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marevalo\OneDrive - ACMA S A\Escritorio\Informes\"/>
    </mc:Choice>
  </mc:AlternateContent>
  <xr:revisionPtr revIDLastSave="0" documentId="13_ncr:1_{BDD202F3-2484-4A81-89E0-0BD11C00638A}" xr6:coauthVersionLast="47" xr6:coauthVersionMax="47" xr10:uidLastSave="{00000000-0000-0000-0000-000000000000}"/>
  <bookViews>
    <workbookView xWindow="20370" yWindow="-4665" windowWidth="29040" windowHeight="15840" activeTab="4" xr2:uid="{00000000-000D-0000-FFFF-FFFF00000000}"/>
  </bookViews>
  <sheets>
    <sheet name="Hoja1" sheetId="6" r:id="rId1"/>
    <sheet name="PROYECTO BMS" sheetId="8" r:id="rId2"/>
    <sheet name="Ocupacion 2021" sheetId="5" r:id="rId3"/>
    <sheet name="$-kilo-coronel" sheetId="4" r:id="rId4"/>
    <sheet name="$-kilo" sheetId="2" r:id="rId5"/>
    <sheet name="DB" sheetId="1" r:id="rId6"/>
  </sheets>
  <definedNames>
    <definedName name="_xlnm._FilterDatabase" localSheetId="5" hidden="1">DB!$A$1:$V$9003</definedName>
    <definedName name="Slicer_Region2">#N/A</definedName>
    <definedName name="Slicer_transporte">#N/A</definedName>
    <definedName name="Slicer_transporte1">#N/A</definedName>
  </definedNames>
  <calcPr calcId="191029"/>
  <pivotCaches>
    <pivotCache cacheId="16"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7781" i="1" l="1"/>
  <c r="O7780" i="1"/>
  <c r="P7780" i="1" s="1"/>
  <c r="O7781" i="1"/>
  <c r="O7782" i="1"/>
  <c r="P7782" i="1" s="1"/>
  <c r="O7783" i="1"/>
  <c r="P7783" i="1" s="1"/>
  <c r="O7784" i="1"/>
  <c r="P7784" i="1" s="1"/>
  <c r="O7785" i="1"/>
  <c r="P7785" i="1" s="1"/>
  <c r="O7786" i="1"/>
  <c r="P7786" i="1" s="1"/>
  <c r="O7787" i="1"/>
  <c r="P7787" i="1"/>
  <c r="O7788" i="1"/>
  <c r="P7788" i="1" s="1"/>
  <c r="T7780" i="1"/>
  <c r="U7780" i="1"/>
  <c r="V7780" i="1"/>
  <c r="T7781" i="1"/>
  <c r="U7781" i="1"/>
  <c r="V7781" i="1"/>
  <c r="T7782" i="1"/>
  <c r="U7782" i="1"/>
  <c r="V7782" i="1"/>
  <c r="T7783" i="1"/>
  <c r="U7783" i="1"/>
  <c r="V7783" i="1"/>
  <c r="T7784" i="1"/>
  <c r="U7784" i="1"/>
  <c r="V7784" i="1"/>
  <c r="T7785" i="1"/>
  <c r="U7785" i="1"/>
  <c r="V7785" i="1"/>
  <c r="T7786" i="1"/>
  <c r="U7786" i="1"/>
  <c r="V7786" i="1"/>
  <c r="T7787" i="1"/>
  <c r="U7787" i="1"/>
  <c r="V7787" i="1"/>
  <c r="T7788" i="1"/>
  <c r="U7788" i="1"/>
  <c r="V7788" i="1"/>
  <c r="G7775" i="1"/>
  <c r="G7773" i="1"/>
  <c r="G7770" i="1"/>
  <c r="G7768" i="1"/>
  <c r="O7761" i="1"/>
  <c r="P7761" i="1" s="1"/>
  <c r="O7762" i="1"/>
  <c r="P7762" i="1" s="1"/>
  <c r="O7763" i="1"/>
  <c r="P7763" i="1" s="1"/>
  <c r="O7764" i="1"/>
  <c r="P7764" i="1" s="1"/>
  <c r="O7765" i="1"/>
  <c r="P7765" i="1" s="1"/>
  <c r="O7766" i="1"/>
  <c r="P7766" i="1" s="1"/>
  <c r="O7767" i="1"/>
  <c r="P7767" i="1" s="1"/>
  <c r="O7768" i="1"/>
  <c r="O7769" i="1"/>
  <c r="P7769" i="1" s="1"/>
  <c r="O7770" i="1"/>
  <c r="O7771" i="1"/>
  <c r="P7771" i="1" s="1"/>
  <c r="O7772" i="1"/>
  <c r="P7772" i="1" s="1"/>
  <c r="O7773" i="1"/>
  <c r="O7774" i="1"/>
  <c r="P7774" i="1" s="1"/>
  <c r="O7775" i="1"/>
  <c r="O7776" i="1"/>
  <c r="P7776" i="1" s="1"/>
  <c r="O7777" i="1"/>
  <c r="P7777" i="1" s="1"/>
  <c r="O7778" i="1"/>
  <c r="P7778" i="1" s="1"/>
  <c r="O7779" i="1"/>
  <c r="P7779" i="1" s="1"/>
  <c r="G7757" i="1"/>
  <c r="O7752" i="1"/>
  <c r="P7752" i="1" s="1"/>
  <c r="O7753" i="1"/>
  <c r="P7753" i="1" s="1"/>
  <c r="O7754" i="1"/>
  <c r="P7754" i="1" s="1"/>
  <c r="O7755" i="1"/>
  <c r="P7755" i="1" s="1"/>
  <c r="O7756" i="1"/>
  <c r="P7756" i="1" s="1"/>
  <c r="O7757" i="1"/>
  <c r="O7758" i="1"/>
  <c r="P7758" i="1" s="1"/>
  <c r="O7759" i="1"/>
  <c r="P7759" i="1" s="1"/>
  <c r="O7760" i="1"/>
  <c r="P7760" i="1" s="1"/>
  <c r="G7751" i="1"/>
  <c r="G7742" i="1"/>
  <c r="G7740" i="1"/>
  <c r="O7731" i="1"/>
  <c r="P7731" i="1" s="1"/>
  <c r="O7732" i="1"/>
  <c r="P7732" i="1" s="1"/>
  <c r="O7733" i="1"/>
  <c r="P7733" i="1" s="1"/>
  <c r="O7734" i="1"/>
  <c r="P7734" i="1" s="1"/>
  <c r="O7735" i="1"/>
  <c r="P7735" i="1" s="1"/>
  <c r="O7736" i="1"/>
  <c r="P7736" i="1" s="1"/>
  <c r="O7737" i="1"/>
  <c r="P7737" i="1" s="1"/>
  <c r="O7738" i="1"/>
  <c r="P7738" i="1" s="1"/>
  <c r="O7739" i="1"/>
  <c r="P7739" i="1" s="1"/>
  <c r="O7740" i="1"/>
  <c r="O7741" i="1"/>
  <c r="P7741" i="1" s="1"/>
  <c r="O7742" i="1"/>
  <c r="O7743" i="1"/>
  <c r="P7743" i="1" s="1"/>
  <c r="O7744" i="1"/>
  <c r="P7744" i="1" s="1"/>
  <c r="O7745" i="1"/>
  <c r="P7745" i="1" s="1"/>
  <c r="O7746" i="1"/>
  <c r="P7746" i="1" s="1"/>
  <c r="O7747" i="1"/>
  <c r="P7747" i="1" s="1"/>
  <c r="O7748" i="1"/>
  <c r="P7748" i="1" s="1"/>
  <c r="O7749" i="1"/>
  <c r="O7750" i="1"/>
  <c r="P7750" i="1" s="1"/>
  <c r="O7751" i="1"/>
  <c r="G7730" i="1"/>
  <c r="G7722" i="1"/>
  <c r="G7718" i="1"/>
  <c r="G7716" i="1"/>
  <c r="G7710" i="1"/>
  <c r="O7710" i="1"/>
  <c r="O7711" i="1"/>
  <c r="P7711" i="1" s="1"/>
  <c r="O7712" i="1"/>
  <c r="P7712" i="1" s="1"/>
  <c r="O7713" i="1"/>
  <c r="P7713" i="1" s="1"/>
  <c r="O7714" i="1"/>
  <c r="P7714" i="1" s="1"/>
  <c r="O7715" i="1"/>
  <c r="P7715" i="1" s="1"/>
  <c r="O7716" i="1"/>
  <c r="O7717" i="1"/>
  <c r="P7717" i="1" s="1"/>
  <c r="O7718" i="1"/>
  <c r="O7719" i="1"/>
  <c r="P7719" i="1" s="1"/>
  <c r="O7720" i="1"/>
  <c r="P7720" i="1" s="1"/>
  <c r="O7721" i="1"/>
  <c r="P7721" i="1" s="1"/>
  <c r="O7722" i="1"/>
  <c r="O7723" i="1"/>
  <c r="P7723" i="1" s="1"/>
  <c r="O7724" i="1"/>
  <c r="P7724" i="1" s="1"/>
  <c r="O7725" i="1"/>
  <c r="P7725" i="1" s="1"/>
  <c r="O7726" i="1"/>
  <c r="P7726" i="1" s="1"/>
  <c r="O7727" i="1"/>
  <c r="P7727" i="1" s="1"/>
  <c r="O7728" i="1"/>
  <c r="P7728" i="1" s="1"/>
  <c r="O7729" i="1"/>
  <c r="P7729" i="1" s="1"/>
  <c r="O7730" i="1"/>
  <c r="G7706" i="1"/>
  <c r="O7698" i="1"/>
  <c r="P7698" i="1" s="1"/>
  <c r="O7699" i="1"/>
  <c r="P7699" i="1" s="1"/>
  <c r="O7700" i="1"/>
  <c r="P7700" i="1" s="1"/>
  <c r="O7701" i="1"/>
  <c r="P7701" i="1" s="1"/>
  <c r="O7702" i="1"/>
  <c r="P7702" i="1" s="1"/>
  <c r="O7703" i="1"/>
  <c r="P7703" i="1" s="1"/>
  <c r="O7704" i="1"/>
  <c r="P7704" i="1" s="1"/>
  <c r="O7705" i="1"/>
  <c r="P7705" i="1" s="1"/>
  <c r="O7706" i="1"/>
  <c r="O7707" i="1"/>
  <c r="P7707" i="1" s="1"/>
  <c r="O7708" i="1"/>
  <c r="P7708" i="1" s="1"/>
  <c r="O7709" i="1"/>
  <c r="P7709" i="1" s="1"/>
  <c r="O7686" i="1"/>
  <c r="P7686" i="1" s="1"/>
  <c r="O7687" i="1"/>
  <c r="P7687" i="1" s="1"/>
  <c r="O7688" i="1"/>
  <c r="P7688" i="1" s="1"/>
  <c r="O7689" i="1"/>
  <c r="P7689" i="1" s="1"/>
  <c r="O7690" i="1"/>
  <c r="P7690" i="1" s="1"/>
  <c r="O7691" i="1"/>
  <c r="P7691" i="1" s="1"/>
  <c r="O7692" i="1"/>
  <c r="P7692" i="1" s="1"/>
  <c r="O7693" i="1"/>
  <c r="P7693" i="1" s="1"/>
  <c r="O7694" i="1"/>
  <c r="P7694" i="1" s="1"/>
  <c r="O7695" i="1"/>
  <c r="P7695" i="1" s="1"/>
  <c r="O7696" i="1"/>
  <c r="P7696" i="1" s="1"/>
  <c r="O7697" i="1"/>
  <c r="P7697" i="1" s="1"/>
  <c r="G7681" i="1"/>
  <c r="O7676" i="1"/>
  <c r="P7676" i="1" s="1"/>
  <c r="O7677" i="1"/>
  <c r="P7677" i="1" s="1"/>
  <c r="O7678" i="1"/>
  <c r="P7678" i="1" s="1"/>
  <c r="O7679" i="1"/>
  <c r="P7679" i="1" s="1"/>
  <c r="O7680" i="1"/>
  <c r="P7680" i="1" s="1"/>
  <c r="O7681" i="1"/>
  <c r="O7682" i="1"/>
  <c r="P7682" i="1" s="1"/>
  <c r="O7683" i="1"/>
  <c r="P7683" i="1" s="1"/>
  <c r="O7684" i="1"/>
  <c r="P7684" i="1" s="1"/>
  <c r="O7685" i="1"/>
  <c r="P7685" i="1" s="1"/>
  <c r="G7672" i="1"/>
  <c r="G7670" i="1"/>
  <c r="O7652" i="1"/>
  <c r="P7652" i="1" s="1"/>
  <c r="O7653" i="1"/>
  <c r="P7653" i="1" s="1"/>
  <c r="O7654" i="1"/>
  <c r="P7654" i="1" s="1"/>
  <c r="O7655" i="1"/>
  <c r="P7655" i="1" s="1"/>
  <c r="O7656" i="1"/>
  <c r="P7656" i="1" s="1"/>
  <c r="O7657" i="1"/>
  <c r="P7657" i="1" s="1"/>
  <c r="O7658" i="1"/>
  <c r="P7658" i="1" s="1"/>
  <c r="O7659" i="1"/>
  <c r="P7659" i="1" s="1"/>
  <c r="O7660" i="1"/>
  <c r="P7660" i="1" s="1"/>
  <c r="O7661" i="1"/>
  <c r="P7661" i="1" s="1"/>
  <c r="O7662" i="1"/>
  <c r="P7662" i="1" s="1"/>
  <c r="O7663" i="1"/>
  <c r="P7663" i="1" s="1"/>
  <c r="O7664" i="1"/>
  <c r="P7664" i="1" s="1"/>
  <c r="O7665" i="1"/>
  <c r="P7665" i="1" s="1"/>
  <c r="O7666" i="1"/>
  <c r="P7666" i="1" s="1"/>
  <c r="O7667" i="1"/>
  <c r="P7667" i="1" s="1"/>
  <c r="O7668" i="1"/>
  <c r="P7668" i="1" s="1"/>
  <c r="O7669" i="1"/>
  <c r="P7669" i="1" s="1"/>
  <c r="O7670" i="1"/>
  <c r="O7671" i="1"/>
  <c r="P7671" i="1" s="1"/>
  <c r="O7672" i="1"/>
  <c r="O7673" i="1"/>
  <c r="P7673" i="1" s="1"/>
  <c r="O7674" i="1"/>
  <c r="P7674" i="1" s="1"/>
  <c r="O7675" i="1"/>
  <c r="P7675" i="1" s="1"/>
  <c r="G7645" i="1"/>
  <c r="O7634" i="1"/>
  <c r="P7634" i="1" s="1"/>
  <c r="O7635" i="1"/>
  <c r="P7635" i="1" s="1"/>
  <c r="O7636" i="1"/>
  <c r="P7636" i="1" s="1"/>
  <c r="O7637" i="1"/>
  <c r="P7637" i="1" s="1"/>
  <c r="O7638" i="1"/>
  <c r="P7638" i="1" s="1"/>
  <c r="O7639" i="1"/>
  <c r="P7639" i="1" s="1"/>
  <c r="O7640" i="1"/>
  <c r="P7640" i="1" s="1"/>
  <c r="O7641" i="1"/>
  <c r="P7641" i="1" s="1"/>
  <c r="O7642" i="1"/>
  <c r="P7642" i="1" s="1"/>
  <c r="O7643" i="1"/>
  <c r="P7643" i="1" s="1"/>
  <c r="O7644" i="1"/>
  <c r="P7644" i="1" s="1"/>
  <c r="O7645" i="1"/>
  <c r="O7646" i="1"/>
  <c r="P7646" i="1" s="1"/>
  <c r="O7647" i="1"/>
  <c r="P7647" i="1" s="1"/>
  <c r="O7648" i="1"/>
  <c r="P7648" i="1" s="1"/>
  <c r="O7649" i="1"/>
  <c r="P7649" i="1" s="1"/>
  <c r="O7650" i="1"/>
  <c r="P7650" i="1" s="1"/>
  <c r="O7651" i="1"/>
  <c r="P7651" i="1" s="1"/>
  <c r="O7604" i="1"/>
  <c r="P7604" i="1" s="1"/>
  <c r="O7605" i="1"/>
  <c r="O7606" i="1"/>
  <c r="P7606" i="1" s="1"/>
  <c r="O7607" i="1"/>
  <c r="P7607" i="1" s="1"/>
  <c r="O7608" i="1"/>
  <c r="P7608" i="1" s="1"/>
  <c r="O7609" i="1"/>
  <c r="P7609" i="1" s="1"/>
  <c r="O7610" i="1"/>
  <c r="P7610" i="1" s="1"/>
  <c r="O7611" i="1"/>
  <c r="P7611" i="1" s="1"/>
  <c r="O7612" i="1"/>
  <c r="P7612" i="1" s="1"/>
  <c r="O7613" i="1"/>
  <c r="P7613" i="1" s="1"/>
  <c r="O7614" i="1"/>
  <c r="P7614" i="1" s="1"/>
  <c r="O7615" i="1"/>
  <c r="P7615" i="1" s="1"/>
  <c r="O7616" i="1"/>
  <c r="P7616" i="1" s="1"/>
  <c r="O7617" i="1"/>
  <c r="P7617" i="1" s="1"/>
  <c r="O7618" i="1"/>
  <c r="P7618" i="1" s="1"/>
  <c r="O7619" i="1"/>
  <c r="P7619" i="1" s="1"/>
  <c r="O7620" i="1"/>
  <c r="P7620" i="1" s="1"/>
  <c r="O7621" i="1"/>
  <c r="P7621" i="1" s="1"/>
  <c r="O7622" i="1"/>
  <c r="P7622" i="1" s="1"/>
  <c r="O7623" i="1"/>
  <c r="P7623" i="1" s="1"/>
  <c r="O7624" i="1"/>
  <c r="P7624" i="1" s="1"/>
  <c r="O7625" i="1"/>
  <c r="P7625" i="1" s="1"/>
  <c r="O7626" i="1"/>
  <c r="P7626" i="1" s="1"/>
  <c r="O7627" i="1"/>
  <c r="P7627" i="1" s="1"/>
  <c r="O7628" i="1"/>
  <c r="P7628" i="1" s="1"/>
  <c r="O7629" i="1"/>
  <c r="P7629" i="1" s="1"/>
  <c r="O7630" i="1"/>
  <c r="P7630" i="1" s="1"/>
  <c r="O7631" i="1"/>
  <c r="P7631" i="1" s="1"/>
  <c r="O7632" i="1"/>
  <c r="P7632" i="1" s="1"/>
  <c r="O7633" i="1"/>
  <c r="P7633" i="1" s="1"/>
  <c r="G7605" i="1"/>
  <c r="O7598" i="1"/>
  <c r="P7598" i="1" s="1"/>
  <c r="O7599" i="1"/>
  <c r="P7599" i="1" s="1"/>
  <c r="O7600" i="1"/>
  <c r="P7600" i="1" s="1"/>
  <c r="O7601" i="1"/>
  <c r="P7601" i="1" s="1"/>
  <c r="O7602" i="1"/>
  <c r="P7602" i="1" s="1"/>
  <c r="O7603" i="1"/>
  <c r="P7603" i="1" s="1"/>
  <c r="G7589" i="1"/>
  <c r="G7590" i="1"/>
  <c r="O7585" i="1"/>
  <c r="P7585" i="1" s="1"/>
  <c r="O7586" i="1"/>
  <c r="P7586" i="1" s="1"/>
  <c r="O7587" i="1"/>
  <c r="P7587" i="1" s="1"/>
  <c r="O7588" i="1"/>
  <c r="P7588" i="1" s="1"/>
  <c r="O7589" i="1"/>
  <c r="O7590" i="1"/>
  <c r="O7591" i="1"/>
  <c r="P7591" i="1" s="1"/>
  <c r="O7592" i="1"/>
  <c r="P7592" i="1" s="1"/>
  <c r="O7593" i="1"/>
  <c r="P7593" i="1" s="1"/>
  <c r="O7594" i="1"/>
  <c r="P7594" i="1" s="1"/>
  <c r="O7595" i="1"/>
  <c r="P7595" i="1" s="1"/>
  <c r="O7596" i="1"/>
  <c r="P7596" i="1" s="1"/>
  <c r="O7597" i="1"/>
  <c r="P7597" i="1" s="1"/>
  <c r="O7571" i="1"/>
  <c r="P7571" i="1" s="1"/>
  <c r="O7572" i="1"/>
  <c r="P7572" i="1" s="1"/>
  <c r="O7573" i="1"/>
  <c r="P7573" i="1" s="1"/>
  <c r="O7574" i="1"/>
  <c r="P7574" i="1" s="1"/>
  <c r="O7575" i="1"/>
  <c r="P7575" i="1" s="1"/>
  <c r="O7576" i="1"/>
  <c r="P7576" i="1" s="1"/>
  <c r="O7577" i="1"/>
  <c r="P7577" i="1" s="1"/>
  <c r="O7578" i="1"/>
  <c r="P7578" i="1" s="1"/>
  <c r="O7579" i="1"/>
  <c r="P7579" i="1" s="1"/>
  <c r="O7580" i="1"/>
  <c r="P7580" i="1" s="1"/>
  <c r="O7581" i="1"/>
  <c r="P7581" i="1" s="1"/>
  <c r="O7582" i="1"/>
  <c r="P7582" i="1" s="1"/>
  <c r="O7583" i="1"/>
  <c r="P7583" i="1" s="1"/>
  <c r="O7584" i="1"/>
  <c r="P7584" i="1" s="1"/>
  <c r="O7545" i="1"/>
  <c r="P7545" i="1" s="1"/>
  <c r="O7546" i="1"/>
  <c r="P7546" i="1" s="1"/>
  <c r="O7547" i="1"/>
  <c r="P7547" i="1" s="1"/>
  <c r="O7548" i="1"/>
  <c r="P7548" i="1" s="1"/>
  <c r="O7549" i="1"/>
  <c r="P7549" i="1" s="1"/>
  <c r="O7550" i="1"/>
  <c r="P7550" i="1" s="1"/>
  <c r="O7551" i="1"/>
  <c r="P7551" i="1" s="1"/>
  <c r="O7552" i="1"/>
  <c r="P7552" i="1" s="1"/>
  <c r="O7553" i="1"/>
  <c r="P7553" i="1" s="1"/>
  <c r="O7554" i="1"/>
  <c r="P7554" i="1" s="1"/>
  <c r="O7555" i="1"/>
  <c r="P7555" i="1" s="1"/>
  <c r="O7556" i="1"/>
  <c r="P7556" i="1" s="1"/>
  <c r="O7557" i="1"/>
  <c r="P7557" i="1" s="1"/>
  <c r="O7558" i="1"/>
  <c r="P7558" i="1" s="1"/>
  <c r="O7559" i="1"/>
  <c r="P7559" i="1" s="1"/>
  <c r="O7560" i="1"/>
  <c r="P7560" i="1" s="1"/>
  <c r="O7561" i="1"/>
  <c r="P7561" i="1" s="1"/>
  <c r="O7562" i="1"/>
  <c r="P7562" i="1" s="1"/>
  <c r="O7563" i="1"/>
  <c r="P7563" i="1" s="1"/>
  <c r="O7564" i="1"/>
  <c r="P7564" i="1" s="1"/>
  <c r="O7565" i="1"/>
  <c r="P7565" i="1" s="1"/>
  <c r="O7566" i="1"/>
  <c r="P7566" i="1" s="1"/>
  <c r="O7567" i="1"/>
  <c r="P7567" i="1" s="1"/>
  <c r="O7568" i="1"/>
  <c r="P7568" i="1" s="1"/>
  <c r="O7569" i="1"/>
  <c r="P7569" i="1" s="1"/>
  <c r="O7570" i="1"/>
  <c r="P7570" i="1" s="1"/>
  <c r="O7530" i="1"/>
  <c r="P7530" i="1" s="1"/>
  <c r="O7531" i="1"/>
  <c r="P7531" i="1" s="1"/>
  <c r="O7532" i="1"/>
  <c r="P7532" i="1" s="1"/>
  <c r="O7533" i="1"/>
  <c r="P7533" i="1" s="1"/>
  <c r="O7534" i="1"/>
  <c r="P7534" i="1" s="1"/>
  <c r="O7535" i="1"/>
  <c r="P7535" i="1" s="1"/>
  <c r="O7536" i="1"/>
  <c r="P7536" i="1" s="1"/>
  <c r="O7537" i="1"/>
  <c r="P7537" i="1" s="1"/>
  <c r="O7538" i="1"/>
  <c r="P7538" i="1" s="1"/>
  <c r="O7539" i="1"/>
  <c r="P7539" i="1" s="1"/>
  <c r="O7540" i="1"/>
  <c r="P7540" i="1" s="1"/>
  <c r="O7541" i="1"/>
  <c r="P7541" i="1" s="1"/>
  <c r="O7542" i="1"/>
  <c r="P7542" i="1" s="1"/>
  <c r="O7543" i="1"/>
  <c r="P7543" i="1" s="1"/>
  <c r="O7544" i="1"/>
  <c r="P7544" i="1" s="1"/>
  <c r="G7515" i="1"/>
  <c r="G7526" i="1"/>
  <c r="G7523" i="1"/>
  <c r="O7514" i="1"/>
  <c r="P7514" i="1" s="1"/>
  <c r="O7515" i="1"/>
  <c r="P7515" i="1" s="1"/>
  <c r="O7516" i="1"/>
  <c r="P7516" i="1" s="1"/>
  <c r="O7517" i="1"/>
  <c r="P7517" i="1" s="1"/>
  <c r="O7518" i="1"/>
  <c r="P7518" i="1" s="1"/>
  <c r="O7519" i="1"/>
  <c r="P7519" i="1" s="1"/>
  <c r="O7520" i="1"/>
  <c r="P7520" i="1" s="1"/>
  <c r="O7521" i="1"/>
  <c r="P7521" i="1" s="1"/>
  <c r="O7522" i="1"/>
  <c r="P7522" i="1" s="1"/>
  <c r="O7523" i="1"/>
  <c r="O7524" i="1"/>
  <c r="P7524" i="1" s="1"/>
  <c r="O7525" i="1"/>
  <c r="P7525" i="1" s="1"/>
  <c r="O7526" i="1"/>
  <c r="O7527" i="1"/>
  <c r="P7527" i="1" s="1"/>
  <c r="O7528" i="1"/>
  <c r="P7528" i="1" s="1"/>
  <c r="O7529" i="1"/>
  <c r="P7529" i="1" s="1"/>
  <c r="G7511" i="1"/>
  <c r="O7503" i="1"/>
  <c r="P7503" i="1" s="1"/>
  <c r="O7504" i="1"/>
  <c r="P7504" i="1" s="1"/>
  <c r="O7505" i="1"/>
  <c r="P7505" i="1" s="1"/>
  <c r="O7506" i="1"/>
  <c r="P7506" i="1" s="1"/>
  <c r="O7507" i="1"/>
  <c r="P7507" i="1" s="1"/>
  <c r="O7508" i="1"/>
  <c r="P7508" i="1" s="1"/>
  <c r="O7509" i="1"/>
  <c r="P7509" i="1" s="1"/>
  <c r="O7510" i="1"/>
  <c r="P7510" i="1" s="1"/>
  <c r="O7511" i="1"/>
  <c r="O7512" i="1"/>
  <c r="P7512" i="1" s="1"/>
  <c r="O7513" i="1"/>
  <c r="P7513" i="1" s="1"/>
  <c r="G7492" i="1"/>
  <c r="G7488" i="1"/>
  <c r="O7485" i="1"/>
  <c r="P7485" i="1" s="1"/>
  <c r="O7486" i="1"/>
  <c r="P7486" i="1" s="1"/>
  <c r="O7487" i="1"/>
  <c r="P7487" i="1" s="1"/>
  <c r="O7488" i="1"/>
  <c r="O7489" i="1"/>
  <c r="P7489" i="1" s="1"/>
  <c r="O7490" i="1"/>
  <c r="P7490" i="1" s="1"/>
  <c r="O7491" i="1"/>
  <c r="P7491" i="1" s="1"/>
  <c r="O7492" i="1"/>
  <c r="O7493" i="1"/>
  <c r="P7493" i="1" s="1"/>
  <c r="O7494" i="1"/>
  <c r="P7494" i="1" s="1"/>
  <c r="O7495" i="1"/>
  <c r="P7495" i="1" s="1"/>
  <c r="O7496" i="1"/>
  <c r="P7496" i="1" s="1"/>
  <c r="O7497" i="1"/>
  <c r="P7497" i="1" s="1"/>
  <c r="O7498" i="1"/>
  <c r="P7498" i="1" s="1"/>
  <c r="O7499" i="1"/>
  <c r="P7499" i="1" s="1"/>
  <c r="O7500" i="1"/>
  <c r="P7500" i="1" s="1"/>
  <c r="O7501" i="1"/>
  <c r="P7501" i="1" s="1"/>
  <c r="O7502" i="1"/>
  <c r="P7502" i="1" s="1"/>
  <c r="G7477" i="1"/>
  <c r="O7473" i="1"/>
  <c r="P7473" i="1" s="1"/>
  <c r="O7474" i="1"/>
  <c r="P7474" i="1" s="1"/>
  <c r="O7475" i="1"/>
  <c r="P7475" i="1" s="1"/>
  <c r="O7476" i="1"/>
  <c r="P7476" i="1" s="1"/>
  <c r="O7477" i="1"/>
  <c r="O7478" i="1"/>
  <c r="P7478" i="1" s="1"/>
  <c r="O7479" i="1"/>
  <c r="P7479" i="1" s="1"/>
  <c r="O7480" i="1"/>
  <c r="P7480" i="1" s="1"/>
  <c r="O7481" i="1"/>
  <c r="P7481" i="1" s="1"/>
  <c r="O7482" i="1"/>
  <c r="P7482" i="1" s="1"/>
  <c r="O7483" i="1"/>
  <c r="P7483" i="1" s="1"/>
  <c r="O7484" i="1"/>
  <c r="P7484" i="1" s="1"/>
  <c r="G7467" i="1"/>
  <c r="G7456" i="1"/>
  <c r="O7456" i="1"/>
  <c r="O7457" i="1"/>
  <c r="P7457" i="1" s="1"/>
  <c r="O7458" i="1"/>
  <c r="P7458" i="1" s="1"/>
  <c r="O7459" i="1"/>
  <c r="P7459" i="1" s="1"/>
  <c r="O7460" i="1"/>
  <c r="P7460" i="1" s="1"/>
  <c r="O7461" i="1"/>
  <c r="P7461" i="1" s="1"/>
  <c r="O7462" i="1"/>
  <c r="P7462" i="1" s="1"/>
  <c r="O7463" i="1"/>
  <c r="P7463" i="1" s="1"/>
  <c r="O7464" i="1"/>
  <c r="P7464" i="1" s="1"/>
  <c r="O7465" i="1"/>
  <c r="P7465" i="1" s="1"/>
  <c r="O7466" i="1"/>
  <c r="P7466" i="1" s="1"/>
  <c r="O7467" i="1"/>
  <c r="O7468" i="1"/>
  <c r="P7468" i="1" s="1"/>
  <c r="O7469" i="1"/>
  <c r="P7469" i="1" s="1"/>
  <c r="O7470" i="1"/>
  <c r="P7470" i="1" s="1"/>
  <c r="O7471" i="1"/>
  <c r="P7471" i="1" s="1"/>
  <c r="O7472" i="1"/>
  <c r="P7472" i="1" s="1"/>
  <c r="T7456" i="1"/>
  <c r="T7457" i="1"/>
  <c r="T7458" i="1"/>
  <c r="T7459" i="1"/>
  <c r="T7460" i="1"/>
  <c r="T7461" i="1"/>
  <c r="T7462" i="1"/>
  <c r="T7463" i="1"/>
  <c r="T7464" i="1"/>
  <c r="T7465" i="1"/>
  <c r="T7466" i="1"/>
  <c r="T7467" i="1"/>
  <c r="T7468" i="1"/>
  <c r="T7469" i="1"/>
  <c r="T7470" i="1"/>
  <c r="T7471" i="1"/>
  <c r="T7472" i="1"/>
  <c r="G7453" i="1"/>
  <c r="O7448" i="1"/>
  <c r="P7448" i="1" s="1"/>
  <c r="O7449" i="1"/>
  <c r="P7449" i="1" s="1"/>
  <c r="O7450" i="1"/>
  <c r="P7450" i="1" s="1"/>
  <c r="O7451" i="1"/>
  <c r="P7451" i="1" s="1"/>
  <c r="O7452" i="1"/>
  <c r="P7452" i="1" s="1"/>
  <c r="O7453" i="1"/>
  <c r="O7454" i="1"/>
  <c r="P7454" i="1" s="1"/>
  <c r="O7455" i="1"/>
  <c r="P7455" i="1" s="1"/>
  <c r="O7441" i="1"/>
  <c r="P7441" i="1" s="1"/>
  <c r="O7442" i="1"/>
  <c r="P7442" i="1" s="1"/>
  <c r="O7443" i="1"/>
  <c r="P7443" i="1" s="1"/>
  <c r="O7444" i="1"/>
  <c r="P7444" i="1" s="1"/>
  <c r="O7445" i="1"/>
  <c r="P7445" i="1" s="1"/>
  <c r="O7446" i="1"/>
  <c r="P7446" i="1" s="1"/>
  <c r="O7447" i="1"/>
  <c r="P7447" i="1" s="1"/>
  <c r="O7435" i="1"/>
  <c r="P7435" i="1" s="1"/>
  <c r="O7436" i="1"/>
  <c r="P7436" i="1" s="1"/>
  <c r="O7437" i="1"/>
  <c r="P7437" i="1" s="1"/>
  <c r="O7438" i="1"/>
  <c r="P7438" i="1" s="1"/>
  <c r="O7439" i="1"/>
  <c r="P7439" i="1" s="1"/>
  <c r="O7440" i="1"/>
  <c r="P7440" i="1" s="1"/>
  <c r="O7421" i="1"/>
  <c r="P7421" i="1" s="1"/>
  <c r="O7422" i="1"/>
  <c r="P7422" i="1" s="1"/>
  <c r="O7423" i="1"/>
  <c r="P7423" i="1" s="1"/>
  <c r="O7424" i="1"/>
  <c r="P7424" i="1" s="1"/>
  <c r="O7425" i="1"/>
  <c r="P7425" i="1" s="1"/>
  <c r="O7426" i="1"/>
  <c r="P7426" i="1" s="1"/>
  <c r="O7427" i="1"/>
  <c r="P7427" i="1" s="1"/>
  <c r="O7428" i="1"/>
  <c r="P7428" i="1" s="1"/>
  <c r="O7429" i="1"/>
  <c r="P7429" i="1" s="1"/>
  <c r="O7430" i="1"/>
  <c r="P7430" i="1" s="1"/>
  <c r="O7431" i="1"/>
  <c r="P7431" i="1" s="1"/>
  <c r="O7432" i="1"/>
  <c r="P7432" i="1" s="1"/>
  <c r="O7433" i="1"/>
  <c r="P7433" i="1" s="1"/>
  <c r="O7434" i="1"/>
  <c r="P7434" i="1" s="1"/>
  <c r="O7413" i="1"/>
  <c r="P7413" i="1" s="1"/>
  <c r="O7414" i="1"/>
  <c r="P7414" i="1" s="1"/>
  <c r="O7415" i="1"/>
  <c r="P7415" i="1" s="1"/>
  <c r="O7416" i="1"/>
  <c r="P7416" i="1" s="1"/>
  <c r="O7417" i="1"/>
  <c r="P7417" i="1" s="1"/>
  <c r="O7418" i="1"/>
  <c r="P7418" i="1" s="1"/>
  <c r="O7419" i="1"/>
  <c r="P7419" i="1" s="1"/>
  <c r="O7420" i="1"/>
  <c r="P7420" i="1" s="1"/>
  <c r="O7365" i="1"/>
  <c r="P7365" i="1" s="1"/>
  <c r="O7366" i="1"/>
  <c r="P7366" i="1" s="1"/>
  <c r="O7367" i="1"/>
  <c r="P7367" i="1" s="1"/>
  <c r="O7368" i="1"/>
  <c r="P7368" i="1" s="1"/>
  <c r="O7369" i="1"/>
  <c r="P7369" i="1" s="1"/>
  <c r="O7370" i="1"/>
  <c r="P7370" i="1" s="1"/>
  <c r="O7371" i="1"/>
  <c r="P7371" i="1" s="1"/>
  <c r="O7372" i="1"/>
  <c r="P7372" i="1" s="1"/>
  <c r="O7373" i="1"/>
  <c r="P7373" i="1" s="1"/>
  <c r="O7374" i="1"/>
  <c r="P7374" i="1" s="1"/>
  <c r="O7375" i="1"/>
  <c r="P7375" i="1" s="1"/>
  <c r="O7376" i="1"/>
  <c r="P7376" i="1" s="1"/>
  <c r="O7377" i="1"/>
  <c r="P7377" i="1" s="1"/>
  <c r="O7378" i="1"/>
  <c r="P7378" i="1" s="1"/>
  <c r="O7379" i="1"/>
  <c r="P7379" i="1" s="1"/>
  <c r="O7380" i="1"/>
  <c r="P7380" i="1" s="1"/>
  <c r="O7381" i="1"/>
  <c r="P7381" i="1" s="1"/>
  <c r="O7382" i="1"/>
  <c r="P7382" i="1" s="1"/>
  <c r="O7383" i="1"/>
  <c r="P7383" i="1" s="1"/>
  <c r="O7384" i="1"/>
  <c r="P7384" i="1" s="1"/>
  <c r="O7385" i="1"/>
  <c r="P7385" i="1" s="1"/>
  <c r="O7386" i="1"/>
  <c r="P7386" i="1" s="1"/>
  <c r="O7387" i="1"/>
  <c r="P7387" i="1" s="1"/>
  <c r="O7388" i="1"/>
  <c r="P7388" i="1" s="1"/>
  <c r="O7389" i="1"/>
  <c r="P7389" i="1" s="1"/>
  <c r="O7390" i="1"/>
  <c r="P7390" i="1" s="1"/>
  <c r="O7391" i="1"/>
  <c r="P7391" i="1" s="1"/>
  <c r="O7392" i="1"/>
  <c r="P7392" i="1" s="1"/>
  <c r="O7393" i="1"/>
  <c r="P7393" i="1" s="1"/>
  <c r="O7394" i="1"/>
  <c r="P7394" i="1" s="1"/>
  <c r="O7395" i="1"/>
  <c r="O7396" i="1"/>
  <c r="P7396" i="1" s="1"/>
  <c r="O7397" i="1"/>
  <c r="P7397" i="1" s="1"/>
  <c r="O7398" i="1"/>
  <c r="P7398" i="1" s="1"/>
  <c r="O7399" i="1"/>
  <c r="P7399" i="1" s="1"/>
  <c r="O7400" i="1"/>
  <c r="P7400" i="1" s="1"/>
  <c r="O7401" i="1"/>
  <c r="P7401" i="1" s="1"/>
  <c r="O7402" i="1"/>
  <c r="P7402" i="1" s="1"/>
  <c r="O7403" i="1"/>
  <c r="P7403" i="1" s="1"/>
  <c r="O7404" i="1"/>
  <c r="O7405" i="1"/>
  <c r="P7405" i="1" s="1"/>
  <c r="O7406" i="1"/>
  <c r="P7406" i="1" s="1"/>
  <c r="O7407" i="1"/>
  <c r="P7407" i="1" s="1"/>
  <c r="O7408" i="1"/>
  <c r="P7408" i="1" s="1"/>
  <c r="O7409" i="1"/>
  <c r="P7409" i="1" s="1"/>
  <c r="O7410" i="1"/>
  <c r="P7410" i="1" s="1"/>
  <c r="O7411" i="1"/>
  <c r="P7411" i="1" s="1"/>
  <c r="O7412" i="1"/>
  <c r="P7412" i="1" s="1"/>
  <c r="G7404" i="1"/>
  <c r="G7395" i="1"/>
  <c r="G7361" i="1"/>
  <c r="O7338" i="1"/>
  <c r="P7338" i="1" s="1"/>
  <c r="O7339" i="1"/>
  <c r="P7339" i="1" s="1"/>
  <c r="O7340" i="1"/>
  <c r="P7340" i="1" s="1"/>
  <c r="O7341" i="1"/>
  <c r="P7341" i="1" s="1"/>
  <c r="O7342" i="1"/>
  <c r="P7342" i="1" s="1"/>
  <c r="O7343" i="1"/>
  <c r="P7343" i="1" s="1"/>
  <c r="O7344" i="1"/>
  <c r="P7344" i="1" s="1"/>
  <c r="O7345" i="1"/>
  <c r="P7345" i="1" s="1"/>
  <c r="O7346" i="1"/>
  <c r="P7346" i="1" s="1"/>
  <c r="O7347" i="1"/>
  <c r="P7347" i="1" s="1"/>
  <c r="O7348" i="1"/>
  <c r="P7348" i="1" s="1"/>
  <c r="O7349" i="1"/>
  <c r="O7350" i="1"/>
  <c r="P7350" i="1" s="1"/>
  <c r="O7351" i="1"/>
  <c r="P7351" i="1" s="1"/>
  <c r="O7352" i="1"/>
  <c r="P7352" i="1" s="1"/>
  <c r="O7353" i="1"/>
  <c r="P7353" i="1" s="1"/>
  <c r="O7354" i="1"/>
  <c r="P7354" i="1" s="1"/>
  <c r="O7355" i="1"/>
  <c r="P7355" i="1" s="1"/>
  <c r="O7356" i="1"/>
  <c r="P7356" i="1" s="1"/>
  <c r="O7357" i="1"/>
  <c r="P7357" i="1" s="1"/>
  <c r="O7358" i="1"/>
  <c r="P7358" i="1" s="1"/>
  <c r="O7359" i="1"/>
  <c r="P7359" i="1" s="1"/>
  <c r="O7360" i="1"/>
  <c r="P7360" i="1" s="1"/>
  <c r="O7361" i="1"/>
  <c r="O7362" i="1"/>
  <c r="P7362" i="1" s="1"/>
  <c r="O7363" i="1"/>
  <c r="P7363" i="1" s="1"/>
  <c r="O7364" i="1"/>
  <c r="P7364" i="1" s="1"/>
  <c r="G7349" i="1"/>
  <c r="G7337" i="1"/>
  <c r="G7335" i="1"/>
  <c r="O7333" i="1"/>
  <c r="P7333" i="1" s="1"/>
  <c r="O7334" i="1"/>
  <c r="P7334" i="1" s="1"/>
  <c r="O7335" i="1"/>
  <c r="O7336" i="1"/>
  <c r="P7336" i="1" s="1"/>
  <c r="O7337" i="1"/>
  <c r="G7328" i="1"/>
  <c r="O7323" i="1"/>
  <c r="P7323" i="1" s="1"/>
  <c r="O7324" i="1"/>
  <c r="P7324" i="1" s="1"/>
  <c r="O7325" i="1"/>
  <c r="P7325" i="1" s="1"/>
  <c r="O7326" i="1"/>
  <c r="P7326" i="1" s="1"/>
  <c r="O7327" i="1"/>
  <c r="P7327" i="1" s="1"/>
  <c r="O7328" i="1"/>
  <c r="O7329" i="1"/>
  <c r="P7329" i="1" s="1"/>
  <c r="O7330" i="1"/>
  <c r="P7330" i="1" s="1"/>
  <c r="O7331" i="1"/>
  <c r="P7331" i="1" s="1"/>
  <c r="O7332" i="1"/>
  <c r="P7332" i="1" s="1"/>
  <c r="G7321" i="1"/>
  <c r="G7320" i="1"/>
  <c r="G7319" i="1"/>
  <c r="O7315" i="1"/>
  <c r="O7316" i="1"/>
  <c r="P7316" i="1" s="1"/>
  <c r="O7317" i="1"/>
  <c r="P7317" i="1" s="1"/>
  <c r="O7318" i="1"/>
  <c r="P7318" i="1" s="1"/>
  <c r="O7319" i="1"/>
  <c r="O7320" i="1"/>
  <c r="O7321" i="1"/>
  <c r="O7322" i="1"/>
  <c r="P7322" i="1" s="1"/>
  <c r="G7315" i="1"/>
  <c r="O7311" i="1"/>
  <c r="P7311" i="1" s="1"/>
  <c r="O7312" i="1"/>
  <c r="P7312" i="1" s="1"/>
  <c r="O7313" i="1"/>
  <c r="P7313" i="1" s="1"/>
  <c r="O7314" i="1"/>
  <c r="P7314" i="1" s="1"/>
  <c r="G7308" i="1"/>
  <c r="G7301" i="1"/>
  <c r="O7299" i="1"/>
  <c r="P7299" i="1" s="1"/>
  <c r="O7300" i="1"/>
  <c r="P7300" i="1" s="1"/>
  <c r="O7301" i="1"/>
  <c r="O7302" i="1"/>
  <c r="P7302" i="1" s="1"/>
  <c r="O7303" i="1"/>
  <c r="P7303" i="1" s="1"/>
  <c r="O7304" i="1"/>
  <c r="P7304" i="1" s="1"/>
  <c r="O7305" i="1"/>
  <c r="P7305" i="1" s="1"/>
  <c r="O7306" i="1"/>
  <c r="P7306" i="1" s="1"/>
  <c r="O7307" i="1"/>
  <c r="P7307" i="1" s="1"/>
  <c r="O7308" i="1"/>
  <c r="O7309" i="1"/>
  <c r="P7309" i="1" s="1"/>
  <c r="O7310" i="1"/>
  <c r="P7310" i="1" s="1"/>
  <c r="G7296" i="1"/>
  <c r="G7292" i="1"/>
  <c r="O7291" i="1"/>
  <c r="P7291" i="1" s="1"/>
  <c r="O7292" i="1"/>
  <c r="O7293" i="1"/>
  <c r="P7293" i="1" s="1"/>
  <c r="O7294" i="1"/>
  <c r="P7294" i="1" s="1"/>
  <c r="O7295" i="1"/>
  <c r="P7295" i="1" s="1"/>
  <c r="O7296" i="1"/>
  <c r="O7297" i="1"/>
  <c r="P7297" i="1" s="1"/>
  <c r="O7298" i="1"/>
  <c r="P7298" i="1" s="1"/>
  <c r="G7288" i="1"/>
  <c r="G7284" i="1"/>
  <c r="O7282" i="1"/>
  <c r="P7282" i="1" s="1"/>
  <c r="O7283" i="1"/>
  <c r="P7283" i="1" s="1"/>
  <c r="O7284" i="1"/>
  <c r="O7285" i="1"/>
  <c r="P7285" i="1" s="1"/>
  <c r="O7286" i="1"/>
  <c r="P7286" i="1" s="1"/>
  <c r="O7287" i="1"/>
  <c r="P7287" i="1" s="1"/>
  <c r="O7288" i="1"/>
  <c r="P7288" i="1" s="1"/>
  <c r="O7289" i="1"/>
  <c r="P7289" i="1" s="1"/>
  <c r="O7290" i="1"/>
  <c r="P7290" i="1" s="1"/>
  <c r="O7275" i="1"/>
  <c r="P7275" i="1" s="1"/>
  <c r="O7276" i="1"/>
  <c r="P7276" i="1" s="1"/>
  <c r="O7277" i="1"/>
  <c r="P7277" i="1" s="1"/>
  <c r="O7278" i="1"/>
  <c r="P7278" i="1" s="1"/>
  <c r="O7279" i="1"/>
  <c r="P7279" i="1" s="1"/>
  <c r="O7280" i="1"/>
  <c r="P7280" i="1" s="1"/>
  <c r="O7281" i="1"/>
  <c r="P7281" i="1" s="1"/>
  <c r="O7264" i="1"/>
  <c r="P7264" i="1" s="1"/>
  <c r="O7265" i="1"/>
  <c r="P7265" i="1" s="1"/>
  <c r="O7266" i="1"/>
  <c r="P7266" i="1" s="1"/>
  <c r="O7267" i="1"/>
  <c r="P7267" i="1" s="1"/>
  <c r="O7268" i="1"/>
  <c r="P7268" i="1" s="1"/>
  <c r="O7269" i="1"/>
  <c r="P7269" i="1" s="1"/>
  <c r="O7270" i="1"/>
  <c r="P7270" i="1" s="1"/>
  <c r="O7271" i="1"/>
  <c r="P7271" i="1" s="1"/>
  <c r="O7272" i="1"/>
  <c r="P7272" i="1" s="1"/>
  <c r="O7273" i="1"/>
  <c r="P7273" i="1" s="1"/>
  <c r="O7274" i="1"/>
  <c r="P7274" i="1" s="1"/>
  <c r="O7255" i="1"/>
  <c r="P7255" i="1" s="1"/>
  <c r="O7256" i="1"/>
  <c r="P7256" i="1" s="1"/>
  <c r="O7257" i="1"/>
  <c r="P7257" i="1" s="1"/>
  <c r="O7258" i="1"/>
  <c r="P7258" i="1" s="1"/>
  <c r="O7259" i="1"/>
  <c r="P7259" i="1" s="1"/>
  <c r="O7260" i="1"/>
  <c r="P7260" i="1" s="1"/>
  <c r="O7261" i="1"/>
  <c r="P7261" i="1" s="1"/>
  <c r="O7262" i="1"/>
  <c r="P7262" i="1" s="1"/>
  <c r="O7263" i="1"/>
  <c r="P7263" i="1" s="1"/>
  <c r="G7250" i="1"/>
  <c r="G7249" i="1"/>
  <c r="G7246" i="1"/>
  <c r="O7245" i="1"/>
  <c r="P7245" i="1" s="1"/>
  <c r="O7246" i="1"/>
  <c r="O7247" i="1"/>
  <c r="P7247" i="1" s="1"/>
  <c r="O7248" i="1"/>
  <c r="P7248" i="1" s="1"/>
  <c r="O7249" i="1"/>
  <c r="O7250" i="1"/>
  <c r="O7251" i="1"/>
  <c r="P7251" i="1" s="1"/>
  <c r="O7252" i="1"/>
  <c r="P7252" i="1" s="1"/>
  <c r="O7253" i="1"/>
  <c r="P7253" i="1" s="1"/>
  <c r="O7254" i="1"/>
  <c r="P7254" i="1" s="1"/>
  <c r="G7242" i="1"/>
  <c r="G7241" i="1"/>
  <c r="O7237" i="1"/>
  <c r="P7237" i="1" s="1"/>
  <c r="O7238" i="1"/>
  <c r="P7238" i="1" s="1"/>
  <c r="O7239" i="1"/>
  <c r="P7239" i="1" s="1"/>
  <c r="O7240" i="1"/>
  <c r="P7240" i="1" s="1"/>
  <c r="O7241" i="1"/>
  <c r="O7242" i="1"/>
  <c r="O7243" i="1"/>
  <c r="P7243" i="1" s="1"/>
  <c r="O7244" i="1"/>
  <c r="P7244" i="1" s="1"/>
  <c r="G7236" i="1"/>
  <c r="O7229" i="1"/>
  <c r="P7229" i="1" s="1"/>
  <c r="O7230" i="1"/>
  <c r="P7230" i="1" s="1"/>
  <c r="O7231" i="1"/>
  <c r="P7231" i="1" s="1"/>
  <c r="O7232" i="1"/>
  <c r="P7232" i="1" s="1"/>
  <c r="O7233" i="1"/>
  <c r="P7233" i="1" s="1"/>
  <c r="O7234" i="1"/>
  <c r="P7234" i="1" s="1"/>
  <c r="O7235" i="1"/>
  <c r="P7235" i="1" s="1"/>
  <c r="O7236" i="1"/>
  <c r="O7220" i="1"/>
  <c r="P7220" i="1" s="1"/>
  <c r="O7221" i="1"/>
  <c r="P7221" i="1" s="1"/>
  <c r="O7222" i="1"/>
  <c r="P7222" i="1" s="1"/>
  <c r="O7223" i="1"/>
  <c r="P7223" i="1" s="1"/>
  <c r="O7224" i="1"/>
  <c r="P7224" i="1" s="1"/>
  <c r="O7225" i="1"/>
  <c r="P7225" i="1" s="1"/>
  <c r="O7226" i="1"/>
  <c r="P7226" i="1" s="1"/>
  <c r="O7227" i="1"/>
  <c r="P7227" i="1" s="1"/>
  <c r="O7228" i="1"/>
  <c r="P7228" i="1" s="1"/>
  <c r="G7217" i="1"/>
  <c r="G7219" i="1"/>
  <c r="O7213" i="1"/>
  <c r="P7213" i="1" s="1"/>
  <c r="O7214" i="1"/>
  <c r="P7214" i="1" s="1"/>
  <c r="O7215" i="1"/>
  <c r="P7215" i="1" s="1"/>
  <c r="O7216" i="1"/>
  <c r="P7216" i="1" s="1"/>
  <c r="O7217" i="1"/>
  <c r="O7218" i="1"/>
  <c r="P7218" i="1" s="1"/>
  <c r="O7219" i="1"/>
  <c r="O7205" i="1"/>
  <c r="P7205" i="1" s="1"/>
  <c r="O7206" i="1"/>
  <c r="P7206" i="1" s="1"/>
  <c r="O7207" i="1"/>
  <c r="P7207" i="1" s="1"/>
  <c r="O7208" i="1"/>
  <c r="P7208" i="1" s="1"/>
  <c r="O7209" i="1"/>
  <c r="P7209" i="1" s="1"/>
  <c r="O7210" i="1"/>
  <c r="P7210" i="1" s="1"/>
  <c r="O7211" i="1"/>
  <c r="P7211" i="1" s="1"/>
  <c r="O7212" i="1"/>
  <c r="P7212" i="1" s="1"/>
  <c r="G7200" i="1"/>
  <c r="O7194" i="1"/>
  <c r="P7194" i="1" s="1"/>
  <c r="O7195" i="1"/>
  <c r="P7195" i="1" s="1"/>
  <c r="O7196" i="1"/>
  <c r="P7196" i="1" s="1"/>
  <c r="O7197" i="1"/>
  <c r="P7197" i="1" s="1"/>
  <c r="O7198" i="1"/>
  <c r="P7198" i="1" s="1"/>
  <c r="O7199" i="1"/>
  <c r="P7199" i="1" s="1"/>
  <c r="O7200" i="1"/>
  <c r="O7201" i="1"/>
  <c r="P7201" i="1" s="1"/>
  <c r="O7202" i="1"/>
  <c r="P7202" i="1" s="1"/>
  <c r="O7203" i="1"/>
  <c r="P7203" i="1" s="1"/>
  <c r="O7204" i="1"/>
  <c r="P7204" i="1" s="1"/>
  <c r="G7191" i="1"/>
  <c r="O7182" i="1"/>
  <c r="P7182" i="1" s="1"/>
  <c r="O7183" i="1"/>
  <c r="P7183" i="1" s="1"/>
  <c r="O7184" i="1"/>
  <c r="P7184" i="1" s="1"/>
  <c r="O7185" i="1"/>
  <c r="P7185" i="1" s="1"/>
  <c r="O7186" i="1"/>
  <c r="P7186" i="1" s="1"/>
  <c r="O7187" i="1"/>
  <c r="P7187" i="1" s="1"/>
  <c r="O7188" i="1"/>
  <c r="P7188" i="1" s="1"/>
  <c r="O7189" i="1"/>
  <c r="P7189" i="1" s="1"/>
  <c r="O7190" i="1"/>
  <c r="P7190" i="1" s="1"/>
  <c r="O7191" i="1"/>
  <c r="O7192" i="1"/>
  <c r="P7192" i="1" s="1"/>
  <c r="O7193" i="1"/>
  <c r="P7193" i="1" s="1"/>
  <c r="G7180" i="1"/>
  <c r="O7171" i="1"/>
  <c r="P7171" i="1" s="1"/>
  <c r="O7172" i="1"/>
  <c r="P7172" i="1" s="1"/>
  <c r="O7173" i="1"/>
  <c r="P7173" i="1" s="1"/>
  <c r="O7174" i="1"/>
  <c r="P7174" i="1" s="1"/>
  <c r="O7175" i="1"/>
  <c r="P7175" i="1" s="1"/>
  <c r="O7176" i="1"/>
  <c r="P7176" i="1" s="1"/>
  <c r="O7177" i="1"/>
  <c r="P7177" i="1" s="1"/>
  <c r="O7178" i="1"/>
  <c r="P7178" i="1" s="1"/>
  <c r="O7179" i="1"/>
  <c r="P7179" i="1" s="1"/>
  <c r="O7180" i="1"/>
  <c r="O7181" i="1"/>
  <c r="P7181" i="1" s="1"/>
  <c r="G7163" i="1"/>
  <c r="O7159" i="1"/>
  <c r="P7159" i="1" s="1"/>
  <c r="O7160" i="1"/>
  <c r="P7160" i="1" s="1"/>
  <c r="O7161" i="1"/>
  <c r="P7161" i="1" s="1"/>
  <c r="O7162" i="1"/>
  <c r="P7162" i="1" s="1"/>
  <c r="O7163" i="1"/>
  <c r="O7164" i="1"/>
  <c r="P7164" i="1" s="1"/>
  <c r="O7165" i="1"/>
  <c r="P7165" i="1" s="1"/>
  <c r="O7166" i="1"/>
  <c r="P7166" i="1" s="1"/>
  <c r="O7167" i="1"/>
  <c r="P7167" i="1" s="1"/>
  <c r="O7168" i="1"/>
  <c r="P7168" i="1" s="1"/>
  <c r="O7169" i="1"/>
  <c r="P7169" i="1" s="1"/>
  <c r="O7170" i="1"/>
  <c r="P7170" i="1" s="1"/>
  <c r="G7156" i="1"/>
  <c r="O7152" i="1"/>
  <c r="P7152" i="1" s="1"/>
  <c r="O7153" i="1"/>
  <c r="P7153" i="1" s="1"/>
  <c r="O7154" i="1"/>
  <c r="P7154" i="1" s="1"/>
  <c r="O7155" i="1"/>
  <c r="P7155" i="1" s="1"/>
  <c r="O7156" i="1"/>
  <c r="O7157" i="1"/>
  <c r="P7157" i="1" s="1"/>
  <c r="O7158" i="1"/>
  <c r="P7158" i="1" s="1"/>
  <c r="O7146" i="1"/>
  <c r="P7146" i="1" s="1"/>
  <c r="O7147" i="1"/>
  <c r="P7147" i="1" s="1"/>
  <c r="O7148" i="1"/>
  <c r="P7148" i="1" s="1"/>
  <c r="O7149" i="1"/>
  <c r="P7149" i="1" s="1"/>
  <c r="O7150" i="1"/>
  <c r="P7150" i="1" s="1"/>
  <c r="O7151" i="1"/>
  <c r="P7151" i="1" s="1"/>
  <c r="O7126" i="1"/>
  <c r="P7126" i="1" s="1"/>
  <c r="O7127" i="1"/>
  <c r="P7127" i="1" s="1"/>
  <c r="O7128" i="1"/>
  <c r="P7128" i="1" s="1"/>
  <c r="O7129" i="1"/>
  <c r="P7129" i="1" s="1"/>
  <c r="O7130" i="1"/>
  <c r="P7130" i="1" s="1"/>
  <c r="O7131" i="1"/>
  <c r="P7131" i="1" s="1"/>
  <c r="O7132" i="1"/>
  <c r="P7132" i="1" s="1"/>
  <c r="O7133" i="1"/>
  <c r="P7133" i="1" s="1"/>
  <c r="O7134" i="1"/>
  <c r="P7134" i="1" s="1"/>
  <c r="O7135" i="1"/>
  <c r="P7135" i="1" s="1"/>
  <c r="O7136" i="1"/>
  <c r="P7136" i="1" s="1"/>
  <c r="O7137" i="1"/>
  <c r="P7137" i="1" s="1"/>
  <c r="O7138" i="1"/>
  <c r="P7138" i="1" s="1"/>
  <c r="O7139" i="1"/>
  <c r="P7139" i="1" s="1"/>
  <c r="O7140" i="1"/>
  <c r="P7140" i="1" s="1"/>
  <c r="O7141" i="1"/>
  <c r="P7141" i="1" s="1"/>
  <c r="O7142" i="1"/>
  <c r="P7142" i="1" s="1"/>
  <c r="O7143" i="1"/>
  <c r="O7144" i="1"/>
  <c r="P7144" i="1" s="1"/>
  <c r="O7145" i="1"/>
  <c r="P7145" i="1" s="1"/>
  <c r="G7143" i="1"/>
  <c r="O7116" i="1"/>
  <c r="P7116" i="1" s="1"/>
  <c r="O7117" i="1"/>
  <c r="P7117" i="1" s="1"/>
  <c r="O7118" i="1"/>
  <c r="P7118" i="1" s="1"/>
  <c r="O7119" i="1"/>
  <c r="P7119" i="1" s="1"/>
  <c r="O7120" i="1"/>
  <c r="P7120" i="1" s="1"/>
  <c r="O7121" i="1"/>
  <c r="P7121" i="1" s="1"/>
  <c r="O7122" i="1"/>
  <c r="P7122" i="1" s="1"/>
  <c r="O7123" i="1"/>
  <c r="P7123" i="1" s="1"/>
  <c r="O7124" i="1"/>
  <c r="P7124" i="1" s="1"/>
  <c r="O7125" i="1"/>
  <c r="P7125" i="1" s="1"/>
  <c r="G7111" i="1"/>
  <c r="O7108" i="1"/>
  <c r="P7108" i="1" s="1"/>
  <c r="O7109" i="1"/>
  <c r="P7109" i="1" s="1"/>
  <c r="O7110" i="1"/>
  <c r="P7110" i="1" s="1"/>
  <c r="O7111" i="1"/>
  <c r="O7112" i="1"/>
  <c r="P7112" i="1" s="1"/>
  <c r="O7113" i="1"/>
  <c r="P7113" i="1" s="1"/>
  <c r="O7114" i="1"/>
  <c r="P7114" i="1" s="1"/>
  <c r="O7115" i="1"/>
  <c r="P7115" i="1" s="1"/>
  <c r="G7107" i="1"/>
  <c r="O7105" i="1"/>
  <c r="P7105" i="1" s="1"/>
  <c r="O7106" i="1"/>
  <c r="P7106" i="1" s="1"/>
  <c r="O7107" i="1"/>
  <c r="O7090" i="1"/>
  <c r="P7090" i="1" s="1"/>
  <c r="O7091" i="1"/>
  <c r="P7091" i="1" s="1"/>
  <c r="O7092" i="1"/>
  <c r="P7092" i="1" s="1"/>
  <c r="O7093" i="1"/>
  <c r="P7093" i="1" s="1"/>
  <c r="O7094" i="1"/>
  <c r="P7094" i="1" s="1"/>
  <c r="O7095" i="1"/>
  <c r="P7095" i="1" s="1"/>
  <c r="O7096" i="1"/>
  <c r="P7096" i="1" s="1"/>
  <c r="O7097" i="1"/>
  <c r="P7097" i="1" s="1"/>
  <c r="O7098" i="1"/>
  <c r="P7098" i="1" s="1"/>
  <c r="O7099" i="1"/>
  <c r="P7099" i="1" s="1"/>
  <c r="O7100" i="1"/>
  <c r="P7100" i="1" s="1"/>
  <c r="O7101" i="1"/>
  <c r="P7101" i="1" s="1"/>
  <c r="O7102" i="1"/>
  <c r="P7102" i="1" s="1"/>
  <c r="O7103" i="1"/>
  <c r="P7103" i="1" s="1"/>
  <c r="O7104" i="1"/>
  <c r="P7104" i="1" s="1"/>
  <c r="G7086" i="1"/>
  <c r="O7086" i="1"/>
  <c r="O7087" i="1"/>
  <c r="P7087" i="1" s="1"/>
  <c r="O7088" i="1"/>
  <c r="P7088" i="1" s="1"/>
  <c r="O7089" i="1"/>
  <c r="P7089" i="1" s="1"/>
  <c r="G7081" i="1"/>
  <c r="G7080" i="1"/>
  <c r="O7079" i="1"/>
  <c r="P7079" i="1" s="1"/>
  <c r="O7080" i="1"/>
  <c r="O7081" i="1"/>
  <c r="O7082" i="1"/>
  <c r="P7082" i="1" s="1"/>
  <c r="O7083" i="1"/>
  <c r="P7083" i="1" s="1"/>
  <c r="O7084" i="1"/>
  <c r="P7084" i="1" s="1"/>
  <c r="O7085" i="1"/>
  <c r="P7085" i="1" s="1"/>
  <c r="G7073" i="1"/>
  <c r="G7071" i="1"/>
  <c r="O7069" i="1"/>
  <c r="P7069" i="1" s="1"/>
  <c r="O7070" i="1"/>
  <c r="P7070" i="1" s="1"/>
  <c r="O7071" i="1"/>
  <c r="O7072" i="1"/>
  <c r="P7072" i="1" s="1"/>
  <c r="O7073" i="1"/>
  <c r="O7074" i="1"/>
  <c r="P7074" i="1" s="1"/>
  <c r="O7075" i="1"/>
  <c r="P7075" i="1" s="1"/>
  <c r="O7076" i="1"/>
  <c r="P7076" i="1" s="1"/>
  <c r="O7077" i="1"/>
  <c r="P7077" i="1" s="1"/>
  <c r="O7078" i="1"/>
  <c r="P7078" i="1" s="1"/>
  <c r="O7056" i="1"/>
  <c r="P7056" i="1" s="1"/>
  <c r="O7057" i="1"/>
  <c r="P7057" i="1" s="1"/>
  <c r="O7058" i="1"/>
  <c r="P7058" i="1" s="1"/>
  <c r="O7059" i="1"/>
  <c r="P7059" i="1" s="1"/>
  <c r="O7060" i="1"/>
  <c r="P7060" i="1" s="1"/>
  <c r="O7061" i="1"/>
  <c r="P7061" i="1" s="1"/>
  <c r="O7062" i="1"/>
  <c r="P7062" i="1" s="1"/>
  <c r="O7063" i="1"/>
  <c r="P7063" i="1" s="1"/>
  <c r="O7064" i="1"/>
  <c r="P7064" i="1" s="1"/>
  <c r="O7065" i="1"/>
  <c r="P7065" i="1" s="1"/>
  <c r="O7066" i="1"/>
  <c r="P7066" i="1" s="1"/>
  <c r="O7067" i="1"/>
  <c r="P7067" i="1" s="1"/>
  <c r="O7068" i="1"/>
  <c r="P7068" i="1" s="1"/>
  <c r="O7047" i="1"/>
  <c r="P7047" i="1" s="1"/>
  <c r="O7048" i="1"/>
  <c r="P7048" i="1" s="1"/>
  <c r="O7049" i="1"/>
  <c r="P7049" i="1" s="1"/>
  <c r="O7050" i="1"/>
  <c r="P7050" i="1" s="1"/>
  <c r="O7051" i="1"/>
  <c r="P7051" i="1" s="1"/>
  <c r="O7052" i="1"/>
  <c r="P7052" i="1" s="1"/>
  <c r="O7053" i="1"/>
  <c r="P7053" i="1" s="1"/>
  <c r="O7054" i="1"/>
  <c r="P7054" i="1" s="1"/>
  <c r="O7055" i="1"/>
  <c r="P7055" i="1" s="1"/>
  <c r="G7046" i="1"/>
  <c r="G7041" i="1"/>
  <c r="O7040" i="1"/>
  <c r="P7040" i="1" s="1"/>
  <c r="O7041" i="1"/>
  <c r="O7042" i="1"/>
  <c r="P7042" i="1" s="1"/>
  <c r="O7043" i="1"/>
  <c r="P7043" i="1" s="1"/>
  <c r="O7044" i="1"/>
  <c r="P7044" i="1" s="1"/>
  <c r="O7045" i="1"/>
  <c r="P7045" i="1" s="1"/>
  <c r="O7046" i="1"/>
  <c r="G7036" i="1"/>
  <c r="O7030" i="1"/>
  <c r="P7030" i="1" s="1"/>
  <c r="O7031" i="1"/>
  <c r="P7031" i="1" s="1"/>
  <c r="O7032" i="1"/>
  <c r="P7032" i="1" s="1"/>
  <c r="O7033" i="1"/>
  <c r="P7033" i="1" s="1"/>
  <c r="O7034" i="1"/>
  <c r="P7034" i="1" s="1"/>
  <c r="O7035" i="1"/>
  <c r="P7035" i="1" s="1"/>
  <c r="O7036" i="1"/>
  <c r="O7037" i="1"/>
  <c r="P7037" i="1" s="1"/>
  <c r="O7038" i="1"/>
  <c r="P7038" i="1" s="1"/>
  <c r="O7039" i="1"/>
  <c r="P7039" i="1" s="1"/>
  <c r="G7027" i="1"/>
  <c r="O7022" i="1"/>
  <c r="P7022" i="1" s="1"/>
  <c r="O7023" i="1"/>
  <c r="P7023" i="1" s="1"/>
  <c r="O7024" i="1"/>
  <c r="P7024" i="1" s="1"/>
  <c r="O7025" i="1"/>
  <c r="P7025" i="1" s="1"/>
  <c r="O7026" i="1"/>
  <c r="P7026" i="1" s="1"/>
  <c r="O7027" i="1"/>
  <c r="O7028" i="1"/>
  <c r="P7028" i="1" s="1"/>
  <c r="O7029" i="1"/>
  <c r="P7029" i="1" s="1"/>
  <c r="O7014" i="1"/>
  <c r="P7014" i="1" s="1"/>
  <c r="O7015" i="1"/>
  <c r="P7015" i="1" s="1"/>
  <c r="O7016" i="1"/>
  <c r="P7016" i="1" s="1"/>
  <c r="O7017" i="1"/>
  <c r="P7017" i="1" s="1"/>
  <c r="O7018" i="1"/>
  <c r="P7018" i="1" s="1"/>
  <c r="O7019" i="1"/>
  <c r="P7019" i="1" s="1"/>
  <c r="O7020" i="1"/>
  <c r="P7020" i="1" s="1"/>
  <c r="O7021" i="1"/>
  <c r="P7021" i="1" s="1"/>
  <c r="G7010" i="1"/>
  <c r="O7004" i="1"/>
  <c r="P7004" i="1" s="1"/>
  <c r="O7005" i="1"/>
  <c r="P7005" i="1" s="1"/>
  <c r="O7006" i="1"/>
  <c r="P7006" i="1" s="1"/>
  <c r="O7007" i="1"/>
  <c r="P7007" i="1" s="1"/>
  <c r="O7008" i="1"/>
  <c r="P7008" i="1" s="1"/>
  <c r="O7009" i="1"/>
  <c r="P7009" i="1" s="1"/>
  <c r="O7010" i="1"/>
  <c r="O7011" i="1"/>
  <c r="P7011" i="1" s="1"/>
  <c r="O7012" i="1"/>
  <c r="P7012" i="1" s="1"/>
  <c r="O7013" i="1"/>
  <c r="P7013" i="1" s="1"/>
  <c r="G7001" i="1"/>
  <c r="O6997" i="1"/>
  <c r="P6997" i="1" s="1"/>
  <c r="O6998" i="1"/>
  <c r="P6998" i="1" s="1"/>
  <c r="O6999" i="1"/>
  <c r="P6999" i="1" s="1"/>
  <c r="O7000" i="1"/>
  <c r="P7000" i="1" s="1"/>
  <c r="O7001" i="1"/>
  <c r="O7002" i="1"/>
  <c r="P7002" i="1" s="1"/>
  <c r="O7003" i="1"/>
  <c r="P7003" i="1" s="1"/>
  <c r="G6994" i="1"/>
  <c r="G6989" i="1"/>
  <c r="O6986" i="1"/>
  <c r="P6986" i="1" s="1"/>
  <c r="O6987" i="1"/>
  <c r="P6987" i="1" s="1"/>
  <c r="O6988" i="1"/>
  <c r="P6988" i="1" s="1"/>
  <c r="O6989" i="1"/>
  <c r="O6990" i="1"/>
  <c r="P6990" i="1" s="1"/>
  <c r="O6991" i="1"/>
  <c r="P6991" i="1" s="1"/>
  <c r="O6992" i="1"/>
  <c r="P6992" i="1" s="1"/>
  <c r="O6993" i="1"/>
  <c r="P6993" i="1" s="1"/>
  <c r="O6994" i="1"/>
  <c r="O6995" i="1"/>
  <c r="P6995" i="1" s="1"/>
  <c r="O6996" i="1"/>
  <c r="P6996" i="1" s="1"/>
  <c r="G6980" i="1"/>
  <c r="O6969" i="1"/>
  <c r="P6969" i="1" s="1"/>
  <c r="O6970" i="1"/>
  <c r="P6970" i="1" s="1"/>
  <c r="O6971" i="1"/>
  <c r="P6971" i="1" s="1"/>
  <c r="O6972" i="1"/>
  <c r="P6972" i="1" s="1"/>
  <c r="O6973" i="1"/>
  <c r="P6973" i="1" s="1"/>
  <c r="O6974" i="1"/>
  <c r="P6974" i="1" s="1"/>
  <c r="O6975" i="1"/>
  <c r="P6975" i="1" s="1"/>
  <c r="O6976" i="1"/>
  <c r="P6976" i="1" s="1"/>
  <c r="O6977" i="1"/>
  <c r="P6977" i="1" s="1"/>
  <c r="O6978" i="1"/>
  <c r="P6978" i="1" s="1"/>
  <c r="O6979" i="1"/>
  <c r="P6979" i="1" s="1"/>
  <c r="O6980" i="1"/>
  <c r="O6981" i="1"/>
  <c r="P6981" i="1" s="1"/>
  <c r="O6982" i="1"/>
  <c r="P6982" i="1" s="1"/>
  <c r="O6983" i="1"/>
  <c r="P6983" i="1" s="1"/>
  <c r="O6984" i="1"/>
  <c r="P6984" i="1" s="1"/>
  <c r="O6985" i="1"/>
  <c r="P6985" i="1" s="1"/>
  <c r="G6963" i="1"/>
  <c r="O6963" i="1"/>
  <c r="O6964" i="1"/>
  <c r="P6964" i="1" s="1"/>
  <c r="O6965" i="1"/>
  <c r="P6965" i="1" s="1"/>
  <c r="O6966" i="1"/>
  <c r="P6966" i="1" s="1"/>
  <c r="O6967" i="1"/>
  <c r="P6967" i="1" s="1"/>
  <c r="O6968" i="1"/>
  <c r="P6968" i="1" s="1"/>
  <c r="O6950" i="1"/>
  <c r="P6950" i="1" s="1"/>
  <c r="O6951" i="1"/>
  <c r="P6951" i="1" s="1"/>
  <c r="O6952" i="1"/>
  <c r="P6952" i="1" s="1"/>
  <c r="O6953" i="1"/>
  <c r="P6953" i="1" s="1"/>
  <c r="O6954" i="1"/>
  <c r="P6954" i="1" s="1"/>
  <c r="O6955" i="1"/>
  <c r="P6955" i="1" s="1"/>
  <c r="O6956" i="1"/>
  <c r="P6956" i="1" s="1"/>
  <c r="O6957" i="1"/>
  <c r="P6957" i="1" s="1"/>
  <c r="O6958" i="1"/>
  <c r="P6958" i="1" s="1"/>
  <c r="O6959" i="1"/>
  <c r="P6959" i="1" s="1"/>
  <c r="O6960" i="1"/>
  <c r="P6960" i="1" s="1"/>
  <c r="O6961" i="1"/>
  <c r="P6961" i="1" s="1"/>
  <c r="O6962" i="1"/>
  <c r="P6962" i="1" s="1"/>
  <c r="O6915" i="1"/>
  <c r="P6915" i="1" s="1"/>
  <c r="O6916" i="1"/>
  <c r="P6916" i="1" s="1"/>
  <c r="O6917" i="1"/>
  <c r="P6917" i="1" s="1"/>
  <c r="O6918" i="1"/>
  <c r="P6918" i="1" s="1"/>
  <c r="O6919" i="1"/>
  <c r="P6919" i="1" s="1"/>
  <c r="O6920" i="1"/>
  <c r="P6920" i="1" s="1"/>
  <c r="O6921" i="1"/>
  <c r="P6921" i="1" s="1"/>
  <c r="O6922" i="1"/>
  <c r="P6922" i="1" s="1"/>
  <c r="O6923" i="1"/>
  <c r="O6924" i="1"/>
  <c r="P6924" i="1" s="1"/>
  <c r="O6925" i="1"/>
  <c r="P6925" i="1" s="1"/>
  <c r="O6926" i="1"/>
  <c r="O6927" i="1"/>
  <c r="P6927" i="1" s="1"/>
  <c r="O6928" i="1"/>
  <c r="P6928" i="1" s="1"/>
  <c r="O6929" i="1"/>
  <c r="P6929" i="1" s="1"/>
  <c r="O6930" i="1"/>
  <c r="P6930" i="1" s="1"/>
  <c r="O6931" i="1"/>
  <c r="P6931" i="1" s="1"/>
  <c r="O6932" i="1"/>
  <c r="P6932" i="1" s="1"/>
  <c r="O6933" i="1"/>
  <c r="P6933" i="1" s="1"/>
  <c r="O6934" i="1"/>
  <c r="P6934" i="1" s="1"/>
  <c r="O6935" i="1"/>
  <c r="P6935" i="1" s="1"/>
  <c r="O6936" i="1"/>
  <c r="P6936" i="1" s="1"/>
  <c r="O6937" i="1"/>
  <c r="P6937" i="1" s="1"/>
  <c r="O6938" i="1"/>
  <c r="P6938" i="1" s="1"/>
  <c r="O6939" i="1"/>
  <c r="P6939" i="1" s="1"/>
  <c r="O6940" i="1"/>
  <c r="P6940" i="1" s="1"/>
  <c r="O6941" i="1"/>
  <c r="P6941" i="1" s="1"/>
  <c r="O6942" i="1"/>
  <c r="P6942" i="1" s="1"/>
  <c r="O6943" i="1"/>
  <c r="P6943" i="1" s="1"/>
  <c r="O6944" i="1"/>
  <c r="P6944" i="1" s="1"/>
  <c r="O6945" i="1"/>
  <c r="P6945" i="1" s="1"/>
  <c r="O6946" i="1"/>
  <c r="P6946" i="1" s="1"/>
  <c r="O6947" i="1"/>
  <c r="P6947" i="1" s="1"/>
  <c r="O6948" i="1"/>
  <c r="P6948" i="1" s="1"/>
  <c r="O6949" i="1"/>
  <c r="P6949" i="1" s="1"/>
  <c r="G6926" i="1"/>
  <c r="G6923" i="1"/>
  <c r="O6914" i="1"/>
  <c r="P6914" i="1" s="1"/>
  <c r="O6913" i="1"/>
  <c r="P6913" i="1" s="1"/>
  <c r="O6912" i="1"/>
  <c r="O6911" i="1"/>
  <c r="P6911" i="1" s="1"/>
  <c r="O6910" i="1"/>
  <c r="P6910" i="1" s="1"/>
  <c r="O6909" i="1"/>
  <c r="P6909" i="1" s="1"/>
  <c r="O6908" i="1"/>
  <c r="P6908" i="1" s="1"/>
  <c r="O6907" i="1"/>
  <c r="P6907" i="1" s="1"/>
  <c r="O6906" i="1"/>
  <c r="P6906" i="1" s="1"/>
  <c r="O6905" i="1"/>
  <c r="P6905" i="1" s="1"/>
  <c r="O6904" i="1"/>
  <c r="O6903" i="1"/>
  <c r="P6903" i="1" s="1"/>
  <c r="O6902" i="1"/>
  <c r="P6902" i="1" s="1"/>
  <c r="O6901" i="1"/>
  <c r="P6901" i="1" s="1"/>
  <c r="O6900" i="1"/>
  <c r="G6912" i="1"/>
  <c r="G6900" i="1"/>
  <c r="G6904" i="1"/>
  <c r="G6898" i="1"/>
  <c r="O6890" i="1"/>
  <c r="P6890" i="1" s="1"/>
  <c r="O6891" i="1"/>
  <c r="P6891" i="1" s="1"/>
  <c r="O6892" i="1"/>
  <c r="P6892" i="1" s="1"/>
  <c r="O6893" i="1"/>
  <c r="P6893" i="1" s="1"/>
  <c r="O6894" i="1"/>
  <c r="P6894" i="1" s="1"/>
  <c r="O6895" i="1"/>
  <c r="P6895" i="1" s="1"/>
  <c r="O6896" i="1"/>
  <c r="P6896" i="1" s="1"/>
  <c r="O6897" i="1"/>
  <c r="P6897" i="1" s="1"/>
  <c r="O6898" i="1"/>
  <c r="O6899" i="1"/>
  <c r="P6899" i="1" s="1"/>
  <c r="O6884" i="1"/>
  <c r="P6884" i="1" s="1"/>
  <c r="O6885" i="1"/>
  <c r="P6885" i="1" s="1"/>
  <c r="O6886" i="1"/>
  <c r="P6886" i="1" s="1"/>
  <c r="O6887" i="1"/>
  <c r="P6887" i="1" s="1"/>
  <c r="O6888" i="1"/>
  <c r="P6888" i="1" s="1"/>
  <c r="O6889" i="1"/>
  <c r="P6889" i="1" s="1"/>
  <c r="G6879" i="1"/>
  <c r="G6880" i="1"/>
  <c r="G6876" i="1"/>
  <c r="O6875" i="1"/>
  <c r="P6875" i="1" s="1"/>
  <c r="O6876" i="1"/>
  <c r="O6877" i="1"/>
  <c r="P6877" i="1" s="1"/>
  <c r="O6878" i="1"/>
  <c r="P6878" i="1" s="1"/>
  <c r="O6879" i="1"/>
  <c r="O6880" i="1"/>
  <c r="O6881" i="1"/>
  <c r="P6881" i="1" s="1"/>
  <c r="O6882" i="1"/>
  <c r="P6882" i="1" s="1"/>
  <c r="O6883" i="1"/>
  <c r="P6883" i="1" s="1"/>
  <c r="O6864" i="1"/>
  <c r="P6864" i="1" s="1"/>
  <c r="O6865" i="1"/>
  <c r="P6865" i="1" s="1"/>
  <c r="O6866" i="1"/>
  <c r="P6866" i="1" s="1"/>
  <c r="O6867" i="1"/>
  <c r="P6867" i="1" s="1"/>
  <c r="O6868" i="1"/>
  <c r="P6868" i="1" s="1"/>
  <c r="O6869" i="1"/>
  <c r="P6869" i="1" s="1"/>
  <c r="O6870" i="1"/>
  <c r="P6870" i="1" s="1"/>
  <c r="O6871" i="1"/>
  <c r="P6871" i="1" s="1"/>
  <c r="O6872" i="1"/>
  <c r="P6872" i="1" s="1"/>
  <c r="O6873" i="1"/>
  <c r="P6873" i="1" s="1"/>
  <c r="O6874" i="1"/>
  <c r="P6874" i="1" s="1"/>
  <c r="O6859" i="1"/>
  <c r="P6859" i="1" s="1"/>
  <c r="O6860" i="1"/>
  <c r="P6860" i="1" s="1"/>
  <c r="O6861" i="1"/>
  <c r="P6861" i="1" s="1"/>
  <c r="O6862" i="1"/>
  <c r="P6862" i="1" s="1"/>
  <c r="O6863" i="1"/>
  <c r="P6863" i="1" s="1"/>
  <c r="O6852" i="1"/>
  <c r="P6852" i="1" s="1"/>
  <c r="O6853" i="1"/>
  <c r="P6853" i="1" s="1"/>
  <c r="O6854" i="1"/>
  <c r="P6854" i="1" s="1"/>
  <c r="O6855" i="1"/>
  <c r="P6855" i="1" s="1"/>
  <c r="O6856" i="1"/>
  <c r="P6856" i="1" s="1"/>
  <c r="O6857" i="1"/>
  <c r="P6857" i="1" s="1"/>
  <c r="O6858" i="1"/>
  <c r="P6858" i="1" s="1"/>
  <c r="G6847" i="1"/>
  <c r="G6846" i="1"/>
  <c r="O6845" i="1"/>
  <c r="P6845" i="1" s="1"/>
  <c r="O6846" i="1"/>
  <c r="O6847" i="1"/>
  <c r="O6848" i="1"/>
  <c r="P6848" i="1" s="1"/>
  <c r="O6849" i="1"/>
  <c r="P6849" i="1" s="1"/>
  <c r="O6850" i="1"/>
  <c r="P6850" i="1" s="1"/>
  <c r="O6851" i="1"/>
  <c r="P6851" i="1" s="1"/>
  <c r="G6843" i="1"/>
  <c r="G6841" i="1"/>
  <c r="O6839" i="1"/>
  <c r="P6839" i="1" s="1"/>
  <c r="O6840" i="1"/>
  <c r="P6840" i="1" s="1"/>
  <c r="O6841" i="1"/>
  <c r="O6842" i="1"/>
  <c r="P6842" i="1" s="1"/>
  <c r="O6843" i="1"/>
  <c r="O6844" i="1"/>
  <c r="P6844" i="1" s="1"/>
  <c r="G6832" i="1"/>
  <c r="O6829" i="1"/>
  <c r="P6829" i="1" s="1"/>
  <c r="O6830" i="1"/>
  <c r="P6830" i="1" s="1"/>
  <c r="O6831" i="1"/>
  <c r="P6831" i="1" s="1"/>
  <c r="O6832" i="1"/>
  <c r="O6833" i="1"/>
  <c r="P6833" i="1" s="1"/>
  <c r="O6834" i="1"/>
  <c r="P6834" i="1" s="1"/>
  <c r="O6835" i="1"/>
  <c r="P6835" i="1" s="1"/>
  <c r="O6836" i="1"/>
  <c r="P6836" i="1" s="1"/>
  <c r="O6837" i="1"/>
  <c r="P6837" i="1" s="1"/>
  <c r="O6838" i="1"/>
  <c r="P6838" i="1" s="1"/>
  <c r="O6825" i="1"/>
  <c r="P6825" i="1" s="1"/>
  <c r="O6826" i="1"/>
  <c r="P6826" i="1" s="1"/>
  <c r="O6827" i="1"/>
  <c r="P6827" i="1" s="1"/>
  <c r="O6828" i="1"/>
  <c r="P6828" i="1" s="1"/>
  <c r="O6808" i="1"/>
  <c r="P6808" i="1" s="1"/>
  <c r="O6809" i="1"/>
  <c r="P6809" i="1" s="1"/>
  <c r="O6810" i="1"/>
  <c r="P6810" i="1" s="1"/>
  <c r="O6811" i="1"/>
  <c r="P6811" i="1" s="1"/>
  <c r="O6812" i="1"/>
  <c r="P6812" i="1" s="1"/>
  <c r="O6813" i="1"/>
  <c r="P6813" i="1" s="1"/>
  <c r="O6814" i="1"/>
  <c r="P6814" i="1" s="1"/>
  <c r="O6815" i="1"/>
  <c r="P6815" i="1" s="1"/>
  <c r="O6816" i="1"/>
  <c r="P6816" i="1" s="1"/>
  <c r="O6817" i="1"/>
  <c r="P6817" i="1" s="1"/>
  <c r="O6818" i="1"/>
  <c r="P6818" i="1" s="1"/>
  <c r="O6819" i="1"/>
  <c r="P6819" i="1" s="1"/>
  <c r="O6820" i="1"/>
  <c r="P6820" i="1" s="1"/>
  <c r="O6821" i="1"/>
  <c r="P6821" i="1" s="1"/>
  <c r="O6822" i="1"/>
  <c r="P6822" i="1" s="1"/>
  <c r="O6823" i="1"/>
  <c r="P6823" i="1" s="1"/>
  <c r="O6824" i="1"/>
  <c r="P6824" i="1" s="1"/>
  <c r="G6806" i="1"/>
  <c r="O6798" i="1"/>
  <c r="P6798" i="1" s="1"/>
  <c r="O6799" i="1"/>
  <c r="P6799" i="1" s="1"/>
  <c r="O6800" i="1"/>
  <c r="P6800" i="1" s="1"/>
  <c r="O6801" i="1"/>
  <c r="P6801" i="1" s="1"/>
  <c r="O6802" i="1"/>
  <c r="P6802" i="1" s="1"/>
  <c r="O6803" i="1"/>
  <c r="P6803" i="1" s="1"/>
  <c r="O6804" i="1"/>
  <c r="P6804" i="1" s="1"/>
  <c r="O6805" i="1"/>
  <c r="P6805" i="1" s="1"/>
  <c r="O6806" i="1"/>
  <c r="O6807" i="1"/>
  <c r="P6807" i="1" s="1"/>
  <c r="O6789" i="1"/>
  <c r="P6789" i="1" s="1"/>
  <c r="O6790" i="1"/>
  <c r="P6790" i="1" s="1"/>
  <c r="O6791" i="1"/>
  <c r="P6791" i="1" s="1"/>
  <c r="O6792" i="1"/>
  <c r="P6792" i="1" s="1"/>
  <c r="O6793" i="1"/>
  <c r="P6793" i="1" s="1"/>
  <c r="O6794" i="1"/>
  <c r="P6794" i="1" s="1"/>
  <c r="O6795" i="1"/>
  <c r="P6795" i="1" s="1"/>
  <c r="O6796" i="1"/>
  <c r="P6796" i="1" s="1"/>
  <c r="O6797" i="1"/>
  <c r="P6797" i="1" s="1"/>
  <c r="O6779" i="1"/>
  <c r="P6779" i="1" s="1"/>
  <c r="O6780" i="1"/>
  <c r="P6780" i="1" s="1"/>
  <c r="O6781" i="1"/>
  <c r="P6781" i="1" s="1"/>
  <c r="O6782" i="1"/>
  <c r="P6782" i="1" s="1"/>
  <c r="O6783" i="1"/>
  <c r="P6783" i="1" s="1"/>
  <c r="O6784" i="1"/>
  <c r="P6784" i="1" s="1"/>
  <c r="O6785" i="1"/>
  <c r="P6785" i="1" s="1"/>
  <c r="O6786" i="1"/>
  <c r="P6786" i="1" s="1"/>
  <c r="O6787" i="1"/>
  <c r="P6787" i="1" s="1"/>
  <c r="O6788" i="1"/>
  <c r="P6788" i="1" s="1"/>
  <c r="O6770" i="1"/>
  <c r="P6770" i="1" s="1"/>
  <c r="O6771" i="1"/>
  <c r="P6771" i="1" s="1"/>
  <c r="O6772" i="1"/>
  <c r="P6772" i="1" s="1"/>
  <c r="O6773" i="1"/>
  <c r="P6773" i="1" s="1"/>
  <c r="O6774" i="1"/>
  <c r="P6774" i="1" s="1"/>
  <c r="O6775" i="1"/>
  <c r="P6775" i="1" s="1"/>
  <c r="O6776" i="1"/>
  <c r="P6776" i="1" s="1"/>
  <c r="O6777" i="1"/>
  <c r="P6777" i="1" s="1"/>
  <c r="O6778" i="1"/>
  <c r="P6778" i="1" s="1"/>
  <c r="G6767" i="1"/>
  <c r="G6764" i="1"/>
  <c r="G6761" i="1"/>
  <c r="O6760" i="1"/>
  <c r="P6760" i="1" s="1"/>
  <c r="O6761" i="1"/>
  <c r="O6762" i="1"/>
  <c r="P6762" i="1" s="1"/>
  <c r="O6763" i="1"/>
  <c r="P6763" i="1" s="1"/>
  <c r="O6764" i="1"/>
  <c r="O6765" i="1"/>
  <c r="P6765" i="1" s="1"/>
  <c r="O6766" i="1"/>
  <c r="P6766" i="1" s="1"/>
  <c r="O6767" i="1"/>
  <c r="O6768" i="1"/>
  <c r="P6768" i="1" s="1"/>
  <c r="O6769" i="1"/>
  <c r="P6769" i="1" s="1"/>
  <c r="G6759" i="1"/>
  <c r="G6755" i="1"/>
  <c r="P7781" i="1" l="1"/>
  <c r="P7768" i="1"/>
  <c r="P7775" i="1"/>
  <c r="P7751" i="1"/>
  <c r="P7773" i="1"/>
  <c r="P7770" i="1"/>
  <c r="P7718" i="1"/>
  <c r="P7757" i="1"/>
  <c r="P7742" i="1"/>
  <c r="P7749" i="1"/>
  <c r="P7740" i="1"/>
  <c r="P7730" i="1"/>
  <c r="P7722" i="1"/>
  <c r="P7681" i="1"/>
  <c r="P7716" i="1"/>
  <c r="P7710" i="1"/>
  <c r="P7706" i="1"/>
  <c r="P7672" i="1"/>
  <c r="P7670" i="1"/>
  <c r="P7645" i="1"/>
  <c r="P7605" i="1"/>
  <c r="P6923" i="1"/>
  <c r="P7589" i="1"/>
  <c r="P7250" i="1"/>
  <c r="P7590" i="1"/>
  <c r="P7526" i="1"/>
  <c r="P7523" i="1"/>
  <c r="P7511" i="1"/>
  <c r="P7477" i="1"/>
  <c r="P7492" i="1"/>
  <c r="P7488" i="1"/>
  <c r="P7453" i="1"/>
  <c r="P7467" i="1"/>
  <c r="P7456" i="1"/>
  <c r="P7404" i="1"/>
  <c r="P7395" i="1"/>
  <c r="P7349" i="1"/>
  <c r="P7361" i="1"/>
  <c r="P7328" i="1"/>
  <c r="P7337" i="1"/>
  <c r="P7308" i="1"/>
  <c r="P7335" i="1"/>
  <c r="P7321" i="1"/>
  <c r="P7315" i="1"/>
  <c r="P7320" i="1"/>
  <c r="P7319" i="1"/>
  <c r="P7292" i="1"/>
  <c r="P7301" i="1"/>
  <c r="P7296" i="1"/>
  <c r="P7284" i="1"/>
  <c r="P7246" i="1"/>
  <c r="P7200" i="1"/>
  <c r="P7249" i="1"/>
  <c r="P7180" i="1"/>
  <c r="P7242" i="1"/>
  <c r="P7241" i="1"/>
  <c r="P7236" i="1"/>
  <c r="P7217" i="1"/>
  <c r="P7219" i="1"/>
  <c r="P7107" i="1"/>
  <c r="P7191" i="1"/>
  <c r="P7163" i="1"/>
  <c r="P7156" i="1"/>
  <c r="P7143" i="1"/>
  <c r="P7111" i="1"/>
  <c r="P7080" i="1"/>
  <c r="P7086" i="1"/>
  <c r="P7073" i="1"/>
  <c r="P7081" i="1"/>
  <c r="P7071" i="1"/>
  <c r="P7046" i="1"/>
  <c r="P7027" i="1"/>
  <c r="P7041" i="1"/>
  <c r="P7036" i="1"/>
  <c r="P7001" i="1"/>
  <c r="P7010" i="1"/>
  <c r="P6994" i="1"/>
  <c r="P6980" i="1"/>
  <c r="P6989" i="1"/>
  <c r="P6926" i="1"/>
  <c r="P6963" i="1"/>
  <c r="P6900" i="1"/>
  <c r="P6904" i="1"/>
  <c r="P6912" i="1"/>
  <c r="P6898" i="1"/>
  <c r="P6879" i="1"/>
  <c r="P6880" i="1"/>
  <c r="P6876" i="1"/>
  <c r="P6847" i="1"/>
  <c r="P6846" i="1"/>
  <c r="P6843" i="1"/>
  <c r="P6841" i="1"/>
  <c r="P6832" i="1"/>
  <c r="P6806" i="1"/>
  <c r="P6764" i="1"/>
  <c r="P6767" i="1"/>
  <c r="P6761" i="1"/>
  <c r="O6752" i="1"/>
  <c r="P6752" i="1" s="1"/>
  <c r="O6753" i="1"/>
  <c r="P6753" i="1" s="1"/>
  <c r="O6754" i="1"/>
  <c r="P6754" i="1" s="1"/>
  <c r="O6755" i="1"/>
  <c r="P6755" i="1" s="1"/>
  <c r="O6756" i="1"/>
  <c r="P6756" i="1" s="1"/>
  <c r="O6757" i="1"/>
  <c r="P6757" i="1" s="1"/>
  <c r="O6758" i="1"/>
  <c r="P6758" i="1" s="1"/>
  <c r="O6759" i="1"/>
  <c r="P6759" i="1" s="1"/>
  <c r="G6748" i="1"/>
  <c r="O6742" i="1"/>
  <c r="P6742" i="1" s="1"/>
  <c r="O6743" i="1"/>
  <c r="P6743" i="1" s="1"/>
  <c r="O6744" i="1"/>
  <c r="P6744" i="1" s="1"/>
  <c r="O6745" i="1"/>
  <c r="P6745" i="1" s="1"/>
  <c r="O6746" i="1"/>
  <c r="P6746" i="1" s="1"/>
  <c r="O6747" i="1"/>
  <c r="P6747" i="1" s="1"/>
  <c r="O6748" i="1"/>
  <c r="O6749" i="1"/>
  <c r="P6749" i="1" s="1"/>
  <c r="O6750" i="1"/>
  <c r="P6750" i="1" s="1"/>
  <c r="O6751" i="1"/>
  <c r="P6751" i="1" s="1"/>
  <c r="G6734" i="1"/>
  <c r="O6733" i="1"/>
  <c r="P6733" i="1" s="1"/>
  <c r="O6734" i="1"/>
  <c r="O6735" i="1"/>
  <c r="P6735" i="1" s="1"/>
  <c r="O6736" i="1"/>
  <c r="P6736" i="1" s="1"/>
  <c r="O6737" i="1"/>
  <c r="P6737" i="1" s="1"/>
  <c r="O6738" i="1"/>
  <c r="P6738" i="1" s="1"/>
  <c r="O6739" i="1"/>
  <c r="P6739" i="1" s="1"/>
  <c r="O6740" i="1"/>
  <c r="P6740" i="1" s="1"/>
  <c r="O6741" i="1"/>
  <c r="P6741" i="1" s="1"/>
  <c r="T6733" i="1"/>
  <c r="U6733" i="1"/>
  <c r="T6734" i="1"/>
  <c r="U6734" i="1"/>
  <c r="T6735" i="1"/>
  <c r="U6735" i="1"/>
  <c r="T6736" i="1"/>
  <c r="U6736" i="1"/>
  <c r="T6737" i="1"/>
  <c r="U6737" i="1"/>
  <c r="T6738" i="1"/>
  <c r="U6738" i="1"/>
  <c r="T6739" i="1"/>
  <c r="U6739" i="1"/>
  <c r="T6740" i="1"/>
  <c r="U6740" i="1"/>
  <c r="T6741" i="1"/>
  <c r="U6741" i="1"/>
  <c r="G6728" i="1"/>
  <c r="G6723" i="1"/>
  <c r="O6723" i="1"/>
  <c r="O6724" i="1"/>
  <c r="P6724" i="1" s="1"/>
  <c r="O6725" i="1"/>
  <c r="P6725" i="1" s="1"/>
  <c r="O6726" i="1"/>
  <c r="P6726" i="1" s="1"/>
  <c r="O6727" i="1"/>
  <c r="P6727" i="1" s="1"/>
  <c r="O6728" i="1"/>
  <c r="O6729" i="1"/>
  <c r="P6729" i="1" s="1"/>
  <c r="O6730" i="1"/>
  <c r="P6730" i="1" s="1"/>
  <c r="O6731" i="1"/>
  <c r="P6731" i="1" s="1"/>
  <c r="O6732" i="1"/>
  <c r="P6732" i="1" s="1"/>
  <c r="O6717" i="1"/>
  <c r="P6717" i="1" s="1"/>
  <c r="O6718" i="1"/>
  <c r="P6718" i="1" s="1"/>
  <c r="O6719" i="1"/>
  <c r="P6719" i="1" s="1"/>
  <c r="O6720" i="1"/>
  <c r="P6720" i="1" s="1"/>
  <c r="O6721" i="1"/>
  <c r="P6721" i="1" s="1"/>
  <c r="O6722" i="1"/>
  <c r="P6722" i="1" s="1"/>
  <c r="O6709" i="1"/>
  <c r="P6709" i="1" s="1"/>
  <c r="O6710" i="1"/>
  <c r="P6710" i="1" s="1"/>
  <c r="O6711" i="1"/>
  <c r="P6711" i="1" s="1"/>
  <c r="O6712" i="1"/>
  <c r="P6712" i="1" s="1"/>
  <c r="O6713" i="1"/>
  <c r="P6713" i="1" s="1"/>
  <c r="O6714" i="1"/>
  <c r="P6714" i="1" s="1"/>
  <c r="O6715" i="1"/>
  <c r="P6715" i="1" s="1"/>
  <c r="O6716" i="1"/>
  <c r="P6716" i="1" s="1"/>
  <c r="O6700" i="1"/>
  <c r="P6700" i="1" s="1"/>
  <c r="O6701" i="1"/>
  <c r="P6701" i="1" s="1"/>
  <c r="O6702" i="1"/>
  <c r="P6702" i="1" s="1"/>
  <c r="O6703" i="1"/>
  <c r="P6703" i="1" s="1"/>
  <c r="O6704" i="1"/>
  <c r="P6704" i="1" s="1"/>
  <c r="O6705" i="1"/>
  <c r="P6705" i="1" s="1"/>
  <c r="O6706" i="1"/>
  <c r="P6706" i="1" s="1"/>
  <c r="O6707" i="1"/>
  <c r="P6707" i="1" s="1"/>
  <c r="O6708" i="1"/>
  <c r="P6708" i="1" s="1"/>
  <c r="O6692" i="1"/>
  <c r="P6692" i="1" s="1"/>
  <c r="O6693" i="1"/>
  <c r="P6693" i="1" s="1"/>
  <c r="O6694" i="1"/>
  <c r="P6694" i="1" s="1"/>
  <c r="O6695" i="1"/>
  <c r="P6695" i="1" s="1"/>
  <c r="O6696" i="1"/>
  <c r="P6696" i="1" s="1"/>
  <c r="O6697" i="1"/>
  <c r="P6697" i="1" s="1"/>
  <c r="O6698" i="1"/>
  <c r="P6698" i="1" s="1"/>
  <c r="O6699" i="1"/>
  <c r="P6699" i="1" s="1"/>
  <c r="G6687" i="1"/>
  <c r="G6686" i="1"/>
  <c r="O6682" i="1"/>
  <c r="P6682" i="1" s="1"/>
  <c r="O6683" i="1"/>
  <c r="P6683" i="1" s="1"/>
  <c r="O6684" i="1"/>
  <c r="P6684" i="1" s="1"/>
  <c r="O6685" i="1"/>
  <c r="P6685" i="1" s="1"/>
  <c r="O6686" i="1"/>
  <c r="O6687" i="1"/>
  <c r="O6688" i="1"/>
  <c r="P6688" i="1" s="1"/>
  <c r="O6689" i="1"/>
  <c r="P6689" i="1" s="1"/>
  <c r="O6690" i="1"/>
  <c r="P6690" i="1" s="1"/>
  <c r="O6691" i="1"/>
  <c r="P6691" i="1" s="1"/>
  <c r="O6672" i="1"/>
  <c r="P6672" i="1" s="1"/>
  <c r="O6673" i="1"/>
  <c r="P6673" i="1" s="1"/>
  <c r="O6674" i="1"/>
  <c r="P6674" i="1" s="1"/>
  <c r="O6675" i="1"/>
  <c r="P6675" i="1" s="1"/>
  <c r="O6676" i="1"/>
  <c r="P6676" i="1" s="1"/>
  <c r="O6677" i="1"/>
  <c r="P6677" i="1" s="1"/>
  <c r="O6678" i="1"/>
  <c r="P6678" i="1" s="1"/>
  <c r="O6679" i="1"/>
  <c r="P6679" i="1" s="1"/>
  <c r="O6680" i="1"/>
  <c r="P6680" i="1" s="1"/>
  <c r="O6681" i="1"/>
  <c r="P6681" i="1" s="1"/>
  <c r="G6669" i="1"/>
  <c r="G6668" i="1"/>
  <c r="O6667" i="1"/>
  <c r="P6667" i="1" s="1"/>
  <c r="O6668" i="1"/>
  <c r="O6669" i="1"/>
  <c r="O6670" i="1"/>
  <c r="P6670" i="1" s="1"/>
  <c r="O6671" i="1"/>
  <c r="P6671" i="1" s="1"/>
  <c r="O6634" i="1"/>
  <c r="P6634" i="1" s="1"/>
  <c r="O6635" i="1"/>
  <c r="P6635" i="1" s="1"/>
  <c r="O6636" i="1"/>
  <c r="P6636" i="1" s="1"/>
  <c r="O6637" i="1"/>
  <c r="P6637" i="1" s="1"/>
  <c r="O6638" i="1"/>
  <c r="P6638" i="1" s="1"/>
  <c r="O6639" i="1"/>
  <c r="P6639" i="1" s="1"/>
  <c r="O6640" i="1"/>
  <c r="O6641" i="1"/>
  <c r="P6641" i="1" s="1"/>
  <c r="O6642" i="1"/>
  <c r="P6642" i="1" s="1"/>
  <c r="O6643" i="1"/>
  <c r="P6643" i="1" s="1"/>
  <c r="O6644" i="1"/>
  <c r="O6645" i="1"/>
  <c r="P6645" i="1" s="1"/>
  <c r="O6646" i="1"/>
  <c r="P6646" i="1" s="1"/>
  <c r="O6647" i="1"/>
  <c r="P6647" i="1" s="1"/>
  <c r="O6648" i="1"/>
  <c r="P6648" i="1" s="1"/>
  <c r="O6649" i="1"/>
  <c r="P6649" i="1" s="1"/>
  <c r="O6650" i="1"/>
  <c r="P6650" i="1" s="1"/>
  <c r="O6651" i="1"/>
  <c r="P6651" i="1" s="1"/>
  <c r="O6652" i="1"/>
  <c r="P6652" i="1" s="1"/>
  <c r="O6653" i="1"/>
  <c r="P6653" i="1" s="1"/>
  <c r="O6654" i="1"/>
  <c r="P6654" i="1" s="1"/>
  <c r="O6655" i="1"/>
  <c r="P6655" i="1" s="1"/>
  <c r="O6656" i="1"/>
  <c r="P6656" i="1" s="1"/>
  <c r="O6657" i="1"/>
  <c r="P6657" i="1" s="1"/>
  <c r="O6658" i="1"/>
  <c r="P6658" i="1" s="1"/>
  <c r="O6659" i="1"/>
  <c r="P6659" i="1" s="1"/>
  <c r="O6660" i="1"/>
  <c r="P6660" i="1" s="1"/>
  <c r="O6661" i="1"/>
  <c r="P6661" i="1" s="1"/>
  <c r="O6662" i="1"/>
  <c r="P6662" i="1" s="1"/>
  <c r="O6663" i="1"/>
  <c r="P6663" i="1" s="1"/>
  <c r="O6664" i="1"/>
  <c r="P6664" i="1" s="1"/>
  <c r="O6665" i="1"/>
  <c r="P6665" i="1" s="1"/>
  <c r="O6666" i="1"/>
  <c r="P6666" i="1" s="1"/>
  <c r="G6644" i="1"/>
  <c r="G6640" i="1"/>
  <c r="G6623" i="1"/>
  <c r="G6626" i="1"/>
  <c r="G6629" i="1"/>
  <c r="O6618" i="1"/>
  <c r="P6618" i="1" s="1"/>
  <c r="O6619" i="1"/>
  <c r="P6619" i="1" s="1"/>
  <c r="O6620" i="1"/>
  <c r="P6620" i="1" s="1"/>
  <c r="O6621" i="1"/>
  <c r="P6621" i="1" s="1"/>
  <c r="O6622" i="1"/>
  <c r="P6622" i="1" s="1"/>
  <c r="O6623" i="1"/>
  <c r="O6624" i="1"/>
  <c r="P6624" i="1" s="1"/>
  <c r="O6625" i="1"/>
  <c r="P6625" i="1" s="1"/>
  <c r="O6626" i="1"/>
  <c r="O6627" i="1"/>
  <c r="P6627" i="1" s="1"/>
  <c r="O6628" i="1"/>
  <c r="P6628" i="1" s="1"/>
  <c r="O6629" i="1"/>
  <c r="O6630" i="1"/>
  <c r="P6630" i="1" s="1"/>
  <c r="O6631" i="1"/>
  <c r="P6631" i="1" s="1"/>
  <c r="O6632" i="1"/>
  <c r="P6632" i="1" s="1"/>
  <c r="O6633" i="1"/>
  <c r="P6633" i="1" s="1"/>
  <c r="G6609" i="1"/>
  <c r="O6607" i="1"/>
  <c r="P6607" i="1" s="1"/>
  <c r="O6608" i="1"/>
  <c r="P6608" i="1" s="1"/>
  <c r="O6609" i="1"/>
  <c r="O6610" i="1"/>
  <c r="P6610" i="1" s="1"/>
  <c r="O6611" i="1"/>
  <c r="P6611" i="1" s="1"/>
  <c r="O6612" i="1"/>
  <c r="P6612" i="1" s="1"/>
  <c r="O6613" i="1"/>
  <c r="P6613" i="1" s="1"/>
  <c r="O6614" i="1"/>
  <c r="P6614" i="1" s="1"/>
  <c r="O6615" i="1"/>
  <c r="P6615" i="1" s="1"/>
  <c r="O6616" i="1"/>
  <c r="P6616" i="1" s="1"/>
  <c r="O6617" i="1"/>
  <c r="P6617" i="1" s="1"/>
  <c r="O6596" i="1"/>
  <c r="P6596" i="1" s="1"/>
  <c r="O6597" i="1"/>
  <c r="P6597" i="1" s="1"/>
  <c r="O6598" i="1"/>
  <c r="P6598" i="1" s="1"/>
  <c r="O6599" i="1"/>
  <c r="P6599" i="1" s="1"/>
  <c r="O6600" i="1"/>
  <c r="P6600" i="1" s="1"/>
  <c r="O6601" i="1"/>
  <c r="P6601" i="1" s="1"/>
  <c r="O6602" i="1"/>
  <c r="P6602" i="1" s="1"/>
  <c r="O6603" i="1"/>
  <c r="P6603" i="1" s="1"/>
  <c r="O6604" i="1"/>
  <c r="P6604" i="1" s="1"/>
  <c r="O6605" i="1"/>
  <c r="P6605" i="1" s="1"/>
  <c r="O6606" i="1"/>
  <c r="P6606" i="1" s="1"/>
  <c r="G6587" i="1"/>
  <c r="O6579" i="1"/>
  <c r="P6579" i="1" s="1"/>
  <c r="O6580" i="1"/>
  <c r="P6580" i="1" s="1"/>
  <c r="O6581" i="1"/>
  <c r="P6581" i="1" s="1"/>
  <c r="O6582" i="1"/>
  <c r="P6582" i="1" s="1"/>
  <c r="O6583" i="1"/>
  <c r="P6583" i="1" s="1"/>
  <c r="O6584" i="1"/>
  <c r="P6584" i="1" s="1"/>
  <c r="O6585" i="1"/>
  <c r="P6585" i="1" s="1"/>
  <c r="O6586" i="1"/>
  <c r="P6586" i="1" s="1"/>
  <c r="O6587" i="1"/>
  <c r="O6588" i="1"/>
  <c r="P6588" i="1" s="1"/>
  <c r="O6589" i="1"/>
  <c r="P6589" i="1" s="1"/>
  <c r="O6590" i="1"/>
  <c r="P6590" i="1" s="1"/>
  <c r="O6591" i="1"/>
  <c r="P6591" i="1" s="1"/>
  <c r="O6592" i="1"/>
  <c r="P6592" i="1" s="1"/>
  <c r="O6593" i="1"/>
  <c r="P6593" i="1" s="1"/>
  <c r="O6594" i="1"/>
  <c r="P6594" i="1" s="1"/>
  <c r="O6595" i="1"/>
  <c r="P6595" i="1" s="1"/>
  <c r="G6574" i="1"/>
  <c r="O6571" i="1"/>
  <c r="P6571" i="1" s="1"/>
  <c r="O6572" i="1"/>
  <c r="P6572" i="1" s="1"/>
  <c r="O6573" i="1"/>
  <c r="P6573" i="1" s="1"/>
  <c r="O6574" i="1"/>
  <c r="O6575" i="1"/>
  <c r="P6575" i="1" s="1"/>
  <c r="O6576" i="1"/>
  <c r="P6576" i="1" s="1"/>
  <c r="O6577" i="1"/>
  <c r="P6577" i="1" s="1"/>
  <c r="O6578" i="1"/>
  <c r="P6578" i="1" s="1"/>
  <c r="O6562" i="1"/>
  <c r="P6562" i="1" s="1"/>
  <c r="O6563" i="1"/>
  <c r="P6563" i="1" s="1"/>
  <c r="O6564" i="1"/>
  <c r="P6564" i="1" s="1"/>
  <c r="O6565" i="1"/>
  <c r="P6565" i="1" s="1"/>
  <c r="O6566" i="1"/>
  <c r="P6566" i="1" s="1"/>
  <c r="O6567" i="1"/>
  <c r="P6567" i="1" s="1"/>
  <c r="O6568" i="1"/>
  <c r="P6568" i="1" s="1"/>
  <c r="O6569" i="1"/>
  <c r="P6569" i="1" s="1"/>
  <c r="O6570" i="1"/>
  <c r="P6570" i="1" s="1"/>
  <c r="G6558" i="1"/>
  <c r="O6551" i="1"/>
  <c r="P6551" i="1" s="1"/>
  <c r="O6552" i="1"/>
  <c r="P6552" i="1" s="1"/>
  <c r="O6553" i="1"/>
  <c r="P6553" i="1" s="1"/>
  <c r="O6554" i="1"/>
  <c r="P6554" i="1" s="1"/>
  <c r="O6555" i="1"/>
  <c r="P6555" i="1" s="1"/>
  <c r="O6556" i="1"/>
  <c r="P6556" i="1" s="1"/>
  <c r="O6557" i="1"/>
  <c r="P6557" i="1" s="1"/>
  <c r="O6558" i="1"/>
  <c r="O6559" i="1"/>
  <c r="P6559" i="1" s="1"/>
  <c r="O6560" i="1"/>
  <c r="P6560" i="1" s="1"/>
  <c r="O6561" i="1"/>
  <c r="P6561" i="1" s="1"/>
  <c r="O6542" i="1"/>
  <c r="P6542" i="1" s="1"/>
  <c r="O6543" i="1"/>
  <c r="P6543" i="1" s="1"/>
  <c r="O6544" i="1"/>
  <c r="P6544" i="1" s="1"/>
  <c r="O6545" i="1"/>
  <c r="P6545" i="1" s="1"/>
  <c r="O6546" i="1"/>
  <c r="P6546" i="1" s="1"/>
  <c r="O6547" i="1"/>
  <c r="P6547" i="1" s="1"/>
  <c r="O6548" i="1"/>
  <c r="P6548" i="1" s="1"/>
  <c r="O6549" i="1"/>
  <c r="P6549" i="1" s="1"/>
  <c r="O6550" i="1"/>
  <c r="P6550" i="1" s="1"/>
  <c r="G6539" i="1"/>
  <c r="O6534" i="1"/>
  <c r="P6534" i="1" s="1"/>
  <c r="O6535" i="1"/>
  <c r="P6535" i="1" s="1"/>
  <c r="O6536" i="1"/>
  <c r="P6536" i="1" s="1"/>
  <c r="O6537" i="1"/>
  <c r="P6537" i="1" s="1"/>
  <c r="O6538" i="1"/>
  <c r="P6538" i="1" s="1"/>
  <c r="O6539" i="1"/>
  <c r="O6540" i="1"/>
  <c r="P6540" i="1" s="1"/>
  <c r="O6541" i="1"/>
  <c r="P6541" i="1" s="1"/>
  <c r="O6527" i="1"/>
  <c r="P6527" i="1" s="1"/>
  <c r="O6528" i="1"/>
  <c r="P6528" i="1" s="1"/>
  <c r="O6529" i="1"/>
  <c r="P6529" i="1" s="1"/>
  <c r="O6530" i="1"/>
  <c r="P6530" i="1" s="1"/>
  <c r="O6531" i="1"/>
  <c r="P6531" i="1" s="1"/>
  <c r="O6532" i="1"/>
  <c r="P6532" i="1" s="1"/>
  <c r="O6533" i="1"/>
  <c r="P6533" i="1" s="1"/>
  <c r="G6526" i="1"/>
  <c r="O6525" i="1"/>
  <c r="P6525" i="1" s="1"/>
  <c r="O6526" i="1"/>
  <c r="O6520" i="1"/>
  <c r="P6520" i="1" s="1"/>
  <c r="O6521" i="1"/>
  <c r="P6521" i="1" s="1"/>
  <c r="O6522" i="1"/>
  <c r="P6522" i="1" s="1"/>
  <c r="O6523" i="1"/>
  <c r="P6523" i="1" s="1"/>
  <c r="O6524" i="1"/>
  <c r="P6524" i="1" s="1"/>
  <c r="G6511" i="1"/>
  <c r="G6510" i="1"/>
  <c r="O6508" i="1"/>
  <c r="P6508" i="1" s="1"/>
  <c r="O6509" i="1"/>
  <c r="P6509" i="1" s="1"/>
  <c r="O6510" i="1"/>
  <c r="O6511" i="1"/>
  <c r="O6512" i="1"/>
  <c r="P6512" i="1" s="1"/>
  <c r="O6513" i="1"/>
  <c r="P6513" i="1" s="1"/>
  <c r="O6514" i="1"/>
  <c r="P6514" i="1" s="1"/>
  <c r="O6515" i="1"/>
  <c r="P6515" i="1" s="1"/>
  <c r="O6516" i="1"/>
  <c r="P6516" i="1" s="1"/>
  <c r="O6517" i="1"/>
  <c r="P6517" i="1" s="1"/>
  <c r="O6518" i="1"/>
  <c r="P6518" i="1" s="1"/>
  <c r="O6519" i="1"/>
  <c r="P6519" i="1" s="1"/>
  <c r="G6503" i="1"/>
  <c r="O6501" i="1"/>
  <c r="P6501" i="1" s="1"/>
  <c r="O6502" i="1"/>
  <c r="P6502" i="1" s="1"/>
  <c r="O6503" i="1"/>
  <c r="O6504" i="1"/>
  <c r="P6504" i="1" s="1"/>
  <c r="O6505" i="1"/>
  <c r="P6505" i="1" s="1"/>
  <c r="O6506" i="1"/>
  <c r="P6506" i="1" s="1"/>
  <c r="O6507" i="1"/>
  <c r="P6507" i="1" s="1"/>
  <c r="O6485" i="1"/>
  <c r="P6485" i="1" s="1"/>
  <c r="O6486" i="1"/>
  <c r="P6486" i="1" s="1"/>
  <c r="O6487" i="1"/>
  <c r="P6487" i="1" s="1"/>
  <c r="O6488" i="1"/>
  <c r="P6488" i="1" s="1"/>
  <c r="O6489" i="1"/>
  <c r="P6489" i="1" s="1"/>
  <c r="O6490" i="1"/>
  <c r="P6490" i="1" s="1"/>
  <c r="O6491" i="1"/>
  <c r="P6491" i="1" s="1"/>
  <c r="O6492" i="1"/>
  <c r="P6492" i="1" s="1"/>
  <c r="O6493" i="1"/>
  <c r="P6493" i="1" s="1"/>
  <c r="O6494" i="1"/>
  <c r="P6494" i="1" s="1"/>
  <c r="O6495" i="1"/>
  <c r="P6495" i="1" s="1"/>
  <c r="O6496" i="1"/>
  <c r="P6496" i="1" s="1"/>
  <c r="O6497" i="1"/>
  <c r="P6497" i="1" s="1"/>
  <c r="O6498" i="1"/>
  <c r="P6498" i="1" s="1"/>
  <c r="O6499" i="1"/>
  <c r="P6499" i="1" s="1"/>
  <c r="O6500" i="1"/>
  <c r="P6500" i="1" s="1"/>
  <c r="G6479" i="1"/>
  <c r="O6478" i="1"/>
  <c r="P6478" i="1" s="1"/>
  <c r="O6479" i="1"/>
  <c r="O6480" i="1"/>
  <c r="P6480" i="1" s="1"/>
  <c r="O6481" i="1"/>
  <c r="P6481" i="1" s="1"/>
  <c r="O6482" i="1"/>
  <c r="P6482" i="1" s="1"/>
  <c r="O6483" i="1"/>
  <c r="P6483" i="1" s="1"/>
  <c r="O6484" i="1"/>
  <c r="P6484" i="1" s="1"/>
  <c r="G6475" i="1"/>
  <c r="G6474" i="1"/>
  <c r="G6471" i="1"/>
  <c r="O6464" i="1"/>
  <c r="P6464" i="1" s="1"/>
  <c r="O6465" i="1"/>
  <c r="P6465" i="1" s="1"/>
  <c r="O6466" i="1"/>
  <c r="P6466" i="1" s="1"/>
  <c r="O6467" i="1"/>
  <c r="P6467" i="1" s="1"/>
  <c r="O6468" i="1"/>
  <c r="P6468" i="1" s="1"/>
  <c r="O6469" i="1"/>
  <c r="P6469" i="1" s="1"/>
  <c r="O6470" i="1"/>
  <c r="P6470" i="1" s="1"/>
  <c r="O6471" i="1"/>
  <c r="O6472" i="1"/>
  <c r="P6472" i="1" s="1"/>
  <c r="O6473" i="1"/>
  <c r="P6473" i="1" s="1"/>
  <c r="O6474" i="1"/>
  <c r="O6475" i="1"/>
  <c r="O6476" i="1"/>
  <c r="P6476" i="1" s="1"/>
  <c r="O6477" i="1"/>
  <c r="P6477" i="1" s="1"/>
  <c r="O6455" i="1"/>
  <c r="P6455" i="1" s="1"/>
  <c r="O6456" i="1"/>
  <c r="P6456" i="1" s="1"/>
  <c r="O6457" i="1"/>
  <c r="P6457" i="1" s="1"/>
  <c r="O6458" i="1"/>
  <c r="P6458" i="1" s="1"/>
  <c r="O6459" i="1"/>
  <c r="P6459" i="1" s="1"/>
  <c r="O6460" i="1"/>
  <c r="P6460" i="1" s="1"/>
  <c r="O6461" i="1"/>
  <c r="P6461" i="1" s="1"/>
  <c r="O6462" i="1"/>
  <c r="P6462" i="1" s="1"/>
  <c r="O6463" i="1"/>
  <c r="P6463" i="1" s="1"/>
  <c r="G6452" i="1"/>
  <c r="G6449" i="1"/>
  <c r="G6448" i="1"/>
  <c r="O6447" i="1"/>
  <c r="P6447" i="1" s="1"/>
  <c r="O6448" i="1"/>
  <c r="O6449" i="1"/>
  <c r="O6450" i="1"/>
  <c r="P6450" i="1" s="1"/>
  <c r="O6451" i="1"/>
  <c r="P6451" i="1" s="1"/>
  <c r="O6452" i="1"/>
  <c r="O6453" i="1"/>
  <c r="P6453" i="1" s="1"/>
  <c r="O6454" i="1"/>
  <c r="P6454" i="1" s="1"/>
  <c r="G6445" i="1"/>
  <c r="O6440" i="1"/>
  <c r="P6440" i="1" s="1"/>
  <c r="O6441" i="1"/>
  <c r="P6441" i="1" s="1"/>
  <c r="O6442" i="1"/>
  <c r="P6442" i="1" s="1"/>
  <c r="O6443" i="1"/>
  <c r="P6443" i="1" s="1"/>
  <c r="O6444" i="1"/>
  <c r="P6444" i="1" s="1"/>
  <c r="O6445" i="1"/>
  <c r="O6446" i="1"/>
  <c r="P6446" i="1" s="1"/>
  <c r="G6437" i="1"/>
  <c r="G6438" i="1"/>
  <c r="O6430" i="1"/>
  <c r="P6430" i="1" s="1"/>
  <c r="O6431" i="1"/>
  <c r="P6431" i="1" s="1"/>
  <c r="O6432" i="1"/>
  <c r="P6432" i="1" s="1"/>
  <c r="O6433" i="1"/>
  <c r="P6433" i="1" s="1"/>
  <c r="O6434" i="1"/>
  <c r="P6434" i="1" s="1"/>
  <c r="O6435" i="1"/>
  <c r="P6435" i="1" s="1"/>
  <c r="O6436" i="1"/>
  <c r="P6436" i="1" s="1"/>
  <c r="O6437" i="1"/>
  <c r="O6438" i="1"/>
  <c r="O6439" i="1"/>
  <c r="P6439" i="1" s="1"/>
  <c r="G6427" i="1"/>
  <c r="O6421" i="1"/>
  <c r="P6421" i="1" s="1"/>
  <c r="O6422" i="1"/>
  <c r="P6422" i="1" s="1"/>
  <c r="O6423" i="1"/>
  <c r="P6423" i="1" s="1"/>
  <c r="O6424" i="1"/>
  <c r="P6424" i="1" s="1"/>
  <c r="O6425" i="1"/>
  <c r="P6425" i="1" s="1"/>
  <c r="O6426" i="1"/>
  <c r="P6426" i="1" s="1"/>
  <c r="O6427" i="1"/>
  <c r="O6428" i="1"/>
  <c r="P6428" i="1" s="1"/>
  <c r="O6429" i="1"/>
  <c r="P6429" i="1" s="1"/>
  <c r="G6417" i="1"/>
  <c r="G6414" i="1"/>
  <c r="O6411" i="1"/>
  <c r="P6411" i="1" s="1"/>
  <c r="O6412" i="1"/>
  <c r="P6412" i="1" s="1"/>
  <c r="O6413" i="1"/>
  <c r="P6413" i="1" s="1"/>
  <c r="O6414" i="1"/>
  <c r="O6415" i="1"/>
  <c r="P6415" i="1" s="1"/>
  <c r="O6416" i="1"/>
  <c r="P6416" i="1" s="1"/>
  <c r="O6417" i="1"/>
  <c r="O6418" i="1"/>
  <c r="P6418" i="1" s="1"/>
  <c r="O6419" i="1"/>
  <c r="P6419" i="1" s="1"/>
  <c r="O6420" i="1"/>
  <c r="P6420" i="1" s="1"/>
  <c r="G6406" i="1"/>
  <c r="O6404" i="1"/>
  <c r="P6404" i="1" s="1"/>
  <c r="O6405" i="1"/>
  <c r="P6405" i="1" s="1"/>
  <c r="O6406" i="1"/>
  <c r="O6407" i="1"/>
  <c r="P6407" i="1" s="1"/>
  <c r="O6408" i="1"/>
  <c r="P6408" i="1" s="1"/>
  <c r="O6409" i="1"/>
  <c r="P6409" i="1" s="1"/>
  <c r="O6410" i="1"/>
  <c r="P6410" i="1" s="1"/>
  <c r="G6393" i="1"/>
  <c r="O6393" i="1"/>
  <c r="O6394" i="1"/>
  <c r="P6394" i="1" s="1"/>
  <c r="O6395" i="1"/>
  <c r="P6395" i="1" s="1"/>
  <c r="O6396" i="1"/>
  <c r="P6396" i="1" s="1"/>
  <c r="O6397" i="1"/>
  <c r="P6397" i="1" s="1"/>
  <c r="O6398" i="1"/>
  <c r="P6398" i="1" s="1"/>
  <c r="O6399" i="1"/>
  <c r="P6399" i="1" s="1"/>
  <c r="O6400" i="1"/>
  <c r="P6400" i="1" s="1"/>
  <c r="O6401" i="1"/>
  <c r="P6401" i="1" s="1"/>
  <c r="O6402" i="1"/>
  <c r="P6402" i="1" s="1"/>
  <c r="O6403" i="1"/>
  <c r="P6403" i="1" s="1"/>
  <c r="G6387" i="1"/>
  <c r="O6387" i="1"/>
  <c r="O6388" i="1"/>
  <c r="P6388" i="1" s="1"/>
  <c r="O6389" i="1"/>
  <c r="P6389" i="1" s="1"/>
  <c r="O6390" i="1"/>
  <c r="P6390" i="1" s="1"/>
  <c r="O6391" i="1"/>
  <c r="P6391" i="1" s="1"/>
  <c r="O6392" i="1"/>
  <c r="P6392" i="1" s="1"/>
  <c r="G6383" i="1"/>
  <c r="O6382" i="1"/>
  <c r="P6382" i="1" s="1"/>
  <c r="O6383" i="1"/>
  <c r="O6384" i="1"/>
  <c r="P6384" i="1" s="1"/>
  <c r="O6385" i="1"/>
  <c r="P6385" i="1" s="1"/>
  <c r="O6386" i="1"/>
  <c r="P6386" i="1" s="1"/>
  <c r="O6374" i="1"/>
  <c r="P6374" i="1" s="1"/>
  <c r="O6375" i="1"/>
  <c r="P6375" i="1" s="1"/>
  <c r="O6376" i="1"/>
  <c r="P6376" i="1" s="1"/>
  <c r="O6377" i="1"/>
  <c r="P6377" i="1" s="1"/>
  <c r="O6378" i="1"/>
  <c r="P6378" i="1" s="1"/>
  <c r="O6379" i="1"/>
  <c r="P6379" i="1" s="1"/>
  <c r="O6380" i="1"/>
  <c r="P6380" i="1" s="1"/>
  <c r="O6381" i="1"/>
  <c r="P6381" i="1" s="1"/>
  <c r="G6369" i="1"/>
  <c r="O6366" i="1"/>
  <c r="P6366" i="1" s="1"/>
  <c r="O6367" i="1"/>
  <c r="P6367" i="1" s="1"/>
  <c r="O6368" i="1"/>
  <c r="P6368" i="1" s="1"/>
  <c r="O6369" i="1"/>
  <c r="O6370" i="1"/>
  <c r="P6370" i="1" s="1"/>
  <c r="O6371" i="1"/>
  <c r="P6371" i="1" s="1"/>
  <c r="O6372" i="1"/>
  <c r="P6372" i="1" s="1"/>
  <c r="O6373" i="1"/>
  <c r="P6373" i="1" s="1"/>
  <c r="G6364" i="1"/>
  <c r="G6358" i="1"/>
  <c r="O6358" i="1"/>
  <c r="O6359" i="1"/>
  <c r="P6359" i="1" s="1"/>
  <c r="O6360" i="1"/>
  <c r="P6360" i="1" s="1"/>
  <c r="O6361" i="1"/>
  <c r="P6361" i="1" s="1"/>
  <c r="O6362" i="1"/>
  <c r="P6362" i="1" s="1"/>
  <c r="O6363" i="1"/>
  <c r="P6363" i="1" s="1"/>
  <c r="O6364" i="1"/>
  <c r="O6365" i="1"/>
  <c r="P6365" i="1" s="1"/>
  <c r="G6354" i="1"/>
  <c r="G6351" i="1"/>
  <c r="G6350" i="1"/>
  <c r="O6349" i="1"/>
  <c r="P6349" i="1" s="1"/>
  <c r="O6350" i="1"/>
  <c r="O6351" i="1"/>
  <c r="O6352" i="1"/>
  <c r="P6352" i="1" s="1"/>
  <c r="O6353" i="1"/>
  <c r="P6353" i="1" s="1"/>
  <c r="O6354" i="1"/>
  <c r="O6355" i="1"/>
  <c r="P6355" i="1" s="1"/>
  <c r="O6356" i="1"/>
  <c r="P6356" i="1" s="1"/>
  <c r="O6357" i="1"/>
  <c r="P6357" i="1" s="1"/>
  <c r="G6344" i="1"/>
  <c r="G6338" i="1"/>
  <c r="O6336" i="1"/>
  <c r="P6336" i="1" s="1"/>
  <c r="O6337" i="1"/>
  <c r="P6337" i="1" s="1"/>
  <c r="O6338" i="1"/>
  <c r="O6339" i="1"/>
  <c r="P6339" i="1" s="1"/>
  <c r="O6340" i="1"/>
  <c r="P6340" i="1" s="1"/>
  <c r="O6341" i="1"/>
  <c r="P6341" i="1" s="1"/>
  <c r="O6342" i="1"/>
  <c r="P6342" i="1" s="1"/>
  <c r="O6343" i="1"/>
  <c r="P6343" i="1" s="1"/>
  <c r="O6344" i="1"/>
  <c r="O6345" i="1"/>
  <c r="P6345" i="1" s="1"/>
  <c r="O6346" i="1"/>
  <c r="P6346" i="1" s="1"/>
  <c r="O6347" i="1"/>
  <c r="P6347" i="1" s="1"/>
  <c r="O6348" i="1"/>
  <c r="P6348" i="1" s="1"/>
  <c r="O6328" i="1"/>
  <c r="P6328" i="1" s="1"/>
  <c r="O6329" i="1"/>
  <c r="P6329" i="1" s="1"/>
  <c r="O6330" i="1"/>
  <c r="P6330" i="1" s="1"/>
  <c r="O6331" i="1"/>
  <c r="P6331" i="1" s="1"/>
  <c r="O6332" i="1"/>
  <c r="P6332" i="1" s="1"/>
  <c r="O6333" i="1"/>
  <c r="P6333" i="1" s="1"/>
  <c r="O6334" i="1"/>
  <c r="P6334" i="1" s="1"/>
  <c r="O6335" i="1"/>
  <c r="P6335" i="1" s="1"/>
  <c r="G6326" i="1"/>
  <c r="O6321" i="1"/>
  <c r="P6321" i="1" s="1"/>
  <c r="O6322" i="1"/>
  <c r="P6322" i="1" s="1"/>
  <c r="O6323" i="1"/>
  <c r="P6323" i="1" s="1"/>
  <c r="O6324" i="1"/>
  <c r="P6324" i="1" s="1"/>
  <c r="O6325" i="1"/>
  <c r="P6325" i="1" s="1"/>
  <c r="O6326" i="1"/>
  <c r="O6327" i="1"/>
  <c r="P6327" i="1" s="1"/>
  <c r="G6313" i="1"/>
  <c r="O6311" i="1"/>
  <c r="P6311" i="1" s="1"/>
  <c r="O6312" i="1"/>
  <c r="P6312" i="1" s="1"/>
  <c r="O6313" i="1"/>
  <c r="O6314" i="1"/>
  <c r="P6314" i="1" s="1"/>
  <c r="O6315" i="1"/>
  <c r="P6315" i="1" s="1"/>
  <c r="O6316" i="1"/>
  <c r="P6316" i="1" s="1"/>
  <c r="O6317" i="1"/>
  <c r="P6317" i="1" s="1"/>
  <c r="O6318" i="1"/>
  <c r="P6318" i="1" s="1"/>
  <c r="O6319" i="1"/>
  <c r="P6319" i="1" s="1"/>
  <c r="O6320" i="1"/>
  <c r="P6320" i="1" s="1"/>
  <c r="G6304" i="1"/>
  <c r="G6302" i="1"/>
  <c r="O6301" i="1"/>
  <c r="O6302" i="1"/>
  <c r="O6303" i="1"/>
  <c r="P6303" i="1" s="1"/>
  <c r="O6304" i="1"/>
  <c r="O6305" i="1"/>
  <c r="P6305" i="1" s="1"/>
  <c r="O6306" i="1"/>
  <c r="P6306" i="1" s="1"/>
  <c r="O6307" i="1"/>
  <c r="P6307" i="1" s="1"/>
  <c r="O6308" i="1"/>
  <c r="P6308" i="1" s="1"/>
  <c r="O6309" i="1"/>
  <c r="P6309" i="1" s="1"/>
  <c r="O6310" i="1"/>
  <c r="P6310" i="1" s="1"/>
  <c r="G6301" i="1"/>
  <c r="G6295" i="1"/>
  <c r="O6292" i="1"/>
  <c r="P6292" i="1" s="1"/>
  <c r="O6293" i="1"/>
  <c r="P6293" i="1" s="1"/>
  <c r="O6294" i="1"/>
  <c r="P6294" i="1" s="1"/>
  <c r="O6295" i="1"/>
  <c r="O6296" i="1"/>
  <c r="P6296" i="1" s="1"/>
  <c r="O6297" i="1"/>
  <c r="P6297" i="1" s="1"/>
  <c r="O6298" i="1"/>
  <c r="P6298" i="1" s="1"/>
  <c r="O6299" i="1"/>
  <c r="P6299" i="1" s="1"/>
  <c r="O6300" i="1"/>
  <c r="P6300" i="1" s="1"/>
  <c r="G6284" i="1"/>
  <c r="O6223" i="1"/>
  <c r="P6223" i="1" s="1"/>
  <c r="O6224" i="1"/>
  <c r="O6225" i="1"/>
  <c r="P6225" i="1" s="1"/>
  <c r="O6226" i="1"/>
  <c r="P6226" i="1" s="1"/>
  <c r="O6227" i="1"/>
  <c r="P6227" i="1" s="1"/>
  <c r="O6228" i="1"/>
  <c r="P6228" i="1" s="1"/>
  <c r="O6229" i="1"/>
  <c r="P6229" i="1" s="1"/>
  <c r="O6230" i="1"/>
  <c r="P6230" i="1" s="1"/>
  <c r="O6231" i="1"/>
  <c r="P6231" i="1" s="1"/>
  <c r="O6232" i="1"/>
  <c r="P6232" i="1" s="1"/>
  <c r="O6233" i="1"/>
  <c r="P6233" i="1" s="1"/>
  <c r="O6234" i="1"/>
  <c r="P6234" i="1" s="1"/>
  <c r="O6235" i="1"/>
  <c r="P6235" i="1" s="1"/>
  <c r="O6236" i="1"/>
  <c r="P6236" i="1" s="1"/>
  <c r="O6237" i="1"/>
  <c r="P6237" i="1" s="1"/>
  <c r="O6238" i="1"/>
  <c r="P6238" i="1" s="1"/>
  <c r="O6239" i="1"/>
  <c r="P6239" i="1" s="1"/>
  <c r="O6240" i="1"/>
  <c r="P6240" i="1" s="1"/>
  <c r="O6241" i="1"/>
  <c r="P6241" i="1" s="1"/>
  <c r="O6242" i="1"/>
  <c r="P6242" i="1" s="1"/>
  <c r="O6243" i="1"/>
  <c r="P6243" i="1" s="1"/>
  <c r="O6244" i="1"/>
  <c r="P6244" i="1" s="1"/>
  <c r="O6245" i="1"/>
  <c r="P6245" i="1" s="1"/>
  <c r="O6246" i="1"/>
  <c r="P6246" i="1" s="1"/>
  <c r="O6247" i="1"/>
  <c r="P6247" i="1" s="1"/>
  <c r="O6248" i="1"/>
  <c r="P6248" i="1" s="1"/>
  <c r="O6249" i="1"/>
  <c r="O6250" i="1"/>
  <c r="P6250" i="1" s="1"/>
  <c r="O6251" i="1"/>
  <c r="P6251" i="1" s="1"/>
  <c r="O6252" i="1"/>
  <c r="P6252" i="1" s="1"/>
  <c r="O6253" i="1"/>
  <c r="P6253" i="1" s="1"/>
  <c r="O6254" i="1"/>
  <c r="P6254" i="1" s="1"/>
  <c r="O6255" i="1"/>
  <c r="P6255" i="1" s="1"/>
  <c r="O6256" i="1"/>
  <c r="P6256" i="1" s="1"/>
  <c r="O6257" i="1"/>
  <c r="P6257" i="1" s="1"/>
  <c r="O6258" i="1"/>
  <c r="P6258" i="1" s="1"/>
  <c r="O6259" i="1"/>
  <c r="P6259" i="1" s="1"/>
  <c r="O6260" i="1"/>
  <c r="P6260" i="1" s="1"/>
  <c r="O6261" i="1"/>
  <c r="P6261" i="1" s="1"/>
  <c r="O6262" i="1"/>
  <c r="P6262" i="1" s="1"/>
  <c r="O6263" i="1"/>
  <c r="P6263" i="1" s="1"/>
  <c r="O6264" i="1"/>
  <c r="P6264" i="1" s="1"/>
  <c r="O6265" i="1"/>
  <c r="P6265" i="1" s="1"/>
  <c r="O6266" i="1"/>
  <c r="P6266" i="1" s="1"/>
  <c r="O6267" i="1"/>
  <c r="P6267" i="1" s="1"/>
  <c r="O6268" i="1"/>
  <c r="P6268" i="1" s="1"/>
  <c r="O6269" i="1"/>
  <c r="P6269" i="1" s="1"/>
  <c r="O6270" i="1"/>
  <c r="P6270" i="1" s="1"/>
  <c r="O6271" i="1"/>
  <c r="P6271" i="1" s="1"/>
  <c r="O6272" i="1"/>
  <c r="P6272" i="1" s="1"/>
  <c r="O6273" i="1"/>
  <c r="P6273" i="1" s="1"/>
  <c r="O6274" i="1"/>
  <c r="P6274" i="1" s="1"/>
  <c r="O6275" i="1"/>
  <c r="P6275" i="1" s="1"/>
  <c r="O6276" i="1"/>
  <c r="P6276" i="1" s="1"/>
  <c r="O6277" i="1"/>
  <c r="P6277" i="1" s="1"/>
  <c r="O6278" i="1"/>
  <c r="P6278" i="1" s="1"/>
  <c r="O6279" i="1"/>
  <c r="P6279" i="1" s="1"/>
  <c r="O6280" i="1"/>
  <c r="P6280" i="1" s="1"/>
  <c r="O6281" i="1"/>
  <c r="P6281" i="1" s="1"/>
  <c r="O6282" i="1"/>
  <c r="P6282" i="1" s="1"/>
  <c r="O6283" i="1"/>
  <c r="P6283" i="1" s="1"/>
  <c r="O6284" i="1"/>
  <c r="O6285" i="1"/>
  <c r="P6285" i="1" s="1"/>
  <c r="O6286" i="1"/>
  <c r="P6286" i="1" s="1"/>
  <c r="O6287" i="1"/>
  <c r="P6287" i="1" s="1"/>
  <c r="O6288" i="1"/>
  <c r="P6288" i="1" s="1"/>
  <c r="O6289" i="1"/>
  <c r="P6289" i="1" s="1"/>
  <c r="O6290" i="1"/>
  <c r="P6290" i="1" s="1"/>
  <c r="O6291" i="1"/>
  <c r="P6291" i="1" s="1"/>
  <c r="G6249" i="1"/>
  <c r="G6224" i="1"/>
  <c r="O6210" i="1"/>
  <c r="P6210" i="1" s="1"/>
  <c r="O6211" i="1"/>
  <c r="O6212" i="1"/>
  <c r="P6212" i="1" s="1"/>
  <c r="O6213" i="1"/>
  <c r="P6213" i="1" s="1"/>
  <c r="O6214" i="1"/>
  <c r="P6214" i="1" s="1"/>
  <c r="O6215" i="1"/>
  <c r="P6215" i="1" s="1"/>
  <c r="O6216" i="1"/>
  <c r="P6216" i="1" s="1"/>
  <c r="O6217" i="1"/>
  <c r="P6217" i="1" s="1"/>
  <c r="O6218" i="1"/>
  <c r="P6218" i="1" s="1"/>
  <c r="O6219" i="1"/>
  <c r="P6219" i="1" s="1"/>
  <c r="O6220" i="1"/>
  <c r="P6220" i="1" s="1"/>
  <c r="O6221" i="1"/>
  <c r="P6221" i="1" s="1"/>
  <c r="O6222" i="1"/>
  <c r="P6222" i="1" s="1"/>
  <c r="G6211" i="1"/>
  <c r="G6204" i="1"/>
  <c r="O6202" i="1"/>
  <c r="P6202" i="1" s="1"/>
  <c r="O6203" i="1"/>
  <c r="P6203" i="1" s="1"/>
  <c r="O6204" i="1"/>
  <c r="O6205" i="1"/>
  <c r="P6205" i="1" s="1"/>
  <c r="O6206" i="1"/>
  <c r="P6206" i="1" s="1"/>
  <c r="O6207" i="1"/>
  <c r="P6207" i="1" s="1"/>
  <c r="O6208" i="1"/>
  <c r="P6208" i="1" s="1"/>
  <c r="O6209" i="1"/>
  <c r="P6209" i="1" s="1"/>
  <c r="G6187" i="1"/>
  <c r="G6200" i="1"/>
  <c r="O6186" i="1"/>
  <c r="P6186" i="1" s="1"/>
  <c r="O6187" i="1"/>
  <c r="O6188" i="1"/>
  <c r="P6188" i="1" s="1"/>
  <c r="O6189" i="1"/>
  <c r="P6189" i="1" s="1"/>
  <c r="O6190" i="1"/>
  <c r="P6190" i="1" s="1"/>
  <c r="O6191" i="1"/>
  <c r="P6191" i="1" s="1"/>
  <c r="O6192" i="1"/>
  <c r="P6192" i="1" s="1"/>
  <c r="O6193" i="1"/>
  <c r="P6193" i="1" s="1"/>
  <c r="O6194" i="1"/>
  <c r="P6194" i="1" s="1"/>
  <c r="O6195" i="1"/>
  <c r="P6195" i="1" s="1"/>
  <c r="O6196" i="1"/>
  <c r="P6196" i="1" s="1"/>
  <c r="O6197" i="1"/>
  <c r="P6197" i="1" s="1"/>
  <c r="O6198" i="1"/>
  <c r="P6198" i="1" s="1"/>
  <c r="O6199" i="1"/>
  <c r="P6199" i="1" s="1"/>
  <c r="O6200" i="1"/>
  <c r="O6201" i="1"/>
  <c r="P6201" i="1" s="1"/>
  <c r="G6180" i="1"/>
  <c r="O6179" i="1"/>
  <c r="P6179" i="1" s="1"/>
  <c r="O6180" i="1"/>
  <c r="O6181" i="1"/>
  <c r="P6181" i="1" s="1"/>
  <c r="O6182" i="1"/>
  <c r="P6182" i="1" s="1"/>
  <c r="O6183" i="1"/>
  <c r="P6183" i="1" s="1"/>
  <c r="O6184" i="1"/>
  <c r="P6184" i="1" s="1"/>
  <c r="O6185" i="1"/>
  <c r="P6185" i="1" s="1"/>
  <c r="G6176" i="1"/>
  <c r="G6171" i="1"/>
  <c r="O6169" i="1"/>
  <c r="P6169" i="1" s="1"/>
  <c r="O6170" i="1"/>
  <c r="P6170" i="1" s="1"/>
  <c r="O6171" i="1"/>
  <c r="O6172" i="1"/>
  <c r="P6172" i="1" s="1"/>
  <c r="O6173" i="1"/>
  <c r="P6173" i="1" s="1"/>
  <c r="O6174" i="1"/>
  <c r="P6174" i="1" s="1"/>
  <c r="O6175" i="1"/>
  <c r="P6175" i="1" s="1"/>
  <c r="O6176" i="1"/>
  <c r="O6177" i="1"/>
  <c r="P6177" i="1" s="1"/>
  <c r="O6178" i="1"/>
  <c r="P6178" i="1" s="1"/>
  <c r="G6162" i="1"/>
  <c r="O6160" i="1"/>
  <c r="P6160" i="1" s="1"/>
  <c r="O6161" i="1"/>
  <c r="P6161" i="1" s="1"/>
  <c r="O6162" i="1"/>
  <c r="O6163" i="1"/>
  <c r="P6163" i="1" s="1"/>
  <c r="O6164" i="1"/>
  <c r="P6164" i="1" s="1"/>
  <c r="O6165" i="1"/>
  <c r="P6165" i="1" s="1"/>
  <c r="O6166" i="1"/>
  <c r="P6166" i="1" s="1"/>
  <c r="O6167" i="1"/>
  <c r="P6167" i="1" s="1"/>
  <c r="O6168" i="1"/>
  <c r="P6168" i="1" s="1"/>
  <c r="O6153" i="1"/>
  <c r="P6153" i="1" s="1"/>
  <c r="O6154" i="1"/>
  <c r="P6154" i="1" s="1"/>
  <c r="O6155" i="1"/>
  <c r="P6155" i="1" s="1"/>
  <c r="O6156" i="1"/>
  <c r="P6156" i="1" s="1"/>
  <c r="O6157" i="1"/>
  <c r="P6157" i="1" s="1"/>
  <c r="O6158" i="1"/>
  <c r="P6158" i="1" s="1"/>
  <c r="O6159" i="1"/>
  <c r="P6159" i="1" s="1"/>
  <c r="G6151" i="1"/>
  <c r="G6148" i="1"/>
  <c r="O6145" i="1"/>
  <c r="P6145" i="1" s="1"/>
  <c r="O6146" i="1"/>
  <c r="P6146" i="1" s="1"/>
  <c r="O6147" i="1"/>
  <c r="P6147" i="1" s="1"/>
  <c r="O6148" i="1"/>
  <c r="O6149" i="1"/>
  <c r="P6149" i="1" s="1"/>
  <c r="O6150" i="1"/>
  <c r="P6150" i="1" s="1"/>
  <c r="O6151" i="1"/>
  <c r="O6152" i="1"/>
  <c r="P6152" i="1" s="1"/>
  <c r="O6138" i="1"/>
  <c r="P6138" i="1" s="1"/>
  <c r="O6139" i="1"/>
  <c r="P6139" i="1" s="1"/>
  <c r="O6140" i="1"/>
  <c r="P6140" i="1" s="1"/>
  <c r="O6141" i="1"/>
  <c r="P6141" i="1" s="1"/>
  <c r="O6142" i="1"/>
  <c r="P6142" i="1" s="1"/>
  <c r="O6143" i="1"/>
  <c r="P6143" i="1" s="1"/>
  <c r="O6144" i="1"/>
  <c r="P6144" i="1" s="1"/>
  <c r="G6134" i="1"/>
  <c r="G6131" i="1"/>
  <c r="O6129" i="1"/>
  <c r="P6129" i="1" s="1"/>
  <c r="O6130" i="1"/>
  <c r="P6130" i="1" s="1"/>
  <c r="O6131" i="1"/>
  <c r="O6132" i="1"/>
  <c r="P6132" i="1" s="1"/>
  <c r="O6133" i="1"/>
  <c r="P6133" i="1" s="1"/>
  <c r="O6134" i="1"/>
  <c r="O6135" i="1"/>
  <c r="P6135" i="1" s="1"/>
  <c r="O6136" i="1"/>
  <c r="P6136" i="1" s="1"/>
  <c r="O6137" i="1"/>
  <c r="P6137" i="1" s="1"/>
  <c r="G6124" i="1"/>
  <c r="O6121" i="1"/>
  <c r="P6121" i="1" s="1"/>
  <c r="O6122" i="1"/>
  <c r="P6122" i="1" s="1"/>
  <c r="O6123" i="1"/>
  <c r="P6123" i="1" s="1"/>
  <c r="O6124" i="1"/>
  <c r="O6125" i="1"/>
  <c r="P6125" i="1" s="1"/>
  <c r="O6126" i="1"/>
  <c r="P6126" i="1" s="1"/>
  <c r="O6127" i="1"/>
  <c r="P6127" i="1" s="1"/>
  <c r="O6128" i="1"/>
  <c r="P6128" i="1" s="1"/>
  <c r="G6115" i="1"/>
  <c r="G6118" i="1"/>
  <c r="G6114" i="1"/>
  <c r="O6112" i="1"/>
  <c r="P6112" i="1" s="1"/>
  <c r="O6113" i="1"/>
  <c r="P6113" i="1" s="1"/>
  <c r="O6114" i="1"/>
  <c r="O6115" i="1"/>
  <c r="O6116" i="1"/>
  <c r="P6116" i="1" s="1"/>
  <c r="O6117" i="1"/>
  <c r="P6117" i="1" s="1"/>
  <c r="O6118" i="1"/>
  <c r="O6119" i="1"/>
  <c r="P6119" i="1" s="1"/>
  <c r="O6120" i="1"/>
  <c r="P6120" i="1" s="1"/>
  <c r="G6107" i="1"/>
  <c r="O6102" i="1"/>
  <c r="P6102" i="1" s="1"/>
  <c r="O6103" i="1"/>
  <c r="P6103" i="1" s="1"/>
  <c r="O6104" i="1"/>
  <c r="P6104" i="1" s="1"/>
  <c r="O6105" i="1"/>
  <c r="P6105" i="1" s="1"/>
  <c r="O6106" i="1"/>
  <c r="P6106" i="1" s="1"/>
  <c r="O6107" i="1"/>
  <c r="O6108" i="1"/>
  <c r="P6108" i="1" s="1"/>
  <c r="O6109" i="1"/>
  <c r="P6109" i="1" s="1"/>
  <c r="O6110" i="1"/>
  <c r="P6110" i="1" s="1"/>
  <c r="O6111" i="1"/>
  <c r="P6111" i="1" s="1"/>
  <c r="G6097" i="1"/>
  <c r="O6096" i="1"/>
  <c r="P6096" i="1" s="1"/>
  <c r="O6097" i="1"/>
  <c r="O6098" i="1"/>
  <c r="P6098" i="1" s="1"/>
  <c r="O6099" i="1"/>
  <c r="P6099" i="1" s="1"/>
  <c r="O6100" i="1"/>
  <c r="P6100" i="1" s="1"/>
  <c r="O6101" i="1"/>
  <c r="P6101" i="1" s="1"/>
  <c r="O6089" i="1"/>
  <c r="P6089" i="1" s="1"/>
  <c r="O6090" i="1"/>
  <c r="P6090" i="1" s="1"/>
  <c r="O6091" i="1"/>
  <c r="P6091" i="1" s="1"/>
  <c r="O6092" i="1"/>
  <c r="P6092" i="1" s="1"/>
  <c r="O6093" i="1"/>
  <c r="P6093" i="1" s="1"/>
  <c r="O6094" i="1"/>
  <c r="P6094" i="1" s="1"/>
  <c r="O6095" i="1"/>
  <c r="P6095" i="1" s="1"/>
  <c r="G6088" i="1"/>
  <c r="O6076" i="1"/>
  <c r="P6076" i="1" s="1"/>
  <c r="O6077" i="1"/>
  <c r="P6077" i="1" s="1"/>
  <c r="O6078" i="1"/>
  <c r="P6078" i="1" s="1"/>
  <c r="O6079" i="1"/>
  <c r="P6079" i="1" s="1"/>
  <c r="O6080" i="1"/>
  <c r="P6080" i="1" s="1"/>
  <c r="O6081" i="1"/>
  <c r="P6081" i="1" s="1"/>
  <c r="O6082" i="1"/>
  <c r="P6082" i="1" s="1"/>
  <c r="O6083" i="1"/>
  <c r="O6084" i="1"/>
  <c r="P6084" i="1" s="1"/>
  <c r="O6085" i="1"/>
  <c r="P6085" i="1" s="1"/>
  <c r="O6086" i="1"/>
  <c r="P6086" i="1" s="1"/>
  <c r="O6087" i="1"/>
  <c r="P6087" i="1" s="1"/>
  <c r="O6088" i="1"/>
  <c r="G6083" i="1"/>
  <c r="P6474" i="1" l="1"/>
  <c r="P6728" i="1"/>
  <c r="P6748" i="1"/>
  <c r="P6686" i="1"/>
  <c r="P6734" i="1"/>
  <c r="P6723" i="1"/>
  <c r="P6687" i="1"/>
  <c r="P6668" i="1"/>
  <c r="P6669" i="1"/>
  <c r="P6644" i="1"/>
  <c r="P6640" i="1"/>
  <c r="P6609" i="1"/>
  <c r="P6623" i="1"/>
  <c r="P6626" i="1"/>
  <c r="P6629" i="1"/>
  <c r="P6574" i="1"/>
  <c r="P6587" i="1"/>
  <c r="P6526" i="1"/>
  <c r="P6558" i="1"/>
  <c r="P6539" i="1"/>
  <c r="P6417" i="1"/>
  <c r="P6503" i="1"/>
  <c r="P6511" i="1"/>
  <c r="P6510" i="1"/>
  <c r="P6452" i="1"/>
  <c r="P6479" i="1"/>
  <c r="P6475" i="1"/>
  <c r="P6471" i="1"/>
  <c r="P6448" i="1"/>
  <c r="P6427" i="1"/>
  <c r="P6118" i="1"/>
  <c r="P6449" i="1"/>
  <c r="P6438" i="1"/>
  <c r="P6445" i="1"/>
  <c r="P6437" i="1"/>
  <c r="P6414" i="1"/>
  <c r="P6406" i="1"/>
  <c r="P6393" i="1"/>
  <c r="P6387" i="1"/>
  <c r="P6383" i="1"/>
  <c r="P6369" i="1"/>
  <c r="P6358" i="1"/>
  <c r="P6354" i="1"/>
  <c r="P6344" i="1"/>
  <c r="P6350" i="1"/>
  <c r="P6351" i="1"/>
  <c r="P6338" i="1"/>
  <c r="P6313" i="1"/>
  <c r="P6326" i="1"/>
  <c r="P6304" i="1"/>
  <c r="P6224" i="1"/>
  <c r="P6301" i="1"/>
  <c r="P6302" i="1"/>
  <c r="P6295" i="1"/>
  <c r="P6284" i="1"/>
  <c r="P6249" i="1"/>
  <c r="P6204" i="1"/>
  <c r="P6211" i="1"/>
  <c r="P6180" i="1"/>
  <c r="P6187" i="1"/>
  <c r="P6200" i="1"/>
  <c r="P6176" i="1"/>
  <c r="P6171" i="1"/>
  <c r="P6162" i="1"/>
  <c r="P6151" i="1"/>
  <c r="P6148" i="1"/>
  <c r="P6131" i="1"/>
  <c r="P6134" i="1"/>
  <c r="P6124" i="1"/>
  <c r="P6107" i="1"/>
  <c r="P6115" i="1"/>
  <c r="P6114" i="1"/>
  <c r="P6083" i="1"/>
  <c r="P6097" i="1"/>
  <c r="P6088" i="1"/>
  <c r="G6075" i="1"/>
  <c r="G6071" i="1"/>
  <c r="G6069" i="1"/>
  <c r="G6068" i="1"/>
  <c r="O6066" i="1" l="1"/>
  <c r="P6066" i="1" s="1"/>
  <c r="O6067" i="1"/>
  <c r="P6067" i="1" s="1"/>
  <c r="O6068" i="1"/>
  <c r="P6068" i="1" s="1"/>
  <c r="O6069" i="1"/>
  <c r="P6069" i="1" s="1"/>
  <c r="O6070" i="1"/>
  <c r="P6070" i="1" s="1"/>
  <c r="O6071" i="1"/>
  <c r="P6071" i="1" s="1"/>
  <c r="O6072" i="1"/>
  <c r="P6072" i="1" s="1"/>
  <c r="O6073" i="1"/>
  <c r="P6073" i="1" s="1"/>
  <c r="O6075" i="1"/>
  <c r="P6075" i="1" s="1"/>
  <c r="G6063" i="1"/>
  <c r="O6058" i="1"/>
  <c r="P6058" i="1" s="1"/>
  <c r="O6059" i="1"/>
  <c r="P6059" i="1" s="1"/>
  <c r="O6060" i="1"/>
  <c r="P6060" i="1" s="1"/>
  <c r="O6061" i="1"/>
  <c r="P6061" i="1" s="1"/>
  <c r="O6062" i="1"/>
  <c r="P6062" i="1" s="1"/>
  <c r="O6063" i="1"/>
  <c r="O6064" i="1"/>
  <c r="P6064" i="1" s="1"/>
  <c r="O6065" i="1"/>
  <c r="P6065" i="1" s="1"/>
  <c r="O6047" i="1"/>
  <c r="P6047" i="1" s="1"/>
  <c r="O6048" i="1"/>
  <c r="P6048" i="1" s="1"/>
  <c r="O6049" i="1"/>
  <c r="P6049" i="1" s="1"/>
  <c r="O6050" i="1"/>
  <c r="P6050" i="1" s="1"/>
  <c r="O6051" i="1"/>
  <c r="P6051" i="1" s="1"/>
  <c r="O6052" i="1"/>
  <c r="P6052" i="1" s="1"/>
  <c r="O6053" i="1"/>
  <c r="P6053" i="1" s="1"/>
  <c r="O6054" i="1"/>
  <c r="P6054" i="1" s="1"/>
  <c r="O6055" i="1"/>
  <c r="P6055" i="1" s="1"/>
  <c r="O6056" i="1"/>
  <c r="P6056" i="1" s="1"/>
  <c r="O6057" i="1"/>
  <c r="P6057" i="1" s="1"/>
  <c r="O6044" i="1"/>
  <c r="P6044" i="1" s="1"/>
  <c r="O6045" i="1"/>
  <c r="P6045" i="1" s="1"/>
  <c r="O6046" i="1"/>
  <c r="P6046" i="1" s="1"/>
  <c r="O6038" i="1"/>
  <c r="P6038" i="1" s="1"/>
  <c r="O6039" i="1"/>
  <c r="P6039" i="1" s="1"/>
  <c r="O6040" i="1"/>
  <c r="P6040" i="1" s="1"/>
  <c r="O6041" i="1"/>
  <c r="P6041" i="1" s="1"/>
  <c r="O6042" i="1"/>
  <c r="P6042" i="1" s="1"/>
  <c r="O6043" i="1"/>
  <c r="P6043" i="1" s="1"/>
  <c r="G6032" i="1"/>
  <c r="O6031" i="1"/>
  <c r="P6031" i="1" s="1"/>
  <c r="O6032" i="1"/>
  <c r="O6033" i="1"/>
  <c r="P6033" i="1" s="1"/>
  <c r="O6034" i="1"/>
  <c r="P6034" i="1" s="1"/>
  <c r="O6035" i="1"/>
  <c r="P6035" i="1" s="1"/>
  <c r="O6036" i="1"/>
  <c r="P6036" i="1" s="1"/>
  <c r="O6037" i="1"/>
  <c r="P6037" i="1" s="1"/>
  <c r="G6027" i="1"/>
  <c r="O6022" i="1"/>
  <c r="P6022" i="1" s="1"/>
  <c r="O6023" i="1"/>
  <c r="P6023" i="1" s="1"/>
  <c r="O6024" i="1"/>
  <c r="P6024" i="1" s="1"/>
  <c r="O6025" i="1"/>
  <c r="P6025" i="1" s="1"/>
  <c r="O6026" i="1"/>
  <c r="P6026" i="1" s="1"/>
  <c r="O6027" i="1"/>
  <c r="O6028" i="1"/>
  <c r="P6028" i="1" s="1"/>
  <c r="O6029" i="1"/>
  <c r="P6029" i="1" s="1"/>
  <c r="O6030" i="1"/>
  <c r="P6030" i="1" s="1"/>
  <c r="G6013" i="1"/>
  <c r="G6011" i="1"/>
  <c r="O6011" i="1"/>
  <c r="O6012" i="1"/>
  <c r="P6012" i="1" s="1"/>
  <c r="O6013" i="1"/>
  <c r="O6014" i="1"/>
  <c r="P6014" i="1" s="1"/>
  <c r="O6015" i="1"/>
  <c r="P6015" i="1" s="1"/>
  <c r="O6016" i="1"/>
  <c r="P6016" i="1" s="1"/>
  <c r="O6017" i="1"/>
  <c r="P6017" i="1" s="1"/>
  <c r="O6018" i="1"/>
  <c r="P6018" i="1" s="1"/>
  <c r="O6019" i="1"/>
  <c r="P6019" i="1" s="1"/>
  <c r="O6020" i="1"/>
  <c r="P6020" i="1" s="1"/>
  <c r="O6021" i="1"/>
  <c r="P6021" i="1" s="1"/>
  <c r="A26" i="8"/>
  <c r="A25" i="8"/>
  <c r="C28" i="8"/>
  <c r="C23" i="8"/>
  <c r="A21" i="8"/>
  <c r="O6009" i="1"/>
  <c r="P6009" i="1" s="1"/>
  <c r="O6010" i="1"/>
  <c r="P6010" i="1" s="1"/>
  <c r="G6004" i="1"/>
  <c r="O6002" i="1"/>
  <c r="P6002" i="1" s="1"/>
  <c r="O6003" i="1"/>
  <c r="P6003" i="1" s="1"/>
  <c r="O6004" i="1"/>
  <c r="O6005" i="1"/>
  <c r="P6005" i="1" s="1"/>
  <c r="O6006" i="1"/>
  <c r="P6006" i="1" s="1"/>
  <c r="O6007" i="1"/>
  <c r="P6007" i="1" s="1"/>
  <c r="O6008" i="1"/>
  <c r="P6008" i="1" s="1"/>
  <c r="G5999" i="1"/>
  <c r="G5997" i="1"/>
  <c r="G5996" i="1"/>
  <c r="O5995" i="1"/>
  <c r="P5995" i="1" s="1"/>
  <c r="O5996" i="1"/>
  <c r="O5997" i="1"/>
  <c r="O5998" i="1"/>
  <c r="P5998" i="1" s="1"/>
  <c r="O5999" i="1"/>
  <c r="O6000" i="1"/>
  <c r="P6000" i="1" s="1"/>
  <c r="O6001" i="1"/>
  <c r="P6001" i="1" s="1"/>
  <c r="G5990" i="1"/>
  <c r="G5987" i="1"/>
  <c r="G5991" i="1"/>
  <c r="G5986" i="1"/>
  <c r="O5984" i="1"/>
  <c r="P5984" i="1" s="1"/>
  <c r="O5985" i="1"/>
  <c r="P5985" i="1" s="1"/>
  <c r="O5986" i="1"/>
  <c r="O5987" i="1"/>
  <c r="O5988" i="1"/>
  <c r="P5988" i="1" s="1"/>
  <c r="O5989" i="1"/>
  <c r="P5989" i="1" s="1"/>
  <c r="O5990" i="1"/>
  <c r="O5991" i="1"/>
  <c r="O5992" i="1"/>
  <c r="P5992" i="1" s="1"/>
  <c r="O5993" i="1"/>
  <c r="P5993" i="1" s="1"/>
  <c r="O5994" i="1"/>
  <c r="P5994" i="1" s="1"/>
  <c r="E21" i="8"/>
  <c r="G14" i="8"/>
  <c r="D14" i="8" s="1"/>
  <c r="G15" i="8"/>
  <c r="D15" i="8" s="1"/>
  <c r="G16" i="8"/>
  <c r="D16" i="8" s="1"/>
  <c r="G17" i="8"/>
  <c r="F17" i="8" s="1"/>
  <c r="G18" i="8"/>
  <c r="D18" i="8" s="1"/>
  <c r="G19" i="8"/>
  <c r="D19" i="8" s="1"/>
  <c r="G20" i="8"/>
  <c r="F20" i="8" s="1"/>
  <c r="G13" i="8"/>
  <c r="D13" i="8" s="1"/>
  <c r="C27" i="8"/>
  <c r="P6013" i="1" l="1"/>
  <c r="P6063" i="1"/>
  <c r="P6032" i="1"/>
  <c r="P6027" i="1"/>
  <c r="P6011" i="1"/>
  <c r="D20" i="8"/>
  <c r="F19" i="8"/>
  <c r="D17" i="8"/>
  <c r="F16" i="8"/>
  <c r="A24" i="8"/>
  <c r="F15" i="8"/>
  <c r="P6004" i="1"/>
  <c r="P5996" i="1"/>
  <c r="P5999" i="1"/>
  <c r="P5990" i="1"/>
  <c r="P5997" i="1"/>
  <c r="P5987" i="1"/>
  <c r="P5991" i="1"/>
  <c r="P5986" i="1"/>
  <c r="F13" i="8"/>
  <c r="F18" i="8"/>
  <c r="F14" i="8"/>
  <c r="C29" i="8"/>
  <c r="C21" i="8"/>
  <c r="G5983" i="1"/>
  <c r="O5972" i="1"/>
  <c r="O5973" i="1"/>
  <c r="P5973" i="1" s="1"/>
  <c r="O5974" i="1"/>
  <c r="P5974" i="1" s="1"/>
  <c r="O5975" i="1"/>
  <c r="O5976" i="1"/>
  <c r="P5976" i="1" s="1"/>
  <c r="O5977" i="1"/>
  <c r="P5977" i="1" s="1"/>
  <c r="O5978" i="1"/>
  <c r="O5979" i="1"/>
  <c r="P5979" i="1" s="1"/>
  <c r="O5980" i="1"/>
  <c r="P5980" i="1" s="1"/>
  <c r="O5981" i="1"/>
  <c r="P5981" i="1" s="1"/>
  <c r="O5982" i="1"/>
  <c r="P5982" i="1" s="1"/>
  <c r="O5983" i="1"/>
  <c r="G5978" i="1"/>
  <c r="G5972" i="1"/>
  <c r="G5975" i="1"/>
  <c r="O5964" i="1"/>
  <c r="P5964" i="1" s="1"/>
  <c r="O5965" i="1"/>
  <c r="P5965" i="1" s="1"/>
  <c r="O5966" i="1"/>
  <c r="P5966" i="1" s="1"/>
  <c r="O5967" i="1"/>
  <c r="P5967" i="1" s="1"/>
  <c r="O5968" i="1"/>
  <c r="P5968" i="1" s="1"/>
  <c r="O5969" i="1"/>
  <c r="P5969" i="1" s="1"/>
  <c r="O5970" i="1"/>
  <c r="P5970" i="1" s="1"/>
  <c r="O5971" i="1"/>
  <c r="P5971" i="1" s="1"/>
  <c r="O5952" i="1"/>
  <c r="P5952" i="1" s="1"/>
  <c r="O5953" i="1"/>
  <c r="P5953" i="1" s="1"/>
  <c r="O5954" i="1"/>
  <c r="P5954" i="1" s="1"/>
  <c r="O5955" i="1"/>
  <c r="P5955" i="1" s="1"/>
  <c r="O5956" i="1"/>
  <c r="P5956" i="1" s="1"/>
  <c r="O5957" i="1"/>
  <c r="P5957" i="1" s="1"/>
  <c r="O5958" i="1"/>
  <c r="P5958" i="1" s="1"/>
  <c r="O5959" i="1"/>
  <c r="P5959" i="1" s="1"/>
  <c r="O5960" i="1"/>
  <c r="P5960" i="1" s="1"/>
  <c r="O5961" i="1"/>
  <c r="P5961" i="1" s="1"/>
  <c r="O5962" i="1"/>
  <c r="P5962" i="1" s="1"/>
  <c r="O5963" i="1"/>
  <c r="P5963" i="1" s="1"/>
  <c r="G5948" i="1"/>
  <c r="P5978" i="1" l="1"/>
  <c r="G21" i="8"/>
  <c r="F21" i="8" s="1"/>
  <c r="C22" i="8"/>
  <c r="P5975" i="1"/>
  <c r="P5972" i="1"/>
  <c r="P5983" i="1"/>
  <c r="O5945" i="1"/>
  <c r="P5945" i="1" s="1"/>
  <c r="O5946" i="1"/>
  <c r="P5946" i="1" s="1"/>
  <c r="O5947" i="1"/>
  <c r="P5947" i="1" s="1"/>
  <c r="O5948" i="1"/>
  <c r="P5948" i="1" s="1"/>
  <c r="O5949" i="1"/>
  <c r="P5949" i="1" s="1"/>
  <c r="O5950" i="1"/>
  <c r="P5950" i="1" s="1"/>
  <c r="O5951" i="1"/>
  <c r="P5951" i="1" s="1"/>
  <c r="G5943" i="1"/>
  <c r="O5933" i="1"/>
  <c r="P5933" i="1" s="1"/>
  <c r="O5934" i="1"/>
  <c r="P5934" i="1" s="1"/>
  <c r="O5935" i="1"/>
  <c r="P5935" i="1" s="1"/>
  <c r="O5936" i="1"/>
  <c r="P5936" i="1" s="1"/>
  <c r="O5937" i="1"/>
  <c r="P5937" i="1" s="1"/>
  <c r="O5938" i="1"/>
  <c r="P5938" i="1" s="1"/>
  <c r="O5939" i="1"/>
  <c r="P5939" i="1" s="1"/>
  <c r="O5940" i="1"/>
  <c r="P5940" i="1" s="1"/>
  <c r="O5941" i="1"/>
  <c r="P5941" i="1" s="1"/>
  <c r="O5942" i="1"/>
  <c r="P5942" i="1" s="1"/>
  <c r="O5943" i="1"/>
  <c r="O5944" i="1"/>
  <c r="P5944" i="1" s="1"/>
  <c r="G5927" i="1"/>
  <c r="G5921" i="1"/>
  <c r="G5920" i="1"/>
  <c r="O5916" i="1"/>
  <c r="P5916" i="1" s="1"/>
  <c r="O5917" i="1"/>
  <c r="P5917" i="1" s="1"/>
  <c r="O5918" i="1"/>
  <c r="P5918" i="1" s="1"/>
  <c r="O5919" i="1"/>
  <c r="P5919" i="1" s="1"/>
  <c r="O5920" i="1"/>
  <c r="O5921" i="1"/>
  <c r="O5922" i="1"/>
  <c r="P5922" i="1" s="1"/>
  <c r="O5923" i="1"/>
  <c r="P5923" i="1" s="1"/>
  <c r="O5924" i="1"/>
  <c r="P5924" i="1" s="1"/>
  <c r="O5925" i="1"/>
  <c r="P5925" i="1" s="1"/>
  <c r="O5926" i="1"/>
  <c r="P5926" i="1" s="1"/>
  <c r="O5927" i="1"/>
  <c r="O5928" i="1"/>
  <c r="P5928" i="1" s="1"/>
  <c r="O5929" i="1"/>
  <c r="P5929" i="1" s="1"/>
  <c r="O5930" i="1"/>
  <c r="P5930" i="1" s="1"/>
  <c r="O5931" i="1"/>
  <c r="P5931" i="1" s="1"/>
  <c r="O5932" i="1"/>
  <c r="P5932" i="1" s="1"/>
  <c r="O5896" i="1"/>
  <c r="P5896" i="1" s="1"/>
  <c r="O5897" i="1"/>
  <c r="P5897" i="1" s="1"/>
  <c r="O5898" i="1"/>
  <c r="P5898" i="1" s="1"/>
  <c r="O5899" i="1"/>
  <c r="P5899" i="1" s="1"/>
  <c r="O5900" i="1"/>
  <c r="P5900" i="1" s="1"/>
  <c r="O5901" i="1"/>
  <c r="P5901" i="1" s="1"/>
  <c r="O5902" i="1"/>
  <c r="P5902" i="1" s="1"/>
  <c r="O5903" i="1"/>
  <c r="P5903" i="1" s="1"/>
  <c r="O5904" i="1"/>
  <c r="P5904" i="1" s="1"/>
  <c r="O5905" i="1"/>
  <c r="P5905" i="1" s="1"/>
  <c r="O5906" i="1"/>
  <c r="P5906" i="1" s="1"/>
  <c r="O5907" i="1"/>
  <c r="P5907" i="1" s="1"/>
  <c r="O5908" i="1"/>
  <c r="P5908" i="1" s="1"/>
  <c r="O5909" i="1"/>
  <c r="P5909" i="1" s="1"/>
  <c r="O5910" i="1"/>
  <c r="P5910" i="1" s="1"/>
  <c r="O5911" i="1"/>
  <c r="P5911" i="1" s="1"/>
  <c r="O5912" i="1"/>
  <c r="P5912" i="1" s="1"/>
  <c r="O5913" i="1"/>
  <c r="P5913" i="1" s="1"/>
  <c r="O5914" i="1"/>
  <c r="P5914" i="1" s="1"/>
  <c r="O5915" i="1"/>
  <c r="P5915" i="1" s="1"/>
  <c r="O5881" i="1"/>
  <c r="P5881" i="1" s="1"/>
  <c r="O5882" i="1"/>
  <c r="P5882" i="1" s="1"/>
  <c r="O5883" i="1"/>
  <c r="P5883" i="1" s="1"/>
  <c r="O5884" i="1"/>
  <c r="P5884" i="1" s="1"/>
  <c r="O5885" i="1"/>
  <c r="P5885" i="1" s="1"/>
  <c r="O5886" i="1"/>
  <c r="P5886" i="1" s="1"/>
  <c r="O5887" i="1"/>
  <c r="P5887" i="1" s="1"/>
  <c r="O5888" i="1"/>
  <c r="P5888" i="1" s="1"/>
  <c r="O5889" i="1"/>
  <c r="P5889" i="1" s="1"/>
  <c r="O5890" i="1"/>
  <c r="P5890" i="1" s="1"/>
  <c r="O5891" i="1"/>
  <c r="P5891" i="1" s="1"/>
  <c r="O5892" i="1"/>
  <c r="P5892" i="1" s="1"/>
  <c r="O5893" i="1"/>
  <c r="P5893" i="1" s="1"/>
  <c r="O5894" i="1"/>
  <c r="P5894" i="1" s="1"/>
  <c r="O5895" i="1"/>
  <c r="P5895" i="1" s="1"/>
  <c r="O5873" i="1"/>
  <c r="P5873" i="1" s="1"/>
  <c r="O5874" i="1"/>
  <c r="P5874" i="1" s="1"/>
  <c r="O5875" i="1"/>
  <c r="P5875" i="1" s="1"/>
  <c r="O5876" i="1"/>
  <c r="P5876" i="1" s="1"/>
  <c r="O5877" i="1"/>
  <c r="P5877" i="1" s="1"/>
  <c r="O5878" i="1"/>
  <c r="P5878" i="1" s="1"/>
  <c r="O5879" i="1"/>
  <c r="P5879" i="1" s="1"/>
  <c r="O5880" i="1"/>
  <c r="P5880" i="1" s="1"/>
  <c r="G5864" i="1"/>
  <c r="O5864" i="1"/>
  <c r="O5865" i="1"/>
  <c r="P5865" i="1" s="1"/>
  <c r="O5866" i="1"/>
  <c r="P5866" i="1" s="1"/>
  <c r="O5867" i="1"/>
  <c r="P5867" i="1" s="1"/>
  <c r="O5868" i="1"/>
  <c r="P5868" i="1" s="1"/>
  <c r="O5869" i="1"/>
  <c r="P5869" i="1" s="1"/>
  <c r="O5870" i="1"/>
  <c r="P5870" i="1" s="1"/>
  <c r="O5871" i="1"/>
  <c r="P5871" i="1" s="1"/>
  <c r="O5872" i="1"/>
  <c r="P5872" i="1" s="1"/>
  <c r="G5863" i="1"/>
  <c r="O5855" i="1"/>
  <c r="P5855" i="1" s="1"/>
  <c r="O5856" i="1"/>
  <c r="P5856" i="1" s="1"/>
  <c r="O5857" i="1"/>
  <c r="P5857" i="1" s="1"/>
  <c r="O5858" i="1"/>
  <c r="P5858" i="1" s="1"/>
  <c r="O5859" i="1"/>
  <c r="P5859" i="1" s="1"/>
  <c r="O5860" i="1"/>
  <c r="P5860" i="1" s="1"/>
  <c r="O5861" i="1"/>
  <c r="P5861" i="1" s="1"/>
  <c r="O5862" i="1"/>
  <c r="P5862" i="1" s="1"/>
  <c r="O5863" i="1"/>
  <c r="G5847" i="1"/>
  <c r="O5846" i="1"/>
  <c r="P5846" i="1" s="1"/>
  <c r="O5847" i="1"/>
  <c r="O5848" i="1"/>
  <c r="P5848" i="1" s="1"/>
  <c r="O5849" i="1"/>
  <c r="P5849" i="1" s="1"/>
  <c r="O5850" i="1"/>
  <c r="P5850" i="1" s="1"/>
  <c r="O5851" i="1"/>
  <c r="P5851" i="1" s="1"/>
  <c r="O5852" i="1"/>
  <c r="P5852" i="1" s="1"/>
  <c r="O5853" i="1"/>
  <c r="P5853" i="1" s="1"/>
  <c r="O5854" i="1"/>
  <c r="P5854" i="1" s="1"/>
  <c r="G5839" i="1"/>
  <c r="G5841" i="1"/>
  <c r="O5838" i="1"/>
  <c r="P5838" i="1" s="1"/>
  <c r="O5839" i="1"/>
  <c r="O5840" i="1"/>
  <c r="P5840" i="1" s="1"/>
  <c r="O5841" i="1"/>
  <c r="O5842" i="1"/>
  <c r="P5842" i="1" s="1"/>
  <c r="O5843" i="1"/>
  <c r="P5843" i="1" s="1"/>
  <c r="O5844" i="1"/>
  <c r="P5844" i="1" s="1"/>
  <c r="O5845" i="1"/>
  <c r="P5845" i="1" s="1"/>
  <c r="G5836" i="1"/>
  <c r="O5830" i="1"/>
  <c r="P5830" i="1" s="1"/>
  <c r="O5831" i="1"/>
  <c r="P5831" i="1" s="1"/>
  <c r="O5832" i="1"/>
  <c r="P5832" i="1" s="1"/>
  <c r="O5833" i="1"/>
  <c r="P5833" i="1" s="1"/>
  <c r="O5834" i="1"/>
  <c r="P5834" i="1" s="1"/>
  <c r="O5835" i="1"/>
  <c r="P5835" i="1" s="1"/>
  <c r="O5836" i="1"/>
  <c r="O5837" i="1"/>
  <c r="P5837" i="1" s="1"/>
  <c r="G5828" i="1"/>
  <c r="G5822" i="1"/>
  <c r="G5821" i="1"/>
  <c r="O5818" i="1"/>
  <c r="P5818" i="1" s="1"/>
  <c r="O5819" i="1"/>
  <c r="P5819" i="1" s="1"/>
  <c r="O5820" i="1"/>
  <c r="P5820" i="1" s="1"/>
  <c r="O5821" i="1"/>
  <c r="P5821" i="1" s="1"/>
  <c r="O5822" i="1"/>
  <c r="O5823" i="1"/>
  <c r="P5823" i="1" s="1"/>
  <c r="O5824" i="1"/>
  <c r="P5824" i="1" s="1"/>
  <c r="O5825" i="1"/>
  <c r="P5825" i="1" s="1"/>
  <c r="O5826" i="1"/>
  <c r="P5826" i="1" s="1"/>
  <c r="O5827" i="1"/>
  <c r="P5827" i="1" s="1"/>
  <c r="O5828" i="1"/>
  <c r="O5829" i="1"/>
  <c r="P5829" i="1" s="1"/>
  <c r="O5811" i="1"/>
  <c r="P5811" i="1" s="1"/>
  <c r="O5812" i="1"/>
  <c r="P5812" i="1" s="1"/>
  <c r="O5813" i="1"/>
  <c r="P5813" i="1" s="1"/>
  <c r="O5814" i="1"/>
  <c r="P5814" i="1" s="1"/>
  <c r="O5815" i="1"/>
  <c r="P5815" i="1" s="1"/>
  <c r="O5816" i="1"/>
  <c r="P5816" i="1" s="1"/>
  <c r="O5817" i="1"/>
  <c r="P5817" i="1" s="1"/>
  <c r="G5804" i="1"/>
  <c r="O5804" i="1"/>
  <c r="O5805" i="1"/>
  <c r="P5805" i="1" s="1"/>
  <c r="O5806" i="1"/>
  <c r="P5806" i="1" s="1"/>
  <c r="O5807" i="1"/>
  <c r="P5807" i="1" s="1"/>
  <c r="O5808" i="1"/>
  <c r="P5808" i="1" s="1"/>
  <c r="O5809" i="1"/>
  <c r="P5809" i="1" s="1"/>
  <c r="O5810" i="1"/>
  <c r="P5810" i="1" s="1"/>
  <c r="G5803" i="1"/>
  <c r="O5796" i="1"/>
  <c r="P5796" i="1" s="1"/>
  <c r="O5797" i="1"/>
  <c r="P5797" i="1" s="1"/>
  <c r="O5798" i="1"/>
  <c r="P5798" i="1" s="1"/>
  <c r="O5799" i="1"/>
  <c r="P5799" i="1" s="1"/>
  <c r="O5800" i="1"/>
  <c r="P5800" i="1" s="1"/>
  <c r="O5801" i="1"/>
  <c r="P5801" i="1" s="1"/>
  <c r="O5802" i="1"/>
  <c r="P5802" i="1" s="1"/>
  <c r="O5803" i="1"/>
  <c r="G5792" i="1"/>
  <c r="G5784" i="1"/>
  <c r="G5781" i="1"/>
  <c r="O5780" i="1"/>
  <c r="P5780" i="1" s="1"/>
  <c r="O5781" i="1"/>
  <c r="O5782" i="1"/>
  <c r="P5782" i="1" s="1"/>
  <c r="O5783" i="1"/>
  <c r="P5783" i="1" s="1"/>
  <c r="O5784" i="1"/>
  <c r="O5785" i="1"/>
  <c r="P5785" i="1" s="1"/>
  <c r="O5786" i="1"/>
  <c r="P5786" i="1" s="1"/>
  <c r="O5787" i="1"/>
  <c r="P5787" i="1" s="1"/>
  <c r="O5788" i="1"/>
  <c r="P5788" i="1" s="1"/>
  <c r="O5789" i="1"/>
  <c r="P5789" i="1" s="1"/>
  <c r="O5790" i="1"/>
  <c r="P5790" i="1" s="1"/>
  <c r="O5791" i="1"/>
  <c r="P5791" i="1" s="1"/>
  <c r="O5792" i="1"/>
  <c r="O5793" i="1"/>
  <c r="P5793" i="1" s="1"/>
  <c r="O5794" i="1"/>
  <c r="P5794" i="1" s="1"/>
  <c r="O5795" i="1"/>
  <c r="P5795" i="1" s="1"/>
  <c r="G5774" i="1"/>
  <c r="G5773" i="1"/>
  <c r="O5773" i="1"/>
  <c r="O5774" i="1"/>
  <c r="O5775" i="1"/>
  <c r="P5775" i="1" s="1"/>
  <c r="O5776" i="1"/>
  <c r="P5776" i="1" s="1"/>
  <c r="O5777" i="1"/>
  <c r="P5777" i="1" s="1"/>
  <c r="O5778" i="1"/>
  <c r="P5778" i="1" s="1"/>
  <c r="O5779" i="1"/>
  <c r="P5779" i="1" s="1"/>
  <c r="G5760" i="1"/>
  <c r="O5759" i="1"/>
  <c r="P5759" i="1" s="1"/>
  <c r="O5760" i="1"/>
  <c r="O5761" i="1"/>
  <c r="P5761" i="1" s="1"/>
  <c r="O5762" i="1"/>
  <c r="P5762" i="1" s="1"/>
  <c r="O5763" i="1"/>
  <c r="P5763" i="1" s="1"/>
  <c r="O5764" i="1"/>
  <c r="P5764" i="1" s="1"/>
  <c r="O5765" i="1"/>
  <c r="P5765" i="1" s="1"/>
  <c r="O5766" i="1"/>
  <c r="P5766" i="1" s="1"/>
  <c r="O5767" i="1"/>
  <c r="P5767" i="1" s="1"/>
  <c r="O5768" i="1"/>
  <c r="P5768" i="1" s="1"/>
  <c r="O5769" i="1"/>
  <c r="P5769" i="1" s="1"/>
  <c r="O5770" i="1"/>
  <c r="P5770" i="1" s="1"/>
  <c r="O5771" i="1"/>
  <c r="P5771" i="1" s="1"/>
  <c r="O5772" i="1"/>
  <c r="P5772" i="1" s="1"/>
  <c r="G5750" i="1"/>
  <c r="G5754" i="1"/>
  <c r="G5751" i="1"/>
  <c r="G5748" i="1"/>
  <c r="O5747" i="1"/>
  <c r="P5747" i="1" s="1"/>
  <c r="O5748" i="1"/>
  <c r="O5749" i="1"/>
  <c r="P5749" i="1" s="1"/>
  <c r="O5750" i="1"/>
  <c r="O5751" i="1"/>
  <c r="O5752" i="1"/>
  <c r="P5752" i="1" s="1"/>
  <c r="O5753" i="1"/>
  <c r="P5753" i="1" s="1"/>
  <c r="O5754" i="1"/>
  <c r="O5755" i="1"/>
  <c r="P5755" i="1" s="1"/>
  <c r="O5756" i="1"/>
  <c r="P5756" i="1" s="1"/>
  <c r="O5757" i="1"/>
  <c r="P5757" i="1" s="1"/>
  <c r="O5758" i="1"/>
  <c r="P5758" i="1" s="1"/>
  <c r="G5742" i="1"/>
  <c r="O5737" i="1"/>
  <c r="P5737" i="1" s="1"/>
  <c r="O5738" i="1"/>
  <c r="P5738" i="1" s="1"/>
  <c r="O5739" i="1"/>
  <c r="P5739" i="1" s="1"/>
  <c r="O5740" i="1"/>
  <c r="P5740" i="1" s="1"/>
  <c r="O5741" i="1"/>
  <c r="P5741" i="1" s="1"/>
  <c r="O5742" i="1"/>
  <c r="O5743" i="1"/>
  <c r="P5743" i="1" s="1"/>
  <c r="O5744" i="1"/>
  <c r="P5744" i="1" s="1"/>
  <c r="O5745" i="1"/>
  <c r="P5745" i="1" s="1"/>
  <c r="O5746" i="1"/>
  <c r="P5746" i="1" s="1"/>
  <c r="G5731" i="1"/>
  <c r="G5729" i="1"/>
  <c r="G5727" i="1"/>
  <c r="O5726" i="1"/>
  <c r="P5726" i="1" s="1"/>
  <c r="O5727" i="1"/>
  <c r="O5728" i="1"/>
  <c r="P5728" i="1" s="1"/>
  <c r="O5729" i="1"/>
  <c r="O5730" i="1"/>
  <c r="P5730" i="1" s="1"/>
  <c r="O5731" i="1"/>
  <c r="O5732" i="1"/>
  <c r="P5732" i="1" s="1"/>
  <c r="O5733" i="1"/>
  <c r="P5733" i="1" s="1"/>
  <c r="O5734" i="1"/>
  <c r="P5734" i="1" s="1"/>
  <c r="O5735" i="1"/>
  <c r="P5735" i="1" s="1"/>
  <c r="O5736" i="1"/>
  <c r="P5736" i="1" s="1"/>
  <c r="G5719" i="1"/>
  <c r="G5717" i="1"/>
  <c r="O5715" i="1"/>
  <c r="P5715" i="1" s="1"/>
  <c r="O5716" i="1"/>
  <c r="P5716" i="1" s="1"/>
  <c r="O5717" i="1"/>
  <c r="O5718" i="1"/>
  <c r="P5718" i="1" s="1"/>
  <c r="O5719" i="1"/>
  <c r="O5720" i="1"/>
  <c r="P5720" i="1" s="1"/>
  <c r="O5721" i="1"/>
  <c r="P5721" i="1" s="1"/>
  <c r="O5722" i="1"/>
  <c r="P5722" i="1" s="1"/>
  <c r="O5723" i="1"/>
  <c r="P5723" i="1" s="1"/>
  <c r="O5724" i="1"/>
  <c r="P5724" i="1" s="1"/>
  <c r="O5725" i="1"/>
  <c r="P5725" i="1" s="1"/>
  <c r="G5705" i="1"/>
  <c r="G5704" i="1"/>
  <c r="O5703" i="1"/>
  <c r="P5703" i="1" s="1"/>
  <c r="O5704" i="1"/>
  <c r="O5705" i="1"/>
  <c r="O5706" i="1"/>
  <c r="P5706" i="1" s="1"/>
  <c r="O5707" i="1"/>
  <c r="P5707" i="1" s="1"/>
  <c r="O5708" i="1"/>
  <c r="P5708" i="1" s="1"/>
  <c r="O5709" i="1"/>
  <c r="P5709" i="1" s="1"/>
  <c r="O5710" i="1"/>
  <c r="P5710" i="1" s="1"/>
  <c r="O5711" i="1"/>
  <c r="P5711" i="1" s="1"/>
  <c r="O5712" i="1"/>
  <c r="P5712" i="1" s="1"/>
  <c r="O5713" i="1"/>
  <c r="P5713" i="1" s="1"/>
  <c r="O5714" i="1"/>
  <c r="P5714" i="1" s="1"/>
  <c r="G5693" i="1"/>
  <c r="O5692" i="1"/>
  <c r="P5692" i="1" s="1"/>
  <c r="O5693" i="1"/>
  <c r="O5694" i="1"/>
  <c r="P5694" i="1" s="1"/>
  <c r="O5695" i="1"/>
  <c r="P5695" i="1" s="1"/>
  <c r="O5696" i="1"/>
  <c r="P5696" i="1" s="1"/>
  <c r="O5697" i="1"/>
  <c r="P5697" i="1" s="1"/>
  <c r="O5698" i="1"/>
  <c r="P5698" i="1" s="1"/>
  <c r="O5699" i="1"/>
  <c r="P5699" i="1" s="1"/>
  <c r="O5700" i="1"/>
  <c r="P5700" i="1" s="1"/>
  <c r="O5701" i="1"/>
  <c r="P5701" i="1" s="1"/>
  <c r="O5702" i="1"/>
  <c r="P5702" i="1" s="1"/>
  <c r="G5684" i="1"/>
  <c r="O5680" i="1"/>
  <c r="P5680" i="1" s="1"/>
  <c r="O5681" i="1"/>
  <c r="P5681" i="1" s="1"/>
  <c r="O5682" i="1"/>
  <c r="P5682" i="1" s="1"/>
  <c r="O5683" i="1"/>
  <c r="P5683" i="1" s="1"/>
  <c r="O5684" i="1"/>
  <c r="O5685" i="1"/>
  <c r="P5685" i="1" s="1"/>
  <c r="O5686" i="1"/>
  <c r="P5686" i="1" s="1"/>
  <c r="O5687" i="1"/>
  <c r="P5687" i="1" s="1"/>
  <c r="O5688" i="1"/>
  <c r="P5688" i="1" s="1"/>
  <c r="O5689" i="1"/>
  <c r="P5689" i="1" s="1"/>
  <c r="O5690" i="1"/>
  <c r="P5690" i="1" s="1"/>
  <c r="O5691" i="1"/>
  <c r="P5691" i="1" s="1"/>
  <c r="O5673" i="1"/>
  <c r="P5673" i="1" s="1"/>
  <c r="O5674" i="1"/>
  <c r="P5674" i="1" s="1"/>
  <c r="O5675" i="1"/>
  <c r="P5675" i="1" s="1"/>
  <c r="O5676" i="1"/>
  <c r="P5676" i="1" s="1"/>
  <c r="O5677" i="1"/>
  <c r="P5677" i="1" s="1"/>
  <c r="O5678" i="1"/>
  <c r="P5678" i="1" s="1"/>
  <c r="O5679" i="1"/>
  <c r="P5679" i="1" s="1"/>
  <c r="G5667" i="1"/>
  <c r="G5669" i="1"/>
  <c r="G5663" i="1"/>
  <c r="O5660" i="1"/>
  <c r="P5660" i="1" s="1"/>
  <c r="O5661" i="1"/>
  <c r="P5661" i="1" s="1"/>
  <c r="O5662" i="1"/>
  <c r="P5662" i="1" s="1"/>
  <c r="O5663" i="1"/>
  <c r="O5664" i="1"/>
  <c r="P5664" i="1" s="1"/>
  <c r="O5665" i="1"/>
  <c r="P5665" i="1" s="1"/>
  <c r="O5666" i="1"/>
  <c r="P5666" i="1" s="1"/>
  <c r="O5667" i="1"/>
  <c r="O5668" i="1"/>
  <c r="P5668" i="1" s="1"/>
  <c r="O5669" i="1"/>
  <c r="O5670" i="1"/>
  <c r="P5670" i="1" s="1"/>
  <c r="O5671" i="1"/>
  <c r="P5671" i="1" s="1"/>
  <c r="O5672" i="1"/>
  <c r="P5672" i="1" s="1"/>
  <c r="G5652" i="1"/>
  <c r="G5648" i="1"/>
  <c r="G5647" i="1"/>
  <c r="O5643" i="1"/>
  <c r="P5643" i="1" s="1"/>
  <c r="O5644" i="1"/>
  <c r="P5644" i="1" s="1"/>
  <c r="O5645" i="1"/>
  <c r="P5645" i="1" s="1"/>
  <c r="O5646" i="1"/>
  <c r="P5646" i="1" s="1"/>
  <c r="O5647" i="1"/>
  <c r="O5648" i="1"/>
  <c r="O5649" i="1"/>
  <c r="P5649" i="1" s="1"/>
  <c r="P5650" i="1"/>
  <c r="O5651" i="1"/>
  <c r="P5651" i="1" s="1"/>
  <c r="O5652" i="1"/>
  <c r="O5653" i="1"/>
  <c r="P5653" i="1" s="1"/>
  <c r="O5654" i="1"/>
  <c r="P5654" i="1" s="1"/>
  <c r="O5655" i="1"/>
  <c r="P5655" i="1" s="1"/>
  <c r="O5656" i="1"/>
  <c r="P5656" i="1" s="1"/>
  <c r="O5657" i="1"/>
  <c r="P5657" i="1" s="1"/>
  <c r="O5658" i="1"/>
  <c r="P5658" i="1" s="1"/>
  <c r="O5659" i="1"/>
  <c r="P5659" i="1" s="1"/>
  <c r="G5640" i="1"/>
  <c r="G5641" i="1"/>
  <c r="G5630" i="1"/>
  <c r="O5630" i="1"/>
  <c r="O5631" i="1"/>
  <c r="P5631" i="1" s="1"/>
  <c r="O5632" i="1"/>
  <c r="P5632" i="1" s="1"/>
  <c r="O5633" i="1"/>
  <c r="P5633" i="1" s="1"/>
  <c r="O5634" i="1"/>
  <c r="P5634" i="1" s="1"/>
  <c r="O5635" i="1"/>
  <c r="P5635" i="1" s="1"/>
  <c r="O5636" i="1"/>
  <c r="P5636" i="1" s="1"/>
  <c r="O5637" i="1"/>
  <c r="P5637" i="1" s="1"/>
  <c r="O5638" i="1"/>
  <c r="P5638" i="1" s="1"/>
  <c r="O5639" i="1"/>
  <c r="P5639" i="1" s="1"/>
  <c r="O5640" i="1"/>
  <c r="O5641" i="1"/>
  <c r="O5642" i="1"/>
  <c r="P5642" i="1" s="1"/>
  <c r="G5626" i="1"/>
  <c r="O5614" i="1"/>
  <c r="P5614" i="1" s="1"/>
  <c r="O5615" i="1"/>
  <c r="P5615" i="1" s="1"/>
  <c r="O5616" i="1"/>
  <c r="P5616" i="1" s="1"/>
  <c r="O5617" i="1"/>
  <c r="P5617" i="1" s="1"/>
  <c r="O5618" i="1"/>
  <c r="P5618" i="1" s="1"/>
  <c r="O5619" i="1"/>
  <c r="P5619" i="1" s="1"/>
  <c r="O5620" i="1"/>
  <c r="P5620" i="1" s="1"/>
  <c r="O5621" i="1"/>
  <c r="P5621" i="1" s="1"/>
  <c r="O5622" i="1"/>
  <c r="P5622" i="1" s="1"/>
  <c r="O5623" i="1"/>
  <c r="P5623" i="1" s="1"/>
  <c r="O5624" i="1"/>
  <c r="P5624" i="1" s="1"/>
  <c r="O5625" i="1"/>
  <c r="P5625" i="1" s="1"/>
  <c r="O5626" i="1"/>
  <c r="O5627" i="1"/>
  <c r="P5627" i="1" s="1"/>
  <c r="O5628" i="1"/>
  <c r="P5628" i="1" s="1"/>
  <c r="O5629" i="1"/>
  <c r="P5629" i="1" s="1"/>
  <c r="O5605" i="1"/>
  <c r="P5605" i="1" s="1"/>
  <c r="O5606" i="1"/>
  <c r="P5606" i="1" s="1"/>
  <c r="O5607" i="1"/>
  <c r="P5607" i="1" s="1"/>
  <c r="O5608" i="1"/>
  <c r="P5608" i="1" s="1"/>
  <c r="O5609" i="1"/>
  <c r="P5609" i="1" s="1"/>
  <c r="O5610" i="1"/>
  <c r="P5610" i="1" s="1"/>
  <c r="O5611" i="1"/>
  <c r="P5611" i="1" s="1"/>
  <c r="O5612" i="1"/>
  <c r="P5612" i="1" s="1"/>
  <c r="O5613" i="1"/>
  <c r="P5613" i="1" s="1"/>
  <c r="G5599" i="1"/>
  <c r="O5597" i="1"/>
  <c r="P5597" i="1" s="1"/>
  <c r="O5598" i="1"/>
  <c r="P5598" i="1" s="1"/>
  <c r="O5599" i="1"/>
  <c r="O5600" i="1"/>
  <c r="P5600" i="1" s="1"/>
  <c r="O5601" i="1"/>
  <c r="P5601" i="1" s="1"/>
  <c r="O5602" i="1"/>
  <c r="P5602" i="1" s="1"/>
  <c r="O5603" i="1"/>
  <c r="P5603" i="1" s="1"/>
  <c r="O5604" i="1"/>
  <c r="P5604" i="1" s="1"/>
  <c r="O5586" i="1"/>
  <c r="P5586" i="1" s="1"/>
  <c r="O5587" i="1"/>
  <c r="P5587" i="1" s="1"/>
  <c r="O5588" i="1"/>
  <c r="P5588" i="1" s="1"/>
  <c r="O5589" i="1"/>
  <c r="P5589" i="1" s="1"/>
  <c r="O5590" i="1"/>
  <c r="P5590" i="1" s="1"/>
  <c r="O5591" i="1"/>
  <c r="P5591" i="1" s="1"/>
  <c r="O5592" i="1"/>
  <c r="P5592" i="1" s="1"/>
  <c r="O5593" i="1"/>
  <c r="P5593" i="1" s="1"/>
  <c r="O5594" i="1"/>
  <c r="P5594" i="1" s="1"/>
  <c r="O5595" i="1"/>
  <c r="P5595" i="1" s="1"/>
  <c r="O5596" i="1"/>
  <c r="P5596" i="1" s="1"/>
  <c r="G5578" i="1"/>
  <c r="O5576" i="1"/>
  <c r="P5576" i="1" s="1"/>
  <c r="O5577" i="1"/>
  <c r="P5577" i="1" s="1"/>
  <c r="O5578" i="1"/>
  <c r="O5579" i="1"/>
  <c r="P5579" i="1" s="1"/>
  <c r="O5580" i="1"/>
  <c r="P5580" i="1" s="1"/>
  <c r="O5581" i="1"/>
  <c r="P5581" i="1" s="1"/>
  <c r="O5582" i="1"/>
  <c r="P5582" i="1" s="1"/>
  <c r="O5583" i="1"/>
  <c r="P5583" i="1" s="1"/>
  <c r="O5584" i="1"/>
  <c r="P5584" i="1" s="1"/>
  <c r="O5585" i="1"/>
  <c r="P5585" i="1" s="1"/>
  <c r="G5567" i="1"/>
  <c r="O5565" i="1"/>
  <c r="P5565" i="1" s="1"/>
  <c r="O5566" i="1"/>
  <c r="P5566" i="1" s="1"/>
  <c r="O5567" i="1"/>
  <c r="O5568" i="1"/>
  <c r="P5568" i="1" s="1"/>
  <c r="O5569" i="1"/>
  <c r="P5569" i="1" s="1"/>
  <c r="O5570" i="1"/>
  <c r="P5570" i="1" s="1"/>
  <c r="O5571" i="1"/>
  <c r="P5571" i="1" s="1"/>
  <c r="O5572" i="1"/>
  <c r="P5572" i="1" s="1"/>
  <c r="O5573" i="1"/>
  <c r="P5573" i="1" s="1"/>
  <c r="O5574" i="1"/>
  <c r="P5574" i="1" s="1"/>
  <c r="O5575" i="1"/>
  <c r="P5575" i="1" s="1"/>
  <c r="O5557" i="1"/>
  <c r="P5557" i="1" s="1"/>
  <c r="O5558" i="1"/>
  <c r="P5558" i="1" s="1"/>
  <c r="O5559" i="1"/>
  <c r="P5559" i="1" s="1"/>
  <c r="O5560" i="1"/>
  <c r="P5560" i="1" s="1"/>
  <c r="O5561" i="1"/>
  <c r="P5561" i="1" s="1"/>
  <c r="O5562" i="1"/>
  <c r="P5562" i="1" s="1"/>
  <c r="O5563" i="1"/>
  <c r="P5563" i="1" s="1"/>
  <c r="O5564" i="1"/>
  <c r="P5564" i="1" s="1"/>
  <c r="G5552" i="1"/>
  <c r="G5554" i="1"/>
  <c r="G5546" i="1"/>
  <c r="G5545" i="1"/>
  <c r="O5543" i="1"/>
  <c r="P5543" i="1" s="1"/>
  <c r="O5544" i="1"/>
  <c r="P5544" i="1" s="1"/>
  <c r="O5545" i="1"/>
  <c r="O5546" i="1"/>
  <c r="O5547" i="1"/>
  <c r="P5547" i="1" s="1"/>
  <c r="O5548" i="1"/>
  <c r="P5548" i="1" s="1"/>
  <c r="O5549" i="1"/>
  <c r="P5549" i="1" s="1"/>
  <c r="O5550" i="1"/>
  <c r="P5550" i="1" s="1"/>
  <c r="O5551" i="1"/>
  <c r="P5551" i="1" s="1"/>
  <c r="O5552" i="1"/>
  <c r="O5553" i="1"/>
  <c r="P5553" i="1" s="1"/>
  <c r="O5554" i="1"/>
  <c r="O5555" i="1"/>
  <c r="P5555" i="1" s="1"/>
  <c r="O5556" i="1"/>
  <c r="P5556" i="1" s="1"/>
  <c r="G5533" i="1"/>
  <c r="P5533" i="1" s="1"/>
  <c r="O5534" i="1"/>
  <c r="P5534" i="1" s="1"/>
  <c r="O5535" i="1"/>
  <c r="P5535" i="1" s="1"/>
  <c r="O5536" i="1"/>
  <c r="P5536" i="1" s="1"/>
  <c r="O5537" i="1"/>
  <c r="P5537" i="1" s="1"/>
  <c r="O5538" i="1"/>
  <c r="P5538" i="1" s="1"/>
  <c r="O5539" i="1"/>
  <c r="P5539" i="1" s="1"/>
  <c r="O5540" i="1"/>
  <c r="P5540" i="1" s="1"/>
  <c r="O5541" i="1"/>
  <c r="P5541" i="1" s="1"/>
  <c r="O5542" i="1"/>
  <c r="P5542" i="1" s="1"/>
  <c r="G5528" i="1"/>
  <c r="G5523" i="1"/>
  <c r="G5527" i="1"/>
  <c r="O5518" i="1"/>
  <c r="P5518" i="1" s="1"/>
  <c r="O5519" i="1"/>
  <c r="P5519" i="1" s="1"/>
  <c r="O5520" i="1"/>
  <c r="P5520" i="1" s="1"/>
  <c r="O5521" i="1"/>
  <c r="P5521" i="1" s="1"/>
  <c r="O5522" i="1"/>
  <c r="P5522" i="1" s="1"/>
  <c r="O5523" i="1"/>
  <c r="O5524" i="1"/>
  <c r="P5524" i="1" s="1"/>
  <c r="O5525" i="1"/>
  <c r="P5525" i="1" s="1"/>
  <c r="O5526" i="1"/>
  <c r="P5526" i="1" s="1"/>
  <c r="O5527" i="1"/>
  <c r="O5528" i="1"/>
  <c r="O5529" i="1"/>
  <c r="P5529" i="1" s="1"/>
  <c r="O5530" i="1"/>
  <c r="P5530" i="1" s="1"/>
  <c r="O5531" i="1"/>
  <c r="P5531" i="1" s="1"/>
  <c r="O5532" i="1"/>
  <c r="P5532" i="1" s="1"/>
  <c r="O5514" i="1"/>
  <c r="P5514" i="1" s="1"/>
  <c r="O5515" i="1"/>
  <c r="P5515" i="1" s="1"/>
  <c r="O5516" i="1"/>
  <c r="P5516" i="1" s="1"/>
  <c r="O5517" i="1"/>
  <c r="P5517" i="1" s="1"/>
  <c r="G5512" i="1"/>
  <c r="O5503" i="1"/>
  <c r="P5503" i="1" s="1"/>
  <c r="O5504" i="1"/>
  <c r="P5504" i="1" s="1"/>
  <c r="O5505" i="1"/>
  <c r="P5505" i="1" s="1"/>
  <c r="O5506" i="1"/>
  <c r="P5506" i="1" s="1"/>
  <c r="O5507" i="1"/>
  <c r="P5507" i="1" s="1"/>
  <c r="O5508" i="1"/>
  <c r="P5508" i="1" s="1"/>
  <c r="O5509" i="1"/>
  <c r="P5509" i="1" s="1"/>
  <c r="O5510" i="1"/>
  <c r="P5510" i="1" s="1"/>
  <c r="O5511" i="1"/>
  <c r="P5511" i="1" s="1"/>
  <c r="O5512" i="1"/>
  <c r="O5513" i="1"/>
  <c r="P5513" i="1" s="1"/>
  <c r="G5501" i="1"/>
  <c r="O5493" i="1"/>
  <c r="P5493" i="1" s="1"/>
  <c r="O5494" i="1"/>
  <c r="P5494" i="1" s="1"/>
  <c r="O5495" i="1"/>
  <c r="P5495" i="1" s="1"/>
  <c r="O5496" i="1"/>
  <c r="P5496" i="1" s="1"/>
  <c r="O5497" i="1"/>
  <c r="P5497" i="1" s="1"/>
  <c r="O5498" i="1"/>
  <c r="P5498" i="1" s="1"/>
  <c r="O5499" i="1"/>
  <c r="P5499" i="1" s="1"/>
  <c r="O5500" i="1"/>
  <c r="P5500" i="1" s="1"/>
  <c r="O5501" i="1"/>
  <c r="O5502" i="1"/>
  <c r="P5502" i="1" s="1"/>
  <c r="O5487" i="1"/>
  <c r="P5487" i="1" s="1"/>
  <c r="O5488" i="1"/>
  <c r="P5488" i="1" s="1"/>
  <c r="O5489" i="1"/>
  <c r="P5489" i="1" s="1"/>
  <c r="O5490" i="1"/>
  <c r="P5490" i="1" s="1"/>
  <c r="O5491" i="1"/>
  <c r="P5491" i="1" s="1"/>
  <c r="O5492" i="1"/>
  <c r="P5492" i="1" s="1"/>
  <c r="O5479" i="1"/>
  <c r="P5479" i="1" s="1"/>
  <c r="O5480" i="1"/>
  <c r="P5480" i="1" s="1"/>
  <c r="O5481" i="1"/>
  <c r="P5481" i="1" s="1"/>
  <c r="O5482" i="1"/>
  <c r="P5482" i="1" s="1"/>
  <c r="O5483" i="1"/>
  <c r="P5483" i="1" s="1"/>
  <c r="O5484" i="1"/>
  <c r="P5484" i="1" s="1"/>
  <c r="O5485" i="1"/>
  <c r="P5485" i="1" s="1"/>
  <c r="O5486" i="1"/>
  <c r="P5486" i="1" s="1"/>
  <c r="O5471" i="1"/>
  <c r="P5471" i="1" s="1"/>
  <c r="O5472" i="1"/>
  <c r="P5472" i="1" s="1"/>
  <c r="O5473" i="1"/>
  <c r="P5473" i="1" s="1"/>
  <c r="O5474" i="1"/>
  <c r="P5474" i="1" s="1"/>
  <c r="O5475" i="1"/>
  <c r="P5475" i="1" s="1"/>
  <c r="O5476" i="1"/>
  <c r="P5476" i="1" s="1"/>
  <c r="O5477" i="1"/>
  <c r="P5477" i="1" s="1"/>
  <c r="O5478" i="1"/>
  <c r="P5478" i="1" s="1"/>
  <c r="G5470" i="1"/>
  <c r="O5460" i="1"/>
  <c r="P5460" i="1" s="1"/>
  <c r="O5461" i="1"/>
  <c r="P5461" i="1" s="1"/>
  <c r="O5462" i="1"/>
  <c r="P5462" i="1" s="1"/>
  <c r="O5463" i="1"/>
  <c r="P5463" i="1" s="1"/>
  <c r="O5464" i="1"/>
  <c r="P5464" i="1" s="1"/>
  <c r="O5465" i="1"/>
  <c r="P5465" i="1" s="1"/>
  <c r="O5466" i="1"/>
  <c r="P5466" i="1" s="1"/>
  <c r="O5467" i="1"/>
  <c r="P5467" i="1" s="1"/>
  <c r="O5468" i="1"/>
  <c r="P5468" i="1" s="1"/>
  <c r="O5469" i="1"/>
  <c r="P5469" i="1" s="1"/>
  <c r="O5470" i="1"/>
  <c r="G5456" i="1"/>
  <c r="G5452" i="1"/>
  <c r="O5449" i="1"/>
  <c r="P5449" i="1" s="1"/>
  <c r="O5450" i="1"/>
  <c r="P5450" i="1" s="1"/>
  <c r="O5451" i="1"/>
  <c r="P5451" i="1" s="1"/>
  <c r="O5452" i="1"/>
  <c r="O5453" i="1"/>
  <c r="P5453" i="1" s="1"/>
  <c r="O5454" i="1"/>
  <c r="P5454" i="1" s="1"/>
  <c r="O5455" i="1"/>
  <c r="P5455" i="1" s="1"/>
  <c r="O5456" i="1"/>
  <c r="O5457" i="1"/>
  <c r="P5457" i="1" s="1"/>
  <c r="O5458" i="1"/>
  <c r="P5458" i="1" s="1"/>
  <c r="O5459" i="1"/>
  <c r="P5459" i="1" s="1"/>
  <c r="G5442" i="1"/>
  <c r="O5439" i="1"/>
  <c r="P5439" i="1" s="1"/>
  <c r="O5440" i="1"/>
  <c r="P5440" i="1" s="1"/>
  <c r="O5441" i="1"/>
  <c r="P5441" i="1" s="1"/>
  <c r="O5442" i="1"/>
  <c r="O5443" i="1"/>
  <c r="P5443" i="1" s="1"/>
  <c r="O5444" i="1"/>
  <c r="P5444" i="1" s="1"/>
  <c r="O5445" i="1"/>
  <c r="P5445" i="1" s="1"/>
  <c r="O5446" i="1"/>
  <c r="P5446" i="1" s="1"/>
  <c r="O5447" i="1"/>
  <c r="P5447" i="1" s="1"/>
  <c r="O5448" i="1"/>
  <c r="P5448" i="1" s="1"/>
  <c r="O5429" i="1"/>
  <c r="P5429" i="1" s="1"/>
  <c r="O5430" i="1"/>
  <c r="P5430" i="1" s="1"/>
  <c r="O5431" i="1"/>
  <c r="P5431" i="1" s="1"/>
  <c r="O5432" i="1"/>
  <c r="P5432" i="1" s="1"/>
  <c r="O5433" i="1"/>
  <c r="P5433" i="1" s="1"/>
  <c r="O5434" i="1"/>
  <c r="P5434" i="1" s="1"/>
  <c r="O5435" i="1"/>
  <c r="P5435" i="1" s="1"/>
  <c r="O5436" i="1"/>
  <c r="P5436" i="1" s="1"/>
  <c r="O5437" i="1"/>
  <c r="P5437" i="1" s="1"/>
  <c r="O5438" i="1"/>
  <c r="P5438" i="1" s="1"/>
  <c r="O5421" i="1"/>
  <c r="P5421" i="1" s="1"/>
  <c r="O5422" i="1"/>
  <c r="P5422" i="1" s="1"/>
  <c r="O5423" i="1"/>
  <c r="P5423" i="1" s="1"/>
  <c r="O5424" i="1"/>
  <c r="P5424" i="1" s="1"/>
  <c r="O5425" i="1"/>
  <c r="P5425" i="1" s="1"/>
  <c r="O5426" i="1"/>
  <c r="P5426" i="1" s="1"/>
  <c r="O5427" i="1"/>
  <c r="P5427" i="1" s="1"/>
  <c r="O5428" i="1"/>
  <c r="P5428" i="1" s="1"/>
  <c r="G5414" i="1"/>
  <c r="G5411" i="1"/>
  <c r="G5413" i="1"/>
  <c r="O5411" i="1"/>
  <c r="O5412" i="1"/>
  <c r="P5412" i="1" s="1"/>
  <c r="O5413" i="1"/>
  <c r="O5414" i="1"/>
  <c r="O5415" i="1"/>
  <c r="P5415" i="1" s="1"/>
  <c r="O5416" i="1"/>
  <c r="P5416" i="1" s="1"/>
  <c r="O5417" i="1"/>
  <c r="P5417" i="1" s="1"/>
  <c r="O5418" i="1"/>
  <c r="P5418" i="1" s="1"/>
  <c r="O5419" i="1"/>
  <c r="P5419" i="1" s="1"/>
  <c r="O5420" i="1"/>
  <c r="P5420" i="1" s="1"/>
  <c r="O5402" i="1"/>
  <c r="P5402" i="1" s="1"/>
  <c r="O5403" i="1"/>
  <c r="P5403" i="1" s="1"/>
  <c r="O5404" i="1"/>
  <c r="P5404" i="1" s="1"/>
  <c r="O5405" i="1"/>
  <c r="P5405" i="1" s="1"/>
  <c r="O5406" i="1"/>
  <c r="P5406" i="1" s="1"/>
  <c r="O5407" i="1"/>
  <c r="P5407" i="1" s="1"/>
  <c r="O5408" i="1"/>
  <c r="P5408" i="1" s="1"/>
  <c r="O5409" i="1"/>
  <c r="P5409" i="1" s="1"/>
  <c r="O5410" i="1"/>
  <c r="P5410" i="1" s="1"/>
  <c r="G5392" i="1"/>
  <c r="G5393" i="1"/>
  <c r="G5399" i="1"/>
  <c r="G5390" i="1"/>
  <c r="O5390" i="1"/>
  <c r="O5391" i="1"/>
  <c r="P5391" i="1" s="1"/>
  <c r="O5392" i="1"/>
  <c r="O5393" i="1"/>
  <c r="O5394" i="1"/>
  <c r="P5394" i="1" s="1"/>
  <c r="O5395" i="1"/>
  <c r="P5395" i="1" s="1"/>
  <c r="O5396" i="1"/>
  <c r="P5396" i="1" s="1"/>
  <c r="O5397" i="1"/>
  <c r="P5397" i="1" s="1"/>
  <c r="O5398" i="1"/>
  <c r="P5398" i="1" s="1"/>
  <c r="O5399" i="1"/>
  <c r="O5400" i="1"/>
  <c r="P5400" i="1" s="1"/>
  <c r="O5401" i="1"/>
  <c r="P5401" i="1" s="1"/>
  <c r="O5387" i="1"/>
  <c r="P5387" i="1" s="1"/>
  <c r="O5388" i="1"/>
  <c r="P5388" i="1" s="1"/>
  <c r="O5389" i="1"/>
  <c r="P5389" i="1" s="1"/>
  <c r="G5386" i="1"/>
  <c r="O5380" i="1"/>
  <c r="P5380" i="1" s="1"/>
  <c r="O5381" i="1"/>
  <c r="P5381" i="1" s="1"/>
  <c r="O5382" i="1"/>
  <c r="P5382" i="1" s="1"/>
  <c r="O5383" i="1"/>
  <c r="P5383" i="1" s="1"/>
  <c r="O5384" i="1"/>
  <c r="P5384" i="1" s="1"/>
  <c r="O5385" i="1"/>
  <c r="P5385" i="1" s="1"/>
  <c r="O5386" i="1"/>
  <c r="O5370" i="1"/>
  <c r="P5370" i="1" s="1"/>
  <c r="O5371" i="1"/>
  <c r="P5371" i="1" s="1"/>
  <c r="O5372" i="1"/>
  <c r="P5372" i="1" s="1"/>
  <c r="O5373" i="1"/>
  <c r="P5373" i="1" s="1"/>
  <c r="O5374" i="1"/>
  <c r="P5374" i="1" s="1"/>
  <c r="O5375" i="1"/>
  <c r="P5375" i="1" s="1"/>
  <c r="O5376" i="1"/>
  <c r="P5376" i="1" s="1"/>
  <c r="O5377" i="1"/>
  <c r="P5377" i="1" s="1"/>
  <c r="O5378" i="1"/>
  <c r="P5378" i="1" s="1"/>
  <c r="O5379" i="1"/>
  <c r="P5379" i="1" s="1"/>
  <c r="O5364" i="1"/>
  <c r="P5364" i="1" s="1"/>
  <c r="O5365" i="1"/>
  <c r="P5365" i="1" s="1"/>
  <c r="O5366" i="1"/>
  <c r="P5366" i="1" s="1"/>
  <c r="O5367" i="1"/>
  <c r="P5367" i="1" s="1"/>
  <c r="O5368" i="1"/>
  <c r="P5368" i="1" s="1"/>
  <c r="O5369" i="1"/>
  <c r="P5369" i="1" s="1"/>
  <c r="G5363" i="1"/>
  <c r="O5358" i="1"/>
  <c r="P5358" i="1" s="1"/>
  <c r="O5359" i="1"/>
  <c r="P5359" i="1" s="1"/>
  <c r="O5360" i="1"/>
  <c r="P5360" i="1" s="1"/>
  <c r="O5361" i="1"/>
  <c r="P5361" i="1" s="1"/>
  <c r="O5362" i="1"/>
  <c r="P5362" i="1" s="1"/>
  <c r="O5363" i="1"/>
  <c r="O5350" i="1"/>
  <c r="P5350" i="1" s="1"/>
  <c r="O5351" i="1"/>
  <c r="P5351" i="1" s="1"/>
  <c r="O5352" i="1"/>
  <c r="P5352" i="1" s="1"/>
  <c r="O5353" i="1"/>
  <c r="P5353" i="1" s="1"/>
  <c r="O5354" i="1"/>
  <c r="P5354" i="1" s="1"/>
  <c r="O5355" i="1"/>
  <c r="P5355" i="1" s="1"/>
  <c r="O5356" i="1"/>
  <c r="P5356" i="1" s="1"/>
  <c r="O5357" i="1"/>
  <c r="P5357" i="1" s="1"/>
  <c r="O5340" i="1"/>
  <c r="P5340" i="1" s="1"/>
  <c r="O5341" i="1"/>
  <c r="P5341" i="1" s="1"/>
  <c r="O5342" i="1"/>
  <c r="P5342" i="1" s="1"/>
  <c r="O5343" i="1"/>
  <c r="P5343" i="1" s="1"/>
  <c r="O5344" i="1"/>
  <c r="P5344" i="1" s="1"/>
  <c r="O5345" i="1"/>
  <c r="P5345" i="1" s="1"/>
  <c r="O5346" i="1"/>
  <c r="P5346" i="1" s="1"/>
  <c r="O5347" i="1"/>
  <c r="P5347" i="1" s="1"/>
  <c r="O5348" i="1"/>
  <c r="P5348" i="1" s="1"/>
  <c r="O5349" i="1"/>
  <c r="P5349" i="1" s="1"/>
  <c r="O5331" i="1"/>
  <c r="P5331" i="1" s="1"/>
  <c r="O5332" i="1"/>
  <c r="P5332" i="1" s="1"/>
  <c r="O5333" i="1"/>
  <c r="P5333" i="1" s="1"/>
  <c r="O5334" i="1"/>
  <c r="P5334" i="1" s="1"/>
  <c r="O5335" i="1"/>
  <c r="P5335" i="1" s="1"/>
  <c r="O5336" i="1"/>
  <c r="P5336" i="1" s="1"/>
  <c r="O5337" i="1"/>
  <c r="P5337" i="1" s="1"/>
  <c r="O5338" i="1"/>
  <c r="P5338" i="1" s="1"/>
  <c r="O5339" i="1"/>
  <c r="P5339" i="1" s="1"/>
  <c r="G5328" i="1"/>
  <c r="G5327" i="1"/>
  <c r="O5324" i="1"/>
  <c r="P5324" i="1" s="1"/>
  <c r="O5325" i="1"/>
  <c r="P5325" i="1" s="1"/>
  <c r="O5326" i="1"/>
  <c r="P5326" i="1" s="1"/>
  <c r="O5327" i="1"/>
  <c r="O5328" i="1"/>
  <c r="O5329" i="1"/>
  <c r="P5329" i="1" s="1"/>
  <c r="O5330" i="1"/>
  <c r="P5330" i="1" s="1"/>
  <c r="G5320" i="1"/>
  <c r="O5320" i="1"/>
  <c r="O5321" i="1"/>
  <c r="P5321" i="1" s="1"/>
  <c r="O5322" i="1"/>
  <c r="P5322" i="1" s="1"/>
  <c r="O5323" i="1"/>
  <c r="P5323" i="1" s="1"/>
  <c r="G5315" i="1"/>
  <c r="O5309" i="1"/>
  <c r="P5309" i="1" s="1"/>
  <c r="O5310" i="1"/>
  <c r="P5310" i="1" s="1"/>
  <c r="O5311" i="1"/>
  <c r="P5311" i="1" s="1"/>
  <c r="O5312" i="1"/>
  <c r="P5312" i="1" s="1"/>
  <c r="O5313" i="1"/>
  <c r="P5313" i="1" s="1"/>
  <c r="O5314" i="1"/>
  <c r="P5314" i="1" s="1"/>
  <c r="O5315" i="1"/>
  <c r="O5316" i="1"/>
  <c r="P5316" i="1" s="1"/>
  <c r="O5317" i="1"/>
  <c r="P5317" i="1" s="1"/>
  <c r="O5318" i="1"/>
  <c r="P5318" i="1" s="1"/>
  <c r="O5319" i="1"/>
  <c r="P5319" i="1" s="1"/>
  <c r="O5301" i="1"/>
  <c r="P5301" i="1" s="1"/>
  <c r="O5302" i="1"/>
  <c r="P5302" i="1" s="1"/>
  <c r="O5303" i="1"/>
  <c r="P5303" i="1" s="1"/>
  <c r="O5304" i="1"/>
  <c r="P5304" i="1" s="1"/>
  <c r="O5305" i="1"/>
  <c r="P5305" i="1" s="1"/>
  <c r="O5306" i="1"/>
  <c r="P5306" i="1" s="1"/>
  <c r="O5307" i="1"/>
  <c r="P5307" i="1" s="1"/>
  <c r="O5308" i="1"/>
  <c r="P5308" i="1" s="1"/>
  <c r="G5298" i="1"/>
  <c r="O5292" i="1"/>
  <c r="P5292" i="1" s="1"/>
  <c r="O5293" i="1"/>
  <c r="P5293" i="1" s="1"/>
  <c r="O5294" i="1"/>
  <c r="P5294" i="1" s="1"/>
  <c r="O5295" i="1"/>
  <c r="P5295" i="1" s="1"/>
  <c r="O5296" i="1"/>
  <c r="P5296" i="1" s="1"/>
  <c r="O5297" i="1"/>
  <c r="P5297" i="1" s="1"/>
  <c r="O5298" i="1"/>
  <c r="O5299" i="1"/>
  <c r="P5299" i="1" s="1"/>
  <c r="O5300" i="1"/>
  <c r="P5300" i="1" s="1"/>
  <c r="G5288" i="1"/>
  <c r="O5284" i="1"/>
  <c r="P5284" i="1" s="1"/>
  <c r="O5285" i="1"/>
  <c r="P5285" i="1" s="1"/>
  <c r="O5286" i="1"/>
  <c r="P5286" i="1" s="1"/>
  <c r="O5287" i="1"/>
  <c r="P5287" i="1" s="1"/>
  <c r="O5288" i="1"/>
  <c r="O5289" i="1"/>
  <c r="P5289" i="1" s="1"/>
  <c r="O5290" i="1"/>
  <c r="P5290" i="1" s="1"/>
  <c r="O5291" i="1"/>
  <c r="P5291" i="1" s="1"/>
  <c r="G5278" i="1"/>
  <c r="O5273" i="1"/>
  <c r="P5273" i="1" s="1"/>
  <c r="O5274" i="1"/>
  <c r="P5274" i="1" s="1"/>
  <c r="O5275" i="1"/>
  <c r="P5275" i="1" s="1"/>
  <c r="O5276" i="1"/>
  <c r="P5276" i="1" s="1"/>
  <c r="O5277" i="1"/>
  <c r="P5277" i="1" s="1"/>
  <c r="O5278" i="1"/>
  <c r="O5279" i="1"/>
  <c r="P5279" i="1" s="1"/>
  <c r="O5280" i="1"/>
  <c r="P5280" i="1" s="1"/>
  <c r="O5281" i="1"/>
  <c r="P5281" i="1" s="1"/>
  <c r="O5282" i="1"/>
  <c r="P5282" i="1" s="1"/>
  <c r="O5283" i="1"/>
  <c r="P5283" i="1" s="1"/>
  <c r="G5265" i="1"/>
  <c r="O5263" i="1"/>
  <c r="P5263" i="1" s="1"/>
  <c r="O5264" i="1"/>
  <c r="P5264" i="1" s="1"/>
  <c r="O5265" i="1"/>
  <c r="O5266" i="1"/>
  <c r="P5266" i="1" s="1"/>
  <c r="O5267" i="1"/>
  <c r="P5267" i="1" s="1"/>
  <c r="O5268" i="1"/>
  <c r="P5268" i="1" s="1"/>
  <c r="O5269" i="1"/>
  <c r="P5269" i="1" s="1"/>
  <c r="O5270" i="1"/>
  <c r="P5270" i="1" s="1"/>
  <c r="O5271" i="1"/>
  <c r="P5271" i="1" s="1"/>
  <c r="O5272" i="1"/>
  <c r="P5272" i="1" s="1"/>
  <c r="G5258" i="1"/>
  <c r="G5255" i="1"/>
  <c r="O5254" i="1"/>
  <c r="P5254" i="1" s="1"/>
  <c r="O5255" i="1"/>
  <c r="O5256" i="1"/>
  <c r="P5256" i="1" s="1"/>
  <c r="O5257" i="1"/>
  <c r="P5257" i="1" s="1"/>
  <c r="O5258" i="1"/>
  <c r="O5259" i="1"/>
  <c r="P5259" i="1" s="1"/>
  <c r="O5260" i="1"/>
  <c r="P5260" i="1" s="1"/>
  <c r="O5261" i="1"/>
  <c r="P5261" i="1" s="1"/>
  <c r="O5262" i="1"/>
  <c r="P5262" i="1" s="1"/>
  <c r="G5252" i="1"/>
  <c r="G5246" i="1"/>
  <c r="O5243" i="1"/>
  <c r="P5243" i="1" s="1"/>
  <c r="O5244" i="1"/>
  <c r="P5244" i="1" s="1"/>
  <c r="O5245" i="1"/>
  <c r="P5245" i="1" s="1"/>
  <c r="O5246" i="1"/>
  <c r="O5247" i="1"/>
  <c r="P5247" i="1" s="1"/>
  <c r="O5248" i="1"/>
  <c r="P5248" i="1" s="1"/>
  <c r="O5249" i="1"/>
  <c r="P5249" i="1" s="1"/>
  <c r="O5250" i="1"/>
  <c r="P5250" i="1" s="1"/>
  <c r="O5251" i="1"/>
  <c r="P5251" i="1" s="1"/>
  <c r="O5252" i="1"/>
  <c r="O5253" i="1"/>
  <c r="P5253" i="1" s="1"/>
  <c r="O5240" i="1"/>
  <c r="P5240" i="1" s="1"/>
  <c r="O5241" i="1"/>
  <c r="P5241" i="1" s="1"/>
  <c r="O5242" i="1"/>
  <c r="P5242" i="1" s="1"/>
  <c r="G5237" i="1"/>
  <c r="O5235" i="1"/>
  <c r="P5235" i="1" s="1"/>
  <c r="O5236" i="1"/>
  <c r="P5236" i="1" s="1"/>
  <c r="O5237" i="1"/>
  <c r="O5238" i="1"/>
  <c r="P5238" i="1" s="1"/>
  <c r="O5239" i="1"/>
  <c r="P5239" i="1" s="1"/>
  <c r="G5227" i="1"/>
  <c r="G5231" i="1"/>
  <c r="G5229" i="1"/>
  <c r="O5225" i="1"/>
  <c r="P5225" i="1" s="1"/>
  <c r="O5226" i="1"/>
  <c r="P5226" i="1" s="1"/>
  <c r="O5227" i="1"/>
  <c r="O5228" i="1"/>
  <c r="P5228" i="1" s="1"/>
  <c r="O5229" i="1"/>
  <c r="O5230" i="1"/>
  <c r="P5230" i="1" s="1"/>
  <c r="O5231" i="1"/>
  <c r="O5232" i="1"/>
  <c r="P5232" i="1" s="1"/>
  <c r="O5233" i="1"/>
  <c r="P5233" i="1" s="1"/>
  <c r="O5234" i="1"/>
  <c r="P5234" i="1" s="1"/>
  <c r="G5223" i="1"/>
  <c r="G5220" i="1"/>
  <c r="O5218" i="1"/>
  <c r="P5218" i="1" s="1"/>
  <c r="O5219" i="1"/>
  <c r="P5219" i="1" s="1"/>
  <c r="O5220" i="1"/>
  <c r="O5221" i="1"/>
  <c r="P5221" i="1" s="1"/>
  <c r="O5222" i="1"/>
  <c r="P5222" i="1" s="1"/>
  <c r="O5223" i="1"/>
  <c r="O5224" i="1"/>
  <c r="P5224" i="1" s="1"/>
  <c r="O5212" i="1"/>
  <c r="P5212" i="1" s="1"/>
  <c r="O5213" i="1"/>
  <c r="P5213" i="1" s="1"/>
  <c r="O5214" i="1"/>
  <c r="P5214" i="1" s="1"/>
  <c r="O5215" i="1"/>
  <c r="P5215" i="1" s="1"/>
  <c r="O5216" i="1"/>
  <c r="P5216" i="1" s="1"/>
  <c r="O5217" i="1"/>
  <c r="P5217" i="1" s="1"/>
  <c r="G5210" i="1"/>
  <c r="O5205" i="1"/>
  <c r="P5205" i="1" s="1"/>
  <c r="O5206" i="1"/>
  <c r="P5206" i="1" s="1"/>
  <c r="O5207" i="1"/>
  <c r="P5207" i="1" s="1"/>
  <c r="O5208" i="1"/>
  <c r="P5208" i="1" s="1"/>
  <c r="O5209" i="1"/>
  <c r="P5209" i="1" s="1"/>
  <c r="O5210" i="1"/>
  <c r="O5211" i="1"/>
  <c r="P5211" i="1" s="1"/>
  <c r="G5201" i="1"/>
  <c r="G5200" i="1"/>
  <c r="O5196" i="1"/>
  <c r="P5196" i="1" s="1"/>
  <c r="O5197" i="1"/>
  <c r="P5197" i="1" s="1"/>
  <c r="O5198" i="1"/>
  <c r="P5198" i="1" s="1"/>
  <c r="O5199" i="1"/>
  <c r="P5199" i="1" s="1"/>
  <c r="O5200" i="1"/>
  <c r="O5201" i="1"/>
  <c r="O5202" i="1"/>
  <c r="P5202" i="1" s="1"/>
  <c r="O5203" i="1"/>
  <c r="P5203" i="1" s="1"/>
  <c r="O5204" i="1"/>
  <c r="P5204" i="1" s="1"/>
  <c r="G5194" i="1"/>
  <c r="O5190" i="1"/>
  <c r="P5190" i="1" s="1"/>
  <c r="O5191" i="1"/>
  <c r="P5191" i="1" s="1"/>
  <c r="O5192" i="1"/>
  <c r="P5192" i="1" s="1"/>
  <c r="O5193" i="1"/>
  <c r="P5193" i="1" s="1"/>
  <c r="O5194" i="1"/>
  <c r="O5195" i="1"/>
  <c r="P5195" i="1" s="1"/>
  <c r="G5187" i="1"/>
  <c r="G5189" i="1"/>
  <c r="O5185" i="1"/>
  <c r="P5185" i="1" s="1"/>
  <c r="O5186" i="1"/>
  <c r="P5186" i="1" s="1"/>
  <c r="O5187" i="1"/>
  <c r="P5187" i="1" s="1"/>
  <c r="O5188" i="1"/>
  <c r="P5188" i="1" s="1"/>
  <c r="O5189" i="1"/>
  <c r="O5179" i="1"/>
  <c r="P5179" i="1" s="1"/>
  <c r="O5180" i="1"/>
  <c r="P5180" i="1" s="1"/>
  <c r="O5181" i="1"/>
  <c r="P5181" i="1" s="1"/>
  <c r="O5182" i="1"/>
  <c r="P5182" i="1" s="1"/>
  <c r="O5183" i="1"/>
  <c r="P5183" i="1" s="1"/>
  <c r="O5184" i="1"/>
  <c r="P5184" i="1" s="1"/>
  <c r="G5173" i="1"/>
  <c r="O5170" i="1"/>
  <c r="P5170" i="1" s="1"/>
  <c r="O5171" i="1"/>
  <c r="P5171" i="1" s="1"/>
  <c r="O5172" i="1"/>
  <c r="P5172" i="1" s="1"/>
  <c r="O5173" i="1"/>
  <c r="O5174" i="1"/>
  <c r="P5174" i="1" s="1"/>
  <c r="O5175" i="1"/>
  <c r="P5175" i="1" s="1"/>
  <c r="O5176" i="1"/>
  <c r="P5176" i="1" s="1"/>
  <c r="O5177" i="1"/>
  <c r="P5177" i="1" s="1"/>
  <c r="O5178" i="1"/>
  <c r="P5178" i="1" s="1"/>
  <c r="O5167" i="1"/>
  <c r="O5168" i="1"/>
  <c r="P5168" i="1" s="1"/>
  <c r="O5169" i="1"/>
  <c r="P5169" i="1" s="1"/>
  <c r="G5167" i="1"/>
  <c r="O5161" i="1"/>
  <c r="P5161" i="1" s="1"/>
  <c r="O5162" i="1"/>
  <c r="P5162" i="1" s="1"/>
  <c r="O5163" i="1"/>
  <c r="P5163" i="1" s="1"/>
  <c r="O5164" i="1"/>
  <c r="P5164" i="1" s="1"/>
  <c r="O5165" i="1"/>
  <c r="P5165" i="1" s="1"/>
  <c r="O5166" i="1"/>
  <c r="P5166" i="1" s="1"/>
  <c r="O5159" i="1"/>
  <c r="P5159" i="1" s="1"/>
  <c r="O5160" i="1"/>
  <c r="P5160" i="1" s="1"/>
  <c r="O5146" i="1"/>
  <c r="P5146" i="1" s="1"/>
  <c r="O5147" i="1"/>
  <c r="P5147" i="1" s="1"/>
  <c r="O5148" i="1"/>
  <c r="P5148" i="1" s="1"/>
  <c r="O5149" i="1"/>
  <c r="P5149" i="1" s="1"/>
  <c r="O5150" i="1"/>
  <c r="P5150" i="1" s="1"/>
  <c r="O5151" i="1"/>
  <c r="P5151" i="1" s="1"/>
  <c r="O5152" i="1"/>
  <c r="P5152" i="1" s="1"/>
  <c r="O5153" i="1"/>
  <c r="P5153" i="1" s="1"/>
  <c r="O5154" i="1"/>
  <c r="P5154" i="1" s="1"/>
  <c r="O5155" i="1"/>
  <c r="P5155" i="1" s="1"/>
  <c r="O5156" i="1"/>
  <c r="P5156" i="1" s="1"/>
  <c r="O5157" i="1"/>
  <c r="P5157" i="1" s="1"/>
  <c r="O5158" i="1"/>
  <c r="P5158" i="1" s="1"/>
  <c r="G5138" i="1"/>
  <c r="G5140" i="1"/>
  <c r="G5139" i="1"/>
  <c r="O5134" i="1"/>
  <c r="P5134" i="1" s="1"/>
  <c r="O5135" i="1"/>
  <c r="P5135" i="1" s="1"/>
  <c r="O5136" i="1"/>
  <c r="P5136" i="1" s="1"/>
  <c r="O5137" i="1"/>
  <c r="P5137" i="1" s="1"/>
  <c r="O5138" i="1"/>
  <c r="O5139" i="1"/>
  <c r="O5140" i="1"/>
  <c r="O5141" i="1"/>
  <c r="P5141" i="1" s="1"/>
  <c r="O5142" i="1"/>
  <c r="P5142" i="1" s="1"/>
  <c r="O5143" i="1"/>
  <c r="P5143" i="1" s="1"/>
  <c r="O5144" i="1"/>
  <c r="P5144" i="1" s="1"/>
  <c r="O5145" i="1"/>
  <c r="P5145" i="1" s="1"/>
  <c r="G5125" i="1"/>
  <c r="O5123" i="1"/>
  <c r="P5123" i="1" s="1"/>
  <c r="O5124" i="1"/>
  <c r="P5124" i="1" s="1"/>
  <c r="O5125" i="1"/>
  <c r="O5126" i="1"/>
  <c r="P5126" i="1" s="1"/>
  <c r="O5127" i="1"/>
  <c r="P5127" i="1" s="1"/>
  <c r="O5128" i="1"/>
  <c r="P5128" i="1" s="1"/>
  <c r="O5129" i="1"/>
  <c r="P5129" i="1" s="1"/>
  <c r="O5130" i="1"/>
  <c r="P5130" i="1" s="1"/>
  <c r="O5131" i="1"/>
  <c r="P5131" i="1" s="1"/>
  <c r="O5132" i="1"/>
  <c r="P5132" i="1" s="1"/>
  <c r="O5133" i="1"/>
  <c r="P5133" i="1" s="1"/>
  <c r="G5121" i="1"/>
  <c r="O5116" i="1"/>
  <c r="P5116" i="1" s="1"/>
  <c r="O5117" i="1"/>
  <c r="P5117" i="1" s="1"/>
  <c r="O5118" i="1"/>
  <c r="P5118" i="1" s="1"/>
  <c r="O5119" i="1"/>
  <c r="P5119" i="1" s="1"/>
  <c r="O5120" i="1"/>
  <c r="P5120" i="1" s="1"/>
  <c r="O5121" i="1"/>
  <c r="O5122" i="1"/>
  <c r="P5122" i="1" s="1"/>
  <c r="O5107" i="1"/>
  <c r="P5107" i="1" s="1"/>
  <c r="O5108" i="1"/>
  <c r="P5108" i="1" s="1"/>
  <c r="O5109" i="1"/>
  <c r="P5109" i="1" s="1"/>
  <c r="O5110" i="1"/>
  <c r="P5110" i="1" s="1"/>
  <c r="O5111" i="1"/>
  <c r="P5111" i="1" s="1"/>
  <c r="O5112" i="1"/>
  <c r="P5112" i="1" s="1"/>
  <c r="O5113" i="1"/>
  <c r="P5113" i="1" s="1"/>
  <c r="O5114" i="1"/>
  <c r="P5114" i="1" s="1"/>
  <c r="O5115" i="1"/>
  <c r="P5115" i="1" s="1"/>
  <c r="O5105" i="1"/>
  <c r="P5105" i="1" s="1"/>
  <c r="O5106" i="1"/>
  <c r="P5106" i="1" s="1"/>
  <c r="G5101" i="1"/>
  <c r="G5100" i="1"/>
  <c r="O5099" i="1"/>
  <c r="P5099" i="1" s="1"/>
  <c r="O5100" i="1"/>
  <c r="O5101" i="1"/>
  <c r="O5102" i="1"/>
  <c r="P5102" i="1" s="1"/>
  <c r="O5103" i="1"/>
  <c r="P5103" i="1" s="1"/>
  <c r="O5104" i="1"/>
  <c r="P5104" i="1" s="1"/>
  <c r="O5093" i="1"/>
  <c r="P5093" i="1" s="1"/>
  <c r="O5094" i="1"/>
  <c r="P5094" i="1" s="1"/>
  <c r="O5095" i="1"/>
  <c r="P5095" i="1" s="1"/>
  <c r="O5096" i="1"/>
  <c r="P5096" i="1" s="1"/>
  <c r="O5097" i="1"/>
  <c r="P5097" i="1" s="1"/>
  <c r="O5098" i="1"/>
  <c r="P5098" i="1" s="1"/>
  <c r="O5084" i="1"/>
  <c r="P5084" i="1" s="1"/>
  <c r="O5085" i="1"/>
  <c r="P5085" i="1" s="1"/>
  <c r="O5086" i="1"/>
  <c r="P5086" i="1" s="1"/>
  <c r="O5087" i="1"/>
  <c r="P5087" i="1" s="1"/>
  <c r="O5088" i="1"/>
  <c r="P5088" i="1" s="1"/>
  <c r="O5089" i="1"/>
  <c r="P5089" i="1" s="1"/>
  <c r="O5090" i="1"/>
  <c r="P5090" i="1" s="1"/>
  <c r="O5091" i="1"/>
  <c r="P5091" i="1" s="1"/>
  <c r="O5092" i="1"/>
  <c r="P5092" i="1" s="1"/>
  <c r="G5082" i="1"/>
  <c r="O5078" i="1"/>
  <c r="P5078" i="1" s="1"/>
  <c r="O5079" i="1"/>
  <c r="P5079" i="1" s="1"/>
  <c r="O5080" i="1"/>
  <c r="P5080" i="1" s="1"/>
  <c r="O5081" i="1"/>
  <c r="P5081" i="1" s="1"/>
  <c r="O5082" i="1"/>
  <c r="O5083" i="1"/>
  <c r="P5083" i="1" s="1"/>
  <c r="G5076" i="1"/>
  <c r="G5074" i="1"/>
  <c r="O5072" i="1"/>
  <c r="P5072" i="1" s="1"/>
  <c r="O5073" i="1"/>
  <c r="P5073" i="1" s="1"/>
  <c r="O5074" i="1"/>
  <c r="O5075" i="1"/>
  <c r="P5075" i="1" s="1"/>
  <c r="O5076" i="1"/>
  <c r="O5077" i="1"/>
  <c r="P5077" i="1" s="1"/>
  <c r="G5069" i="1"/>
  <c r="O5065" i="1"/>
  <c r="P5065" i="1" s="1"/>
  <c r="O5066" i="1"/>
  <c r="P5066" i="1" s="1"/>
  <c r="O5067" i="1"/>
  <c r="P5067" i="1" s="1"/>
  <c r="O5068" i="1"/>
  <c r="P5068" i="1" s="1"/>
  <c r="O5069" i="1"/>
  <c r="O5070" i="1"/>
  <c r="P5070" i="1" s="1"/>
  <c r="O5071" i="1"/>
  <c r="P5071" i="1" s="1"/>
  <c r="G5059" i="1"/>
  <c r="O5056" i="1"/>
  <c r="P5056" i="1" s="1"/>
  <c r="O5057" i="1"/>
  <c r="P5057" i="1" s="1"/>
  <c r="O5058" i="1"/>
  <c r="P5058" i="1" s="1"/>
  <c r="O5059" i="1"/>
  <c r="P5059" i="1" s="1"/>
  <c r="O5060" i="1"/>
  <c r="P5060" i="1" s="1"/>
  <c r="O5061" i="1"/>
  <c r="P5061" i="1" s="1"/>
  <c r="O5062" i="1"/>
  <c r="P5062" i="1" s="1"/>
  <c r="O5063" i="1"/>
  <c r="P5063" i="1" s="1"/>
  <c r="O5064" i="1"/>
  <c r="P5064" i="1" s="1"/>
  <c r="G5055" i="1"/>
  <c r="G5054" i="1"/>
  <c r="O5049" i="1"/>
  <c r="P5049" i="1" s="1"/>
  <c r="O5050" i="1"/>
  <c r="P5050" i="1" s="1"/>
  <c r="O5051" i="1"/>
  <c r="P5051" i="1" s="1"/>
  <c r="O5052" i="1"/>
  <c r="P5052" i="1" s="1"/>
  <c r="O5053" i="1"/>
  <c r="P5053" i="1" s="1"/>
  <c r="O5054" i="1"/>
  <c r="O5055" i="1"/>
  <c r="G5045" i="1"/>
  <c r="O5042" i="1"/>
  <c r="P5042" i="1" s="1"/>
  <c r="O5043" i="1"/>
  <c r="P5043" i="1" s="1"/>
  <c r="O5044" i="1"/>
  <c r="P5044" i="1" s="1"/>
  <c r="O5045" i="1"/>
  <c r="P5045" i="1" s="1"/>
  <c r="O5046" i="1"/>
  <c r="P5046" i="1" s="1"/>
  <c r="O5047" i="1"/>
  <c r="P5047" i="1" s="1"/>
  <c r="O5048" i="1"/>
  <c r="P5048" i="1" s="1"/>
  <c r="O5037" i="1"/>
  <c r="P5037" i="1" s="1"/>
  <c r="O5038" i="1"/>
  <c r="P5038" i="1" s="1"/>
  <c r="O5039" i="1"/>
  <c r="P5039" i="1" s="1"/>
  <c r="O5040" i="1"/>
  <c r="P5040" i="1" s="1"/>
  <c r="O5041" i="1"/>
  <c r="P5041" i="1" s="1"/>
  <c r="O5026" i="1"/>
  <c r="P5026" i="1" s="1"/>
  <c r="O5027" i="1"/>
  <c r="P5027" i="1" s="1"/>
  <c r="O5028" i="1"/>
  <c r="P5028" i="1" s="1"/>
  <c r="O5029" i="1"/>
  <c r="P5029" i="1" s="1"/>
  <c r="O5030" i="1"/>
  <c r="P5030" i="1" s="1"/>
  <c r="O5031" i="1"/>
  <c r="P5031" i="1" s="1"/>
  <c r="O5032" i="1"/>
  <c r="P5032" i="1" s="1"/>
  <c r="O5033" i="1"/>
  <c r="P5033" i="1" s="1"/>
  <c r="O5034" i="1"/>
  <c r="P5034" i="1" s="1"/>
  <c r="O5035" i="1"/>
  <c r="P5035" i="1" s="1"/>
  <c r="O5036" i="1"/>
  <c r="P5036" i="1" s="1"/>
  <c r="G5021" i="1"/>
  <c r="O5018" i="1"/>
  <c r="P5018" i="1" s="1"/>
  <c r="O5019" i="1"/>
  <c r="P5019" i="1" s="1"/>
  <c r="O5020" i="1"/>
  <c r="P5020" i="1" s="1"/>
  <c r="O5021" i="1"/>
  <c r="O5022" i="1"/>
  <c r="P5022" i="1" s="1"/>
  <c r="O5023" i="1"/>
  <c r="P5023" i="1" s="1"/>
  <c r="O5024" i="1"/>
  <c r="P5024" i="1" s="1"/>
  <c r="O5025" i="1"/>
  <c r="P5025" i="1" s="1"/>
  <c r="G5010" i="1"/>
  <c r="O5010" i="1"/>
  <c r="O5011" i="1"/>
  <c r="P5011" i="1" s="1"/>
  <c r="O5012" i="1"/>
  <c r="P5012" i="1" s="1"/>
  <c r="O5013" i="1"/>
  <c r="P5013" i="1" s="1"/>
  <c r="O5014" i="1"/>
  <c r="P5014" i="1" s="1"/>
  <c r="O5015" i="1"/>
  <c r="P5015" i="1" s="1"/>
  <c r="O5016" i="1"/>
  <c r="P5016" i="1" s="1"/>
  <c r="O5017" i="1"/>
  <c r="P5017" i="1" s="1"/>
  <c r="O4999" i="1"/>
  <c r="P4999" i="1" s="1"/>
  <c r="O5000" i="1"/>
  <c r="P5000" i="1" s="1"/>
  <c r="O5001" i="1"/>
  <c r="P5001" i="1" s="1"/>
  <c r="O5002" i="1"/>
  <c r="P5002" i="1" s="1"/>
  <c r="O5003" i="1"/>
  <c r="P5003" i="1" s="1"/>
  <c r="O5004" i="1"/>
  <c r="P5004" i="1" s="1"/>
  <c r="O5005" i="1"/>
  <c r="P5005" i="1" s="1"/>
  <c r="O5006" i="1"/>
  <c r="P5006" i="1" s="1"/>
  <c r="O5007" i="1"/>
  <c r="P5007" i="1" s="1"/>
  <c r="O5008" i="1"/>
  <c r="P5008" i="1" s="1"/>
  <c r="O5009" i="1"/>
  <c r="P5009" i="1" s="1"/>
  <c r="G4993" i="1"/>
  <c r="O4987" i="1"/>
  <c r="P4987" i="1" s="1"/>
  <c r="O4988" i="1"/>
  <c r="P4988" i="1" s="1"/>
  <c r="O4989" i="1"/>
  <c r="P4989" i="1" s="1"/>
  <c r="O4990" i="1"/>
  <c r="P4990" i="1" s="1"/>
  <c r="O4991" i="1"/>
  <c r="P4991" i="1" s="1"/>
  <c r="O4992" i="1"/>
  <c r="P4992" i="1" s="1"/>
  <c r="O4993" i="1"/>
  <c r="O4994" i="1"/>
  <c r="P4994" i="1" s="1"/>
  <c r="O4995" i="1"/>
  <c r="P4995" i="1" s="1"/>
  <c r="O4996" i="1"/>
  <c r="P4996" i="1" s="1"/>
  <c r="O4997" i="1"/>
  <c r="P4997" i="1" s="1"/>
  <c r="O4998" i="1"/>
  <c r="P4998" i="1" s="1"/>
  <c r="G4979" i="1"/>
  <c r="G4977" i="1"/>
  <c r="O4977" i="1"/>
  <c r="O4978" i="1"/>
  <c r="P4978" i="1" s="1"/>
  <c r="O4979" i="1"/>
  <c r="O4980" i="1"/>
  <c r="P4980" i="1" s="1"/>
  <c r="O4981" i="1"/>
  <c r="P4981" i="1" s="1"/>
  <c r="O4982" i="1"/>
  <c r="P4982" i="1" s="1"/>
  <c r="O4983" i="1"/>
  <c r="P4983" i="1" s="1"/>
  <c r="O4984" i="1"/>
  <c r="P4984" i="1" s="1"/>
  <c r="O4985" i="1"/>
  <c r="P4985" i="1" s="1"/>
  <c r="O4986" i="1"/>
  <c r="P4986" i="1" s="1"/>
  <c r="G4972" i="1"/>
  <c r="O4970" i="1"/>
  <c r="P4970" i="1" s="1"/>
  <c r="O4971" i="1"/>
  <c r="P4971" i="1" s="1"/>
  <c r="O4972" i="1"/>
  <c r="O4973" i="1"/>
  <c r="P4973" i="1" s="1"/>
  <c r="O4974" i="1"/>
  <c r="P4974" i="1" s="1"/>
  <c r="O4975" i="1"/>
  <c r="P4975" i="1" s="1"/>
  <c r="O4976" i="1"/>
  <c r="P4976" i="1" s="1"/>
  <c r="O4963" i="1"/>
  <c r="P4963" i="1" s="1"/>
  <c r="O4964" i="1"/>
  <c r="P4964" i="1" s="1"/>
  <c r="O4965" i="1"/>
  <c r="P4965" i="1" s="1"/>
  <c r="O4966" i="1"/>
  <c r="P4966" i="1" s="1"/>
  <c r="O4967" i="1"/>
  <c r="P4967" i="1" s="1"/>
  <c r="O4968" i="1"/>
  <c r="P4968" i="1" s="1"/>
  <c r="O4969" i="1"/>
  <c r="P4969" i="1" s="1"/>
  <c r="G4961" i="1"/>
  <c r="O4956" i="1"/>
  <c r="P4956" i="1" s="1"/>
  <c r="O4957" i="1"/>
  <c r="P4957" i="1" s="1"/>
  <c r="O4958" i="1"/>
  <c r="P4958" i="1" s="1"/>
  <c r="O4959" i="1"/>
  <c r="P4959" i="1" s="1"/>
  <c r="O4960" i="1"/>
  <c r="P4960" i="1" s="1"/>
  <c r="O4961" i="1"/>
  <c r="O4962" i="1"/>
  <c r="P4962" i="1" s="1"/>
  <c r="O4948" i="1"/>
  <c r="P4948" i="1" s="1"/>
  <c r="O4944" i="1"/>
  <c r="P4944" i="1" s="1"/>
  <c r="O4945" i="1"/>
  <c r="P4945" i="1" s="1"/>
  <c r="O4946" i="1"/>
  <c r="P4946" i="1" s="1"/>
  <c r="O4947" i="1"/>
  <c r="P4947" i="1" s="1"/>
  <c r="O4949" i="1"/>
  <c r="P4949" i="1" s="1"/>
  <c r="O4950" i="1"/>
  <c r="P4950" i="1" s="1"/>
  <c r="O4951" i="1"/>
  <c r="P4951" i="1" s="1"/>
  <c r="O4952" i="1"/>
  <c r="P4952" i="1" s="1"/>
  <c r="O4953" i="1"/>
  <c r="P4953" i="1" s="1"/>
  <c r="O4954" i="1"/>
  <c r="P4954" i="1" s="1"/>
  <c r="O4955" i="1"/>
  <c r="P4955" i="1" s="1"/>
  <c r="G4941" i="1"/>
  <c r="O4933" i="1"/>
  <c r="P4933" i="1" s="1"/>
  <c r="O4934" i="1"/>
  <c r="P4934" i="1" s="1"/>
  <c r="O4935" i="1"/>
  <c r="P4935" i="1" s="1"/>
  <c r="O4936" i="1"/>
  <c r="P4936" i="1" s="1"/>
  <c r="O4937" i="1"/>
  <c r="P4937" i="1" s="1"/>
  <c r="O4938" i="1"/>
  <c r="P4938" i="1" s="1"/>
  <c r="O4939" i="1"/>
  <c r="P4939" i="1" s="1"/>
  <c r="O4940" i="1"/>
  <c r="P4940" i="1" s="1"/>
  <c r="O4941" i="1"/>
  <c r="O4942" i="1"/>
  <c r="P4942" i="1" s="1"/>
  <c r="O4943" i="1"/>
  <c r="P4943" i="1" s="1"/>
  <c r="O4924" i="1"/>
  <c r="P4924" i="1" s="1"/>
  <c r="O4925" i="1"/>
  <c r="P4925" i="1" s="1"/>
  <c r="O4926" i="1"/>
  <c r="P4926" i="1" s="1"/>
  <c r="O4927" i="1"/>
  <c r="P4927" i="1" s="1"/>
  <c r="O4928" i="1"/>
  <c r="P4928" i="1" s="1"/>
  <c r="O4929" i="1"/>
  <c r="P4929" i="1" s="1"/>
  <c r="O4930" i="1"/>
  <c r="P4930" i="1" s="1"/>
  <c r="O4931" i="1"/>
  <c r="P4931" i="1" s="1"/>
  <c r="O4932" i="1"/>
  <c r="P4932" i="1" s="1"/>
  <c r="G4919" i="1"/>
  <c r="O4912" i="1"/>
  <c r="P4912" i="1" s="1"/>
  <c r="O4913" i="1"/>
  <c r="P4913" i="1" s="1"/>
  <c r="O4914" i="1"/>
  <c r="P4914" i="1" s="1"/>
  <c r="O4915" i="1"/>
  <c r="P4915" i="1" s="1"/>
  <c r="O4916" i="1"/>
  <c r="P4916" i="1" s="1"/>
  <c r="O4917" i="1"/>
  <c r="P4917" i="1" s="1"/>
  <c r="O4918" i="1"/>
  <c r="P4918" i="1" s="1"/>
  <c r="O4919" i="1"/>
  <c r="O4920" i="1"/>
  <c r="P4920" i="1" s="1"/>
  <c r="O4921" i="1"/>
  <c r="P4921" i="1" s="1"/>
  <c r="O4922" i="1"/>
  <c r="P4922" i="1" s="1"/>
  <c r="O4923" i="1"/>
  <c r="P4923" i="1" s="1"/>
  <c r="G4906" i="1"/>
  <c r="O4900" i="1"/>
  <c r="P4900" i="1" s="1"/>
  <c r="O4901" i="1"/>
  <c r="P4901" i="1" s="1"/>
  <c r="O4902" i="1"/>
  <c r="P4902" i="1" s="1"/>
  <c r="O4903" i="1"/>
  <c r="P4903" i="1" s="1"/>
  <c r="O4904" i="1"/>
  <c r="P4904" i="1" s="1"/>
  <c r="O4905" i="1"/>
  <c r="P4905" i="1" s="1"/>
  <c r="O4906" i="1"/>
  <c r="O4907" i="1"/>
  <c r="P4907" i="1" s="1"/>
  <c r="O4908" i="1"/>
  <c r="P4908" i="1" s="1"/>
  <c r="O4909" i="1"/>
  <c r="P4909" i="1" s="1"/>
  <c r="O4910" i="1"/>
  <c r="P4910" i="1" s="1"/>
  <c r="O4911" i="1"/>
  <c r="P4911" i="1" s="1"/>
  <c r="G4894" i="1"/>
  <c r="O4891" i="1"/>
  <c r="P4891" i="1" s="1"/>
  <c r="O4892" i="1"/>
  <c r="P4892" i="1" s="1"/>
  <c r="O4893" i="1"/>
  <c r="P4893" i="1" s="1"/>
  <c r="O4894" i="1"/>
  <c r="O4895" i="1"/>
  <c r="P4895" i="1" s="1"/>
  <c r="O4896" i="1"/>
  <c r="P4896" i="1" s="1"/>
  <c r="O4897" i="1"/>
  <c r="P4897" i="1" s="1"/>
  <c r="O4898" i="1"/>
  <c r="P4898" i="1" s="1"/>
  <c r="O4899" i="1"/>
  <c r="P4899" i="1" s="1"/>
  <c r="G4883" i="1"/>
  <c r="O4883" i="1"/>
  <c r="O4884" i="1"/>
  <c r="P4884" i="1" s="1"/>
  <c r="O4885" i="1"/>
  <c r="P4885" i="1" s="1"/>
  <c r="O4886" i="1"/>
  <c r="P4886" i="1" s="1"/>
  <c r="O4887" i="1"/>
  <c r="P4887" i="1" s="1"/>
  <c r="O4888" i="1"/>
  <c r="P4888" i="1" s="1"/>
  <c r="O4889" i="1"/>
  <c r="P4889" i="1" s="1"/>
  <c r="O4890" i="1"/>
  <c r="P4890" i="1" s="1"/>
  <c r="O4878" i="1"/>
  <c r="P4878" i="1" s="1"/>
  <c r="O4879" i="1"/>
  <c r="P4879" i="1" s="1"/>
  <c r="O4880" i="1"/>
  <c r="P4880" i="1" s="1"/>
  <c r="O4881" i="1"/>
  <c r="P4881" i="1" s="1"/>
  <c r="O4882" i="1"/>
  <c r="P4882" i="1" s="1"/>
  <c r="G4873" i="1"/>
  <c r="G4871" i="1"/>
  <c r="G4870" i="1"/>
  <c r="O4869" i="1"/>
  <c r="P4869" i="1" s="1"/>
  <c r="O4870" i="1"/>
  <c r="O4871" i="1"/>
  <c r="P4871" i="1" s="1"/>
  <c r="O4872" i="1"/>
  <c r="P4872" i="1" s="1"/>
  <c r="O4873" i="1"/>
  <c r="O4874" i="1"/>
  <c r="P4874" i="1" s="1"/>
  <c r="O4875" i="1"/>
  <c r="P4875" i="1" s="1"/>
  <c r="O4876" i="1"/>
  <c r="P4876" i="1" s="1"/>
  <c r="O4877" i="1"/>
  <c r="P4877" i="1" s="1"/>
  <c r="G4862" i="1"/>
  <c r="O4859" i="1"/>
  <c r="P4859" i="1" s="1"/>
  <c r="O4860" i="1"/>
  <c r="P4860" i="1" s="1"/>
  <c r="O4861" i="1"/>
  <c r="P4861" i="1" s="1"/>
  <c r="O4862" i="1"/>
  <c r="O4863" i="1"/>
  <c r="P4863" i="1" s="1"/>
  <c r="O4864" i="1"/>
  <c r="P4864" i="1" s="1"/>
  <c r="O4865" i="1"/>
  <c r="P4865" i="1" s="1"/>
  <c r="O4866" i="1"/>
  <c r="P4866" i="1" s="1"/>
  <c r="O4867" i="1"/>
  <c r="P4867" i="1" s="1"/>
  <c r="O4868" i="1"/>
  <c r="P4868" i="1" s="1"/>
  <c r="G4850" i="1"/>
  <c r="O4848" i="1"/>
  <c r="P4848" i="1" s="1"/>
  <c r="O4849" i="1"/>
  <c r="P4849" i="1" s="1"/>
  <c r="O4850" i="1"/>
  <c r="O4851" i="1"/>
  <c r="P4851" i="1" s="1"/>
  <c r="O4852" i="1"/>
  <c r="P4852" i="1" s="1"/>
  <c r="O4853" i="1"/>
  <c r="P4853" i="1" s="1"/>
  <c r="O4854" i="1"/>
  <c r="P4854" i="1" s="1"/>
  <c r="O4855" i="1"/>
  <c r="P4855" i="1" s="1"/>
  <c r="O4856" i="1"/>
  <c r="P4856" i="1" s="1"/>
  <c r="O4857" i="1"/>
  <c r="O4858" i="1"/>
  <c r="G4858" i="1"/>
  <c r="G4857" i="1"/>
  <c r="O4840" i="1"/>
  <c r="P4840" i="1" s="1"/>
  <c r="O4841" i="1"/>
  <c r="P4841" i="1" s="1"/>
  <c r="O4842" i="1"/>
  <c r="P4842" i="1" s="1"/>
  <c r="O4843" i="1"/>
  <c r="P4843" i="1" s="1"/>
  <c r="O4844" i="1"/>
  <c r="P4844" i="1" s="1"/>
  <c r="O4845" i="1"/>
  <c r="P4845" i="1" s="1"/>
  <c r="O4846" i="1"/>
  <c r="P4846" i="1" s="1"/>
  <c r="O4847" i="1"/>
  <c r="P4847" i="1" s="1"/>
  <c r="O4831" i="1"/>
  <c r="P4831" i="1" s="1"/>
  <c r="O4832" i="1"/>
  <c r="P4832" i="1" s="1"/>
  <c r="O4833" i="1"/>
  <c r="P4833" i="1" s="1"/>
  <c r="O4834" i="1"/>
  <c r="P4834" i="1" s="1"/>
  <c r="O4835" i="1"/>
  <c r="P4835" i="1" s="1"/>
  <c r="O4836" i="1"/>
  <c r="P4836" i="1" s="1"/>
  <c r="O4837" i="1"/>
  <c r="P4837" i="1" s="1"/>
  <c r="O4838" i="1"/>
  <c r="P4838" i="1" s="1"/>
  <c r="O4839" i="1"/>
  <c r="P4839" i="1" s="1"/>
  <c r="G4821" i="1"/>
  <c r="O4821" i="1"/>
  <c r="O4822" i="1"/>
  <c r="P4822" i="1" s="1"/>
  <c r="O4823" i="1"/>
  <c r="P4823" i="1" s="1"/>
  <c r="O4824" i="1"/>
  <c r="P4824" i="1" s="1"/>
  <c r="O4825" i="1"/>
  <c r="P4825" i="1" s="1"/>
  <c r="O4826" i="1"/>
  <c r="P4826" i="1" s="1"/>
  <c r="O4827" i="1"/>
  <c r="P4827" i="1" s="1"/>
  <c r="O4828" i="1"/>
  <c r="P4828" i="1" s="1"/>
  <c r="O4829" i="1"/>
  <c r="P4829" i="1" s="1"/>
  <c r="O4830" i="1"/>
  <c r="P4830" i="1" s="1"/>
  <c r="G4812" i="1"/>
  <c r="O4812" i="1"/>
  <c r="T4812" i="1"/>
  <c r="U4812" i="1"/>
  <c r="V4812" i="1"/>
  <c r="G4816" i="1"/>
  <c r="G4815" i="1"/>
  <c r="O4813" i="1"/>
  <c r="P4813" i="1" s="1"/>
  <c r="O4814" i="1"/>
  <c r="P4814" i="1" s="1"/>
  <c r="O4815" i="1"/>
  <c r="O4816" i="1"/>
  <c r="O4817" i="1"/>
  <c r="P4817" i="1" s="1"/>
  <c r="O4818" i="1"/>
  <c r="P4818" i="1" s="1"/>
  <c r="O4819" i="1"/>
  <c r="P4819" i="1" s="1"/>
  <c r="O4820" i="1"/>
  <c r="P4820" i="1" s="1"/>
  <c r="G4808" i="1"/>
  <c r="O4803" i="1"/>
  <c r="P4803" i="1" s="1"/>
  <c r="O4804" i="1"/>
  <c r="P4804" i="1" s="1"/>
  <c r="O4805" i="1"/>
  <c r="P4805" i="1" s="1"/>
  <c r="O4806" i="1"/>
  <c r="P4806" i="1" s="1"/>
  <c r="O4807" i="1"/>
  <c r="P4807" i="1" s="1"/>
  <c r="O4808" i="1"/>
  <c r="O4809" i="1"/>
  <c r="P4809" i="1" s="1"/>
  <c r="O4810" i="1"/>
  <c r="P4810" i="1" s="1"/>
  <c r="O4811" i="1"/>
  <c r="P4811" i="1" s="1"/>
  <c r="G4800" i="1"/>
  <c r="O4791" i="1"/>
  <c r="P4791" i="1" s="1"/>
  <c r="O4792" i="1"/>
  <c r="P4792" i="1" s="1"/>
  <c r="O4793" i="1"/>
  <c r="P4793" i="1" s="1"/>
  <c r="O4794" i="1"/>
  <c r="P4794" i="1" s="1"/>
  <c r="O4795" i="1"/>
  <c r="P4795" i="1" s="1"/>
  <c r="O4796" i="1"/>
  <c r="P4796" i="1" s="1"/>
  <c r="O4797" i="1"/>
  <c r="P4797" i="1" s="1"/>
  <c r="O4798" i="1"/>
  <c r="P4798" i="1" s="1"/>
  <c r="O4799" i="1"/>
  <c r="P4799" i="1" s="1"/>
  <c r="O4800" i="1"/>
  <c r="O4801" i="1"/>
  <c r="P4801" i="1" s="1"/>
  <c r="O4802" i="1"/>
  <c r="P4802" i="1" s="1"/>
  <c r="O4785" i="1"/>
  <c r="P4785" i="1" s="1"/>
  <c r="O4786" i="1"/>
  <c r="P4786" i="1" s="1"/>
  <c r="O4787" i="1"/>
  <c r="P4787" i="1" s="1"/>
  <c r="O4788" i="1"/>
  <c r="P4788" i="1" s="1"/>
  <c r="O4789" i="1"/>
  <c r="P4789" i="1" s="1"/>
  <c r="O4790" i="1"/>
  <c r="P4790" i="1" s="1"/>
  <c r="G4775" i="1"/>
  <c r="O4774" i="1"/>
  <c r="P4774" i="1" s="1"/>
  <c r="O4775" i="1"/>
  <c r="O4776" i="1"/>
  <c r="P4776" i="1" s="1"/>
  <c r="O4777" i="1"/>
  <c r="P4777" i="1" s="1"/>
  <c r="O4778" i="1"/>
  <c r="P4778" i="1" s="1"/>
  <c r="O4779" i="1"/>
  <c r="P4779" i="1" s="1"/>
  <c r="O4780" i="1"/>
  <c r="P4780" i="1" s="1"/>
  <c r="O4781" i="1"/>
  <c r="P4781" i="1" s="1"/>
  <c r="O4782" i="1"/>
  <c r="P4782" i="1" s="1"/>
  <c r="O4783" i="1"/>
  <c r="P4783" i="1" s="1"/>
  <c r="O4784" i="1"/>
  <c r="P4784" i="1" s="1"/>
  <c r="O4763" i="1"/>
  <c r="P4763" i="1" s="1"/>
  <c r="O4764" i="1"/>
  <c r="P4764" i="1" s="1"/>
  <c r="O4765" i="1"/>
  <c r="P4765" i="1" s="1"/>
  <c r="O4766" i="1"/>
  <c r="P4766" i="1" s="1"/>
  <c r="O4767" i="1"/>
  <c r="P4767" i="1" s="1"/>
  <c r="O4768" i="1"/>
  <c r="P4768" i="1" s="1"/>
  <c r="O4769" i="1"/>
  <c r="P4769" i="1" s="1"/>
  <c r="O4770" i="1"/>
  <c r="P4770" i="1" s="1"/>
  <c r="O4771" i="1"/>
  <c r="P4771" i="1" s="1"/>
  <c r="O4772" i="1"/>
  <c r="P4772" i="1" s="1"/>
  <c r="O4773" i="1"/>
  <c r="P4773" i="1" s="1"/>
  <c r="G4761" i="1"/>
  <c r="G4754" i="1"/>
  <c r="G4758" i="1"/>
  <c r="G4757" i="1"/>
  <c r="O4752" i="1"/>
  <c r="P4752" i="1" s="1"/>
  <c r="O4753" i="1"/>
  <c r="P4753" i="1" s="1"/>
  <c r="O4754" i="1"/>
  <c r="O4755" i="1"/>
  <c r="P4755" i="1" s="1"/>
  <c r="O4756" i="1"/>
  <c r="P4756" i="1" s="1"/>
  <c r="O4757" i="1"/>
  <c r="O4758" i="1"/>
  <c r="O4759" i="1"/>
  <c r="P4759" i="1" s="1"/>
  <c r="O4760" i="1"/>
  <c r="P4760" i="1" s="1"/>
  <c r="O4761" i="1"/>
  <c r="O4762" i="1"/>
  <c r="P4762" i="1" s="1"/>
  <c r="G4749" i="1"/>
  <c r="G4747" i="1"/>
  <c r="G4742" i="1"/>
  <c r="O4739" i="1"/>
  <c r="P4739" i="1" s="1"/>
  <c r="O4740" i="1"/>
  <c r="P4740" i="1" s="1"/>
  <c r="O4741" i="1"/>
  <c r="P4741" i="1" s="1"/>
  <c r="O4742" i="1"/>
  <c r="O4743" i="1"/>
  <c r="P4743" i="1" s="1"/>
  <c r="O4744" i="1"/>
  <c r="P4744" i="1" s="1"/>
  <c r="O4745" i="1"/>
  <c r="P4745" i="1" s="1"/>
  <c r="O4746" i="1"/>
  <c r="P4746" i="1" s="1"/>
  <c r="O4747" i="1"/>
  <c r="O4748" i="1"/>
  <c r="P4748" i="1" s="1"/>
  <c r="O4749" i="1"/>
  <c r="O4750" i="1"/>
  <c r="P4750" i="1" s="1"/>
  <c r="O4751" i="1"/>
  <c r="P4751" i="1" s="1"/>
  <c r="G4736" i="1"/>
  <c r="O4732" i="1"/>
  <c r="P4732" i="1" s="1"/>
  <c r="O4733" i="1"/>
  <c r="P4733" i="1" s="1"/>
  <c r="O4734" i="1"/>
  <c r="P4734" i="1" s="1"/>
  <c r="O4735" i="1"/>
  <c r="P4735" i="1" s="1"/>
  <c r="O4736" i="1"/>
  <c r="O4737" i="1"/>
  <c r="P4737" i="1" s="1"/>
  <c r="O4738" i="1"/>
  <c r="P4738" i="1" s="1"/>
  <c r="G4730" i="1"/>
  <c r="O4721" i="1"/>
  <c r="P4721" i="1" s="1"/>
  <c r="O4722" i="1"/>
  <c r="P4722" i="1" s="1"/>
  <c r="O4723" i="1"/>
  <c r="P4723" i="1" s="1"/>
  <c r="O4724" i="1"/>
  <c r="P4724" i="1" s="1"/>
  <c r="O4725" i="1"/>
  <c r="P4725" i="1" s="1"/>
  <c r="O4726" i="1"/>
  <c r="P4726" i="1" s="1"/>
  <c r="O4727" i="1"/>
  <c r="P4727" i="1" s="1"/>
  <c r="O4728" i="1"/>
  <c r="P4728" i="1" s="1"/>
  <c r="O4729" i="1"/>
  <c r="P4729" i="1" s="1"/>
  <c r="O4730" i="1"/>
  <c r="O4731" i="1"/>
  <c r="P4731" i="1" s="1"/>
  <c r="G4717" i="1"/>
  <c r="G4718" i="1"/>
  <c r="P4709" i="1"/>
  <c r="O4710" i="1"/>
  <c r="P4710" i="1" s="1"/>
  <c r="O4711" i="1"/>
  <c r="P4711" i="1" s="1"/>
  <c r="O4712" i="1"/>
  <c r="P4712" i="1" s="1"/>
  <c r="O4713" i="1"/>
  <c r="P4713" i="1" s="1"/>
  <c r="O4714" i="1"/>
  <c r="P4714" i="1" s="1"/>
  <c r="O4715" i="1"/>
  <c r="P4715" i="1" s="1"/>
  <c r="O4716" i="1"/>
  <c r="P4716" i="1" s="1"/>
  <c r="O4717" i="1"/>
  <c r="O4718" i="1"/>
  <c r="O4719" i="1"/>
  <c r="P4719" i="1" s="1"/>
  <c r="O4720" i="1"/>
  <c r="P4720" i="1" s="1"/>
  <c r="G4702" i="1"/>
  <c r="O4697" i="1"/>
  <c r="P4697" i="1" s="1"/>
  <c r="O4698" i="1"/>
  <c r="P4698" i="1" s="1"/>
  <c r="O4699" i="1"/>
  <c r="P4699" i="1" s="1"/>
  <c r="O4700" i="1"/>
  <c r="P4700" i="1" s="1"/>
  <c r="O4701" i="1"/>
  <c r="P4701" i="1" s="1"/>
  <c r="O4702" i="1"/>
  <c r="O4703" i="1"/>
  <c r="P4703" i="1" s="1"/>
  <c r="O4704" i="1"/>
  <c r="P4704" i="1" s="1"/>
  <c r="P4705" i="1"/>
  <c r="O4706" i="1"/>
  <c r="P4706" i="1" s="1"/>
  <c r="O4707" i="1"/>
  <c r="P4707" i="1" s="1"/>
  <c r="O4708" i="1"/>
  <c r="P4708" i="1" s="1"/>
  <c r="O4690" i="1"/>
  <c r="P4690" i="1" s="1"/>
  <c r="T4690" i="1"/>
  <c r="U4690" i="1"/>
  <c r="V4690" i="1"/>
  <c r="D21" i="8" l="1"/>
  <c r="C24" i="8"/>
  <c r="P5943" i="1"/>
  <c r="P5921" i="1"/>
  <c r="P5920" i="1"/>
  <c r="P5927" i="1"/>
  <c r="P5863" i="1"/>
  <c r="P5839" i="1"/>
  <c r="P5864" i="1"/>
  <c r="P5847" i="1"/>
  <c r="P5836" i="1"/>
  <c r="P5841" i="1"/>
  <c r="P5828" i="1"/>
  <c r="P5822" i="1"/>
  <c r="P5792" i="1"/>
  <c r="P5804" i="1"/>
  <c r="P5773" i="1"/>
  <c r="P5784" i="1"/>
  <c r="P5774" i="1"/>
  <c r="P5803" i="1"/>
  <c r="P5781" i="1"/>
  <c r="P5760" i="1"/>
  <c r="P5727" i="1"/>
  <c r="P5750" i="1"/>
  <c r="P5754" i="1"/>
  <c r="P5751" i="1"/>
  <c r="P5748" i="1"/>
  <c r="P5729" i="1"/>
  <c r="P5742" i="1"/>
  <c r="P5719" i="1"/>
  <c r="P5731" i="1"/>
  <c r="P5717" i="1"/>
  <c r="P5704" i="1"/>
  <c r="P5705" i="1"/>
  <c r="P5669" i="1"/>
  <c r="P5667" i="1"/>
  <c r="P5693" i="1"/>
  <c r="P5684" i="1"/>
  <c r="P5663" i="1"/>
  <c r="P5640" i="1"/>
  <c r="P5652" i="1"/>
  <c r="P5648" i="1"/>
  <c r="P5641" i="1"/>
  <c r="P5626" i="1"/>
  <c r="P5647" i="1"/>
  <c r="P5599" i="1"/>
  <c r="P5630" i="1"/>
  <c r="P5567" i="1"/>
  <c r="P5578" i="1"/>
  <c r="P5512" i="1"/>
  <c r="P5552" i="1"/>
  <c r="P5554" i="1"/>
  <c r="P5528" i="1"/>
  <c r="P5546" i="1"/>
  <c r="P5545" i="1"/>
  <c r="P5523" i="1"/>
  <c r="P5527" i="1"/>
  <c r="P5501" i="1"/>
  <c r="P5456" i="1"/>
  <c r="P5452" i="1"/>
  <c r="P5470" i="1"/>
  <c r="P5442" i="1"/>
  <c r="P5414" i="1"/>
  <c r="P5411" i="1"/>
  <c r="P5413" i="1"/>
  <c r="P5399" i="1"/>
  <c r="P5392" i="1"/>
  <c r="P5386" i="1"/>
  <c r="P5393" i="1"/>
  <c r="P5390" i="1"/>
  <c r="P5298" i="1"/>
  <c r="P5363" i="1"/>
  <c r="P5328" i="1"/>
  <c r="P5315" i="1"/>
  <c r="P5327" i="1"/>
  <c r="P5320" i="1"/>
  <c r="P5265" i="1"/>
  <c r="P5288" i="1"/>
  <c r="P5278" i="1"/>
  <c r="P5237" i="1"/>
  <c r="P5258" i="1"/>
  <c r="P5246" i="1"/>
  <c r="P5255" i="1"/>
  <c r="P5252" i="1"/>
  <c r="P4979" i="1"/>
  <c r="P5227" i="1"/>
  <c r="P5231" i="1"/>
  <c r="P5229" i="1"/>
  <c r="P5223" i="1"/>
  <c r="P5220" i="1"/>
  <c r="P5210" i="1"/>
  <c r="P5201" i="1"/>
  <c r="P5200" i="1"/>
  <c r="P5167" i="1"/>
  <c r="P5194" i="1"/>
  <c r="P5189" i="1"/>
  <c r="P5173" i="1"/>
  <c r="P5138" i="1"/>
  <c r="P5140" i="1"/>
  <c r="P5139" i="1"/>
  <c r="P5125" i="1"/>
  <c r="P5121" i="1"/>
  <c r="P5101" i="1"/>
  <c r="P5100" i="1"/>
  <c r="P5082" i="1"/>
  <c r="P5076" i="1"/>
  <c r="P5074" i="1"/>
  <c r="P5054" i="1"/>
  <c r="P5069" i="1"/>
  <c r="P5055" i="1"/>
  <c r="P5021" i="1"/>
  <c r="P5010" i="1"/>
  <c r="P4941" i="1"/>
  <c r="P4993" i="1"/>
  <c r="P4977" i="1"/>
  <c r="P4972" i="1"/>
  <c r="P4919" i="1"/>
  <c r="P4961" i="1"/>
  <c r="P4906" i="1"/>
  <c r="P4894" i="1"/>
  <c r="P4870" i="1"/>
  <c r="P4883" i="1"/>
  <c r="P4873" i="1"/>
  <c r="P4862" i="1"/>
  <c r="P4857" i="1"/>
  <c r="P4850" i="1"/>
  <c r="P4858" i="1"/>
  <c r="P4821" i="1"/>
  <c r="P4812" i="1"/>
  <c r="P4775" i="1"/>
  <c r="P4808" i="1"/>
  <c r="P4816" i="1"/>
  <c r="P4815" i="1"/>
  <c r="P4749" i="1"/>
  <c r="P4800" i="1"/>
  <c r="P4761" i="1"/>
  <c r="P4754" i="1"/>
  <c r="P4758" i="1"/>
  <c r="P4757" i="1"/>
  <c r="P4718" i="1"/>
  <c r="P4747" i="1"/>
  <c r="P4742" i="1"/>
  <c r="P4730" i="1"/>
  <c r="P4736" i="1"/>
  <c r="P4717" i="1"/>
  <c r="P4702" i="1"/>
  <c r="O4688" i="1"/>
  <c r="P4688" i="1" s="1"/>
  <c r="O4689" i="1"/>
  <c r="P4689" i="1" s="1"/>
  <c r="O4691" i="1"/>
  <c r="P4691" i="1" s="1"/>
  <c r="O4692" i="1"/>
  <c r="P4692" i="1" s="1"/>
  <c r="O4693" i="1"/>
  <c r="P4693" i="1" s="1"/>
  <c r="O4694" i="1"/>
  <c r="P4694" i="1" s="1"/>
  <c r="O4695" i="1"/>
  <c r="P4695" i="1" s="1"/>
  <c r="O4696" i="1"/>
  <c r="P4696" i="1" s="1"/>
  <c r="G4687" i="1"/>
  <c r="G4684" i="1"/>
  <c r="O4679" i="1"/>
  <c r="P4679" i="1" s="1"/>
  <c r="O4680" i="1"/>
  <c r="P4680" i="1" s="1"/>
  <c r="O4681" i="1"/>
  <c r="P4681" i="1" s="1"/>
  <c r="O4682" i="1"/>
  <c r="P4682" i="1" s="1"/>
  <c r="O4683" i="1"/>
  <c r="P4683" i="1" s="1"/>
  <c r="O4684" i="1"/>
  <c r="O4685" i="1"/>
  <c r="P4685" i="1" s="1"/>
  <c r="O4686" i="1"/>
  <c r="P4686" i="1" s="1"/>
  <c r="O4687" i="1"/>
  <c r="G4672" i="1"/>
  <c r="O4670" i="1"/>
  <c r="P4670" i="1" s="1"/>
  <c r="O4671" i="1"/>
  <c r="P4671" i="1" s="1"/>
  <c r="O4672" i="1"/>
  <c r="O4673" i="1"/>
  <c r="P4673" i="1" s="1"/>
  <c r="O4674" i="1"/>
  <c r="P4674" i="1" s="1"/>
  <c r="O4675" i="1"/>
  <c r="P4675" i="1" s="1"/>
  <c r="O4676" i="1"/>
  <c r="P4676" i="1" s="1"/>
  <c r="O4677" i="1"/>
  <c r="P4677" i="1" s="1"/>
  <c r="O4678" i="1"/>
  <c r="P4678" i="1" s="1"/>
  <c r="G4661" i="1"/>
  <c r="O4659" i="1"/>
  <c r="P4659" i="1" s="1"/>
  <c r="O4660" i="1"/>
  <c r="P4660" i="1" s="1"/>
  <c r="O4661" i="1"/>
  <c r="O4662" i="1"/>
  <c r="P4662" i="1" s="1"/>
  <c r="O4663" i="1"/>
  <c r="P4663" i="1" s="1"/>
  <c r="O4664" i="1"/>
  <c r="P4664" i="1" s="1"/>
  <c r="O4665" i="1"/>
  <c r="P4665" i="1" s="1"/>
  <c r="O4666" i="1"/>
  <c r="P4666" i="1" s="1"/>
  <c r="O4667" i="1"/>
  <c r="P4667" i="1" s="1"/>
  <c r="O4668" i="1"/>
  <c r="P4668" i="1" s="1"/>
  <c r="O4669" i="1"/>
  <c r="P4669" i="1" s="1"/>
  <c r="G4653" i="1"/>
  <c r="O4648" i="1"/>
  <c r="P4648" i="1" s="1"/>
  <c r="O4649" i="1"/>
  <c r="P4649" i="1" s="1"/>
  <c r="O4650" i="1"/>
  <c r="P4650" i="1" s="1"/>
  <c r="O4651" i="1"/>
  <c r="P4651" i="1" s="1"/>
  <c r="O4652" i="1"/>
  <c r="P4652" i="1" s="1"/>
  <c r="O4653" i="1"/>
  <c r="O4654" i="1"/>
  <c r="P4654" i="1" s="1"/>
  <c r="O4655" i="1"/>
  <c r="P4655" i="1" s="1"/>
  <c r="O4656" i="1"/>
  <c r="P4656" i="1" s="1"/>
  <c r="O4657" i="1"/>
  <c r="P4657" i="1" s="1"/>
  <c r="O4658" i="1"/>
  <c r="P4658" i="1" s="1"/>
  <c r="O4640" i="1"/>
  <c r="P4640" i="1" s="1"/>
  <c r="O4641" i="1"/>
  <c r="P4641" i="1" s="1"/>
  <c r="O4642" i="1"/>
  <c r="P4642" i="1" s="1"/>
  <c r="O4643" i="1"/>
  <c r="P4643" i="1" s="1"/>
  <c r="O4644" i="1"/>
  <c r="P4644" i="1" s="1"/>
  <c r="O4645" i="1"/>
  <c r="P4645" i="1" s="1"/>
  <c r="O4646" i="1"/>
  <c r="P4646" i="1" s="1"/>
  <c r="O4647" i="1"/>
  <c r="P4647" i="1" s="1"/>
  <c r="G4634" i="1"/>
  <c r="G4636" i="1"/>
  <c r="O4630" i="1"/>
  <c r="P4630" i="1" s="1"/>
  <c r="O4631" i="1"/>
  <c r="P4631" i="1" s="1"/>
  <c r="O4632" i="1"/>
  <c r="P4632" i="1" s="1"/>
  <c r="O4633" i="1"/>
  <c r="P4633" i="1" s="1"/>
  <c r="O4634" i="1"/>
  <c r="O4635" i="1"/>
  <c r="P4635" i="1" s="1"/>
  <c r="O4636" i="1"/>
  <c r="O4637" i="1"/>
  <c r="P4637" i="1" s="1"/>
  <c r="O4638" i="1"/>
  <c r="P4638" i="1" s="1"/>
  <c r="O4639" i="1"/>
  <c r="P4639" i="1" s="1"/>
  <c r="G4629" i="1"/>
  <c r="O4625" i="1"/>
  <c r="P4625" i="1" s="1"/>
  <c r="O4626" i="1"/>
  <c r="P4626" i="1" s="1"/>
  <c r="O4627" i="1"/>
  <c r="P4627" i="1" s="1"/>
  <c r="O4628" i="1"/>
  <c r="P4628" i="1" s="1"/>
  <c r="O4629" i="1"/>
  <c r="O4615" i="1"/>
  <c r="P4615" i="1" s="1"/>
  <c r="O4616" i="1"/>
  <c r="P4616" i="1" s="1"/>
  <c r="O4617" i="1"/>
  <c r="P4617" i="1" s="1"/>
  <c r="O4618" i="1"/>
  <c r="P4618" i="1" s="1"/>
  <c r="O4619" i="1"/>
  <c r="P4619" i="1" s="1"/>
  <c r="O4620" i="1"/>
  <c r="P4620" i="1" s="1"/>
  <c r="O4621" i="1"/>
  <c r="P4621" i="1" s="1"/>
  <c r="O4622" i="1"/>
  <c r="P4622" i="1" s="1"/>
  <c r="O4623" i="1"/>
  <c r="P4623" i="1" s="1"/>
  <c r="O4624" i="1"/>
  <c r="P4624" i="1" s="1"/>
  <c r="G4609" i="1"/>
  <c r="O4607" i="1"/>
  <c r="P4607" i="1" s="1"/>
  <c r="O4608" i="1"/>
  <c r="P4608" i="1" s="1"/>
  <c r="O4609" i="1"/>
  <c r="O4610" i="1"/>
  <c r="P4610" i="1" s="1"/>
  <c r="O4611" i="1"/>
  <c r="P4611" i="1" s="1"/>
  <c r="O4612" i="1"/>
  <c r="P4612" i="1" s="1"/>
  <c r="O4613" i="1"/>
  <c r="P4613" i="1" s="1"/>
  <c r="O4614" i="1"/>
  <c r="P4614" i="1" s="1"/>
  <c r="G4603" i="1"/>
  <c r="O4597" i="1"/>
  <c r="P4597" i="1" s="1"/>
  <c r="O4598" i="1"/>
  <c r="P4598" i="1" s="1"/>
  <c r="O4599" i="1"/>
  <c r="P4599" i="1" s="1"/>
  <c r="O4600" i="1"/>
  <c r="P4600" i="1" s="1"/>
  <c r="O4601" i="1"/>
  <c r="P4601" i="1" s="1"/>
  <c r="O4602" i="1"/>
  <c r="P4602" i="1" s="1"/>
  <c r="O4603" i="1"/>
  <c r="O4604" i="1"/>
  <c r="P4604" i="1" s="1"/>
  <c r="O4605" i="1"/>
  <c r="P4605" i="1" s="1"/>
  <c r="O4606" i="1"/>
  <c r="P4606" i="1" s="1"/>
  <c r="G4591" i="1"/>
  <c r="O4584" i="1"/>
  <c r="P4584" i="1" s="1"/>
  <c r="O4585" i="1"/>
  <c r="P4585" i="1" s="1"/>
  <c r="O4586" i="1"/>
  <c r="P4586" i="1" s="1"/>
  <c r="O4587" i="1"/>
  <c r="P4587" i="1" s="1"/>
  <c r="O4588" i="1"/>
  <c r="P4588" i="1" s="1"/>
  <c r="O4589" i="1"/>
  <c r="P4589" i="1" s="1"/>
  <c r="O4590" i="1"/>
  <c r="P4590" i="1" s="1"/>
  <c r="O4591" i="1"/>
  <c r="O4592" i="1"/>
  <c r="P4592" i="1" s="1"/>
  <c r="O4593" i="1"/>
  <c r="P4593" i="1" s="1"/>
  <c r="O4594" i="1"/>
  <c r="P4594" i="1" s="1"/>
  <c r="O4595" i="1"/>
  <c r="P4595" i="1" s="1"/>
  <c r="O4596" i="1"/>
  <c r="P4596" i="1" s="1"/>
  <c r="M4574" i="1"/>
  <c r="O4574" i="1" s="1"/>
  <c r="P4574" i="1" s="1"/>
  <c r="O4576" i="1"/>
  <c r="P4576" i="1" s="1"/>
  <c r="G4577" i="1"/>
  <c r="G4580" i="1"/>
  <c r="O4572" i="1"/>
  <c r="P4572" i="1" s="1"/>
  <c r="O4573" i="1"/>
  <c r="P4573" i="1" s="1"/>
  <c r="O4575" i="1"/>
  <c r="P4575" i="1" s="1"/>
  <c r="O4578" i="1"/>
  <c r="P4578" i="1" s="1"/>
  <c r="O4579" i="1"/>
  <c r="P4579" i="1" s="1"/>
  <c r="O4580" i="1"/>
  <c r="O4581" i="1"/>
  <c r="P4581" i="1" s="1"/>
  <c r="O4582" i="1"/>
  <c r="P4582" i="1" s="1"/>
  <c r="O4583" i="1"/>
  <c r="P4583" i="1" s="1"/>
  <c r="G4569" i="1"/>
  <c r="G4566" i="1"/>
  <c r="G4565" i="1"/>
  <c r="G4563" i="1"/>
  <c r="O4560" i="1"/>
  <c r="P4560" i="1" s="1"/>
  <c r="O4561" i="1"/>
  <c r="P4561" i="1" s="1"/>
  <c r="O4562" i="1"/>
  <c r="P4562" i="1" s="1"/>
  <c r="O4563" i="1"/>
  <c r="O4564" i="1"/>
  <c r="P4564" i="1" s="1"/>
  <c r="O4565" i="1"/>
  <c r="O4566" i="1"/>
  <c r="O4567" i="1"/>
  <c r="P4567" i="1" s="1"/>
  <c r="O4568" i="1"/>
  <c r="P4568" i="1" s="1"/>
  <c r="O4569" i="1"/>
  <c r="O4570" i="1"/>
  <c r="P4570" i="1" s="1"/>
  <c r="O4571" i="1"/>
  <c r="P4571" i="1" s="1"/>
  <c r="G4559" i="1"/>
  <c r="G4555" i="1"/>
  <c r="G4554" i="1"/>
  <c r="O4549" i="1"/>
  <c r="P4549" i="1" s="1"/>
  <c r="O4550" i="1"/>
  <c r="P4550" i="1" s="1"/>
  <c r="O4551" i="1"/>
  <c r="P4551" i="1" s="1"/>
  <c r="O4552" i="1"/>
  <c r="P4552" i="1" s="1"/>
  <c r="O4553" i="1"/>
  <c r="P4553" i="1" s="1"/>
  <c r="O4554" i="1"/>
  <c r="O4555" i="1"/>
  <c r="O4556" i="1"/>
  <c r="P4556" i="1" s="1"/>
  <c r="O4557" i="1"/>
  <c r="P4557" i="1" s="1"/>
  <c r="O4558" i="1"/>
  <c r="P4558" i="1" s="1"/>
  <c r="O4559" i="1"/>
  <c r="G4546" i="1"/>
  <c r="O4539" i="1"/>
  <c r="P4539" i="1" s="1"/>
  <c r="O4540" i="1"/>
  <c r="P4540" i="1" s="1"/>
  <c r="O4541" i="1"/>
  <c r="P4541" i="1" s="1"/>
  <c r="O4542" i="1"/>
  <c r="P4542" i="1" s="1"/>
  <c r="O4543" i="1"/>
  <c r="P4543" i="1" s="1"/>
  <c r="O4544" i="1"/>
  <c r="P4544" i="1" s="1"/>
  <c r="O4545" i="1"/>
  <c r="P4545" i="1" s="1"/>
  <c r="O4546" i="1"/>
  <c r="O4547" i="1"/>
  <c r="P4547" i="1" s="1"/>
  <c r="O4548" i="1"/>
  <c r="P4548" i="1" s="1"/>
  <c r="G4534" i="1"/>
  <c r="G4532" i="1"/>
  <c r="G4530" i="1"/>
  <c r="G4525" i="1"/>
  <c r="O4525" i="1"/>
  <c r="O4526" i="1"/>
  <c r="P4526" i="1" s="1"/>
  <c r="O4527" i="1"/>
  <c r="P4527" i="1" s="1"/>
  <c r="O4528" i="1"/>
  <c r="P4528" i="1" s="1"/>
  <c r="O4529" i="1"/>
  <c r="P4529" i="1" s="1"/>
  <c r="O4530" i="1"/>
  <c r="O4531" i="1"/>
  <c r="P4531" i="1" s="1"/>
  <c r="O4532" i="1"/>
  <c r="O4533" i="1"/>
  <c r="P4533" i="1" s="1"/>
  <c r="O4534" i="1"/>
  <c r="O4535" i="1"/>
  <c r="P4535" i="1" s="1"/>
  <c r="O4536" i="1"/>
  <c r="P4536" i="1" s="1"/>
  <c r="O4537" i="1"/>
  <c r="P4537" i="1" s="1"/>
  <c r="O4538" i="1"/>
  <c r="P4538" i="1" s="1"/>
  <c r="G4517" i="1"/>
  <c r="G4522" i="1"/>
  <c r="P4687" i="1" l="1"/>
  <c r="P4661" i="1"/>
  <c r="P4684" i="1"/>
  <c r="P4672" i="1"/>
  <c r="P4603" i="1"/>
  <c r="P4636" i="1"/>
  <c r="P4634" i="1"/>
  <c r="P4653" i="1"/>
  <c r="P4629" i="1"/>
  <c r="P4609" i="1"/>
  <c r="P4591" i="1"/>
  <c r="P4580" i="1"/>
  <c r="P4566" i="1"/>
  <c r="P4577" i="1"/>
  <c r="P4559" i="1"/>
  <c r="P4569" i="1"/>
  <c r="P4565" i="1"/>
  <c r="P4563" i="1"/>
  <c r="P4555" i="1"/>
  <c r="P4530" i="1"/>
  <c r="P4554" i="1"/>
  <c r="P4532" i="1"/>
  <c r="P4546" i="1"/>
  <c r="P4534" i="1"/>
  <c r="P4525" i="1"/>
  <c r="O4514" i="1"/>
  <c r="P4514" i="1" s="1"/>
  <c r="O4515" i="1"/>
  <c r="P4515" i="1" s="1"/>
  <c r="O4516" i="1"/>
  <c r="P4516" i="1" s="1"/>
  <c r="O4517" i="1"/>
  <c r="P4517" i="1" s="1"/>
  <c r="O4518" i="1"/>
  <c r="P4518" i="1" s="1"/>
  <c r="O4519" i="1"/>
  <c r="P4519" i="1" s="1"/>
  <c r="O4520" i="1"/>
  <c r="P4520" i="1" s="1"/>
  <c r="O4521" i="1"/>
  <c r="P4521" i="1" s="1"/>
  <c r="O4522" i="1"/>
  <c r="P4522" i="1" s="1"/>
  <c r="O4523" i="1"/>
  <c r="P4523" i="1" s="1"/>
  <c r="O4524" i="1"/>
  <c r="P4524" i="1" s="1"/>
  <c r="O4507" i="1"/>
  <c r="P4507" i="1" s="1"/>
  <c r="O4508" i="1"/>
  <c r="P4508" i="1" s="1"/>
  <c r="O4509" i="1"/>
  <c r="P4509" i="1" s="1"/>
  <c r="P4510" i="1"/>
  <c r="O4511" i="1"/>
  <c r="P4511" i="1" s="1"/>
  <c r="O4512" i="1"/>
  <c r="P4512" i="1" s="1"/>
  <c r="O4513" i="1"/>
  <c r="P4513" i="1" s="1"/>
  <c r="G4501" i="1"/>
  <c r="O4496" i="1"/>
  <c r="P4496" i="1" s="1"/>
  <c r="O4497" i="1"/>
  <c r="P4497" i="1" s="1"/>
  <c r="O4498" i="1"/>
  <c r="P4498" i="1" s="1"/>
  <c r="O4499" i="1"/>
  <c r="P4499" i="1" s="1"/>
  <c r="O4500" i="1"/>
  <c r="P4500" i="1" s="1"/>
  <c r="O4501" i="1"/>
  <c r="O4502" i="1"/>
  <c r="P4502" i="1" s="1"/>
  <c r="O4503" i="1"/>
  <c r="P4503" i="1" s="1"/>
  <c r="O4504" i="1"/>
  <c r="P4504" i="1" s="1"/>
  <c r="O4505" i="1"/>
  <c r="P4505" i="1" s="1"/>
  <c r="O4506" i="1"/>
  <c r="P4506" i="1" s="1"/>
  <c r="G4493" i="1"/>
  <c r="P4493" i="1" s="1"/>
  <c r="O4486" i="1"/>
  <c r="P4486" i="1" s="1"/>
  <c r="O4487" i="1"/>
  <c r="P4487" i="1" s="1"/>
  <c r="O4488" i="1"/>
  <c r="P4488" i="1" s="1"/>
  <c r="O4489" i="1"/>
  <c r="P4489" i="1" s="1"/>
  <c r="O4490" i="1"/>
  <c r="P4490" i="1" s="1"/>
  <c r="O4491" i="1"/>
  <c r="P4491" i="1" s="1"/>
  <c r="O4492" i="1"/>
  <c r="P4492" i="1" s="1"/>
  <c r="O4494" i="1"/>
  <c r="P4494" i="1" s="1"/>
  <c r="O4495" i="1"/>
  <c r="P4495" i="1" s="1"/>
  <c r="G4483" i="1"/>
  <c r="G4480" i="1"/>
  <c r="G4478" i="1"/>
  <c r="O4475" i="1"/>
  <c r="P4475" i="1" s="1"/>
  <c r="O4476" i="1"/>
  <c r="P4476" i="1" s="1"/>
  <c r="O4477" i="1"/>
  <c r="P4477" i="1" s="1"/>
  <c r="O4478" i="1"/>
  <c r="O4479" i="1"/>
  <c r="P4479" i="1" s="1"/>
  <c r="O4480" i="1"/>
  <c r="O4481" i="1"/>
  <c r="P4481" i="1" s="1"/>
  <c r="O4482" i="1"/>
  <c r="P4482" i="1" s="1"/>
  <c r="O4483" i="1"/>
  <c r="O4484" i="1"/>
  <c r="P4484" i="1" s="1"/>
  <c r="O4485" i="1"/>
  <c r="P4485" i="1" s="1"/>
  <c r="G4474" i="1"/>
  <c r="G4472" i="1"/>
  <c r="G4471" i="1"/>
  <c r="O4466" i="1"/>
  <c r="P4466" i="1" s="1"/>
  <c r="O4467" i="1"/>
  <c r="P4467" i="1" s="1"/>
  <c r="O4468" i="1"/>
  <c r="P4468" i="1" s="1"/>
  <c r="O4469" i="1"/>
  <c r="P4469" i="1" s="1"/>
  <c r="O4470" i="1"/>
  <c r="P4470" i="1" s="1"/>
  <c r="O4471" i="1"/>
  <c r="O4472" i="1"/>
  <c r="P4472" i="1" s="1"/>
  <c r="O4473" i="1"/>
  <c r="P4473" i="1" s="1"/>
  <c r="O4474" i="1"/>
  <c r="G4457" i="1"/>
  <c r="O4457" i="1"/>
  <c r="O4458" i="1"/>
  <c r="P4458" i="1" s="1"/>
  <c r="O4459" i="1"/>
  <c r="P4459" i="1" s="1"/>
  <c r="O4460" i="1"/>
  <c r="P4460" i="1" s="1"/>
  <c r="O4461" i="1"/>
  <c r="P4461" i="1" s="1"/>
  <c r="O4462" i="1"/>
  <c r="P4462" i="1" s="1"/>
  <c r="O4463" i="1"/>
  <c r="P4463" i="1" s="1"/>
  <c r="O4464" i="1"/>
  <c r="P4464" i="1" s="1"/>
  <c r="O4465" i="1"/>
  <c r="P4465" i="1" s="1"/>
  <c r="O4442" i="1"/>
  <c r="P4442" i="1" s="1"/>
  <c r="O4443" i="1"/>
  <c r="P4443" i="1" s="1"/>
  <c r="O4444" i="1"/>
  <c r="P4444" i="1" s="1"/>
  <c r="O4445" i="1"/>
  <c r="P4445" i="1" s="1"/>
  <c r="O4446" i="1"/>
  <c r="P4446" i="1" s="1"/>
  <c r="O4447" i="1"/>
  <c r="P4447" i="1" s="1"/>
  <c r="O4448" i="1"/>
  <c r="P4448" i="1" s="1"/>
  <c r="O4449" i="1"/>
  <c r="P4449" i="1" s="1"/>
  <c r="O4450" i="1"/>
  <c r="P4450" i="1" s="1"/>
  <c r="O4451" i="1"/>
  <c r="P4451" i="1" s="1"/>
  <c r="O4452" i="1"/>
  <c r="P4452" i="1" s="1"/>
  <c r="O4453" i="1"/>
  <c r="P4453" i="1" s="1"/>
  <c r="O4454" i="1"/>
  <c r="P4454" i="1" s="1"/>
  <c r="O4455" i="1"/>
  <c r="P4455" i="1" s="1"/>
  <c r="O4456" i="1"/>
  <c r="P4456" i="1" s="1"/>
  <c r="G4433" i="1"/>
  <c r="G4437" i="1"/>
  <c r="G4429" i="1"/>
  <c r="O4428" i="1"/>
  <c r="P4428" i="1" s="1"/>
  <c r="O4429" i="1"/>
  <c r="O4430" i="1"/>
  <c r="P4430" i="1" s="1"/>
  <c r="O4431" i="1"/>
  <c r="P4431" i="1" s="1"/>
  <c r="O4432" i="1"/>
  <c r="P4432" i="1" s="1"/>
  <c r="O4433" i="1"/>
  <c r="O4434" i="1"/>
  <c r="P4434" i="1" s="1"/>
  <c r="O4435" i="1"/>
  <c r="P4435" i="1" s="1"/>
  <c r="O4436" i="1"/>
  <c r="P4436" i="1" s="1"/>
  <c r="O4437" i="1"/>
  <c r="O4438" i="1"/>
  <c r="P4438" i="1" s="1"/>
  <c r="O4439" i="1"/>
  <c r="P4439" i="1" s="1"/>
  <c r="O4440" i="1"/>
  <c r="P4440" i="1" s="1"/>
  <c r="O4441" i="1"/>
  <c r="P4441" i="1" s="1"/>
  <c r="G4423" i="1"/>
  <c r="G4422" i="1"/>
  <c r="G4419" i="1"/>
  <c r="O4418" i="1"/>
  <c r="P4418" i="1" s="1"/>
  <c r="O4419" i="1"/>
  <c r="O4420" i="1"/>
  <c r="P4420" i="1" s="1"/>
  <c r="O4421" i="1"/>
  <c r="P4421" i="1" s="1"/>
  <c r="O4422" i="1"/>
  <c r="O4423" i="1"/>
  <c r="O4424" i="1"/>
  <c r="P4424" i="1" s="1"/>
  <c r="O4425" i="1"/>
  <c r="P4425" i="1" s="1"/>
  <c r="O4426" i="1"/>
  <c r="P4426" i="1" s="1"/>
  <c r="O4427" i="1"/>
  <c r="P4427" i="1" s="1"/>
  <c r="G4412" i="1"/>
  <c r="G4410" i="1"/>
  <c r="O4406" i="1"/>
  <c r="P4406" i="1" s="1"/>
  <c r="O4407" i="1"/>
  <c r="P4407" i="1" s="1"/>
  <c r="O4408" i="1"/>
  <c r="P4408" i="1" s="1"/>
  <c r="O4409" i="1"/>
  <c r="P4409" i="1" s="1"/>
  <c r="O4410" i="1"/>
  <c r="O4411" i="1"/>
  <c r="P4411" i="1" s="1"/>
  <c r="O4412" i="1"/>
  <c r="O4413" i="1"/>
  <c r="P4413" i="1" s="1"/>
  <c r="O4414" i="1"/>
  <c r="P4414" i="1" s="1"/>
  <c r="O4415" i="1"/>
  <c r="P4415" i="1" s="1"/>
  <c r="O4416" i="1"/>
  <c r="P4416" i="1" s="1"/>
  <c r="O4417" i="1"/>
  <c r="P4417" i="1" s="1"/>
  <c r="G4405" i="1"/>
  <c r="O4398" i="1"/>
  <c r="P4398" i="1" s="1"/>
  <c r="O4399" i="1"/>
  <c r="P4399" i="1" s="1"/>
  <c r="O4400" i="1"/>
  <c r="P4400" i="1" s="1"/>
  <c r="O4401" i="1"/>
  <c r="P4401" i="1" s="1"/>
  <c r="O4402" i="1"/>
  <c r="P4402" i="1" s="1"/>
  <c r="O4403" i="1"/>
  <c r="P4403" i="1" s="1"/>
  <c r="O4404" i="1"/>
  <c r="P4404" i="1" s="1"/>
  <c r="O4405" i="1"/>
  <c r="G4387" i="1"/>
  <c r="G4376" i="1"/>
  <c r="G4383" i="1"/>
  <c r="O4375" i="1"/>
  <c r="P4375" i="1" s="1"/>
  <c r="O4376" i="1"/>
  <c r="O4377" i="1"/>
  <c r="P4377" i="1" s="1"/>
  <c r="O4378" i="1"/>
  <c r="P4378" i="1" s="1"/>
  <c r="O4379" i="1"/>
  <c r="P4379" i="1" s="1"/>
  <c r="O4380" i="1"/>
  <c r="P4380" i="1" s="1"/>
  <c r="O4381" i="1"/>
  <c r="P4381" i="1" s="1"/>
  <c r="O4382" i="1"/>
  <c r="P4382" i="1" s="1"/>
  <c r="O4383" i="1"/>
  <c r="O4384" i="1"/>
  <c r="P4384" i="1" s="1"/>
  <c r="O4385" i="1"/>
  <c r="P4385" i="1" s="1"/>
  <c r="O4386" i="1"/>
  <c r="P4386" i="1" s="1"/>
  <c r="O4387" i="1"/>
  <c r="O4388" i="1"/>
  <c r="P4388" i="1" s="1"/>
  <c r="O4389" i="1"/>
  <c r="P4389" i="1" s="1"/>
  <c r="O4390" i="1"/>
  <c r="P4390" i="1" s="1"/>
  <c r="O4391" i="1"/>
  <c r="P4391" i="1" s="1"/>
  <c r="O4392" i="1"/>
  <c r="P4392" i="1" s="1"/>
  <c r="O4393" i="1"/>
  <c r="P4393" i="1" s="1"/>
  <c r="O4394" i="1"/>
  <c r="P4394" i="1" s="1"/>
  <c r="O4395" i="1"/>
  <c r="P4395" i="1" s="1"/>
  <c r="O4396" i="1"/>
  <c r="P4396" i="1" s="1"/>
  <c r="O4397" i="1"/>
  <c r="P4397" i="1" s="1"/>
  <c r="G4369" i="1"/>
  <c r="G4368" i="1"/>
  <c r="O4362" i="1"/>
  <c r="P4362" i="1" s="1"/>
  <c r="O4363" i="1"/>
  <c r="P4363" i="1" s="1"/>
  <c r="O4364" i="1"/>
  <c r="P4364" i="1" s="1"/>
  <c r="O4365" i="1"/>
  <c r="P4365" i="1" s="1"/>
  <c r="O4366" i="1"/>
  <c r="P4366" i="1" s="1"/>
  <c r="O4367" i="1"/>
  <c r="P4367" i="1" s="1"/>
  <c r="O4368" i="1"/>
  <c r="O4369" i="1"/>
  <c r="O4370" i="1"/>
  <c r="P4370" i="1" s="1"/>
  <c r="O4371" i="1"/>
  <c r="P4371" i="1" s="1"/>
  <c r="O4372" i="1"/>
  <c r="P4372" i="1" s="1"/>
  <c r="O4373" i="1"/>
  <c r="P4373" i="1" s="1"/>
  <c r="O4374" i="1"/>
  <c r="P4374" i="1" s="1"/>
  <c r="G4360" i="1"/>
  <c r="O4356" i="1"/>
  <c r="P4356" i="1" s="1"/>
  <c r="O4357" i="1"/>
  <c r="P4357" i="1" s="1"/>
  <c r="O4358" i="1"/>
  <c r="P4358" i="1" s="1"/>
  <c r="O4359" i="1"/>
  <c r="P4359" i="1" s="1"/>
  <c r="O4360" i="1"/>
  <c r="O4361" i="1"/>
  <c r="P4361" i="1" s="1"/>
  <c r="O4346" i="1"/>
  <c r="P4346" i="1" s="1"/>
  <c r="O4347" i="1"/>
  <c r="P4347" i="1" s="1"/>
  <c r="O4348" i="1"/>
  <c r="P4348" i="1" s="1"/>
  <c r="O4349" i="1"/>
  <c r="P4349" i="1" s="1"/>
  <c r="O4350" i="1"/>
  <c r="P4350" i="1" s="1"/>
  <c r="O4351" i="1"/>
  <c r="P4351" i="1" s="1"/>
  <c r="O4352" i="1"/>
  <c r="P4352" i="1" s="1"/>
  <c r="O4353" i="1"/>
  <c r="P4353" i="1" s="1"/>
  <c r="O4354" i="1"/>
  <c r="P4354" i="1" s="1"/>
  <c r="O4355" i="1"/>
  <c r="P4355" i="1" s="1"/>
  <c r="G4334" i="1"/>
  <c r="G4343" i="1"/>
  <c r="O4334" i="1"/>
  <c r="O4335" i="1"/>
  <c r="P4335" i="1" s="1"/>
  <c r="O4336" i="1"/>
  <c r="P4336" i="1" s="1"/>
  <c r="O4337" i="1"/>
  <c r="P4337" i="1" s="1"/>
  <c r="P4338" i="1"/>
  <c r="P4339" i="1"/>
  <c r="O4340" i="1"/>
  <c r="P4340" i="1" s="1"/>
  <c r="O4341" i="1"/>
  <c r="P4341" i="1" s="1"/>
  <c r="O4342" i="1"/>
  <c r="P4342" i="1" s="1"/>
  <c r="O4343" i="1"/>
  <c r="O4344" i="1"/>
  <c r="P4344" i="1" s="1"/>
  <c r="O4345" i="1"/>
  <c r="P4345" i="1" s="1"/>
  <c r="O4326" i="1"/>
  <c r="P4326" i="1" s="1"/>
  <c r="O4327" i="1"/>
  <c r="P4327" i="1" s="1"/>
  <c r="O4328" i="1"/>
  <c r="P4328" i="1" s="1"/>
  <c r="O4329" i="1"/>
  <c r="P4329" i="1" s="1"/>
  <c r="O4330" i="1"/>
  <c r="P4330" i="1" s="1"/>
  <c r="O4331" i="1"/>
  <c r="P4331" i="1" s="1"/>
  <c r="O4332" i="1"/>
  <c r="P4332" i="1" s="1"/>
  <c r="O4333" i="1"/>
  <c r="P4333" i="1" s="1"/>
  <c r="G4321" i="1"/>
  <c r="G4319" i="1"/>
  <c r="O4307" i="1"/>
  <c r="P4307" i="1" s="1"/>
  <c r="O4308" i="1"/>
  <c r="O4309" i="1"/>
  <c r="P4309" i="1" s="1"/>
  <c r="O4310" i="1"/>
  <c r="P4310" i="1" s="1"/>
  <c r="O4311" i="1"/>
  <c r="P4311" i="1" s="1"/>
  <c r="O4312" i="1"/>
  <c r="P4312" i="1" s="1"/>
  <c r="O4313" i="1"/>
  <c r="P4313" i="1" s="1"/>
  <c r="O4314" i="1"/>
  <c r="P4314" i="1" s="1"/>
  <c r="O4315" i="1"/>
  <c r="P4315" i="1" s="1"/>
  <c r="O4316" i="1"/>
  <c r="P4316" i="1" s="1"/>
  <c r="O4317" i="1"/>
  <c r="P4317" i="1" s="1"/>
  <c r="O4318" i="1"/>
  <c r="P4318" i="1" s="1"/>
  <c r="O4319" i="1"/>
  <c r="O4320" i="1"/>
  <c r="P4320" i="1" s="1"/>
  <c r="O4321" i="1"/>
  <c r="O4322" i="1"/>
  <c r="P4322" i="1" s="1"/>
  <c r="O4323" i="1"/>
  <c r="P4323" i="1" s="1"/>
  <c r="O4324" i="1"/>
  <c r="P4324" i="1" s="1"/>
  <c r="O4325" i="1"/>
  <c r="P4325" i="1" s="1"/>
  <c r="G4308" i="1"/>
  <c r="G4304" i="1"/>
  <c r="O4304" i="1"/>
  <c r="O4305" i="1"/>
  <c r="P4305" i="1" s="1"/>
  <c r="O4306" i="1"/>
  <c r="P4306" i="1" s="1"/>
  <c r="O4296" i="1"/>
  <c r="P4296" i="1" s="1"/>
  <c r="O4297" i="1"/>
  <c r="P4297" i="1" s="1"/>
  <c r="O4298" i="1"/>
  <c r="P4298" i="1" s="1"/>
  <c r="O4299" i="1"/>
  <c r="P4299" i="1" s="1"/>
  <c r="O4300" i="1"/>
  <c r="P4300" i="1" s="1"/>
  <c r="O4301" i="1"/>
  <c r="P4301" i="1" s="1"/>
  <c r="O4302" i="1"/>
  <c r="P4302" i="1" s="1"/>
  <c r="O4303" i="1"/>
  <c r="P4303" i="1" s="1"/>
  <c r="G4290" i="1"/>
  <c r="O4285" i="1"/>
  <c r="P4285" i="1" s="1"/>
  <c r="O4286" i="1"/>
  <c r="P4286" i="1" s="1"/>
  <c r="O4287" i="1"/>
  <c r="P4287" i="1" s="1"/>
  <c r="O4288" i="1"/>
  <c r="P4288" i="1" s="1"/>
  <c r="O4289" i="1"/>
  <c r="P4289" i="1" s="1"/>
  <c r="O4290" i="1"/>
  <c r="O4291" i="1"/>
  <c r="P4291" i="1" s="1"/>
  <c r="O4292" i="1"/>
  <c r="P4292" i="1" s="1"/>
  <c r="O4293" i="1"/>
  <c r="P4293" i="1" s="1"/>
  <c r="O4294" i="1"/>
  <c r="P4294" i="1" s="1"/>
  <c r="O4295" i="1"/>
  <c r="P4295" i="1" s="1"/>
  <c r="G4280" i="1"/>
  <c r="O4278" i="1"/>
  <c r="P4278" i="1" s="1"/>
  <c r="O4279" i="1"/>
  <c r="P4279" i="1" s="1"/>
  <c r="O4280" i="1"/>
  <c r="O4281" i="1"/>
  <c r="P4281" i="1" s="1"/>
  <c r="O4282" i="1"/>
  <c r="P4282" i="1" s="1"/>
  <c r="O4283" i="1"/>
  <c r="P4283" i="1" s="1"/>
  <c r="O4284" i="1"/>
  <c r="P4284" i="1" s="1"/>
  <c r="O4271" i="1"/>
  <c r="P4271" i="1" s="1"/>
  <c r="O4272" i="1"/>
  <c r="P4272" i="1" s="1"/>
  <c r="O4273" i="1"/>
  <c r="P4273" i="1" s="1"/>
  <c r="O4274" i="1"/>
  <c r="P4274" i="1" s="1"/>
  <c r="O4275" i="1"/>
  <c r="P4275" i="1" s="1"/>
  <c r="O4276" i="1"/>
  <c r="P4276" i="1" s="1"/>
  <c r="O4277" i="1"/>
  <c r="P4277" i="1" s="1"/>
  <c r="G4265" i="1"/>
  <c r="O4263" i="1"/>
  <c r="P4263" i="1" s="1"/>
  <c r="O4264" i="1"/>
  <c r="P4264" i="1" s="1"/>
  <c r="O4265" i="1"/>
  <c r="O4266" i="1"/>
  <c r="P4266" i="1" s="1"/>
  <c r="O4267" i="1"/>
  <c r="P4267" i="1" s="1"/>
  <c r="O4268" i="1"/>
  <c r="P4268" i="1" s="1"/>
  <c r="O4269" i="1"/>
  <c r="P4269" i="1" s="1"/>
  <c r="O4270" i="1"/>
  <c r="P4270" i="1" s="1"/>
  <c r="O4260" i="1"/>
  <c r="P4260" i="1" s="1"/>
  <c r="T4260" i="1"/>
  <c r="U4260" i="1"/>
  <c r="V4260" i="1"/>
  <c r="G4262" i="1"/>
  <c r="G4254" i="1"/>
  <c r="O4254" i="1"/>
  <c r="O4255" i="1"/>
  <c r="P4255" i="1" s="1"/>
  <c r="O4256" i="1"/>
  <c r="P4256" i="1" s="1"/>
  <c r="O4257" i="1"/>
  <c r="P4257" i="1" s="1"/>
  <c r="O4258" i="1"/>
  <c r="P4258" i="1" s="1"/>
  <c r="O4259" i="1"/>
  <c r="P4259" i="1" s="1"/>
  <c r="O4261" i="1"/>
  <c r="P4261" i="1" s="1"/>
  <c r="O4262" i="1"/>
  <c r="G4253" i="1"/>
  <c r="O4249" i="1"/>
  <c r="P4249" i="1" s="1"/>
  <c r="O4250" i="1"/>
  <c r="P4250" i="1" s="1"/>
  <c r="O4251" i="1"/>
  <c r="P4251" i="1" s="1"/>
  <c r="O4252" i="1"/>
  <c r="P4252" i="1" s="1"/>
  <c r="O4253" i="1"/>
  <c r="O4239" i="1"/>
  <c r="P4239" i="1" s="1"/>
  <c r="O4240" i="1"/>
  <c r="P4240" i="1" s="1"/>
  <c r="O4241" i="1"/>
  <c r="P4241" i="1" s="1"/>
  <c r="O4242" i="1"/>
  <c r="P4242" i="1" s="1"/>
  <c r="O4243" i="1"/>
  <c r="P4243" i="1" s="1"/>
  <c r="O4244" i="1"/>
  <c r="P4244" i="1" s="1"/>
  <c r="O4245" i="1"/>
  <c r="P4245" i="1" s="1"/>
  <c r="O4246" i="1"/>
  <c r="P4246" i="1" s="1"/>
  <c r="O4247" i="1"/>
  <c r="P4247" i="1" s="1"/>
  <c r="O4248" i="1"/>
  <c r="P4248" i="1" s="1"/>
  <c r="G4229" i="1"/>
  <c r="G4227" i="1"/>
  <c r="G4203" i="1"/>
  <c r="G4195" i="1"/>
  <c r="G4192" i="1"/>
  <c r="G4182" i="1"/>
  <c r="G4181" i="1"/>
  <c r="P4181" i="1" s="1"/>
  <c r="O4146" i="1"/>
  <c r="P4146" i="1" s="1"/>
  <c r="O4147" i="1"/>
  <c r="P4147" i="1" s="1"/>
  <c r="O4148" i="1"/>
  <c r="P4148" i="1" s="1"/>
  <c r="O4149" i="1"/>
  <c r="O4150" i="1"/>
  <c r="P4150" i="1" s="1"/>
  <c r="O4151" i="1"/>
  <c r="O4152" i="1"/>
  <c r="P4152" i="1" s="1"/>
  <c r="O4153" i="1"/>
  <c r="P4153" i="1" s="1"/>
  <c r="O4154" i="1"/>
  <c r="P4154" i="1" s="1"/>
  <c r="O4155" i="1"/>
  <c r="P4155" i="1" s="1"/>
  <c r="O4156" i="1"/>
  <c r="P4156" i="1" s="1"/>
  <c r="O4157" i="1"/>
  <c r="P4157" i="1" s="1"/>
  <c r="O4158" i="1"/>
  <c r="P4158" i="1" s="1"/>
  <c r="O4159" i="1"/>
  <c r="O4160" i="1"/>
  <c r="P4160" i="1" s="1"/>
  <c r="O4161" i="1"/>
  <c r="P4161" i="1" s="1"/>
  <c r="O4162" i="1"/>
  <c r="P4162" i="1" s="1"/>
  <c r="O4163" i="1"/>
  <c r="P4163" i="1" s="1"/>
  <c r="O4164" i="1"/>
  <c r="P4164" i="1" s="1"/>
  <c r="O4165" i="1"/>
  <c r="P4165" i="1" s="1"/>
  <c r="O4166" i="1"/>
  <c r="P4166" i="1" s="1"/>
  <c r="O4167" i="1"/>
  <c r="P4167" i="1" s="1"/>
  <c r="O4168" i="1"/>
  <c r="P4168" i="1" s="1"/>
  <c r="O4169" i="1"/>
  <c r="P4169" i="1" s="1"/>
  <c r="O4170" i="1"/>
  <c r="P4170" i="1" s="1"/>
  <c r="O4171" i="1"/>
  <c r="P4171" i="1" s="1"/>
  <c r="O4172" i="1"/>
  <c r="O4173" i="1"/>
  <c r="P4173" i="1" s="1"/>
  <c r="O4174" i="1"/>
  <c r="P4174" i="1" s="1"/>
  <c r="O4175" i="1"/>
  <c r="P4175" i="1" s="1"/>
  <c r="O4176" i="1"/>
  <c r="P4176" i="1" s="1"/>
  <c r="O4177" i="1"/>
  <c r="P4177" i="1" s="1"/>
  <c r="O4178" i="1"/>
  <c r="P4178" i="1" s="1"/>
  <c r="O4179" i="1"/>
  <c r="P4179" i="1" s="1"/>
  <c r="O4180" i="1"/>
  <c r="P4180" i="1" s="1"/>
  <c r="O4182" i="1"/>
  <c r="O4183" i="1"/>
  <c r="P4183" i="1" s="1"/>
  <c r="O4184" i="1"/>
  <c r="P4184" i="1" s="1"/>
  <c r="O4185" i="1"/>
  <c r="P4185" i="1" s="1"/>
  <c r="O4186" i="1"/>
  <c r="P4186" i="1" s="1"/>
  <c r="O4187" i="1"/>
  <c r="P4187" i="1" s="1"/>
  <c r="O4188" i="1"/>
  <c r="P4188" i="1" s="1"/>
  <c r="O4189" i="1"/>
  <c r="P4189" i="1" s="1"/>
  <c r="O4190" i="1"/>
  <c r="P4190" i="1" s="1"/>
  <c r="O4191" i="1"/>
  <c r="P4191" i="1" s="1"/>
  <c r="O4192" i="1"/>
  <c r="O4193" i="1"/>
  <c r="P4193" i="1" s="1"/>
  <c r="O4194" i="1"/>
  <c r="P4194" i="1" s="1"/>
  <c r="O4195" i="1"/>
  <c r="O4196" i="1"/>
  <c r="P4196" i="1" s="1"/>
  <c r="O4197" i="1"/>
  <c r="P4197" i="1" s="1"/>
  <c r="O4198" i="1"/>
  <c r="P4198" i="1" s="1"/>
  <c r="O4199" i="1"/>
  <c r="P4199" i="1" s="1"/>
  <c r="O4200" i="1"/>
  <c r="P4200" i="1" s="1"/>
  <c r="O4201" i="1"/>
  <c r="P4201" i="1" s="1"/>
  <c r="O4202" i="1"/>
  <c r="P4202" i="1" s="1"/>
  <c r="O4203" i="1"/>
  <c r="O4204" i="1"/>
  <c r="P4204" i="1" s="1"/>
  <c r="O4205" i="1"/>
  <c r="P4205" i="1" s="1"/>
  <c r="O4206" i="1"/>
  <c r="P4206" i="1" s="1"/>
  <c r="O4207" i="1"/>
  <c r="P4207" i="1" s="1"/>
  <c r="O4208" i="1"/>
  <c r="P4208" i="1" s="1"/>
  <c r="O4209" i="1"/>
  <c r="P4209" i="1" s="1"/>
  <c r="O4210" i="1"/>
  <c r="P4210" i="1" s="1"/>
  <c r="O4211" i="1"/>
  <c r="P4211" i="1" s="1"/>
  <c r="O4212" i="1"/>
  <c r="P4212" i="1" s="1"/>
  <c r="O4213" i="1"/>
  <c r="P4213" i="1" s="1"/>
  <c r="O4214" i="1"/>
  <c r="P4214" i="1" s="1"/>
  <c r="O4215" i="1"/>
  <c r="P4215" i="1" s="1"/>
  <c r="O4216" i="1"/>
  <c r="P4216" i="1" s="1"/>
  <c r="O4217" i="1"/>
  <c r="P4217" i="1" s="1"/>
  <c r="O4218" i="1"/>
  <c r="P4218" i="1" s="1"/>
  <c r="O4219" i="1"/>
  <c r="P4219" i="1" s="1"/>
  <c r="O4220" i="1"/>
  <c r="P4220" i="1" s="1"/>
  <c r="O4221" i="1"/>
  <c r="P4221" i="1" s="1"/>
  <c r="O4222" i="1"/>
  <c r="P4222" i="1" s="1"/>
  <c r="O4223" i="1"/>
  <c r="P4223" i="1" s="1"/>
  <c r="O4224" i="1"/>
  <c r="P4224" i="1" s="1"/>
  <c r="O4225" i="1"/>
  <c r="P4225" i="1" s="1"/>
  <c r="O4226" i="1"/>
  <c r="P4226" i="1" s="1"/>
  <c r="O4227" i="1"/>
  <c r="O4228" i="1"/>
  <c r="P4228" i="1" s="1"/>
  <c r="O4229" i="1"/>
  <c r="O4230" i="1"/>
  <c r="P4230" i="1" s="1"/>
  <c r="O4231" i="1"/>
  <c r="P4231" i="1" s="1"/>
  <c r="O4232" i="1"/>
  <c r="P4232" i="1" s="1"/>
  <c r="O4233" i="1"/>
  <c r="P4233" i="1" s="1"/>
  <c r="O4234" i="1"/>
  <c r="P4234" i="1" s="1"/>
  <c r="O4235" i="1"/>
  <c r="P4235" i="1" s="1"/>
  <c r="O4236" i="1"/>
  <c r="P4236" i="1" s="1"/>
  <c r="O4237" i="1"/>
  <c r="P4237" i="1" s="1"/>
  <c r="O4238" i="1"/>
  <c r="P4238" i="1" s="1"/>
  <c r="G4172" i="1"/>
  <c r="G4159" i="1"/>
  <c r="G4151" i="1"/>
  <c r="G4149" i="1"/>
  <c r="G4143" i="1"/>
  <c r="G4121" i="1"/>
  <c r="O4103" i="1"/>
  <c r="P4103" i="1" s="1"/>
  <c r="T4103" i="1"/>
  <c r="U4103" i="1"/>
  <c r="V4103" i="1"/>
  <c r="G4104" i="1"/>
  <c r="G4102" i="1"/>
  <c r="G4101" i="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O4102" i="1"/>
  <c r="O4104" i="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4116" i="1"/>
  <c r="P4116" i="1" s="1"/>
  <c r="O4117" i="1"/>
  <c r="P4117" i="1" s="1"/>
  <c r="O4118" i="1"/>
  <c r="P4118" i="1" s="1"/>
  <c r="O4119" i="1"/>
  <c r="P4119" i="1" s="1"/>
  <c r="O4120" i="1"/>
  <c r="P4120" i="1" s="1"/>
  <c r="O4121" i="1"/>
  <c r="O4122" i="1"/>
  <c r="P4122" i="1" s="1"/>
  <c r="O4123" i="1"/>
  <c r="P4123" i="1" s="1"/>
  <c r="O4124" i="1"/>
  <c r="P4124" i="1" s="1"/>
  <c r="O4125" i="1"/>
  <c r="P4125" i="1" s="1"/>
  <c r="O4126" i="1"/>
  <c r="P4126" i="1" s="1"/>
  <c r="O4127" i="1"/>
  <c r="P4127" i="1" s="1"/>
  <c r="O4128" i="1"/>
  <c r="P4128" i="1" s="1"/>
  <c r="O4129" i="1"/>
  <c r="P4129" i="1" s="1"/>
  <c r="O4130" i="1"/>
  <c r="P4130" i="1" s="1"/>
  <c r="O4131" i="1"/>
  <c r="P4131" i="1" s="1"/>
  <c r="O4132" i="1"/>
  <c r="P4132" i="1" s="1"/>
  <c r="O4133" i="1"/>
  <c r="P4133" i="1" s="1"/>
  <c r="O4134" i="1"/>
  <c r="P4134" i="1" s="1"/>
  <c r="O4135" i="1"/>
  <c r="P4135" i="1" s="1"/>
  <c r="O4136" i="1"/>
  <c r="P4136" i="1" s="1"/>
  <c r="O4137" i="1"/>
  <c r="P4137" i="1" s="1"/>
  <c r="O4138" i="1"/>
  <c r="P4138" i="1" s="1"/>
  <c r="O4139" i="1"/>
  <c r="P4139" i="1" s="1"/>
  <c r="O4140" i="1"/>
  <c r="P4140" i="1" s="1"/>
  <c r="O4141" i="1"/>
  <c r="P4141" i="1" s="1"/>
  <c r="O4142" i="1"/>
  <c r="P4142" i="1" s="1"/>
  <c r="O4143" i="1"/>
  <c r="O4144" i="1"/>
  <c r="P4144" i="1" s="1"/>
  <c r="O4145" i="1"/>
  <c r="P4145" i="1" s="1"/>
  <c r="G4089" i="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G4055" i="1"/>
  <c r="O4051" i="1"/>
  <c r="P4051" i="1" s="1"/>
  <c r="O4052" i="1"/>
  <c r="P4052" i="1" s="1"/>
  <c r="O4053" i="1"/>
  <c r="P4053" i="1" s="1"/>
  <c r="O4054" i="1"/>
  <c r="P4054" i="1" s="1"/>
  <c r="O4055" i="1"/>
  <c r="O4056" i="1"/>
  <c r="P4056" i="1" s="1"/>
  <c r="O4057" i="1"/>
  <c r="P4057" i="1" s="1"/>
  <c r="O4058" i="1"/>
  <c r="P4058" i="1" s="1"/>
  <c r="O4059" i="1"/>
  <c r="P4059" i="1" s="1"/>
  <c r="O4060" i="1"/>
  <c r="P4060" i="1" s="1"/>
  <c r="O4061" i="1"/>
  <c r="P4061" i="1" s="1"/>
  <c r="O4062" i="1"/>
  <c r="P4062" i="1" s="1"/>
  <c r="G4042" i="1"/>
  <c r="O4040" i="1"/>
  <c r="P4040" i="1" s="1"/>
  <c r="O4041" i="1"/>
  <c r="P4041" i="1" s="1"/>
  <c r="O4042" i="1"/>
  <c r="O4043" i="1"/>
  <c r="P4043" i="1" s="1"/>
  <c r="O4044" i="1"/>
  <c r="P4044" i="1" s="1"/>
  <c r="O4045" i="1"/>
  <c r="P4045" i="1" s="1"/>
  <c r="O4046" i="1"/>
  <c r="P4046" i="1" s="1"/>
  <c r="O4047" i="1"/>
  <c r="P4047" i="1" s="1"/>
  <c r="O4048" i="1"/>
  <c r="P4048" i="1" s="1"/>
  <c r="O4049" i="1"/>
  <c r="P4049" i="1" s="1"/>
  <c r="O4050" i="1"/>
  <c r="P4050" i="1" s="1"/>
  <c r="G4037" i="1"/>
  <c r="O4030" i="1"/>
  <c r="P4030" i="1" s="1"/>
  <c r="O4031" i="1"/>
  <c r="P4031" i="1" s="1"/>
  <c r="O4032" i="1"/>
  <c r="P4032" i="1" s="1"/>
  <c r="O4033" i="1"/>
  <c r="P4033" i="1" s="1"/>
  <c r="O4034" i="1"/>
  <c r="P4034" i="1" s="1"/>
  <c r="O4035" i="1"/>
  <c r="P4035" i="1" s="1"/>
  <c r="O4036" i="1"/>
  <c r="P4036" i="1" s="1"/>
  <c r="O4037" i="1"/>
  <c r="P4037" i="1" s="1"/>
  <c r="O4038" i="1"/>
  <c r="P4038" i="1" s="1"/>
  <c r="O4039" i="1"/>
  <c r="P4039" i="1" s="1"/>
  <c r="O4025" i="1"/>
  <c r="P4025" i="1" s="1"/>
  <c r="O4026" i="1"/>
  <c r="P4026" i="1" s="1"/>
  <c r="O4027" i="1"/>
  <c r="P4027" i="1" s="1"/>
  <c r="O4028" i="1"/>
  <c r="P4028" i="1" s="1"/>
  <c r="O4029" i="1"/>
  <c r="P4029" i="1" s="1"/>
  <c r="O4016" i="1"/>
  <c r="P4016" i="1" s="1"/>
  <c r="O4017" i="1"/>
  <c r="P4017" i="1" s="1"/>
  <c r="O4018" i="1"/>
  <c r="P4018" i="1" s="1"/>
  <c r="O4019" i="1"/>
  <c r="P4019" i="1" s="1"/>
  <c r="O4020" i="1"/>
  <c r="P4020" i="1" s="1"/>
  <c r="O4021" i="1"/>
  <c r="P4021" i="1" s="1"/>
  <c r="O4022" i="1"/>
  <c r="P4022" i="1" s="1"/>
  <c r="O4023" i="1"/>
  <c r="P4023" i="1" s="1"/>
  <c r="O4024" i="1"/>
  <c r="P4024"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G3998" i="1"/>
  <c r="G4000" i="1"/>
  <c r="G3997" i="1"/>
  <c r="O3991" i="1"/>
  <c r="P3991" i="1" s="1"/>
  <c r="O3992" i="1"/>
  <c r="P3992" i="1" s="1"/>
  <c r="O3993" i="1"/>
  <c r="P3993" i="1" s="1"/>
  <c r="O3994" i="1"/>
  <c r="P3994" i="1" s="1"/>
  <c r="O3995" i="1"/>
  <c r="P3995" i="1" s="1"/>
  <c r="O3996" i="1"/>
  <c r="P3996" i="1" s="1"/>
  <c r="O3997" i="1"/>
  <c r="O3998" i="1"/>
  <c r="O3999" i="1"/>
  <c r="P3999" i="1" s="1"/>
  <c r="O4000" i="1"/>
  <c r="O4001" i="1"/>
  <c r="P4001" i="1" s="1"/>
  <c r="O4002" i="1"/>
  <c r="P4002"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73" i="1"/>
  <c r="P3973" i="1" s="1"/>
  <c r="O3974" i="1"/>
  <c r="P3974" i="1" s="1"/>
  <c r="O3975" i="1"/>
  <c r="O3976" i="1"/>
  <c r="P3976" i="1" s="1"/>
  <c r="O3977" i="1"/>
  <c r="P3977" i="1" s="1"/>
  <c r="O3978" i="1"/>
  <c r="P3978" i="1" s="1"/>
  <c r="O3979" i="1"/>
  <c r="P3979" i="1" s="1"/>
  <c r="G3975" i="1"/>
  <c r="O3966" i="1"/>
  <c r="P3966" i="1" s="1"/>
  <c r="O3967" i="1"/>
  <c r="P3967" i="1" s="1"/>
  <c r="O3968" i="1"/>
  <c r="P3968" i="1" s="1"/>
  <c r="O3969" i="1"/>
  <c r="P3969" i="1" s="1"/>
  <c r="O3970" i="1"/>
  <c r="P3970" i="1" s="1"/>
  <c r="O3971" i="1"/>
  <c r="P3971" i="1" s="1"/>
  <c r="O3972" i="1"/>
  <c r="P3972"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G3947" i="1"/>
  <c r="G3944" i="1"/>
  <c r="O3942" i="1"/>
  <c r="P3942" i="1" s="1"/>
  <c r="O3943" i="1"/>
  <c r="P3943" i="1" s="1"/>
  <c r="O3944" i="1"/>
  <c r="O3945" i="1"/>
  <c r="P3945" i="1" s="1"/>
  <c r="O3946" i="1"/>
  <c r="P3946" i="1" s="1"/>
  <c r="O3947" i="1"/>
  <c r="O3948" i="1"/>
  <c r="P3948" i="1" s="1"/>
  <c r="O3949" i="1"/>
  <c r="P3949" i="1" s="1"/>
  <c r="O3950" i="1"/>
  <c r="P3950" i="1" s="1"/>
  <c r="O3951" i="1"/>
  <c r="P3951" i="1" s="1"/>
  <c r="O3952" i="1"/>
  <c r="P3952" i="1" s="1"/>
  <c r="O3953" i="1"/>
  <c r="P3953" i="1" s="1"/>
  <c r="O3954" i="1"/>
  <c r="P3954"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G3903" i="1"/>
  <c r="O3900" i="1"/>
  <c r="P3900" i="1" s="1"/>
  <c r="O3901" i="1"/>
  <c r="P3901" i="1" s="1"/>
  <c r="O3902" i="1"/>
  <c r="P3902" i="1" s="1"/>
  <c r="O3903" i="1"/>
  <c r="O3904" i="1"/>
  <c r="P3904" i="1" s="1"/>
  <c r="O3905" i="1"/>
  <c r="P3905" i="1" s="1"/>
  <c r="O3906" i="1"/>
  <c r="P3906" i="1" s="1"/>
  <c r="O3907" i="1"/>
  <c r="P3907" i="1" s="1"/>
  <c r="O3908" i="1"/>
  <c r="P3908" i="1" s="1"/>
  <c r="O3891" i="1"/>
  <c r="P3891" i="1" s="1"/>
  <c r="O3892" i="1"/>
  <c r="P3892" i="1" s="1"/>
  <c r="O3893" i="1"/>
  <c r="P3893" i="1" s="1"/>
  <c r="O3894" i="1"/>
  <c r="P3894" i="1" s="1"/>
  <c r="O3895" i="1"/>
  <c r="P3895" i="1" s="1"/>
  <c r="O3896" i="1"/>
  <c r="P3896" i="1" s="1"/>
  <c r="O3897" i="1"/>
  <c r="P3897" i="1" s="1"/>
  <c r="O3898" i="1"/>
  <c r="P3898" i="1" s="1"/>
  <c r="O3899" i="1"/>
  <c r="P3899" i="1" s="1"/>
  <c r="O3883" i="1"/>
  <c r="P3883" i="1" s="1"/>
  <c r="O3884" i="1"/>
  <c r="P3884" i="1" s="1"/>
  <c r="O3885" i="1"/>
  <c r="P3885" i="1" s="1"/>
  <c r="O3886" i="1"/>
  <c r="P3886" i="1" s="1"/>
  <c r="O3887" i="1"/>
  <c r="P3887" i="1" s="1"/>
  <c r="O3888" i="1"/>
  <c r="P3888" i="1" s="1"/>
  <c r="O3889" i="1"/>
  <c r="P3889" i="1" s="1"/>
  <c r="O3890" i="1"/>
  <c r="P3890" i="1" s="1"/>
  <c r="P4501" i="1" l="1"/>
  <c r="P4483" i="1"/>
  <c r="P4471" i="1"/>
  <c r="P4480" i="1"/>
  <c r="P4478" i="1"/>
  <c r="P4474" i="1"/>
  <c r="P4429" i="1"/>
  <c r="P4437" i="1"/>
  <c r="P4457" i="1"/>
  <c r="P4433" i="1"/>
  <c r="P4422" i="1"/>
  <c r="P4419" i="1"/>
  <c r="P4423" i="1"/>
  <c r="P4376" i="1"/>
  <c r="P4412" i="1"/>
  <c r="P4383" i="1"/>
  <c r="P4410" i="1"/>
  <c r="P4387" i="1"/>
  <c r="P4405" i="1"/>
  <c r="P4369" i="1"/>
  <c r="P4360" i="1"/>
  <c r="P4368" i="1"/>
  <c r="P4334" i="1"/>
  <c r="P4343" i="1"/>
  <c r="P4319" i="1"/>
  <c r="P4308" i="1"/>
  <c r="P4321" i="1"/>
  <c r="P4304" i="1"/>
  <c r="P4290" i="1"/>
  <c r="P4280" i="1"/>
  <c r="P4265" i="1"/>
  <c r="P4253" i="1"/>
  <c r="P4229" i="1"/>
  <c r="P4262" i="1"/>
  <c r="P4254" i="1"/>
  <c r="P4227" i="1"/>
  <c r="P4203" i="1"/>
  <c r="P4151" i="1"/>
  <c r="P4192" i="1"/>
  <c r="P4159" i="1"/>
  <c r="P4195" i="1"/>
  <c r="P4149" i="1"/>
  <c r="P4182" i="1"/>
  <c r="P4172" i="1"/>
  <c r="P4101" i="1"/>
  <c r="P4121" i="1"/>
  <c r="P4143" i="1"/>
  <c r="P4104" i="1"/>
  <c r="P4102" i="1"/>
  <c r="P4089" i="1"/>
  <c r="P4042" i="1"/>
  <c r="P4055" i="1"/>
  <c r="P3998" i="1"/>
  <c r="P3975" i="1"/>
  <c r="P4000" i="1"/>
  <c r="P3997" i="1"/>
  <c r="P3947" i="1"/>
  <c r="P3944" i="1"/>
  <c r="P3903" i="1"/>
  <c r="G3882" i="1"/>
  <c r="G3869" i="1"/>
  <c r="O3869" i="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G3861" i="1"/>
  <c r="O3858" i="1"/>
  <c r="P3858" i="1" s="1"/>
  <c r="O3859" i="1"/>
  <c r="P3859" i="1" s="1"/>
  <c r="O3860" i="1"/>
  <c r="P3860" i="1" s="1"/>
  <c r="O3861" i="1"/>
  <c r="O3862" i="1"/>
  <c r="P3862" i="1" s="1"/>
  <c r="O3863" i="1"/>
  <c r="P3863" i="1" s="1"/>
  <c r="O3864" i="1"/>
  <c r="P3864" i="1" s="1"/>
  <c r="O3865" i="1"/>
  <c r="P3865" i="1" s="1"/>
  <c r="O3866" i="1"/>
  <c r="P3866" i="1" s="1"/>
  <c r="O3867" i="1"/>
  <c r="P3867" i="1" s="1"/>
  <c r="O3868" i="1"/>
  <c r="P3868" i="1" s="1"/>
  <c r="G3849" i="1"/>
  <c r="O3844" i="1"/>
  <c r="P3844" i="1" s="1"/>
  <c r="O3845" i="1"/>
  <c r="P3845" i="1" s="1"/>
  <c r="O3846" i="1"/>
  <c r="P3846" i="1" s="1"/>
  <c r="O3847" i="1"/>
  <c r="P3847" i="1" s="1"/>
  <c r="O3848" i="1"/>
  <c r="P3848" i="1" s="1"/>
  <c r="O3849" i="1"/>
  <c r="O3850" i="1"/>
  <c r="P3850" i="1" s="1"/>
  <c r="O3851" i="1"/>
  <c r="P3851" i="1" s="1"/>
  <c r="O3852" i="1"/>
  <c r="P3852" i="1" s="1"/>
  <c r="O3853" i="1"/>
  <c r="P3853" i="1" s="1"/>
  <c r="O3854" i="1"/>
  <c r="P3854" i="1" s="1"/>
  <c r="O3855" i="1"/>
  <c r="P3855" i="1" s="1"/>
  <c r="O3856" i="1"/>
  <c r="P3856" i="1" s="1"/>
  <c r="O3857" i="1"/>
  <c r="P3857" i="1" s="1"/>
  <c r="O3836" i="1"/>
  <c r="P3836" i="1" s="1"/>
  <c r="O3837" i="1"/>
  <c r="P3837" i="1" s="1"/>
  <c r="O3838" i="1"/>
  <c r="P3838" i="1" s="1"/>
  <c r="O3839" i="1"/>
  <c r="P3839" i="1" s="1"/>
  <c r="O3840" i="1"/>
  <c r="P3840" i="1" s="1"/>
  <c r="O3841" i="1"/>
  <c r="P3841" i="1" s="1"/>
  <c r="O3842" i="1"/>
  <c r="P3842" i="1" s="1"/>
  <c r="O3843" i="1"/>
  <c r="P3843" i="1" s="1"/>
  <c r="T3836" i="1"/>
  <c r="U3836" i="1"/>
  <c r="V3836" i="1"/>
  <c r="T3837" i="1"/>
  <c r="U3837" i="1"/>
  <c r="V3837" i="1"/>
  <c r="T3838" i="1"/>
  <c r="U3838" i="1"/>
  <c r="V3838" i="1"/>
  <c r="T3839" i="1"/>
  <c r="U3839" i="1"/>
  <c r="V3839" i="1"/>
  <c r="T3840" i="1"/>
  <c r="U3840" i="1"/>
  <c r="V3840" i="1"/>
  <c r="T3841" i="1"/>
  <c r="U3841" i="1"/>
  <c r="V3841" i="1"/>
  <c r="T3842" i="1"/>
  <c r="U3842" i="1"/>
  <c r="V3842" i="1"/>
  <c r="T3843" i="1"/>
  <c r="U3843" i="1"/>
  <c r="V3843" i="1"/>
  <c r="O3833" i="1"/>
  <c r="P3833" i="1" s="1"/>
  <c r="O3834" i="1"/>
  <c r="P3834" i="1" s="1"/>
  <c r="O3835" i="1"/>
  <c r="P3835"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G3821" i="1"/>
  <c r="G3819" i="1"/>
  <c r="G3811" i="1"/>
  <c r="O3810" i="1"/>
  <c r="P3810" i="1" s="1"/>
  <c r="O3811" i="1"/>
  <c r="O3812" i="1"/>
  <c r="P3812" i="1" s="1"/>
  <c r="O3813" i="1"/>
  <c r="P3813" i="1" s="1"/>
  <c r="O3814" i="1"/>
  <c r="P3814" i="1" s="1"/>
  <c r="O3815" i="1"/>
  <c r="P3815" i="1" s="1"/>
  <c r="O3816" i="1"/>
  <c r="P3816" i="1" s="1"/>
  <c r="O3817" i="1"/>
  <c r="P3817" i="1" s="1"/>
  <c r="O3818" i="1"/>
  <c r="P3818" i="1" s="1"/>
  <c r="O3819" i="1"/>
  <c r="O3820" i="1"/>
  <c r="P3820" i="1" s="1"/>
  <c r="O3821" i="1"/>
  <c r="O3822" i="1"/>
  <c r="P3822" i="1" s="1"/>
  <c r="G3804" i="1"/>
  <c r="O3804" i="1"/>
  <c r="O3805" i="1"/>
  <c r="P3805" i="1" s="1"/>
  <c r="O3806" i="1"/>
  <c r="P3806" i="1" s="1"/>
  <c r="O3807" i="1"/>
  <c r="P3807" i="1" s="1"/>
  <c r="O3808" i="1"/>
  <c r="P3808" i="1" s="1"/>
  <c r="O3809" i="1"/>
  <c r="P3809" i="1" s="1"/>
  <c r="O3801" i="1"/>
  <c r="P3801" i="1" s="1"/>
  <c r="P3802" i="1"/>
  <c r="O3803" i="1"/>
  <c r="P3803" i="1" s="1"/>
  <c r="O3792" i="1"/>
  <c r="P3792" i="1" s="1"/>
  <c r="O3793" i="1"/>
  <c r="P3793" i="1" s="1"/>
  <c r="O3794" i="1"/>
  <c r="P3794" i="1" s="1"/>
  <c r="O3795" i="1"/>
  <c r="P3795" i="1" s="1"/>
  <c r="O3796" i="1"/>
  <c r="P3796" i="1" s="1"/>
  <c r="O3797" i="1"/>
  <c r="P3797" i="1" s="1"/>
  <c r="O3798" i="1"/>
  <c r="P3798" i="1" s="1"/>
  <c r="O3799" i="1"/>
  <c r="P3799" i="1" s="1"/>
  <c r="O3800" i="1"/>
  <c r="P3800" i="1" s="1"/>
  <c r="G3790" i="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O3791" i="1"/>
  <c r="P3791" i="1" s="1"/>
  <c r="G3776" i="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G3729" i="1"/>
  <c r="O3725" i="1"/>
  <c r="P3725" i="1" s="1"/>
  <c r="O3726" i="1"/>
  <c r="P3726" i="1" s="1"/>
  <c r="O3727" i="1"/>
  <c r="P3727" i="1" s="1"/>
  <c r="O3728" i="1"/>
  <c r="P3728" i="1" s="1"/>
  <c r="O3729" i="1"/>
  <c r="G3722" i="1"/>
  <c r="O3716" i="1"/>
  <c r="P3716" i="1" s="1"/>
  <c r="O3717" i="1"/>
  <c r="P3717" i="1" s="1"/>
  <c r="O3718" i="1"/>
  <c r="P3718" i="1" s="1"/>
  <c r="O3719" i="1"/>
  <c r="P3719" i="1" s="1"/>
  <c r="O3720" i="1"/>
  <c r="P3720" i="1" s="1"/>
  <c r="O3721" i="1"/>
  <c r="P3721" i="1" s="1"/>
  <c r="O3722" i="1"/>
  <c r="O3723" i="1"/>
  <c r="P3723" i="1" s="1"/>
  <c r="O3724" i="1"/>
  <c r="P3724" i="1" s="1"/>
  <c r="O3706" i="1"/>
  <c r="P3706" i="1" s="1"/>
  <c r="O3707" i="1"/>
  <c r="P3707" i="1" s="1"/>
  <c r="O3708" i="1"/>
  <c r="P3708" i="1" s="1"/>
  <c r="O3709" i="1"/>
  <c r="P3709" i="1" s="1"/>
  <c r="O3710" i="1"/>
  <c r="P3710" i="1" s="1"/>
  <c r="O3711" i="1"/>
  <c r="P3711" i="1" s="1"/>
  <c r="O3712" i="1"/>
  <c r="P3712" i="1" s="1"/>
  <c r="O3713" i="1"/>
  <c r="P3713" i="1" s="1"/>
  <c r="O3714" i="1"/>
  <c r="P3714" i="1" s="1"/>
  <c r="O3715" i="1"/>
  <c r="P3715" i="1" s="1"/>
  <c r="O3703" i="1"/>
  <c r="P3703" i="1" s="1"/>
  <c r="T3703" i="1"/>
  <c r="U3703" i="1"/>
  <c r="V3703" i="1"/>
  <c r="G3704" i="1"/>
  <c r="O3697" i="1"/>
  <c r="P3697" i="1" s="1"/>
  <c r="O3698" i="1"/>
  <c r="P3698" i="1" s="1"/>
  <c r="O3699" i="1"/>
  <c r="P3699" i="1" s="1"/>
  <c r="O3700" i="1"/>
  <c r="P3700" i="1" s="1"/>
  <c r="O3701" i="1"/>
  <c r="P3701" i="1" s="1"/>
  <c r="O3702" i="1"/>
  <c r="P3702" i="1" s="1"/>
  <c r="O3704" i="1"/>
  <c r="O3705" i="1"/>
  <c r="P3705" i="1" s="1"/>
  <c r="G3692" i="1"/>
  <c r="G3688" i="1"/>
  <c r="O3686" i="1"/>
  <c r="P3686" i="1" s="1"/>
  <c r="O3687" i="1"/>
  <c r="P3687" i="1" s="1"/>
  <c r="O3688" i="1"/>
  <c r="O3689" i="1"/>
  <c r="P3689" i="1" s="1"/>
  <c r="O3690" i="1"/>
  <c r="P3690" i="1" s="1"/>
  <c r="O3691" i="1"/>
  <c r="P3691" i="1" s="1"/>
  <c r="O3692" i="1"/>
  <c r="O3693" i="1"/>
  <c r="P3693" i="1" s="1"/>
  <c r="O3694" i="1"/>
  <c r="P3694" i="1" s="1"/>
  <c r="O3695" i="1"/>
  <c r="P3695" i="1" s="1"/>
  <c r="O3696" i="1"/>
  <c r="P3696" i="1" s="1"/>
  <c r="G3683" i="1"/>
  <c r="G3682" i="1"/>
  <c r="O3681" i="1"/>
  <c r="P3681" i="1" s="1"/>
  <c r="O3682" i="1"/>
  <c r="O3683" i="1"/>
  <c r="O3684" i="1"/>
  <c r="P3684" i="1" s="1"/>
  <c r="O3685" i="1"/>
  <c r="P3685" i="1" s="1"/>
  <c r="G3677" i="1"/>
  <c r="O3674" i="1"/>
  <c r="P3674" i="1" s="1"/>
  <c r="O3675" i="1"/>
  <c r="P3675" i="1" s="1"/>
  <c r="O3676" i="1"/>
  <c r="P3676" i="1" s="1"/>
  <c r="O3677" i="1"/>
  <c r="O3678" i="1"/>
  <c r="P3678" i="1" s="1"/>
  <c r="O3679" i="1"/>
  <c r="P3679" i="1" s="1"/>
  <c r="O3680" i="1"/>
  <c r="P3680" i="1" s="1"/>
  <c r="G3671" i="1"/>
  <c r="O3663" i="1"/>
  <c r="P3663" i="1" s="1"/>
  <c r="O3664" i="1"/>
  <c r="P3664" i="1" s="1"/>
  <c r="O3665" i="1"/>
  <c r="P3665" i="1" s="1"/>
  <c r="O3666" i="1"/>
  <c r="P3666" i="1" s="1"/>
  <c r="O3667" i="1"/>
  <c r="P3667" i="1" s="1"/>
  <c r="O3668" i="1"/>
  <c r="P3668" i="1" s="1"/>
  <c r="O3669" i="1"/>
  <c r="P3669" i="1" s="1"/>
  <c r="O3670" i="1"/>
  <c r="P3670" i="1" s="1"/>
  <c r="O3671" i="1"/>
  <c r="O3672" i="1"/>
  <c r="P3672" i="1" s="1"/>
  <c r="O3673" i="1"/>
  <c r="P3673"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43" i="1"/>
  <c r="P3643" i="1" s="1"/>
  <c r="O3644" i="1"/>
  <c r="P3644" i="1" s="1"/>
  <c r="O3645" i="1"/>
  <c r="P3645" i="1" s="1"/>
  <c r="O3646" i="1"/>
  <c r="P3646" i="1" s="1"/>
  <c r="O3647" i="1"/>
  <c r="P3647" i="1" s="1"/>
  <c r="O3648" i="1"/>
  <c r="P3648" i="1" s="1"/>
  <c r="O3649" i="1"/>
  <c r="P3649" i="1" s="1"/>
  <c r="O3650" i="1"/>
  <c r="P3650" i="1" s="1"/>
  <c r="O3635" i="1"/>
  <c r="P3635" i="1" s="1"/>
  <c r="O3636" i="1"/>
  <c r="P3636" i="1" s="1"/>
  <c r="O3637" i="1"/>
  <c r="P3637" i="1" s="1"/>
  <c r="O3638" i="1"/>
  <c r="P3638" i="1" s="1"/>
  <c r="O3639" i="1"/>
  <c r="P3639" i="1" s="1"/>
  <c r="O3640" i="1"/>
  <c r="P3640" i="1" s="1"/>
  <c r="O3641" i="1"/>
  <c r="P3641" i="1" s="1"/>
  <c r="O3642" i="1"/>
  <c r="P3642"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G3573" i="1"/>
  <c r="G3572" i="1"/>
  <c r="O3571" i="1"/>
  <c r="P3571" i="1" s="1"/>
  <c r="O3572" i="1"/>
  <c r="O3573" i="1"/>
  <c r="P3573" i="1" s="1"/>
  <c r="O3574" i="1"/>
  <c r="P3574" i="1" s="1"/>
  <c r="O3575" i="1"/>
  <c r="P3575" i="1" s="1"/>
  <c r="O3576" i="1"/>
  <c r="P3576" i="1" s="1"/>
  <c r="O3577" i="1"/>
  <c r="P3577" i="1" s="1"/>
  <c r="O3578" i="1"/>
  <c r="P3578" i="1" s="1"/>
  <c r="O3579" i="1"/>
  <c r="P3579" i="1" s="1"/>
  <c r="O3580" i="1"/>
  <c r="P3580" i="1" s="1"/>
  <c r="O3581" i="1"/>
  <c r="P3581" i="1" s="1"/>
  <c r="G3561" i="1"/>
  <c r="O3558" i="1"/>
  <c r="P3558" i="1" s="1"/>
  <c r="O3559" i="1"/>
  <c r="P3559" i="1" s="1"/>
  <c r="O3560" i="1"/>
  <c r="P3560" i="1" s="1"/>
  <c r="O3561" i="1"/>
  <c r="O3562" i="1"/>
  <c r="P3562" i="1" s="1"/>
  <c r="O3563" i="1"/>
  <c r="P3563" i="1" s="1"/>
  <c r="O3564" i="1"/>
  <c r="P3564" i="1" s="1"/>
  <c r="O3565" i="1"/>
  <c r="P3565" i="1" s="1"/>
  <c r="O3566" i="1"/>
  <c r="P3566" i="1" s="1"/>
  <c r="O3567" i="1"/>
  <c r="P3567" i="1" s="1"/>
  <c r="O3568" i="1"/>
  <c r="P3568" i="1" s="1"/>
  <c r="O3569" i="1"/>
  <c r="P3569" i="1" s="1"/>
  <c r="O3570" i="1"/>
  <c r="P3570" i="1" s="1"/>
  <c r="O3552" i="1"/>
  <c r="P3552" i="1" s="1"/>
  <c r="T3552" i="1"/>
  <c r="U3552" i="1"/>
  <c r="V3552" i="1"/>
  <c r="G3551" i="1"/>
  <c r="O3548" i="1"/>
  <c r="O3549" i="1"/>
  <c r="P3549" i="1" s="1"/>
  <c r="O3550" i="1"/>
  <c r="P3550" i="1" s="1"/>
  <c r="O3551" i="1"/>
  <c r="O3553" i="1"/>
  <c r="P3553" i="1" s="1"/>
  <c r="O3554" i="1"/>
  <c r="P3554" i="1" s="1"/>
  <c r="O3555" i="1"/>
  <c r="P3555" i="1" s="1"/>
  <c r="O3556" i="1"/>
  <c r="P3556" i="1" s="1"/>
  <c r="O3557" i="1"/>
  <c r="P3557" i="1" s="1"/>
  <c r="G3548" i="1"/>
  <c r="G3546" i="1"/>
  <c r="G3540" i="1"/>
  <c r="O3540" i="1"/>
  <c r="O3541" i="1"/>
  <c r="P3541" i="1" s="1"/>
  <c r="O3542" i="1"/>
  <c r="P3542" i="1" s="1"/>
  <c r="O3543" i="1"/>
  <c r="P3543" i="1" s="1"/>
  <c r="O3544" i="1"/>
  <c r="P3544" i="1" s="1"/>
  <c r="O3545" i="1"/>
  <c r="P3545" i="1" s="1"/>
  <c r="O3546" i="1"/>
  <c r="O3547" i="1"/>
  <c r="P3547" i="1" s="1"/>
  <c r="G3532" i="1"/>
  <c r="O3530" i="1"/>
  <c r="P3530" i="1" s="1"/>
  <c r="O3531" i="1"/>
  <c r="P3531" i="1" s="1"/>
  <c r="O3532" i="1"/>
  <c r="O3533" i="1"/>
  <c r="P3533" i="1" s="1"/>
  <c r="O3534" i="1"/>
  <c r="P3534" i="1" s="1"/>
  <c r="O3535" i="1"/>
  <c r="P3535" i="1" s="1"/>
  <c r="O3536" i="1"/>
  <c r="P3536" i="1" s="1"/>
  <c r="O3537" i="1"/>
  <c r="P3537" i="1" s="1"/>
  <c r="O3538" i="1"/>
  <c r="P3538" i="1" s="1"/>
  <c r="O3539" i="1"/>
  <c r="P353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T3520" i="1"/>
  <c r="T3521" i="1"/>
  <c r="T3522" i="1"/>
  <c r="T3523" i="1"/>
  <c r="T3524" i="1"/>
  <c r="T3525" i="1"/>
  <c r="T3526" i="1"/>
  <c r="T3527" i="1"/>
  <c r="T3528" i="1"/>
  <c r="T3529" i="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498" i="1"/>
  <c r="P3498" i="1" s="1"/>
  <c r="O3499" i="1"/>
  <c r="P3499" i="1" s="1"/>
  <c r="O3500" i="1"/>
  <c r="P3500" i="1" s="1"/>
  <c r="O3501" i="1"/>
  <c r="P3501" i="1" s="1"/>
  <c r="O3502" i="1"/>
  <c r="P3502" i="1" s="1"/>
  <c r="O3503" i="1"/>
  <c r="P3503" i="1" s="1"/>
  <c r="O3504" i="1"/>
  <c r="P3504" i="1" s="1"/>
  <c r="O3505" i="1"/>
  <c r="P3505" i="1" s="1"/>
  <c r="O3506" i="1"/>
  <c r="P3506" i="1" s="1"/>
  <c r="G3492" i="1"/>
  <c r="O3489" i="1"/>
  <c r="P3489" i="1" s="1"/>
  <c r="O3490" i="1"/>
  <c r="P3490" i="1" s="1"/>
  <c r="O3491" i="1"/>
  <c r="P3491" i="1" s="1"/>
  <c r="O3492" i="1"/>
  <c r="O3493" i="1"/>
  <c r="P3493" i="1" s="1"/>
  <c r="O3494" i="1"/>
  <c r="P3494" i="1" s="1"/>
  <c r="O3495" i="1"/>
  <c r="P3495" i="1" s="1"/>
  <c r="O3496" i="1"/>
  <c r="P3496" i="1" s="1"/>
  <c r="O3497" i="1"/>
  <c r="P349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71" i="1"/>
  <c r="P3471" i="1" s="1"/>
  <c r="O3472" i="1"/>
  <c r="P3472" i="1" s="1"/>
  <c r="O3473" i="1"/>
  <c r="P3473" i="1" s="1"/>
  <c r="O3474" i="1"/>
  <c r="P3474" i="1" s="1"/>
  <c r="O3475" i="1"/>
  <c r="P3475" i="1" s="1"/>
  <c r="O3476" i="1"/>
  <c r="P3476" i="1" s="1"/>
  <c r="O3477" i="1"/>
  <c r="P3477" i="1" s="1"/>
  <c r="G3468" i="1"/>
  <c r="G3463" i="1"/>
  <c r="O3463" i="1"/>
  <c r="O3464" i="1"/>
  <c r="P3464" i="1" s="1"/>
  <c r="O3465" i="1"/>
  <c r="P3465" i="1" s="1"/>
  <c r="O3466" i="1"/>
  <c r="P3466" i="1" s="1"/>
  <c r="O3467" i="1"/>
  <c r="P3467" i="1" s="1"/>
  <c r="O3468" i="1"/>
  <c r="P3469" i="1"/>
  <c r="O3470" i="1"/>
  <c r="P3470" i="1" s="1"/>
  <c r="O3454" i="1"/>
  <c r="P3454" i="1" s="1"/>
  <c r="O3455" i="1"/>
  <c r="P3455" i="1" s="1"/>
  <c r="O3456" i="1"/>
  <c r="P3456" i="1" s="1"/>
  <c r="O3457" i="1"/>
  <c r="P3457" i="1" s="1"/>
  <c r="O3458" i="1"/>
  <c r="P3458" i="1" s="1"/>
  <c r="O3459" i="1"/>
  <c r="P3459" i="1" s="1"/>
  <c r="O3460" i="1"/>
  <c r="P3460" i="1" s="1"/>
  <c r="O3461" i="1"/>
  <c r="P3461" i="1" s="1"/>
  <c r="O3462" i="1"/>
  <c r="P3462" i="1" s="1"/>
  <c r="G3448" i="1"/>
  <c r="G3445" i="1"/>
  <c r="O3441" i="1"/>
  <c r="P3441" i="1" s="1"/>
  <c r="O3442" i="1"/>
  <c r="P3442" i="1" s="1"/>
  <c r="O3443" i="1"/>
  <c r="P3443" i="1" s="1"/>
  <c r="O3444" i="1"/>
  <c r="P3444" i="1" s="1"/>
  <c r="O3445" i="1"/>
  <c r="O3446" i="1"/>
  <c r="P3446" i="1" s="1"/>
  <c r="O3447" i="1"/>
  <c r="P3447" i="1" s="1"/>
  <c r="O3448" i="1"/>
  <c r="O3449" i="1"/>
  <c r="P3449" i="1" s="1"/>
  <c r="O3450" i="1"/>
  <c r="P3450" i="1" s="1"/>
  <c r="O3451" i="1"/>
  <c r="P3451" i="1" s="1"/>
  <c r="O3452" i="1"/>
  <c r="P3452" i="1" s="1"/>
  <c r="O3453" i="1"/>
  <c r="P3453"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G3405" i="1"/>
  <c r="O3403" i="1"/>
  <c r="P3403" i="1" s="1"/>
  <c r="O3404" i="1"/>
  <c r="P3404" i="1" s="1"/>
  <c r="O3405" i="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398" i="1"/>
  <c r="P3398" i="1" s="1"/>
  <c r="G3401" i="1"/>
  <c r="G3399" i="1"/>
  <c r="O3389" i="1"/>
  <c r="P3389" i="1" s="1"/>
  <c r="O3390" i="1"/>
  <c r="P3390" i="1" s="1"/>
  <c r="O3391" i="1"/>
  <c r="P3391" i="1" s="1"/>
  <c r="O3392" i="1"/>
  <c r="P3392" i="1" s="1"/>
  <c r="O3393" i="1"/>
  <c r="P3393" i="1" s="1"/>
  <c r="O3394" i="1"/>
  <c r="P3394" i="1" s="1"/>
  <c r="O3395" i="1"/>
  <c r="P3395" i="1" s="1"/>
  <c r="O3396" i="1"/>
  <c r="P3396" i="1" s="1"/>
  <c r="O3397" i="1"/>
  <c r="P3397" i="1" s="1"/>
  <c r="O3399" i="1"/>
  <c r="O3400" i="1"/>
  <c r="P3400" i="1" s="1"/>
  <c r="O3401" i="1"/>
  <c r="O3402" i="1"/>
  <c r="P3402"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G3374" i="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O3375" i="1"/>
  <c r="P3375" i="1" s="1"/>
  <c r="O3376" i="1"/>
  <c r="P337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G3341" i="1"/>
  <c r="O3341" i="1"/>
  <c r="O3342" i="1"/>
  <c r="P3342" i="1" s="1"/>
  <c r="O3343" i="1"/>
  <c r="P3343" i="1" s="1"/>
  <c r="O3344" i="1"/>
  <c r="P3344" i="1" s="1"/>
  <c r="O3345" i="1"/>
  <c r="P3345" i="1" s="1"/>
  <c r="O3346" i="1"/>
  <c r="P3346" i="1" s="1"/>
  <c r="G3340" i="1"/>
  <c r="G3339" i="1"/>
  <c r="G3338" i="1"/>
  <c r="O3338" i="1"/>
  <c r="T3338" i="1"/>
  <c r="U3338" i="1"/>
  <c r="V3338" i="1"/>
  <c r="G3332" i="1"/>
  <c r="O3331" i="1"/>
  <c r="P3331" i="1" s="1"/>
  <c r="O3332" i="1"/>
  <c r="O3333" i="1"/>
  <c r="P3333" i="1" s="1"/>
  <c r="O3334" i="1"/>
  <c r="P3334" i="1" s="1"/>
  <c r="O3335" i="1"/>
  <c r="P3335" i="1" s="1"/>
  <c r="O3336" i="1"/>
  <c r="P3336" i="1" s="1"/>
  <c r="O3337" i="1"/>
  <c r="P3337" i="1" s="1"/>
  <c r="O3339" i="1"/>
  <c r="O3340" i="1"/>
  <c r="G3329" i="1"/>
  <c r="O3322" i="1"/>
  <c r="P3322" i="1" s="1"/>
  <c r="T3322" i="1"/>
  <c r="U3322" i="1"/>
  <c r="V3322" i="1"/>
  <c r="G3323" i="1"/>
  <c r="O3323" i="1"/>
  <c r="O3324" i="1"/>
  <c r="P3324" i="1" s="1"/>
  <c r="O3325" i="1"/>
  <c r="P3325" i="1" s="1"/>
  <c r="O3326" i="1"/>
  <c r="P3326" i="1" s="1"/>
  <c r="O3327" i="1"/>
  <c r="P3327" i="1" s="1"/>
  <c r="O3328" i="1"/>
  <c r="P3328" i="1" s="1"/>
  <c r="O3329" i="1"/>
  <c r="O3330" i="1"/>
  <c r="P3330" i="1" s="1"/>
  <c r="G3320" i="1"/>
  <c r="G3315" i="1"/>
  <c r="O3311" i="1"/>
  <c r="P3311" i="1" s="1"/>
  <c r="O3312" i="1"/>
  <c r="P3312" i="1" s="1"/>
  <c r="O3313" i="1"/>
  <c r="P3313" i="1" s="1"/>
  <c r="O3314" i="1"/>
  <c r="P3314" i="1" s="1"/>
  <c r="O3315" i="1"/>
  <c r="O3316" i="1"/>
  <c r="P3316" i="1" s="1"/>
  <c r="O3317" i="1"/>
  <c r="P3317" i="1" s="1"/>
  <c r="O3318" i="1"/>
  <c r="P3318" i="1" s="1"/>
  <c r="O3319" i="1"/>
  <c r="P3319" i="1" s="1"/>
  <c r="O3320" i="1"/>
  <c r="O3321" i="1"/>
  <c r="P3321" i="1" s="1"/>
  <c r="G3310" i="1"/>
  <c r="G3299" i="1"/>
  <c r="O3296" i="1"/>
  <c r="P3296" i="1" s="1"/>
  <c r="O3297" i="1"/>
  <c r="P3297" i="1" s="1"/>
  <c r="O3298" i="1"/>
  <c r="P3298" i="1" s="1"/>
  <c r="O3299" i="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G3295" i="1"/>
  <c r="G3293" i="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O3294" i="1"/>
  <c r="P3294" i="1" s="1"/>
  <c r="O3295" i="1"/>
  <c r="G3271" i="1"/>
  <c r="O3271" i="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G3241" i="1"/>
  <c r="G3233" i="1"/>
  <c r="O3206" i="1"/>
  <c r="P3206" i="1" s="1"/>
  <c r="O3207" i="1"/>
  <c r="P3207" i="1" s="1"/>
  <c r="O3208" i="1"/>
  <c r="P3208" i="1" s="1"/>
  <c r="O3209" i="1"/>
  <c r="P3209" i="1" s="1"/>
  <c r="O3210" i="1"/>
  <c r="P3210" i="1" s="1"/>
  <c r="O3211" i="1"/>
  <c r="P3211" i="1" s="1"/>
  <c r="O3212" i="1"/>
  <c r="P3212" i="1" s="1"/>
  <c r="O3213" i="1"/>
  <c r="P3213" i="1" s="1"/>
  <c r="O3214" i="1"/>
  <c r="P3214" i="1" s="1"/>
  <c r="O3215" i="1"/>
  <c r="O3216" i="1"/>
  <c r="P3216" i="1" s="1"/>
  <c r="O3217" i="1"/>
  <c r="P3217" i="1" s="1"/>
  <c r="O3218" i="1"/>
  <c r="P3218" i="1" s="1"/>
  <c r="O3219" i="1"/>
  <c r="P3219" i="1" s="1"/>
  <c r="O3220" i="1"/>
  <c r="P3220" i="1" s="1"/>
  <c r="O3221" i="1"/>
  <c r="P3221" i="1" s="1"/>
  <c r="O3222" i="1"/>
  <c r="P3222" i="1" s="1"/>
  <c r="O3223" i="1"/>
  <c r="P3223" i="1" s="1"/>
  <c r="O3224" i="1"/>
  <c r="P3224" i="1" s="1"/>
  <c r="O3225" i="1"/>
  <c r="O3226" i="1"/>
  <c r="P3226" i="1" s="1"/>
  <c r="O3227" i="1"/>
  <c r="P3227" i="1" s="1"/>
  <c r="O3228" i="1"/>
  <c r="P3228" i="1" s="1"/>
  <c r="O3229" i="1"/>
  <c r="P3229" i="1" s="1"/>
  <c r="O3230" i="1"/>
  <c r="P3230" i="1" s="1"/>
  <c r="O3231" i="1"/>
  <c r="P3231" i="1" s="1"/>
  <c r="O3232" i="1"/>
  <c r="P3232" i="1" s="1"/>
  <c r="O3233" i="1"/>
  <c r="O3234" i="1"/>
  <c r="P3234" i="1" s="1"/>
  <c r="O3235" i="1"/>
  <c r="P3235" i="1" s="1"/>
  <c r="O3236" i="1"/>
  <c r="P3236" i="1" s="1"/>
  <c r="O3237" i="1"/>
  <c r="P3237" i="1" s="1"/>
  <c r="O3238" i="1"/>
  <c r="P3238" i="1" s="1"/>
  <c r="O3239" i="1"/>
  <c r="P3239" i="1" s="1"/>
  <c r="O3240" i="1"/>
  <c r="P3240" i="1" s="1"/>
  <c r="O3241" i="1"/>
  <c r="O3242" i="1"/>
  <c r="P3242" i="1" s="1"/>
  <c r="O3243" i="1"/>
  <c r="P3243" i="1" s="1"/>
  <c r="O3244" i="1"/>
  <c r="P3244" i="1" s="1"/>
  <c r="G3225" i="1"/>
  <c r="T3212" i="1"/>
  <c r="U3212" i="1"/>
  <c r="V3212" i="1"/>
  <c r="G3215" i="1"/>
  <c r="G3194" i="1"/>
  <c r="O3196" i="1"/>
  <c r="P3196" i="1" s="1"/>
  <c r="G3197" i="1"/>
  <c r="O3194" i="1"/>
  <c r="O3195" i="1"/>
  <c r="P3195" i="1" s="1"/>
  <c r="O3197" i="1"/>
  <c r="O3198" i="1"/>
  <c r="P3198" i="1" s="1"/>
  <c r="O3199" i="1"/>
  <c r="P3199" i="1" s="1"/>
  <c r="O3200" i="1"/>
  <c r="P3200" i="1" s="1"/>
  <c r="O3201" i="1"/>
  <c r="P3201" i="1" s="1"/>
  <c r="O3202" i="1"/>
  <c r="P3202" i="1" s="1"/>
  <c r="O3203" i="1"/>
  <c r="P3203" i="1" s="1"/>
  <c r="O3204" i="1"/>
  <c r="P3204" i="1" s="1"/>
  <c r="O3205" i="1"/>
  <c r="P3205"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G3175" i="1"/>
  <c r="O3170" i="1"/>
  <c r="P3170" i="1" s="1"/>
  <c r="O3171" i="1"/>
  <c r="P3171" i="1" s="1"/>
  <c r="O3172" i="1"/>
  <c r="P3172" i="1" s="1"/>
  <c r="O3173" i="1"/>
  <c r="P3173" i="1" s="1"/>
  <c r="O3174" i="1"/>
  <c r="P3174" i="1" s="1"/>
  <c r="O3175" i="1"/>
  <c r="O3176" i="1"/>
  <c r="P3176" i="1" s="1"/>
  <c r="O3177" i="1"/>
  <c r="P3177" i="1" s="1"/>
  <c r="O3178" i="1"/>
  <c r="P3178" i="1" s="1"/>
  <c r="O3179" i="1"/>
  <c r="P3179" i="1" s="1"/>
  <c r="O3180" i="1"/>
  <c r="P3180"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G3149" i="1"/>
  <c r="O3148" i="1"/>
  <c r="P3148" i="1" s="1"/>
  <c r="O3149" i="1"/>
  <c r="O3150" i="1"/>
  <c r="P3150" i="1" s="1"/>
  <c r="O3151" i="1"/>
  <c r="P3151" i="1" s="1"/>
  <c r="O3152" i="1"/>
  <c r="P3152" i="1" s="1"/>
  <c r="O3153" i="1"/>
  <c r="P3153" i="1" s="1"/>
  <c r="O3154" i="1"/>
  <c r="P3154" i="1" s="1"/>
  <c r="O3155" i="1"/>
  <c r="P3155" i="1" s="1"/>
  <c r="O3156" i="1"/>
  <c r="P3156" i="1" s="1"/>
  <c r="O3157" i="1"/>
  <c r="P3157" i="1" s="1"/>
  <c r="G3140" i="1"/>
  <c r="O3134" i="1"/>
  <c r="P3134" i="1" s="1"/>
  <c r="O3135" i="1"/>
  <c r="P3135" i="1" s="1"/>
  <c r="O3136" i="1"/>
  <c r="O3137" i="1"/>
  <c r="P3137" i="1" s="1"/>
  <c r="O3138" i="1"/>
  <c r="P3138" i="1" s="1"/>
  <c r="O3139" i="1"/>
  <c r="P3139" i="1" s="1"/>
  <c r="O3140" i="1"/>
  <c r="O3141" i="1"/>
  <c r="P3141" i="1" s="1"/>
  <c r="O3142" i="1"/>
  <c r="P3142" i="1" s="1"/>
  <c r="O3143" i="1"/>
  <c r="P3143" i="1" s="1"/>
  <c r="O3144" i="1"/>
  <c r="P3144" i="1" s="1"/>
  <c r="O3145" i="1"/>
  <c r="P3145" i="1" s="1"/>
  <c r="O3146" i="1"/>
  <c r="P3146" i="1" s="1"/>
  <c r="O3147" i="1"/>
  <c r="P3147" i="1" s="1"/>
  <c r="G3136" i="1"/>
  <c r="G3133" i="1"/>
  <c r="G3131" i="1"/>
  <c r="G3128" i="1"/>
  <c r="O3125" i="1"/>
  <c r="P3125" i="1" s="1"/>
  <c r="O3126" i="1"/>
  <c r="P3126" i="1" s="1"/>
  <c r="O3127" i="1"/>
  <c r="P3127" i="1" s="1"/>
  <c r="O3128" i="1"/>
  <c r="O3129" i="1"/>
  <c r="P3129" i="1" s="1"/>
  <c r="O3130" i="1"/>
  <c r="P3130" i="1" s="1"/>
  <c r="O3131" i="1"/>
  <c r="P3131" i="1" s="1"/>
  <c r="O3132" i="1"/>
  <c r="P3132" i="1" s="1"/>
  <c r="O3133" i="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13" i="1"/>
  <c r="P3113" i="1" s="1"/>
  <c r="G3108" i="1"/>
  <c r="O3102" i="1"/>
  <c r="P3102" i="1" s="1"/>
  <c r="O3103" i="1"/>
  <c r="P3103" i="1" s="1"/>
  <c r="O3104" i="1"/>
  <c r="P3104" i="1" s="1"/>
  <c r="O3105" i="1"/>
  <c r="P3105" i="1" s="1"/>
  <c r="O3106" i="1"/>
  <c r="P3106" i="1" s="1"/>
  <c r="O3107" i="1"/>
  <c r="P3107" i="1" s="1"/>
  <c r="O3108" i="1"/>
  <c r="O3109" i="1"/>
  <c r="P3109" i="1" s="1"/>
  <c r="O3110" i="1"/>
  <c r="P3110" i="1" s="1"/>
  <c r="O3111" i="1"/>
  <c r="P3111" i="1" s="1"/>
  <c r="O3112" i="1"/>
  <c r="P3112" i="1" s="1"/>
  <c r="G3095" i="1"/>
  <c r="G3088" i="1"/>
  <c r="O3087" i="1"/>
  <c r="P3087" i="1" s="1"/>
  <c r="O3088" i="1"/>
  <c r="O3089" i="1"/>
  <c r="P3089" i="1" s="1"/>
  <c r="O3090" i="1"/>
  <c r="P3090" i="1" s="1"/>
  <c r="O3091" i="1"/>
  <c r="P3091" i="1" s="1"/>
  <c r="O3092" i="1"/>
  <c r="P3092" i="1" s="1"/>
  <c r="O3093" i="1"/>
  <c r="P3093" i="1" s="1"/>
  <c r="O3094" i="1"/>
  <c r="P3094" i="1" s="1"/>
  <c r="O3095" i="1"/>
  <c r="O3096" i="1"/>
  <c r="P3096" i="1" s="1"/>
  <c r="O3097" i="1"/>
  <c r="P3097" i="1" s="1"/>
  <c r="O3098" i="1"/>
  <c r="P3098" i="1" s="1"/>
  <c r="O3099" i="1"/>
  <c r="P3099" i="1" s="1"/>
  <c r="O3100" i="1"/>
  <c r="P3100" i="1" s="1"/>
  <c r="O3101" i="1"/>
  <c r="P3101"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G3063" i="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G3055" i="1"/>
  <c r="O3047" i="1"/>
  <c r="O3048" i="1"/>
  <c r="P3048" i="1" s="1"/>
  <c r="O3049" i="1"/>
  <c r="P3049" i="1" s="1"/>
  <c r="O3050" i="1"/>
  <c r="P3050" i="1" s="1"/>
  <c r="O3051" i="1"/>
  <c r="P3051" i="1" s="1"/>
  <c r="O3052" i="1"/>
  <c r="P3052" i="1" s="1"/>
  <c r="O3053" i="1"/>
  <c r="P3053" i="1" s="1"/>
  <c r="O3054" i="1"/>
  <c r="P3054" i="1" s="1"/>
  <c r="O3055" i="1"/>
  <c r="G3047" i="1"/>
  <c r="O3039" i="1"/>
  <c r="P3039" i="1" s="1"/>
  <c r="O3040" i="1"/>
  <c r="P3040" i="1" s="1"/>
  <c r="O3041" i="1"/>
  <c r="P3041" i="1" s="1"/>
  <c r="O3042" i="1"/>
  <c r="P3042" i="1" s="1"/>
  <c r="O3043" i="1"/>
  <c r="P3043" i="1" s="1"/>
  <c r="O3044" i="1"/>
  <c r="P3044" i="1" s="1"/>
  <c r="O3045" i="1"/>
  <c r="P3045" i="1" s="1"/>
  <c r="O3046" i="1"/>
  <c r="P3046" i="1" s="1"/>
  <c r="O3036" i="1"/>
  <c r="P3036" i="1" s="1"/>
  <c r="O3033" i="1"/>
  <c r="P3033" i="1" s="1"/>
  <c r="O3034" i="1"/>
  <c r="P3034" i="1" s="1"/>
  <c r="O3035" i="1"/>
  <c r="P3035" i="1" s="1"/>
  <c r="O3037" i="1"/>
  <c r="P3037" i="1" s="1"/>
  <c r="O3038" i="1"/>
  <c r="P3038" i="1" s="1"/>
  <c r="O3020" i="1"/>
  <c r="P3020" i="1" s="1"/>
  <c r="O3021" i="1"/>
  <c r="P3021" i="1" s="1"/>
  <c r="O3022" i="1"/>
  <c r="P3022" i="1" s="1"/>
  <c r="O3023" i="1"/>
  <c r="P3023" i="1" s="1"/>
  <c r="O3024" i="1"/>
  <c r="P3024" i="1" s="1"/>
  <c r="O3025" i="1"/>
  <c r="P3025" i="1" s="1"/>
  <c r="O3026" i="1"/>
  <c r="P3026" i="1" s="1"/>
  <c r="O3027" i="1"/>
  <c r="P3027" i="1" s="1"/>
  <c r="O3028" i="1"/>
  <c r="P3028" i="1" s="1"/>
  <c r="O3029" i="1"/>
  <c r="P3029" i="1" s="1"/>
  <c r="O3030" i="1"/>
  <c r="P3030" i="1" s="1"/>
  <c r="O3031" i="1"/>
  <c r="P3031" i="1" s="1"/>
  <c r="O3032" i="1"/>
  <c r="P3032"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G3005" i="1"/>
  <c r="G2997" i="1"/>
  <c r="O2989" i="1"/>
  <c r="P2989" i="1" s="1"/>
  <c r="O2990" i="1"/>
  <c r="P2990" i="1" s="1"/>
  <c r="O2991" i="1"/>
  <c r="P2991" i="1" s="1"/>
  <c r="O2992" i="1"/>
  <c r="P2992" i="1" s="1"/>
  <c r="O2993" i="1"/>
  <c r="P2993" i="1" s="1"/>
  <c r="O2994" i="1"/>
  <c r="P2994" i="1" s="1"/>
  <c r="O2995" i="1"/>
  <c r="P2995" i="1" s="1"/>
  <c r="O2996" i="1"/>
  <c r="P2996" i="1" s="1"/>
  <c r="O2997" i="1"/>
  <c r="O2998" i="1"/>
  <c r="P2998" i="1" s="1"/>
  <c r="O2999" i="1"/>
  <c r="P2999" i="1" s="1"/>
  <c r="O3000" i="1"/>
  <c r="P3000" i="1" s="1"/>
  <c r="O3001" i="1"/>
  <c r="P3001" i="1" s="1"/>
  <c r="O3002" i="1"/>
  <c r="P3002" i="1" s="1"/>
  <c r="O3003" i="1"/>
  <c r="P3003" i="1" s="1"/>
  <c r="O3004" i="1"/>
  <c r="P3004" i="1" s="1"/>
  <c r="O3005" i="1"/>
  <c r="G2979" i="1"/>
  <c r="G2985" i="1"/>
  <c r="O2975" i="1"/>
  <c r="P2975" i="1" s="1"/>
  <c r="O2976" i="1"/>
  <c r="P2976" i="1" s="1"/>
  <c r="O2977" i="1"/>
  <c r="P2977" i="1" s="1"/>
  <c r="O2978" i="1"/>
  <c r="P2978" i="1" s="1"/>
  <c r="O2979" i="1"/>
  <c r="O2980" i="1"/>
  <c r="P2980" i="1" s="1"/>
  <c r="O2981" i="1"/>
  <c r="P2981" i="1" s="1"/>
  <c r="O2982" i="1"/>
  <c r="P2982" i="1" s="1"/>
  <c r="O2983" i="1"/>
  <c r="P2983" i="1" s="1"/>
  <c r="O2984" i="1"/>
  <c r="P2984" i="1" s="1"/>
  <c r="O2985" i="1"/>
  <c r="O2986" i="1"/>
  <c r="P2986" i="1" s="1"/>
  <c r="O2987" i="1"/>
  <c r="P2987" i="1" s="1"/>
  <c r="O2988" i="1"/>
  <c r="P2988" i="1" s="1"/>
  <c r="G2965" i="1"/>
  <c r="O2956" i="1"/>
  <c r="P2956" i="1" s="1"/>
  <c r="O2957" i="1"/>
  <c r="P2957" i="1" s="1"/>
  <c r="O2958" i="1"/>
  <c r="P2958" i="1" s="1"/>
  <c r="O2959" i="1"/>
  <c r="P2959" i="1" s="1"/>
  <c r="O2960" i="1"/>
  <c r="P2960" i="1" s="1"/>
  <c r="O2961" i="1"/>
  <c r="P2961" i="1" s="1"/>
  <c r="O2962" i="1"/>
  <c r="P2962" i="1" s="1"/>
  <c r="O2963" i="1"/>
  <c r="P2963" i="1" s="1"/>
  <c r="O2964" i="1"/>
  <c r="P2964" i="1" s="1"/>
  <c r="O2965" i="1"/>
  <c r="O2966" i="1"/>
  <c r="P2966" i="1" s="1"/>
  <c r="O2967" i="1"/>
  <c r="P2967" i="1" s="1"/>
  <c r="O2968" i="1"/>
  <c r="P2968" i="1" s="1"/>
  <c r="O2969" i="1"/>
  <c r="P2969" i="1" s="1"/>
  <c r="O2970" i="1"/>
  <c r="P2970" i="1" s="1"/>
  <c r="O2971" i="1"/>
  <c r="P2971" i="1" s="1"/>
  <c r="O2972" i="1"/>
  <c r="P2972" i="1" s="1"/>
  <c r="O2973" i="1"/>
  <c r="P2973" i="1" s="1"/>
  <c r="O2974" i="1"/>
  <c r="P2974" i="1" s="1"/>
  <c r="G2955" i="1"/>
  <c r="G2952" i="1"/>
  <c r="O2943" i="1"/>
  <c r="P2943" i="1" s="1"/>
  <c r="O2944" i="1"/>
  <c r="P2944" i="1" s="1"/>
  <c r="O2945" i="1"/>
  <c r="P2945" i="1" s="1"/>
  <c r="O2946" i="1"/>
  <c r="P2946" i="1" s="1"/>
  <c r="O2947" i="1"/>
  <c r="P2947" i="1" s="1"/>
  <c r="O2948" i="1"/>
  <c r="P2948" i="1" s="1"/>
  <c r="O2949" i="1"/>
  <c r="P2949" i="1" s="1"/>
  <c r="O2950" i="1"/>
  <c r="P2950" i="1" s="1"/>
  <c r="O2951" i="1"/>
  <c r="P2951" i="1" s="1"/>
  <c r="O2952" i="1"/>
  <c r="O2953" i="1"/>
  <c r="P2953" i="1" s="1"/>
  <c r="O2954" i="1"/>
  <c r="P2954" i="1" s="1"/>
  <c r="O2955" i="1"/>
  <c r="G2941" i="1"/>
  <c r="G2933" i="1"/>
  <c r="G2932" i="1"/>
  <c r="G2930" i="1"/>
  <c r="O2930" i="1"/>
  <c r="O2931" i="1"/>
  <c r="P2931" i="1" s="1"/>
  <c r="O2932" i="1"/>
  <c r="O2933" i="1"/>
  <c r="O2934" i="1"/>
  <c r="P2934" i="1" s="1"/>
  <c r="O2935" i="1"/>
  <c r="P2935" i="1" s="1"/>
  <c r="O2936" i="1"/>
  <c r="P2936" i="1" s="1"/>
  <c r="O2937" i="1"/>
  <c r="P2937" i="1" s="1"/>
  <c r="O2938" i="1"/>
  <c r="P2938" i="1" s="1"/>
  <c r="O2939" i="1"/>
  <c r="P2939" i="1" s="1"/>
  <c r="O2940" i="1"/>
  <c r="P2940" i="1" s="1"/>
  <c r="O2941" i="1"/>
  <c r="O2942" i="1"/>
  <c r="P2942" i="1" s="1"/>
  <c r="G2921" i="1"/>
  <c r="G2920" i="1"/>
  <c r="O2918" i="1"/>
  <c r="P2918" i="1" s="1"/>
  <c r="O2919" i="1"/>
  <c r="P2919" i="1" s="1"/>
  <c r="O2920" i="1"/>
  <c r="O2921" i="1"/>
  <c r="O2922" i="1"/>
  <c r="P2922" i="1" s="1"/>
  <c r="O2923" i="1"/>
  <c r="P2923" i="1" s="1"/>
  <c r="O2924" i="1"/>
  <c r="P2924" i="1" s="1"/>
  <c r="O2925" i="1"/>
  <c r="P2925" i="1" s="1"/>
  <c r="O2926" i="1"/>
  <c r="P2926" i="1" s="1"/>
  <c r="O2927" i="1"/>
  <c r="P2927" i="1" s="1"/>
  <c r="O2928" i="1"/>
  <c r="P2928" i="1" s="1"/>
  <c r="O2929" i="1"/>
  <c r="P2929" i="1" s="1"/>
  <c r="G2911" i="1"/>
  <c r="G2906" i="1"/>
  <c r="O2906" i="1"/>
  <c r="O2907" i="1"/>
  <c r="P2907" i="1" s="1"/>
  <c r="O2908" i="1"/>
  <c r="P2908" i="1" s="1"/>
  <c r="O2909" i="1"/>
  <c r="P2909" i="1" s="1"/>
  <c r="O2910" i="1"/>
  <c r="P2910" i="1" s="1"/>
  <c r="O2911" i="1"/>
  <c r="O2912" i="1"/>
  <c r="P2912" i="1" s="1"/>
  <c r="O2913" i="1"/>
  <c r="P2913" i="1" s="1"/>
  <c r="O2914" i="1"/>
  <c r="P2914" i="1" s="1"/>
  <c r="O2915" i="1"/>
  <c r="P2915" i="1" s="1"/>
  <c r="O2916" i="1"/>
  <c r="P2916" i="1" s="1"/>
  <c r="O2917" i="1"/>
  <c r="P2917" i="1" s="1"/>
  <c r="G2900" i="1"/>
  <c r="O2899" i="1"/>
  <c r="P2899" i="1" s="1"/>
  <c r="T2899" i="1"/>
  <c r="U2899" i="1"/>
  <c r="V2899" i="1"/>
  <c r="O2893" i="1"/>
  <c r="P2893" i="1" s="1"/>
  <c r="O2894" i="1"/>
  <c r="P2894" i="1" s="1"/>
  <c r="O2895" i="1"/>
  <c r="P2895" i="1" s="1"/>
  <c r="O2896" i="1"/>
  <c r="P2896" i="1" s="1"/>
  <c r="O2897" i="1"/>
  <c r="P2897" i="1" s="1"/>
  <c r="O2898" i="1"/>
  <c r="P2898" i="1" s="1"/>
  <c r="O2900" i="1"/>
  <c r="O2901" i="1"/>
  <c r="P2901" i="1" s="1"/>
  <c r="O2902" i="1"/>
  <c r="P2902" i="1" s="1"/>
  <c r="O2903" i="1"/>
  <c r="P2903" i="1" s="1"/>
  <c r="O2904" i="1"/>
  <c r="P2904" i="1" s="1"/>
  <c r="O2905" i="1"/>
  <c r="P2905"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56" i="1"/>
  <c r="P2856" i="1" s="1"/>
  <c r="O2852" i="1"/>
  <c r="P2852" i="1" s="1"/>
  <c r="O2858" i="1"/>
  <c r="P2858" i="1" s="1"/>
  <c r="T2858" i="1"/>
  <c r="U2858" i="1"/>
  <c r="V2858" i="1"/>
  <c r="G2859" i="1"/>
  <c r="G2853" i="1"/>
  <c r="O2853" i="1"/>
  <c r="O2854" i="1"/>
  <c r="P2854" i="1" s="1"/>
  <c r="O2855" i="1"/>
  <c r="P2855" i="1" s="1"/>
  <c r="O2857" i="1"/>
  <c r="P2857" i="1" s="1"/>
  <c r="O2859" i="1"/>
  <c r="O2860" i="1"/>
  <c r="P2860" i="1" s="1"/>
  <c r="O2861" i="1"/>
  <c r="P2861" i="1" s="1"/>
  <c r="O2862" i="1"/>
  <c r="P2862" i="1" s="1"/>
  <c r="O2863" i="1"/>
  <c r="P2863" i="1" s="1"/>
  <c r="G2850" i="1"/>
  <c r="G2845" i="1"/>
  <c r="O2838" i="1"/>
  <c r="P2838" i="1" s="1"/>
  <c r="O2839" i="1"/>
  <c r="P2839" i="1" s="1"/>
  <c r="O2840" i="1"/>
  <c r="P2840" i="1" s="1"/>
  <c r="O2841" i="1"/>
  <c r="P2841" i="1" s="1"/>
  <c r="O2842" i="1"/>
  <c r="P2842" i="1" s="1"/>
  <c r="O2843" i="1"/>
  <c r="P2843" i="1" s="1"/>
  <c r="O2844" i="1"/>
  <c r="P2844" i="1" s="1"/>
  <c r="O2845" i="1"/>
  <c r="O2846" i="1"/>
  <c r="P2846" i="1" s="1"/>
  <c r="O2847" i="1"/>
  <c r="P2847" i="1" s="1"/>
  <c r="O2848" i="1"/>
  <c r="P2848" i="1" s="1"/>
  <c r="O2849" i="1"/>
  <c r="P2849" i="1" s="1"/>
  <c r="O2850" i="1"/>
  <c r="O2851" i="1"/>
  <c r="P2851" i="1" s="1"/>
  <c r="G2831" i="1"/>
  <c r="G2827" i="1"/>
  <c r="O2825" i="1"/>
  <c r="P2825" i="1" s="1"/>
  <c r="O2826" i="1"/>
  <c r="P2826" i="1" s="1"/>
  <c r="O2827" i="1"/>
  <c r="O2828" i="1"/>
  <c r="P2828" i="1" s="1"/>
  <c r="O2829" i="1"/>
  <c r="P2829" i="1" s="1"/>
  <c r="O2830" i="1"/>
  <c r="P2830" i="1" s="1"/>
  <c r="O2831" i="1"/>
  <c r="O2832" i="1"/>
  <c r="P2832" i="1" s="1"/>
  <c r="O2833" i="1"/>
  <c r="P2833" i="1" s="1"/>
  <c r="O2834" i="1"/>
  <c r="P2834" i="1" s="1"/>
  <c r="O2835" i="1"/>
  <c r="P2835" i="1" s="1"/>
  <c r="O2836" i="1"/>
  <c r="P2836" i="1" s="1"/>
  <c r="O2837" i="1"/>
  <c r="P2837" i="1" s="1"/>
  <c r="O2824" i="1"/>
  <c r="G2824" i="1"/>
  <c r="G2823" i="1"/>
  <c r="G2820" i="1"/>
  <c r="G2817" i="1"/>
  <c r="G2812" i="1"/>
  <c r="O2812" i="1" s="1"/>
  <c r="P2812" i="1" s="1"/>
  <c r="O2813" i="1"/>
  <c r="P2813" i="1" s="1"/>
  <c r="O2814" i="1"/>
  <c r="P2814" i="1" s="1"/>
  <c r="O2815" i="1"/>
  <c r="P2815" i="1" s="1"/>
  <c r="O2816" i="1"/>
  <c r="P2816" i="1" s="1"/>
  <c r="O2817" i="1"/>
  <c r="O2818" i="1"/>
  <c r="P2818" i="1" s="1"/>
  <c r="O2819" i="1"/>
  <c r="P2819" i="1" s="1"/>
  <c r="O2820" i="1"/>
  <c r="O2821" i="1"/>
  <c r="P2821" i="1" s="1"/>
  <c r="O2822" i="1"/>
  <c r="P2822" i="1" s="1"/>
  <c r="O2823" i="1"/>
  <c r="G2806" i="1"/>
  <c r="G2803" i="1"/>
  <c r="O2803" i="1"/>
  <c r="O2804" i="1"/>
  <c r="P2804" i="1" s="1"/>
  <c r="O2805" i="1"/>
  <c r="P2805" i="1" s="1"/>
  <c r="O2807" i="1"/>
  <c r="P2807" i="1" s="1"/>
  <c r="O2808" i="1"/>
  <c r="P2808" i="1" s="1"/>
  <c r="O2809" i="1"/>
  <c r="P2809" i="1" s="1"/>
  <c r="O2810" i="1"/>
  <c r="P2810" i="1" s="1"/>
  <c r="O2811" i="1"/>
  <c r="P2811" i="1" s="1"/>
  <c r="G2797" i="1"/>
  <c r="O2792" i="1"/>
  <c r="P2792" i="1" s="1"/>
  <c r="O2793" i="1"/>
  <c r="P2793" i="1" s="1"/>
  <c r="O2794" i="1"/>
  <c r="P2794" i="1" s="1"/>
  <c r="O2795" i="1"/>
  <c r="P2795" i="1" s="1"/>
  <c r="O2796" i="1"/>
  <c r="P2796" i="1" s="1"/>
  <c r="O2797" i="1"/>
  <c r="O2798" i="1"/>
  <c r="P2798" i="1" s="1"/>
  <c r="O2799" i="1"/>
  <c r="P2799" i="1" s="1"/>
  <c r="O2800" i="1"/>
  <c r="P2800" i="1" s="1"/>
  <c r="O2801" i="1"/>
  <c r="P2801" i="1" s="1"/>
  <c r="O2802" i="1"/>
  <c r="P2802" i="1" s="1"/>
  <c r="G2784" i="1"/>
  <c r="O2784" i="1" s="1"/>
  <c r="P2784" i="1" s="1"/>
  <c r="O2780" i="1"/>
  <c r="P2780" i="1" s="1"/>
  <c r="O2781" i="1"/>
  <c r="P2781" i="1" s="1"/>
  <c r="O2782" i="1"/>
  <c r="P2782" i="1" s="1"/>
  <c r="O2783" i="1"/>
  <c r="P2783" i="1" s="1"/>
  <c r="O2785" i="1"/>
  <c r="P2785" i="1" s="1"/>
  <c r="O2786" i="1"/>
  <c r="P2786" i="1" s="1"/>
  <c r="O2787" i="1"/>
  <c r="P2787" i="1" s="1"/>
  <c r="O2788" i="1"/>
  <c r="P2788" i="1" s="1"/>
  <c r="O2789" i="1"/>
  <c r="P2789" i="1" s="1"/>
  <c r="O2790" i="1"/>
  <c r="P2790" i="1" s="1"/>
  <c r="O2791" i="1"/>
  <c r="P2791" i="1" s="1"/>
  <c r="G2770" i="1"/>
  <c r="O2768" i="1"/>
  <c r="P2768" i="1" s="1"/>
  <c r="O2769" i="1"/>
  <c r="P2769" i="1" s="1"/>
  <c r="O2770" i="1"/>
  <c r="O2771" i="1"/>
  <c r="P2771" i="1" s="1"/>
  <c r="O2772" i="1"/>
  <c r="P2772" i="1" s="1"/>
  <c r="O2773" i="1"/>
  <c r="P2773" i="1" s="1"/>
  <c r="O2774" i="1"/>
  <c r="P2774" i="1" s="1"/>
  <c r="O2775" i="1"/>
  <c r="P2775" i="1" s="1"/>
  <c r="O2776" i="1"/>
  <c r="P2776" i="1" s="1"/>
  <c r="O2777" i="1"/>
  <c r="P2777" i="1" s="1"/>
  <c r="O2778" i="1"/>
  <c r="P2778" i="1" s="1"/>
  <c r="O2779" i="1"/>
  <c r="P2779"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M2738" i="1"/>
  <c r="O2738" i="1" s="1"/>
  <c r="P2738" i="1" s="1"/>
  <c r="O2739" i="1"/>
  <c r="P2739" i="1" s="1"/>
  <c r="O2740" i="1"/>
  <c r="P2740" i="1" s="1"/>
  <c r="O2741" i="1"/>
  <c r="P2741" i="1" s="1"/>
  <c r="O2742" i="1"/>
  <c r="P2742" i="1" s="1"/>
  <c r="O2729" i="1"/>
  <c r="P2729" i="1" s="1"/>
  <c r="O2730" i="1"/>
  <c r="P2730" i="1" s="1"/>
  <c r="O2731" i="1"/>
  <c r="P2731" i="1" s="1"/>
  <c r="O2732" i="1"/>
  <c r="P2732" i="1" s="1"/>
  <c r="O2733" i="1"/>
  <c r="P2733" i="1" s="1"/>
  <c r="P2734" i="1"/>
  <c r="O2735" i="1"/>
  <c r="P2735" i="1" s="1"/>
  <c r="O2736" i="1"/>
  <c r="P2736" i="1" s="1"/>
  <c r="O2737" i="1"/>
  <c r="P2737" i="1" s="1"/>
  <c r="G2726" i="1"/>
  <c r="G2720" i="1"/>
  <c r="O2717" i="1"/>
  <c r="P2717" i="1" s="1"/>
  <c r="O2718" i="1"/>
  <c r="P2718" i="1" s="1"/>
  <c r="O2719" i="1"/>
  <c r="P2719" i="1" s="1"/>
  <c r="O2720" i="1"/>
  <c r="O2721" i="1"/>
  <c r="P2721" i="1" s="1"/>
  <c r="O2722" i="1"/>
  <c r="P2722" i="1" s="1"/>
  <c r="O2723" i="1"/>
  <c r="P2723" i="1" s="1"/>
  <c r="O2724" i="1"/>
  <c r="P2724" i="1" s="1"/>
  <c r="O2725" i="1"/>
  <c r="P2725" i="1" s="1"/>
  <c r="O2726" i="1"/>
  <c r="O2727" i="1"/>
  <c r="P2727" i="1" s="1"/>
  <c r="O2728" i="1"/>
  <c r="P2728"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G2697" i="1"/>
  <c r="O2690" i="1"/>
  <c r="P2690" i="1" s="1"/>
  <c r="O2691" i="1"/>
  <c r="P2691" i="1" s="1"/>
  <c r="O2692" i="1"/>
  <c r="P2692" i="1" s="1"/>
  <c r="O2693" i="1"/>
  <c r="P2693" i="1" s="1"/>
  <c r="O2694" i="1"/>
  <c r="P2694" i="1" s="1"/>
  <c r="O2695" i="1"/>
  <c r="P2695" i="1" s="1"/>
  <c r="O2696" i="1"/>
  <c r="P2696" i="1" s="1"/>
  <c r="O2697" i="1"/>
  <c r="O2698" i="1"/>
  <c r="P2698" i="1" s="1"/>
  <c r="O2699" i="1"/>
  <c r="P2699" i="1" s="1"/>
  <c r="O2700" i="1"/>
  <c r="P2700" i="1" s="1"/>
  <c r="O2701" i="1"/>
  <c r="P2701" i="1" s="1"/>
  <c r="O2702" i="1"/>
  <c r="P2702" i="1" s="1"/>
  <c r="O2703" i="1"/>
  <c r="P2703" i="1" s="1"/>
  <c r="O2704" i="1"/>
  <c r="P2704" i="1" s="1"/>
  <c r="G2689" i="1"/>
  <c r="G2682" i="1"/>
  <c r="O2682" i="1"/>
  <c r="O2683" i="1"/>
  <c r="P2683" i="1" s="1"/>
  <c r="O2684" i="1"/>
  <c r="P2684" i="1" s="1"/>
  <c r="O2685" i="1"/>
  <c r="P2685" i="1" s="1"/>
  <c r="O2686" i="1"/>
  <c r="P2686" i="1" s="1"/>
  <c r="O2687" i="1"/>
  <c r="P2687" i="1" s="1"/>
  <c r="O2688" i="1"/>
  <c r="P2688" i="1" s="1"/>
  <c r="O2689" i="1"/>
  <c r="O2676" i="1"/>
  <c r="P2676" i="1" s="1"/>
  <c r="O2677" i="1"/>
  <c r="P2677" i="1" s="1"/>
  <c r="O2675" i="1"/>
  <c r="P2675" i="1" s="1"/>
  <c r="O2674" i="1"/>
  <c r="P2674" i="1" s="1"/>
  <c r="O2678" i="1"/>
  <c r="P2678" i="1" s="1"/>
  <c r="O2679" i="1"/>
  <c r="P2679" i="1" s="1"/>
  <c r="O2680" i="1"/>
  <c r="P2680" i="1" s="1"/>
  <c r="O2681" i="1"/>
  <c r="P2681" i="1" s="1"/>
  <c r="G2669" i="1"/>
  <c r="O2667" i="1"/>
  <c r="P2667" i="1" s="1"/>
  <c r="O2663" i="1"/>
  <c r="P2663" i="1" s="1"/>
  <c r="O2664" i="1"/>
  <c r="P2664" i="1" s="1"/>
  <c r="O2665" i="1"/>
  <c r="P2665" i="1" s="1"/>
  <c r="O2666" i="1"/>
  <c r="P2666" i="1" s="1"/>
  <c r="O2668" i="1"/>
  <c r="P2668" i="1" s="1"/>
  <c r="O2669" i="1"/>
  <c r="O2670" i="1"/>
  <c r="P2670" i="1" s="1"/>
  <c r="O2671" i="1"/>
  <c r="P2671" i="1" s="1"/>
  <c r="O2672" i="1"/>
  <c r="P2672" i="1" s="1"/>
  <c r="O2673" i="1"/>
  <c r="P2673" i="1" s="1"/>
  <c r="G2656" i="1"/>
  <c r="O2650" i="1"/>
  <c r="P2650" i="1" s="1"/>
  <c r="O2651" i="1"/>
  <c r="P2651" i="1" s="1"/>
  <c r="O2652" i="1"/>
  <c r="P2652" i="1" s="1"/>
  <c r="O2653" i="1"/>
  <c r="P2653" i="1" s="1"/>
  <c r="O2654" i="1"/>
  <c r="P2654" i="1" s="1"/>
  <c r="O2655" i="1"/>
  <c r="P2655" i="1" s="1"/>
  <c r="O2656" i="1"/>
  <c r="O2657" i="1"/>
  <c r="P2657" i="1" s="1"/>
  <c r="O2658" i="1"/>
  <c r="P2658" i="1" s="1"/>
  <c r="O2659" i="1"/>
  <c r="P2659" i="1" s="1"/>
  <c r="O2660" i="1"/>
  <c r="P2660" i="1" s="1"/>
  <c r="O2661" i="1"/>
  <c r="P2661" i="1" s="1"/>
  <c r="O2662" i="1"/>
  <c r="P2662" i="1" s="1"/>
  <c r="O2639" i="1"/>
  <c r="P2639" i="1" s="1"/>
  <c r="G2640" i="1"/>
  <c r="O2637" i="1"/>
  <c r="P2637" i="1" s="1"/>
  <c r="O2638" i="1"/>
  <c r="P2638" i="1" s="1"/>
  <c r="O2640" i="1"/>
  <c r="O2641" i="1"/>
  <c r="P2641" i="1" s="1"/>
  <c r="O2642" i="1"/>
  <c r="P2642" i="1" s="1"/>
  <c r="O2643" i="1"/>
  <c r="P2643" i="1" s="1"/>
  <c r="O2644" i="1"/>
  <c r="P2644" i="1" s="1"/>
  <c r="O2645" i="1"/>
  <c r="P2645" i="1" s="1"/>
  <c r="O2646" i="1"/>
  <c r="P2646" i="1" s="1"/>
  <c r="O2647" i="1"/>
  <c r="P2647" i="1" s="1"/>
  <c r="O2648" i="1"/>
  <c r="P2648" i="1" s="1"/>
  <c r="O2649" i="1"/>
  <c r="P2649" i="1" s="1"/>
  <c r="G2636" i="1"/>
  <c r="G2624" i="1"/>
  <c r="O2625" i="1"/>
  <c r="P2625" i="1" s="1"/>
  <c r="O2623" i="1"/>
  <c r="P2623" i="1" s="1"/>
  <c r="G2633" i="1"/>
  <c r="O2624" i="1"/>
  <c r="O2626" i="1"/>
  <c r="P2626" i="1" s="1"/>
  <c r="O2627" i="1"/>
  <c r="P2627" i="1" s="1"/>
  <c r="O2628" i="1"/>
  <c r="P2628" i="1" s="1"/>
  <c r="O2629" i="1"/>
  <c r="O2630" i="1"/>
  <c r="P2630" i="1" s="1"/>
  <c r="O2631" i="1"/>
  <c r="P2631" i="1" s="1"/>
  <c r="O2632" i="1"/>
  <c r="P2632" i="1" s="1"/>
  <c r="O2633" i="1"/>
  <c r="O2634" i="1"/>
  <c r="P2634" i="1" s="1"/>
  <c r="O2635" i="1"/>
  <c r="P2635" i="1" s="1"/>
  <c r="O2636" i="1"/>
  <c r="G2614" i="1"/>
  <c r="O2611" i="1"/>
  <c r="P2611" i="1" s="1"/>
  <c r="O2612" i="1"/>
  <c r="P2612" i="1" s="1"/>
  <c r="O2613" i="1"/>
  <c r="P2613" i="1" s="1"/>
  <c r="O2614" i="1"/>
  <c r="O2615" i="1"/>
  <c r="P2615" i="1" s="1"/>
  <c r="O2616" i="1"/>
  <c r="P2616" i="1" s="1"/>
  <c r="O2617" i="1"/>
  <c r="P2617" i="1" s="1"/>
  <c r="O2618" i="1"/>
  <c r="P2618" i="1" s="1"/>
  <c r="O2619" i="1"/>
  <c r="P2619" i="1" s="1"/>
  <c r="O2620" i="1"/>
  <c r="P2620" i="1" s="1"/>
  <c r="O2621" i="1"/>
  <c r="P2621" i="1" s="1"/>
  <c r="O2622" i="1"/>
  <c r="P2622" i="1" s="1"/>
  <c r="G2609" i="1"/>
  <c r="O2609" i="1" s="1"/>
  <c r="P2609" i="1" s="1"/>
  <c r="G2607" i="1"/>
  <c r="G2603" i="1"/>
  <c r="O2597" i="1"/>
  <c r="P2597" i="1" s="1"/>
  <c r="O2598" i="1"/>
  <c r="P2598" i="1" s="1"/>
  <c r="O2599" i="1"/>
  <c r="P2599" i="1" s="1"/>
  <c r="O2600" i="1"/>
  <c r="P2600" i="1" s="1"/>
  <c r="O2601" i="1"/>
  <c r="P2601" i="1" s="1"/>
  <c r="O2602" i="1"/>
  <c r="P2602" i="1" s="1"/>
  <c r="O2603" i="1"/>
  <c r="O2604" i="1"/>
  <c r="P2604" i="1" s="1"/>
  <c r="O2605" i="1"/>
  <c r="P2605" i="1" s="1"/>
  <c r="O2606" i="1"/>
  <c r="P2606" i="1" s="1"/>
  <c r="O2607" i="1"/>
  <c r="O2608" i="1"/>
  <c r="P2608" i="1" s="1"/>
  <c r="O2610" i="1"/>
  <c r="P2610" i="1" s="1"/>
  <c r="O2586" i="1"/>
  <c r="O2585" i="1"/>
  <c r="P3340" i="1" l="1"/>
  <c r="P3299" i="1"/>
  <c r="P2624" i="1"/>
  <c r="P3310" i="1"/>
  <c r="P3225" i="1"/>
  <c r="P3882" i="1"/>
  <c r="P3869" i="1"/>
  <c r="P3821" i="1"/>
  <c r="P3861" i="1"/>
  <c r="P3849" i="1"/>
  <c r="P3790" i="1"/>
  <c r="P3811" i="1"/>
  <c r="P3819" i="1"/>
  <c r="P3804" i="1"/>
  <c r="P3776" i="1"/>
  <c r="P3729" i="1"/>
  <c r="P3722" i="1"/>
  <c r="P3704" i="1"/>
  <c r="P3692" i="1"/>
  <c r="P3688" i="1"/>
  <c r="P3683" i="1"/>
  <c r="P3682" i="1"/>
  <c r="P3677" i="1"/>
  <c r="P3671" i="1"/>
  <c r="P3572" i="1"/>
  <c r="P3561" i="1"/>
  <c r="P3445" i="1"/>
  <c r="P3548" i="1"/>
  <c r="P3540" i="1"/>
  <c r="P3551" i="1"/>
  <c r="P3546" i="1"/>
  <c r="P3532" i="1"/>
  <c r="P3492" i="1"/>
  <c r="P3468" i="1"/>
  <c r="P3399" i="1"/>
  <c r="P3448" i="1"/>
  <c r="P3463" i="1"/>
  <c r="P3405" i="1"/>
  <c r="P3401" i="1"/>
  <c r="P3374" i="1"/>
  <c r="P3338" i="1"/>
  <c r="P3341" i="1"/>
  <c r="P3339" i="1"/>
  <c r="P3323" i="1"/>
  <c r="P3332" i="1"/>
  <c r="P3329" i="1"/>
  <c r="P2932" i="1"/>
  <c r="P3320" i="1"/>
  <c r="P3315" i="1"/>
  <c r="P3295" i="1"/>
  <c r="P3293" i="1"/>
  <c r="P3271" i="1"/>
  <c r="P3215" i="1"/>
  <c r="P3241" i="1"/>
  <c r="P3233" i="1"/>
  <c r="P3197" i="1"/>
  <c r="P3194" i="1"/>
  <c r="P3175" i="1"/>
  <c r="P3140" i="1"/>
  <c r="P3108" i="1"/>
  <c r="P3133" i="1"/>
  <c r="P3149" i="1"/>
  <c r="P3136" i="1"/>
  <c r="P3128" i="1"/>
  <c r="P3088" i="1"/>
  <c r="P2831" i="1"/>
  <c r="P3095" i="1"/>
  <c r="P2636" i="1"/>
  <c r="P3055" i="1"/>
  <c r="P3047" i="1"/>
  <c r="P3005" i="1"/>
  <c r="P2997" i="1"/>
  <c r="P2979" i="1"/>
  <c r="P2985" i="1"/>
  <c r="P2955" i="1"/>
  <c r="P2614" i="1"/>
  <c r="P2965" i="1"/>
  <c r="P2941" i="1"/>
  <c r="P2920" i="1"/>
  <c r="P2952" i="1"/>
  <c r="P2720" i="1"/>
  <c r="P2933" i="1"/>
  <c r="P2906" i="1"/>
  <c r="P2930" i="1"/>
  <c r="P2921" i="1"/>
  <c r="P2911" i="1"/>
  <c r="P2900" i="1"/>
  <c r="P2827" i="1"/>
  <c r="P2853" i="1"/>
  <c r="P2859" i="1"/>
  <c r="P2850" i="1"/>
  <c r="P2845" i="1"/>
  <c r="P2817" i="1"/>
  <c r="P2824" i="1"/>
  <c r="P2823" i="1"/>
  <c r="P2820" i="1"/>
  <c r="P2806" i="1"/>
  <c r="P2803" i="1"/>
  <c r="P2797" i="1"/>
  <c r="P2726" i="1"/>
  <c r="P2770" i="1"/>
  <c r="P2697" i="1"/>
  <c r="P2689" i="1"/>
  <c r="P2682" i="1"/>
  <c r="P2640" i="1"/>
  <c r="P2669" i="1"/>
  <c r="P2633" i="1"/>
  <c r="P2603" i="1"/>
  <c r="P2607" i="1"/>
  <c r="G2587" i="1"/>
  <c r="O2584" i="1"/>
  <c r="P2584" i="1" s="1"/>
  <c r="P2585" i="1"/>
  <c r="P2586" i="1"/>
  <c r="O2587" i="1"/>
  <c r="O2588" i="1"/>
  <c r="P2588" i="1" s="1"/>
  <c r="O2589" i="1"/>
  <c r="P2589" i="1" s="1"/>
  <c r="O2590" i="1"/>
  <c r="P2590" i="1" s="1"/>
  <c r="O2591" i="1"/>
  <c r="P2591" i="1" s="1"/>
  <c r="O2592" i="1"/>
  <c r="P2592" i="1" s="1"/>
  <c r="O2593" i="1"/>
  <c r="P2593" i="1" s="1"/>
  <c r="O2594" i="1"/>
  <c r="P2594" i="1" s="1"/>
  <c r="O2595" i="1"/>
  <c r="P2595" i="1" s="1"/>
  <c r="O2596" i="1"/>
  <c r="P2596" i="1" s="1"/>
  <c r="O2570" i="1"/>
  <c r="P2570" i="1" s="1"/>
  <c r="O2569" i="1"/>
  <c r="P2569" i="1" s="1"/>
  <c r="G2579" i="1"/>
  <c r="O2568" i="1"/>
  <c r="P2568" i="1" s="1"/>
  <c r="O2571" i="1"/>
  <c r="P2571" i="1" s="1"/>
  <c r="O2572" i="1"/>
  <c r="P2572" i="1" s="1"/>
  <c r="O2573" i="1"/>
  <c r="P2573" i="1" s="1"/>
  <c r="O2574" i="1"/>
  <c r="P2574" i="1" s="1"/>
  <c r="O2575" i="1"/>
  <c r="P2575" i="1" s="1"/>
  <c r="O2576" i="1"/>
  <c r="P2576" i="1" s="1"/>
  <c r="O2577" i="1"/>
  <c r="P2577" i="1" s="1"/>
  <c r="O2578" i="1"/>
  <c r="P2578" i="1" s="1"/>
  <c r="O2579" i="1"/>
  <c r="O2580" i="1"/>
  <c r="P2580" i="1" s="1"/>
  <c r="O2581" i="1"/>
  <c r="P2581" i="1" s="1"/>
  <c r="O2582" i="1"/>
  <c r="P2582" i="1" s="1"/>
  <c r="O2583" i="1"/>
  <c r="P2583" i="1" s="1"/>
  <c r="O2562" i="1"/>
  <c r="P2562" i="1" s="1"/>
  <c r="O2561" i="1"/>
  <c r="P2561" i="1" s="1"/>
  <c r="O2558" i="1"/>
  <c r="P2558" i="1" s="1"/>
  <c r="O2559" i="1"/>
  <c r="P2559" i="1" s="1"/>
  <c r="O2560" i="1"/>
  <c r="P2560" i="1" s="1"/>
  <c r="O2563" i="1"/>
  <c r="P2563" i="1" s="1"/>
  <c r="O2564" i="1"/>
  <c r="P2564" i="1" s="1"/>
  <c r="O2565" i="1"/>
  <c r="P2565" i="1" s="1"/>
  <c r="O2566" i="1"/>
  <c r="P2566" i="1" s="1"/>
  <c r="O2567" i="1"/>
  <c r="P2567" i="1" s="1"/>
  <c r="O2542" i="1"/>
  <c r="P2542" i="1" s="1"/>
  <c r="G2553" i="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O2554" i="1"/>
  <c r="P2554" i="1" s="1"/>
  <c r="O2555" i="1"/>
  <c r="P2555" i="1" s="1"/>
  <c r="O2556" i="1"/>
  <c r="P2556" i="1" s="1"/>
  <c r="O2557" i="1"/>
  <c r="P2557" i="1" s="1"/>
  <c r="O2530" i="1"/>
  <c r="P2530" i="1" s="1"/>
  <c r="O2529" i="1"/>
  <c r="P2529" i="1" s="1"/>
  <c r="O2528" i="1"/>
  <c r="P2528"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22" i="1"/>
  <c r="P2522" i="1" s="1"/>
  <c r="O2515" i="1"/>
  <c r="P2515" i="1" s="1"/>
  <c r="O2516" i="1"/>
  <c r="P2516" i="1" s="1"/>
  <c r="O2517" i="1"/>
  <c r="P2517" i="1" s="1"/>
  <c r="O2514" i="1"/>
  <c r="P2514" i="1" s="1"/>
  <c r="O2513" i="1"/>
  <c r="P2513" i="1" s="1"/>
  <c r="G2518" i="1"/>
  <c r="G2512" i="1"/>
  <c r="O2512" i="1" s="1"/>
  <c r="P2512" i="1" s="1"/>
  <c r="O2518" i="1"/>
  <c r="O2519" i="1"/>
  <c r="P2519" i="1" s="1"/>
  <c r="O2520" i="1"/>
  <c r="P2520" i="1" s="1"/>
  <c r="O2521" i="1"/>
  <c r="P2521" i="1" s="1"/>
  <c r="O2523" i="1"/>
  <c r="P2523" i="1" s="1"/>
  <c r="O2524" i="1"/>
  <c r="P2524" i="1" s="1"/>
  <c r="P2525" i="1"/>
  <c r="O2526" i="1"/>
  <c r="P2526" i="1" s="1"/>
  <c r="O2527" i="1"/>
  <c r="P2527" i="1" s="1"/>
  <c r="O2498" i="1"/>
  <c r="P2498" i="1" s="1"/>
  <c r="O2499" i="1"/>
  <c r="P2499" i="1" s="1"/>
  <c r="O2497" i="1"/>
  <c r="P2497" i="1" s="1"/>
  <c r="O2495" i="1"/>
  <c r="P2495" i="1" s="1"/>
  <c r="O2494" i="1"/>
  <c r="P2494" i="1" s="1"/>
  <c r="O2493" i="1"/>
  <c r="P2493" i="1" s="1"/>
  <c r="O2492" i="1"/>
  <c r="P2492" i="1" s="1"/>
  <c r="O2496" i="1"/>
  <c r="P2496" i="1" s="1"/>
  <c r="O2500" i="1"/>
  <c r="P2500" i="1" s="1"/>
  <c r="O2501" i="1"/>
  <c r="P2501" i="1" s="1"/>
  <c r="P2502" i="1"/>
  <c r="O2503" i="1"/>
  <c r="P2503" i="1" s="1"/>
  <c r="O2504" i="1"/>
  <c r="P2504" i="1" s="1"/>
  <c r="O2505" i="1"/>
  <c r="P2505" i="1" s="1"/>
  <c r="O2506" i="1"/>
  <c r="P2506" i="1" s="1"/>
  <c r="O2507" i="1"/>
  <c r="P2507" i="1" s="1"/>
  <c r="O2508" i="1"/>
  <c r="P2508" i="1" s="1"/>
  <c r="O2509" i="1"/>
  <c r="P2509" i="1" s="1"/>
  <c r="O2510" i="1"/>
  <c r="P2510" i="1" s="1"/>
  <c r="O2511" i="1"/>
  <c r="P2511" i="1" s="1"/>
  <c r="P2587" i="1" l="1"/>
  <c r="P2579" i="1"/>
  <c r="P2553" i="1"/>
  <c r="P2518" i="1"/>
  <c r="G2491" i="1"/>
  <c r="O2491" i="1" s="1"/>
  <c r="P2491" i="1" s="1"/>
  <c r="G2488" i="1"/>
  <c r="O2488" i="1" s="1"/>
  <c r="P2488" i="1" s="1"/>
  <c r="O2484" i="1"/>
  <c r="P2484" i="1" s="1"/>
  <c r="O2483" i="1"/>
  <c r="P2483" i="1" s="1"/>
  <c r="O2481" i="1"/>
  <c r="P2481" i="1" s="1"/>
  <c r="O2480" i="1"/>
  <c r="P2480" i="1" s="1"/>
  <c r="O2482" i="1"/>
  <c r="P2482" i="1" s="1"/>
  <c r="O2485" i="1"/>
  <c r="P2485" i="1" s="1"/>
  <c r="O2486" i="1"/>
  <c r="P2486" i="1" s="1"/>
  <c r="O2487" i="1"/>
  <c r="P2487" i="1" s="1"/>
  <c r="O2489" i="1"/>
  <c r="P2489" i="1" s="1"/>
  <c r="O2490" i="1"/>
  <c r="P2490" i="1" s="1"/>
  <c r="O2472" i="1"/>
  <c r="P2472" i="1" s="1"/>
  <c r="O2470" i="1"/>
  <c r="P2470" i="1" s="1"/>
  <c r="O2469" i="1"/>
  <c r="P2469" i="1" s="1"/>
  <c r="O2467" i="1"/>
  <c r="P2467" i="1" s="1"/>
  <c r="G2479" i="1"/>
  <c r="O2479" i="1" s="1"/>
  <c r="P2479" i="1" s="1"/>
  <c r="O2471" i="1"/>
  <c r="P2471" i="1" s="1"/>
  <c r="O2473" i="1"/>
  <c r="P2473" i="1" s="1"/>
  <c r="O2474" i="1"/>
  <c r="P2474" i="1" s="1"/>
  <c r="O2475" i="1"/>
  <c r="P2475" i="1" s="1"/>
  <c r="O2476" i="1"/>
  <c r="P2476" i="1" s="1"/>
  <c r="O2477" i="1"/>
  <c r="P2477" i="1" s="1"/>
  <c r="O2478" i="1"/>
  <c r="P2478" i="1" s="1"/>
  <c r="G2468" i="1"/>
  <c r="O2468" i="1" s="1"/>
  <c r="P2468" i="1" s="1"/>
  <c r="G2464" i="1"/>
  <c r="G2454" i="1"/>
  <c r="O2452" i="1"/>
  <c r="P2452" i="1" s="1"/>
  <c r="M2451" i="1"/>
  <c r="O2451" i="1" s="1"/>
  <c r="P2451" i="1" s="1"/>
  <c r="O2453" i="1"/>
  <c r="P2453" i="1" s="1"/>
  <c r="O2454" i="1"/>
  <c r="O2455" i="1"/>
  <c r="P2455" i="1" s="1"/>
  <c r="O2456" i="1"/>
  <c r="P2456" i="1" s="1"/>
  <c r="O2457" i="1"/>
  <c r="P2457" i="1" s="1"/>
  <c r="O2458" i="1"/>
  <c r="P2458" i="1" s="1"/>
  <c r="O2459" i="1"/>
  <c r="P2459" i="1" s="1"/>
  <c r="O2460" i="1"/>
  <c r="P2460" i="1" s="1"/>
  <c r="O2461" i="1"/>
  <c r="P2461" i="1" s="1"/>
  <c r="O2462" i="1"/>
  <c r="P2462" i="1" s="1"/>
  <c r="O2463" i="1"/>
  <c r="P2463" i="1" s="1"/>
  <c r="O2464" i="1"/>
  <c r="O2465" i="1"/>
  <c r="P2465" i="1" s="1"/>
  <c r="O2466" i="1"/>
  <c r="P2466" i="1" s="1"/>
  <c r="G2441" i="1"/>
  <c r="G2440" i="1"/>
  <c r="O2435" i="1"/>
  <c r="P2435" i="1" s="1"/>
  <c r="O2436" i="1"/>
  <c r="P2436" i="1" s="1"/>
  <c r="O2437" i="1"/>
  <c r="P2437" i="1" s="1"/>
  <c r="O2438" i="1"/>
  <c r="P2438" i="1" s="1"/>
  <c r="O2439" i="1"/>
  <c r="P2439" i="1" s="1"/>
  <c r="O2440" i="1"/>
  <c r="O2441" i="1"/>
  <c r="O2442" i="1"/>
  <c r="P2442" i="1" s="1"/>
  <c r="O2443" i="1"/>
  <c r="P2443" i="1" s="1"/>
  <c r="O2444" i="1"/>
  <c r="P2444" i="1" s="1"/>
  <c r="O2445" i="1"/>
  <c r="P2445" i="1" s="1"/>
  <c r="O2446" i="1"/>
  <c r="P2446" i="1" s="1"/>
  <c r="O2447" i="1"/>
  <c r="P2447" i="1" s="1"/>
  <c r="O2448" i="1"/>
  <c r="P2448" i="1" s="1"/>
  <c r="O2449" i="1"/>
  <c r="P2449" i="1" s="1"/>
  <c r="O2450" i="1"/>
  <c r="P2450" i="1" s="1"/>
  <c r="G2427" i="1"/>
  <c r="O2426" i="1"/>
  <c r="P2426" i="1" s="1"/>
  <c r="G2433" i="1"/>
  <c r="O2424" i="1"/>
  <c r="P2424" i="1" s="1"/>
  <c r="O2425" i="1"/>
  <c r="P2425" i="1" s="1"/>
  <c r="O2427" i="1"/>
  <c r="O2428" i="1"/>
  <c r="P2428" i="1" s="1"/>
  <c r="O2429" i="1"/>
  <c r="P2429" i="1" s="1"/>
  <c r="O2430" i="1"/>
  <c r="P2430" i="1" s="1"/>
  <c r="O2431" i="1"/>
  <c r="P2431" i="1" s="1"/>
  <c r="O2432" i="1"/>
  <c r="P2432" i="1" s="1"/>
  <c r="O2433" i="1"/>
  <c r="O2434" i="1"/>
  <c r="P2434" i="1" s="1"/>
  <c r="O2412" i="1"/>
  <c r="P2412" i="1" s="1"/>
  <c r="O2413" i="1"/>
  <c r="P2413" i="1" s="1"/>
  <c r="O2416" i="1"/>
  <c r="P2416" i="1" s="1"/>
  <c r="G2423" i="1"/>
  <c r="O2414" i="1"/>
  <c r="P2414" i="1" s="1"/>
  <c r="O2415" i="1"/>
  <c r="P2415" i="1" s="1"/>
  <c r="O2417" i="1"/>
  <c r="P2417" i="1" s="1"/>
  <c r="O2418" i="1"/>
  <c r="P2418" i="1" s="1"/>
  <c r="O2419" i="1"/>
  <c r="P2419" i="1" s="1"/>
  <c r="O2420" i="1"/>
  <c r="P2420" i="1" s="1"/>
  <c r="O2421" i="1"/>
  <c r="P2421" i="1" s="1"/>
  <c r="O2422" i="1"/>
  <c r="P2422" i="1" s="1"/>
  <c r="O2423" i="1"/>
  <c r="G2407" i="1"/>
  <c r="O2407" i="1" s="1"/>
  <c r="G2406" i="1"/>
  <c r="G2404" i="1"/>
  <c r="O2404" i="1" s="1"/>
  <c r="M2400" i="1"/>
  <c r="O2400" i="1" s="1"/>
  <c r="P2400" i="1" s="1"/>
  <c r="O2399" i="1"/>
  <c r="P2399" i="1" s="1"/>
  <c r="O2398" i="1"/>
  <c r="P2398" i="1" s="1"/>
  <c r="O2401" i="1"/>
  <c r="P2401" i="1" s="1"/>
  <c r="O2402" i="1"/>
  <c r="P2402" i="1" s="1"/>
  <c r="O2403" i="1"/>
  <c r="P2403" i="1" s="1"/>
  <c r="O2405" i="1"/>
  <c r="P2405" i="1" s="1"/>
  <c r="O2406" i="1"/>
  <c r="O2408" i="1"/>
  <c r="P2408" i="1" s="1"/>
  <c r="O2409" i="1"/>
  <c r="P2409" i="1" s="1"/>
  <c r="O2410" i="1"/>
  <c r="P2410" i="1" s="1"/>
  <c r="O2411" i="1"/>
  <c r="P2411" i="1" s="1"/>
  <c r="O2388" i="1"/>
  <c r="P2388" i="1" s="1"/>
  <c r="G2392" i="1"/>
  <c r="O2392" i="1" s="1"/>
  <c r="P2392" i="1" s="1"/>
  <c r="G2390" i="1"/>
  <c r="O2389" i="1"/>
  <c r="P2389" i="1" s="1"/>
  <c r="O2390" i="1"/>
  <c r="O2391" i="1"/>
  <c r="P2391" i="1" s="1"/>
  <c r="O2393" i="1"/>
  <c r="P2393" i="1" s="1"/>
  <c r="O2394" i="1"/>
  <c r="P2394" i="1" s="1"/>
  <c r="P2395" i="1"/>
  <c r="O2396" i="1"/>
  <c r="P2396" i="1" s="1"/>
  <c r="O2397" i="1"/>
  <c r="P2397" i="1" s="1"/>
  <c r="T2388" i="1"/>
  <c r="U2388" i="1"/>
  <c r="V2388" i="1"/>
  <c r="T2389" i="1"/>
  <c r="U2389" i="1"/>
  <c r="V2389" i="1"/>
  <c r="T2390" i="1"/>
  <c r="U2390" i="1"/>
  <c r="V2390" i="1"/>
  <c r="T2391" i="1"/>
  <c r="U2391" i="1"/>
  <c r="V2391" i="1"/>
  <c r="T2392" i="1"/>
  <c r="U2392" i="1"/>
  <c r="V2392" i="1"/>
  <c r="T2393" i="1"/>
  <c r="U2393" i="1"/>
  <c r="V2393" i="1"/>
  <c r="T2394" i="1"/>
  <c r="U2394" i="1"/>
  <c r="V2394" i="1"/>
  <c r="T2395" i="1"/>
  <c r="U2395" i="1"/>
  <c r="V2395" i="1"/>
  <c r="T2396" i="1"/>
  <c r="U2396" i="1"/>
  <c r="V2396" i="1"/>
  <c r="T2397" i="1"/>
  <c r="U2397" i="1"/>
  <c r="V2397" i="1"/>
  <c r="G2385" i="1"/>
  <c r="O2379" i="1"/>
  <c r="P2379" i="1" s="1"/>
  <c r="G2377" i="1"/>
  <c r="O2377" i="1" s="1"/>
  <c r="P2377" i="1" s="1"/>
  <c r="G2374" i="1"/>
  <c r="O2372" i="1"/>
  <c r="P2372" i="1" s="1"/>
  <c r="O2371" i="1"/>
  <c r="P2371" i="1" s="1"/>
  <c r="O2370" i="1"/>
  <c r="P2370" i="1" s="1"/>
  <c r="O2373" i="1"/>
  <c r="P2373" i="1" s="1"/>
  <c r="O2374" i="1"/>
  <c r="O2375" i="1"/>
  <c r="P2375" i="1" s="1"/>
  <c r="O2376" i="1"/>
  <c r="P2376" i="1" s="1"/>
  <c r="O2378" i="1"/>
  <c r="P2378" i="1" s="1"/>
  <c r="O2380" i="1"/>
  <c r="P2380" i="1" s="1"/>
  <c r="O2381" i="1"/>
  <c r="P2381" i="1" s="1"/>
  <c r="O2382" i="1"/>
  <c r="P2382" i="1" s="1"/>
  <c r="O2383" i="1"/>
  <c r="P2383" i="1" s="1"/>
  <c r="O2384" i="1"/>
  <c r="P2384" i="1" s="1"/>
  <c r="O2385" i="1"/>
  <c r="O2386" i="1"/>
  <c r="P2386" i="1" s="1"/>
  <c r="O2387" i="1"/>
  <c r="P2387" i="1" s="1"/>
  <c r="G2345" i="1"/>
  <c r="G2365" i="1"/>
  <c r="O2361" i="1"/>
  <c r="P2361" i="1" s="1"/>
  <c r="O2357" i="1"/>
  <c r="P2357" i="1" s="1"/>
  <c r="G2367" i="1"/>
  <c r="O2367" i="1" s="1"/>
  <c r="O2356" i="1"/>
  <c r="P2356" i="1" s="1"/>
  <c r="O2358" i="1"/>
  <c r="P2358" i="1" s="1"/>
  <c r="O2359" i="1"/>
  <c r="P2359" i="1" s="1"/>
  <c r="O2360" i="1"/>
  <c r="P2360" i="1" s="1"/>
  <c r="O2362" i="1"/>
  <c r="P2362" i="1" s="1"/>
  <c r="O2363" i="1"/>
  <c r="P2363" i="1" s="1"/>
  <c r="O2364" i="1"/>
  <c r="P2364" i="1" s="1"/>
  <c r="O2365" i="1"/>
  <c r="O2366" i="1"/>
  <c r="P2366" i="1" s="1"/>
  <c r="O2368" i="1"/>
  <c r="P2368" i="1" s="1"/>
  <c r="O2369" i="1"/>
  <c r="P2369" i="1" s="1"/>
  <c r="O2336" i="1"/>
  <c r="P2336" i="1" s="1"/>
  <c r="O2337" i="1"/>
  <c r="P2337" i="1" s="1"/>
  <c r="O2338" i="1"/>
  <c r="P2338" i="1" s="1"/>
  <c r="O2339" i="1"/>
  <c r="P2339" i="1" s="1"/>
  <c r="O2340" i="1"/>
  <c r="P2340" i="1" s="1"/>
  <c r="O2341" i="1"/>
  <c r="P2341" i="1" s="1"/>
  <c r="O2342" i="1"/>
  <c r="P2342" i="1" s="1"/>
  <c r="O2343" i="1"/>
  <c r="P2343" i="1" s="1"/>
  <c r="O2344" i="1"/>
  <c r="P2344" i="1" s="1"/>
  <c r="O2345" i="1"/>
  <c r="O2346" i="1"/>
  <c r="P2346" i="1" s="1"/>
  <c r="O2347" i="1"/>
  <c r="P2347" i="1" s="1"/>
  <c r="O2348" i="1"/>
  <c r="P2348" i="1" s="1"/>
  <c r="O2349" i="1"/>
  <c r="P2349" i="1" s="1"/>
  <c r="O2350" i="1"/>
  <c r="P2350" i="1" s="1"/>
  <c r="O2351" i="1"/>
  <c r="P2351" i="1" s="1"/>
  <c r="O2352" i="1"/>
  <c r="P2352" i="1" s="1"/>
  <c r="O2353" i="1"/>
  <c r="P2353" i="1" s="1"/>
  <c r="O2354" i="1"/>
  <c r="P2354" i="1" s="1"/>
  <c r="O2355" i="1"/>
  <c r="P2355" i="1" s="1"/>
  <c r="O2325" i="1"/>
  <c r="P2325" i="1" s="1"/>
  <c r="T2325" i="1"/>
  <c r="U2325" i="1"/>
  <c r="V2325" i="1"/>
  <c r="G2326" i="1"/>
  <c r="O2321" i="1"/>
  <c r="P2321" i="1" s="1"/>
  <c r="O2322" i="1"/>
  <c r="P2322" i="1" s="1"/>
  <c r="O2323" i="1"/>
  <c r="P2323" i="1" s="1"/>
  <c r="O2324" i="1"/>
  <c r="P2324" i="1" s="1"/>
  <c r="O2326" i="1"/>
  <c r="O2327" i="1"/>
  <c r="P2327" i="1" s="1"/>
  <c r="O2328" i="1"/>
  <c r="P2328" i="1" s="1"/>
  <c r="O2329" i="1"/>
  <c r="P2329" i="1" s="1"/>
  <c r="O2330" i="1"/>
  <c r="P2330" i="1" s="1"/>
  <c r="O2331" i="1"/>
  <c r="P2331" i="1" s="1"/>
  <c r="O2332" i="1"/>
  <c r="P2332" i="1" s="1"/>
  <c r="O2333" i="1"/>
  <c r="P2333" i="1" s="1"/>
  <c r="O2334" i="1"/>
  <c r="P2334" i="1" s="1"/>
  <c r="O2335" i="1"/>
  <c r="P2335" i="1" s="1"/>
  <c r="O2307" i="1"/>
  <c r="P2307" i="1" s="1"/>
  <c r="G2313" i="1"/>
  <c r="O2313" i="1" s="1"/>
  <c r="G2315" i="1"/>
  <c r="O2315" i="1" s="1"/>
  <c r="P2315" i="1" s="1"/>
  <c r="G2320" i="1"/>
  <c r="O2320" i="1" s="1"/>
  <c r="P2320" i="1" s="1"/>
  <c r="G2319" i="1"/>
  <c r="O2303" i="1"/>
  <c r="P2303" i="1" s="1"/>
  <c r="O2304" i="1"/>
  <c r="P2304" i="1" s="1"/>
  <c r="O2305" i="1"/>
  <c r="P2305" i="1" s="1"/>
  <c r="O2306" i="1"/>
  <c r="P2306" i="1" s="1"/>
  <c r="O2308" i="1"/>
  <c r="P2308" i="1" s="1"/>
  <c r="O2309" i="1"/>
  <c r="P2309" i="1" s="1"/>
  <c r="O2310" i="1"/>
  <c r="P2310" i="1" s="1"/>
  <c r="O2311" i="1"/>
  <c r="P2311" i="1" s="1"/>
  <c r="O2312" i="1"/>
  <c r="P2312" i="1" s="1"/>
  <c r="O2314" i="1"/>
  <c r="P2314" i="1" s="1"/>
  <c r="O2316" i="1"/>
  <c r="P2316" i="1" s="1"/>
  <c r="O2317" i="1"/>
  <c r="P2317" i="1" s="1"/>
  <c r="O2318" i="1"/>
  <c r="P2318" i="1" s="1"/>
  <c r="O2319" i="1"/>
  <c r="G2301" i="1"/>
  <c r="O2301" i="1" s="1"/>
  <c r="O2291" i="1"/>
  <c r="P2291" i="1" s="1"/>
  <c r="G2295" i="1"/>
  <c r="O2295" i="1" s="1"/>
  <c r="P2295" i="1" s="1"/>
  <c r="O2290" i="1"/>
  <c r="P2290" i="1" s="1"/>
  <c r="O2292" i="1"/>
  <c r="P2292" i="1" s="1"/>
  <c r="O2293" i="1"/>
  <c r="P2293" i="1" s="1"/>
  <c r="O2294" i="1"/>
  <c r="P2294" i="1" s="1"/>
  <c r="O2296" i="1"/>
  <c r="P2296" i="1" s="1"/>
  <c r="O2297" i="1"/>
  <c r="P2297" i="1" s="1"/>
  <c r="O2298" i="1"/>
  <c r="P2298" i="1" s="1"/>
  <c r="O2299" i="1"/>
  <c r="P2299" i="1" s="1"/>
  <c r="O2300" i="1"/>
  <c r="P2300" i="1" s="1"/>
  <c r="O2302" i="1"/>
  <c r="P2302" i="1" s="1"/>
  <c r="T2291" i="1"/>
  <c r="U2291" i="1"/>
  <c r="V2291" i="1"/>
  <c r="T2292" i="1"/>
  <c r="U2292" i="1"/>
  <c r="V2292" i="1"/>
  <c r="T2293" i="1"/>
  <c r="U2293" i="1"/>
  <c r="V2293" i="1"/>
  <c r="T2294" i="1"/>
  <c r="U2294" i="1"/>
  <c r="V2294" i="1"/>
  <c r="T2295" i="1"/>
  <c r="U2295" i="1"/>
  <c r="V2295" i="1"/>
  <c r="T2296" i="1"/>
  <c r="U2296" i="1"/>
  <c r="V2296" i="1"/>
  <c r="T2297" i="1"/>
  <c r="U2297" i="1"/>
  <c r="V2297" i="1"/>
  <c r="T2298" i="1"/>
  <c r="U2298" i="1"/>
  <c r="V2298" i="1"/>
  <c r="T2299" i="1"/>
  <c r="U2299" i="1"/>
  <c r="V2299" i="1"/>
  <c r="T2300" i="1"/>
  <c r="U2300" i="1"/>
  <c r="V2300" i="1"/>
  <c r="T2301" i="1"/>
  <c r="U2301" i="1"/>
  <c r="V2301" i="1"/>
  <c r="T2302" i="1"/>
  <c r="U2302" i="1"/>
  <c r="V2302" i="1"/>
  <c r="T2303" i="1"/>
  <c r="U2303" i="1"/>
  <c r="V2303" i="1"/>
  <c r="T2304" i="1"/>
  <c r="U2304" i="1"/>
  <c r="V2304" i="1"/>
  <c r="T2305" i="1"/>
  <c r="U2305" i="1"/>
  <c r="V2305" i="1"/>
  <c r="T2306" i="1"/>
  <c r="U2306" i="1"/>
  <c r="V2306" i="1"/>
  <c r="O2282" i="1"/>
  <c r="P2282" i="1" s="1"/>
  <c r="O2279" i="1"/>
  <c r="P2279" i="1" s="1"/>
  <c r="O2280" i="1"/>
  <c r="P2280" i="1" s="1"/>
  <c r="O2281" i="1"/>
  <c r="P2281" i="1" s="1"/>
  <c r="P2283" i="1"/>
  <c r="O2284" i="1"/>
  <c r="P2284" i="1" s="1"/>
  <c r="O2285" i="1"/>
  <c r="P2285" i="1" s="1"/>
  <c r="O2286" i="1"/>
  <c r="P2286" i="1" s="1"/>
  <c r="O2287" i="1"/>
  <c r="P2287" i="1" s="1"/>
  <c r="O2288" i="1"/>
  <c r="P2288" i="1" s="1"/>
  <c r="O2289" i="1"/>
  <c r="P2289" i="1" s="1"/>
  <c r="T2279" i="1"/>
  <c r="U2279" i="1"/>
  <c r="V2279" i="1"/>
  <c r="T2280" i="1"/>
  <c r="U2280" i="1"/>
  <c r="V2280" i="1"/>
  <c r="T2281" i="1"/>
  <c r="U2281" i="1"/>
  <c r="V2281" i="1"/>
  <c r="T2282" i="1"/>
  <c r="U2282" i="1"/>
  <c r="V2282" i="1"/>
  <c r="T2283" i="1"/>
  <c r="U2283" i="1"/>
  <c r="V2283" i="1"/>
  <c r="T2284" i="1"/>
  <c r="U2284" i="1"/>
  <c r="V2284" i="1"/>
  <c r="T2285" i="1"/>
  <c r="U2285" i="1"/>
  <c r="V2285" i="1"/>
  <c r="T2286" i="1"/>
  <c r="U2286" i="1"/>
  <c r="V2286" i="1"/>
  <c r="T2287" i="1"/>
  <c r="U2287" i="1"/>
  <c r="V2287" i="1"/>
  <c r="T2288" i="1"/>
  <c r="U2288" i="1"/>
  <c r="V2288" i="1"/>
  <c r="T2289" i="1"/>
  <c r="U2289" i="1"/>
  <c r="V2289" i="1"/>
  <c r="T2290" i="1"/>
  <c r="U2290" i="1"/>
  <c r="V2290" i="1"/>
  <c r="G2275" i="1"/>
  <c r="O2275" i="1" s="1"/>
  <c r="O2273" i="1"/>
  <c r="P2273" i="1" s="1"/>
  <c r="O2272" i="1"/>
  <c r="P2272" i="1" s="1"/>
  <c r="O2271" i="1"/>
  <c r="P2271" i="1" s="1"/>
  <c r="O2267" i="1"/>
  <c r="P2267" i="1" s="1"/>
  <c r="O2268" i="1"/>
  <c r="P2268" i="1" s="1"/>
  <c r="O2269" i="1"/>
  <c r="P2269" i="1" s="1"/>
  <c r="O2270" i="1"/>
  <c r="P2270" i="1" s="1"/>
  <c r="O2274" i="1"/>
  <c r="P2274" i="1" s="1"/>
  <c r="O2276" i="1"/>
  <c r="P2276" i="1" s="1"/>
  <c r="O2277" i="1"/>
  <c r="P2277" i="1" s="1"/>
  <c r="O2278" i="1"/>
  <c r="P2278" i="1" s="1"/>
  <c r="O2260" i="1"/>
  <c r="P2260" i="1" s="1"/>
  <c r="O2261" i="1"/>
  <c r="P2261" i="1" s="1"/>
  <c r="O2262" i="1"/>
  <c r="P2262" i="1" s="1"/>
  <c r="O2263" i="1"/>
  <c r="P2263" i="1" s="1"/>
  <c r="O2264" i="1"/>
  <c r="P2264" i="1" s="1"/>
  <c r="O2265" i="1"/>
  <c r="P2265" i="1" s="1"/>
  <c r="O2266" i="1"/>
  <c r="P2266" i="1" s="1"/>
  <c r="T2260" i="1"/>
  <c r="U2260" i="1"/>
  <c r="V2260" i="1"/>
  <c r="T2261" i="1"/>
  <c r="U2261" i="1"/>
  <c r="V2261" i="1"/>
  <c r="T2262" i="1"/>
  <c r="U2262" i="1"/>
  <c r="V2262" i="1"/>
  <c r="T2263" i="1"/>
  <c r="U2263" i="1"/>
  <c r="V2263" i="1"/>
  <c r="T2264" i="1"/>
  <c r="U2264" i="1"/>
  <c r="V2264" i="1"/>
  <c r="T2265" i="1"/>
  <c r="U2265" i="1"/>
  <c r="V2265" i="1"/>
  <c r="T2266" i="1"/>
  <c r="U2266" i="1"/>
  <c r="V2266" i="1"/>
  <c r="O2225" i="1"/>
  <c r="P2225" i="1" s="1"/>
  <c r="O2228" i="1"/>
  <c r="P2228" i="1" s="1"/>
  <c r="O2229" i="1"/>
  <c r="P2229" i="1" s="1"/>
  <c r="O2226" i="1"/>
  <c r="P2226" i="1" s="1"/>
  <c r="O2227" i="1"/>
  <c r="P2227"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57" i="1"/>
  <c r="P2257" i="1" s="1"/>
  <c r="O2250" i="1"/>
  <c r="P2250" i="1" s="1"/>
  <c r="O2251" i="1"/>
  <c r="P2251" i="1" s="1"/>
  <c r="O2252" i="1"/>
  <c r="P2252" i="1" s="1"/>
  <c r="O2253" i="1"/>
  <c r="P2253" i="1" s="1"/>
  <c r="O2254" i="1"/>
  <c r="P2254" i="1" s="1"/>
  <c r="O2255" i="1"/>
  <c r="P2255" i="1" s="1"/>
  <c r="O2256" i="1"/>
  <c r="P2256" i="1" s="1"/>
  <c r="O2258" i="1"/>
  <c r="P2258" i="1" s="1"/>
  <c r="O2259" i="1"/>
  <c r="P2259" i="1" s="1"/>
  <c r="O2245" i="1"/>
  <c r="P2245" i="1" s="1"/>
  <c r="O2246" i="1"/>
  <c r="P2246" i="1" s="1"/>
  <c r="O2247" i="1"/>
  <c r="P2247" i="1" s="1"/>
  <c r="O2248" i="1"/>
  <c r="P2248" i="1" s="1"/>
  <c r="O2249" i="1"/>
  <c r="P2249" i="1" s="1"/>
  <c r="O2241" i="1"/>
  <c r="P2241" i="1" s="1"/>
  <c r="O2242" i="1"/>
  <c r="P2242" i="1" s="1"/>
  <c r="O2243" i="1"/>
  <c r="P2243" i="1" s="1"/>
  <c r="O2244" i="1"/>
  <c r="P2244" i="1" s="1"/>
  <c r="P2441" i="1" l="1"/>
  <c r="P2454" i="1"/>
  <c r="P2464" i="1"/>
  <c r="P2427" i="1"/>
  <c r="P2440" i="1"/>
  <c r="P2433" i="1"/>
  <c r="P2423" i="1"/>
  <c r="P2407" i="1"/>
  <c r="P2390" i="1"/>
  <c r="P2406" i="1"/>
  <c r="P2404" i="1"/>
  <c r="P2385" i="1"/>
  <c r="P2365" i="1"/>
  <c r="P2374" i="1"/>
  <c r="P2345" i="1"/>
  <c r="P2367" i="1"/>
  <c r="P2326" i="1"/>
  <c r="P2313" i="1"/>
  <c r="P2319" i="1"/>
  <c r="P2301" i="1"/>
  <c r="P2275" i="1"/>
  <c r="P2210" i="1"/>
  <c r="O2209" i="1"/>
  <c r="P2209"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P2211" i="1"/>
  <c r="O2201" i="1" l="1"/>
  <c r="P2201" i="1" s="1"/>
  <c r="O2202" i="1"/>
  <c r="P2202" i="1" s="1"/>
  <c r="O2203" i="1"/>
  <c r="P2203" i="1" s="1"/>
  <c r="O2204" i="1"/>
  <c r="P2204" i="1" s="1"/>
  <c r="O2205" i="1"/>
  <c r="P2205" i="1" s="1"/>
  <c r="O2206" i="1"/>
  <c r="P2206" i="1" s="1"/>
  <c r="O2207" i="1"/>
  <c r="P2207" i="1" s="1"/>
  <c r="O2208" i="1"/>
  <c r="P2208"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094" i="1"/>
  <c r="P2094" i="1" s="1"/>
  <c r="O2095" i="1"/>
  <c r="P2095" i="1" s="1"/>
  <c r="O2096" i="1"/>
  <c r="P2096" i="1" s="1"/>
  <c r="O2097" i="1"/>
  <c r="P2097" i="1" s="1"/>
  <c r="O2098" i="1"/>
  <c r="P2098" i="1" s="1"/>
  <c r="O2099" i="1"/>
  <c r="P2099" i="1" s="1"/>
  <c r="O2100" i="1"/>
  <c r="P2100" i="1" s="1"/>
  <c r="O2101" i="1"/>
  <c r="P2101" i="1" s="1"/>
  <c r="O2102" i="1"/>
  <c r="P2102" i="1" s="1"/>
  <c r="G2091" i="1"/>
  <c r="M2091" i="1" s="1"/>
  <c r="O2091" i="1" s="1"/>
  <c r="P2091" i="1" s="1"/>
  <c r="O2086" i="1"/>
  <c r="P2086" i="1" s="1"/>
  <c r="O2087" i="1"/>
  <c r="P2087" i="1" s="1"/>
  <c r="O2088" i="1"/>
  <c r="P2088" i="1" s="1"/>
  <c r="O2089" i="1"/>
  <c r="P2089" i="1" s="1"/>
  <c r="O2090" i="1"/>
  <c r="P2090" i="1" s="1"/>
  <c r="O2092" i="1"/>
  <c r="P2092" i="1" s="1"/>
  <c r="O2093" i="1"/>
  <c r="P2093" i="1" s="1"/>
  <c r="M2082" i="1"/>
  <c r="O2082" i="1" s="1"/>
  <c r="P2082" i="1" s="1"/>
  <c r="M2081" i="1"/>
  <c r="O2081" i="1" s="1"/>
  <c r="P2081" i="1" s="1"/>
  <c r="O2076" i="1"/>
  <c r="P2076" i="1" s="1"/>
  <c r="O2077" i="1"/>
  <c r="P2077" i="1" s="1"/>
  <c r="O2078" i="1"/>
  <c r="P2078" i="1" s="1"/>
  <c r="O2079" i="1"/>
  <c r="P2079" i="1" s="1"/>
  <c r="O2080" i="1"/>
  <c r="P2080" i="1" s="1"/>
  <c r="O2083" i="1"/>
  <c r="P2083" i="1" s="1"/>
  <c r="O2084" i="1"/>
  <c r="P2084" i="1" s="1"/>
  <c r="O2085" i="1"/>
  <c r="P2085" i="1" s="1"/>
  <c r="O2070" i="1"/>
  <c r="P2070" i="1" s="1"/>
  <c r="O2071" i="1"/>
  <c r="P2071" i="1" s="1"/>
  <c r="O2072" i="1"/>
  <c r="P2072" i="1" s="1"/>
  <c r="O2073" i="1"/>
  <c r="P2073" i="1" s="1"/>
  <c r="O2074" i="1"/>
  <c r="P2074" i="1" s="1"/>
  <c r="O2075" i="1"/>
  <c r="P2075" i="1" s="1"/>
  <c r="M2066" i="1"/>
  <c r="O2066" i="1" s="1"/>
  <c r="P2066" i="1" s="1"/>
  <c r="M2064" i="1"/>
  <c r="O2064" i="1" s="1"/>
  <c r="P2064" i="1" s="1"/>
  <c r="G2062" i="1"/>
  <c r="M2062" i="1" s="1"/>
  <c r="O2062" i="1" s="1"/>
  <c r="O2056" i="1"/>
  <c r="P2056" i="1" s="1"/>
  <c r="O2057" i="1"/>
  <c r="P2057" i="1" s="1"/>
  <c r="O2058" i="1"/>
  <c r="P2058" i="1" s="1"/>
  <c r="O2059" i="1"/>
  <c r="P2059" i="1" s="1"/>
  <c r="O2060" i="1"/>
  <c r="P2060" i="1" s="1"/>
  <c r="O2061" i="1"/>
  <c r="P2061" i="1" s="1"/>
  <c r="O2063" i="1"/>
  <c r="P2063" i="1" s="1"/>
  <c r="O2065" i="1"/>
  <c r="P2065" i="1" s="1"/>
  <c r="O2067" i="1"/>
  <c r="P2067" i="1" s="1"/>
  <c r="O2068" i="1"/>
  <c r="P2068" i="1" s="1"/>
  <c r="O2069" i="1"/>
  <c r="P2069" i="1" s="1"/>
  <c r="G2047" i="1"/>
  <c r="M2047" i="1" s="1"/>
  <c r="O2047" i="1" s="1"/>
  <c r="O2044" i="1"/>
  <c r="P2044" i="1" s="1"/>
  <c r="O2045" i="1"/>
  <c r="P2045" i="1" s="1"/>
  <c r="O2046" i="1"/>
  <c r="P2046" i="1" s="1"/>
  <c r="O2048" i="1"/>
  <c r="P2048" i="1" s="1"/>
  <c r="O2049" i="1"/>
  <c r="P2049" i="1" s="1"/>
  <c r="O2050" i="1"/>
  <c r="P2050" i="1" s="1"/>
  <c r="O2051" i="1"/>
  <c r="P2051" i="1" s="1"/>
  <c r="O2052" i="1"/>
  <c r="P2052" i="1" s="1"/>
  <c r="O2053" i="1"/>
  <c r="P2053" i="1" s="1"/>
  <c r="O2054" i="1"/>
  <c r="P2054" i="1" s="1"/>
  <c r="O2055" i="1"/>
  <c r="P2055" i="1" s="1"/>
  <c r="M2033" i="1"/>
  <c r="O2033" i="1" s="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28" i="1"/>
  <c r="P2028" i="1" s="1"/>
  <c r="O2029" i="1"/>
  <c r="P2029" i="1" s="1"/>
  <c r="O2030" i="1"/>
  <c r="P2030" i="1" s="1"/>
  <c r="O2031" i="1"/>
  <c r="P2031" i="1" s="1"/>
  <c r="O2032" i="1"/>
  <c r="P2032" i="1" s="1"/>
  <c r="M2020" i="1"/>
  <c r="O2020" i="1" s="1"/>
  <c r="P2020" i="1" s="1"/>
  <c r="O2021" i="1"/>
  <c r="P2021" i="1" s="1"/>
  <c r="O2022" i="1"/>
  <c r="P2022" i="1" s="1"/>
  <c r="O2023" i="1"/>
  <c r="P2023" i="1" s="1"/>
  <c r="O2024" i="1"/>
  <c r="P2024" i="1" s="1"/>
  <c r="O2025" i="1"/>
  <c r="P2025" i="1" s="1"/>
  <c r="O2026" i="1"/>
  <c r="P2026" i="1" s="1"/>
  <c r="O2027" i="1"/>
  <c r="P2027"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8" i="1"/>
  <c r="V2249" i="1"/>
  <c r="V2250" i="1"/>
  <c r="V2251" i="1"/>
  <c r="V2252" i="1"/>
  <c r="V2253" i="1"/>
  <c r="V2254" i="1"/>
  <c r="V2255" i="1"/>
  <c r="V2256" i="1"/>
  <c r="V2257" i="1"/>
  <c r="V2258" i="1"/>
  <c r="V2259" i="1"/>
  <c r="V2267" i="1"/>
  <c r="V2268" i="1"/>
  <c r="V2269" i="1"/>
  <c r="V2270" i="1"/>
  <c r="V2271" i="1"/>
  <c r="V2272" i="1"/>
  <c r="V2273" i="1"/>
  <c r="V2274" i="1"/>
  <c r="V2275" i="1"/>
  <c r="V2276" i="1"/>
  <c r="V2277" i="1"/>
  <c r="V2278" i="1"/>
  <c r="V2307" i="1"/>
  <c r="V2308" i="1"/>
  <c r="V2309" i="1"/>
  <c r="V2310" i="1"/>
  <c r="V2311" i="1"/>
  <c r="V2312" i="1"/>
  <c r="V2313" i="1"/>
  <c r="V2314" i="1"/>
  <c r="V2315" i="1"/>
  <c r="V2316" i="1"/>
  <c r="V2317" i="1"/>
  <c r="V2318" i="1"/>
  <c r="V2319" i="1"/>
  <c r="V2320" i="1"/>
  <c r="V2321" i="1"/>
  <c r="V2322" i="1"/>
  <c r="V2323" i="1"/>
  <c r="V2324"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3" i="1"/>
  <c r="V3324" i="1"/>
  <c r="V3325" i="1"/>
  <c r="V3326" i="1"/>
  <c r="V3327" i="1"/>
  <c r="V3328" i="1"/>
  <c r="V3329" i="1"/>
  <c r="V3330" i="1"/>
  <c r="V3331" i="1"/>
  <c r="V3332" i="1"/>
  <c r="V3333" i="1"/>
  <c r="V3334" i="1"/>
  <c r="V3335" i="1"/>
  <c r="V3336" i="1"/>
  <c r="V3337"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2" i="1"/>
  <c r="T2010" i="1"/>
  <c r="U2010" i="1"/>
  <c r="T2011" i="1"/>
  <c r="U2011" i="1"/>
  <c r="T2012" i="1"/>
  <c r="U2012" i="1"/>
  <c r="T2013" i="1"/>
  <c r="U2013" i="1"/>
  <c r="T2014" i="1"/>
  <c r="U2014" i="1"/>
  <c r="T2015" i="1"/>
  <c r="U2015" i="1"/>
  <c r="T2016" i="1"/>
  <c r="U2016" i="1"/>
  <c r="T2017" i="1"/>
  <c r="U2017" i="1"/>
  <c r="T2018" i="1"/>
  <c r="U2018" i="1"/>
  <c r="T2019" i="1"/>
  <c r="U2019" i="1"/>
  <c r="T2020" i="1"/>
  <c r="U2020" i="1"/>
  <c r="T2021" i="1"/>
  <c r="U2021" i="1"/>
  <c r="T2022" i="1"/>
  <c r="U2022" i="1"/>
  <c r="T2023" i="1"/>
  <c r="U2023" i="1"/>
  <c r="T2024" i="1"/>
  <c r="U2024" i="1"/>
  <c r="T2025" i="1"/>
  <c r="U2025" i="1"/>
  <c r="T2026" i="1"/>
  <c r="U2026" i="1"/>
  <c r="T2027" i="1"/>
  <c r="U2027" i="1"/>
  <c r="T2028" i="1"/>
  <c r="U2028" i="1"/>
  <c r="T2029" i="1"/>
  <c r="U2029" i="1"/>
  <c r="T2030" i="1"/>
  <c r="U2030" i="1"/>
  <c r="T2031" i="1"/>
  <c r="U2031" i="1"/>
  <c r="T2032" i="1"/>
  <c r="U2032" i="1"/>
  <c r="T2033" i="1"/>
  <c r="U2033" i="1"/>
  <c r="T2034" i="1"/>
  <c r="U2034" i="1"/>
  <c r="T2035" i="1"/>
  <c r="U2035" i="1"/>
  <c r="T2036" i="1"/>
  <c r="U2036" i="1"/>
  <c r="T2037" i="1"/>
  <c r="U2037" i="1"/>
  <c r="T2038" i="1"/>
  <c r="U2038" i="1"/>
  <c r="T2039" i="1"/>
  <c r="U2039" i="1"/>
  <c r="T2040" i="1"/>
  <c r="U2040" i="1"/>
  <c r="T2041" i="1"/>
  <c r="U2041" i="1"/>
  <c r="T2042" i="1"/>
  <c r="U2042" i="1"/>
  <c r="T2043" i="1"/>
  <c r="U2043" i="1"/>
  <c r="T2044" i="1"/>
  <c r="U2044" i="1"/>
  <c r="T2045" i="1"/>
  <c r="U2045" i="1"/>
  <c r="T2046" i="1"/>
  <c r="U2046" i="1"/>
  <c r="T2047" i="1"/>
  <c r="U2047" i="1"/>
  <c r="T2048" i="1"/>
  <c r="U2048" i="1"/>
  <c r="T2049" i="1"/>
  <c r="U2049" i="1"/>
  <c r="T2050" i="1"/>
  <c r="U2050" i="1"/>
  <c r="T2051" i="1"/>
  <c r="U2051" i="1"/>
  <c r="T2052" i="1"/>
  <c r="U2052" i="1"/>
  <c r="T2053" i="1"/>
  <c r="U2053" i="1"/>
  <c r="T2054" i="1"/>
  <c r="U2054"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0" i="1"/>
  <c r="U2100" i="1"/>
  <c r="T2101" i="1"/>
  <c r="U2101" i="1"/>
  <c r="T2102" i="1"/>
  <c r="U2102" i="1"/>
  <c r="T2103" i="1"/>
  <c r="U2103" i="1"/>
  <c r="T2104" i="1"/>
  <c r="U2104" i="1"/>
  <c r="T2105" i="1"/>
  <c r="U2105" i="1"/>
  <c r="T2106" i="1"/>
  <c r="U2106" i="1"/>
  <c r="T2107" i="1"/>
  <c r="U2107" i="1"/>
  <c r="T2108" i="1"/>
  <c r="U2108" i="1"/>
  <c r="T2109" i="1"/>
  <c r="U2109" i="1"/>
  <c r="T2110" i="1"/>
  <c r="U2110" i="1"/>
  <c r="T2111" i="1"/>
  <c r="U2111"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6" i="1"/>
  <c r="U2136" i="1"/>
  <c r="T2137" i="1"/>
  <c r="U2137" i="1"/>
  <c r="T2138" i="1"/>
  <c r="U2138" i="1"/>
  <c r="T2139" i="1"/>
  <c r="U2139" i="1"/>
  <c r="T2140" i="1"/>
  <c r="U2140" i="1"/>
  <c r="T2141" i="1"/>
  <c r="U2141" i="1"/>
  <c r="T2142" i="1"/>
  <c r="U2142" i="1"/>
  <c r="T2143" i="1"/>
  <c r="U2143" i="1"/>
  <c r="T2144" i="1"/>
  <c r="U2144" i="1"/>
  <c r="T2145" i="1"/>
  <c r="U2145" i="1"/>
  <c r="T2146" i="1"/>
  <c r="U2146" i="1"/>
  <c r="T2147" i="1"/>
  <c r="U2147" i="1"/>
  <c r="T2148" i="1"/>
  <c r="U2148"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09" i="1"/>
  <c r="U2209" i="1"/>
  <c r="T2210" i="1"/>
  <c r="U2210"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6" i="1"/>
  <c r="U2226" i="1"/>
  <c r="T2227" i="1"/>
  <c r="U2227" i="1"/>
  <c r="T2228" i="1"/>
  <c r="U2228" i="1"/>
  <c r="T2229" i="1"/>
  <c r="U2229" i="1"/>
  <c r="T2230" i="1"/>
  <c r="U2230" i="1"/>
  <c r="T2231" i="1"/>
  <c r="U2231" i="1"/>
  <c r="T2232" i="1"/>
  <c r="U2232" i="1"/>
  <c r="T2233" i="1"/>
  <c r="U2233" i="1"/>
  <c r="T2234" i="1"/>
  <c r="U2234" i="1"/>
  <c r="T2235" i="1"/>
  <c r="U2235" i="1"/>
  <c r="T2236" i="1"/>
  <c r="U2236" i="1"/>
  <c r="T2237" i="1"/>
  <c r="U2237" i="1"/>
  <c r="T2238" i="1"/>
  <c r="U2238" i="1"/>
  <c r="T2239" i="1"/>
  <c r="U2239" i="1"/>
  <c r="T2240" i="1"/>
  <c r="U2240" i="1"/>
  <c r="T2241" i="1"/>
  <c r="U2241" i="1"/>
  <c r="T2242" i="1"/>
  <c r="U2242" i="1"/>
  <c r="T2243" i="1"/>
  <c r="U2243" i="1"/>
  <c r="T2244" i="1"/>
  <c r="U2244" i="1"/>
  <c r="T2245" i="1"/>
  <c r="U2245" i="1"/>
  <c r="T2246" i="1"/>
  <c r="U2246" i="1"/>
  <c r="T2248" i="1"/>
  <c r="U2248" i="1"/>
  <c r="T2249" i="1"/>
  <c r="U2249" i="1"/>
  <c r="T2250" i="1"/>
  <c r="U2250" i="1"/>
  <c r="T2251" i="1"/>
  <c r="U2251" i="1"/>
  <c r="T2252" i="1"/>
  <c r="U2252" i="1"/>
  <c r="T2253" i="1"/>
  <c r="U2253" i="1"/>
  <c r="T2254" i="1"/>
  <c r="U2254" i="1"/>
  <c r="T2255" i="1"/>
  <c r="U2255" i="1"/>
  <c r="T2256" i="1"/>
  <c r="U2256" i="1"/>
  <c r="T2257" i="1"/>
  <c r="U2257" i="1"/>
  <c r="T2258" i="1"/>
  <c r="U2258" i="1"/>
  <c r="T2259" i="1"/>
  <c r="U2259" i="1"/>
  <c r="T2267" i="1"/>
  <c r="U2267" i="1"/>
  <c r="T2268" i="1"/>
  <c r="U2268" i="1"/>
  <c r="T2269" i="1"/>
  <c r="U2269" i="1"/>
  <c r="T2270" i="1"/>
  <c r="U2270" i="1"/>
  <c r="T2271" i="1"/>
  <c r="U2271" i="1"/>
  <c r="T2272" i="1"/>
  <c r="U2272" i="1"/>
  <c r="T2273" i="1"/>
  <c r="U2273" i="1"/>
  <c r="T2274" i="1"/>
  <c r="U2274" i="1"/>
  <c r="T2275" i="1"/>
  <c r="U2275" i="1"/>
  <c r="T2276" i="1"/>
  <c r="U2276" i="1"/>
  <c r="T2277" i="1"/>
  <c r="U2277" i="1"/>
  <c r="T2278" i="1"/>
  <c r="U2278" i="1"/>
  <c r="T2307" i="1"/>
  <c r="U2307" i="1"/>
  <c r="T2308" i="1"/>
  <c r="U2308" i="1"/>
  <c r="T2309" i="1"/>
  <c r="U2309" i="1"/>
  <c r="T2310" i="1"/>
  <c r="U2310" i="1"/>
  <c r="T2311" i="1"/>
  <c r="U2311" i="1"/>
  <c r="T2312" i="1"/>
  <c r="U2312" i="1"/>
  <c r="T2313" i="1"/>
  <c r="U2313" i="1"/>
  <c r="T2314" i="1"/>
  <c r="U2314" i="1"/>
  <c r="T2315" i="1"/>
  <c r="U2315" i="1"/>
  <c r="T2316" i="1"/>
  <c r="U2316" i="1"/>
  <c r="T2317" i="1"/>
  <c r="U2317" i="1"/>
  <c r="T2318" i="1"/>
  <c r="U2318" i="1"/>
  <c r="T2319" i="1"/>
  <c r="U2319" i="1"/>
  <c r="T2320" i="1"/>
  <c r="U2320" i="1"/>
  <c r="T2321" i="1"/>
  <c r="U2321" i="1"/>
  <c r="T2322" i="1"/>
  <c r="U2322" i="1"/>
  <c r="T2323" i="1"/>
  <c r="U2323" i="1"/>
  <c r="T2324" i="1"/>
  <c r="U2324" i="1"/>
  <c r="T2326" i="1"/>
  <c r="U2326" i="1"/>
  <c r="T2327" i="1"/>
  <c r="U2327" i="1"/>
  <c r="T2328" i="1"/>
  <c r="U2328" i="1"/>
  <c r="T2329" i="1"/>
  <c r="U2329" i="1"/>
  <c r="T2330" i="1"/>
  <c r="U2330" i="1"/>
  <c r="T2331" i="1"/>
  <c r="U2331" i="1"/>
  <c r="T2332" i="1"/>
  <c r="U2332" i="1"/>
  <c r="T2333" i="1"/>
  <c r="U2333" i="1"/>
  <c r="T2334" i="1"/>
  <c r="U2334" i="1"/>
  <c r="T2335" i="1"/>
  <c r="U2335" i="1"/>
  <c r="T2336" i="1"/>
  <c r="U2336" i="1"/>
  <c r="T2337" i="1"/>
  <c r="U2337" i="1"/>
  <c r="T2338" i="1"/>
  <c r="U2338" i="1"/>
  <c r="T2339" i="1"/>
  <c r="U2339" i="1"/>
  <c r="T2340" i="1"/>
  <c r="U2340" i="1"/>
  <c r="T2341" i="1"/>
  <c r="U2341" i="1"/>
  <c r="T2342" i="1"/>
  <c r="U2342" i="1"/>
  <c r="T2343" i="1"/>
  <c r="U2343" i="1"/>
  <c r="T2344" i="1"/>
  <c r="U2344" i="1"/>
  <c r="T2345" i="1"/>
  <c r="U2345" i="1"/>
  <c r="T2346" i="1"/>
  <c r="U2346" i="1"/>
  <c r="T2347" i="1"/>
  <c r="U2347" i="1"/>
  <c r="T2348" i="1"/>
  <c r="U2348" i="1"/>
  <c r="T2349" i="1"/>
  <c r="U2349" i="1"/>
  <c r="T2350" i="1"/>
  <c r="U2350" i="1"/>
  <c r="T2351" i="1"/>
  <c r="U2351" i="1"/>
  <c r="T2352" i="1"/>
  <c r="U2352" i="1"/>
  <c r="T2353" i="1"/>
  <c r="U2353" i="1"/>
  <c r="T2354" i="1"/>
  <c r="U2354" i="1"/>
  <c r="T2355" i="1"/>
  <c r="U2355" i="1"/>
  <c r="T2356" i="1"/>
  <c r="U2356"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4" i="1"/>
  <c r="U2384" i="1"/>
  <c r="T2385" i="1"/>
  <c r="U2385" i="1"/>
  <c r="T2386" i="1"/>
  <c r="U2386" i="1"/>
  <c r="T2387" i="1"/>
  <c r="U2387" i="1"/>
  <c r="T2398" i="1"/>
  <c r="U2398" i="1"/>
  <c r="T2399" i="1"/>
  <c r="U2399" i="1"/>
  <c r="T2400" i="1"/>
  <c r="U2400" i="1"/>
  <c r="T2401" i="1"/>
  <c r="U2401" i="1"/>
  <c r="T2402" i="1"/>
  <c r="U2402" i="1"/>
  <c r="T2403" i="1"/>
  <c r="U2403" i="1"/>
  <c r="T2404" i="1"/>
  <c r="U2404" i="1"/>
  <c r="T2405" i="1"/>
  <c r="U2405" i="1"/>
  <c r="T2406" i="1"/>
  <c r="U2406" i="1"/>
  <c r="T2407" i="1"/>
  <c r="U2407" i="1"/>
  <c r="T2408" i="1"/>
  <c r="U2408" i="1"/>
  <c r="T2409" i="1"/>
  <c r="U2409" i="1"/>
  <c r="T2410" i="1"/>
  <c r="U2410" i="1"/>
  <c r="T2411" i="1"/>
  <c r="U2411" i="1"/>
  <c r="T2412" i="1"/>
  <c r="U2412" i="1"/>
  <c r="T2413" i="1"/>
  <c r="U2413" i="1"/>
  <c r="T2414" i="1"/>
  <c r="U2414" i="1"/>
  <c r="T2415" i="1"/>
  <c r="U2415" i="1"/>
  <c r="T2416" i="1"/>
  <c r="U2416" i="1"/>
  <c r="T2417" i="1"/>
  <c r="U2417" i="1"/>
  <c r="T2418" i="1"/>
  <c r="U2418" i="1"/>
  <c r="T2419" i="1"/>
  <c r="U2419" i="1"/>
  <c r="T2420" i="1"/>
  <c r="U2420" i="1"/>
  <c r="T2421" i="1"/>
  <c r="U2421" i="1"/>
  <c r="T2422" i="1"/>
  <c r="U2422" i="1"/>
  <c r="T2423" i="1"/>
  <c r="U2423" i="1"/>
  <c r="T2424" i="1"/>
  <c r="U2424" i="1"/>
  <c r="T2425" i="1"/>
  <c r="U2425" i="1"/>
  <c r="T2426" i="1"/>
  <c r="U2426" i="1"/>
  <c r="T2427" i="1"/>
  <c r="U2427" i="1"/>
  <c r="T2428" i="1"/>
  <c r="U2428" i="1"/>
  <c r="T2429" i="1"/>
  <c r="U2429" i="1"/>
  <c r="T2430" i="1"/>
  <c r="U2430" i="1"/>
  <c r="T2431" i="1"/>
  <c r="U2431"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7" i="1"/>
  <c r="U2447" i="1"/>
  <c r="T2448" i="1"/>
  <c r="U2448" i="1"/>
  <c r="T2449" i="1"/>
  <c r="U2449" i="1"/>
  <c r="T2450" i="1"/>
  <c r="U2450" i="1"/>
  <c r="T2451" i="1"/>
  <c r="U2451" i="1"/>
  <c r="T2452" i="1"/>
  <c r="U2452"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U2526" i="1"/>
  <c r="T2527" i="1"/>
  <c r="U2527" i="1"/>
  <c r="T2528" i="1"/>
  <c r="U2528" i="1"/>
  <c r="T2529" i="1"/>
  <c r="U2529" i="1"/>
  <c r="T2530" i="1"/>
  <c r="U2530" i="1"/>
  <c r="T2531" i="1"/>
  <c r="U2531" i="1"/>
  <c r="T2532" i="1"/>
  <c r="U2532"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5" i="1"/>
  <c r="U2545" i="1"/>
  <c r="T2546" i="1"/>
  <c r="U2546" i="1"/>
  <c r="T2547" i="1"/>
  <c r="U2547" i="1"/>
  <c r="T2548" i="1"/>
  <c r="U2548" i="1"/>
  <c r="T2549" i="1"/>
  <c r="U2549" i="1"/>
  <c r="T2550" i="1"/>
  <c r="U2550" i="1"/>
  <c r="T2551" i="1"/>
  <c r="U2551" i="1"/>
  <c r="T2552" i="1"/>
  <c r="U2552" i="1"/>
  <c r="T2553" i="1"/>
  <c r="U2553" i="1"/>
  <c r="T2554" i="1"/>
  <c r="U2554" i="1"/>
  <c r="T2555" i="1"/>
  <c r="U2555" i="1"/>
  <c r="T2556" i="1"/>
  <c r="U2556" i="1"/>
  <c r="T2557" i="1"/>
  <c r="U2557" i="1"/>
  <c r="T2558" i="1"/>
  <c r="U2558" i="1"/>
  <c r="T2559" i="1"/>
  <c r="U2559"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4" i="1"/>
  <c r="U2584" i="1"/>
  <c r="T2585" i="1"/>
  <c r="U2585" i="1"/>
  <c r="T2586" i="1"/>
  <c r="U2586" i="1"/>
  <c r="T2587" i="1"/>
  <c r="U2587" i="1"/>
  <c r="T2588" i="1"/>
  <c r="U2588" i="1"/>
  <c r="T2589" i="1"/>
  <c r="U2589" i="1"/>
  <c r="T2590" i="1"/>
  <c r="U2590" i="1"/>
  <c r="T2591" i="1"/>
  <c r="U2591" i="1"/>
  <c r="T2592" i="1"/>
  <c r="U2592"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2" i="1"/>
  <c r="U2612" i="1"/>
  <c r="T2613" i="1"/>
  <c r="U2613" i="1"/>
  <c r="T2614" i="1"/>
  <c r="U2614"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3" i="1"/>
  <c r="U2633" i="1"/>
  <c r="T2634" i="1"/>
  <c r="U2634" i="1"/>
  <c r="T2635" i="1"/>
  <c r="U2635" i="1"/>
  <c r="T2636" i="1"/>
  <c r="U2636" i="1"/>
  <c r="T2637" i="1"/>
  <c r="U2637" i="1"/>
  <c r="T2638" i="1"/>
  <c r="U2638" i="1"/>
  <c r="T2639" i="1"/>
  <c r="U2639" i="1"/>
  <c r="T2640" i="1"/>
  <c r="U2640" i="1"/>
  <c r="T2641" i="1"/>
  <c r="U2641" i="1"/>
  <c r="T2642" i="1"/>
  <c r="U2642" i="1"/>
  <c r="T2643" i="1"/>
  <c r="U2643" i="1"/>
  <c r="T2644" i="1"/>
  <c r="U2644" i="1"/>
  <c r="T2645" i="1"/>
  <c r="U2645" i="1"/>
  <c r="T2646" i="1"/>
  <c r="U2646" i="1"/>
  <c r="T2647" i="1"/>
  <c r="U2647" i="1"/>
  <c r="T2648" i="1"/>
  <c r="U2648" i="1"/>
  <c r="T2649" i="1"/>
  <c r="U2649" i="1"/>
  <c r="T2650" i="1"/>
  <c r="U2650" i="1"/>
  <c r="T2651" i="1"/>
  <c r="U2651" i="1"/>
  <c r="T2652" i="1"/>
  <c r="U2652" i="1"/>
  <c r="T2653" i="1"/>
  <c r="U2653" i="1"/>
  <c r="T2654" i="1"/>
  <c r="U2654" i="1"/>
  <c r="T2655" i="1"/>
  <c r="U2655" i="1"/>
  <c r="T2656" i="1"/>
  <c r="U2656" i="1"/>
  <c r="T2657" i="1"/>
  <c r="U2657" i="1"/>
  <c r="T2658" i="1"/>
  <c r="U2658" i="1"/>
  <c r="T2659" i="1"/>
  <c r="U2659" i="1"/>
  <c r="T2660" i="1"/>
  <c r="U2660" i="1"/>
  <c r="T2661" i="1"/>
  <c r="U2661" i="1"/>
  <c r="T2662" i="1"/>
  <c r="U2662" i="1"/>
  <c r="T2663" i="1"/>
  <c r="U2663" i="1"/>
  <c r="T2664" i="1"/>
  <c r="U2664" i="1"/>
  <c r="T2665" i="1"/>
  <c r="U2665" i="1"/>
  <c r="T2666" i="1"/>
  <c r="U2666" i="1"/>
  <c r="T2667" i="1"/>
  <c r="U2667" i="1"/>
  <c r="T2668" i="1"/>
  <c r="U2668" i="1"/>
  <c r="T2669" i="1"/>
  <c r="U2669" i="1"/>
  <c r="T2670" i="1"/>
  <c r="U2670" i="1"/>
  <c r="T2671" i="1"/>
  <c r="U2671" i="1"/>
  <c r="T2672" i="1"/>
  <c r="U2672" i="1"/>
  <c r="T2673" i="1"/>
  <c r="U2673" i="1"/>
  <c r="T2674" i="1"/>
  <c r="U2674" i="1"/>
  <c r="T2675" i="1"/>
  <c r="U2675" i="1"/>
  <c r="T2676" i="1"/>
  <c r="U2676" i="1"/>
  <c r="T2677" i="1"/>
  <c r="U2677" i="1"/>
  <c r="T2678" i="1"/>
  <c r="U2678" i="1"/>
  <c r="T2679" i="1"/>
  <c r="U2679" i="1"/>
  <c r="T2680" i="1"/>
  <c r="U2680" i="1"/>
  <c r="T2681" i="1"/>
  <c r="U2681" i="1"/>
  <c r="T2682" i="1"/>
  <c r="U2682" i="1"/>
  <c r="T2683" i="1"/>
  <c r="U2683" i="1"/>
  <c r="T2684" i="1"/>
  <c r="U2684" i="1"/>
  <c r="T2685" i="1"/>
  <c r="U2685" i="1"/>
  <c r="T2686" i="1"/>
  <c r="U2686" i="1"/>
  <c r="T2687" i="1"/>
  <c r="U2687" i="1"/>
  <c r="T2688" i="1"/>
  <c r="U2688" i="1"/>
  <c r="T2689" i="1"/>
  <c r="U2689" i="1"/>
  <c r="T2690" i="1"/>
  <c r="U2690" i="1"/>
  <c r="T2691" i="1"/>
  <c r="U2691" i="1"/>
  <c r="T2692" i="1"/>
  <c r="U2692" i="1"/>
  <c r="T2693" i="1"/>
  <c r="U2693" i="1"/>
  <c r="T2694" i="1"/>
  <c r="U2694" i="1"/>
  <c r="T2695" i="1"/>
  <c r="U2695" i="1"/>
  <c r="T2696" i="1"/>
  <c r="U2696" i="1"/>
  <c r="T2697" i="1"/>
  <c r="U2697" i="1"/>
  <c r="T2698" i="1"/>
  <c r="U2698" i="1"/>
  <c r="T2699" i="1"/>
  <c r="U2699" i="1"/>
  <c r="T2700" i="1"/>
  <c r="U2700" i="1"/>
  <c r="T2701" i="1"/>
  <c r="U2701" i="1"/>
  <c r="T2702" i="1"/>
  <c r="U2702" i="1"/>
  <c r="T2703" i="1"/>
  <c r="U2703" i="1"/>
  <c r="T2704" i="1"/>
  <c r="U2704" i="1"/>
  <c r="T2705" i="1"/>
  <c r="U2705" i="1"/>
  <c r="T2706" i="1"/>
  <c r="U2706" i="1"/>
  <c r="T2707" i="1"/>
  <c r="U2707" i="1"/>
  <c r="T2708" i="1"/>
  <c r="U2708" i="1"/>
  <c r="T2709" i="1"/>
  <c r="U2709" i="1"/>
  <c r="T2710" i="1"/>
  <c r="U2710" i="1"/>
  <c r="T2711" i="1"/>
  <c r="U2711" i="1"/>
  <c r="T2712" i="1"/>
  <c r="U2712" i="1"/>
  <c r="T2713" i="1"/>
  <c r="U2713" i="1"/>
  <c r="T2714" i="1"/>
  <c r="U2714" i="1"/>
  <c r="T2715" i="1"/>
  <c r="U2715"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4" i="1"/>
  <c r="U2734" i="1"/>
  <c r="T2735" i="1"/>
  <c r="U2735" i="1"/>
  <c r="T2736" i="1"/>
  <c r="U2736" i="1"/>
  <c r="T2737" i="1"/>
  <c r="U2737" i="1"/>
  <c r="T2738" i="1"/>
  <c r="U2738" i="1"/>
  <c r="T2739" i="1"/>
  <c r="U2739" i="1"/>
  <c r="T2740" i="1"/>
  <c r="U2740" i="1"/>
  <c r="T2741" i="1"/>
  <c r="U2741" i="1"/>
  <c r="T2742" i="1"/>
  <c r="U2742" i="1"/>
  <c r="T2743" i="1"/>
  <c r="U2743" i="1"/>
  <c r="T2744" i="1"/>
  <c r="U2744" i="1"/>
  <c r="T2745" i="1"/>
  <c r="U2745" i="1"/>
  <c r="T2746" i="1"/>
  <c r="U2746"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69" i="1"/>
  <c r="U2769" i="1"/>
  <c r="T2770" i="1"/>
  <c r="U2770" i="1"/>
  <c r="T2771" i="1"/>
  <c r="U2771"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89" i="1"/>
  <c r="U2789" i="1"/>
  <c r="T2790" i="1"/>
  <c r="U2790" i="1"/>
  <c r="T2791" i="1"/>
  <c r="U2791"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8" i="1"/>
  <c r="U2818" i="1"/>
  <c r="T2819" i="1"/>
  <c r="U2819" i="1"/>
  <c r="T2820" i="1"/>
  <c r="U2820" i="1"/>
  <c r="T2821" i="1"/>
  <c r="U2821" i="1"/>
  <c r="T2822" i="1"/>
  <c r="U2822" i="1"/>
  <c r="T2823" i="1"/>
  <c r="U2823" i="1"/>
  <c r="T2824" i="1"/>
  <c r="U2824" i="1"/>
  <c r="T2825" i="1"/>
  <c r="U2825" i="1"/>
  <c r="T2826" i="1"/>
  <c r="U2826" i="1"/>
  <c r="T2827" i="1"/>
  <c r="U2827" i="1"/>
  <c r="T2828" i="1"/>
  <c r="U2828" i="1"/>
  <c r="T2829" i="1"/>
  <c r="U2829" i="1"/>
  <c r="T2830" i="1"/>
  <c r="U2830" i="1"/>
  <c r="T2831" i="1"/>
  <c r="U2831" i="1"/>
  <c r="T2832" i="1"/>
  <c r="U2832" i="1"/>
  <c r="T2833" i="1"/>
  <c r="U2833" i="1"/>
  <c r="T2834" i="1"/>
  <c r="U2834" i="1"/>
  <c r="T2835" i="1"/>
  <c r="U2835"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9" i="1"/>
  <c r="U2859" i="1"/>
  <c r="T2860" i="1"/>
  <c r="U2860" i="1"/>
  <c r="T2861" i="1"/>
  <c r="U2861" i="1"/>
  <c r="T2862" i="1"/>
  <c r="U2862" i="1"/>
  <c r="T2863" i="1"/>
  <c r="U2863" i="1"/>
  <c r="T2864" i="1"/>
  <c r="U2864" i="1"/>
  <c r="T2865" i="1"/>
  <c r="U2865" i="1"/>
  <c r="T2866" i="1"/>
  <c r="U2866" i="1"/>
  <c r="T2867" i="1"/>
  <c r="U2867" i="1"/>
  <c r="T2868" i="1"/>
  <c r="U2868" i="1"/>
  <c r="T2869" i="1"/>
  <c r="U2869" i="1"/>
  <c r="T2870" i="1"/>
  <c r="U2870" i="1"/>
  <c r="T2871" i="1"/>
  <c r="U2871" i="1"/>
  <c r="T2872" i="1"/>
  <c r="U2872" i="1"/>
  <c r="T2873" i="1"/>
  <c r="U2873" i="1"/>
  <c r="T2874" i="1"/>
  <c r="U2874" i="1"/>
  <c r="T2875" i="1"/>
  <c r="U2875" i="1"/>
  <c r="T2876" i="1"/>
  <c r="U2876" i="1"/>
  <c r="T2877" i="1"/>
  <c r="U2877"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0" i="1"/>
  <c r="U2890" i="1"/>
  <c r="T2891" i="1"/>
  <c r="U2891" i="1"/>
  <c r="T2892" i="1"/>
  <c r="U2892" i="1"/>
  <c r="T2893" i="1"/>
  <c r="U2893" i="1"/>
  <c r="T2894" i="1"/>
  <c r="U2894" i="1"/>
  <c r="T2895" i="1"/>
  <c r="U2895" i="1"/>
  <c r="T2896" i="1"/>
  <c r="U2896" i="1"/>
  <c r="T2897" i="1"/>
  <c r="U2897" i="1"/>
  <c r="T2898" i="1"/>
  <c r="U2898" i="1"/>
  <c r="T2900" i="1"/>
  <c r="U2900" i="1"/>
  <c r="T2901" i="1"/>
  <c r="U2901" i="1"/>
  <c r="T2902" i="1"/>
  <c r="U2902" i="1"/>
  <c r="T2903" i="1"/>
  <c r="U2903" i="1"/>
  <c r="T2904" i="1"/>
  <c r="U2904" i="1"/>
  <c r="T2905" i="1"/>
  <c r="U2905" i="1"/>
  <c r="T2906" i="1"/>
  <c r="U2906" i="1"/>
  <c r="T2907" i="1"/>
  <c r="U2907" i="1"/>
  <c r="T2908" i="1"/>
  <c r="U2908" i="1"/>
  <c r="T2909" i="1"/>
  <c r="U2909" i="1"/>
  <c r="T2910" i="1"/>
  <c r="U2910" i="1"/>
  <c r="T2911" i="1"/>
  <c r="U2911" i="1"/>
  <c r="T2912" i="1"/>
  <c r="U2912" i="1"/>
  <c r="T2913" i="1"/>
  <c r="U2913" i="1"/>
  <c r="T2914" i="1"/>
  <c r="U2914" i="1"/>
  <c r="T2915" i="1"/>
  <c r="U2915" i="1"/>
  <c r="T2916" i="1"/>
  <c r="U2916" i="1"/>
  <c r="T2917" i="1"/>
  <c r="U2917" i="1"/>
  <c r="T2918" i="1"/>
  <c r="U2918" i="1"/>
  <c r="T2919" i="1"/>
  <c r="U2919" i="1"/>
  <c r="T2920" i="1"/>
  <c r="U2920" i="1"/>
  <c r="T2921" i="1"/>
  <c r="U2921" i="1"/>
  <c r="T2922" i="1"/>
  <c r="U2922" i="1"/>
  <c r="T2923" i="1"/>
  <c r="U2923" i="1"/>
  <c r="T2924" i="1"/>
  <c r="U2924" i="1"/>
  <c r="T2925" i="1"/>
  <c r="U2925" i="1"/>
  <c r="T2926" i="1"/>
  <c r="U2926" i="1"/>
  <c r="T2927" i="1"/>
  <c r="U2927" i="1"/>
  <c r="T2928" i="1"/>
  <c r="U2928" i="1"/>
  <c r="T2929" i="1"/>
  <c r="U2929" i="1"/>
  <c r="T2930" i="1"/>
  <c r="U2930" i="1"/>
  <c r="T2931" i="1"/>
  <c r="U2931" i="1"/>
  <c r="T2932" i="1"/>
  <c r="U2932" i="1"/>
  <c r="T2933" i="1"/>
  <c r="U2933" i="1"/>
  <c r="T2934" i="1"/>
  <c r="U2934" i="1"/>
  <c r="T2935" i="1"/>
  <c r="U2935" i="1"/>
  <c r="T2936" i="1"/>
  <c r="U2936" i="1"/>
  <c r="T2937" i="1"/>
  <c r="U2937" i="1"/>
  <c r="T2938" i="1"/>
  <c r="U2938" i="1"/>
  <c r="T2939" i="1"/>
  <c r="U2939" i="1"/>
  <c r="T2940" i="1"/>
  <c r="U2940" i="1"/>
  <c r="T2941" i="1"/>
  <c r="U2941" i="1"/>
  <c r="T2942" i="1"/>
  <c r="U2942" i="1"/>
  <c r="T2943" i="1"/>
  <c r="U2943" i="1"/>
  <c r="T2944" i="1"/>
  <c r="U2944"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2" i="1"/>
  <c r="U2962" i="1"/>
  <c r="T2963" i="1"/>
  <c r="U2963" i="1"/>
  <c r="T2964" i="1"/>
  <c r="U2964" i="1"/>
  <c r="T2965" i="1"/>
  <c r="U2965"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3" i="1"/>
  <c r="U2983" i="1"/>
  <c r="T2984" i="1"/>
  <c r="U2984" i="1"/>
  <c r="T2985" i="1"/>
  <c r="U2985" i="1"/>
  <c r="T2986" i="1"/>
  <c r="U2986" i="1"/>
  <c r="T2987" i="1"/>
  <c r="U2987" i="1"/>
  <c r="T2988" i="1"/>
  <c r="U2988" i="1"/>
  <c r="T2989" i="1"/>
  <c r="U2989" i="1"/>
  <c r="T2990" i="1"/>
  <c r="U2990" i="1"/>
  <c r="T2991" i="1"/>
  <c r="U2991" i="1"/>
  <c r="T2992" i="1"/>
  <c r="U2992" i="1"/>
  <c r="T2993" i="1"/>
  <c r="U2993" i="1"/>
  <c r="T2994" i="1"/>
  <c r="U2994" i="1"/>
  <c r="T2995" i="1"/>
  <c r="U2995" i="1"/>
  <c r="T2996" i="1"/>
  <c r="U2996" i="1"/>
  <c r="T2997" i="1"/>
  <c r="U2997" i="1"/>
  <c r="T2998" i="1"/>
  <c r="U2998" i="1"/>
  <c r="T2999" i="1"/>
  <c r="U2999" i="1"/>
  <c r="T3000" i="1"/>
  <c r="U3000" i="1"/>
  <c r="T3001" i="1"/>
  <c r="U3001" i="1"/>
  <c r="T3002" i="1"/>
  <c r="U3002" i="1"/>
  <c r="T3003" i="1"/>
  <c r="U3003" i="1"/>
  <c r="T3004" i="1"/>
  <c r="U3004" i="1"/>
  <c r="T3005" i="1"/>
  <c r="U3005" i="1"/>
  <c r="T3006" i="1"/>
  <c r="U3006" i="1"/>
  <c r="T3007" i="1"/>
  <c r="U3007" i="1"/>
  <c r="T3008" i="1"/>
  <c r="U3008" i="1"/>
  <c r="T3009" i="1"/>
  <c r="U3009" i="1"/>
  <c r="T3010" i="1"/>
  <c r="U3010" i="1"/>
  <c r="T3011" i="1"/>
  <c r="U3011" i="1"/>
  <c r="T3012" i="1"/>
  <c r="U3012" i="1"/>
  <c r="T3013" i="1"/>
  <c r="U3013" i="1"/>
  <c r="T3014" i="1"/>
  <c r="U3014" i="1"/>
  <c r="T3015" i="1"/>
  <c r="U3015" i="1"/>
  <c r="T3016" i="1"/>
  <c r="U3016" i="1"/>
  <c r="T3017" i="1"/>
  <c r="U3017" i="1"/>
  <c r="T3018" i="1"/>
  <c r="U3018" i="1"/>
  <c r="T3019" i="1"/>
  <c r="U3019" i="1"/>
  <c r="T3020" i="1"/>
  <c r="U3020" i="1"/>
  <c r="T3021" i="1"/>
  <c r="U3021" i="1"/>
  <c r="T3022" i="1"/>
  <c r="U3022" i="1"/>
  <c r="T3023" i="1"/>
  <c r="U3023" i="1"/>
  <c r="T3024" i="1"/>
  <c r="U3024" i="1"/>
  <c r="T3025" i="1"/>
  <c r="U3025" i="1"/>
  <c r="T3026" i="1"/>
  <c r="U3026" i="1"/>
  <c r="T3027" i="1"/>
  <c r="U3027" i="1"/>
  <c r="T3028" i="1"/>
  <c r="U3028" i="1"/>
  <c r="T3029" i="1"/>
  <c r="U3029" i="1"/>
  <c r="T3030" i="1"/>
  <c r="U3030" i="1"/>
  <c r="T3031" i="1"/>
  <c r="U3031" i="1"/>
  <c r="T3032" i="1"/>
  <c r="U3032" i="1"/>
  <c r="T3033" i="1"/>
  <c r="U3033" i="1"/>
  <c r="T3034" i="1"/>
  <c r="U3034" i="1"/>
  <c r="T3035" i="1"/>
  <c r="U3035" i="1"/>
  <c r="T3036" i="1"/>
  <c r="U3036" i="1"/>
  <c r="T3037" i="1"/>
  <c r="U3037" i="1"/>
  <c r="T3038" i="1"/>
  <c r="U3038" i="1"/>
  <c r="T3039" i="1"/>
  <c r="U3039" i="1"/>
  <c r="T3040" i="1"/>
  <c r="U3040" i="1"/>
  <c r="T3041" i="1"/>
  <c r="U3041" i="1"/>
  <c r="T3042" i="1"/>
  <c r="U3042" i="1"/>
  <c r="T3043" i="1"/>
  <c r="U3043" i="1"/>
  <c r="T3044" i="1"/>
  <c r="U3044" i="1"/>
  <c r="T3045" i="1"/>
  <c r="U3045" i="1"/>
  <c r="T3046" i="1"/>
  <c r="U3046" i="1"/>
  <c r="T3047" i="1"/>
  <c r="U3047" i="1"/>
  <c r="T3048" i="1"/>
  <c r="U3048" i="1"/>
  <c r="T3049" i="1"/>
  <c r="U3049" i="1"/>
  <c r="T3050" i="1"/>
  <c r="U3050" i="1"/>
  <c r="T3051" i="1"/>
  <c r="U3051" i="1"/>
  <c r="T3052" i="1"/>
  <c r="U3052" i="1"/>
  <c r="T3053" i="1"/>
  <c r="U3053" i="1"/>
  <c r="T3054" i="1"/>
  <c r="U3054" i="1"/>
  <c r="T3055" i="1"/>
  <c r="U3055" i="1"/>
  <c r="T3056" i="1"/>
  <c r="U3056" i="1"/>
  <c r="T3057" i="1"/>
  <c r="U3057" i="1"/>
  <c r="T3058" i="1"/>
  <c r="U3058" i="1"/>
  <c r="T3059" i="1"/>
  <c r="U3059" i="1"/>
  <c r="T3060" i="1"/>
  <c r="U3060" i="1"/>
  <c r="T3061" i="1"/>
  <c r="U3061" i="1"/>
  <c r="T3062" i="1"/>
  <c r="U3062" i="1"/>
  <c r="T3063" i="1"/>
  <c r="U3063" i="1"/>
  <c r="T3064" i="1"/>
  <c r="U3064" i="1"/>
  <c r="T3065" i="1"/>
  <c r="U3065" i="1"/>
  <c r="T3066" i="1"/>
  <c r="U3066" i="1"/>
  <c r="T3067" i="1"/>
  <c r="U3067" i="1"/>
  <c r="T3068" i="1"/>
  <c r="U3068" i="1"/>
  <c r="T3069" i="1"/>
  <c r="U3069" i="1"/>
  <c r="T3070" i="1"/>
  <c r="U3070" i="1"/>
  <c r="T3071" i="1"/>
  <c r="U3071" i="1"/>
  <c r="T3072" i="1"/>
  <c r="U3072" i="1"/>
  <c r="T3073" i="1"/>
  <c r="U3073" i="1"/>
  <c r="T3074" i="1"/>
  <c r="U3074" i="1"/>
  <c r="T3075" i="1"/>
  <c r="U3075" i="1"/>
  <c r="T3076" i="1"/>
  <c r="U3076" i="1"/>
  <c r="T3077" i="1"/>
  <c r="U3077" i="1"/>
  <c r="T3078" i="1"/>
  <c r="U3078" i="1"/>
  <c r="T3079" i="1"/>
  <c r="U3079" i="1"/>
  <c r="T3080" i="1"/>
  <c r="U3080" i="1"/>
  <c r="T3081" i="1"/>
  <c r="U3081" i="1"/>
  <c r="T3082" i="1"/>
  <c r="U3082" i="1"/>
  <c r="T3083" i="1"/>
  <c r="U3083" i="1"/>
  <c r="T3084" i="1"/>
  <c r="U3084" i="1"/>
  <c r="T3085" i="1"/>
  <c r="U3085" i="1"/>
  <c r="T3086" i="1"/>
  <c r="U3086" i="1"/>
  <c r="T3087" i="1"/>
  <c r="U3087" i="1"/>
  <c r="T3088" i="1"/>
  <c r="U3088" i="1"/>
  <c r="T3089" i="1"/>
  <c r="U3089" i="1"/>
  <c r="T3090" i="1"/>
  <c r="U3090" i="1"/>
  <c r="T3091" i="1"/>
  <c r="U3091" i="1"/>
  <c r="T3092" i="1"/>
  <c r="U3092" i="1"/>
  <c r="T3093" i="1"/>
  <c r="U3093" i="1"/>
  <c r="T3094" i="1"/>
  <c r="U3094" i="1"/>
  <c r="T3095" i="1"/>
  <c r="U3095" i="1"/>
  <c r="T3096" i="1"/>
  <c r="U3096" i="1"/>
  <c r="T3097" i="1"/>
  <c r="U3097" i="1"/>
  <c r="T3098" i="1"/>
  <c r="U3098" i="1"/>
  <c r="T3099" i="1"/>
  <c r="U3099" i="1"/>
  <c r="T3100" i="1"/>
  <c r="U3100" i="1"/>
  <c r="T3101" i="1"/>
  <c r="U3101" i="1"/>
  <c r="T3102" i="1"/>
  <c r="U3102" i="1"/>
  <c r="T3103" i="1"/>
  <c r="U3103" i="1"/>
  <c r="T3104" i="1"/>
  <c r="U3104" i="1"/>
  <c r="T3105" i="1"/>
  <c r="U3105" i="1"/>
  <c r="T3106" i="1"/>
  <c r="U3106" i="1"/>
  <c r="T3107" i="1"/>
  <c r="U3107" i="1"/>
  <c r="T3108" i="1"/>
  <c r="U3108" i="1"/>
  <c r="T3109" i="1"/>
  <c r="U3109" i="1"/>
  <c r="T3110" i="1"/>
  <c r="U3110" i="1"/>
  <c r="T3111" i="1"/>
  <c r="U3111" i="1"/>
  <c r="T3112" i="1"/>
  <c r="U3112" i="1"/>
  <c r="T3113" i="1"/>
  <c r="U3113" i="1"/>
  <c r="T3114" i="1"/>
  <c r="U3114" i="1"/>
  <c r="T3115" i="1"/>
  <c r="U3115" i="1"/>
  <c r="T3116" i="1"/>
  <c r="U3116" i="1"/>
  <c r="T3117" i="1"/>
  <c r="U3117" i="1"/>
  <c r="T3118" i="1"/>
  <c r="U3118" i="1"/>
  <c r="T3119" i="1"/>
  <c r="U3119" i="1"/>
  <c r="T3120" i="1"/>
  <c r="U3120" i="1"/>
  <c r="T3121" i="1"/>
  <c r="U3121" i="1"/>
  <c r="T3122" i="1"/>
  <c r="U3122" i="1"/>
  <c r="T3123" i="1"/>
  <c r="U3123" i="1"/>
  <c r="T3124" i="1"/>
  <c r="U3124" i="1"/>
  <c r="T3125" i="1"/>
  <c r="U3125" i="1"/>
  <c r="T3126" i="1"/>
  <c r="U3126" i="1"/>
  <c r="T3127" i="1"/>
  <c r="U3127" i="1"/>
  <c r="T3128" i="1"/>
  <c r="U3128" i="1"/>
  <c r="T3129" i="1"/>
  <c r="U3129" i="1"/>
  <c r="T3130" i="1"/>
  <c r="U3130" i="1"/>
  <c r="T3131" i="1"/>
  <c r="U3131" i="1"/>
  <c r="T3132" i="1"/>
  <c r="U3132" i="1"/>
  <c r="T3133" i="1"/>
  <c r="U3133" i="1"/>
  <c r="T3134" i="1"/>
  <c r="U3134" i="1"/>
  <c r="T3135" i="1"/>
  <c r="U3135" i="1"/>
  <c r="T3136" i="1"/>
  <c r="U3136" i="1"/>
  <c r="T3137" i="1"/>
  <c r="U3137" i="1"/>
  <c r="T3138" i="1"/>
  <c r="U3138" i="1"/>
  <c r="T3139" i="1"/>
  <c r="U3139" i="1"/>
  <c r="T3140" i="1"/>
  <c r="U3140" i="1"/>
  <c r="T3141" i="1"/>
  <c r="U3141" i="1"/>
  <c r="T3142" i="1"/>
  <c r="U3142" i="1"/>
  <c r="T3143" i="1"/>
  <c r="U3143" i="1"/>
  <c r="T3144" i="1"/>
  <c r="U3144" i="1"/>
  <c r="T3145" i="1"/>
  <c r="U3145" i="1"/>
  <c r="T3146" i="1"/>
  <c r="U3146" i="1"/>
  <c r="T3147" i="1"/>
  <c r="U3147" i="1"/>
  <c r="T3148" i="1"/>
  <c r="U3148" i="1"/>
  <c r="T3149" i="1"/>
  <c r="U3149" i="1"/>
  <c r="T3150" i="1"/>
  <c r="U3150" i="1"/>
  <c r="T3151" i="1"/>
  <c r="U3151" i="1"/>
  <c r="T3152" i="1"/>
  <c r="U3152" i="1"/>
  <c r="T3153" i="1"/>
  <c r="U3153" i="1"/>
  <c r="T3154" i="1"/>
  <c r="U3154" i="1"/>
  <c r="T3155" i="1"/>
  <c r="U3155" i="1"/>
  <c r="T3156" i="1"/>
  <c r="U3156" i="1"/>
  <c r="T3157" i="1"/>
  <c r="U3157" i="1"/>
  <c r="T3158" i="1"/>
  <c r="U3158" i="1"/>
  <c r="T3159" i="1"/>
  <c r="U3159" i="1"/>
  <c r="T3160" i="1"/>
  <c r="U3160" i="1"/>
  <c r="T3161" i="1"/>
  <c r="U3161" i="1"/>
  <c r="T3162" i="1"/>
  <c r="U3162" i="1"/>
  <c r="T3163" i="1"/>
  <c r="U3163" i="1"/>
  <c r="T3164" i="1"/>
  <c r="U3164" i="1"/>
  <c r="T3165" i="1"/>
  <c r="U3165" i="1"/>
  <c r="T3166" i="1"/>
  <c r="U3166" i="1"/>
  <c r="T3167" i="1"/>
  <c r="U3167" i="1"/>
  <c r="T3168" i="1"/>
  <c r="U3168" i="1"/>
  <c r="T3169" i="1"/>
  <c r="U3169" i="1"/>
  <c r="T3170" i="1"/>
  <c r="U3170" i="1"/>
  <c r="T3171" i="1"/>
  <c r="U3171" i="1"/>
  <c r="T3172" i="1"/>
  <c r="U3172" i="1"/>
  <c r="T3173" i="1"/>
  <c r="U3173" i="1"/>
  <c r="T3174" i="1"/>
  <c r="U3174" i="1"/>
  <c r="T3175" i="1"/>
  <c r="U3175" i="1"/>
  <c r="T3176" i="1"/>
  <c r="U3176" i="1"/>
  <c r="T3177" i="1"/>
  <c r="U3177" i="1"/>
  <c r="T3178" i="1"/>
  <c r="U3178" i="1"/>
  <c r="T3179" i="1"/>
  <c r="U3179" i="1"/>
  <c r="T3180" i="1"/>
  <c r="U3180" i="1"/>
  <c r="T3181" i="1"/>
  <c r="U3181" i="1"/>
  <c r="T3182" i="1"/>
  <c r="U3182" i="1"/>
  <c r="T3183" i="1"/>
  <c r="U3183" i="1"/>
  <c r="T3184" i="1"/>
  <c r="U3184" i="1"/>
  <c r="T3185" i="1"/>
  <c r="U3185" i="1"/>
  <c r="T3186" i="1"/>
  <c r="U3186" i="1"/>
  <c r="T3187" i="1"/>
  <c r="U3187" i="1"/>
  <c r="T3188" i="1"/>
  <c r="U3188" i="1"/>
  <c r="T3189" i="1"/>
  <c r="U3189" i="1"/>
  <c r="T3190" i="1"/>
  <c r="U3190" i="1"/>
  <c r="T3191" i="1"/>
  <c r="U3191" i="1"/>
  <c r="T3192" i="1"/>
  <c r="U3192" i="1"/>
  <c r="T3193" i="1"/>
  <c r="U3193" i="1"/>
  <c r="T3194" i="1"/>
  <c r="U3194" i="1"/>
  <c r="T3195" i="1"/>
  <c r="U3195" i="1"/>
  <c r="T3196" i="1"/>
  <c r="U3196" i="1"/>
  <c r="T3197" i="1"/>
  <c r="U3197" i="1"/>
  <c r="T3198" i="1"/>
  <c r="U3198" i="1"/>
  <c r="T3199" i="1"/>
  <c r="U3199" i="1"/>
  <c r="T3200" i="1"/>
  <c r="U3200" i="1"/>
  <c r="T3201" i="1"/>
  <c r="U3201" i="1"/>
  <c r="T3202" i="1"/>
  <c r="U3202" i="1"/>
  <c r="T3203" i="1"/>
  <c r="U3203" i="1"/>
  <c r="T3204" i="1"/>
  <c r="U3204" i="1"/>
  <c r="T3205" i="1"/>
  <c r="U3205" i="1"/>
  <c r="T3206" i="1"/>
  <c r="U3206" i="1"/>
  <c r="T3207" i="1"/>
  <c r="U3207" i="1"/>
  <c r="T3208" i="1"/>
  <c r="U3208" i="1"/>
  <c r="T3209" i="1"/>
  <c r="U3209" i="1"/>
  <c r="T3210" i="1"/>
  <c r="U3210" i="1"/>
  <c r="T3211" i="1"/>
  <c r="U3211" i="1"/>
  <c r="T3213" i="1"/>
  <c r="U3213" i="1"/>
  <c r="T3214" i="1"/>
  <c r="U3214" i="1"/>
  <c r="T3215" i="1"/>
  <c r="U3215" i="1"/>
  <c r="T3216" i="1"/>
  <c r="U3216" i="1"/>
  <c r="T3217" i="1"/>
  <c r="U3217" i="1"/>
  <c r="T3218" i="1"/>
  <c r="U3218" i="1"/>
  <c r="T3219" i="1"/>
  <c r="U3219" i="1"/>
  <c r="T3220" i="1"/>
  <c r="U3220" i="1"/>
  <c r="T3221" i="1"/>
  <c r="U3221" i="1"/>
  <c r="T3222" i="1"/>
  <c r="U3222" i="1"/>
  <c r="T3223" i="1"/>
  <c r="U3223" i="1"/>
  <c r="T3224" i="1"/>
  <c r="U3224" i="1"/>
  <c r="T3225" i="1"/>
  <c r="U3225" i="1"/>
  <c r="T3226" i="1"/>
  <c r="U3226" i="1"/>
  <c r="T3227" i="1"/>
  <c r="U3227" i="1"/>
  <c r="T3228" i="1"/>
  <c r="U3228" i="1"/>
  <c r="T3229" i="1"/>
  <c r="U3229" i="1"/>
  <c r="T3230" i="1"/>
  <c r="U3230" i="1"/>
  <c r="T3231" i="1"/>
  <c r="U3231" i="1"/>
  <c r="T3232" i="1"/>
  <c r="U3232" i="1"/>
  <c r="T3233" i="1"/>
  <c r="U3233" i="1"/>
  <c r="T3234" i="1"/>
  <c r="U3234" i="1"/>
  <c r="T3235" i="1"/>
  <c r="U3235" i="1"/>
  <c r="T3236" i="1"/>
  <c r="U3236" i="1"/>
  <c r="T3237" i="1"/>
  <c r="U3237" i="1"/>
  <c r="T3238" i="1"/>
  <c r="U3238" i="1"/>
  <c r="T3239" i="1"/>
  <c r="U3239" i="1"/>
  <c r="T3240" i="1"/>
  <c r="U3240" i="1"/>
  <c r="T3241" i="1"/>
  <c r="U3241" i="1"/>
  <c r="T3242" i="1"/>
  <c r="U3242" i="1"/>
  <c r="T3243" i="1"/>
  <c r="U3243" i="1"/>
  <c r="T3244" i="1"/>
  <c r="U3244" i="1"/>
  <c r="T3245" i="1"/>
  <c r="U3245" i="1"/>
  <c r="T3246" i="1"/>
  <c r="U3246" i="1"/>
  <c r="T3247" i="1"/>
  <c r="U3247" i="1"/>
  <c r="T3248" i="1"/>
  <c r="U3248" i="1"/>
  <c r="T3249" i="1"/>
  <c r="U3249" i="1"/>
  <c r="T3250" i="1"/>
  <c r="U3250" i="1"/>
  <c r="T3251" i="1"/>
  <c r="U3251" i="1"/>
  <c r="T3252" i="1"/>
  <c r="U3252" i="1"/>
  <c r="T3253" i="1"/>
  <c r="U3253" i="1"/>
  <c r="T3254" i="1"/>
  <c r="U3254" i="1"/>
  <c r="T3255" i="1"/>
  <c r="U3255" i="1"/>
  <c r="T3256" i="1"/>
  <c r="U3256" i="1"/>
  <c r="T3257" i="1"/>
  <c r="U3257" i="1"/>
  <c r="T3258" i="1"/>
  <c r="U3258" i="1"/>
  <c r="T3259" i="1"/>
  <c r="U3259" i="1"/>
  <c r="T3260" i="1"/>
  <c r="U3260" i="1"/>
  <c r="T3261" i="1"/>
  <c r="U3261" i="1"/>
  <c r="T3262" i="1"/>
  <c r="U3262" i="1"/>
  <c r="T3263" i="1"/>
  <c r="U3263" i="1"/>
  <c r="T3264" i="1"/>
  <c r="U3264" i="1"/>
  <c r="T3265" i="1"/>
  <c r="U3265" i="1"/>
  <c r="T3266" i="1"/>
  <c r="U3266" i="1"/>
  <c r="T3267" i="1"/>
  <c r="U3267" i="1"/>
  <c r="T3268" i="1"/>
  <c r="U3268" i="1"/>
  <c r="T3269" i="1"/>
  <c r="U3269" i="1"/>
  <c r="T3270" i="1"/>
  <c r="U3270" i="1"/>
  <c r="T3271" i="1"/>
  <c r="U3271" i="1"/>
  <c r="T3272" i="1"/>
  <c r="U3272" i="1"/>
  <c r="T3273" i="1"/>
  <c r="U3273" i="1"/>
  <c r="T3274" i="1"/>
  <c r="U3274" i="1"/>
  <c r="T3275" i="1"/>
  <c r="U3275" i="1"/>
  <c r="T3276" i="1"/>
  <c r="U3276" i="1"/>
  <c r="T3277" i="1"/>
  <c r="U3277" i="1"/>
  <c r="T3278" i="1"/>
  <c r="U3278" i="1"/>
  <c r="T3279" i="1"/>
  <c r="U3279" i="1"/>
  <c r="T3280" i="1"/>
  <c r="U3280" i="1"/>
  <c r="T3281" i="1"/>
  <c r="U3281" i="1"/>
  <c r="T3282" i="1"/>
  <c r="U3282" i="1"/>
  <c r="T3283" i="1"/>
  <c r="U3283" i="1"/>
  <c r="T3284" i="1"/>
  <c r="U3284" i="1"/>
  <c r="T3285" i="1"/>
  <c r="U3285" i="1"/>
  <c r="T3286" i="1"/>
  <c r="U3286" i="1"/>
  <c r="T3287" i="1"/>
  <c r="U3287" i="1"/>
  <c r="T3288" i="1"/>
  <c r="U3288" i="1"/>
  <c r="T3289" i="1"/>
  <c r="U3289" i="1"/>
  <c r="T3290" i="1"/>
  <c r="U3290" i="1"/>
  <c r="T3291" i="1"/>
  <c r="U3291" i="1"/>
  <c r="T3292" i="1"/>
  <c r="U3292" i="1"/>
  <c r="T3293" i="1"/>
  <c r="U3293" i="1"/>
  <c r="T3294" i="1"/>
  <c r="U3294" i="1"/>
  <c r="T3295" i="1"/>
  <c r="U3295" i="1"/>
  <c r="T3296" i="1"/>
  <c r="U3296" i="1"/>
  <c r="T3297" i="1"/>
  <c r="U3297" i="1"/>
  <c r="T3298" i="1"/>
  <c r="U3298" i="1"/>
  <c r="T3299" i="1"/>
  <c r="U3299" i="1"/>
  <c r="T3300" i="1"/>
  <c r="U3300" i="1"/>
  <c r="T3301" i="1"/>
  <c r="U3301" i="1"/>
  <c r="T3302" i="1"/>
  <c r="U3302" i="1"/>
  <c r="T3303" i="1"/>
  <c r="U3303" i="1"/>
  <c r="T3304" i="1"/>
  <c r="U3304" i="1"/>
  <c r="T3305" i="1"/>
  <c r="U3305" i="1"/>
  <c r="T3306" i="1"/>
  <c r="U3306" i="1"/>
  <c r="T3307" i="1"/>
  <c r="U3307" i="1"/>
  <c r="T3308" i="1"/>
  <c r="U3308" i="1"/>
  <c r="T3309" i="1"/>
  <c r="U3309" i="1"/>
  <c r="T3310" i="1"/>
  <c r="U3310" i="1"/>
  <c r="T3311" i="1"/>
  <c r="U3311" i="1"/>
  <c r="T3312" i="1"/>
  <c r="U3312" i="1"/>
  <c r="T3313" i="1"/>
  <c r="U3313" i="1"/>
  <c r="T3314" i="1"/>
  <c r="U3314" i="1"/>
  <c r="T3315" i="1"/>
  <c r="U3315" i="1"/>
  <c r="T3316" i="1"/>
  <c r="U3316" i="1"/>
  <c r="T3317" i="1"/>
  <c r="U3317" i="1"/>
  <c r="T3318" i="1"/>
  <c r="U3318" i="1"/>
  <c r="T3319" i="1"/>
  <c r="U3319" i="1"/>
  <c r="T3320" i="1"/>
  <c r="U3320" i="1"/>
  <c r="T3321" i="1"/>
  <c r="U3321" i="1"/>
  <c r="T3323" i="1"/>
  <c r="U3323" i="1"/>
  <c r="T3324" i="1"/>
  <c r="U3324" i="1"/>
  <c r="T3325" i="1"/>
  <c r="U3325" i="1"/>
  <c r="T3326" i="1"/>
  <c r="U3326" i="1"/>
  <c r="T3327" i="1"/>
  <c r="U3327" i="1"/>
  <c r="T3328" i="1"/>
  <c r="U3328" i="1"/>
  <c r="T3329" i="1"/>
  <c r="U3329" i="1"/>
  <c r="T3330" i="1"/>
  <c r="U3330" i="1"/>
  <c r="T3331" i="1"/>
  <c r="U3331" i="1"/>
  <c r="T3332" i="1"/>
  <c r="U3332" i="1"/>
  <c r="T3333" i="1"/>
  <c r="U3333" i="1"/>
  <c r="T3334" i="1"/>
  <c r="U3334" i="1"/>
  <c r="T3335" i="1"/>
  <c r="U3335" i="1"/>
  <c r="T3336" i="1"/>
  <c r="U3336" i="1"/>
  <c r="T3337" i="1"/>
  <c r="U3337" i="1"/>
  <c r="T3339" i="1"/>
  <c r="U3339" i="1"/>
  <c r="T3340" i="1"/>
  <c r="U3340" i="1"/>
  <c r="T3341" i="1"/>
  <c r="U3341" i="1"/>
  <c r="T3342" i="1"/>
  <c r="U3342" i="1"/>
  <c r="T3343" i="1"/>
  <c r="U3343" i="1"/>
  <c r="T3344" i="1"/>
  <c r="U3344" i="1"/>
  <c r="T3345" i="1"/>
  <c r="U3345" i="1"/>
  <c r="T3346" i="1"/>
  <c r="U3346" i="1"/>
  <c r="T3347" i="1"/>
  <c r="U3347" i="1"/>
  <c r="T3348" i="1"/>
  <c r="U3348" i="1"/>
  <c r="T3349" i="1"/>
  <c r="U3349" i="1"/>
  <c r="T3350" i="1"/>
  <c r="U3350" i="1"/>
  <c r="T3351" i="1"/>
  <c r="U3351" i="1"/>
  <c r="T3352" i="1"/>
  <c r="U3352" i="1"/>
  <c r="T3353" i="1"/>
  <c r="U3353" i="1"/>
  <c r="T3354" i="1"/>
  <c r="U3354" i="1"/>
  <c r="T3355" i="1"/>
  <c r="U3355" i="1"/>
  <c r="T3356" i="1"/>
  <c r="U3356" i="1"/>
  <c r="T3357" i="1"/>
  <c r="U3357" i="1"/>
  <c r="T3358" i="1"/>
  <c r="U3358" i="1"/>
  <c r="T3359" i="1"/>
  <c r="U3359" i="1"/>
  <c r="T3360" i="1"/>
  <c r="U3360" i="1"/>
  <c r="T3361" i="1"/>
  <c r="U3361" i="1"/>
  <c r="T3362" i="1"/>
  <c r="U3362" i="1"/>
  <c r="T3363" i="1"/>
  <c r="U3363" i="1"/>
  <c r="T3364" i="1"/>
  <c r="U3364" i="1"/>
  <c r="T3365" i="1"/>
  <c r="U3365" i="1"/>
  <c r="T3366" i="1"/>
  <c r="U3366" i="1"/>
  <c r="T3367" i="1"/>
  <c r="U3367" i="1"/>
  <c r="T3368" i="1"/>
  <c r="U3368" i="1"/>
  <c r="T3369" i="1"/>
  <c r="U3369" i="1"/>
  <c r="T3370" i="1"/>
  <c r="U3370" i="1"/>
  <c r="T3371" i="1"/>
  <c r="U3371" i="1"/>
  <c r="T3372" i="1"/>
  <c r="U3372" i="1"/>
  <c r="T3373" i="1"/>
  <c r="U3373" i="1"/>
  <c r="T3374" i="1"/>
  <c r="U3374" i="1"/>
  <c r="T3375" i="1"/>
  <c r="U3375" i="1"/>
  <c r="T3376" i="1"/>
  <c r="U3376" i="1"/>
  <c r="T3377" i="1"/>
  <c r="U3377" i="1"/>
  <c r="T3378" i="1"/>
  <c r="U3378" i="1"/>
  <c r="T3379" i="1"/>
  <c r="U3379" i="1"/>
  <c r="T3380" i="1"/>
  <c r="U3380" i="1"/>
  <c r="T3381" i="1"/>
  <c r="U3381" i="1"/>
  <c r="T3382" i="1"/>
  <c r="U3382" i="1"/>
  <c r="T3383" i="1"/>
  <c r="U3383" i="1"/>
  <c r="T3384" i="1"/>
  <c r="U3384" i="1"/>
  <c r="T3385" i="1"/>
  <c r="U3385" i="1"/>
  <c r="T3386" i="1"/>
  <c r="U3386" i="1"/>
  <c r="T3387" i="1"/>
  <c r="U3387" i="1"/>
  <c r="T3388" i="1"/>
  <c r="U3388" i="1"/>
  <c r="T3389" i="1"/>
  <c r="U3389" i="1"/>
  <c r="T3390" i="1"/>
  <c r="U3390" i="1"/>
  <c r="T3391" i="1"/>
  <c r="U3391" i="1"/>
  <c r="T3392" i="1"/>
  <c r="U3392" i="1"/>
  <c r="T3393" i="1"/>
  <c r="U3393" i="1"/>
  <c r="T3394" i="1"/>
  <c r="U3394" i="1"/>
  <c r="T3395" i="1"/>
  <c r="U3395" i="1"/>
  <c r="T3396" i="1"/>
  <c r="U3396" i="1"/>
  <c r="T3397" i="1"/>
  <c r="U3397" i="1"/>
  <c r="T3398" i="1"/>
  <c r="U3398" i="1"/>
  <c r="T3399" i="1"/>
  <c r="U3399" i="1"/>
  <c r="T3400" i="1"/>
  <c r="U3400" i="1"/>
  <c r="T3401" i="1"/>
  <c r="U3401" i="1"/>
  <c r="T3402" i="1"/>
  <c r="U3402" i="1"/>
  <c r="T3403" i="1"/>
  <c r="U3403" i="1"/>
  <c r="T3404" i="1"/>
  <c r="U3404" i="1"/>
  <c r="T3405" i="1"/>
  <c r="U3405" i="1"/>
  <c r="T3406" i="1"/>
  <c r="U3406" i="1"/>
  <c r="T3407" i="1"/>
  <c r="U3407" i="1"/>
  <c r="T3408" i="1"/>
  <c r="U3408" i="1"/>
  <c r="T3409" i="1"/>
  <c r="U3409" i="1"/>
  <c r="T3410" i="1"/>
  <c r="U3410" i="1"/>
  <c r="T3411" i="1"/>
  <c r="U3411" i="1"/>
  <c r="T3412" i="1"/>
  <c r="U3412" i="1"/>
  <c r="T3413" i="1"/>
  <c r="U3413" i="1"/>
  <c r="T3414" i="1"/>
  <c r="U3414" i="1"/>
  <c r="T3415" i="1"/>
  <c r="U3415" i="1"/>
  <c r="T3416" i="1"/>
  <c r="U3416" i="1"/>
  <c r="T3417" i="1"/>
  <c r="U3417" i="1"/>
  <c r="T3418" i="1"/>
  <c r="U3418" i="1"/>
  <c r="T3419" i="1"/>
  <c r="U3419" i="1"/>
  <c r="T3420" i="1"/>
  <c r="U3420" i="1"/>
  <c r="T3421" i="1"/>
  <c r="U3421" i="1"/>
  <c r="T3422" i="1"/>
  <c r="U3422" i="1"/>
  <c r="T3423" i="1"/>
  <c r="U3423" i="1"/>
  <c r="T3424" i="1"/>
  <c r="U3424" i="1"/>
  <c r="T3425" i="1"/>
  <c r="U3425" i="1"/>
  <c r="T3426" i="1"/>
  <c r="U3426" i="1"/>
  <c r="T3427" i="1"/>
  <c r="U3427" i="1"/>
  <c r="T3428" i="1"/>
  <c r="U3428" i="1"/>
  <c r="T3429" i="1"/>
  <c r="U3429" i="1"/>
  <c r="T3430" i="1"/>
  <c r="U3430" i="1"/>
  <c r="T3431" i="1"/>
  <c r="U3431" i="1"/>
  <c r="T3432" i="1"/>
  <c r="U3432" i="1"/>
  <c r="T3433" i="1"/>
  <c r="U3433" i="1"/>
  <c r="T3434" i="1"/>
  <c r="U3434" i="1"/>
  <c r="T3435" i="1"/>
  <c r="U3435" i="1"/>
  <c r="T3436" i="1"/>
  <c r="U3436" i="1"/>
  <c r="T3437" i="1"/>
  <c r="U3437" i="1"/>
  <c r="T3438" i="1"/>
  <c r="U3438" i="1"/>
  <c r="T3439" i="1"/>
  <c r="U3439" i="1"/>
  <c r="T3440" i="1"/>
  <c r="U3440" i="1"/>
  <c r="T3441" i="1"/>
  <c r="U3441" i="1"/>
  <c r="T3442" i="1"/>
  <c r="U3442" i="1"/>
  <c r="T3443" i="1"/>
  <c r="U3443" i="1"/>
  <c r="T3444" i="1"/>
  <c r="U3444" i="1"/>
  <c r="T3445" i="1"/>
  <c r="U3445" i="1"/>
  <c r="T3446" i="1"/>
  <c r="U3446" i="1"/>
  <c r="T3447" i="1"/>
  <c r="U3447" i="1"/>
  <c r="T3448" i="1"/>
  <c r="U3448" i="1"/>
  <c r="T3449" i="1"/>
  <c r="U3449" i="1"/>
  <c r="T3450" i="1"/>
  <c r="U3450" i="1"/>
  <c r="T3451" i="1"/>
  <c r="U3451" i="1"/>
  <c r="T3452" i="1"/>
  <c r="U3452" i="1"/>
  <c r="T3453" i="1"/>
  <c r="U3453" i="1"/>
  <c r="T3454" i="1"/>
  <c r="U3454" i="1"/>
  <c r="T3455" i="1"/>
  <c r="U3455" i="1"/>
  <c r="T3456" i="1"/>
  <c r="U3456" i="1"/>
  <c r="T3457" i="1"/>
  <c r="U3457" i="1"/>
  <c r="T3458" i="1"/>
  <c r="U3458" i="1"/>
  <c r="T3459" i="1"/>
  <c r="U3459" i="1"/>
  <c r="T3460" i="1"/>
  <c r="U3460" i="1"/>
  <c r="T3461" i="1"/>
  <c r="U3461" i="1"/>
  <c r="T3462" i="1"/>
  <c r="U3462" i="1"/>
  <c r="T3463" i="1"/>
  <c r="U3463" i="1"/>
  <c r="T3464" i="1"/>
  <c r="U3464" i="1"/>
  <c r="T3465" i="1"/>
  <c r="U3465" i="1"/>
  <c r="T3466" i="1"/>
  <c r="U3466" i="1"/>
  <c r="T3467" i="1"/>
  <c r="U3467" i="1"/>
  <c r="T3468" i="1"/>
  <c r="U3468" i="1"/>
  <c r="T3469" i="1"/>
  <c r="U3469" i="1"/>
  <c r="T3470" i="1"/>
  <c r="U3470" i="1"/>
  <c r="T3471" i="1"/>
  <c r="U3471" i="1"/>
  <c r="T3472" i="1"/>
  <c r="U3472" i="1"/>
  <c r="T3473" i="1"/>
  <c r="U3473" i="1"/>
  <c r="T3474" i="1"/>
  <c r="U3474" i="1"/>
  <c r="T3475" i="1"/>
  <c r="U3475" i="1"/>
  <c r="T3476" i="1"/>
  <c r="U3476" i="1"/>
  <c r="T3477" i="1"/>
  <c r="U3477" i="1"/>
  <c r="T3478" i="1"/>
  <c r="U3478" i="1"/>
  <c r="T3479" i="1"/>
  <c r="U3479" i="1"/>
  <c r="T3480" i="1"/>
  <c r="U3480" i="1"/>
  <c r="T3481" i="1"/>
  <c r="U3481" i="1"/>
  <c r="T3482" i="1"/>
  <c r="U3482" i="1"/>
  <c r="T3483" i="1"/>
  <c r="U3483" i="1"/>
  <c r="T3484" i="1"/>
  <c r="U3484" i="1"/>
  <c r="T3485" i="1"/>
  <c r="U3485" i="1"/>
  <c r="T3486" i="1"/>
  <c r="U3486" i="1"/>
  <c r="T3487" i="1"/>
  <c r="U3487" i="1"/>
  <c r="T3488" i="1"/>
  <c r="U3488" i="1"/>
  <c r="T3489" i="1"/>
  <c r="U3489" i="1"/>
  <c r="T3490" i="1"/>
  <c r="U3490" i="1"/>
  <c r="T3491" i="1"/>
  <c r="U3491" i="1"/>
  <c r="T3492" i="1"/>
  <c r="U3492" i="1"/>
  <c r="T3493" i="1"/>
  <c r="U3493" i="1"/>
  <c r="T3494" i="1"/>
  <c r="U3494" i="1"/>
  <c r="T3495" i="1"/>
  <c r="U3495" i="1"/>
  <c r="T3496" i="1"/>
  <c r="U3496" i="1"/>
  <c r="T3497" i="1"/>
  <c r="U3497" i="1"/>
  <c r="T3498" i="1"/>
  <c r="U3498" i="1"/>
  <c r="T3499" i="1"/>
  <c r="U3499" i="1"/>
  <c r="T3500" i="1"/>
  <c r="U3500" i="1"/>
  <c r="T3501" i="1"/>
  <c r="U3501" i="1"/>
  <c r="T3502" i="1"/>
  <c r="U3502" i="1"/>
  <c r="T3503" i="1"/>
  <c r="U3503" i="1"/>
  <c r="T3504" i="1"/>
  <c r="U3504" i="1"/>
  <c r="T3505" i="1"/>
  <c r="U3505" i="1"/>
  <c r="T3506" i="1"/>
  <c r="U3506" i="1"/>
  <c r="T3507" i="1"/>
  <c r="U3507" i="1"/>
  <c r="T3508" i="1"/>
  <c r="U3508" i="1"/>
  <c r="T3509" i="1"/>
  <c r="U3509" i="1"/>
  <c r="T3510" i="1"/>
  <c r="U3510" i="1"/>
  <c r="T3511" i="1"/>
  <c r="U3511" i="1"/>
  <c r="T3512" i="1"/>
  <c r="U3512" i="1"/>
  <c r="T3513" i="1"/>
  <c r="U3513" i="1"/>
  <c r="T3514" i="1"/>
  <c r="U3514" i="1"/>
  <c r="T3515" i="1"/>
  <c r="U3515" i="1"/>
  <c r="T3516" i="1"/>
  <c r="U3516" i="1"/>
  <c r="T3517" i="1"/>
  <c r="U3517" i="1"/>
  <c r="T3518" i="1"/>
  <c r="U3518" i="1"/>
  <c r="T3519" i="1"/>
  <c r="U3519" i="1"/>
  <c r="U3520" i="1"/>
  <c r="U3521" i="1"/>
  <c r="U3522" i="1"/>
  <c r="U3523" i="1"/>
  <c r="U3524" i="1"/>
  <c r="U3525" i="1"/>
  <c r="U3526" i="1"/>
  <c r="U3527" i="1"/>
  <c r="U3528" i="1"/>
  <c r="U3529" i="1"/>
  <c r="T3530" i="1"/>
  <c r="U3530" i="1"/>
  <c r="T3531" i="1"/>
  <c r="U3531" i="1"/>
  <c r="T3532" i="1"/>
  <c r="U3532" i="1"/>
  <c r="T3533" i="1"/>
  <c r="U3533" i="1"/>
  <c r="T3534" i="1"/>
  <c r="U3534" i="1"/>
  <c r="T3535" i="1"/>
  <c r="U3535" i="1"/>
  <c r="T3536" i="1"/>
  <c r="U3536" i="1"/>
  <c r="T3537" i="1"/>
  <c r="U3537" i="1"/>
  <c r="T3538" i="1"/>
  <c r="U3538" i="1"/>
  <c r="T3539" i="1"/>
  <c r="U3539" i="1"/>
  <c r="T3540" i="1"/>
  <c r="U3540" i="1"/>
  <c r="T3541" i="1"/>
  <c r="U3541" i="1"/>
  <c r="T3542" i="1"/>
  <c r="U3542" i="1"/>
  <c r="T3543" i="1"/>
  <c r="U3543" i="1"/>
  <c r="T3544" i="1"/>
  <c r="U3544" i="1"/>
  <c r="T3545" i="1"/>
  <c r="U3545" i="1"/>
  <c r="T3546" i="1"/>
  <c r="U3546" i="1"/>
  <c r="T3547" i="1"/>
  <c r="U3547" i="1"/>
  <c r="T3548" i="1"/>
  <c r="U3548" i="1"/>
  <c r="T3549" i="1"/>
  <c r="U3549" i="1"/>
  <c r="T3550" i="1"/>
  <c r="U3550" i="1"/>
  <c r="T3551" i="1"/>
  <c r="U3551" i="1"/>
  <c r="T3553" i="1"/>
  <c r="U3553" i="1"/>
  <c r="T3554" i="1"/>
  <c r="U3554" i="1"/>
  <c r="T3555" i="1"/>
  <c r="U3555" i="1"/>
  <c r="T3556" i="1"/>
  <c r="U3556" i="1"/>
  <c r="T3557" i="1"/>
  <c r="U3557" i="1"/>
  <c r="T3558" i="1"/>
  <c r="U3558" i="1"/>
  <c r="T3559" i="1"/>
  <c r="U3559" i="1"/>
  <c r="T3560" i="1"/>
  <c r="U3560" i="1"/>
  <c r="T3561" i="1"/>
  <c r="U3561" i="1"/>
  <c r="T3562" i="1"/>
  <c r="U3562" i="1"/>
  <c r="T3563" i="1"/>
  <c r="U3563" i="1"/>
  <c r="T3564" i="1"/>
  <c r="U3564" i="1"/>
  <c r="T3565" i="1"/>
  <c r="U3565" i="1"/>
  <c r="T3566" i="1"/>
  <c r="U3566" i="1"/>
  <c r="T3567" i="1"/>
  <c r="U3567" i="1"/>
  <c r="T3568" i="1"/>
  <c r="U3568" i="1"/>
  <c r="T3569" i="1"/>
  <c r="U3569" i="1"/>
  <c r="T3570" i="1"/>
  <c r="U3570" i="1"/>
  <c r="T3571" i="1"/>
  <c r="U3571" i="1"/>
  <c r="T3572" i="1"/>
  <c r="U3572" i="1"/>
  <c r="T3573" i="1"/>
  <c r="U3573" i="1"/>
  <c r="T3574" i="1"/>
  <c r="U3574" i="1"/>
  <c r="T3575" i="1"/>
  <c r="U3575" i="1"/>
  <c r="T3576" i="1"/>
  <c r="U3576" i="1"/>
  <c r="T3577" i="1"/>
  <c r="U3577" i="1"/>
  <c r="T3578" i="1"/>
  <c r="U3578" i="1"/>
  <c r="T3579" i="1"/>
  <c r="U3579" i="1"/>
  <c r="T3580" i="1"/>
  <c r="U3580" i="1"/>
  <c r="T3581" i="1"/>
  <c r="U3581" i="1"/>
  <c r="T3582" i="1"/>
  <c r="U3582" i="1"/>
  <c r="T3583" i="1"/>
  <c r="U3583" i="1"/>
  <c r="T3584" i="1"/>
  <c r="U3584" i="1"/>
  <c r="T3585" i="1"/>
  <c r="U3585" i="1"/>
  <c r="T3586" i="1"/>
  <c r="U3586" i="1"/>
  <c r="T3587" i="1"/>
  <c r="U3587" i="1"/>
  <c r="T3588" i="1"/>
  <c r="U3588" i="1"/>
  <c r="T3589" i="1"/>
  <c r="U3589" i="1"/>
  <c r="T3590" i="1"/>
  <c r="U3590" i="1"/>
  <c r="T3591" i="1"/>
  <c r="U3591" i="1"/>
  <c r="T3592" i="1"/>
  <c r="U3592" i="1"/>
  <c r="T3593" i="1"/>
  <c r="U3593" i="1"/>
  <c r="T3594" i="1"/>
  <c r="U3594" i="1"/>
  <c r="T3595" i="1"/>
  <c r="U3595" i="1"/>
  <c r="T3596" i="1"/>
  <c r="U3596" i="1"/>
  <c r="T3597" i="1"/>
  <c r="U3597" i="1"/>
  <c r="T3598" i="1"/>
  <c r="U3598" i="1"/>
  <c r="T3599" i="1"/>
  <c r="U3599" i="1"/>
  <c r="T3600" i="1"/>
  <c r="U3600" i="1"/>
  <c r="T3601" i="1"/>
  <c r="U3601" i="1"/>
  <c r="T3602" i="1"/>
  <c r="U3602" i="1"/>
  <c r="T3603" i="1"/>
  <c r="U3603" i="1"/>
  <c r="T3604" i="1"/>
  <c r="U3604" i="1"/>
  <c r="T3605" i="1"/>
  <c r="U3605" i="1"/>
  <c r="T3606" i="1"/>
  <c r="U3606" i="1"/>
  <c r="T3607" i="1"/>
  <c r="U3607" i="1"/>
  <c r="T3608" i="1"/>
  <c r="U3608" i="1"/>
  <c r="T3609" i="1"/>
  <c r="U3609" i="1"/>
  <c r="T3610" i="1"/>
  <c r="U3610" i="1"/>
  <c r="T3611" i="1"/>
  <c r="U3611" i="1"/>
  <c r="T3612" i="1"/>
  <c r="U3612" i="1"/>
  <c r="T3613" i="1"/>
  <c r="U3613" i="1"/>
  <c r="T3614" i="1"/>
  <c r="U3614" i="1"/>
  <c r="T3615" i="1"/>
  <c r="U3615" i="1"/>
  <c r="T3616" i="1"/>
  <c r="U3616" i="1"/>
  <c r="T3617" i="1"/>
  <c r="U3617" i="1"/>
  <c r="T3618" i="1"/>
  <c r="U3618" i="1"/>
  <c r="T3619" i="1"/>
  <c r="U3619" i="1"/>
  <c r="T3620" i="1"/>
  <c r="U3620" i="1"/>
  <c r="T3621" i="1"/>
  <c r="U3621" i="1"/>
  <c r="T3622" i="1"/>
  <c r="U3622" i="1"/>
  <c r="T3623" i="1"/>
  <c r="U3623" i="1"/>
  <c r="T3624" i="1"/>
  <c r="U3624" i="1"/>
  <c r="T3625" i="1"/>
  <c r="U3625" i="1"/>
  <c r="T3626" i="1"/>
  <c r="U3626" i="1"/>
  <c r="T3627" i="1"/>
  <c r="U3627" i="1"/>
  <c r="T3628" i="1"/>
  <c r="U3628" i="1"/>
  <c r="T3629" i="1"/>
  <c r="U3629" i="1"/>
  <c r="T3630" i="1"/>
  <c r="U3630" i="1"/>
  <c r="T3631" i="1"/>
  <c r="U3631" i="1"/>
  <c r="T3632" i="1"/>
  <c r="U3632" i="1"/>
  <c r="T3633" i="1"/>
  <c r="U3633" i="1"/>
  <c r="T3634" i="1"/>
  <c r="U3634" i="1"/>
  <c r="T3635" i="1"/>
  <c r="U3635" i="1"/>
  <c r="T3636" i="1"/>
  <c r="U3636" i="1"/>
  <c r="T3637" i="1"/>
  <c r="U3637" i="1"/>
  <c r="T3638" i="1"/>
  <c r="U3638" i="1"/>
  <c r="T3639" i="1"/>
  <c r="U3639" i="1"/>
  <c r="T3640" i="1"/>
  <c r="U3640" i="1"/>
  <c r="T3641" i="1"/>
  <c r="U3641" i="1"/>
  <c r="T3642" i="1"/>
  <c r="U3642" i="1"/>
  <c r="T3643" i="1"/>
  <c r="U3643" i="1"/>
  <c r="T3644" i="1"/>
  <c r="U3644" i="1"/>
  <c r="T3645" i="1"/>
  <c r="U3645" i="1"/>
  <c r="T3646" i="1"/>
  <c r="U3646" i="1"/>
  <c r="T3647" i="1"/>
  <c r="U3647" i="1"/>
  <c r="T3648" i="1"/>
  <c r="U3648" i="1"/>
  <c r="T3649" i="1"/>
  <c r="U3649" i="1"/>
  <c r="T3650" i="1"/>
  <c r="U3650" i="1"/>
  <c r="T3651" i="1"/>
  <c r="U3651" i="1"/>
  <c r="T3652" i="1"/>
  <c r="U3652" i="1"/>
  <c r="T3653" i="1"/>
  <c r="U3653" i="1"/>
  <c r="T3654" i="1"/>
  <c r="U3654" i="1"/>
  <c r="T3655" i="1"/>
  <c r="U3655" i="1"/>
  <c r="T3656" i="1"/>
  <c r="U3656" i="1"/>
  <c r="T3657" i="1"/>
  <c r="U3657" i="1"/>
  <c r="T3658" i="1"/>
  <c r="U3658" i="1"/>
  <c r="T3659" i="1"/>
  <c r="U3659" i="1"/>
  <c r="T3660" i="1"/>
  <c r="U3660" i="1"/>
  <c r="T3661" i="1"/>
  <c r="U3661" i="1"/>
  <c r="T3662" i="1"/>
  <c r="U3662" i="1"/>
  <c r="T3663" i="1"/>
  <c r="U3663" i="1"/>
  <c r="T3664" i="1"/>
  <c r="U3664" i="1"/>
  <c r="T3665" i="1"/>
  <c r="U3665" i="1"/>
  <c r="T3666" i="1"/>
  <c r="U3666" i="1"/>
  <c r="T3667" i="1"/>
  <c r="U3667" i="1"/>
  <c r="T3668" i="1"/>
  <c r="U3668" i="1"/>
  <c r="T3669" i="1"/>
  <c r="U3669" i="1"/>
  <c r="T3670" i="1"/>
  <c r="U3670" i="1"/>
  <c r="T3671" i="1"/>
  <c r="U3671" i="1"/>
  <c r="T3672" i="1"/>
  <c r="U3672" i="1"/>
  <c r="T3673" i="1"/>
  <c r="U3673" i="1"/>
  <c r="T3674" i="1"/>
  <c r="U3674" i="1"/>
  <c r="T3675" i="1"/>
  <c r="U3675" i="1"/>
  <c r="T3676" i="1"/>
  <c r="U3676" i="1"/>
  <c r="T3677" i="1"/>
  <c r="U3677" i="1"/>
  <c r="T3678" i="1"/>
  <c r="U3678" i="1"/>
  <c r="T3679" i="1"/>
  <c r="U3679" i="1"/>
  <c r="T3680" i="1"/>
  <c r="U3680" i="1"/>
  <c r="T3681" i="1"/>
  <c r="U3681" i="1"/>
  <c r="T3682" i="1"/>
  <c r="U3682" i="1"/>
  <c r="T3683" i="1"/>
  <c r="U3683" i="1"/>
  <c r="T3684" i="1"/>
  <c r="U3684" i="1"/>
  <c r="T3685" i="1"/>
  <c r="U3685" i="1"/>
  <c r="T3686" i="1"/>
  <c r="U3686" i="1"/>
  <c r="T3687" i="1"/>
  <c r="U3687" i="1"/>
  <c r="T3688" i="1"/>
  <c r="U3688" i="1"/>
  <c r="T3689" i="1"/>
  <c r="U3689" i="1"/>
  <c r="T3690" i="1"/>
  <c r="U3690" i="1"/>
  <c r="T3691" i="1"/>
  <c r="U3691" i="1"/>
  <c r="T3692" i="1"/>
  <c r="U3692" i="1"/>
  <c r="T3693" i="1"/>
  <c r="U3693" i="1"/>
  <c r="T3694" i="1"/>
  <c r="U3694" i="1"/>
  <c r="T3695" i="1"/>
  <c r="U3695" i="1"/>
  <c r="T3696" i="1"/>
  <c r="U3696" i="1"/>
  <c r="T3697" i="1"/>
  <c r="U3697" i="1"/>
  <c r="T3698" i="1"/>
  <c r="U3698" i="1"/>
  <c r="T3699" i="1"/>
  <c r="U3699" i="1"/>
  <c r="T3700" i="1"/>
  <c r="U3700" i="1"/>
  <c r="T3701" i="1"/>
  <c r="U3701" i="1"/>
  <c r="T3702" i="1"/>
  <c r="U3702" i="1"/>
  <c r="T3704" i="1"/>
  <c r="U3704" i="1"/>
  <c r="T3705" i="1"/>
  <c r="U3705" i="1"/>
  <c r="T3706" i="1"/>
  <c r="U3706" i="1"/>
  <c r="T3707" i="1"/>
  <c r="U3707" i="1"/>
  <c r="T3708" i="1"/>
  <c r="U3708" i="1"/>
  <c r="T3709" i="1"/>
  <c r="U3709" i="1"/>
  <c r="T3710" i="1"/>
  <c r="U3710" i="1"/>
  <c r="T3711" i="1"/>
  <c r="U3711" i="1"/>
  <c r="T3712" i="1"/>
  <c r="U3712" i="1"/>
  <c r="T3713" i="1"/>
  <c r="U3713" i="1"/>
  <c r="T3714" i="1"/>
  <c r="U3714" i="1"/>
  <c r="T3715" i="1"/>
  <c r="U3715" i="1"/>
  <c r="T3716" i="1"/>
  <c r="U3716" i="1"/>
  <c r="T3717" i="1"/>
  <c r="U3717" i="1"/>
  <c r="T3718" i="1"/>
  <c r="U3718" i="1"/>
  <c r="T3719" i="1"/>
  <c r="U3719" i="1"/>
  <c r="T3720" i="1"/>
  <c r="U3720" i="1"/>
  <c r="T3721" i="1"/>
  <c r="U3721" i="1"/>
  <c r="T3722" i="1"/>
  <c r="U3722" i="1"/>
  <c r="T3723" i="1"/>
  <c r="U3723" i="1"/>
  <c r="T3724" i="1"/>
  <c r="U3724" i="1"/>
  <c r="T3725" i="1"/>
  <c r="U3725" i="1"/>
  <c r="T3726" i="1"/>
  <c r="U3726" i="1"/>
  <c r="T3727" i="1"/>
  <c r="U3727" i="1"/>
  <c r="T3728" i="1"/>
  <c r="U3728" i="1"/>
  <c r="T3729" i="1"/>
  <c r="U3729" i="1"/>
  <c r="T3730" i="1"/>
  <c r="U3730" i="1"/>
  <c r="T3731" i="1"/>
  <c r="U3731" i="1"/>
  <c r="T3732" i="1"/>
  <c r="U3732" i="1"/>
  <c r="T3733" i="1"/>
  <c r="U3733" i="1"/>
  <c r="T3734" i="1"/>
  <c r="U3734" i="1"/>
  <c r="T3735" i="1"/>
  <c r="U3735" i="1"/>
  <c r="T3736" i="1"/>
  <c r="U3736" i="1"/>
  <c r="T3737" i="1"/>
  <c r="U3737" i="1"/>
  <c r="T3738" i="1"/>
  <c r="U3738" i="1"/>
  <c r="T3739" i="1"/>
  <c r="U3739" i="1"/>
  <c r="T3740" i="1"/>
  <c r="U3740" i="1"/>
  <c r="T3741" i="1"/>
  <c r="U3741" i="1"/>
  <c r="T3742" i="1"/>
  <c r="U3742" i="1"/>
  <c r="T3743" i="1"/>
  <c r="U3743" i="1"/>
  <c r="T3744" i="1"/>
  <c r="U3744" i="1"/>
  <c r="T3745" i="1"/>
  <c r="U3745" i="1"/>
  <c r="T3746" i="1"/>
  <c r="U3746" i="1"/>
  <c r="T3747" i="1"/>
  <c r="U3747" i="1"/>
  <c r="T3748" i="1"/>
  <c r="U3748" i="1"/>
  <c r="T3749" i="1"/>
  <c r="U3749" i="1"/>
  <c r="T3750" i="1"/>
  <c r="U3750" i="1"/>
  <c r="T3751" i="1"/>
  <c r="U3751" i="1"/>
  <c r="T3752" i="1"/>
  <c r="U3752" i="1"/>
  <c r="T3753" i="1"/>
  <c r="U3753" i="1"/>
  <c r="T3754" i="1"/>
  <c r="U3754" i="1"/>
  <c r="T3755" i="1"/>
  <c r="U3755" i="1"/>
  <c r="T3756" i="1"/>
  <c r="U3756" i="1"/>
  <c r="T3757" i="1"/>
  <c r="U3757" i="1"/>
  <c r="T3758" i="1"/>
  <c r="U3758" i="1"/>
  <c r="T3759" i="1"/>
  <c r="U3759" i="1"/>
  <c r="T3760" i="1"/>
  <c r="U3760" i="1"/>
  <c r="T3761" i="1"/>
  <c r="U3761" i="1"/>
  <c r="T3762" i="1"/>
  <c r="U3762" i="1"/>
  <c r="T3763" i="1"/>
  <c r="U3763" i="1"/>
  <c r="T3764" i="1"/>
  <c r="U3764" i="1"/>
  <c r="T3765" i="1"/>
  <c r="U3765" i="1"/>
  <c r="T3766" i="1"/>
  <c r="U3766" i="1"/>
  <c r="T3767" i="1"/>
  <c r="U3767" i="1"/>
  <c r="T3768" i="1"/>
  <c r="U3768" i="1"/>
  <c r="T3769" i="1"/>
  <c r="U3769" i="1"/>
  <c r="T3770" i="1"/>
  <c r="U3770" i="1"/>
  <c r="T3771" i="1"/>
  <c r="U3771" i="1"/>
  <c r="T3772" i="1"/>
  <c r="U3772" i="1"/>
  <c r="T3773" i="1"/>
  <c r="U3773" i="1"/>
  <c r="T3774" i="1"/>
  <c r="U3774" i="1"/>
  <c r="T3775" i="1"/>
  <c r="U3775" i="1"/>
  <c r="T3776" i="1"/>
  <c r="U3776" i="1"/>
  <c r="T3777" i="1"/>
  <c r="U3777" i="1"/>
  <c r="T3778" i="1"/>
  <c r="U3778" i="1"/>
  <c r="T3779" i="1"/>
  <c r="U3779" i="1"/>
  <c r="T3780" i="1"/>
  <c r="U3780" i="1"/>
  <c r="T3781" i="1"/>
  <c r="U3781" i="1"/>
  <c r="T3782" i="1"/>
  <c r="U3782" i="1"/>
  <c r="T3783" i="1"/>
  <c r="U3783" i="1"/>
  <c r="T3784" i="1"/>
  <c r="U3784" i="1"/>
  <c r="T3785" i="1"/>
  <c r="U3785" i="1"/>
  <c r="T3786" i="1"/>
  <c r="U3786" i="1"/>
  <c r="T3787" i="1"/>
  <c r="U3787" i="1"/>
  <c r="T3788" i="1"/>
  <c r="U3788" i="1"/>
  <c r="T3789" i="1"/>
  <c r="U3789" i="1"/>
  <c r="T3790" i="1"/>
  <c r="U3790" i="1"/>
  <c r="T3791" i="1"/>
  <c r="U3791" i="1"/>
  <c r="T3792" i="1"/>
  <c r="U3792" i="1"/>
  <c r="T3793" i="1"/>
  <c r="U3793" i="1"/>
  <c r="T3794" i="1"/>
  <c r="U3794" i="1"/>
  <c r="T3795" i="1"/>
  <c r="U3795" i="1"/>
  <c r="T3796" i="1"/>
  <c r="U3796" i="1"/>
  <c r="T3797" i="1"/>
  <c r="U3797" i="1"/>
  <c r="T3798" i="1"/>
  <c r="U3798" i="1"/>
  <c r="T3799" i="1"/>
  <c r="U3799" i="1"/>
  <c r="T3800" i="1"/>
  <c r="U3800" i="1"/>
  <c r="T3801" i="1"/>
  <c r="U3801" i="1"/>
  <c r="T3802" i="1"/>
  <c r="U3802" i="1"/>
  <c r="T3803" i="1"/>
  <c r="U3803" i="1"/>
  <c r="T3804" i="1"/>
  <c r="U3804" i="1"/>
  <c r="T3805" i="1"/>
  <c r="U3805" i="1"/>
  <c r="T3806" i="1"/>
  <c r="U3806" i="1"/>
  <c r="T3807" i="1"/>
  <c r="U3807" i="1"/>
  <c r="T3808" i="1"/>
  <c r="U3808" i="1"/>
  <c r="T3809" i="1"/>
  <c r="U3809" i="1"/>
  <c r="T3810" i="1"/>
  <c r="U3810" i="1"/>
  <c r="T3811" i="1"/>
  <c r="U3811" i="1"/>
  <c r="T3812" i="1"/>
  <c r="U3812" i="1"/>
  <c r="T3813" i="1"/>
  <c r="U3813" i="1"/>
  <c r="T3814" i="1"/>
  <c r="U3814" i="1"/>
  <c r="T3815" i="1"/>
  <c r="U3815" i="1"/>
  <c r="T3816" i="1"/>
  <c r="U3816" i="1"/>
  <c r="T3817" i="1"/>
  <c r="U3817" i="1"/>
  <c r="T3818" i="1"/>
  <c r="U3818" i="1"/>
  <c r="T3819" i="1"/>
  <c r="U3819" i="1"/>
  <c r="T3820" i="1"/>
  <c r="U3820" i="1"/>
  <c r="T3821" i="1"/>
  <c r="U3821" i="1"/>
  <c r="T3822" i="1"/>
  <c r="U3822" i="1"/>
  <c r="T3823" i="1"/>
  <c r="U3823" i="1"/>
  <c r="T3824" i="1"/>
  <c r="U3824" i="1"/>
  <c r="T3825" i="1"/>
  <c r="U3825" i="1"/>
  <c r="T3826" i="1"/>
  <c r="U3826" i="1"/>
  <c r="T3827" i="1"/>
  <c r="U3827" i="1"/>
  <c r="T3828" i="1"/>
  <c r="U3828" i="1"/>
  <c r="T3829" i="1"/>
  <c r="U3829" i="1"/>
  <c r="T3830" i="1"/>
  <c r="U3830" i="1"/>
  <c r="T3831" i="1"/>
  <c r="U3831" i="1"/>
  <c r="T3832" i="1"/>
  <c r="U3832" i="1"/>
  <c r="T3833" i="1"/>
  <c r="U3833" i="1"/>
  <c r="T3834" i="1"/>
  <c r="U3834" i="1"/>
  <c r="T3835" i="1"/>
  <c r="U3835" i="1"/>
  <c r="T3844" i="1"/>
  <c r="U3844" i="1"/>
  <c r="T3845" i="1"/>
  <c r="U3845" i="1"/>
  <c r="T3846" i="1"/>
  <c r="U3846" i="1"/>
  <c r="T3847" i="1"/>
  <c r="U3847" i="1"/>
  <c r="T3848" i="1"/>
  <c r="U3848" i="1"/>
  <c r="T3849" i="1"/>
  <c r="U3849" i="1"/>
  <c r="T3850" i="1"/>
  <c r="U3850" i="1"/>
  <c r="T3851" i="1"/>
  <c r="U3851" i="1"/>
  <c r="T3852" i="1"/>
  <c r="U3852" i="1"/>
  <c r="T3853" i="1"/>
  <c r="U3853" i="1"/>
  <c r="T3854" i="1"/>
  <c r="U3854" i="1"/>
  <c r="T3855" i="1"/>
  <c r="U3855" i="1"/>
  <c r="T3856" i="1"/>
  <c r="U3856" i="1"/>
  <c r="T3857" i="1"/>
  <c r="U3857" i="1"/>
  <c r="T3858" i="1"/>
  <c r="U3858" i="1"/>
  <c r="T3859" i="1"/>
  <c r="U3859" i="1"/>
  <c r="T3860" i="1"/>
  <c r="U3860" i="1"/>
  <c r="T3861" i="1"/>
  <c r="U3861" i="1"/>
  <c r="T3862" i="1"/>
  <c r="U3862" i="1"/>
  <c r="T3863" i="1"/>
  <c r="U3863" i="1"/>
  <c r="T3864" i="1"/>
  <c r="U3864" i="1"/>
  <c r="T3865" i="1"/>
  <c r="U3865" i="1"/>
  <c r="T3866" i="1"/>
  <c r="U3866" i="1"/>
  <c r="T3867" i="1"/>
  <c r="U3867" i="1"/>
  <c r="T3868" i="1"/>
  <c r="U3868" i="1"/>
  <c r="T3869" i="1"/>
  <c r="U3869" i="1"/>
  <c r="T3870" i="1"/>
  <c r="U3870" i="1"/>
  <c r="T3871" i="1"/>
  <c r="U3871" i="1"/>
  <c r="T3872" i="1"/>
  <c r="U3872" i="1"/>
  <c r="T3873" i="1"/>
  <c r="U3873" i="1"/>
  <c r="T3874" i="1"/>
  <c r="U3874" i="1"/>
  <c r="T3875" i="1"/>
  <c r="U3875" i="1"/>
  <c r="T3876" i="1"/>
  <c r="U3876" i="1"/>
  <c r="T3877" i="1"/>
  <c r="U3877" i="1"/>
  <c r="T3878" i="1"/>
  <c r="U3878" i="1"/>
  <c r="T3879" i="1"/>
  <c r="U3879" i="1"/>
  <c r="T3880" i="1"/>
  <c r="U3880" i="1"/>
  <c r="T3881" i="1"/>
  <c r="U3881" i="1"/>
  <c r="T3882" i="1"/>
  <c r="U3882" i="1"/>
  <c r="T3883" i="1"/>
  <c r="U3883" i="1"/>
  <c r="T3884" i="1"/>
  <c r="U3884" i="1"/>
  <c r="T3885" i="1"/>
  <c r="U3885" i="1"/>
  <c r="T3886" i="1"/>
  <c r="U3886" i="1"/>
  <c r="T3887" i="1"/>
  <c r="U3887" i="1"/>
  <c r="T3888" i="1"/>
  <c r="U3888" i="1"/>
  <c r="T3889" i="1"/>
  <c r="U3889" i="1"/>
  <c r="T3890" i="1"/>
  <c r="U3890" i="1"/>
  <c r="T3891" i="1"/>
  <c r="U3891" i="1"/>
  <c r="T3892" i="1"/>
  <c r="U3892" i="1"/>
  <c r="T3893" i="1"/>
  <c r="U3893" i="1"/>
  <c r="T3894" i="1"/>
  <c r="U3894" i="1"/>
  <c r="T3895" i="1"/>
  <c r="U3895" i="1"/>
  <c r="T3896" i="1"/>
  <c r="U3896" i="1"/>
  <c r="T3897" i="1"/>
  <c r="U3897" i="1"/>
  <c r="T3898" i="1"/>
  <c r="U3898" i="1"/>
  <c r="T3899" i="1"/>
  <c r="U3899" i="1"/>
  <c r="T3900" i="1"/>
  <c r="U3900" i="1"/>
  <c r="T3901" i="1"/>
  <c r="U3901" i="1"/>
  <c r="T3902" i="1"/>
  <c r="U3902" i="1"/>
  <c r="T3903" i="1"/>
  <c r="U3903" i="1"/>
  <c r="T3904" i="1"/>
  <c r="U3904" i="1"/>
  <c r="T3905" i="1"/>
  <c r="U3905" i="1"/>
  <c r="T3906" i="1"/>
  <c r="U3906" i="1"/>
  <c r="T3907" i="1"/>
  <c r="U3907" i="1"/>
  <c r="T3908" i="1"/>
  <c r="U3908" i="1"/>
  <c r="T3909" i="1"/>
  <c r="U3909" i="1"/>
  <c r="T3910" i="1"/>
  <c r="U3910" i="1"/>
  <c r="T3911" i="1"/>
  <c r="U3911" i="1"/>
  <c r="T3912" i="1"/>
  <c r="U3912" i="1"/>
  <c r="T3913" i="1"/>
  <c r="U3913" i="1"/>
  <c r="T3914" i="1"/>
  <c r="U3914" i="1"/>
  <c r="T3915" i="1"/>
  <c r="U3915" i="1"/>
  <c r="T3916" i="1"/>
  <c r="U3916" i="1"/>
  <c r="T3917" i="1"/>
  <c r="U3917" i="1"/>
  <c r="T3918" i="1"/>
  <c r="U3918" i="1"/>
  <c r="T3919" i="1"/>
  <c r="U3919" i="1"/>
  <c r="T3920" i="1"/>
  <c r="U3920" i="1"/>
  <c r="T3921" i="1"/>
  <c r="U3921" i="1"/>
  <c r="T3922" i="1"/>
  <c r="U3922" i="1"/>
  <c r="T3923" i="1"/>
  <c r="U3923" i="1"/>
  <c r="T3924" i="1"/>
  <c r="U3924" i="1"/>
  <c r="T3925" i="1"/>
  <c r="U3925" i="1"/>
  <c r="T3926" i="1"/>
  <c r="U3926" i="1"/>
  <c r="T3927" i="1"/>
  <c r="U3927" i="1"/>
  <c r="T3928" i="1"/>
  <c r="U3928" i="1"/>
  <c r="T3929" i="1"/>
  <c r="U3929" i="1"/>
  <c r="T3930" i="1"/>
  <c r="U3930" i="1"/>
  <c r="T3931" i="1"/>
  <c r="U3931" i="1"/>
  <c r="T3932" i="1"/>
  <c r="U3932" i="1"/>
  <c r="T3933" i="1"/>
  <c r="U3933" i="1"/>
  <c r="T3934" i="1"/>
  <c r="U3934" i="1"/>
  <c r="T3935" i="1"/>
  <c r="U3935" i="1"/>
  <c r="T3936" i="1"/>
  <c r="U3936" i="1"/>
  <c r="T3937" i="1"/>
  <c r="U3937" i="1"/>
  <c r="T3938" i="1"/>
  <c r="U3938" i="1"/>
  <c r="T3939" i="1"/>
  <c r="U3939" i="1"/>
  <c r="T3940" i="1"/>
  <c r="U3940" i="1"/>
  <c r="T3941" i="1"/>
  <c r="U3941" i="1"/>
  <c r="T3942" i="1"/>
  <c r="U3942" i="1"/>
  <c r="T3943" i="1"/>
  <c r="U3943" i="1"/>
  <c r="T3944" i="1"/>
  <c r="U3944" i="1"/>
  <c r="T3945" i="1"/>
  <c r="U3945" i="1"/>
  <c r="T3946" i="1"/>
  <c r="U3946" i="1"/>
  <c r="T3947" i="1"/>
  <c r="U3947" i="1"/>
  <c r="T3948" i="1"/>
  <c r="U3948" i="1"/>
  <c r="T3949" i="1"/>
  <c r="U3949" i="1"/>
  <c r="T3950" i="1"/>
  <c r="U3950" i="1"/>
  <c r="T3951" i="1"/>
  <c r="U3951" i="1"/>
  <c r="T3952" i="1"/>
  <c r="U3952" i="1"/>
  <c r="T3953" i="1"/>
  <c r="U3953" i="1"/>
  <c r="T3954" i="1"/>
  <c r="U3954" i="1"/>
  <c r="T3955" i="1"/>
  <c r="U3955" i="1"/>
  <c r="T3956" i="1"/>
  <c r="U3956" i="1"/>
  <c r="T3957" i="1"/>
  <c r="U3957" i="1"/>
  <c r="T3958" i="1"/>
  <c r="U3958" i="1"/>
  <c r="T3959" i="1"/>
  <c r="U3959" i="1"/>
  <c r="T3960" i="1"/>
  <c r="U3960" i="1"/>
  <c r="T3961" i="1"/>
  <c r="U3961" i="1"/>
  <c r="T3962" i="1"/>
  <c r="U3962" i="1"/>
  <c r="T3963" i="1"/>
  <c r="U3963" i="1"/>
  <c r="T3964" i="1"/>
  <c r="U3964" i="1"/>
  <c r="T3965" i="1"/>
  <c r="U3965" i="1"/>
  <c r="T3966" i="1"/>
  <c r="U3966" i="1"/>
  <c r="T3967" i="1"/>
  <c r="U3967" i="1"/>
  <c r="T3968" i="1"/>
  <c r="U3968" i="1"/>
  <c r="T3969" i="1"/>
  <c r="U3969" i="1"/>
  <c r="T3970" i="1"/>
  <c r="U3970" i="1"/>
  <c r="T3971" i="1"/>
  <c r="U3971" i="1"/>
  <c r="T3972" i="1"/>
  <c r="U3972" i="1"/>
  <c r="T3973" i="1"/>
  <c r="U3973" i="1"/>
  <c r="T3974" i="1"/>
  <c r="U3974" i="1"/>
  <c r="T3975" i="1"/>
  <c r="U3975"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3" i="1"/>
  <c r="U3993"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8" i="1"/>
  <c r="U4028" i="1"/>
  <c r="T4029" i="1"/>
  <c r="U4029" i="1"/>
  <c r="T4030" i="1"/>
  <c r="U4030" i="1"/>
  <c r="T4031" i="1"/>
  <c r="U4031" i="1"/>
  <c r="T4032" i="1"/>
  <c r="U4032" i="1"/>
  <c r="T4033" i="1"/>
  <c r="U4033" i="1"/>
  <c r="T4034" i="1"/>
  <c r="U4034" i="1"/>
  <c r="T4035" i="1"/>
  <c r="U4035" i="1"/>
  <c r="T4036" i="1"/>
  <c r="U4036" i="1"/>
  <c r="T4037" i="1"/>
  <c r="U4037" i="1"/>
  <c r="T4038" i="1"/>
  <c r="U4038" i="1"/>
  <c r="T4039" i="1"/>
  <c r="U4039" i="1"/>
  <c r="T4040" i="1"/>
  <c r="U4040" i="1"/>
  <c r="T4041" i="1"/>
  <c r="U4041" i="1"/>
  <c r="T4042" i="1"/>
  <c r="U4042" i="1"/>
  <c r="T4043" i="1"/>
  <c r="U4043" i="1"/>
  <c r="T4044" i="1"/>
  <c r="U4044" i="1"/>
  <c r="T4045" i="1"/>
  <c r="U4045" i="1"/>
  <c r="T4046" i="1"/>
  <c r="U4046" i="1"/>
  <c r="T4047" i="1"/>
  <c r="U4047" i="1"/>
  <c r="T4048" i="1"/>
  <c r="U4048" i="1"/>
  <c r="T4049" i="1"/>
  <c r="U4049" i="1"/>
  <c r="T4050" i="1"/>
  <c r="U4050" i="1"/>
  <c r="T4051" i="1"/>
  <c r="U4051" i="1"/>
  <c r="T4052" i="1"/>
  <c r="U4052" i="1"/>
  <c r="T4053" i="1"/>
  <c r="U4053" i="1"/>
  <c r="T4054" i="1"/>
  <c r="U4054" i="1"/>
  <c r="T4055" i="1"/>
  <c r="U4055" i="1"/>
  <c r="T4056" i="1"/>
  <c r="U4056" i="1"/>
  <c r="T4057" i="1"/>
  <c r="U4057" i="1"/>
  <c r="T4058" i="1"/>
  <c r="U4058" i="1"/>
  <c r="T4059" i="1"/>
  <c r="U4059" i="1"/>
  <c r="T4060" i="1"/>
  <c r="U4060" i="1"/>
  <c r="T4061" i="1"/>
  <c r="U4061" i="1"/>
  <c r="T4062" i="1"/>
  <c r="U4062" i="1"/>
  <c r="T4063" i="1"/>
  <c r="U4063" i="1"/>
  <c r="T4064" i="1"/>
  <c r="U4064" i="1"/>
  <c r="T4065" i="1"/>
  <c r="U4065" i="1"/>
  <c r="T4066" i="1"/>
  <c r="U4066" i="1"/>
  <c r="T4067" i="1"/>
  <c r="U4067" i="1"/>
  <c r="T4068" i="1"/>
  <c r="U4068" i="1"/>
  <c r="T4069" i="1"/>
  <c r="U4069" i="1"/>
  <c r="T4070" i="1"/>
  <c r="U4070" i="1"/>
  <c r="T4071" i="1"/>
  <c r="U4071" i="1"/>
  <c r="T4072" i="1"/>
  <c r="U4072" i="1"/>
  <c r="T4073" i="1"/>
  <c r="U4073" i="1"/>
  <c r="T4074" i="1"/>
  <c r="U4074" i="1"/>
  <c r="T4075" i="1"/>
  <c r="U4075" i="1"/>
  <c r="T4076" i="1"/>
  <c r="U4076" i="1"/>
  <c r="T4077" i="1"/>
  <c r="U4077" i="1"/>
  <c r="T4078" i="1"/>
  <c r="U4078" i="1"/>
  <c r="T4079" i="1"/>
  <c r="U4079" i="1"/>
  <c r="T4080" i="1"/>
  <c r="U4080" i="1"/>
  <c r="T4081" i="1"/>
  <c r="U4081" i="1"/>
  <c r="T4082" i="1"/>
  <c r="U4082" i="1"/>
  <c r="T4083" i="1"/>
  <c r="U4083" i="1"/>
  <c r="T4084" i="1"/>
  <c r="U4084" i="1"/>
  <c r="T4085" i="1"/>
  <c r="U4085" i="1"/>
  <c r="T4086" i="1"/>
  <c r="U4086" i="1"/>
  <c r="T4087" i="1"/>
  <c r="U4087" i="1"/>
  <c r="T4088" i="1"/>
  <c r="U4088" i="1"/>
  <c r="T4089" i="1"/>
  <c r="U4089" i="1"/>
  <c r="T4090" i="1"/>
  <c r="U4090" i="1"/>
  <c r="T4091" i="1"/>
  <c r="U4091" i="1"/>
  <c r="T4092" i="1"/>
  <c r="U4092" i="1"/>
  <c r="T4093" i="1"/>
  <c r="U4093" i="1"/>
  <c r="T4094" i="1"/>
  <c r="U4094" i="1"/>
  <c r="T4095" i="1"/>
  <c r="U4095" i="1"/>
  <c r="T4096" i="1"/>
  <c r="U4096" i="1"/>
  <c r="T4097" i="1"/>
  <c r="U4097" i="1"/>
  <c r="T4098" i="1"/>
  <c r="U4098" i="1"/>
  <c r="T4099" i="1"/>
  <c r="U4099" i="1"/>
  <c r="T4100" i="1"/>
  <c r="U4100" i="1"/>
  <c r="T4101" i="1"/>
  <c r="U4101" i="1"/>
  <c r="T4102" i="1"/>
  <c r="U4102" i="1"/>
  <c r="T4104" i="1"/>
  <c r="U4104" i="1"/>
  <c r="T4105" i="1"/>
  <c r="U4105" i="1"/>
  <c r="T4106" i="1"/>
  <c r="U4106" i="1"/>
  <c r="T4107" i="1"/>
  <c r="U4107" i="1"/>
  <c r="T4108" i="1"/>
  <c r="U4108" i="1"/>
  <c r="T4109" i="1"/>
  <c r="U4109" i="1"/>
  <c r="T4110" i="1"/>
  <c r="U4110" i="1"/>
  <c r="T4111" i="1"/>
  <c r="U4111" i="1"/>
  <c r="T4112" i="1"/>
  <c r="U4112" i="1"/>
  <c r="T4113" i="1"/>
  <c r="U4113" i="1"/>
  <c r="T4114" i="1"/>
  <c r="U4114" i="1"/>
  <c r="T4115" i="1"/>
  <c r="U4115" i="1"/>
  <c r="T4116" i="1"/>
  <c r="U4116" i="1"/>
  <c r="T4117" i="1"/>
  <c r="U4117" i="1"/>
  <c r="T4118" i="1"/>
  <c r="U4118" i="1"/>
  <c r="T4119" i="1"/>
  <c r="U4119" i="1"/>
  <c r="T4120" i="1"/>
  <c r="U4120" i="1"/>
  <c r="T4121" i="1"/>
  <c r="U4121" i="1"/>
  <c r="T4122" i="1"/>
  <c r="U4122" i="1"/>
  <c r="T4123" i="1"/>
  <c r="U4123" i="1"/>
  <c r="T4124" i="1"/>
  <c r="U4124" i="1"/>
  <c r="T4125" i="1"/>
  <c r="U4125" i="1"/>
  <c r="T4126" i="1"/>
  <c r="U4126" i="1"/>
  <c r="T4127" i="1"/>
  <c r="U4127" i="1"/>
  <c r="T4128" i="1"/>
  <c r="U4128" i="1"/>
  <c r="T4129" i="1"/>
  <c r="U4129" i="1"/>
  <c r="T4130" i="1"/>
  <c r="U4130" i="1"/>
  <c r="T4131" i="1"/>
  <c r="U4131" i="1"/>
  <c r="T4132" i="1"/>
  <c r="U4132" i="1"/>
  <c r="T4133" i="1"/>
  <c r="U4133" i="1"/>
  <c r="T4134" i="1"/>
  <c r="U4134" i="1"/>
  <c r="T4135" i="1"/>
  <c r="U4135" i="1"/>
  <c r="T4136" i="1"/>
  <c r="U4136" i="1"/>
  <c r="T4137" i="1"/>
  <c r="U4137" i="1"/>
  <c r="T4138" i="1"/>
  <c r="U4138" i="1"/>
  <c r="T4139" i="1"/>
  <c r="U4139" i="1"/>
  <c r="T4140" i="1"/>
  <c r="U4140" i="1"/>
  <c r="T4141" i="1"/>
  <c r="U4141" i="1"/>
  <c r="T4142" i="1"/>
  <c r="U4142" i="1"/>
  <c r="T4143" i="1"/>
  <c r="U4143" i="1"/>
  <c r="T4144" i="1"/>
  <c r="U4144" i="1"/>
  <c r="T4145" i="1"/>
  <c r="U4145" i="1"/>
  <c r="T4146" i="1"/>
  <c r="U4146" i="1"/>
  <c r="T4147" i="1"/>
  <c r="U4147" i="1"/>
  <c r="T4148" i="1"/>
  <c r="U4148" i="1"/>
  <c r="T4149" i="1"/>
  <c r="U4149" i="1"/>
  <c r="T4150" i="1"/>
  <c r="U4150" i="1"/>
  <c r="T4151" i="1"/>
  <c r="U4151" i="1"/>
  <c r="T4152" i="1"/>
  <c r="U4152" i="1"/>
  <c r="T4153" i="1"/>
  <c r="U4153" i="1"/>
  <c r="T4154" i="1"/>
  <c r="U4154" i="1"/>
  <c r="T4155" i="1"/>
  <c r="U4155" i="1"/>
  <c r="T4156" i="1"/>
  <c r="U4156" i="1"/>
  <c r="T4157" i="1"/>
  <c r="U4157" i="1"/>
  <c r="T4158" i="1"/>
  <c r="U4158" i="1"/>
  <c r="T4159" i="1"/>
  <c r="U4159" i="1"/>
  <c r="T4160" i="1"/>
  <c r="U4160" i="1"/>
  <c r="T4161" i="1"/>
  <c r="U4161" i="1"/>
  <c r="T4162" i="1"/>
  <c r="U4162" i="1"/>
  <c r="T4163" i="1"/>
  <c r="U4163" i="1"/>
  <c r="T4164" i="1"/>
  <c r="U4164" i="1"/>
  <c r="T4165" i="1"/>
  <c r="U4165" i="1"/>
  <c r="T4166" i="1"/>
  <c r="U4166" i="1"/>
  <c r="T4167" i="1"/>
  <c r="U4167" i="1"/>
  <c r="T4168" i="1"/>
  <c r="U4168" i="1"/>
  <c r="T4169" i="1"/>
  <c r="U4169" i="1"/>
  <c r="T4170" i="1"/>
  <c r="U4170" i="1"/>
  <c r="T4171" i="1"/>
  <c r="U4171" i="1"/>
  <c r="T4172" i="1"/>
  <c r="U4172" i="1"/>
  <c r="T4173" i="1"/>
  <c r="U4173" i="1"/>
  <c r="T4174" i="1"/>
  <c r="U4174" i="1"/>
  <c r="T4175" i="1"/>
  <c r="U4175" i="1"/>
  <c r="T4176" i="1"/>
  <c r="U4176" i="1"/>
  <c r="T4177" i="1"/>
  <c r="U4177" i="1"/>
  <c r="T4178" i="1"/>
  <c r="U4178" i="1"/>
  <c r="T4179" i="1"/>
  <c r="U4179" i="1"/>
  <c r="T4180" i="1"/>
  <c r="U4180" i="1"/>
  <c r="T4181" i="1"/>
  <c r="U4181" i="1"/>
  <c r="T4182" i="1"/>
  <c r="U4182" i="1"/>
  <c r="T4183" i="1"/>
  <c r="U4183" i="1"/>
  <c r="T4184" i="1"/>
  <c r="U4184" i="1"/>
  <c r="T4185" i="1"/>
  <c r="U4185" i="1"/>
  <c r="T4186" i="1"/>
  <c r="U4186" i="1"/>
  <c r="T4187" i="1"/>
  <c r="U4187" i="1"/>
  <c r="T4188" i="1"/>
  <c r="U4188" i="1"/>
  <c r="T4189" i="1"/>
  <c r="U4189" i="1"/>
  <c r="T4190" i="1"/>
  <c r="U4190" i="1"/>
  <c r="T4191" i="1"/>
  <c r="U4191" i="1"/>
  <c r="T4192" i="1"/>
  <c r="U4192" i="1"/>
  <c r="T4193" i="1"/>
  <c r="U4193" i="1"/>
  <c r="T4194" i="1"/>
  <c r="U4194" i="1"/>
  <c r="T4195" i="1"/>
  <c r="U4195" i="1"/>
  <c r="T4196" i="1"/>
  <c r="U4196" i="1"/>
  <c r="T4197" i="1"/>
  <c r="U4197" i="1"/>
  <c r="T4198" i="1"/>
  <c r="U4198" i="1"/>
  <c r="T4199" i="1"/>
  <c r="U4199" i="1"/>
  <c r="T4200" i="1"/>
  <c r="U4200" i="1"/>
  <c r="T4201" i="1"/>
  <c r="U4201" i="1"/>
  <c r="T4202" i="1"/>
  <c r="U4202" i="1"/>
  <c r="T4203" i="1"/>
  <c r="U4203" i="1"/>
  <c r="T4204" i="1"/>
  <c r="U4204" i="1"/>
  <c r="T4205" i="1"/>
  <c r="U4205" i="1"/>
  <c r="T4206" i="1"/>
  <c r="U4206" i="1"/>
  <c r="T4207" i="1"/>
  <c r="U4207" i="1"/>
  <c r="T4208" i="1"/>
  <c r="U4208" i="1"/>
  <c r="T4209" i="1"/>
  <c r="U4209" i="1"/>
  <c r="T4210" i="1"/>
  <c r="U4210" i="1"/>
  <c r="T4211" i="1"/>
  <c r="U4211" i="1"/>
  <c r="T4212" i="1"/>
  <c r="U4212" i="1"/>
  <c r="T4213" i="1"/>
  <c r="U4213" i="1"/>
  <c r="T4214" i="1"/>
  <c r="U4214" i="1"/>
  <c r="T4215" i="1"/>
  <c r="U4215" i="1"/>
  <c r="T4216" i="1"/>
  <c r="U4216" i="1"/>
  <c r="T4217" i="1"/>
  <c r="U4217" i="1"/>
  <c r="T4218" i="1"/>
  <c r="U4218" i="1"/>
  <c r="T4219" i="1"/>
  <c r="U4219" i="1"/>
  <c r="T4220" i="1"/>
  <c r="U4220" i="1"/>
  <c r="T4221" i="1"/>
  <c r="U4221" i="1"/>
  <c r="T4222" i="1"/>
  <c r="U4222" i="1"/>
  <c r="T4223" i="1"/>
  <c r="U4223" i="1"/>
  <c r="T4224" i="1"/>
  <c r="U4224" i="1"/>
  <c r="T4225" i="1"/>
  <c r="U4225" i="1"/>
  <c r="T4226" i="1"/>
  <c r="U4226" i="1"/>
  <c r="T4227" i="1"/>
  <c r="U4227" i="1"/>
  <c r="T4228" i="1"/>
  <c r="U4228" i="1"/>
  <c r="T4229" i="1"/>
  <c r="U4229" i="1"/>
  <c r="T4230" i="1"/>
  <c r="U4230" i="1"/>
  <c r="T4231" i="1"/>
  <c r="U4231" i="1"/>
  <c r="T4232" i="1"/>
  <c r="U4232" i="1"/>
  <c r="T4233" i="1"/>
  <c r="U4233" i="1"/>
  <c r="T4234" i="1"/>
  <c r="U4234" i="1"/>
  <c r="T4235" i="1"/>
  <c r="U4235" i="1"/>
  <c r="T4236" i="1"/>
  <c r="U4236" i="1"/>
  <c r="T4237" i="1"/>
  <c r="U4237" i="1"/>
  <c r="T4238" i="1"/>
  <c r="U4238" i="1"/>
  <c r="T4239" i="1"/>
  <c r="U4239" i="1"/>
  <c r="T4240" i="1"/>
  <c r="U4240" i="1"/>
  <c r="T4241" i="1"/>
  <c r="U4241" i="1"/>
  <c r="T4242" i="1"/>
  <c r="U4242" i="1"/>
  <c r="T4243" i="1"/>
  <c r="U4243" i="1"/>
  <c r="T4244" i="1"/>
  <c r="U4244" i="1"/>
  <c r="T4245" i="1"/>
  <c r="U4245" i="1"/>
  <c r="T4246" i="1"/>
  <c r="U4246" i="1"/>
  <c r="T4247" i="1"/>
  <c r="U4247" i="1"/>
  <c r="T4248" i="1"/>
  <c r="U4248" i="1"/>
  <c r="T4249" i="1"/>
  <c r="U4249" i="1"/>
  <c r="T4250" i="1"/>
  <c r="U4250" i="1"/>
  <c r="T4251" i="1"/>
  <c r="U4251" i="1"/>
  <c r="T4252" i="1"/>
  <c r="U4252" i="1"/>
  <c r="T4253" i="1"/>
  <c r="U4253" i="1"/>
  <c r="T4254" i="1"/>
  <c r="U4254" i="1"/>
  <c r="T4255" i="1"/>
  <c r="U4255" i="1"/>
  <c r="T4256" i="1"/>
  <c r="U4256" i="1"/>
  <c r="T4257" i="1"/>
  <c r="U4257" i="1"/>
  <c r="T4258" i="1"/>
  <c r="U4258" i="1"/>
  <c r="T4259" i="1"/>
  <c r="U4259" i="1"/>
  <c r="T4261" i="1"/>
  <c r="U4261" i="1"/>
  <c r="T4262" i="1"/>
  <c r="U4262" i="1"/>
  <c r="T4263" i="1"/>
  <c r="U4263" i="1"/>
  <c r="T4264" i="1"/>
  <c r="U4264" i="1"/>
  <c r="T4265" i="1"/>
  <c r="U4265" i="1"/>
  <c r="T4266" i="1"/>
  <c r="U4266" i="1"/>
  <c r="T4267" i="1"/>
  <c r="U4267" i="1"/>
  <c r="T4268" i="1"/>
  <c r="U4268" i="1"/>
  <c r="T4269" i="1"/>
  <c r="U4269" i="1"/>
  <c r="T4270" i="1"/>
  <c r="U4270" i="1"/>
  <c r="T4271" i="1"/>
  <c r="U4271" i="1"/>
  <c r="T4272" i="1"/>
  <c r="U4272" i="1"/>
  <c r="T4273" i="1"/>
  <c r="U4273" i="1"/>
  <c r="T4274" i="1"/>
  <c r="U4274" i="1"/>
  <c r="T4275" i="1"/>
  <c r="U4275" i="1"/>
  <c r="T4276" i="1"/>
  <c r="U4276" i="1"/>
  <c r="T4277" i="1"/>
  <c r="U4277" i="1"/>
  <c r="T4278" i="1"/>
  <c r="U4278" i="1"/>
  <c r="T4279" i="1"/>
  <c r="U4279" i="1"/>
  <c r="T4280" i="1"/>
  <c r="U4280" i="1"/>
  <c r="T4281" i="1"/>
  <c r="U4281" i="1"/>
  <c r="T4282" i="1"/>
  <c r="U4282" i="1"/>
  <c r="T4283" i="1"/>
  <c r="U4283" i="1"/>
  <c r="T4284" i="1"/>
  <c r="U4284" i="1"/>
  <c r="T4285" i="1"/>
  <c r="U4285" i="1"/>
  <c r="T4286" i="1"/>
  <c r="U4286" i="1"/>
  <c r="T4287" i="1"/>
  <c r="U4287" i="1"/>
  <c r="T4288" i="1"/>
  <c r="U4288" i="1"/>
  <c r="T4289" i="1"/>
  <c r="U4289" i="1"/>
  <c r="T4290" i="1"/>
  <c r="U4290" i="1"/>
  <c r="T4291" i="1"/>
  <c r="U4291" i="1"/>
  <c r="T4292" i="1"/>
  <c r="U4292" i="1"/>
  <c r="T4293" i="1"/>
  <c r="U4293" i="1"/>
  <c r="T4294" i="1"/>
  <c r="U4294" i="1"/>
  <c r="T4295" i="1"/>
  <c r="U4295" i="1"/>
  <c r="T4296" i="1"/>
  <c r="U4296" i="1"/>
  <c r="T4297" i="1"/>
  <c r="U4297" i="1"/>
  <c r="T4298" i="1"/>
  <c r="U4298" i="1"/>
  <c r="T4299" i="1"/>
  <c r="U4299" i="1"/>
  <c r="T4300" i="1"/>
  <c r="U4300" i="1"/>
  <c r="T4301" i="1"/>
  <c r="U4301" i="1"/>
  <c r="T4302" i="1"/>
  <c r="U4302" i="1"/>
  <c r="T4303" i="1"/>
  <c r="U4303" i="1"/>
  <c r="T4304" i="1"/>
  <c r="U4304" i="1"/>
  <c r="T4305" i="1"/>
  <c r="U4305" i="1"/>
  <c r="T4306" i="1"/>
  <c r="U4306" i="1"/>
  <c r="T4307" i="1"/>
  <c r="U4307" i="1"/>
  <c r="T4308" i="1"/>
  <c r="U4308" i="1"/>
  <c r="T4309" i="1"/>
  <c r="U4309" i="1"/>
  <c r="T4310" i="1"/>
  <c r="U4310" i="1"/>
  <c r="T4311" i="1"/>
  <c r="U4311" i="1"/>
  <c r="T4312" i="1"/>
  <c r="U4312" i="1"/>
  <c r="T4313" i="1"/>
  <c r="U4313" i="1"/>
  <c r="T4314" i="1"/>
  <c r="U4314" i="1"/>
  <c r="T4315" i="1"/>
  <c r="U4315" i="1"/>
  <c r="T4316" i="1"/>
  <c r="U4316" i="1"/>
  <c r="T4317" i="1"/>
  <c r="U4317" i="1"/>
  <c r="T4318" i="1"/>
  <c r="U4318" i="1"/>
  <c r="T4319" i="1"/>
  <c r="U4319" i="1"/>
  <c r="T4320" i="1"/>
  <c r="U4320" i="1"/>
  <c r="T4321" i="1"/>
  <c r="U4321" i="1"/>
  <c r="T4322" i="1"/>
  <c r="U4322" i="1"/>
  <c r="T4323" i="1"/>
  <c r="U4323" i="1"/>
  <c r="T4324" i="1"/>
  <c r="U4324" i="1"/>
  <c r="T4325" i="1"/>
  <c r="U4325" i="1"/>
  <c r="T4326" i="1"/>
  <c r="U4326" i="1"/>
  <c r="T4327" i="1"/>
  <c r="U4327" i="1"/>
  <c r="T4328" i="1"/>
  <c r="U4328" i="1"/>
  <c r="T4329" i="1"/>
  <c r="U4329" i="1"/>
  <c r="T4330" i="1"/>
  <c r="U4330" i="1"/>
  <c r="T4331" i="1"/>
  <c r="U4331" i="1"/>
  <c r="T4332" i="1"/>
  <c r="U4332" i="1"/>
  <c r="T4333" i="1"/>
  <c r="U4333" i="1"/>
  <c r="T4334" i="1"/>
  <c r="U4334" i="1"/>
  <c r="T4335" i="1"/>
  <c r="U4335" i="1"/>
  <c r="T4336" i="1"/>
  <c r="U4336" i="1"/>
  <c r="T4337" i="1"/>
  <c r="U4337" i="1"/>
  <c r="T4338" i="1"/>
  <c r="U4338" i="1"/>
  <c r="T4339" i="1"/>
  <c r="U4339" i="1"/>
  <c r="T4340" i="1"/>
  <c r="U4340" i="1"/>
  <c r="T4341" i="1"/>
  <c r="U4341" i="1"/>
  <c r="T4342" i="1"/>
  <c r="U4342" i="1"/>
  <c r="T4343" i="1"/>
  <c r="U4343" i="1"/>
  <c r="T4344" i="1"/>
  <c r="U4344" i="1"/>
  <c r="T4345" i="1"/>
  <c r="U4345" i="1"/>
  <c r="T4346" i="1"/>
  <c r="U4346" i="1"/>
  <c r="T4347" i="1"/>
  <c r="U4347" i="1"/>
  <c r="T4348" i="1"/>
  <c r="U4348" i="1"/>
  <c r="T4349" i="1"/>
  <c r="U4349" i="1"/>
  <c r="T4350" i="1"/>
  <c r="U4350" i="1"/>
  <c r="T4351" i="1"/>
  <c r="U4351" i="1"/>
  <c r="T4352" i="1"/>
  <c r="U4352" i="1"/>
  <c r="T4353" i="1"/>
  <c r="U4353" i="1"/>
  <c r="T4354" i="1"/>
  <c r="U4354" i="1"/>
  <c r="T4355" i="1"/>
  <c r="U4355" i="1"/>
  <c r="T4356" i="1"/>
  <c r="U4356" i="1"/>
  <c r="T4357" i="1"/>
  <c r="U4357" i="1"/>
  <c r="T4358" i="1"/>
  <c r="U4358" i="1"/>
  <c r="T4359" i="1"/>
  <c r="U4359" i="1"/>
  <c r="T4360" i="1"/>
  <c r="U4360" i="1"/>
  <c r="T4361" i="1"/>
  <c r="U4361" i="1"/>
  <c r="T4362" i="1"/>
  <c r="U4362" i="1"/>
  <c r="T4363" i="1"/>
  <c r="U4363" i="1"/>
  <c r="T4364" i="1"/>
  <c r="U4364" i="1"/>
  <c r="T4365" i="1"/>
  <c r="U4365" i="1"/>
  <c r="T4366" i="1"/>
  <c r="U4366" i="1"/>
  <c r="T4367" i="1"/>
  <c r="U4367" i="1"/>
  <c r="T4368" i="1"/>
  <c r="U4368" i="1"/>
  <c r="T4369" i="1"/>
  <c r="U4369" i="1"/>
  <c r="T4370" i="1"/>
  <c r="U4370" i="1"/>
  <c r="T4371" i="1"/>
  <c r="U4371" i="1"/>
  <c r="T4372" i="1"/>
  <c r="U4372" i="1"/>
  <c r="T4373" i="1"/>
  <c r="U4373" i="1"/>
  <c r="T4374" i="1"/>
  <c r="U4374" i="1"/>
  <c r="T4375" i="1"/>
  <c r="U4375" i="1"/>
  <c r="T4376" i="1"/>
  <c r="U4376" i="1"/>
  <c r="T4377" i="1"/>
  <c r="U4377" i="1"/>
  <c r="T4378" i="1"/>
  <c r="U4378" i="1"/>
  <c r="T4379" i="1"/>
  <c r="U4379" i="1"/>
  <c r="T4380" i="1"/>
  <c r="U4380" i="1"/>
  <c r="T4381" i="1"/>
  <c r="U4381" i="1"/>
  <c r="T4382" i="1"/>
  <c r="U4382" i="1"/>
  <c r="T4383" i="1"/>
  <c r="U4383" i="1"/>
  <c r="T4384" i="1"/>
  <c r="U4384" i="1"/>
  <c r="T4385" i="1"/>
  <c r="U4385" i="1"/>
  <c r="T4386" i="1"/>
  <c r="U4386" i="1"/>
  <c r="T4387" i="1"/>
  <c r="U4387" i="1"/>
  <c r="T4388" i="1"/>
  <c r="U4388" i="1"/>
  <c r="T4389" i="1"/>
  <c r="U4389" i="1"/>
  <c r="T4390" i="1"/>
  <c r="U4390" i="1"/>
  <c r="T4391" i="1"/>
  <c r="U4391" i="1"/>
  <c r="T4392" i="1"/>
  <c r="U4392" i="1"/>
  <c r="T4393" i="1"/>
  <c r="U4393" i="1"/>
  <c r="T4394" i="1"/>
  <c r="U4394" i="1"/>
  <c r="T4395" i="1"/>
  <c r="U4395" i="1"/>
  <c r="T4396" i="1"/>
  <c r="U4396" i="1"/>
  <c r="T4397" i="1"/>
  <c r="U4397" i="1"/>
  <c r="T4398" i="1"/>
  <c r="U4398" i="1"/>
  <c r="T4399" i="1"/>
  <c r="U4399" i="1"/>
  <c r="T4400" i="1"/>
  <c r="U4400" i="1"/>
  <c r="T4401" i="1"/>
  <c r="U4401" i="1"/>
  <c r="T4402" i="1"/>
  <c r="U4402" i="1"/>
  <c r="T4403" i="1"/>
  <c r="U4403" i="1"/>
  <c r="T4404" i="1"/>
  <c r="U4404" i="1"/>
  <c r="T4405" i="1"/>
  <c r="U4405" i="1"/>
  <c r="T4406" i="1"/>
  <c r="U4406" i="1"/>
  <c r="T4407" i="1"/>
  <c r="U4407" i="1"/>
  <c r="T4408" i="1"/>
  <c r="U4408" i="1"/>
  <c r="T4409" i="1"/>
  <c r="U4409" i="1"/>
  <c r="T4410" i="1"/>
  <c r="U4410" i="1"/>
  <c r="T4411" i="1"/>
  <c r="U4411" i="1"/>
  <c r="T4412" i="1"/>
  <c r="U4412" i="1"/>
  <c r="T4413" i="1"/>
  <c r="U4413" i="1"/>
  <c r="T4414" i="1"/>
  <c r="U4414" i="1"/>
  <c r="T4415" i="1"/>
  <c r="U4415" i="1"/>
  <c r="T4416" i="1"/>
  <c r="U4416" i="1"/>
  <c r="T4417" i="1"/>
  <c r="U4417" i="1"/>
  <c r="T4418" i="1"/>
  <c r="U4418" i="1"/>
  <c r="T4419" i="1"/>
  <c r="U4419" i="1"/>
  <c r="T4420" i="1"/>
  <c r="U4420" i="1"/>
  <c r="T4421" i="1"/>
  <c r="U4421" i="1"/>
  <c r="T4422" i="1"/>
  <c r="U4422" i="1"/>
  <c r="T4423" i="1"/>
  <c r="U4423" i="1"/>
  <c r="T4424" i="1"/>
  <c r="U4424" i="1"/>
  <c r="T4425" i="1"/>
  <c r="U4425" i="1"/>
  <c r="T4426" i="1"/>
  <c r="U4426" i="1"/>
  <c r="T4427" i="1"/>
  <c r="U4427" i="1"/>
  <c r="T4428" i="1"/>
  <c r="U4428" i="1"/>
  <c r="T4429" i="1"/>
  <c r="U4429" i="1"/>
  <c r="T4430" i="1"/>
  <c r="U4430" i="1"/>
  <c r="T4431" i="1"/>
  <c r="U4431" i="1"/>
  <c r="T4432" i="1"/>
  <c r="U4432" i="1"/>
  <c r="T4433" i="1"/>
  <c r="U4433" i="1"/>
  <c r="T4434" i="1"/>
  <c r="U4434" i="1"/>
  <c r="T4435" i="1"/>
  <c r="U4435" i="1"/>
  <c r="T4436" i="1"/>
  <c r="U4436" i="1"/>
  <c r="T4437" i="1"/>
  <c r="U4437" i="1"/>
  <c r="T4438" i="1"/>
  <c r="U4438" i="1"/>
  <c r="T4439" i="1"/>
  <c r="U4439" i="1"/>
  <c r="T4440" i="1"/>
  <c r="U4440" i="1"/>
  <c r="T4441" i="1"/>
  <c r="U4441" i="1"/>
  <c r="T4442" i="1"/>
  <c r="U4442" i="1"/>
  <c r="T4443" i="1"/>
  <c r="U4443" i="1"/>
  <c r="T4444" i="1"/>
  <c r="U4444" i="1"/>
  <c r="T4445" i="1"/>
  <c r="U4445" i="1"/>
  <c r="T4446" i="1"/>
  <c r="U4446" i="1"/>
  <c r="T4447" i="1"/>
  <c r="U4447" i="1"/>
  <c r="T4448" i="1"/>
  <c r="U4448" i="1"/>
  <c r="T4449" i="1"/>
  <c r="U4449" i="1"/>
  <c r="T4450" i="1"/>
  <c r="U4450" i="1"/>
  <c r="T4451" i="1"/>
  <c r="U4451" i="1"/>
  <c r="T4452" i="1"/>
  <c r="U4452" i="1"/>
  <c r="T4453" i="1"/>
  <c r="U4453" i="1"/>
  <c r="T4454" i="1"/>
  <c r="U4454" i="1"/>
  <c r="T4455" i="1"/>
  <c r="U4455" i="1"/>
  <c r="T4456" i="1"/>
  <c r="U4456" i="1"/>
  <c r="T4457" i="1"/>
  <c r="U4457" i="1"/>
  <c r="T4458" i="1"/>
  <c r="U4458" i="1"/>
  <c r="T4459" i="1"/>
  <c r="U4459" i="1"/>
  <c r="T4460" i="1"/>
  <c r="U4460" i="1"/>
  <c r="T4461" i="1"/>
  <c r="U4461" i="1"/>
  <c r="T4462" i="1"/>
  <c r="U4462" i="1"/>
  <c r="T4463" i="1"/>
  <c r="U4463" i="1"/>
  <c r="T4464" i="1"/>
  <c r="U4464" i="1"/>
  <c r="T4465" i="1"/>
  <c r="U4465" i="1"/>
  <c r="T4466" i="1"/>
  <c r="U4466" i="1"/>
  <c r="T4467" i="1"/>
  <c r="U4467" i="1"/>
  <c r="T4468" i="1"/>
  <c r="U4468" i="1"/>
  <c r="T4469" i="1"/>
  <c r="U4469" i="1"/>
  <c r="T4470" i="1"/>
  <c r="U4470" i="1"/>
  <c r="T4471" i="1"/>
  <c r="U4471" i="1"/>
  <c r="T4472" i="1"/>
  <c r="U4472" i="1"/>
  <c r="T4473" i="1"/>
  <c r="U4473" i="1"/>
  <c r="T4474" i="1"/>
  <c r="U4474" i="1"/>
  <c r="T4475" i="1"/>
  <c r="U4475" i="1"/>
  <c r="T4476" i="1"/>
  <c r="U4476" i="1"/>
  <c r="T4477" i="1"/>
  <c r="U4477" i="1"/>
  <c r="T4478" i="1"/>
  <c r="U4478" i="1"/>
  <c r="T4479" i="1"/>
  <c r="U4479" i="1"/>
  <c r="T4480" i="1"/>
  <c r="U4480" i="1"/>
  <c r="T4481" i="1"/>
  <c r="U4481" i="1"/>
  <c r="T4482" i="1"/>
  <c r="U4482" i="1"/>
  <c r="T4483" i="1"/>
  <c r="U4483" i="1"/>
  <c r="T4484" i="1"/>
  <c r="U4484" i="1"/>
  <c r="T4485" i="1"/>
  <c r="U4485" i="1"/>
  <c r="T4486" i="1"/>
  <c r="U4486" i="1"/>
  <c r="T4487" i="1"/>
  <c r="U4487" i="1"/>
  <c r="T4488" i="1"/>
  <c r="U4488" i="1"/>
  <c r="T4489" i="1"/>
  <c r="U4489" i="1"/>
  <c r="T4490" i="1"/>
  <c r="U4490" i="1"/>
  <c r="T4491" i="1"/>
  <c r="U4491" i="1"/>
  <c r="T4492" i="1"/>
  <c r="U4492" i="1"/>
  <c r="T4493" i="1"/>
  <c r="U4493" i="1"/>
  <c r="T4494" i="1"/>
  <c r="U4494" i="1"/>
  <c r="T4495" i="1"/>
  <c r="U4495" i="1"/>
  <c r="T4496" i="1"/>
  <c r="U4496" i="1"/>
  <c r="T4497" i="1"/>
  <c r="U4497" i="1"/>
  <c r="T4498" i="1"/>
  <c r="U4498" i="1"/>
  <c r="T4499" i="1"/>
  <c r="U4499" i="1"/>
  <c r="T4500" i="1"/>
  <c r="U4500" i="1"/>
  <c r="T4501" i="1"/>
  <c r="U4501" i="1"/>
  <c r="T4502" i="1"/>
  <c r="U4502" i="1"/>
  <c r="T4503" i="1"/>
  <c r="U4503" i="1"/>
  <c r="T4504" i="1"/>
  <c r="U4504" i="1"/>
  <c r="T4505" i="1"/>
  <c r="U4505" i="1"/>
  <c r="T4506" i="1"/>
  <c r="U4506" i="1"/>
  <c r="T4507" i="1"/>
  <c r="U4507" i="1"/>
  <c r="T4508" i="1"/>
  <c r="U4508" i="1"/>
  <c r="T4509" i="1"/>
  <c r="U4509" i="1"/>
  <c r="T4510" i="1"/>
  <c r="U4510" i="1"/>
  <c r="T4511" i="1"/>
  <c r="U4511" i="1"/>
  <c r="T4512" i="1"/>
  <c r="U4512" i="1"/>
  <c r="T4513" i="1"/>
  <c r="U4513" i="1"/>
  <c r="T4514" i="1"/>
  <c r="U4514" i="1"/>
  <c r="T4515" i="1"/>
  <c r="U4515" i="1"/>
  <c r="T4516" i="1"/>
  <c r="U4516" i="1"/>
  <c r="T4517" i="1"/>
  <c r="U4517" i="1"/>
  <c r="T4518" i="1"/>
  <c r="U4518" i="1"/>
  <c r="T4519" i="1"/>
  <c r="U4519" i="1"/>
  <c r="T4520" i="1"/>
  <c r="U4520" i="1"/>
  <c r="T4521" i="1"/>
  <c r="U4521" i="1"/>
  <c r="T4522" i="1"/>
  <c r="U4522" i="1"/>
  <c r="T4523" i="1"/>
  <c r="U4523" i="1"/>
  <c r="T4524" i="1"/>
  <c r="U4524" i="1"/>
  <c r="T4525" i="1"/>
  <c r="U4525" i="1"/>
  <c r="T4526" i="1"/>
  <c r="U4526" i="1"/>
  <c r="T4527" i="1"/>
  <c r="U4527" i="1"/>
  <c r="T4528" i="1"/>
  <c r="U4528" i="1"/>
  <c r="T4529" i="1"/>
  <c r="U4529" i="1"/>
  <c r="T4530" i="1"/>
  <c r="U4530" i="1"/>
  <c r="T4531" i="1"/>
  <c r="U4531" i="1"/>
  <c r="T4532" i="1"/>
  <c r="U4532" i="1"/>
  <c r="T4533" i="1"/>
  <c r="U4533" i="1"/>
  <c r="T4534" i="1"/>
  <c r="U4534" i="1"/>
  <c r="T4535" i="1"/>
  <c r="U4535" i="1"/>
  <c r="T4536" i="1"/>
  <c r="U4536" i="1"/>
  <c r="T4537" i="1"/>
  <c r="U4537" i="1"/>
  <c r="T4538" i="1"/>
  <c r="U4538" i="1"/>
  <c r="T4539" i="1"/>
  <c r="U4539" i="1"/>
  <c r="T4540" i="1"/>
  <c r="U4540" i="1"/>
  <c r="T4541" i="1"/>
  <c r="U4541" i="1"/>
  <c r="T4542" i="1"/>
  <c r="U4542" i="1"/>
  <c r="T4543" i="1"/>
  <c r="U4543" i="1"/>
  <c r="T4544" i="1"/>
  <c r="U4544" i="1"/>
  <c r="T4545" i="1"/>
  <c r="U4545" i="1"/>
  <c r="T4546" i="1"/>
  <c r="U4546" i="1"/>
  <c r="T4547" i="1"/>
  <c r="U4547" i="1"/>
  <c r="T4548" i="1"/>
  <c r="U4548" i="1"/>
  <c r="T4549" i="1"/>
  <c r="U4549" i="1"/>
  <c r="T4550" i="1"/>
  <c r="U4550" i="1"/>
  <c r="T4551" i="1"/>
  <c r="U4551" i="1"/>
  <c r="T4552" i="1"/>
  <c r="U4552" i="1"/>
  <c r="T4553" i="1"/>
  <c r="U4553" i="1"/>
  <c r="T4554" i="1"/>
  <c r="U4554" i="1"/>
  <c r="T4555" i="1"/>
  <c r="U4555" i="1"/>
  <c r="T4556" i="1"/>
  <c r="U4556" i="1"/>
  <c r="T4557" i="1"/>
  <c r="U4557" i="1"/>
  <c r="T4558" i="1"/>
  <c r="U4558" i="1"/>
  <c r="T4559" i="1"/>
  <c r="U4559" i="1"/>
  <c r="T4560" i="1"/>
  <c r="U4560" i="1"/>
  <c r="T4561" i="1"/>
  <c r="U4561" i="1"/>
  <c r="T4562" i="1"/>
  <c r="U4562" i="1"/>
  <c r="T4563" i="1"/>
  <c r="U4563" i="1"/>
  <c r="T4564" i="1"/>
  <c r="U4564" i="1"/>
  <c r="T4565" i="1"/>
  <c r="U4565" i="1"/>
  <c r="T4566" i="1"/>
  <c r="U4566" i="1"/>
  <c r="T4567" i="1"/>
  <c r="U4567" i="1"/>
  <c r="T4568" i="1"/>
  <c r="U4568" i="1"/>
  <c r="T4569" i="1"/>
  <c r="U4569" i="1"/>
  <c r="T4570" i="1"/>
  <c r="U4570" i="1"/>
  <c r="T4571" i="1"/>
  <c r="U4571" i="1"/>
  <c r="T4572" i="1"/>
  <c r="U4572" i="1"/>
  <c r="T4573" i="1"/>
  <c r="U4573" i="1"/>
  <c r="T4574" i="1"/>
  <c r="U4574" i="1"/>
  <c r="T4575" i="1"/>
  <c r="U4575" i="1"/>
  <c r="T4576" i="1"/>
  <c r="U4576" i="1"/>
  <c r="T4577" i="1"/>
  <c r="U4577" i="1"/>
  <c r="T4578" i="1"/>
  <c r="U4578" i="1"/>
  <c r="T4579" i="1"/>
  <c r="U4579" i="1"/>
  <c r="T4580" i="1"/>
  <c r="U4580" i="1"/>
  <c r="T4581" i="1"/>
  <c r="U4581" i="1"/>
  <c r="T4582" i="1"/>
  <c r="U4582" i="1"/>
  <c r="T4583" i="1"/>
  <c r="U4583" i="1"/>
  <c r="T4584" i="1"/>
  <c r="U4584" i="1"/>
  <c r="T4585" i="1"/>
  <c r="U4585" i="1"/>
  <c r="T4586" i="1"/>
  <c r="U4586" i="1"/>
  <c r="T4587" i="1"/>
  <c r="U4587" i="1"/>
  <c r="T4588" i="1"/>
  <c r="U4588" i="1"/>
  <c r="T4589" i="1"/>
  <c r="U4589" i="1"/>
  <c r="T4590" i="1"/>
  <c r="U4590" i="1"/>
  <c r="T4591" i="1"/>
  <c r="U4591" i="1"/>
  <c r="T4592" i="1"/>
  <c r="U4592" i="1"/>
  <c r="T4593" i="1"/>
  <c r="U4593" i="1"/>
  <c r="T4594" i="1"/>
  <c r="U4594" i="1"/>
  <c r="T4595" i="1"/>
  <c r="U4595" i="1"/>
  <c r="T4596" i="1"/>
  <c r="U4596" i="1"/>
  <c r="T4597" i="1"/>
  <c r="U4597" i="1"/>
  <c r="T4598" i="1"/>
  <c r="U4598" i="1"/>
  <c r="T4599" i="1"/>
  <c r="U4599" i="1"/>
  <c r="T4600" i="1"/>
  <c r="U4600" i="1"/>
  <c r="T4601" i="1"/>
  <c r="U4601" i="1"/>
  <c r="T4602" i="1"/>
  <c r="U4602" i="1"/>
  <c r="T4603" i="1"/>
  <c r="U4603" i="1"/>
  <c r="T4604" i="1"/>
  <c r="U4604" i="1"/>
  <c r="T4605" i="1"/>
  <c r="U4605" i="1"/>
  <c r="T4606" i="1"/>
  <c r="U4606" i="1"/>
  <c r="T4615" i="1"/>
  <c r="U4615" i="1"/>
  <c r="T4616" i="1"/>
  <c r="U4616" i="1"/>
  <c r="T4617" i="1"/>
  <c r="U4617" i="1"/>
  <c r="T4618" i="1"/>
  <c r="U4618" i="1"/>
  <c r="T4619" i="1"/>
  <c r="U4619" i="1"/>
  <c r="T4620" i="1"/>
  <c r="U4620" i="1"/>
  <c r="T4621" i="1"/>
  <c r="U4621" i="1"/>
  <c r="T4622" i="1"/>
  <c r="U4622" i="1"/>
  <c r="T4623" i="1"/>
  <c r="U4623" i="1"/>
  <c r="T4624" i="1"/>
  <c r="U4624" i="1"/>
  <c r="T4625" i="1"/>
  <c r="U4625" i="1"/>
  <c r="T4626" i="1"/>
  <c r="U4626" i="1"/>
  <c r="T4627" i="1"/>
  <c r="U4627" i="1"/>
  <c r="T4628" i="1"/>
  <c r="U4628" i="1"/>
  <c r="T4629" i="1"/>
  <c r="U4629" i="1"/>
  <c r="T4630" i="1"/>
  <c r="U4630" i="1"/>
  <c r="T4631" i="1"/>
  <c r="U4631" i="1"/>
  <c r="T4632" i="1"/>
  <c r="U4632" i="1"/>
  <c r="T4633" i="1"/>
  <c r="U4633" i="1"/>
  <c r="T4634" i="1"/>
  <c r="U4634" i="1"/>
  <c r="T4635" i="1"/>
  <c r="U4635" i="1"/>
  <c r="T4636" i="1"/>
  <c r="U4636" i="1"/>
  <c r="T4637" i="1"/>
  <c r="U4637" i="1"/>
  <c r="T4638" i="1"/>
  <c r="U4638" i="1"/>
  <c r="T4639" i="1"/>
  <c r="U4639" i="1"/>
  <c r="T4640" i="1"/>
  <c r="U4640" i="1"/>
  <c r="T4641" i="1"/>
  <c r="U4641" i="1"/>
  <c r="T4642" i="1"/>
  <c r="U4642" i="1"/>
  <c r="T4643" i="1"/>
  <c r="U4643" i="1"/>
  <c r="T4644" i="1"/>
  <c r="U4644" i="1"/>
  <c r="T4645" i="1"/>
  <c r="U4645" i="1"/>
  <c r="T4646" i="1"/>
  <c r="U4646" i="1"/>
  <c r="T4647" i="1"/>
  <c r="U4647" i="1"/>
  <c r="T4648" i="1"/>
  <c r="U4648" i="1"/>
  <c r="T4649" i="1"/>
  <c r="U4649" i="1"/>
  <c r="T4650" i="1"/>
  <c r="U4650" i="1"/>
  <c r="T4651" i="1"/>
  <c r="U4651" i="1"/>
  <c r="T4652" i="1"/>
  <c r="U4652" i="1"/>
  <c r="T4653" i="1"/>
  <c r="U4653" i="1"/>
  <c r="T4654" i="1"/>
  <c r="U4654" i="1"/>
  <c r="T4655" i="1"/>
  <c r="U4655" i="1"/>
  <c r="T4656" i="1"/>
  <c r="U4656" i="1"/>
  <c r="T4657" i="1"/>
  <c r="U4657" i="1"/>
  <c r="T4658" i="1"/>
  <c r="U4658" i="1"/>
  <c r="T4659" i="1"/>
  <c r="U4659" i="1"/>
  <c r="T4660" i="1"/>
  <c r="U4660" i="1"/>
  <c r="T4661" i="1"/>
  <c r="U4661" i="1"/>
  <c r="T4662" i="1"/>
  <c r="U4662" i="1"/>
  <c r="T4663" i="1"/>
  <c r="U4663" i="1"/>
  <c r="T4664" i="1"/>
  <c r="U4664" i="1"/>
  <c r="T4665" i="1"/>
  <c r="U4665" i="1"/>
  <c r="T4666" i="1"/>
  <c r="U4666" i="1"/>
  <c r="T4667" i="1"/>
  <c r="U4667" i="1"/>
  <c r="T4668" i="1"/>
  <c r="U4668" i="1"/>
  <c r="T4669" i="1"/>
  <c r="U4669" i="1"/>
  <c r="T4670" i="1"/>
  <c r="U4670" i="1"/>
  <c r="T4671" i="1"/>
  <c r="U4671" i="1"/>
  <c r="T4672" i="1"/>
  <c r="U4672" i="1"/>
  <c r="T4673" i="1"/>
  <c r="U4673" i="1"/>
  <c r="T4674" i="1"/>
  <c r="U4674" i="1"/>
  <c r="T4675" i="1"/>
  <c r="U4675" i="1"/>
  <c r="T4676" i="1"/>
  <c r="U4676" i="1"/>
  <c r="T4677" i="1"/>
  <c r="U4677" i="1"/>
  <c r="T4678" i="1"/>
  <c r="U4678" i="1"/>
  <c r="T4679" i="1"/>
  <c r="U4679" i="1"/>
  <c r="T4680" i="1"/>
  <c r="U4680" i="1"/>
  <c r="T4681" i="1"/>
  <c r="U4681" i="1"/>
  <c r="T4682" i="1"/>
  <c r="U4682" i="1"/>
  <c r="T4683" i="1"/>
  <c r="U4683" i="1"/>
  <c r="T4684" i="1"/>
  <c r="U4684" i="1"/>
  <c r="T4685" i="1"/>
  <c r="U4685" i="1"/>
  <c r="T4686" i="1"/>
  <c r="U4686" i="1"/>
  <c r="T4687" i="1"/>
  <c r="U4687" i="1"/>
  <c r="T4688" i="1"/>
  <c r="U4688" i="1"/>
  <c r="T4689" i="1"/>
  <c r="U4689" i="1"/>
  <c r="T4691" i="1"/>
  <c r="U4691" i="1"/>
  <c r="T4692" i="1"/>
  <c r="U4692" i="1"/>
  <c r="T4693" i="1"/>
  <c r="U4693" i="1"/>
  <c r="T4694" i="1"/>
  <c r="U4694" i="1"/>
  <c r="T4695" i="1"/>
  <c r="U4695" i="1"/>
  <c r="T4696" i="1"/>
  <c r="U4696" i="1"/>
  <c r="T4697" i="1"/>
  <c r="U4697" i="1"/>
  <c r="T4698" i="1"/>
  <c r="U4698" i="1"/>
  <c r="T4699" i="1"/>
  <c r="U4699" i="1"/>
  <c r="T4700" i="1"/>
  <c r="U4700" i="1"/>
  <c r="T4701" i="1"/>
  <c r="U4701" i="1"/>
  <c r="T4702" i="1"/>
  <c r="U4702" i="1"/>
  <c r="T4703" i="1"/>
  <c r="U4703" i="1"/>
  <c r="T4704" i="1"/>
  <c r="U4704" i="1"/>
  <c r="T4705" i="1"/>
  <c r="U4705" i="1"/>
  <c r="T4706" i="1"/>
  <c r="U4706" i="1"/>
  <c r="T4707" i="1"/>
  <c r="U4707" i="1"/>
  <c r="T4708" i="1"/>
  <c r="U4708" i="1"/>
  <c r="T4709" i="1"/>
  <c r="U4709"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3" i="1"/>
  <c r="U4723" i="1"/>
  <c r="T4724" i="1"/>
  <c r="U4724" i="1"/>
  <c r="T4725" i="1"/>
  <c r="U4725" i="1"/>
  <c r="T4726" i="1"/>
  <c r="U4726" i="1"/>
  <c r="T4727" i="1"/>
  <c r="U4727" i="1"/>
  <c r="T4728" i="1"/>
  <c r="U4728" i="1"/>
  <c r="T4729" i="1"/>
  <c r="U4729" i="1"/>
  <c r="T4730" i="1"/>
  <c r="U4730" i="1"/>
  <c r="T4731" i="1"/>
  <c r="U4731" i="1"/>
  <c r="T4732" i="1"/>
  <c r="U4732" i="1"/>
  <c r="T4733" i="1"/>
  <c r="U4733" i="1"/>
  <c r="T4734" i="1"/>
  <c r="U4734" i="1"/>
  <c r="T4735" i="1"/>
  <c r="U4735" i="1"/>
  <c r="T4736" i="1"/>
  <c r="U4736" i="1"/>
  <c r="T4737" i="1"/>
  <c r="U4737" i="1"/>
  <c r="T4738" i="1"/>
  <c r="U4738" i="1"/>
  <c r="T4739" i="1"/>
  <c r="U4739" i="1"/>
  <c r="T4740" i="1"/>
  <c r="U4740" i="1"/>
  <c r="T4741" i="1"/>
  <c r="U4741" i="1"/>
  <c r="T4742" i="1"/>
  <c r="U4742" i="1"/>
  <c r="T4743" i="1"/>
  <c r="U4743" i="1"/>
  <c r="T4744" i="1"/>
  <c r="U4744" i="1"/>
  <c r="T4745" i="1"/>
  <c r="U4745" i="1"/>
  <c r="T4746" i="1"/>
  <c r="U4746" i="1"/>
  <c r="T4747" i="1"/>
  <c r="U4747" i="1"/>
  <c r="T4748" i="1"/>
  <c r="U4748" i="1"/>
  <c r="T4749" i="1"/>
  <c r="U4749" i="1"/>
  <c r="T4750" i="1"/>
  <c r="U4750" i="1"/>
  <c r="T4751" i="1"/>
  <c r="U4751" i="1"/>
  <c r="T4752" i="1"/>
  <c r="U4752" i="1"/>
  <c r="T4753" i="1"/>
  <c r="U4753" i="1"/>
  <c r="T4754" i="1"/>
  <c r="U4754" i="1"/>
  <c r="T4755" i="1"/>
  <c r="U4755" i="1"/>
  <c r="T4756" i="1"/>
  <c r="U4756" i="1"/>
  <c r="T4757" i="1"/>
  <c r="U4757" i="1"/>
  <c r="T4758" i="1"/>
  <c r="U4758" i="1"/>
  <c r="T4759" i="1"/>
  <c r="U4759" i="1"/>
  <c r="T4760" i="1"/>
  <c r="U4760" i="1"/>
  <c r="T4761" i="1"/>
  <c r="U4761" i="1"/>
  <c r="T4762" i="1"/>
  <c r="U4762" i="1"/>
  <c r="T4763" i="1"/>
  <c r="U4763" i="1"/>
  <c r="T4764" i="1"/>
  <c r="U4764" i="1"/>
  <c r="T4765" i="1"/>
  <c r="U4765" i="1"/>
  <c r="T4766" i="1"/>
  <c r="U4766" i="1"/>
  <c r="T4767" i="1"/>
  <c r="U4767" i="1"/>
  <c r="T4768" i="1"/>
  <c r="U4768" i="1"/>
  <c r="T4769" i="1"/>
  <c r="U4769" i="1"/>
  <c r="T4770" i="1"/>
  <c r="U4770" i="1"/>
  <c r="T4771" i="1"/>
  <c r="U4771" i="1"/>
  <c r="T4772" i="1"/>
  <c r="U4772" i="1"/>
  <c r="T4773" i="1"/>
  <c r="U4773" i="1"/>
  <c r="T4774" i="1"/>
  <c r="U4774" i="1"/>
  <c r="T4775" i="1"/>
  <c r="U4775" i="1"/>
  <c r="T4776" i="1"/>
  <c r="U4776"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07" i="1"/>
  <c r="U4807" i="1"/>
  <c r="T4808" i="1"/>
  <c r="U4808" i="1"/>
  <c r="T4809" i="1"/>
  <c r="U4809" i="1"/>
  <c r="T4810" i="1"/>
  <c r="U4810" i="1"/>
  <c r="T4811" i="1"/>
  <c r="U4811" i="1"/>
  <c r="T4813" i="1"/>
  <c r="U4813" i="1"/>
  <c r="T4814" i="1"/>
  <c r="U4814" i="1"/>
  <c r="T4815" i="1"/>
  <c r="U4815" i="1"/>
  <c r="T4816" i="1"/>
  <c r="U4816" i="1"/>
  <c r="T4817" i="1"/>
  <c r="U4817" i="1"/>
  <c r="T4818" i="1"/>
  <c r="U4818" i="1"/>
  <c r="T4819" i="1"/>
  <c r="U4819" i="1"/>
  <c r="T4820" i="1"/>
  <c r="U4820" i="1"/>
  <c r="T4821" i="1"/>
  <c r="U4821" i="1"/>
  <c r="T4822" i="1"/>
  <c r="U4822" i="1"/>
  <c r="T4823" i="1"/>
  <c r="U4823" i="1"/>
  <c r="T4824" i="1"/>
  <c r="U4824"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49" i="1"/>
  <c r="U4849" i="1"/>
  <c r="T4850" i="1"/>
  <c r="U4850"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1" i="1"/>
  <c r="U4881" i="1"/>
  <c r="T4882" i="1"/>
  <c r="U4882" i="1"/>
  <c r="T4883" i="1"/>
  <c r="U4883" i="1"/>
  <c r="T4884" i="1"/>
  <c r="U4884" i="1"/>
  <c r="T4885" i="1"/>
  <c r="U4885" i="1"/>
  <c r="T4886" i="1"/>
  <c r="U4886" i="1"/>
  <c r="T4887" i="1"/>
  <c r="U4887" i="1"/>
  <c r="T4888" i="1"/>
  <c r="U4888" i="1"/>
  <c r="T4889" i="1"/>
  <c r="U4889" i="1"/>
  <c r="T4890" i="1"/>
  <c r="U4890" i="1"/>
  <c r="T4891" i="1"/>
  <c r="U4891" i="1"/>
  <c r="T4892" i="1"/>
  <c r="U4892" i="1"/>
  <c r="T4893" i="1"/>
  <c r="U4893" i="1"/>
  <c r="T4894" i="1"/>
  <c r="U4894" i="1"/>
  <c r="T4895" i="1"/>
  <c r="U4895" i="1"/>
  <c r="T4896" i="1"/>
  <c r="U4896" i="1"/>
  <c r="T4897" i="1"/>
  <c r="U4897" i="1"/>
  <c r="T4898" i="1"/>
  <c r="U4898" i="1"/>
  <c r="T4899" i="1"/>
  <c r="U4899"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6" i="1"/>
  <c r="U4946" i="1"/>
  <c r="T4947" i="1"/>
  <c r="U4947" i="1"/>
  <c r="T4948" i="1"/>
  <c r="U4948" i="1"/>
  <c r="T4949" i="1"/>
  <c r="U4949" i="1"/>
  <c r="T4950" i="1"/>
  <c r="U4950" i="1"/>
  <c r="T4951" i="1"/>
  <c r="U4951" i="1"/>
  <c r="T4952" i="1"/>
  <c r="U4952" i="1"/>
  <c r="T4953" i="1"/>
  <c r="U4953" i="1"/>
  <c r="T4954" i="1"/>
  <c r="U4954" i="1"/>
  <c r="T4955" i="1"/>
  <c r="U4955" i="1"/>
  <c r="T4956" i="1"/>
  <c r="U4956" i="1"/>
  <c r="T4957" i="1"/>
  <c r="U4957" i="1"/>
  <c r="T4958" i="1"/>
  <c r="U4958" i="1"/>
  <c r="T4959" i="1"/>
  <c r="U4959" i="1"/>
  <c r="T4960" i="1"/>
  <c r="U4960" i="1"/>
  <c r="T4961" i="1"/>
  <c r="U4961" i="1"/>
  <c r="T4962" i="1"/>
  <c r="U4962" i="1"/>
  <c r="T4963" i="1"/>
  <c r="U4963" i="1"/>
  <c r="T4964" i="1"/>
  <c r="U4964" i="1"/>
  <c r="T4965" i="1"/>
  <c r="U4965"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1" i="1"/>
  <c r="U5021" i="1"/>
  <c r="T5022" i="1"/>
  <c r="U5022" i="1"/>
  <c r="T5023" i="1"/>
  <c r="U5023"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7" i="1"/>
  <c r="U5037" i="1"/>
  <c r="T5038" i="1"/>
  <c r="U5038" i="1"/>
  <c r="T5039" i="1"/>
  <c r="U5039" i="1"/>
  <c r="T5040" i="1"/>
  <c r="U5040" i="1"/>
  <c r="T5041" i="1"/>
  <c r="U5041" i="1"/>
  <c r="T5042" i="1"/>
  <c r="U5042" i="1"/>
  <c r="T5043" i="1"/>
  <c r="U5043" i="1"/>
  <c r="T5044" i="1"/>
  <c r="U5044" i="1"/>
  <c r="T5045" i="1"/>
  <c r="U5045" i="1"/>
  <c r="T5046" i="1"/>
  <c r="U5046" i="1"/>
  <c r="T5047" i="1"/>
  <c r="U5047" i="1"/>
  <c r="T5048" i="1"/>
  <c r="U5048" i="1"/>
  <c r="T5049" i="1"/>
  <c r="U5049" i="1"/>
  <c r="T5050" i="1"/>
  <c r="U5050" i="1"/>
  <c r="T5051" i="1"/>
  <c r="U5051" i="1"/>
  <c r="T5052" i="1"/>
  <c r="U5052" i="1"/>
  <c r="T5053" i="1"/>
  <c r="U5053" i="1"/>
  <c r="T5054" i="1"/>
  <c r="U5054" i="1"/>
  <c r="T5055" i="1"/>
  <c r="U5055" i="1"/>
  <c r="T5056" i="1"/>
  <c r="U5056" i="1"/>
  <c r="T5057" i="1"/>
  <c r="U5057" i="1"/>
  <c r="T5058" i="1"/>
  <c r="U5058" i="1"/>
  <c r="T5059" i="1"/>
  <c r="U5059" i="1"/>
  <c r="T5060" i="1"/>
  <c r="U5060" i="1"/>
  <c r="T5061" i="1"/>
  <c r="U5061" i="1"/>
  <c r="T5062" i="1"/>
  <c r="U5062" i="1"/>
  <c r="T5063" i="1"/>
  <c r="U5063" i="1"/>
  <c r="T5064" i="1"/>
  <c r="U5064" i="1"/>
  <c r="T5065" i="1"/>
  <c r="U5065" i="1"/>
  <c r="T5066" i="1"/>
  <c r="U5066"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5" i="1"/>
  <c r="U5085" i="1"/>
  <c r="T5086" i="1"/>
  <c r="U5086" i="1"/>
  <c r="T5087" i="1"/>
  <c r="U5087"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0" i="1"/>
  <c r="U5100" i="1"/>
  <c r="T5101" i="1"/>
  <c r="U5101" i="1"/>
  <c r="T5102" i="1"/>
  <c r="U5102" i="1"/>
  <c r="T5103" i="1"/>
  <c r="U5103" i="1"/>
  <c r="T5104" i="1"/>
  <c r="U5104" i="1"/>
  <c r="T5105" i="1"/>
  <c r="U5105" i="1"/>
  <c r="T5106" i="1"/>
  <c r="U5106" i="1"/>
  <c r="T5107" i="1"/>
  <c r="U5107" i="1"/>
  <c r="T5108" i="1"/>
  <c r="U5108" i="1"/>
  <c r="T5109" i="1"/>
  <c r="U5109" i="1"/>
  <c r="T5110" i="1"/>
  <c r="U5110" i="1"/>
  <c r="T5111" i="1"/>
  <c r="U5111" i="1"/>
  <c r="T5112" i="1"/>
  <c r="U5112" i="1"/>
  <c r="T5113" i="1"/>
  <c r="U5113" i="1"/>
  <c r="T5114" i="1"/>
  <c r="U5114" i="1"/>
  <c r="T5115" i="1"/>
  <c r="U5115" i="1"/>
  <c r="T5116" i="1"/>
  <c r="U5116" i="1"/>
  <c r="T5117" i="1"/>
  <c r="U5117" i="1"/>
  <c r="T5118" i="1"/>
  <c r="U5118" i="1"/>
  <c r="T5119" i="1"/>
  <c r="U5119" i="1"/>
  <c r="T5120" i="1"/>
  <c r="U5120" i="1"/>
  <c r="T5121" i="1"/>
  <c r="U5121" i="1"/>
  <c r="T5122" i="1"/>
  <c r="U5122" i="1"/>
  <c r="T5123" i="1"/>
  <c r="U5123" i="1"/>
  <c r="T5124" i="1"/>
  <c r="U5124" i="1"/>
  <c r="T5125" i="1"/>
  <c r="U5125" i="1"/>
  <c r="T5126" i="1"/>
  <c r="U5126" i="1"/>
  <c r="T5127" i="1"/>
  <c r="U5127" i="1"/>
  <c r="T5128" i="1"/>
  <c r="U5128" i="1"/>
  <c r="T5129" i="1"/>
  <c r="U5129" i="1"/>
  <c r="T5130" i="1"/>
  <c r="U5130" i="1"/>
  <c r="T5131" i="1"/>
  <c r="U5131" i="1"/>
  <c r="T5132" i="1"/>
  <c r="U5132" i="1"/>
  <c r="T5133" i="1"/>
  <c r="U5133" i="1"/>
  <c r="T5134" i="1"/>
  <c r="U5134" i="1"/>
  <c r="T5135" i="1"/>
  <c r="U5135" i="1"/>
  <c r="T5136" i="1"/>
  <c r="U5136" i="1"/>
  <c r="T5137" i="1"/>
  <c r="U5137" i="1"/>
  <c r="T5138" i="1"/>
  <c r="U5138" i="1"/>
  <c r="T5139" i="1"/>
  <c r="U5139" i="1"/>
  <c r="T5140" i="1"/>
  <c r="U5140" i="1"/>
  <c r="T5141" i="1"/>
  <c r="U5141" i="1"/>
  <c r="T5142" i="1"/>
  <c r="U5142" i="1"/>
  <c r="T5143" i="1"/>
  <c r="U5143"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0" i="1"/>
  <c r="U5160" i="1"/>
  <c r="T5161" i="1"/>
  <c r="U5161" i="1"/>
  <c r="T5162" i="1"/>
  <c r="U5162" i="1"/>
  <c r="T5163" i="1"/>
  <c r="U5163" i="1"/>
  <c r="T5164" i="1"/>
  <c r="U5164" i="1"/>
  <c r="T5165" i="1"/>
  <c r="U5165" i="1"/>
  <c r="T5166" i="1"/>
  <c r="U5166" i="1"/>
  <c r="T5167" i="1"/>
  <c r="U5167" i="1"/>
  <c r="T5168" i="1"/>
  <c r="U5168" i="1"/>
  <c r="T5169" i="1"/>
  <c r="U5169" i="1"/>
  <c r="T5170" i="1"/>
  <c r="U5170" i="1"/>
  <c r="T5171" i="1"/>
  <c r="U5171" i="1"/>
  <c r="T5172" i="1"/>
  <c r="U5172" i="1"/>
  <c r="T5173" i="1"/>
  <c r="U5173" i="1"/>
  <c r="T5174" i="1"/>
  <c r="U5174" i="1"/>
  <c r="T5175" i="1"/>
  <c r="U5175" i="1"/>
  <c r="T5176" i="1"/>
  <c r="U5176" i="1"/>
  <c r="T5177" i="1"/>
  <c r="U5177" i="1"/>
  <c r="T5178" i="1"/>
  <c r="U5178" i="1"/>
  <c r="T5179" i="1"/>
  <c r="U5179" i="1"/>
  <c r="T5180" i="1"/>
  <c r="U5180" i="1"/>
  <c r="T5181" i="1"/>
  <c r="U5181" i="1"/>
  <c r="T5182" i="1"/>
  <c r="U5182" i="1"/>
  <c r="T5183" i="1"/>
  <c r="U5183" i="1"/>
  <c r="T5184" i="1"/>
  <c r="U5184" i="1"/>
  <c r="T5185" i="1"/>
  <c r="U5185" i="1"/>
  <c r="T5186" i="1"/>
  <c r="U5186" i="1"/>
  <c r="T5187" i="1"/>
  <c r="U5187" i="1"/>
  <c r="T5188" i="1"/>
  <c r="U5188" i="1"/>
  <c r="T5189" i="1"/>
  <c r="U5189" i="1"/>
  <c r="T5190" i="1"/>
  <c r="U5190" i="1"/>
  <c r="T5191" i="1"/>
  <c r="U5191" i="1"/>
  <c r="T5192" i="1"/>
  <c r="U5192" i="1"/>
  <c r="T5193" i="1"/>
  <c r="U5193" i="1"/>
  <c r="T5194" i="1"/>
  <c r="U5194" i="1"/>
  <c r="T5195" i="1"/>
  <c r="U5195" i="1"/>
  <c r="T5196" i="1"/>
  <c r="U5196" i="1"/>
  <c r="T5197" i="1"/>
  <c r="U5197" i="1"/>
  <c r="T5198" i="1"/>
  <c r="U5198" i="1"/>
  <c r="T5199" i="1"/>
  <c r="U5199" i="1"/>
  <c r="T5200" i="1"/>
  <c r="U5200" i="1"/>
  <c r="T5201" i="1"/>
  <c r="U5201" i="1"/>
  <c r="T5202" i="1"/>
  <c r="U5202" i="1"/>
  <c r="T5203" i="1"/>
  <c r="U5203" i="1"/>
  <c r="T5204" i="1"/>
  <c r="U5204" i="1"/>
  <c r="T5205" i="1"/>
  <c r="U5205" i="1"/>
  <c r="T5206" i="1"/>
  <c r="U5206" i="1"/>
  <c r="T5207" i="1"/>
  <c r="U5207" i="1"/>
  <c r="T5208" i="1"/>
  <c r="U5208" i="1"/>
  <c r="T5209" i="1"/>
  <c r="U5209" i="1"/>
  <c r="T5210" i="1"/>
  <c r="U5210" i="1"/>
  <c r="T5211" i="1"/>
  <c r="U5211" i="1"/>
  <c r="T5212" i="1"/>
  <c r="U5212" i="1"/>
  <c r="T5213" i="1"/>
  <c r="U5213" i="1"/>
  <c r="T5214" i="1"/>
  <c r="U5214" i="1"/>
  <c r="T5215" i="1"/>
  <c r="U5215" i="1"/>
  <c r="T5216" i="1"/>
  <c r="U5216" i="1"/>
  <c r="T5217" i="1"/>
  <c r="U5217" i="1"/>
  <c r="T5218" i="1"/>
  <c r="U5218" i="1"/>
  <c r="T5219" i="1"/>
  <c r="U5219" i="1"/>
  <c r="T5220" i="1"/>
  <c r="U5220" i="1"/>
  <c r="T5221" i="1"/>
  <c r="U5221" i="1"/>
  <c r="T5222" i="1"/>
  <c r="U5222" i="1"/>
  <c r="T5223" i="1"/>
  <c r="U5223" i="1"/>
  <c r="T5224" i="1"/>
  <c r="U5224" i="1"/>
  <c r="T5225" i="1"/>
  <c r="U5225" i="1"/>
  <c r="T5226" i="1"/>
  <c r="U5226" i="1"/>
  <c r="T5227" i="1"/>
  <c r="U5227" i="1"/>
  <c r="T5228" i="1"/>
  <c r="U5228" i="1"/>
  <c r="T5229" i="1"/>
  <c r="U5229" i="1"/>
  <c r="T5230" i="1"/>
  <c r="U5230" i="1"/>
  <c r="T5231" i="1"/>
  <c r="U5231" i="1"/>
  <c r="T5232" i="1"/>
  <c r="U5232" i="1"/>
  <c r="T5233" i="1"/>
  <c r="U5233" i="1"/>
  <c r="T5234" i="1"/>
  <c r="U5234" i="1"/>
  <c r="T5235" i="1"/>
  <c r="U5235" i="1"/>
  <c r="T5236" i="1"/>
  <c r="U5236" i="1"/>
  <c r="T5237" i="1"/>
  <c r="U5237" i="1"/>
  <c r="T5238" i="1"/>
  <c r="U5238" i="1"/>
  <c r="T5239" i="1"/>
  <c r="U5239" i="1"/>
  <c r="T5240" i="1"/>
  <c r="U5240" i="1"/>
  <c r="T5241" i="1"/>
  <c r="U5241" i="1"/>
  <c r="T5242" i="1"/>
  <c r="U5242" i="1"/>
  <c r="T5243" i="1"/>
  <c r="U5243" i="1"/>
  <c r="T5244" i="1"/>
  <c r="U5244" i="1"/>
  <c r="T5245" i="1"/>
  <c r="U5245" i="1"/>
  <c r="T5246" i="1"/>
  <c r="U5246" i="1"/>
  <c r="T5247" i="1"/>
  <c r="U5247" i="1"/>
  <c r="T5248" i="1"/>
  <c r="U5248" i="1"/>
  <c r="T5249" i="1"/>
  <c r="U5249" i="1"/>
  <c r="T5250" i="1"/>
  <c r="U5250" i="1"/>
  <c r="T5251" i="1"/>
  <c r="U5251" i="1"/>
  <c r="T5252" i="1"/>
  <c r="U5252" i="1"/>
  <c r="T5253" i="1"/>
  <c r="U5253" i="1"/>
  <c r="T5254" i="1"/>
  <c r="U5254" i="1"/>
  <c r="T5255" i="1"/>
  <c r="U5255" i="1"/>
  <c r="T5256" i="1"/>
  <c r="U5256" i="1"/>
  <c r="T5257" i="1"/>
  <c r="U5257" i="1"/>
  <c r="T5258" i="1"/>
  <c r="U5258" i="1"/>
  <c r="T5259" i="1"/>
  <c r="U5259" i="1"/>
  <c r="T5260" i="1"/>
  <c r="U5260" i="1"/>
  <c r="T5261" i="1"/>
  <c r="U5261" i="1"/>
  <c r="T5262" i="1"/>
  <c r="U5262" i="1"/>
  <c r="T5263" i="1"/>
  <c r="U5263" i="1"/>
  <c r="T5264" i="1"/>
  <c r="U5264" i="1"/>
  <c r="T5265" i="1"/>
  <c r="U5265" i="1"/>
  <c r="T5266" i="1"/>
  <c r="U5266" i="1"/>
  <c r="T5267" i="1"/>
  <c r="U5267" i="1"/>
  <c r="T5268" i="1"/>
  <c r="U5268" i="1"/>
  <c r="T5269" i="1"/>
  <c r="U5269" i="1"/>
  <c r="T5270" i="1"/>
  <c r="U5270" i="1"/>
  <c r="T5271" i="1"/>
  <c r="U5271" i="1"/>
  <c r="T5272" i="1"/>
  <c r="U5272" i="1"/>
  <c r="T5273" i="1"/>
  <c r="U5273" i="1"/>
  <c r="T5274" i="1"/>
  <c r="U5274" i="1"/>
  <c r="T5275" i="1"/>
  <c r="U5275" i="1"/>
  <c r="T5276" i="1"/>
  <c r="U5276" i="1"/>
  <c r="T5277" i="1"/>
  <c r="U5277" i="1"/>
  <c r="T5278" i="1"/>
  <c r="U5278" i="1"/>
  <c r="T5279" i="1"/>
  <c r="U5279" i="1"/>
  <c r="T5280" i="1"/>
  <c r="U5280" i="1"/>
  <c r="T5281" i="1"/>
  <c r="U5281" i="1"/>
  <c r="T5282" i="1"/>
  <c r="U5282" i="1"/>
  <c r="T5283" i="1"/>
  <c r="U5283" i="1"/>
  <c r="T5284" i="1"/>
  <c r="U5284" i="1"/>
  <c r="T5285" i="1"/>
  <c r="U5285" i="1"/>
  <c r="T5286" i="1"/>
  <c r="U5286" i="1"/>
  <c r="T5287" i="1"/>
  <c r="U5287" i="1"/>
  <c r="T5288" i="1"/>
  <c r="U5288" i="1"/>
  <c r="T5289" i="1"/>
  <c r="U5289" i="1"/>
  <c r="T5290" i="1"/>
  <c r="U5290" i="1"/>
  <c r="T5291" i="1"/>
  <c r="U5291" i="1"/>
  <c r="T5292" i="1"/>
  <c r="U5292" i="1"/>
  <c r="T5293" i="1"/>
  <c r="U5293" i="1"/>
  <c r="T5294" i="1"/>
  <c r="U5294" i="1"/>
  <c r="T5295" i="1"/>
  <c r="U5295" i="1"/>
  <c r="T5296" i="1"/>
  <c r="U5296" i="1"/>
  <c r="T5297" i="1"/>
  <c r="U5297" i="1"/>
  <c r="T5298" i="1"/>
  <c r="U5298" i="1"/>
  <c r="T5299" i="1"/>
  <c r="U5299" i="1"/>
  <c r="T5300" i="1"/>
  <c r="U5300" i="1"/>
  <c r="T5301" i="1"/>
  <c r="U5301" i="1"/>
  <c r="T5302" i="1"/>
  <c r="U5302" i="1"/>
  <c r="T5303" i="1"/>
  <c r="U5303" i="1"/>
  <c r="T5304" i="1"/>
  <c r="U5304" i="1"/>
  <c r="T5305" i="1"/>
  <c r="U5305" i="1"/>
  <c r="T5306" i="1"/>
  <c r="U5306" i="1"/>
  <c r="T5307" i="1"/>
  <c r="U5307" i="1"/>
  <c r="T5308" i="1"/>
  <c r="U5308" i="1"/>
  <c r="T5309" i="1"/>
  <c r="U5309" i="1"/>
  <c r="T5310" i="1"/>
  <c r="U5310" i="1"/>
  <c r="T5311" i="1"/>
  <c r="U5311" i="1"/>
  <c r="T5312" i="1"/>
  <c r="U5312" i="1"/>
  <c r="T5313" i="1"/>
  <c r="U5313" i="1"/>
  <c r="T5314" i="1"/>
  <c r="U5314" i="1"/>
  <c r="T5315" i="1"/>
  <c r="U5315" i="1"/>
  <c r="T5316" i="1"/>
  <c r="U5316" i="1"/>
  <c r="T5317" i="1"/>
  <c r="U5317" i="1"/>
  <c r="T5318" i="1"/>
  <c r="U5318" i="1"/>
  <c r="T5319" i="1"/>
  <c r="U5319" i="1"/>
  <c r="T5320" i="1"/>
  <c r="U5320" i="1"/>
  <c r="T5321" i="1"/>
  <c r="U5321" i="1"/>
  <c r="T5322" i="1"/>
  <c r="U5322" i="1"/>
  <c r="T5323" i="1"/>
  <c r="U5323" i="1"/>
  <c r="T5324" i="1"/>
  <c r="U5324" i="1"/>
  <c r="T5325" i="1"/>
  <c r="U5325" i="1"/>
  <c r="T5326" i="1"/>
  <c r="U5326" i="1"/>
  <c r="T5327" i="1"/>
  <c r="U5327" i="1"/>
  <c r="T5328" i="1"/>
  <c r="U5328" i="1"/>
  <c r="T5329" i="1"/>
  <c r="U5329" i="1"/>
  <c r="T5330" i="1"/>
  <c r="U5330" i="1"/>
  <c r="T5331" i="1"/>
  <c r="U5331" i="1"/>
  <c r="T5332" i="1"/>
  <c r="U5332" i="1"/>
  <c r="T5333" i="1"/>
  <c r="U5333" i="1"/>
  <c r="T5334" i="1"/>
  <c r="U5334" i="1"/>
  <c r="T5335" i="1"/>
  <c r="U5335" i="1"/>
  <c r="T5336" i="1"/>
  <c r="U5336" i="1"/>
  <c r="T5337" i="1"/>
  <c r="U5337" i="1"/>
  <c r="T5338" i="1"/>
  <c r="U5338" i="1"/>
  <c r="T5339" i="1"/>
  <c r="U5339" i="1"/>
  <c r="T5340" i="1"/>
  <c r="U5340" i="1"/>
  <c r="T5341" i="1"/>
  <c r="U5341" i="1"/>
  <c r="T5342" i="1"/>
  <c r="U5342" i="1"/>
  <c r="T5343" i="1"/>
  <c r="U5343" i="1"/>
  <c r="T5344" i="1"/>
  <c r="U5344" i="1"/>
  <c r="T5345" i="1"/>
  <c r="U5345" i="1"/>
  <c r="T5346" i="1"/>
  <c r="U5346" i="1"/>
  <c r="T5347" i="1"/>
  <c r="U5347" i="1"/>
  <c r="T5348" i="1"/>
  <c r="U5348" i="1"/>
  <c r="T5349" i="1"/>
  <c r="U5349" i="1"/>
  <c r="T5350" i="1"/>
  <c r="U5350" i="1"/>
  <c r="T5351" i="1"/>
  <c r="U5351" i="1"/>
  <c r="T5352" i="1"/>
  <c r="U5352" i="1"/>
  <c r="T5353" i="1"/>
  <c r="U5353" i="1"/>
  <c r="T5354" i="1"/>
  <c r="U5354" i="1"/>
  <c r="T5355" i="1"/>
  <c r="U5355" i="1"/>
  <c r="T5356" i="1"/>
  <c r="U5356" i="1"/>
  <c r="T5357" i="1"/>
  <c r="U5357" i="1"/>
  <c r="T5358" i="1"/>
  <c r="U5358" i="1"/>
  <c r="T5359" i="1"/>
  <c r="U5359" i="1"/>
  <c r="T5360" i="1"/>
  <c r="U5360" i="1"/>
  <c r="T5361" i="1"/>
  <c r="U5361" i="1"/>
  <c r="T5362" i="1"/>
  <c r="U5362" i="1"/>
  <c r="T5363" i="1"/>
  <c r="U5363" i="1"/>
  <c r="T5364" i="1"/>
  <c r="U5364" i="1"/>
  <c r="T5365" i="1"/>
  <c r="U5365" i="1"/>
  <c r="T5366" i="1"/>
  <c r="U5366" i="1"/>
  <c r="T5367" i="1"/>
  <c r="U5367" i="1"/>
  <c r="T5368" i="1"/>
  <c r="U5368" i="1"/>
  <c r="T5369" i="1"/>
  <c r="U5369" i="1"/>
  <c r="T5370" i="1"/>
  <c r="U5370" i="1"/>
  <c r="T5371" i="1"/>
  <c r="U5371" i="1"/>
  <c r="T5372" i="1"/>
  <c r="U5372" i="1"/>
  <c r="T5373" i="1"/>
  <c r="U5373" i="1"/>
  <c r="T5374" i="1"/>
  <c r="U5374"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7" i="1"/>
  <c r="U5387" i="1"/>
  <c r="T5388" i="1"/>
  <c r="U5388" i="1"/>
  <c r="T5389" i="1"/>
  <c r="U5389" i="1"/>
  <c r="T5390" i="1"/>
  <c r="U5390" i="1"/>
  <c r="T5391" i="1"/>
  <c r="U5391" i="1"/>
  <c r="T5392" i="1"/>
  <c r="U5392" i="1"/>
  <c r="T5393" i="1"/>
  <c r="U5393" i="1"/>
  <c r="T5394" i="1"/>
  <c r="U5394" i="1"/>
  <c r="T5395" i="1"/>
  <c r="U5395"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08" i="1"/>
  <c r="U5408" i="1"/>
  <c r="T5409" i="1"/>
  <c r="U5409" i="1"/>
  <c r="T5410" i="1"/>
  <c r="U5410" i="1"/>
  <c r="T5411" i="1"/>
  <c r="U5411" i="1"/>
  <c r="T5412" i="1"/>
  <c r="U5412" i="1"/>
  <c r="T5413" i="1"/>
  <c r="U5413" i="1"/>
  <c r="T5414" i="1"/>
  <c r="U5414" i="1"/>
  <c r="T5415" i="1"/>
  <c r="U5415" i="1"/>
  <c r="T5416" i="1"/>
  <c r="U5416" i="1"/>
  <c r="T5417" i="1"/>
  <c r="U5417" i="1"/>
  <c r="T5418" i="1"/>
  <c r="U5418" i="1"/>
  <c r="T5419" i="1"/>
  <c r="U5419" i="1"/>
  <c r="T5420" i="1"/>
  <c r="U5420" i="1"/>
  <c r="T5421" i="1"/>
  <c r="U5421" i="1"/>
  <c r="T5422" i="1"/>
  <c r="U5422" i="1"/>
  <c r="T5423" i="1"/>
  <c r="U5423" i="1"/>
  <c r="T5424" i="1"/>
  <c r="U5424" i="1"/>
  <c r="T5425" i="1"/>
  <c r="U5425" i="1"/>
  <c r="T5426" i="1"/>
  <c r="U5426" i="1"/>
  <c r="T5427" i="1"/>
  <c r="U5427" i="1"/>
  <c r="T5428" i="1"/>
  <c r="U5428" i="1"/>
  <c r="T5429" i="1"/>
  <c r="U5429" i="1"/>
  <c r="T5430" i="1"/>
  <c r="U5430" i="1"/>
  <c r="T5431" i="1"/>
  <c r="U5431" i="1"/>
  <c r="T5432" i="1"/>
  <c r="U5432" i="1"/>
  <c r="T5433" i="1"/>
  <c r="U5433" i="1"/>
  <c r="T5434" i="1"/>
  <c r="U5434" i="1"/>
  <c r="T5435" i="1"/>
  <c r="U5435" i="1"/>
  <c r="T5436" i="1"/>
  <c r="U5436" i="1"/>
  <c r="T5437" i="1"/>
  <c r="U5437" i="1"/>
  <c r="T5438" i="1"/>
  <c r="U5438" i="1"/>
  <c r="T5439" i="1"/>
  <c r="U5439" i="1"/>
  <c r="T5440" i="1"/>
  <c r="U5440" i="1"/>
  <c r="T5441" i="1"/>
  <c r="U5441" i="1"/>
  <c r="T5442" i="1"/>
  <c r="U5442" i="1"/>
  <c r="T5443" i="1"/>
  <c r="U5443" i="1"/>
  <c r="T5444" i="1"/>
  <c r="U5444" i="1"/>
  <c r="T5445" i="1"/>
  <c r="U5445" i="1"/>
  <c r="T5446" i="1"/>
  <c r="U5446" i="1"/>
  <c r="T5447" i="1"/>
  <c r="U5447" i="1"/>
  <c r="T5448" i="1"/>
  <c r="U5448" i="1"/>
  <c r="T5449" i="1"/>
  <c r="U5449" i="1"/>
  <c r="T5450" i="1"/>
  <c r="U5450" i="1"/>
  <c r="T5451" i="1"/>
  <c r="U5451" i="1"/>
  <c r="T5452" i="1"/>
  <c r="U5452" i="1"/>
  <c r="T5453" i="1"/>
  <c r="U5453" i="1"/>
  <c r="T5454" i="1"/>
  <c r="U5454" i="1"/>
  <c r="T5455" i="1"/>
  <c r="U5455" i="1"/>
  <c r="T5456" i="1"/>
  <c r="U5456" i="1"/>
  <c r="T5457" i="1"/>
  <c r="U5457" i="1"/>
  <c r="T5458" i="1"/>
  <c r="U5458" i="1"/>
  <c r="T5459" i="1"/>
  <c r="U5459" i="1"/>
  <c r="T5460" i="1"/>
  <c r="U5460" i="1"/>
  <c r="T5461" i="1"/>
  <c r="U5461" i="1"/>
  <c r="T5462" i="1"/>
  <c r="U5462" i="1"/>
  <c r="T5463" i="1"/>
  <c r="U5463" i="1"/>
  <c r="T5464" i="1"/>
  <c r="U5464" i="1"/>
  <c r="T5465" i="1"/>
  <c r="U5465" i="1"/>
  <c r="T5466" i="1"/>
  <c r="U5466" i="1"/>
  <c r="T5467" i="1"/>
  <c r="U5467" i="1"/>
  <c r="T5468" i="1"/>
  <c r="U5468" i="1"/>
  <c r="T5469" i="1"/>
  <c r="U5469" i="1"/>
  <c r="T5470" i="1"/>
  <c r="U5470" i="1"/>
  <c r="T5471" i="1"/>
  <c r="U5471" i="1"/>
  <c r="T5472" i="1"/>
  <c r="U5472" i="1"/>
  <c r="T5473" i="1"/>
  <c r="U5473" i="1"/>
  <c r="T5474" i="1"/>
  <c r="U5474" i="1"/>
  <c r="T5475" i="1"/>
  <c r="U5475" i="1"/>
  <c r="T5476" i="1"/>
  <c r="U5476" i="1"/>
  <c r="T5477" i="1"/>
  <c r="U5477" i="1"/>
  <c r="T5478" i="1"/>
  <c r="U5478" i="1"/>
  <c r="T5479" i="1"/>
  <c r="U5479" i="1"/>
  <c r="T5480" i="1"/>
  <c r="U5480" i="1"/>
  <c r="T5481" i="1"/>
  <c r="U5481" i="1"/>
  <c r="T5482" i="1"/>
  <c r="U5482" i="1"/>
  <c r="T5483" i="1"/>
  <c r="U5483" i="1"/>
  <c r="T5484" i="1"/>
  <c r="U5484" i="1"/>
  <c r="T5485" i="1"/>
  <c r="U5485" i="1"/>
  <c r="T5486" i="1"/>
  <c r="U5486" i="1"/>
  <c r="T5487" i="1"/>
  <c r="U5487" i="1"/>
  <c r="T5488" i="1"/>
  <c r="U5488" i="1"/>
  <c r="T5489" i="1"/>
  <c r="U5489" i="1"/>
  <c r="T5490" i="1"/>
  <c r="U5490" i="1"/>
  <c r="T5491" i="1"/>
  <c r="U5491" i="1"/>
  <c r="T5492" i="1"/>
  <c r="U5492" i="1"/>
  <c r="T5493" i="1"/>
  <c r="U5493" i="1"/>
  <c r="T5494" i="1"/>
  <c r="U5494" i="1"/>
  <c r="T5495" i="1"/>
  <c r="U5495" i="1"/>
  <c r="T5496" i="1"/>
  <c r="U5496" i="1"/>
  <c r="T5497" i="1"/>
  <c r="U5497" i="1"/>
  <c r="T5498" i="1"/>
  <c r="U5498" i="1"/>
  <c r="T5499" i="1"/>
  <c r="U5499" i="1"/>
  <c r="T5500" i="1"/>
  <c r="U5500" i="1"/>
  <c r="T5501" i="1"/>
  <c r="U5501" i="1"/>
  <c r="T5502" i="1"/>
  <c r="U5502" i="1"/>
  <c r="T5503" i="1"/>
  <c r="U5503" i="1"/>
  <c r="T5504" i="1"/>
  <c r="U5504" i="1"/>
  <c r="T5505" i="1"/>
  <c r="U5505" i="1"/>
  <c r="T5506" i="1"/>
  <c r="U5506" i="1"/>
  <c r="T5507" i="1"/>
  <c r="U5507" i="1"/>
  <c r="T5508" i="1"/>
  <c r="U5508" i="1"/>
  <c r="T5509" i="1"/>
  <c r="U5509" i="1"/>
  <c r="T5510" i="1"/>
  <c r="U5510" i="1"/>
  <c r="T5511" i="1"/>
  <c r="U5511" i="1"/>
  <c r="T5512" i="1"/>
  <c r="U5512" i="1"/>
  <c r="T5513" i="1"/>
  <c r="U5513" i="1"/>
  <c r="T5514" i="1"/>
  <c r="U5514" i="1"/>
  <c r="T5515" i="1"/>
  <c r="U5515" i="1"/>
  <c r="T5516" i="1"/>
  <c r="U5516" i="1"/>
  <c r="T5517" i="1"/>
  <c r="U5517" i="1"/>
  <c r="T5518" i="1"/>
  <c r="U5518" i="1"/>
  <c r="T5519" i="1"/>
  <c r="U5519" i="1"/>
  <c r="T5520" i="1"/>
  <c r="U5520" i="1"/>
  <c r="T5521" i="1"/>
  <c r="U5521" i="1"/>
  <c r="T5522" i="1"/>
  <c r="U5522" i="1"/>
  <c r="T5523" i="1"/>
  <c r="U5523" i="1"/>
  <c r="T5524" i="1"/>
  <c r="U5524" i="1"/>
  <c r="T5525" i="1"/>
  <c r="U5525" i="1"/>
  <c r="T5526" i="1"/>
  <c r="U5526" i="1"/>
  <c r="T5527" i="1"/>
  <c r="U5527" i="1"/>
  <c r="T5528" i="1"/>
  <c r="U5528" i="1"/>
  <c r="T5529" i="1"/>
  <c r="U5529" i="1"/>
  <c r="T5530" i="1"/>
  <c r="U5530" i="1"/>
  <c r="T5531" i="1"/>
  <c r="U5531" i="1"/>
  <c r="T5532" i="1"/>
  <c r="U5532" i="1"/>
  <c r="T5533" i="1"/>
  <c r="U5533" i="1"/>
  <c r="T5534" i="1"/>
  <c r="U5534" i="1"/>
  <c r="T5535" i="1"/>
  <c r="U5535" i="1"/>
  <c r="T5536" i="1"/>
  <c r="U5536" i="1"/>
  <c r="T5537" i="1"/>
  <c r="U5537" i="1"/>
  <c r="T5538" i="1"/>
  <c r="U5538" i="1"/>
  <c r="T5539" i="1"/>
  <c r="U5539" i="1"/>
  <c r="T5540" i="1"/>
  <c r="U5540" i="1"/>
  <c r="T5541" i="1"/>
  <c r="U5541" i="1"/>
  <c r="T5542" i="1"/>
  <c r="U5542" i="1"/>
  <c r="T5543" i="1"/>
  <c r="U5543" i="1"/>
  <c r="T5544" i="1"/>
  <c r="U5544" i="1"/>
  <c r="T5545" i="1"/>
  <c r="U5545" i="1"/>
  <c r="T5546" i="1"/>
  <c r="U5546" i="1"/>
  <c r="T5547" i="1"/>
  <c r="U5547" i="1"/>
  <c r="T5548" i="1"/>
  <c r="U5548" i="1"/>
  <c r="T5549" i="1"/>
  <c r="U5549" i="1"/>
  <c r="T5550" i="1"/>
  <c r="U5550" i="1"/>
  <c r="T5551" i="1"/>
  <c r="U5551" i="1"/>
  <c r="T5552" i="1"/>
  <c r="U5552" i="1"/>
  <c r="T5553" i="1"/>
  <c r="U5553" i="1"/>
  <c r="T5554" i="1"/>
  <c r="U5554" i="1"/>
  <c r="T5555" i="1"/>
  <c r="U5555" i="1"/>
  <c r="T5556" i="1"/>
  <c r="U5556" i="1"/>
  <c r="T5557" i="1"/>
  <c r="U5557" i="1"/>
  <c r="T5558" i="1"/>
  <c r="U5558" i="1"/>
  <c r="T5559" i="1"/>
  <c r="U5559" i="1"/>
  <c r="T5560" i="1"/>
  <c r="U5560" i="1"/>
  <c r="T5561" i="1"/>
  <c r="U5561" i="1"/>
  <c r="T5562" i="1"/>
  <c r="U5562" i="1"/>
  <c r="T5563" i="1"/>
  <c r="U5563" i="1"/>
  <c r="T5564" i="1"/>
  <c r="U5564" i="1"/>
  <c r="T5565" i="1"/>
  <c r="U5565" i="1"/>
  <c r="T5566" i="1"/>
  <c r="U5566" i="1"/>
  <c r="T5567" i="1"/>
  <c r="U5567" i="1"/>
  <c r="T5568" i="1"/>
  <c r="U5568" i="1"/>
  <c r="T5569" i="1"/>
  <c r="U5569" i="1"/>
  <c r="T5570" i="1"/>
  <c r="U5570" i="1"/>
  <c r="T5571" i="1"/>
  <c r="U5571" i="1"/>
  <c r="T5572" i="1"/>
  <c r="U5572" i="1"/>
  <c r="T5573" i="1"/>
  <c r="U5573" i="1"/>
  <c r="T5574" i="1"/>
  <c r="U5574" i="1"/>
  <c r="T5575" i="1"/>
  <c r="U5575" i="1"/>
  <c r="T5576" i="1"/>
  <c r="U5576" i="1"/>
  <c r="T5577" i="1"/>
  <c r="U5577" i="1"/>
  <c r="T5578" i="1"/>
  <c r="U5578" i="1"/>
  <c r="T5579" i="1"/>
  <c r="U5579" i="1"/>
  <c r="T5580" i="1"/>
  <c r="U5580" i="1"/>
  <c r="T5581" i="1"/>
  <c r="U5581" i="1"/>
  <c r="T5582" i="1"/>
  <c r="U5582" i="1"/>
  <c r="T5583" i="1"/>
  <c r="U5583" i="1"/>
  <c r="T5584" i="1"/>
  <c r="U5584" i="1"/>
  <c r="T5585" i="1"/>
  <c r="U5585" i="1"/>
  <c r="T5586" i="1"/>
  <c r="U5586" i="1"/>
  <c r="T5587" i="1"/>
  <c r="U5587" i="1"/>
  <c r="T5588" i="1"/>
  <c r="U5588" i="1"/>
  <c r="T5589" i="1"/>
  <c r="U5589" i="1"/>
  <c r="T5590" i="1"/>
  <c r="U5590" i="1"/>
  <c r="T5591" i="1"/>
  <c r="U5591" i="1"/>
  <c r="T5592" i="1"/>
  <c r="U5592" i="1"/>
  <c r="T5593" i="1"/>
  <c r="U5593" i="1"/>
  <c r="T5594" i="1"/>
  <c r="U5594" i="1"/>
  <c r="T5595" i="1"/>
  <c r="U5595" i="1"/>
  <c r="T5596" i="1"/>
  <c r="U5596" i="1"/>
  <c r="T5597" i="1"/>
  <c r="U5597" i="1"/>
  <c r="T5598" i="1"/>
  <c r="U5598" i="1"/>
  <c r="T5599" i="1"/>
  <c r="U5599" i="1"/>
  <c r="T5600" i="1"/>
  <c r="U5600" i="1"/>
  <c r="T5601" i="1"/>
  <c r="U5601" i="1"/>
  <c r="T5602" i="1"/>
  <c r="U5602" i="1"/>
  <c r="T5603" i="1"/>
  <c r="U5603" i="1"/>
  <c r="T5604" i="1"/>
  <c r="U5604" i="1"/>
  <c r="T5605" i="1"/>
  <c r="U5605" i="1"/>
  <c r="T5606" i="1"/>
  <c r="U5606" i="1"/>
  <c r="T5607" i="1"/>
  <c r="U5607" i="1"/>
  <c r="T5608" i="1"/>
  <c r="U5608" i="1"/>
  <c r="T5609" i="1"/>
  <c r="U5609" i="1"/>
  <c r="T5610" i="1"/>
  <c r="U5610" i="1"/>
  <c r="T5611" i="1"/>
  <c r="U5611" i="1"/>
  <c r="T5612" i="1"/>
  <c r="U5612" i="1"/>
  <c r="T5613" i="1"/>
  <c r="U5613" i="1"/>
  <c r="T5614" i="1"/>
  <c r="U5614" i="1"/>
  <c r="T5615" i="1"/>
  <c r="U5615" i="1"/>
  <c r="T5616" i="1"/>
  <c r="U5616" i="1"/>
  <c r="T5617" i="1"/>
  <c r="U5617" i="1"/>
  <c r="T5618" i="1"/>
  <c r="U5618" i="1"/>
  <c r="T5619" i="1"/>
  <c r="U5619" i="1"/>
  <c r="T5620" i="1"/>
  <c r="U5620" i="1"/>
  <c r="T5621" i="1"/>
  <c r="U5621" i="1"/>
  <c r="T5622" i="1"/>
  <c r="U5622" i="1"/>
  <c r="T5623" i="1"/>
  <c r="U5623" i="1"/>
  <c r="T5624" i="1"/>
  <c r="U5624" i="1"/>
  <c r="T5625" i="1"/>
  <c r="U5625" i="1"/>
  <c r="T5626" i="1"/>
  <c r="U5626" i="1"/>
  <c r="T5627" i="1"/>
  <c r="U5627" i="1"/>
  <c r="T5628" i="1"/>
  <c r="U5628" i="1"/>
  <c r="T5629" i="1"/>
  <c r="U5629" i="1"/>
  <c r="T5630" i="1"/>
  <c r="U5630" i="1"/>
  <c r="T5631" i="1"/>
  <c r="U5631" i="1"/>
  <c r="T5632" i="1"/>
  <c r="U5632" i="1"/>
  <c r="T5633" i="1"/>
  <c r="U5633" i="1"/>
  <c r="T5634" i="1"/>
  <c r="U5634" i="1"/>
  <c r="T5635" i="1"/>
  <c r="U5635" i="1"/>
  <c r="T5636" i="1"/>
  <c r="U5636" i="1"/>
  <c r="T5637" i="1"/>
  <c r="U5637" i="1"/>
  <c r="T5638" i="1"/>
  <c r="U5638" i="1"/>
  <c r="T5639" i="1"/>
  <c r="U5639" i="1"/>
  <c r="T5640" i="1"/>
  <c r="U5640" i="1"/>
  <c r="T5641" i="1"/>
  <c r="U5641" i="1"/>
  <c r="T5642" i="1"/>
  <c r="U5642" i="1"/>
  <c r="T5643" i="1"/>
  <c r="U5643" i="1"/>
  <c r="T5644" i="1"/>
  <c r="U5644" i="1"/>
  <c r="T5645" i="1"/>
  <c r="U5645" i="1"/>
  <c r="T5646" i="1"/>
  <c r="U5646" i="1"/>
  <c r="T5647" i="1"/>
  <c r="U5647" i="1"/>
  <c r="T5648" i="1"/>
  <c r="U5648" i="1"/>
  <c r="T5649" i="1"/>
  <c r="U5649" i="1"/>
  <c r="T5650" i="1"/>
  <c r="U5650" i="1"/>
  <c r="T5651" i="1"/>
  <c r="U5651" i="1"/>
  <c r="T5652" i="1"/>
  <c r="U5652" i="1"/>
  <c r="T5653" i="1"/>
  <c r="U5653" i="1"/>
  <c r="T5654" i="1"/>
  <c r="U5654" i="1"/>
  <c r="T5655" i="1"/>
  <c r="U5655" i="1"/>
  <c r="T5656" i="1"/>
  <c r="U5656" i="1"/>
  <c r="T5657" i="1"/>
  <c r="U5657" i="1"/>
  <c r="T5658" i="1"/>
  <c r="U5658" i="1"/>
  <c r="T5659" i="1"/>
  <c r="U5659" i="1"/>
  <c r="T5660" i="1"/>
  <c r="U5660" i="1"/>
  <c r="T5661" i="1"/>
  <c r="U5661" i="1"/>
  <c r="T5662" i="1"/>
  <c r="U5662" i="1"/>
  <c r="T5663" i="1"/>
  <c r="U5663" i="1"/>
  <c r="T5664" i="1"/>
  <c r="U5664" i="1"/>
  <c r="T5665" i="1"/>
  <c r="U5665" i="1"/>
  <c r="T5666" i="1"/>
  <c r="U5666" i="1"/>
  <c r="T5667" i="1"/>
  <c r="U5667" i="1"/>
  <c r="T5668" i="1"/>
  <c r="U5668" i="1"/>
  <c r="T5669" i="1"/>
  <c r="U5669" i="1"/>
  <c r="T5670" i="1"/>
  <c r="U5670" i="1"/>
  <c r="T5671" i="1"/>
  <c r="U5671" i="1"/>
  <c r="T5672" i="1"/>
  <c r="U5672" i="1"/>
  <c r="T5673" i="1"/>
  <c r="U5673" i="1"/>
  <c r="T5674" i="1"/>
  <c r="U5674" i="1"/>
  <c r="T5675" i="1"/>
  <c r="U5675" i="1"/>
  <c r="T5676" i="1"/>
  <c r="U5676" i="1"/>
  <c r="T5677" i="1"/>
  <c r="U5677" i="1"/>
  <c r="T5678" i="1"/>
  <c r="U5678" i="1"/>
  <c r="T5679" i="1"/>
  <c r="U5679" i="1"/>
  <c r="T5680" i="1"/>
  <c r="U5680" i="1"/>
  <c r="T5681" i="1"/>
  <c r="U5681" i="1"/>
  <c r="T5682" i="1"/>
  <c r="U5682" i="1"/>
  <c r="T5683" i="1"/>
  <c r="U5683" i="1"/>
  <c r="T5684" i="1"/>
  <c r="U5684" i="1"/>
  <c r="T5685" i="1"/>
  <c r="U5685" i="1"/>
  <c r="T5686" i="1"/>
  <c r="U5686" i="1"/>
  <c r="T5687" i="1"/>
  <c r="U5687" i="1"/>
  <c r="T5688" i="1"/>
  <c r="U5688" i="1"/>
  <c r="T5689" i="1"/>
  <c r="U5689" i="1"/>
  <c r="T5690" i="1"/>
  <c r="U5690" i="1"/>
  <c r="T5691" i="1"/>
  <c r="U5691" i="1"/>
  <c r="T5692" i="1"/>
  <c r="U5692" i="1"/>
  <c r="T5693" i="1"/>
  <c r="U5693" i="1"/>
  <c r="T5694" i="1"/>
  <c r="U5694" i="1"/>
  <c r="T5695" i="1"/>
  <c r="U5695" i="1"/>
  <c r="T5696" i="1"/>
  <c r="U5696" i="1"/>
  <c r="T5697" i="1"/>
  <c r="U5697" i="1"/>
  <c r="T5698" i="1"/>
  <c r="U5698" i="1"/>
  <c r="T5699" i="1"/>
  <c r="U5699" i="1"/>
  <c r="T5700" i="1"/>
  <c r="U5700" i="1"/>
  <c r="T5701" i="1"/>
  <c r="U5701" i="1"/>
  <c r="T5702" i="1"/>
  <c r="U5702" i="1"/>
  <c r="T5703" i="1"/>
  <c r="U5703" i="1"/>
  <c r="T5704" i="1"/>
  <c r="U5704" i="1"/>
  <c r="T5705" i="1"/>
  <c r="U5705" i="1"/>
  <c r="T5706" i="1"/>
  <c r="U5706" i="1"/>
  <c r="T5707" i="1"/>
  <c r="U5707" i="1"/>
  <c r="T5708" i="1"/>
  <c r="U5708" i="1"/>
  <c r="T5709" i="1"/>
  <c r="U5709" i="1"/>
  <c r="T5710" i="1"/>
  <c r="U5710" i="1"/>
  <c r="T5711" i="1"/>
  <c r="U5711" i="1"/>
  <c r="T5712" i="1"/>
  <c r="U5712" i="1"/>
  <c r="T5713" i="1"/>
  <c r="U5713" i="1"/>
  <c r="T5714" i="1"/>
  <c r="U5714" i="1"/>
  <c r="T5715" i="1"/>
  <c r="U5715" i="1"/>
  <c r="T5716" i="1"/>
  <c r="U5716" i="1"/>
  <c r="T5717" i="1"/>
  <c r="U5717" i="1"/>
  <c r="T5718" i="1"/>
  <c r="U5718" i="1"/>
  <c r="T5719" i="1"/>
  <c r="U5719" i="1"/>
  <c r="T5720" i="1"/>
  <c r="U5720" i="1"/>
  <c r="T5721" i="1"/>
  <c r="U5721" i="1"/>
  <c r="T5722" i="1"/>
  <c r="U5722" i="1"/>
  <c r="T5723" i="1"/>
  <c r="U5723" i="1"/>
  <c r="T5724" i="1"/>
  <c r="U5724" i="1"/>
  <c r="T5725" i="1"/>
  <c r="U5725" i="1"/>
  <c r="T5726" i="1"/>
  <c r="U5726" i="1"/>
  <c r="T5727" i="1"/>
  <c r="U5727" i="1"/>
  <c r="T5728" i="1"/>
  <c r="U5728" i="1"/>
  <c r="T5729" i="1"/>
  <c r="U5729" i="1"/>
  <c r="T5730" i="1"/>
  <c r="U5730" i="1"/>
  <c r="T5731" i="1"/>
  <c r="U5731" i="1"/>
  <c r="T5732" i="1"/>
  <c r="U5732" i="1"/>
  <c r="T5733" i="1"/>
  <c r="U5733" i="1"/>
  <c r="T5734" i="1"/>
  <c r="U5734" i="1"/>
  <c r="T5735" i="1"/>
  <c r="U5735" i="1"/>
  <c r="T5736" i="1"/>
  <c r="U5736" i="1"/>
  <c r="T5737" i="1"/>
  <c r="U5737" i="1"/>
  <c r="T5738" i="1"/>
  <c r="U5738" i="1"/>
  <c r="T5739" i="1"/>
  <c r="U5739" i="1"/>
  <c r="T5740" i="1"/>
  <c r="U5740" i="1"/>
  <c r="T5741" i="1"/>
  <c r="U5741" i="1"/>
  <c r="T5742" i="1"/>
  <c r="U5742" i="1"/>
  <c r="T5743" i="1"/>
  <c r="U5743" i="1"/>
  <c r="T5744" i="1"/>
  <c r="U5744" i="1"/>
  <c r="T5745" i="1"/>
  <c r="U5745" i="1"/>
  <c r="T5746" i="1"/>
  <c r="U5746" i="1"/>
  <c r="T5747" i="1"/>
  <c r="U5747" i="1"/>
  <c r="T5748" i="1"/>
  <c r="U5748" i="1"/>
  <c r="T5749" i="1"/>
  <c r="U5749" i="1"/>
  <c r="T5750" i="1"/>
  <c r="U5750" i="1"/>
  <c r="T5751" i="1"/>
  <c r="U5751" i="1"/>
  <c r="T5752" i="1"/>
  <c r="U5752" i="1"/>
  <c r="T5753" i="1"/>
  <c r="U5753" i="1"/>
  <c r="T5754" i="1"/>
  <c r="U5754" i="1"/>
  <c r="T5755" i="1"/>
  <c r="U5755" i="1"/>
  <c r="T5756" i="1"/>
  <c r="U5756" i="1"/>
  <c r="T5757" i="1"/>
  <c r="U5757" i="1"/>
  <c r="T5758" i="1"/>
  <c r="U5758" i="1"/>
  <c r="T5759" i="1"/>
  <c r="U5759" i="1"/>
  <c r="T5760" i="1"/>
  <c r="U5760" i="1"/>
  <c r="T5761" i="1"/>
  <c r="U5761" i="1"/>
  <c r="T5762" i="1"/>
  <c r="U5762" i="1"/>
  <c r="T5763" i="1"/>
  <c r="U5763" i="1"/>
  <c r="T5764" i="1"/>
  <c r="U5764" i="1"/>
  <c r="T5765" i="1"/>
  <c r="U5765" i="1"/>
  <c r="T5766" i="1"/>
  <c r="U5766" i="1"/>
  <c r="T5767" i="1"/>
  <c r="U5767" i="1"/>
  <c r="T5768" i="1"/>
  <c r="U5768" i="1"/>
  <c r="T5769" i="1"/>
  <c r="U5769" i="1"/>
  <c r="T5770" i="1"/>
  <c r="U5770" i="1"/>
  <c r="T5771" i="1"/>
  <c r="U5771"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4" i="1"/>
  <c r="U5784" i="1"/>
  <c r="T5785" i="1"/>
  <c r="U5785" i="1"/>
  <c r="T5786" i="1"/>
  <c r="U5786" i="1"/>
  <c r="T5787" i="1"/>
  <c r="U5787" i="1"/>
  <c r="T5788" i="1"/>
  <c r="U5788" i="1"/>
  <c r="T5789" i="1"/>
  <c r="U5789" i="1"/>
  <c r="T5790" i="1"/>
  <c r="U5790" i="1"/>
  <c r="T5791" i="1"/>
  <c r="U5791" i="1"/>
  <c r="T5792" i="1"/>
  <c r="U5792" i="1"/>
  <c r="T5793" i="1"/>
  <c r="U5793" i="1"/>
  <c r="T5794" i="1"/>
  <c r="U5794" i="1"/>
  <c r="T5795" i="1"/>
  <c r="U5795" i="1"/>
  <c r="T5796" i="1"/>
  <c r="U5796" i="1"/>
  <c r="T5797" i="1"/>
  <c r="U5797" i="1"/>
  <c r="T5798" i="1"/>
  <c r="U5798" i="1"/>
  <c r="T5799" i="1"/>
  <c r="U5799" i="1"/>
  <c r="T5800" i="1"/>
  <c r="U5800" i="1"/>
  <c r="T5801" i="1"/>
  <c r="U5801" i="1"/>
  <c r="T5802" i="1"/>
  <c r="U5802" i="1"/>
  <c r="T5803" i="1"/>
  <c r="U5803" i="1"/>
  <c r="T5804" i="1"/>
  <c r="U5804" i="1"/>
  <c r="T5805" i="1"/>
  <c r="U5805" i="1"/>
  <c r="T5806" i="1"/>
  <c r="U5806" i="1"/>
  <c r="T5807" i="1"/>
  <c r="U5807" i="1"/>
  <c r="T5808" i="1"/>
  <c r="U5808" i="1"/>
  <c r="T5809" i="1"/>
  <c r="U5809" i="1"/>
  <c r="T5810" i="1"/>
  <c r="U5810" i="1"/>
  <c r="T5811" i="1"/>
  <c r="U5811" i="1"/>
  <c r="T5812" i="1"/>
  <c r="U5812" i="1"/>
  <c r="T5813" i="1"/>
  <c r="U5813" i="1"/>
  <c r="T5814" i="1"/>
  <c r="U5814" i="1"/>
  <c r="T5815" i="1"/>
  <c r="U5815" i="1"/>
  <c r="T5816" i="1"/>
  <c r="U5816" i="1"/>
  <c r="T5817" i="1"/>
  <c r="U5817" i="1"/>
  <c r="T5818" i="1"/>
  <c r="U5818" i="1"/>
  <c r="T5819" i="1"/>
  <c r="U5819" i="1"/>
  <c r="T5820" i="1"/>
  <c r="U5820" i="1"/>
  <c r="T5821" i="1"/>
  <c r="U5821" i="1"/>
  <c r="T5822" i="1"/>
  <c r="U5822" i="1"/>
  <c r="T5823" i="1"/>
  <c r="U5823" i="1"/>
  <c r="T5824" i="1"/>
  <c r="U5824" i="1"/>
  <c r="T5825" i="1"/>
  <c r="U5825" i="1"/>
  <c r="T5826" i="1"/>
  <c r="U5826" i="1"/>
  <c r="T5827" i="1"/>
  <c r="U5827" i="1"/>
  <c r="T5828" i="1"/>
  <c r="U5828" i="1"/>
  <c r="T5829" i="1"/>
  <c r="U5829" i="1"/>
  <c r="T5830" i="1"/>
  <c r="U5830" i="1"/>
  <c r="T5831" i="1"/>
  <c r="U5831" i="1"/>
  <c r="T5832" i="1"/>
  <c r="U5832" i="1"/>
  <c r="T5833" i="1"/>
  <c r="U5833" i="1"/>
  <c r="T5834" i="1"/>
  <c r="U5834" i="1"/>
  <c r="T5835" i="1"/>
  <c r="U5835" i="1"/>
  <c r="T5836" i="1"/>
  <c r="U5836" i="1"/>
  <c r="T5837" i="1"/>
  <c r="U5837" i="1"/>
  <c r="T5838" i="1"/>
  <c r="U5838" i="1"/>
  <c r="T5839" i="1"/>
  <c r="U5839" i="1"/>
  <c r="T5840" i="1"/>
  <c r="U5840" i="1"/>
  <c r="T5841" i="1"/>
  <c r="U5841" i="1"/>
  <c r="T5842" i="1"/>
  <c r="U5842" i="1"/>
  <c r="T5843" i="1"/>
  <c r="U5843" i="1"/>
  <c r="T5844" i="1"/>
  <c r="U5844" i="1"/>
  <c r="T5845" i="1"/>
  <c r="U5845" i="1"/>
  <c r="T5846" i="1"/>
  <c r="U5846" i="1"/>
  <c r="T5847" i="1"/>
  <c r="U5847" i="1"/>
  <c r="T5848" i="1"/>
  <c r="U5848" i="1"/>
  <c r="T5849" i="1"/>
  <c r="U5849" i="1"/>
  <c r="T5850" i="1"/>
  <c r="U5850" i="1"/>
  <c r="T5851" i="1"/>
  <c r="U5851" i="1"/>
  <c r="T5852" i="1"/>
  <c r="U5852" i="1"/>
  <c r="T5853" i="1"/>
  <c r="U5853" i="1"/>
  <c r="T5854" i="1"/>
  <c r="U5854" i="1"/>
  <c r="T5855" i="1"/>
  <c r="U5855" i="1"/>
  <c r="T5856" i="1"/>
  <c r="U5856" i="1"/>
  <c r="T5857" i="1"/>
  <c r="U5857" i="1"/>
  <c r="T5858" i="1"/>
  <c r="U5858" i="1"/>
  <c r="T5859" i="1"/>
  <c r="U5859" i="1"/>
  <c r="T5860" i="1"/>
  <c r="U5860" i="1"/>
  <c r="T5861" i="1"/>
  <c r="U5861" i="1"/>
  <c r="T5862" i="1"/>
  <c r="U5862" i="1"/>
  <c r="T5863" i="1"/>
  <c r="U5863" i="1"/>
  <c r="T5864" i="1"/>
  <c r="U5864" i="1"/>
  <c r="T5865" i="1"/>
  <c r="U5865" i="1"/>
  <c r="T5866" i="1"/>
  <c r="U5866" i="1"/>
  <c r="T5867" i="1"/>
  <c r="U5867" i="1"/>
  <c r="T5868" i="1"/>
  <c r="U5868" i="1"/>
  <c r="T5869" i="1"/>
  <c r="U5869" i="1"/>
  <c r="T5870" i="1"/>
  <c r="U5870" i="1"/>
  <c r="T5871" i="1"/>
  <c r="U5871" i="1"/>
  <c r="T5872" i="1"/>
  <c r="U5872" i="1"/>
  <c r="T5873" i="1"/>
  <c r="U5873" i="1"/>
  <c r="T5874" i="1"/>
  <c r="U5874" i="1"/>
  <c r="T5875" i="1"/>
  <c r="U5875" i="1"/>
  <c r="T5876" i="1"/>
  <c r="U5876" i="1"/>
  <c r="T5877" i="1"/>
  <c r="U5877" i="1"/>
  <c r="T5878" i="1"/>
  <c r="U5878" i="1"/>
  <c r="T5879" i="1"/>
  <c r="U5879" i="1"/>
  <c r="T5880" i="1"/>
  <c r="U5880" i="1"/>
  <c r="T5881" i="1"/>
  <c r="U5881" i="1"/>
  <c r="T5882" i="1"/>
  <c r="U5882" i="1"/>
  <c r="T5883" i="1"/>
  <c r="U5883" i="1"/>
  <c r="T5884" i="1"/>
  <c r="U5884" i="1"/>
  <c r="T5885" i="1"/>
  <c r="U5885" i="1"/>
  <c r="T5886" i="1"/>
  <c r="U5886" i="1"/>
  <c r="T5887" i="1"/>
  <c r="U5887" i="1"/>
  <c r="T5888" i="1"/>
  <c r="U5888" i="1"/>
  <c r="T5889" i="1"/>
  <c r="U5889" i="1"/>
  <c r="T5890" i="1"/>
  <c r="U5890" i="1"/>
  <c r="T5891" i="1"/>
  <c r="U5891" i="1"/>
  <c r="T5892" i="1"/>
  <c r="U5892" i="1"/>
  <c r="T5893" i="1"/>
  <c r="U5893" i="1"/>
  <c r="T5894" i="1"/>
  <c r="U5894" i="1"/>
  <c r="T5895" i="1"/>
  <c r="U5895" i="1"/>
  <c r="T5896" i="1"/>
  <c r="U5896" i="1"/>
  <c r="T5897" i="1"/>
  <c r="U5897" i="1"/>
  <c r="T5898" i="1"/>
  <c r="U5898" i="1"/>
  <c r="T5899" i="1"/>
  <c r="U5899" i="1"/>
  <c r="T5900" i="1"/>
  <c r="U5900" i="1"/>
  <c r="T5901" i="1"/>
  <c r="U5901" i="1"/>
  <c r="T5902" i="1"/>
  <c r="U5902" i="1"/>
  <c r="T5903" i="1"/>
  <c r="U5903" i="1"/>
  <c r="T5904" i="1"/>
  <c r="U5904" i="1"/>
  <c r="T5905" i="1"/>
  <c r="U5905" i="1"/>
  <c r="T5906" i="1"/>
  <c r="U5906" i="1"/>
  <c r="T5907" i="1"/>
  <c r="U5907" i="1"/>
  <c r="T5908" i="1"/>
  <c r="U5908" i="1"/>
  <c r="T5909" i="1"/>
  <c r="U5909" i="1"/>
  <c r="T5910" i="1"/>
  <c r="U5910" i="1"/>
  <c r="T5911" i="1"/>
  <c r="U5911" i="1"/>
  <c r="T5912" i="1"/>
  <c r="U5912" i="1"/>
  <c r="T5913" i="1"/>
  <c r="U5913" i="1"/>
  <c r="T5914" i="1"/>
  <c r="U5914" i="1"/>
  <c r="T5915" i="1"/>
  <c r="U5915" i="1"/>
  <c r="T5916" i="1"/>
  <c r="U5916" i="1"/>
  <c r="T5917" i="1"/>
  <c r="U5917" i="1"/>
  <c r="T5918" i="1"/>
  <c r="U5918" i="1"/>
  <c r="T5919" i="1"/>
  <c r="U5919" i="1"/>
  <c r="T5920" i="1"/>
  <c r="U5920" i="1"/>
  <c r="T5921" i="1"/>
  <c r="U5921" i="1"/>
  <c r="T5922" i="1"/>
  <c r="U5922" i="1"/>
  <c r="T5923" i="1"/>
  <c r="U5923" i="1"/>
  <c r="T5924" i="1"/>
  <c r="U5924" i="1"/>
  <c r="T5925" i="1"/>
  <c r="U5925" i="1"/>
  <c r="T5926" i="1"/>
  <c r="U5926" i="1"/>
  <c r="T5927" i="1"/>
  <c r="U5927" i="1"/>
  <c r="T5928" i="1"/>
  <c r="U5928" i="1"/>
  <c r="T5929" i="1"/>
  <c r="U5929" i="1"/>
  <c r="T5930" i="1"/>
  <c r="U5930" i="1"/>
  <c r="T5931" i="1"/>
  <c r="U5931" i="1"/>
  <c r="T5932" i="1"/>
  <c r="U5932" i="1"/>
  <c r="T5933" i="1"/>
  <c r="U5933" i="1"/>
  <c r="T5934" i="1"/>
  <c r="U5934" i="1"/>
  <c r="T5935" i="1"/>
  <c r="U5935" i="1"/>
  <c r="T5936" i="1"/>
  <c r="U5936" i="1"/>
  <c r="T5937" i="1"/>
  <c r="U5937" i="1"/>
  <c r="T5938" i="1"/>
  <c r="U5938" i="1"/>
  <c r="T5939" i="1"/>
  <c r="U5939" i="1"/>
  <c r="T5940" i="1"/>
  <c r="U5940" i="1"/>
  <c r="T5941" i="1"/>
  <c r="U5941" i="1"/>
  <c r="T5942" i="1"/>
  <c r="U5942" i="1"/>
  <c r="T5943" i="1"/>
  <c r="U5943" i="1"/>
  <c r="T5944" i="1"/>
  <c r="U5944" i="1"/>
  <c r="T5945" i="1"/>
  <c r="U5945" i="1"/>
  <c r="T5946" i="1"/>
  <c r="U5946" i="1"/>
  <c r="T5947" i="1"/>
  <c r="U5947" i="1"/>
  <c r="T5948" i="1"/>
  <c r="U5948" i="1"/>
  <c r="T5949" i="1"/>
  <c r="U5949" i="1"/>
  <c r="T5950" i="1"/>
  <c r="U5950" i="1"/>
  <c r="T5951" i="1"/>
  <c r="U5951" i="1"/>
  <c r="T5952" i="1"/>
  <c r="U5952" i="1"/>
  <c r="T5953" i="1"/>
  <c r="U5953" i="1"/>
  <c r="T5954" i="1"/>
  <c r="U5954" i="1"/>
  <c r="T5955" i="1"/>
  <c r="U5955" i="1"/>
  <c r="T5956" i="1"/>
  <c r="U5956" i="1"/>
  <c r="T5957" i="1"/>
  <c r="U5957"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0" i="1"/>
  <c r="U5970" i="1"/>
  <c r="T5971" i="1"/>
  <c r="U5971" i="1"/>
  <c r="T5972" i="1"/>
  <c r="U5972" i="1"/>
  <c r="T5973" i="1"/>
  <c r="U5973" i="1"/>
  <c r="T5974" i="1"/>
  <c r="U5974" i="1"/>
  <c r="T5975" i="1"/>
  <c r="U5975" i="1"/>
  <c r="T5976" i="1"/>
  <c r="U5976" i="1"/>
  <c r="T5977" i="1"/>
  <c r="U5977" i="1"/>
  <c r="T5978" i="1"/>
  <c r="U5978" i="1"/>
  <c r="T5979" i="1"/>
  <c r="U5979" i="1"/>
  <c r="T5980" i="1"/>
  <c r="U5980" i="1"/>
  <c r="T5981" i="1"/>
  <c r="U5981" i="1"/>
  <c r="T5982" i="1"/>
  <c r="U5982" i="1"/>
  <c r="T5983" i="1"/>
  <c r="U5983" i="1"/>
  <c r="T5984" i="1"/>
  <c r="U5984" i="1"/>
  <c r="T5985" i="1"/>
  <c r="U5985" i="1"/>
  <c r="T5986" i="1"/>
  <c r="U5986" i="1"/>
  <c r="T5987" i="1"/>
  <c r="U5987" i="1"/>
  <c r="T5988" i="1"/>
  <c r="U5988" i="1"/>
  <c r="T5989" i="1"/>
  <c r="U5989" i="1"/>
  <c r="T5990" i="1"/>
  <c r="U5990" i="1"/>
  <c r="T5991" i="1"/>
  <c r="U5991" i="1"/>
  <c r="T5992" i="1"/>
  <c r="U5992" i="1"/>
  <c r="T5993" i="1"/>
  <c r="U5993" i="1"/>
  <c r="T5994" i="1"/>
  <c r="U5994" i="1"/>
  <c r="T5995" i="1"/>
  <c r="U5995" i="1"/>
  <c r="T5996" i="1"/>
  <c r="U5996" i="1"/>
  <c r="T5997" i="1"/>
  <c r="U5997" i="1"/>
  <c r="T5998" i="1"/>
  <c r="U5998" i="1"/>
  <c r="T5999" i="1"/>
  <c r="U5999" i="1"/>
  <c r="T6000" i="1"/>
  <c r="U6000" i="1"/>
  <c r="T6001" i="1"/>
  <c r="U6001" i="1"/>
  <c r="T6002" i="1"/>
  <c r="U6002" i="1"/>
  <c r="T6003" i="1"/>
  <c r="U6003" i="1"/>
  <c r="T6004" i="1"/>
  <c r="U6004" i="1"/>
  <c r="T6005" i="1"/>
  <c r="U6005" i="1"/>
  <c r="T6006" i="1"/>
  <c r="U6006" i="1"/>
  <c r="T6007" i="1"/>
  <c r="U6007" i="1"/>
  <c r="T6008" i="1"/>
  <c r="U6008" i="1"/>
  <c r="T6009" i="1"/>
  <c r="U6009" i="1"/>
  <c r="T6010" i="1"/>
  <c r="U6010" i="1"/>
  <c r="T6011" i="1"/>
  <c r="U6011" i="1"/>
  <c r="T6012" i="1"/>
  <c r="U6012" i="1"/>
  <c r="T6013" i="1"/>
  <c r="U6013" i="1"/>
  <c r="T6014" i="1"/>
  <c r="U6014" i="1"/>
  <c r="T6015" i="1"/>
  <c r="U6015" i="1"/>
  <c r="T6016" i="1"/>
  <c r="U6016" i="1"/>
  <c r="T6017" i="1"/>
  <c r="U6017" i="1"/>
  <c r="T6018" i="1"/>
  <c r="U6018" i="1"/>
  <c r="T6019" i="1"/>
  <c r="U6019" i="1"/>
  <c r="T6020" i="1"/>
  <c r="U6020" i="1"/>
  <c r="T6021" i="1"/>
  <c r="U6021" i="1"/>
  <c r="T6022" i="1"/>
  <c r="U6022" i="1"/>
  <c r="T6023" i="1"/>
  <c r="U6023" i="1"/>
  <c r="T6024" i="1"/>
  <c r="U6024" i="1"/>
  <c r="T6025" i="1"/>
  <c r="U6025" i="1"/>
  <c r="T6026" i="1"/>
  <c r="U6026" i="1"/>
  <c r="T6027" i="1"/>
  <c r="U6027" i="1"/>
  <c r="T6028" i="1"/>
  <c r="U6028" i="1"/>
  <c r="T6029" i="1"/>
  <c r="U6029" i="1"/>
  <c r="T6030" i="1"/>
  <c r="U6030" i="1"/>
  <c r="T6031" i="1"/>
  <c r="U6031" i="1"/>
  <c r="T6032" i="1"/>
  <c r="U6032" i="1"/>
  <c r="T6033" i="1"/>
  <c r="U6033" i="1"/>
  <c r="T6034" i="1"/>
  <c r="U6034" i="1"/>
  <c r="T6035" i="1"/>
  <c r="U6035" i="1"/>
  <c r="T6036" i="1"/>
  <c r="U6036" i="1"/>
  <c r="T6037" i="1"/>
  <c r="U6037" i="1"/>
  <c r="T6038" i="1"/>
  <c r="U6038" i="1"/>
  <c r="T6039" i="1"/>
  <c r="U6039" i="1"/>
  <c r="T6040" i="1"/>
  <c r="U6040" i="1"/>
  <c r="T6041" i="1"/>
  <c r="U6041" i="1"/>
  <c r="T6042" i="1"/>
  <c r="U6042" i="1"/>
  <c r="T6043" i="1"/>
  <c r="U6043" i="1"/>
  <c r="T6044" i="1"/>
  <c r="U6044" i="1"/>
  <c r="T6045" i="1"/>
  <c r="U6045" i="1"/>
  <c r="T6046" i="1"/>
  <c r="U6046" i="1"/>
  <c r="T6047" i="1"/>
  <c r="U6047" i="1"/>
  <c r="T6048" i="1"/>
  <c r="U6048" i="1"/>
  <c r="T6049" i="1"/>
  <c r="U6049" i="1"/>
  <c r="T6050" i="1"/>
  <c r="U6050" i="1"/>
  <c r="T6051" i="1"/>
  <c r="U6051" i="1"/>
  <c r="T6052" i="1"/>
  <c r="U6052" i="1"/>
  <c r="T6053" i="1"/>
  <c r="U6053" i="1"/>
  <c r="T6054" i="1"/>
  <c r="U6054" i="1"/>
  <c r="T6055" i="1"/>
  <c r="U6055" i="1"/>
  <c r="T6056" i="1"/>
  <c r="U6056" i="1"/>
  <c r="T6057" i="1"/>
  <c r="U6057" i="1"/>
  <c r="T6058" i="1"/>
  <c r="U6058" i="1"/>
  <c r="T6059" i="1"/>
  <c r="U6059" i="1"/>
  <c r="T6060" i="1"/>
  <c r="U6060" i="1"/>
  <c r="T6061" i="1"/>
  <c r="U6061" i="1"/>
  <c r="T6062" i="1"/>
  <c r="U6062" i="1"/>
  <c r="T6063" i="1"/>
  <c r="U6063" i="1"/>
  <c r="T6064" i="1"/>
  <c r="U6064" i="1"/>
  <c r="T6065" i="1"/>
  <c r="U6065" i="1"/>
  <c r="T6066" i="1"/>
  <c r="U6066" i="1"/>
  <c r="T6067" i="1"/>
  <c r="U6067" i="1"/>
  <c r="T6068" i="1"/>
  <c r="U6068" i="1"/>
  <c r="T6069" i="1"/>
  <c r="U6069" i="1"/>
  <c r="T6070" i="1"/>
  <c r="U6070" i="1"/>
  <c r="T6071" i="1"/>
  <c r="U6071" i="1"/>
  <c r="T6072" i="1"/>
  <c r="U6072" i="1"/>
  <c r="T6073" i="1"/>
  <c r="U6073" i="1"/>
  <c r="T6074" i="1"/>
  <c r="U6074" i="1"/>
  <c r="T6075" i="1"/>
  <c r="U6075" i="1"/>
  <c r="T6076" i="1"/>
  <c r="U6076" i="1"/>
  <c r="T6077" i="1"/>
  <c r="U6077" i="1"/>
  <c r="T6078" i="1"/>
  <c r="U6078" i="1"/>
  <c r="T6079" i="1"/>
  <c r="U6079" i="1"/>
  <c r="T6080" i="1"/>
  <c r="U6080" i="1"/>
  <c r="T6081" i="1"/>
  <c r="U6081" i="1"/>
  <c r="T6082" i="1"/>
  <c r="U6082" i="1"/>
  <c r="T6083" i="1"/>
  <c r="U6083" i="1"/>
  <c r="T6084" i="1"/>
  <c r="U6084" i="1"/>
  <c r="T6085" i="1"/>
  <c r="U6085" i="1"/>
  <c r="T6086" i="1"/>
  <c r="U6086" i="1"/>
  <c r="T6087" i="1"/>
  <c r="U6087" i="1"/>
  <c r="T6088" i="1"/>
  <c r="U6088" i="1"/>
  <c r="T6089" i="1"/>
  <c r="U6089" i="1"/>
  <c r="T6090" i="1"/>
  <c r="U6090" i="1"/>
  <c r="T6091" i="1"/>
  <c r="U6091" i="1"/>
  <c r="T6092" i="1"/>
  <c r="U6092" i="1"/>
  <c r="T6093" i="1"/>
  <c r="U6093" i="1"/>
  <c r="T6094" i="1"/>
  <c r="U6094" i="1"/>
  <c r="T6095" i="1"/>
  <c r="U6095" i="1"/>
  <c r="T6096" i="1"/>
  <c r="U6096" i="1"/>
  <c r="T6097" i="1"/>
  <c r="U6097" i="1"/>
  <c r="T6098" i="1"/>
  <c r="U6098" i="1"/>
  <c r="T6099" i="1"/>
  <c r="U6099" i="1"/>
  <c r="T6100" i="1"/>
  <c r="U6100" i="1"/>
  <c r="T6101" i="1"/>
  <c r="U6101" i="1"/>
  <c r="T6102" i="1"/>
  <c r="U6102" i="1"/>
  <c r="T6103" i="1"/>
  <c r="U6103" i="1"/>
  <c r="T6104" i="1"/>
  <c r="U6104" i="1"/>
  <c r="T6105" i="1"/>
  <c r="U6105" i="1"/>
  <c r="T6106" i="1"/>
  <c r="U6106" i="1"/>
  <c r="T6107" i="1"/>
  <c r="U6107" i="1"/>
  <c r="T6108" i="1"/>
  <c r="U6108" i="1"/>
  <c r="T6109" i="1"/>
  <c r="U6109" i="1"/>
  <c r="T6110" i="1"/>
  <c r="U6110" i="1"/>
  <c r="T6111" i="1"/>
  <c r="U6111" i="1"/>
  <c r="T6112" i="1"/>
  <c r="U6112" i="1"/>
  <c r="T6113" i="1"/>
  <c r="U6113" i="1"/>
  <c r="T6114" i="1"/>
  <c r="U6114" i="1"/>
  <c r="T6115" i="1"/>
  <c r="U6115" i="1"/>
  <c r="T6116" i="1"/>
  <c r="U6116" i="1"/>
  <c r="T6117" i="1"/>
  <c r="U6117" i="1"/>
  <c r="T6118" i="1"/>
  <c r="U6118" i="1"/>
  <c r="T6119" i="1"/>
  <c r="U6119" i="1"/>
  <c r="T6120" i="1"/>
  <c r="U6120" i="1"/>
  <c r="T6121" i="1"/>
  <c r="U6121" i="1"/>
  <c r="T6122" i="1"/>
  <c r="U6122" i="1"/>
  <c r="T6123" i="1"/>
  <c r="U6123" i="1"/>
  <c r="T6124" i="1"/>
  <c r="U6124" i="1"/>
  <c r="T6125" i="1"/>
  <c r="U6125" i="1"/>
  <c r="T6126" i="1"/>
  <c r="U6126" i="1"/>
  <c r="T6127" i="1"/>
  <c r="U6127" i="1"/>
  <c r="T6128" i="1"/>
  <c r="U6128" i="1"/>
  <c r="T6129" i="1"/>
  <c r="U6129" i="1"/>
  <c r="T6130" i="1"/>
  <c r="U6130" i="1"/>
  <c r="T6131" i="1"/>
  <c r="U6131" i="1"/>
  <c r="T6132" i="1"/>
  <c r="U6132" i="1"/>
  <c r="T6133" i="1"/>
  <c r="U6133" i="1"/>
  <c r="T6134" i="1"/>
  <c r="U6134" i="1"/>
  <c r="T6135" i="1"/>
  <c r="U6135" i="1"/>
  <c r="T6136" i="1"/>
  <c r="U6136" i="1"/>
  <c r="T6137" i="1"/>
  <c r="U6137" i="1"/>
  <c r="T6138" i="1"/>
  <c r="U6138" i="1"/>
  <c r="T6139" i="1"/>
  <c r="U6139" i="1"/>
  <c r="T6140" i="1"/>
  <c r="U6140" i="1"/>
  <c r="T6141" i="1"/>
  <c r="U6141" i="1"/>
  <c r="T6142" i="1"/>
  <c r="U6142" i="1"/>
  <c r="T6143" i="1"/>
  <c r="U6143" i="1"/>
  <c r="T6144" i="1"/>
  <c r="U6144" i="1"/>
  <c r="T6145" i="1"/>
  <c r="U6145" i="1"/>
  <c r="T6146" i="1"/>
  <c r="U6146" i="1"/>
  <c r="T6147" i="1"/>
  <c r="U6147" i="1"/>
  <c r="T6148" i="1"/>
  <c r="U6148" i="1"/>
  <c r="T6149" i="1"/>
  <c r="U6149" i="1"/>
  <c r="T6150" i="1"/>
  <c r="U6150" i="1"/>
  <c r="T6151" i="1"/>
  <c r="U6151" i="1"/>
  <c r="T6152" i="1"/>
  <c r="U6152" i="1"/>
  <c r="T6153" i="1"/>
  <c r="U6153" i="1"/>
  <c r="T6154" i="1"/>
  <c r="U6154" i="1"/>
  <c r="T6155" i="1"/>
  <c r="U6155" i="1"/>
  <c r="T6156" i="1"/>
  <c r="U6156" i="1"/>
  <c r="T6157" i="1"/>
  <c r="U6157" i="1"/>
  <c r="T6158" i="1"/>
  <c r="U6158" i="1"/>
  <c r="T6159" i="1"/>
  <c r="U6159" i="1"/>
  <c r="T6160" i="1"/>
  <c r="U6160" i="1"/>
  <c r="T6161" i="1"/>
  <c r="U6161" i="1"/>
  <c r="T6162" i="1"/>
  <c r="U6162" i="1"/>
  <c r="T6163" i="1"/>
  <c r="U6163" i="1"/>
  <c r="T6164" i="1"/>
  <c r="U6164" i="1"/>
  <c r="T6165" i="1"/>
  <c r="U6165" i="1"/>
  <c r="T6166" i="1"/>
  <c r="U6166" i="1"/>
  <c r="T6167" i="1"/>
  <c r="U6167" i="1"/>
  <c r="T6168" i="1"/>
  <c r="U6168" i="1"/>
  <c r="T6169" i="1"/>
  <c r="U6169" i="1"/>
  <c r="T6170" i="1"/>
  <c r="U6170" i="1"/>
  <c r="T6171" i="1"/>
  <c r="U6171" i="1"/>
  <c r="T6172" i="1"/>
  <c r="U6172" i="1"/>
  <c r="T6173" i="1"/>
  <c r="U6173" i="1"/>
  <c r="T6174" i="1"/>
  <c r="U6174" i="1"/>
  <c r="T6175" i="1"/>
  <c r="U6175" i="1"/>
  <c r="T6176" i="1"/>
  <c r="U6176" i="1"/>
  <c r="T6177" i="1"/>
  <c r="U6177" i="1"/>
  <c r="T6178" i="1"/>
  <c r="U6178" i="1"/>
  <c r="T6179" i="1"/>
  <c r="U6179" i="1"/>
  <c r="T6180" i="1"/>
  <c r="U6180" i="1"/>
  <c r="T6181" i="1"/>
  <c r="U6181" i="1"/>
  <c r="T6182" i="1"/>
  <c r="U6182" i="1"/>
  <c r="T6183" i="1"/>
  <c r="U6183" i="1"/>
  <c r="T6184" i="1"/>
  <c r="U6184" i="1"/>
  <c r="T6185" i="1"/>
  <c r="U6185" i="1"/>
  <c r="T6186" i="1"/>
  <c r="U6186" i="1"/>
  <c r="T6187" i="1"/>
  <c r="U6187" i="1"/>
  <c r="T6188" i="1"/>
  <c r="U6188" i="1"/>
  <c r="T6189" i="1"/>
  <c r="U6189" i="1"/>
  <c r="T6190" i="1"/>
  <c r="U6190" i="1"/>
  <c r="T6191" i="1"/>
  <c r="U6191" i="1"/>
  <c r="T6192" i="1"/>
  <c r="U6192" i="1"/>
  <c r="T6193" i="1"/>
  <c r="U6193" i="1"/>
  <c r="T6194" i="1"/>
  <c r="U6194" i="1"/>
  <c r="T6195" i="1"/>
  <c r="U6195" i="1"/>
  <c r="T6196" i="1"/>
  <c r="U6196" i="1"/>
  <c r="T6197" i="1"/>
  <c r="U6197" i="1"/>
  <c r="T6198" i="1"/>
  <c r="U6198" i="1"/>
  <c r="T6199" i="1"/>
  <c r="U6199" i="1"/>
  <c r="T6200" i="1"/>
  <c r="U6200" i="1"/>
  <c r="T6201" i="1"/>
  <c r="U6201" i="1"/>
  <c r="T6202" i="1"/>
  <c r="U6202" i="1"/>
  <c r="T6203" i="1"/>
  <c r="U6203" i="1"/>
  <c r="T6204" i="1"/>
  <c r="U6204" i="1"/>
  <c r="T6205" i="1"/>
  <c r="U6205" i="1"/>
  <c r="T6206" i="1"/>
  <c r="U6206" i="1"/>
  <c r="T6207" i="1"/>
  <c r="U6207" i="1"/>
  <c r="T6208" i="1"/>
  <c r="U6208" i="1"/>
  <c r="T6209" i="1"/>
  <c r="U6209" i="1"/>
  <c r="T6210" i="1"/>
  <c r="U6210" i="1"/>
  <c r="T6211" i="1"/>
  <c r="U6211" i="1"/>
  <c r="T6212" i="1"/>
  <c r="U6212" i="1"/>
  <c r="T6213" i="1"/>
  <c r="U6213" i="1"/>
  <c r="T6214" i="1"/>
  <c r="U6214" i="1"/>
  <c r="T6215" i="1"/>
  <c r="U6215" i="1"/>
  <c r="T6216" i="1"/>
  <c r="U6216" i="1"/>
  <c r="T6217" i="1"/>
  <c r="U6217" i="1"/>
  <c r="T6218" i="1"/>
  <c r="U6218" i="1"/>
  <c r="T6219" i="1"/>
  <c r="U6219" i="1"/>
  <c r="T6220" i="1"/>
  <c r="U6220" i="1"/>
  <c r="T6221" i="1"/>
  <c r="U6221" i="1"/>
  <c r="T6222" i="1"/>
  <c r="U6222" i="1"/>
  <c r="T6223" i="1"/>
  <c r="U6223" i="1"/>
  <c r="T6224" i="1"/>
  <c r="U6224" i="1"/>
  <c r="T6225" i="1"/>
  <c r="U6225" i="1"/>
  <c r="T6226" i="1"/>
  <c r="U6226" i="1"/>
  <c r="T6227" i="1"/>
  <c r="U6227" i="1"/>
  <c r="T6228" i="1"/>
  <c r="U6228" i="1"/>
  <c r="T6229" i="1"/>
  <c r="U6229" i="1"/>
  <c r="T6230" i="1"/>
  <c r="U6230" i="1"/>
  <c r="T6231" i="1"/>
  <c r="U6231" i="1"/>
  <c r="T6232" i="1"/>
  <c r="U6232" i="1"/>
  <c r="T6233" i="1"/>
  <c r="U6233" i="1"/>
  <c r="T6234" i="1"/>
  <c r="U6234" i="1"/>
  <c r="T6235" i="1"/>
  <c r="U6235" i="1"/>
  <c r="T6236" i="1"/>
  <c r="U6236" i="1"/>
  <c r="T6237" i="1"/>
  <c r="U6237" i="1"/>
  <c r="T6238" i="1"/>
  <c r="U6238" i="1"/>
  <c r="T6239" i="1"/>
  <c r="U6239" i="1"/>
  <c r="T6240" i="1"/>
  <c r="U6240" i="1"/>
  <c r="T6241" i="1"/>
  <c r="U6241" i="1"/>
  <c r="T6242" i="1"/>
  <c r="U6242" i="1"/>
  <c r="T6243" i="1"/>
  <c r="U6243" i="1"/>
  <c r="T6244" i="1"/>
  <c r="U6244" i="1"/>
  <c r="T6245" i="1"/>
  <c r="U6245" i="1"/>
  <c r="T6246" i="1"/>
  <c r="U6246" i="1"/>
  <c r="T6247" i="1"/>
  <c r="U6247" i="1"/>
  <c r="T6248" i="1"/>
  <c r="U6248" i="1"/>
  <c r="T6249" i="1"/>
  <c r="U6249" i="1"/>
  <c r="T6250" i="1"/>
  <c r="U6250" i="1"/>
  <c r="T6251" i="1"/>
  <c r="U6251" i="1"/>
  <c r="T6252" i="1"/>
  <c r="U6252" i="1"/>
  <c r="T6253" i="1"/>
  <c r="U6253" i="1"/>
  <c r="T6254" i="1"/>
  <c r="U6254" i="1"/>
  <c r="T6255" i="1"/>
  <c r="U6255" i="1"/>
  <c r="T6256" i="1"/>
  <c r="U6256" i="1"/>
  <c r="T6257" i="1"/>
  <c r="U6257" i="1"/>
  <c r="T6258" i="1"/>
  <c r="U6258" i="1"/>
  <c r="T6259" i="1"/>
  <c r="U6259" i="1"/>
  <c r="T6260" i="1"/>
  <c r="U6260" i="1"/>
  <c r="T6261" i="1"/>
  <c r="U6261" i="1"/>
  <c r="T6262" i="1"/>
  <c r="U6262" i="1"/>
  <c r="T6263" i="1"/>
  <c r="U6263" i="1"/>
  <c r="T6264" i="1"/>
  <c r="U6264" i="1"/>
  <c r="T6265" i="1"/>
  <c r="U6265" i="1"/>
  <c r="T6266" i="1"/>
  <c r="U6266" i="1"/>
  <c r="T6267" i="1"/>
  <c r="U6267" i="1"/>
  <c r="T6268" i="1"/>
  <c r="U6268" i="1"/>
  <c r="T6269" i="1"/>
  <c r="U6269" i="1"/>
  <c r="T6270" i="1"/>
  <c r="U6270" i="1"/>
  <c r="T6271" i="1"/>
  <c r="U6271" i="1"/>
  <c r="T6272" i="1"/>
  <c r="U6272" i="1"/>
  <c r="T6273" i="1"/>
  <c r="U6273" i="1"/>
  <c r="T6274" i="1"/>
  <c r="U6274" i="1"/>
  <c r="T6275" i="1"/>
  <c r="U6275" i="1"/>
  <c r="T6276" i="1"/>
  <c r="U6276" i="1"/>
  <c r="T6277" i="1"/>
  <c r="U6277" i="1"/>
  <c r="T6278" i="1"/>
  <c r="U6278" i="1"/>
  <c r="T6279" i="1"/>
  <c r="U6279" i="1"/>
  <c r="T6280" i="1"/>
  <c r="U6280" i="1"/>
  <c r="T6281" i="1"/>
  <c r="U6281" i="1"/>
  <c r="T6282" i="1"/>
  <c r="U6282" i="1"/>
  <c r="T6283" i="1"/>
  <c r="U6283" i="1"/>
  <c r="T6284" i="1"/>
  <c r="U6284" i="1"/>
  <c r="T6285" i="1"/>
  <c r="U6285" i="1"/>
  <c r="T6286" i="1"/>
  <c r="U6286" i="1"/>
  <c r="T6287" i="1"/>
  <c r="U6287" i="1"/>
  <c r="T6288" i="1"/>
  <c r="U6288" i="1"/>
  <c r="T6289" i="1"/>
  <c r="U6289" i="1"/>
  <c r="T6290" i="1"/>
  <c r="U6290" i="1"/>
  <c r="T6291" i="1"/>
  <c r="U6291" i="1"/>
  <c r="T6292" i="1"/>
  <c r="U6292" i="1"/>
  <c r="T6293" i="1"/>
  <c r="U6293" i="1"/>
  <c r="T6294" i="1"/>
  <c r="U6294" i="1"/>
  <c r="T6295" i="1"/>
  <c r="U6295" i="1"/>
  <c r="T6296" i="1"/>
  <c r="U6296" i="1"/>
  <c r="T6297" i="1"/>
  <c r="U6297" i="1"/>
  <c r="T6298" i="1"/>
  <c r="U6298" i="1"/>
  <c r="T6299" i="1"/>
  <c r="U6299" i="1"/>
  <c r="T6300" i="1"/>
  <c r="U6300" i="1"/>
  <c r="T6301" i="1"/>
  <c r="U6301" i="1"/>
  <c r="T6302" i="1"/>
  <c r="U6302" i="1"/>
  <c r="T6303" i="1"/>
  <c r="U6303" i="1"/>
  <c r="T6304" i="1"/>
  <c r="U6304" i="1"/>
  <c r="T6305" i="1"/>
  <c r="U6305" i="1"/>
  <c r="T6306" i="1"/>
  <c r="U6306" i="1"/>
  <c r="T6307" i="1"/>
  <c r="U6307" i="1"/>
  <c r="T6308" i="1"/>
  <c r="U6308" i="1"/>
  <c r="T6309" i="1"/>
  <c r="U6309" i="1"/>
  <c r="T6310" i="1"/>
  <c r="U6310" i="1"/>
  <c r="T6311" i="1"/>
  <c r="U6311" i="1"/>
  <c r="T6312" i="1"/>
  <c r="U6312" i="1"/>
  <c r="T6313" i="1"/>
  <c r="U6313" i="1"/>
  <c r="T6314" i="1"/>
  <c r="U6314" i="1"/>
  <c r="T6315" i="1"/>
  <c r="U6315" i="1"/>
  <c r="T6316" i="1"/>
  <c r="U6316" i="1"/>
  <c r="T6317" i="1"/>
  <c r="U6317" i="1"/>
  <c r="T6318" i="1"/>
  <c r="U6318" i="1"/>
  <c r="T6319" i="1"/>
  <c r="U6319" i="1"/>
  <c r="T6320" i="1"/>
  <c r="U6320" i="1"/>
  <c r="T6321" i="1"/>
  <c r="U6321" i="1"/>
  <c r="T6322" i="1"/>
  <c r="U6322" i="1"/>
  <c r="T6323" i="1"/>
  <c r="U6323" i="1"/>
  <c r="T6324" i="1"/>
  <c r="U6324" i="1"/>
  <c r="T6325" i="1"/>
  <c r="U6325" i="1"/>
  <c r="T6326" i="1"/>
  <c r="U6326" i="1"/>
  <c r="T6327" i="1"/>
  <c r="U6327" i="1"/>
  <c r="T6328" i="1"/>
  <c r="U6328" i="1"/>
  <c r="T6329" i="1"/>
  <c r="U6329" i="1"/>
  <c r="T6330" i="1"/>
  <c r="U6330" i="1"/>
  <c r="T6331" i="1"/>
  <c r="U6331" i="1"/>
  <c r="T6332" i="1"/>
  <c r="U6332" i="1"/>
  <c r="T6333" i="1"/>
  <c r="U6333" i="1"/>
  <c r="T6334" i="1"/>
  <c r="U6334" i="1"/>
  <c r="T6335" i="1"/>
  <c r="U6335" i="1"/>
  <c r="T6336" i="1"/>
  <c r="U6336" i="1"/>
  <c r="T6337" i="1"/>
  <c r="U6337" i="1"/>
  <c r="T6338" i="1"/>
  <c r="U6338" i="1"/>
  <c r="T6339" i="1"/>
  <c r="U6339" i="1"/>
  <c r="T6340" i="1"/>
  <c r="U6340" i="1"/>
  <c r="T6341" i="1"/>
  <c r="U6341" i="1"/>
  <c r="T6342" i="1"/>
  <c r="U6342" i="1"/>
  <c r="T6343" i="1"/>
  <c r="U6343" i="1"/>
  <c r="T6344" i="1"/>
  <c r="U6344" i="1"/>
  <c r="T6345" i="1"/>
  <c r="U6345" i="1"/>
  <c r="T6346" i="1"/>
  <c r="U6346" i="1"/>
  <c r="T6347" i="1"/>
  <c r="U6347" i="1"/>
  <c r="T6348" i="1"/>
  <c r="U6348" i="1"/>
  <c r="T6349" i="1"/>
  <c r="U6349" i="1"/>
  <c r="T6350" i="1"/>
  <c r="U6350" i="1"/>
  <c r="T6351" i="1"/>
  <c r="U6351" i="1"/>
  <c r="T6352" i="1"/>
  <c r="U6352" i="1"/>
  <c r="T6353" i="1"/>
  <c r="U6353" i="1"/>
  <c r="T6354" i="1"/>
  <c r="U6354" i="1"/>
  <c r="T6355" i="1"/>
  <c r="U6355" i="1"/>
  <c r="T6356" i="1"/>
  <c r="U6356" i="1"/>
  <c r="T6357" i="1"/>
  <c r="U6357" i="1"/>
  <c r="T6358" i="1"/>
  <c r="U6358" i="1"/>
  <c r="T6359" i="1"/>
  <c r="U6359" i="1"/>
  <c r="T6360" i="1"/>
  <c r="U6360" i="1"/>
  <c r="T6361" i="1"/>
  <c r="U6361" i="1"/>
  <c r="T6362" i="1"/>
  <c r="U6362" i="1"/>
  <c r="T6363" i="1"/>
  <c r="U6363" i="1"/>
  <c r="T6364" i="1"/>
  <c r="U6364" i="1"/>
  <c r="T6365" i="1"/>
  <c r="U6365" i="1"/>
  <c r="T6366" i="1"/>
  <c r="U6366" i="1"/>
  <c r="T6367" i="1"/>
  <c r="U6367" i="1"/>
  <c r="T6368" i="1"/>
  <c r="U6368" i="1"/>
  <c r="T6369" i="1"/>
  <c r="U6369" i="1"/>
  <c r="T6370" i="1"/>
  <c r="U6370" i="1"/>
  <c r="T6371" i="1"/>
  <c r="U6371" i="1"/>
  <c r="T6372" i="1"/>
  <c r="U6372" i="1"/>
  <c r="T6373" i="1"/>
  <c r="U6373" i="1"/>
  <c r="T6374" i="1"/>
  <c r="U6374" i="1"/>
  <c r="T6375" i="1"/>
  <c r="U6375" i="1"/>
  <c r="T6376" i="1"/>
  <c r="U6376" i="1"/>
  <c r="T6377" i="1"/>
  <c r="U6377" i="1"/>
  <c r="T6378" i="1"/>
  <c r="U6378" i="1"/>
  <c r="T6379" i="1"/>
  <c r="U6379" i="1"/>
  <c r="T6380" i="1"/>
  <c r="U6380" i="1"/>
  <c r="T6381" i="1"/>
  <c r="U6381" i="1"/>
  <c r="T6382" i="1"/>
  <c r="U6382" i="1"/>
  <c r="T6383" i="1"/>
  <c r="U6383" i="1"/>
  <c r="T6384" i="1"/>
  <c r="U6384" i="1"/>
  <c r="T6385" i="1"/>
  <c r="U6385" i="1"/>
  <c r="T6386" i="1"/>
  <c r="U6386" i="1"/>
  <c r="T6387" i="1"/>
  <c r="U6387" i="1"/>
  <c r="T6388" i="1"/>
  <c r="U6388" i="1"/>
  <c r="T6389" i="1"/>
  <c r="U6389" i="1"/>
  <c r="T6390" i="1"/>
  <c r="U6390" i="1"/>
  <c r="T6391" i="1"/>
  <c r="U6391" i="1"/>
  <c r="T6392" i="1"/>
  <c r="U6392" i="1"/>
  <c r="T6393" i="1"/>
  <c r="U6393" i="1"/>
  <c r="T6394" i="1"/>
  <c r="U6394" i="1"/>
  <c r="T6395" i="1"/>
  <c r="U6395" i="1"/>
  <c r="T6396" i="1"/>
  <c r="U6396" i="1"/>
  <c r="T6397" i="1"/>
  <c r="U6397" i="1"/>
  <c r="T6398" i="1"/>
  <c r="U6398" i="1"/>
  <c r="T6399" i="1"/>
  <c r="U6399" i="1"/>
  <c r="T6400" i="1"/>
  <c r="U6400" i="1"/>
  <c r="T6401" i="1"/>
  <c r="U6401" i="1"/>
  <c r="T6402" i="1"/>
  <c r="U6402" i="1"/>
  <c r="T6403" i="1"/>
  <c r="U6403" i="1"/>
  <c r="T6404" i="1"/>
  <c r="U6404" i="1"/>
  <c r="T6405" i="1"/>
  <c r="U6405" i="1"/>
  <c r="T6406" i="1"/>
  <c r="U6406" i="1"/>
  <c r="T6407" i="1"/>
  <c r="U6407" i="1"/>
  <c r="T6408" i="1"/>
  <c r="U6408" i="1"/>
  <c r="T6409" i="1"/>
  <c r="U6409" i="1"/>
  <c r="T6410" i="1"/>
  <c r="U6410" i="1"/>
  <c r="T6411" i="1"/>
  <c r="U6411" i="1"/>
  <c r="T6412" i="1"/>
  <c r="U6412" i="1"/>
  <c r="T6413" i="1"/>
  <c r="U6413" i="1"/>
  <c r="T6414" i="1"/>
  <c r="U6414" i="1"/>
  <c r="T6415" i="1"/>
  <c r="U6415" i="1"/>
  <c r="T6416" i="1"/>
  <c r="U6416" i="1"/>
  <c r="T6417" i="1"/>
  <c r="U6417" i="1"/>
  <c r="T6418" i="1"/>
  <c r="U6418" i="1"/>
  <c r="T6419" i="1"/>
  <c r="U6419" i="1"/>
  <c r="T6420" i="1"/>
  <c r="U6420" i="1"/>
  <c r="T6421" i="1"/>
  <c r="U6421" i="1"/>
  <c r="T6422" i="1"/>
  <c r="U6422" i="1"/>
  <c r="T6423" i="1"/>
  <c r="U6423" i="1"/>
  <c r="T6424" i="1"/>
  <c r="U6424" i="1"/>
  <c r="T6425" i="1"/>
  <c r="U6425" i="1"/>
  <c r="T6426" i="1"/>
  <c r="U6426" i="1"/>
  <c r="T6427" i="1"/>
  <c r="U6427" i="1"/>
  <c r="T6428" i="1"/>
  <c r="U6428" i="1"/>
  <c r="T6429" i="1"/>
  <c r="U6429" i="1"/>
  <c r="T6430" i="1"/>
  <c r="U6430" i="1"/>
  <c r="T6431" i="1"/>
  <c r="U6431" i="1"/>
  <c r="T6432" i="1"/>
  <c r="U6432" i="1"/>
  <c r="T6433" i="1"/>
  <c r="U6433" i="1"/>
  <c r="T6434" i="1"/>
  <c r="U6434" i="1"/>
  <c r="T6435" i="1"/>
  <c r="U6435" i="1"/>
  <c r="T6436" i="1"/>
  <c r="U6436" i="1"/>
  <c r="T6437" i="1"/>
  <c r="U6437" i="1"/>
  <c r="T6438" i="1"/>
  <c r="U6438" i="1"/>
  <c r="T6439" i="1"/>
  <c r="U6439" i="1"/>
  <c r="T6440" i="1"/>
  <c r="U6440" i="1"/>
  <c r="T6441" i="1"/>
  <c r="U6441" i="1"/>
  <c r="T6442" i="1"/>
  <c r="U6442" i="1"/>
  <c r="T6443" i="1"/>
  <c r="U6443" i="1"/>
  <c r="T6444" i="1"/>
  <c r="U6444" i="1"/>
  <c r="T6445" i="1"/>
  <c r="U6445" i="1"/>
  <c r="T6446" i="1"/>
  <c r="U6446" i="1"/>
  <c r="T6447" i="1"/>
  <c r="U6447" i="1"/>
  <c r="T6448" i="1"/>
  <c r="U6448" i="1"/>
  <c r="T6449" i="1"/>
  <c r="U6449" i="1"/>
  <c r="T6450" i="1"/>
  <c r="U6450" i="1"/>
  <c r="T6451" i="1"/>
  <c r="U6451" i="1"/>
  <c r="T6452" i="1"/>
  <c r="U6452" i="1"/>
  <c r="T6453" i="1"/>
  <c r="U6453" i="1"/>
  <c r="T6454" i="1"/>
  <c r="U6454" i="1"/>
  <c r="T6455" i="1"/>
  <c r="U6455" i="1"/>
  <c r="T6456" i="1"/>
  <c r="U6456" i="1"/>
  <c r="T6457" i="1"/>
  <c r="U6457" i="1"/>
  <c r="T6458" i="1"/>
  <c r="U6458" i="1"/>
  <c r="T6459" i="1"/>
  <c r="U6459" i="1"/>
  <c r="T6460" i="1"/>
  <c r="U6460" i="1"/>
  <c r="T6461" i="1"/>
  <c r="U6461" i="1"/>
  <c r="T6462" i="1"/>
  <c r="U6462" i="1"/>
  <c r="T6463" i="1"/>
  <c r="U6463" i="1"/>
  <c r="T6464" i="1"/>
  <c r="U6464" i="1"/>
  <c r="T6465" i="1"/>
  <c r="U6465" i="1"/>
  <c r="T6466" i="1"/>
  <c r="U6466" i="1"/>
  <c r="T6467" i="1"/>
  <c r="U6467" i="1"/>
  <c r="T6468" i="1"/>
  <c r="U6468" i="1"/>
  <c r="T6469" i="1"/>
  <c r="U6469" i="1"/>
  <c r="T6470" i="1"/>
  <c r="U6470" i="1"/>
  <c r="T6471" i="1"/>
  <c r="U6471" i="1"/>
  <c r="T6472" i="1"/>
  <c r="U6472" i="1"/>
  <c r="T6473" i="1"/>
  <c r="U6473" i="1"/>
  <c r="T6474" i="1"/>
  <c r="U6474" i="1"/>
  <c r="T6475" i="1"/>
  <c r="U6475" i="1"/>
  <c r="T6476" i="1"/>
  <c r="U6476" i="1"/>
  <c r="T6477" i="1"/>
  <c r="U6477" i="1"/>
  <c r="T6478" i="1"/>
  <c r="U6478" i="1"/>
  <c r="T6479" i="1"/>
  <c r="U6479" i="1"/>
  <c r="T6480" i="1"/>
  <c r="U6480" i="1"/>
  <c r="T6481" i="1"/>
  <c r="U6481" i="1"/>
  <c r="T6482" i="1"/>
  <c r="U6482" i="1"/>
  <c r="T6483" i="1"/>
  <c r="U6483" i="1"/>
  <c r="T6484" i="1"/>
  <c r="U6484" i="1"/>
  <c r="T6485" i="1"/>
  <c r="U6485" i="1"/>
  <c r="T6486" i="1"/>
  <c r="U6486" i="1"/>
  <c r="T6487" i="1"/>
  <c r="U6487" i="1"/>
  <c r="T6488" i="1"/>
  <c r="U6488" i="1"/>
  <c r="T6489" i="1"/>
  <c r="U6489" i="1"/>
  <c r="T6490" i="1"/>
  <c r="U6490" i="1"/>
  <c r="T6491" i="1"/>
  <c r="U6491" i="1"/>
  <c r="T6492" i="1"/>
  <c r="U6492" i="1"/>
  <c r="T6493" i="1"/>
  <c r="U6493" i="1"/>
  <c r="T6494" i="1"/>
  <c r="U6494" i="1"/>
  <c r="T6495" i="1"/>
  <c r="U6495" i="1"/>
  <c r="T6496" i="1"/>
  <c r="U6496" i="1"/>
  <c r="T6497" i="1"/>
  <c r="U6497" i="1"/>
  <c r="T6498" i="1"/>
  <c r="U6498" i="1"/>
  <c r="T6499" i="1"/>
  <c r="U6499" i="1"/>
  <c r="T6500" i="1"/>
  <c r="U6500" i="1"/>
  <c r="T6501" i="1"/>
  <c r="U6501" i="1"/>
  <c r="T6502" i="1"/>
  <c r="U6502" i="1"/>
  <c r="T6503" i="1"/>
  <c r="U6503" i="1"/>
  <c r="T6504" i="1"/>
  <c r="U6504" i="1"/>
  <c r="T6505" i="1"/>
  <c r="U6505" i="1"/>
  <c r="T6506" i="1"/>
  <c r="U6506" i="1"/>
  <c r="T6507" i="1"/>
  <c r="U6507" i="1"/>
  <c r="T6508" i="1"/>
  <c r="U6508" i="1"/>
  <c r="T6509" i="1"/>
  <c r="U6509" i="1"/>
  <c r="T6510" i="1"/>
  <c r="U6510" i="1"/>
  <c r="T6511" i="1"/>
  <c r="U6511" i="1"/>
  <c r="T6512" i="1"/>
  <c r="U6512" i="1"/>
  <c r="T6513" i="1"/>
  <c r="U6513" i="1"/>
  <c r="T6514" i="1"/>
  <c r="U6514" i="1"/>
  <c r="T6515" i="1"/>
  <c r="U6515" i="1"/>
  <c r="T6516" i="1"/>
  <c r="U6516" i="1"/>
  <c r="T6517" i="1"/>
  <c r="U6517" i="1"/>
  <c r="T6518" i="1"/>
  <c r="U6518" i="1"/>
  <c r="T6519" i="1"/>
  <c r="U6519" i="1"/>
  <c r="T6520" i="1"/>
  <c r="U6520" i="1"/>
  <c r="T6521" i="1"/>
  <c r="U6521" i="1"/>
  <c r="T6522" i="1"/>
  <c r="U6522" i="1"/>
  <c r="T6523" i="1"/>
  <c r="U6523" i="1"/>
  <c r="T6524" i="1"/>
  <c r="U6524" i="1"/>
  <c r="T6525" i="1"/>
  <c r="U6525" i="1"/>
  <c r="T6526" i="1"/>
  <c r="U6526" i="1"/>
  <c r="T6527" i="1"/>
  <c r="U6527" i="1"/>
  <c r="T6528" i="1"/>
  <c r="U6528" i="1"/>
  <c r="T6529" i="1"/>
  <c r="U6529" i="1"/>
  <c r="T6530" i="1"/>
  <c r="U6530" i="1"/>
  <c r="T6531" i="1"/>
  <c r="U6531" i="1"/>
  <c r="T6532" i="1"/>
  <c r="U6532" i="1"/>
  <c r="T6533" i="1"/>
  <c r="U6533" i="1"/>
  <c r="T6534" i="1"/>
  <c r="U6534" i="1"/>
  <c r="T6535" i="1"/>
  <c r="U6535" i="1"/>
  <c r="T6536" i="1"/>
  <c r="U6536" i="1"/>
  <c r="T6537" i="1"/>
  <c r="U6537" i="1"/>
  <c r="T6538" i="1"/>
  <c r="U6538" i="1"/>
  <c r="T6539" i="1"/>
  <c r="U6539" i="1"/>
  <c r="T6540" i="1"/>
  <c r="U6540" i="1"/>
  <c r="T6541" i="1"/>
  <c r="U6541" i="1"/>
  <c r="T6542" i="1"/>
  <c r="U6542" i="1"/>
  <c r="T6543" i="1"/>
  <c r="U6543" i="1"/>
  <c r="T6544" i="1"/>
  <c r="U6544" i="1"/>
  <c r="T6545" i="1"/>
  <c r="U6545" i="1"/>
  <c r="T6546" i="1"/>
  <c r="U6546" i="1"/>
  <c r="T6547" i="1"/>
  <c r="U6547" i="1"/>
  <c r="T6548" i="1"/>
  <c r="U6548" i="1"/>
  <c r="T6549" i="1"/>
  <c r="U6549" i="1"/>
  <c r="T6550" i="1"/>
  <c r="U6550" i="1"/>
  <c r="T6551" i="1"/>
  <c r="U6551" i="1"/>
  <c r="T6552" i="1"/>
  <c r="U6552" i="1"/>
  <c r="T6553" i="1"/>
  <c r="U6553" i="1"/>
  <c r="T6554" i="1"/>
  <c r="U6554" i="1"/>
  <c r="T6555" i="1"/>
  <c r="U6555" i="1"/>
  <c r="T6556" i="1"/>
  <c r="U6556" i="1"/>
  <c r="T6557" i="1"/>
  <c r="U6557" i="1"/>
  <c r="T6558" i="1"/>
  <c r="U6558" i="1"/>
  <c r="T6559" i="1"/>
  <c r="U6559" i="1"/>
  <c r="T6560" i="1"/>
  <c r="U6560" i="1"/>
  <c r="T6561" i="1"/>
  <c r="U6561" i="1"/>
  <c r="T6562" i="1"/>
  <c r="U6562" i="1"/>
  <c r="T6563" i="1"/>
  <c r="U6563" i="1"/>
  <c r="T6564" i="1"/>
  <c r="U6564" i="1"/>
  <c r="T6565" i="1"/>
  <c r="U6565" i="1"/>
  <c r="T6566" i="1"/>
  <c r="U6566" i="1"/>
  <c r="T6567" i="1"/>
  <c r="U6567" i="1"/>
  <c r="T6568" i="1"/>
  <c r="U6568" i="1"/>
  <c r="T6569" i="1"/>
  <c r="U6569" i="1"/>
  <c r="T6570" i="1"/>
  <c r="U6570" i="1"/>
  <c r="T6571" i="1"/>
  <c r="U6571" i="1"/>
  <c r="T6572" i="1"/>
  <c r="U6572" i="1"/>
  <c r="T6573" i="1"/>
  <c r="U6573" i="1"/>
  <c r="T6574" i="1"/>
  <c r="U6574" i="1"/>
  <c r="T6575" i="1"/>
  <c r="U6575" i="1"/>
  <c r="T6576" i="1"/>
  <c r="U6576" i="1"/>
  <c r="T6577" i="1"/>
  <c r="U6577" i="1"/>
  <c r="T6578" i="1"/>
  <c r="U6578" i="1"/>
  <c r="T6579" i="1"/>
  <c r="U6579" i="1"/>
  <c r="T6580" i="1"/>
  <c r="U6580" i="1"/>
  <c r="T6581" i="1"/>
  <c r="U6581" i="1"/>
  <c r="T6582" i="1"/>
  <c r="U6582" i="1"/>
  <c r="T6583" i="1"/>
  <c r="U6583" i="1"/>
  <c r="T6584" i="1"/>
  <c r="U6584" i="1"/>
  <c r="T6585" i="1"/>
  <c r="U6585" i="1"/>
  <c r="T6586" i="1"/>
  <c r="U6586" i="1"/>
  <c r="T6587" i="1"/>
  <c r="U6587" i="1"/>
  <c r="T6588" i="1"/>
  <c r="U6588" i="1"/>
  <c r="T6589" i="1"/>
  <c r="U6589" i="1"/>
  <c r="T6590" i="1"/>
  <c r="U6590" i="1"/>
  <c r="T6591" i="1"/>
  <c r="U6591" i="1"/>
  <c r="T6592" i="1"/>
  <c r="U6592" i="1"/>
  <c r="T6593" i="1"/>
  <c r="U6593" i="1"/>
  <c r="T6594" i="1"/>
  <c r="U6594" i="1"/>
  <c r="T6595" i="1"/>
  <c r="U6595" i="1"/>
  <c r="T6596" i="1"/>
  <c r="U6596" i="1"/>
  <c r="T6597" i="1"/>
  <c r="U6597" i="1"/>
  <c r="T6598" i="1"/>
  <c r="U6598" i="1"/>
  <c r="T6599" i="1"/>
  <c r="U6599" i="1"/>
  <c r="T6600" i="1"/>
  <c r="U6600" i="1"/>
  <c r="T6601" i="1"/>
  <c r="U6601" i="1"/>
  <c r="T6602" i="1"/>
  <c r="U6602" i="1"/>
  <c r="T6603" i="1"/>
  <c r="U6603" i="1"/>
  <c r="T6604" i="1"/>
  <c r="U6604" i="1"/>
  <c r="T6605" i="1"/>
  <c r="U6605" i="1"/>
  <c r="T6606" i="1"/>
  <c r="U6606" i="1"/>
  <c r="T6607" i="1"/>
  <c r="U6607" i="1"/>
  <c r="T6608" i="1"/>
  <c r="U6608" i="1"/>
  <c r="T6609" i="1"/>
  <c r="U6609" i="1"/>
  <c r="T6610" i="1"/>
  <c r="U6610" i="1"/>
  <c r="T6611" i="1"/>
  <c r="U6611" i="1"/>
  <c r="T6612" i="1"/>
  <c r="U6612" i="1"/>
  <c r="T6613" i="1"/>
  <c r="U6613"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7" i="1"/>
  <c r="U6627" i="1"/>
  <c r="T6628" i="1"/>
  <c r="U6628" i="1"/>
  <c r="T6629" i="1"/>
  <c r="U6629" i="1"/>
  <c r="T6630" i="1"/>
  <c r="U6630" i="1"/>
  <c r="T6631" i="1"/>
  <c r="U6631" i="1"/>
  <c r="T6632" i="1"/>
  <c r="U6632" i="1"/>
  <c r="T6633" i="1"/>
  <c r="U6633" i="1"/>
  <c r="T6634" i="1"/>
  <c r="U6634" i="1"/>
  <c r="T6635" i="1"/>
  <c r="U6635" i="1"/>
  <c r="T6636" i="1"/>
  <c r="U6636" i="1"/>
  <c r="T6637" i="1"/>
  <c r="U6637" i="1"/>
  <c r="T6638" i="1"/>
  <c r="U6638" i="1"/>
  <c r="T6639" i="1"/>
  <c r="U6639" i="1"/>
  <c r="T6640" i="1"/>
  <c r="U6640" i="1"/>
  <c r="T6641" i="1"/>
  <c r="U6641" i="1"/>
  <c r="T6642" i="1"/>
  <c r="U6642" i="1"/>
  <c r="T6643" i="1"/>
  <c r="U6643" i="1"/>
  <c r="T6644" i="1"/>
  <c r="U6644" i="1"/>
  <c r="T6645" i="1"/>
  <c r="U6645" i="1"/>
  <c r="T6646" i="1"/>
  <c r="U6646" i="1"/>
  <c r="T6647" i="1"/>
  <c r="U6647" i="1"/>
  <c r="T6648" i="1"/>
  <c r="U6648" i="1"/>
  <c r="T6649" i="1"/>
  <c r="U6649" i="1"/>
  <c r="T6650" i="1"/>
  <c r="U6650" i="1"/>
  <c r="T6651" i="1"/>
  <c r="U6651" i="1"/>
  <c r="T6652" i="1"/>
  <c r="U6652" i="1"/>
  <c r="T6653" i="1"/>
  <c r="U6653" i="1"/>
  <c r="T6654" i="1"/>
  <c r="U6654" i="1"/>
  <c r="T6655" i="1"/>
  <c r="U6655" i="1"/>
  <c r="T6656" i="1"/>
  <c r="U6656" i="1"/>
  <c r="T6657" i="1"/>
  <c r="U6657" i="1"/>
  <c r="T6658" i="1"/>
  <c r="U6658" i="1"/>
  <c r="T6659" i="1"/>
  <c r="U6659" i="1"/>
  <c r="T6660" i="1"/>
  <c r="U6660" i="1"/>
  <c r="T6661" i="1"/>
  <c r="U6661" i="1"/>
  <c r="T6662" i="1"/>
  <c r="U6662" i="1"/>
  <c r="T6663" i="1"/>
  <c r="U6663" i="1"/>
  <c r="T6664" i="1"/>
  <c r="U6664" i="1"/>
  <c r="T6665" i="1"/>
  <c r="U6665" i="1"/>
  <c r="T6666" i="1"/>
  <c r="U6666" i="1"/>
  <c r="T6667" i="1"/>
  <c r="U6667" i="1"/>
  <c r="T6668" i="1"/>
  <c r="U6668" i="1"/>
  <c r="T6669" i="1"/>
  <c r="U6669" i="1"/>
  <c r="T6670" i="1"/>
  <c r="U6670" i="1"/>
  <c r="T6671" i="1"/>
  <c r="U6671" i="1"/>
  <c r="T6672" i="1"/>
  <c r="U6672" i="1"/>
  <c r="T6673" i="1"/>
  <c r="U6673" i="1"/>
  <c r="T6674" i="1"/>
  <c r="U6674" i="1"/>
  <c r="T6675" i="1"/>
  <c r="U6675" i="1"/>
  <c r="T6676" i="1"/>
  <c r="U6676" i="1"/>
  <c r="T6677" i="1"/>
  <c r="U6677" i="1"/>
  <c r="T6678" i="1"/>
  <c r="U6678" i="1"/>
  <c r="T6679" i="1"/>
  <c r="U6679" i="1"/>
  <c r="T6680" i="1"/>
  <c r="U6680" i="1"/>
  <c r="T6681" i="1"/>
  <c r="U6681" i="1"/>
  <c r="T6682" i="1"/>
  <c r="U6682" i="1"/>
  <c r="T6683" i="1"/>
  <c r="U6683" i="1"/>
  <c r="T6684" i="1"/>
  <c r="U6684" i="1"/>
  <c r="T6685" i="1"/>
  <c r="U6685" i="1"/>
  <c r="T6686" i="1"/>
  <c r="U6686"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11" i="1"/>
  <c r="U6711" i="1"/>
  <c r="T6712" i="1"/>
  <c r="U6712" i="1"/>
  <c r="T6713" i="1"/>
  <c r="U6713" i="1"/>
  <c r="T6714" i="1"/>
  <c r="U6714" i="1"/>
  <c r="T6715" i="1"/>
  <c r="U6715" i="1"/>
  <c r="T6716" i="1"/>
  <c r="U6716" i="1"/>
  <c r="T6717" i="1"/>
  <c r="U6717" i="1"/>
  <c r="T6718" i="1"/>
  <c r="U6718" i="1"/>
  <c r="T6719" i="1"/>
  <c r="U6719" i="1"/>
  <c r="T6720" i="1"/>
  <c r="U6720" i="1"/>
  <c r="T6721" i="1"/>
  <c r="U6721" i="1"/>
  <c r="T6722" i="1"/>
  <c r="U6722" i="1"/>
  <c r="T6723" i="1"/>
  <c r="U6723" i="1"/>
  <c r="T6724" i="1"/>
  <c r="U6724" i="1"/>
  <c r="T6725" i="1"/>
  <c r="U6725" i="1"/>
  <c r="T6726" i="1"/>
  <c r="U6726" i="1"/>
  <c r="T6727" i="1"/>
  <c r="U6727" i="1"/>
  <c r="T6728" i="1"/>
  <c r="U6728" i="1"/>
  <c r="T6729" i="1"/>
  <c r="U6729" i="1"/>
  <c r="T6730" i="1"/>
  <c r="U6730" i="1"/>
  <c r="T6731" i="1"/>
  <c r="U6731" i="1"/>
  <c r="T6732" i="1"/>
  <c r="U6732" i="1"/>
  <c r="T6742" i="1"/>
  <c r="U6742" i="1"/>
  <c r="T6743" i="1"/>
  <c r="U6743" i="1"/>
  <c r="T6744" i="1"/>
  <c r="U6744" i="1"/>
  <c r="T6745" i="1"/>
  <c r="U6745" i="1"/>
  <c r="T6746" i="1"/>
  <c r="U6746" i="1"/>
  <c r="T6747" i="1"/>
  <c r="U6747" i="1"/>
  <c r="T6748" i="1"/>
  <c r="U6748" i="1"/>
  <c r="T6749" i="1"/>
  <c r="U6749" i="1"/>
  <c r="T6750" i="1"/>
  <c r="U6750" i="1"/>
  <c r="T6751" i="1"/>
  <c r="U6751" i="1"/>
  <c r="T6752" i="1"/>
  <c r="U6752" i="1"/>
  <c r="T6753" i="1"/>
  <c r="U6753" i="1"/>
  <c r="T6754" i="1"/>
  <c r="U6754" i="1"/>
  <c r="T6755" i="1"/>
  <c r="U6755" i="1"/>
  <c r="T6756" i="1"/>
  <c r="U6756" i="1"/>
  <c r="T6757" i="1"/>
  <c r="U6757" i="1"/>
  <c r="T6758" i="1"/>
  <c r="U6758" i="1"/>
  <c r="T6759" i="1"/>
  <c r="U6759" i="1"/>
  <c r="T6760" i="1"/>
  <c r="U6760" i="1"/>
  <c r="T6761" i="1"/>
  <c r="U6761" i="1"/>
  <c r="T6762" i="1"/>
  <c r="U6762" i="1"/>
  <c r="T6763" i="1"/>
  <c r="U6763" i="1"/>
  <c r="T6764" i="1"/>
  <c r="U6764" i="1"/>
  <c r="T6765" i="1"/>
  <c r="U6765" i="1"/>
  <c r="T6766" i="1"/>
  <c r="U6766" i="1"/>
  <c r="T6767" i="1"/>
  <c r="U6767" i="1"/>
  <c r="T6768" i="1"/>
  <c r="U6768" i="1"/>
  <c r="T6769" i="1"/>
  <c r="U6769" i="1"/>
  <c r="T6770" i="1"/>
  <c r="U6770" i="1"/>
  <c r="T6771" i="1"/>
  <c r="U6771" i="1"/>
  <c r="T6772" i="1"/>
  <c r="U6772" i="1"/>
  <c r="T6773" i="1"/>
  <c r="U6773" i="1"/>
  <c r="T6774" i="1"/>
  <c r="U6774" i="1"/>
  <c r="T6775" i="1"/>
  <c r="U6775" i="1"/>
  <c r="T6776" i="1"/>
  <c r="U6776" i="1"/>
  <c r="T6777" i="1"/>
  <c r="U6777" i="1"/>
  <c r="T6778" i="1"/>
  <c r="U6778" i="1"/>
  <c r="T6779" i="1"/>
  <c r="U6779" i="1"/>
  <c r="T6780" i="1"/>
  <c r="U6780" i="1"/>
  <c r="T6781" i="1"/>
  <c r="U6781" i="1"/>
  <c r="T6782" i="1"/>
  <c r="U6782" i="1"/>
  <c r="T6783" i="1"/>
  <c r="U6783" i="1"/>
  <c r="T6784" i="1"/>
  <c r="U6784" i="1"/>
  <c r="T6785" i="1"/>
  <c r="U6785" i="1"/>
  <c r="T6786" i="1"/>
  <c r="U6786" i="1"/>
  <c r="T6787" i="1"/>
  <c r="U6787" i="1"/>
  <c r="T6788" i="1"/>
  <c r="U6788" i="1"/>
  <c r="T6789" i="1"/>
  <c r="U6789" i="1"/>
  <c r="T6790" i="1"/>
  <c r="U6790" i="1"/>
  <c r="T6791" i="1"/>
  <c r="U6791" i="1"/>
  <c r="T6792" i="1"/>
  <c r="U6792" i="1"/>
  <c r="T6793" i="1"/>
  <c r="U6793" i="1"/>
  <c r="T6794" i="1"/>
  <c r="U6794" i="1"/>
  <c r="T6795" i="1"/>
  <c r="U6795" i="1"/>
  <c r="T6796" i="1"/>
  <c r="U6796" i="1"/>
  <c r="T6797" i="1"/>
  <c r="U6797" i="1"/>
  <c r="T6798" i="1"/>
  <c r="U6798" i="1"/>
  <c r="T6799" i="1"/>
  <c r="U6799" i="1"/>
  <c r="T6800" i="1"/>
  <c r="U6800" i="1"/>
  <c r="T6801" i="1"/>
  <c r="U6801" i="1"/>
  <c r="T6802" i="1"/>
  <c r="U6802" i="1"/>
  <c r="T6803" i="1"/>
  <c r="U6803" i="1"/>
  <c r="T6804" i="1"/>
  <c r="U6804" i="1"/>
  <c r="T6805" i="1"/>
  <c r="U6805" i="1"/>
  <c r="T6806" i="1"/>
  <c r="U6806" i="1"/>
  <c r="T6807" i="1"/>
  <c r="U6807" i="1"/>
  <c r="T6808" i="1"/>
  <c r="U6808" i="1"/>
  <c r="T6809" i="1"/>
  <c r="U6809" i="1"/>
  <c r="T6810" i="1"/>
  <c r="U6810" i="1"/>
  <c r="T6811" i="1"/>
  <c r="U6811" i="1"/>
  <c r="T6812" i="1"/>
  <c r="U6812" i="1"/>
  <c r="T6813" i="1"/>
  <c r="U6813" i="1"/>
  <c r="T6814" i="1"/>
  <c r="U6814" i="1"/>
  <c r="T6815" i="1"/>
  <c r="U6815" i="1"/>
  <c r="T6816" i="1"/>
  <c r="U6816" i="1"/>
  <c r="T6817" i="1"/>
  <c r="U6817" i="1"/>
  <c r="T6818" i="1"/>
  <c r="U6818" i="1"/>
  <c r="T6819" i="1"/>
  <c r="U6819" i="1"/>
  <c r="T6820" i="1"/>
  <c r="U6820" i="1"/>
  <c r="T6821" i="1"/>
  <c r="U6821" i="1"/>
  <c r="T6822" i="1"/>
  <c r="U6822" i="1"/>
  <c r="T6823" i="1"/>
  <c r="U6823" i="1"/>
  <c r="T6824" i="1"/>
  <c r="U6824" i="1"/>
  <c r="T6825" i="1"/>
  <c r="U6825" i="1"/>
  <c r="T6826" i="1"/>
  <c r="U6826" i="1"/>
  <c r="T6827" i="1"/>
  <c r="U6827" i="1"/>
  <c r="T6828" i="1"/>
  <c r="U6828" i="1"/>
  <c r="T6829" i="1"/>
  <c r="U6829" i="1"/>
  <c r="T6830" i="1"/>
  <c r="U6830" i="1"/>
  <c r="T6831" i="1"/>
  <c r="U6831" i="1"/>
  <c r="T6832" i="1"/>
  <c r="U6832" i="1"/>
  <c r="T6833" i="1"/>
  <c r="U6833" i="1"/>
  <c r="T6834" i="1"/>
  <c r="U6834" i="1"/>
  <c r="T6835" i="1"/>
  <c r="U6835" i="1"/>
  <c r="T6836" i="1"/>
  <c r="U6836" i="1"/>
  <c r="T6837" i="1"/>
  <c r="U6837" i="1"/>
  <c r="T6838" i="1"/>
  <c r="U6838" i="1"/>
  <c r="T6839" i="1"/>
  <c r="U6839" i="1"/>
  <c r="T6840" i="1"/>
  <c r="U6840" i="1"/>
  <c r="T6841" i="1"/>
  <c r="U6841" i="1"/>
  <c r="T6842" i="1"/>
  <c r="U6842" i="1"/>
  <c r="T6843" i="1"/>
  <c r="U6843" i="1"/>
  <c r="T6844" i="1"/>
  <c r="U6844" i="1"/>
  <c r="T6845" i="1"/>
  <c r="U6845" i="1"/>
  <c r="T6846" i="1"/>
  <c r="U6846" i="1"/>
  <c r="T6847" i="1"/>
  <c r="U6847" i="1"/>
  <c r="T6848" i="1"/>
  <c r="U6848" i="1"/>
  <c r="T6849" i="1"/>
  <c r="U6849" i="1"/>
  <c r="T6850" i="1"/>
  <c r="U6850" i="1"/>
  <c r="T6851" i="1"/>
  <c r="U6851" i="1"/>
  <c r="T6852" i="1"/>
  <c r="U6852" i="1"/>
  <c r="T6853" i="1"/>
  <c r="U6853" i="1"/>
  <c r="T6854" i="1"/>
  <c r="U6854" i="1"/>
  <c r="T6855" i="1"/>
  <c r="U6855" i="1"/>
  <c r="T6856" i="1"/>
  <c r="U6856" i="1"/>
  <c r="T6857" i="1"/>
  <c r="U6857" i="1"/>
  <c r="T6858" i="1"/>
  <c r="U6858" i="1"/>
  <c r="T6859" i="1"/>
  <c r="U6859" i="1"/>
  <c r="T6860" i="1"/>
  <c r="U6860" i="1"/>
  <c r="T6861" i="1"/>
  <c r="U6861" i="1"/>
  <c r="T6862" i="1"/>
  <c r="U6862" i="1"/>
  <c r="T6863" i="1"/>
  <c r="U6863" i="1"/>
  <c r="T6864" i="1"/>
  <c r="U6864" i="1"/>
  <c r="T6865" i="1"/>
  <c r="U6865" i="1"/>
  <c r="T6866" i="1"/>
  <c r="U6866" i="1"/>
  <c r="T6867" i="1"/>
  <c r="U6867" i="1"/>
  <c r="T6868" i="1"/>
  <c r="U6868" i="1"/>
  <c r="T6869" i="1"/>
  <c r="U6869" i="1"/>
  <c r="T6870" i="1"/>
  <c r="U6870" i="1"/>
  <c r="T6871" i="1"/>
  <c r="U6871" i="1"/>
  <c r="T6872" i="1"/>
  <c r="U6872" i="1"/>
  <c r="T6873" i="1"/>
  <c r="U6873" i="1"/>
  <c r="T6874" i="1"/>
  <c r="U6874" i="1"/>
  <c r="T6875" i="1"/>
  <c r="U6875" i="1"/>
  <c r="T6876" i="1"/>
  <c r="U6876" i="1"/>
  <c r="T6877" i="1"/>
  <c r="U6877" i="1"/>
  <c r="T6878" i="1"/>
  <c r="U6878" i="1"/>
  <c r="T6879" i="1"/>
  <c r="U6879" i="1"/>
  <c r="T6880" i="1"/>
  <c r="U6880" i="1"/>
  <c r="T6881" i="1"/>
  <c r="U6881" i="1"/>
  <c r="T6882" i="1"/>
  <c r="U6882" i="1"/>
  <c r="T6883" i="1"/>
  <c r="U6883" i="1"/>
  <c r="T6884" i="1"/>
  <c r="U6884" i="1"/>
  <c r="T6885" i="1"/>
  <c r="U6885" i="1"/>
  <c r="T6886" i="1"/>
  <c r="U6886" i="1"/>
  <c r="T6887" i="1"/>
  <c r="U6887" i="1"/>
  <c r="T6888" i="1"/>
  <c r="U6888" i="1"/>
  <c r="T6889" i="1"/>
  <c r="U6889" i="1"/>
  <c r="T6890" i="1"/>
  <c r="U6890" i="1"/>
  <c r="T6891" i="1"/>
  <c r="U6891" i="1"/>
  <c r="T6892" i="1"/>
  <c r="U6892" i="1"/>
  <c r="T6893" i="1"/>
  <c r="U6893" i="1"/>
  <c r="T6894" i="1"/>
  <c r="U6894" i="1"/>
  <c r="T6895" i="1"/>
  <c r="U6895" i="1"/>
  <c r="T6896" i="1"/>
  <c r="U6896" i="1"/>
  <c r="T6897" i="1"/>
  <c r="U6897" i="1"/>
  <c r="T6898" i="1"/>
  <c r="U6898" i="1"/>
  <c r="T6899" i="1"/>
  <c r="U6899" i="1"/>
  <c r="T6900" i="1"/>
  <c r="U6900" i="1"/>
  <c r="T6901" i="1"/>
  <c r="U6901" i="1"/>
  <c r="T6902" i="1"/>
  <c r="U6902" i="1"/>
  <c r="T6903" i="1"/>
  <c r="U6903" i="1"/>
  <c r="T6904" i="1"/>
  <c r="U6904" i="1"/>
  <c r="T6905" i="1"/>
  <c r="U6905" i="1"/>
  <c r="T6906" i="1"/>
  <c r="U6906" i="1"/>
  <c r="T6907" i="1"/>
  <c r="U6907" i="1"/>
  <c r="T6908" i="1"/>
  <c r="U6908" i="1"/>
  <c r="T6909" i="1"/>
  <c r="U6909" i="1"/>
  <c r="T6910" i="1"/>
  <c r="U6910" i="1"/>
  <c r="T6911" i="1"/>
  <c r="U6911" i="1"/>
  <c r="T6912" i="1"/>
  <c r="U6912" i="1"/>
  <c r="T6913" i="1"/>
  <c r="U6913" i="1"/>
  <c r="T6914" i="1"/>
  <c r="U6914" i="1"/>
  <c r="T6915" i="1"/>
  <c r="U6915" i="1"/>
  <c r="T6916" i="1"/>
  <c r="U6916" i="1"/>
  <c r="T6917" i="1"/>
  <c r="U6917" i="1"/>
  <c r="T6918" i="1"/>
  <c r="U6918" i="1"/>
  <c r="T6919" i="1"/>
  <c r="U6919" i="1"/>
  <c r="T6920" i="1"/>
  <c r="U6920" i="1"/>
  <c r="T6921" i="1"/>
  <c r="U6921" i="1"/>
  <c r="T6922" i="1"/>
  <c r="U6922" i="1"/>
  <c r="T6923" i="1"/>
  <c r="U6923" i="1"/>
  <c r="T6924" i="1"/>
  <c r="U6924" i="1"/>
  <c r="T6925" i="1"/>
  <c r="U6925" i="1"/>
  <c r="T6926" i="1"/>
  <c r="U6926" i="1"/>
  <c r="T6927" i="1"/>
  <c r="U6927" i="1"/>
  <c r="T6928" i="1"/>
  <c r="U6928" i="1"/>
  <c r="T6929" i="1"/>
  <c r="U6929" i="1"/>
  <c r="T6930" i="1"/>
  <c r="U6930" i="1"/>
  <c r="T6931" i="1"/>
  <c r="U6931" i="1"/>
  <c r="T6932" i="1"/>
  <c r="U6932" i="1"/>
  <c r="T6933" i="1"/>
  <c r="U6933" i="1"/>
  <c r="T6934" i="1"/>
  <c r="U6934" i="1"/>
  <c r="T6935" i="1"/>
  <c r="U6935" i="1"/>
  <c r="T6936" i="1"/>
  <c r="U6936" i="1"/>
  <c r="T6937" i="1"/>
  <c r="U6937" i="1"/>
  <c r="T6938" i="1"/>
  <c r="U6938" i="1"/>
  <c r="T6939" i="1"/>
  <c r="U6939" i="1"/>
  <c r="T6940" i="1"/>
  <c r="U6940" i="1"/>
  <c r="T6941" i="1"/>
  <c r="U6941" i="1"/>
  <c r="T6942" i="1"/>
  <c r="U6942" i="1"/>
  <c r="T6943" i="1"/>
  <c r="U6943" i="1"/>
  <c r="T6944" i="1"/>
  <c r="U6944" i="1"/>
  <c r="T6945" i="1"/>
  <c r="U6945" i="1"/>
  <c r="T6946" i="1"/>
  <c r="U6946" i="1"/>
  <c r="T6947" i="1"/>
  <c r="U6947" i="1"/>
  <c r="T6948" i="1"/>
  <c r="U6948" i="1"/>
  <c r="T6949" i="1"/>
  <c r="U6949" i="1"/>
  <c r="T6950" i="1"/>
  <c r="U6950" i="1"/>
  <c r="T6951" i="1"/>
  <c r="U6951" i="1"/>
  <c r="T6952" i="1"/>
  <c r="U6952" i="1"/>
  <c r="T6953" i="1"/>
  <c r="U6953" i="1"/>
  <c r="T6954" i="1"/>
  <c r="U6954" i="1"/>
  <c r="T6955" i="1"/>
  <c r="U6955" i="1"/>
  <c r="T6956" i="1"/>
  <c r="U6956" i="1"/>
  <c r="T6957" i="1"/>
  <c r="U6957" i="1"/>
  <c r="T6958" i="1"/>
  <c r="U6958" i="1"/>
  <c r="T6959" i="1"/>
  <c r="U6959" i="1"/>
  <c r="T6960" i="1"/>
  <c r="U6960" i="1"/>
  <c r="T6961" i="1"/>
  <c r="U6961" i="1"/>
  <c r="T6962" i="1"/>
  <c r="U6962" i="1"/>
  <c r="T6963" i="1"/>
  <c r="U6963" i="1"/>
  <c r="T6964" i="1"/>
  <c r="U6964" i="1"/>
  <c r="T6965" i="1"/>
  <c r="U6965" i="1"/>
  <c r="T6966" i="1"/>
  <c r="U6966" i="1"/>
  <c r="T6967" i="1"/>
  <c r="U6967" i="1"/>
  <c r="T6968" i="1"/>
  <c r="U6968" i="1"/>
  <c r="T6969" i="1"/>
  <c r="U6969" i="1"/>
  <c r="T6970" i="1"/>
  <c r="U6970" i="1"/>
  <c r="T6971" i="1"/>
  <c r="U6971" i="1"/>
  <c r="T6972" i="1"/>
  <c r="U6972" i="1"/>
  <c r="T6973" i="1"/>
  <c r="U6973" i="1"/>
  <c r="T6974" i="1"/>
  <c r="U6974" i="1"/>
  <c r="T6975" i="1"/>
  <c r="U6975" i="1"/>
  <c r="T6976" i="1"/>
  <c r="U6976" i="1"/>
  <c r="T6977" i="1"/>
  <c r="U6977" i="1"/>
  <c r="T6978" i="1"/>
  <c r="U6978" i="1"/>
  <c r="T6979" i="1"/>
  <c r="U6979" i="1"/>
  <c r="T6980" i="1"/>
  <c r="U6980" i="1"/>
  <c r="T6981" i="1"/>
  <c r="U6981" i="1"/>
  <c r="T6982" i="1"/>
  <c r="U6982" i="1"/>
  <c r="T6983" i="1"/>
  <c r="U6983" i="1"/>
  <c r="T6984" i="1"/>
  <c r="U6984" i="1"/>
  <c r="T6985" i="1"/>
  <c r="U6985" i="1"/>
  <c r="T6986" i="1"/>
  <c r="U6986" i="1"/>
  <c r="T6987" i="1"/>
  <c r="U6987" i="1"/>
  <c r="T6988" i="1"/>
  <c r="U6988" i="1"/>
  <c r="T6989" i="1"/>
  <c r="U6989" i="1"/>
  <c r="T6990" i="1"/>
  <c r="U6990" i="1"/>
  <c r="T6991" i="1"/>
  <c r="U6991" i="1"/>
  <c r="T6992" i="1"/>
  <c r="U6992" i="1"/>
  <c r="T6993" i="1"/>
  <c r="U6993" i="1"/>
  <c r="T6994" i="1"/>
  <c r="U6994" i="1"/>
  <c r="T6995" i="1"/>
  <c r="U6995" i="1"/>
  <c r="T6996" i="1"/>
  <c r="U6996" i="1"/>
  <c r="T6997" i="1"/>
  <c r="U6997" i="1"/>
  <c r="T6998" i="1"/>
  <c r="U6998" i="1"/>
  <c r="T6999" i="1"/>
  <c r="U6999" i="1"/>
  <c r="T7000" i="1"/>
  <c r="U7000" i="1"/>
  <c r="T7001" i="1"/>
  <c r="U7001" i="1"/>
  <c r="T7002" i="1"/>
  <c r="U7002" i="1"/>
  <c r="T7003" i="1"/>
  <c r="U7003" i="1"/>
  <c r="T7004" i="1"/>
  <c r="U7004" i="1"/>
  <c r="T7005" i="1"/>
  <c r="U7005" i="1"/>
  <c r="T7006" i="1"/>
  <c r="U7006" i="1"/>
  <c r="T7007" i="1"/>
  <c r="U7007" i="1"/>
  <c r="T7008" i="1"/>
  <c r="U7008" i="1"/>
  <c r="T7009" i="1"/>
  <c r="U7009" i="1"/>
  <c r="T7010" i="1"/>
  <c r="U7010" i="1"/>
  <c r="T7011" i="1"/>
  <c r="U7011" i="1"/>
  <c r="T7012" i="1"/>
  <c r="U7012" i="1"/>
  <c r="T7013" i="1"/>
  <c r="U7013" i="1"/>
  <c r="T7014" i="1"/>
  <c r="U7014" i="1"/>
  <c r="T7015" i="1"/>
  <c r="U7015" i="1"/>
  <c r="T7016" i="1"/>
  <c r="U7016" i="1"/>
  <c r="T7017" i="1"/>
  <c r="U7017" i="1"/>
  <c r="T7018" i="1"/>
  <c r="U7018" i="1"/>
  <c r="T7019" i="1"/>
  <c r="U7019" i="1"/>
  <c r="T7020" i="1"/>
  <c r="U7020" i="1"/>
  <c r="T7021" i="1"/>
  <c r="U7021" i="1"/>
  <c r="T7022" i="1"/>
  <c r="U7022" i="1"/>
  <c r="T7023" i="1"/>
  <c r="U7023" i="1"/>
  <c r="T7024" i="1"/>
  <c r="U7024" i="1"/>
  <c r="T7025" i="1"/>
  <c r="U7025" i="1"/>
  <c r="T7026" i="1"/>
  <c r="U7026" i="1"/>
  <c r="T7027" i="1"/>
  <c r="U7027" i="1"/>
  <c r="T7028" i="1"/>
  <c r="U7028" i="1"/>
  <c r="T7029" i="1"/>
  <c r="U7029" i="1"/>
  <c r="T7030" i="1"/>
  <c r="U7030" i="1"/>
  <c r="T7031" i="1"/>
  <c r="U7031" i="1"/>
  <c r="T7032" i="1"/>
  <c r="U7032" i="1"/>
  <c r="T7033" i="1"/>
  <c r="U7033" i="1"/>
  <c r="T7034" i="1"/>
  <c r="U7034" i="1"/>
  <c r="T7035" i="1"/>
  <c r="U7035" i="1"/>
  <c r="T7036" i="1"/>
  <c r="U7036" i="1"/>
  <c r="T7037" i="1"/>
  <c r="U7037" i="1"/>
  <c r="T7038" i="1"/>
  <c r="U7038" i="1"/>
  <c r="T7039" i="1"/>
  <c r="U7039" i="1"/>
  <c r="T7040" i="1"/>
  <c r="U7040" i="1"/>
  <c r="T7041" i="1"/>
  <c r="U7041" i="1"/>
  <c r="T7042" i="1"/>
  <c r="U7042" i="1"/>
  <c r="T7043" i="1"/>
  <c r="U7043" i="1"/>
  <c r="T7044" i="1"/>
  <c r="U7044" i="1"/>
  <c r="T7045" i="1"/>
  <c r="U7045" i="1"/>
  <c r="T7046" i="1"/>
  <c r="U7046" i="1"/>
  <c r="T7047" i="1"/>
  <c r="U7047" i="1"/>
  <c r="T7048" i="1"/>
  <c r="U7048" i="1"/>
  <c r="T7049" i="1"/>
  <c r="U7049" i="1"/>
  <c r="T7050" i="1"/>
  <c r="U7050" i="1"/>
  <c r="T7051" i="1"/>
  <c r="U7051" i="1"/>
  <c r="T7052" i="1"/>
  <c r="U7052" i="1"/>
  <c r="T7053" i="1"/>
  <c r="U7053" i="1"/>
  <c r="T7054" i="1"/>
  <c r="U7054" i="1"/>
  <c r="T7055" i="1"/>
  <c r="U7055" i="1"/>
  <c r="T7056" i="1"/>
  <c r="U7056" i="1"/>
  <c r="T7057" i="1"/>
  <c r="U7057" i="1"/>
  <c r="T7058" i="1"/>
  <c r="U7058" i="1"/>
  <c r="T7059" i="1"/>
  <c r="U7059" i="1"/>
  <c r="T7060" i="1"/>
  <c r="U7060" i="1"/>
  <c r="T7061" i="1"/>
  <c r="U7061" i="1"/>
  <c r="T7062" i="1"/>
  <c r="U7062" i="1"/>
  <c r="T7063" i="1"/>
  <c r="U7063" i="1"/>
  <c r="T7064" i="1"/>
  <c r="U7064" i="1"/>
  <c r="T7065" i="1"/>
  <c r="U7065" i="1"/>
  <c r="T7066" i="1"/>
  <c r="U7066" i="1"/>
  <c r="T7067" i="1"/>
  <c r="U7067" i="1"/>
  <c r="T7068" i="1"/>
  <c r="U7068" i="1"/>
  <c r="T7069" i="1"/>
  <c r="U7069" i="1"/>
  <c r="T7070" i="1"/>
  <c r="U7070" i="1"/>
  <c r="T7071" i="1"/>
  <c r="U7071" i="1"/>
  <c r="T7072" i="1"/>
  <c r="U7072" i="1"/>
  <c r="T7073" i="1"/>
  <c r="U7073" i="1"/>
  <c r="T7074" i="1"/>
  <c r="U7074" i="1"/>
  <c r="T7075" i="1"/>
  <c r="U7075" i="1"/>
  <c r="T7076" i="1"/>
  <c r="U7076" i="1"/>
  <c r="T7077" i="1"/>
  <c r="U7077" i="1"/>
  <c r="T7078" i="1"/>
  <c r="U7078" i="1"/>
  <c r="T7079" i="1"/>
  <c r="U7079" i="1"/>
  <c r="T7080" i="1"/>
  <c r="U7080" i="1"/>
  <c r="T7081" i="1"/>
  <c r="U7081" i="1"/>
  <c r="T7082" i="1"/>
  <c r="U7082" i="1"/>
  <c r="T7083" i="1"/>
  <c r="U7083" i="1"/>
  <c r="T7084" i="1"/>
  <c r="U7084" i="1"/>
  <c r="T7085" i="1"/>
  <c r="U7085" i="1"/>
  <c r="T7086" i="1"/>
  <c r="U7086" i="1"/>
  <c r="T7087" i="1"/>
  <c r="U7087" i="1"/>
  <c r="T7088" i="1"/>
  <c r="U7088" i="1"/>
  <c r="T7089" i="1"/>
  <c r="U7089" i="1"/>
  <c r="T7090" i="1"/>
  <c r="U7090" i="1"/>
  <c r="T7091" i="1"/>
  <c r="U7091" i="1"/>
  <c r="T7092" i="1"/>
  <c r="U7092" i="1"/>
  <c r="T7093" i="1"/>
  <c r="U7093" i="1"/>
  <c r="T7094" i="1"/>
  <c r="U7094" i="1"/>
  <c r="T7095" i="1"/>
  <c r="U7095" i="1"/>
  <c r="T7096" i="1"/>
  <c r="U7096" i="1"/>
  <c r="T7097" i="1"/>
  <c r="U7097" i="1"/>
  <c r="T7098" i="1"/>
  <c r="U7098" i="1"/>
  <c r="T7099" i="1"/>
  <c r="U7099" i="1"/>
  <c r="T7100" i="1"/>
  <c r="U7100" i="1"/>
  <c r="T7101" i="1"/>
  <c r="U7101" i="1"/>
  <c r="T7102" i="1"/>
  <c r="U7102" i="1"/>
  <c r="T7103" i="1"/>
  <c r="U7103" i="1"/>
  <c r="T7104" i="1"/>
  <c r="U7104" i="1"/>
  <c r="T7105" i="1"/>
  <c r="U7105" i="1"/>
  <c r="T7106" i="1"/>
  <c r="U7106" i="1"/>
  <c r="T7107" i="1"/>
  <c r="U7107" i="1"/>
  <c r="T7108" i="1"/>
  <c r="U7108" i="1"/>
  <c r="T7109" i="1"/>
  <c r="U7109" i="1"/>
  <c r="T7110" i="1"/>
  <c r="U7110" i="1"/>
  <c r="T7111" i="1"/>
  <c r="U7111" i="1"/>
  <c r="T7112" i="1"/>
  <c r="U7112" i="1"/>
  <c r="T7113" i="1"/>
  <c r="U7113" i="1"/>
  <c r="T7114" i="1"/>
  <c r="U7114" i="1"/>
  <c r="T7115" i="1"/>
  <c r="U7115" i="1"/>
  <c r="T7116" i="1"/>
  <c r="U7116" i="1"/>
  <c r="T7117" i="1"/>
  <c r="U7117" i="1"/>
  <c r="T7118" i="1"/>
  <c r="U7118" i="1"/>
  <c r="T7119" i="1"/>
  <c r="U7119" i="1"/>
  <c r="T7120" i="1"/>
  <c r="U7120" i="1"/>
  <c r="T7121" i="1"/>
  <c r="U7121" i="1"/>
  <c r="T7122" i="1"/>
  <c r="U7122" i="1"/>
  <c r="T7123" i="1"/>
  <c r="U7123" i="1"/>
  <c r="T7124" i="1"/>
  <c r="U7124" i="1"/>
  <c r="T7125" i="1"/>
  <c r="U7125" i="1"/>
  <c r="T7126" i="1"/>
  <c r="U7126" i="1"/>
  <c r="T7127" i="1"/>
  <c r="U7127" i="1"/>
  <c r="T7128" i="1"/>
  <c r="U7128" i="1"/>
  <c r="T7129" i="1"/>
  <c r="U7129" i="1"/>
  <c r="T7130" i="1"/>
  <c r="U7130" i="1"/>
  <c r="T7131" i="1"/>
  <c r="U7131" i="1"/>
  <c r="T7132" i="1"/>
  <c r="U7132" i="1"/>
  <c r="T7133" i="1"/>
  <c r="U7133" i="1"/>
  <c r="T7134" i="1"/>
  <c r="U7134" i="1"/>
  <c r="T7135" i="1"/>
  <c r="U7135" i="1"/>
  <c r="T7136" i="1"/>
  <c r="U7136" i="1"/>
  <c r="T7137" i="1"/>
  <c r="U7137" i="1"/>
  <c r="T7138" i="1"/>
  <c r="U7138" i="1"/>
  <c r="T7139" i="1"/>
  <c r="U7139" i="1"/>
  <c r="T7140" i="1"/>
  <c r="U7140" i="1"/>
  <c r="T7141" i="1"/>
  <c r="U7141" i="1"/>
  <c r="T7142" i="1"/>
  <c r="U7142" i="1"/>
  <c r="T7143" i="1"/>
  <c r="U7143" i="1"/>
  <c r="T7144" i="1"/>
  <c r="U7144" i="1"/>
  <c r="T7145" i="1"/>
  <c r="U7145" i="1"/>
  <c r="T7146" i="1"/>
  <c r="U7146" i="1"/>
  <c r="T7147" i="1"/>
  <c r="U7147" i="1"/>
  <c r="T7148" i="1"/>
  <c r="U7148" i="1"/>
  <c r="T7149" i="1"/>
  <c r="U7149" i="1"/>
  <c r="T7150" i="1"/>
  <c r="U7150" i="1"/>
  <c r="T7151" i="1"/>
  <c r="U7151" i="1"/>
  <c r="T7152" i="1"/>
  <c r="U7152" i="1"/>
  <c r="T7153" i="1"/>
  <c r="U7153" i="1"/>
  <c r="T7154" i="1"/>
  <c r="U7154" i="1"/>
  <c r="T7155" i="1"/>
  <c r="U7155" i="1"/>
  <c r="T7156" i="1"/>
  <c r="U7156" i="1"/>
  <c r="T7157" i="1"/>
  <c r="U7157" i="1"/>
  <c r="T7158" i="1"/>
  <c r="U7158" i="1"/>
  <c r="T7159" i="1"/>
  <c r="U7159" i="1"/>
  <c r="T7160" i="1"/>
  <c r="U7160" i="1"/>
  <c r="T7161" i="1"/>
  <c r="U7161" i="1"/>
  <c r="T7162" i="1"/>
  <c r="U7162" i="1"/>
  <c r="T7163" i="1"/>
  <c r="U7163" i="1"/>
  <c r="T7164" i="1"/>
  <c r="U7164" i="1"/>
  <c r="T7165" i="1"/>
  <c r="U7165" i="1"/>
  <c r="T7166" i="1"/>
  <c r="U7166" i="1"/>
  <c r="T7167" i="1"/>
  <c r="U7167" i="1"/>
  <c r="T7168" i="1"/>
  <c r="U7168" i="1"/>
  <c r="T7169" i="1"/>
  <c r="U7169" i="1"/>
  <c r="T7170" i="1"/>
  <c r="U7170" i="1"/>
  <c r="T7171" i="1"/>
  <c r="U7171" i="1"/>
  <c r="T7172" i="1"/>
  <c r="U7172" i="1"/>
  <c r="T7173" i="1"/>
  <c r="U7173" i="1"/>
  <c r="T7174" i="1"/>
  <c r="U7174" i="1"/>
  <c r="T7175" i="1"/>
  <c r="U7175" i="1"/>
  <c r="T7176" i="1"/>
  <c r="U7176" i="1"/>
  <c r="T7177" i="1"/>
  <c r="U7177" i="1"/>
  <c r="T7178" i="1"/>
  <c r="U7178" i="1"/>
  <c r="T7179" i="1"/>
  <c r="U7179" i="1"/>
  <c r="T7180" i="1"/>
  <c r="U7180" i="1"/>
  <c r="T7181" i="1"/>
  <c r="U7181" i="1"/>
  <c r="T7182" i="1"/>
  <c r="U7182" i="1"/>
  <c r="T7183" i="1"/>
  <c r="U7183" i="1"/>
  <c r="T7184" i="1"/>
  <c r="U7184" i="1"/>
  <c r="T7185" i="1"/>
  <c r="U7185" i="1"/>
  <c r="T7186" i="1"/>
  <c r="U7186" i="1"/>
  <c r="T7187" i="1"/>
  <c r="U7187" i="1"/>
  <c r="T7188" i="1"/>
  <c r="U7188" i="1"/>
  <c r="T7189" i="1"/>
  <c r="U7189" i="1"/>
  <c r="T7190" i="1"/>
  <c r="U7190" i="1"/>
  <c r="T7191" i="1"/>
  <c r="U7191" i="1"/>
  <c r="T7192" i="1"/>
  <c r="U7192" i="1"/>
  <c r="T7193" i="1"/>
  <c r="U7193" i="1"/>
  <c r="T7194" i="1"/>
  <c r="U7194" i="1"/>
  <c r="T7195" i="1"/>
  <c r="U7195" i="1"/>
  <c r="T7196" i="1"/>
  <c r="U7196" i="1"/>
  <c r="T7197" i="1"/>
  <c r="U7197" i="1"/>
  <c r="T7198" i="1"/>
  <c r="U7198" i="1"/>
  <c r="T7199" i="1"/>
  <c r="U7199" i="1"/>
  <c r="T7200" i="1"/>
  <c r="U7200" i="1"/>
  <c r="T7201" i="1"/>
  <c r="U7201" i="1"/>
  <c r="T7202" i="1"/>
  <c r="U7202" i="1"/>
  <c r="T7203" i="1"/>
  <c r="U7203" i="1"/>
  <c r="T7204" i="1"/>
  <c r="U7204" i="1"/>
  <c r="T7205" i="1"/>
  <c r="U7205" i="1"/>
  <c r="T7206" i="1"/>
  <c r="U7206" i="1"/>
  <c r="T7207" i="1"/>
  <c r="U7207" i="1"/>
  <c r="T7208" i="1"/>
  <c r="U7208" i="1"/>
  <c r="T7209" i="1"/>
  <c r="U7209" i="1"/>
  <c r="T7210" i="1"/>
  <c r="U7210" i="1"/>
  <c r="T7211" i="1"/>
  <c r="U7211" i="1"/>
  <c r="T7212" i="1"/>
  <c r="U7212" i="1"/>
  <c r="T7213" i="1"/>
  <c r="U7213" i="1"/>
  <c r="T7214" i="1"/>
  <c r="U7214" i="1"/>
  <c r="T7215" i="1"/>
  <c r="U7215" i="1"/>
  <c r="T7216" i="1"/>
  <c r="U7216" i="1"/>
  <c r="T7217" i="1"/>
  <c r="U7217" i="1"/>
  <c r="T7218" i="1"/>
  <c r="U7218" i="1"/>
  <c r="T7219" i="1"/>
  <c r="U7219" i="1"/>
  <c r="T7220" i="1"/>
  <c r="U7220" i="1"/>
  <c r="T7221" i="1"/>
  <c r="U7221" i="1"/>
  <c r="T7222" i="1"/>
  <c r="U7222" i="1"/>
  <c r="T7223" i="1"/>
  <c r="U7223" i="1"/>
  <c r="T7224" i="1"/>
  <c r="U7224" i="1"/>
  <c r="T7225" i="1"/>
  <c r="U7225" i="1"/>
  <c r="T7226" i="1"/>
  <c r="U7226" i="1"/>
  <c r="T7227" i="1"/>
  <c r="U7227" i="1"/>
  <c r="T7228" i="1"/>
  <c r="U7228" i="1"/>
  <c r="T7229" i="1"/>
  <c r="U7229" i="1"/>
  <c r="T7230" i="1"/>
  <c r="U7230" i="1"/>
  <c r="T7231" i="1"/>
  <c r="U7231" i="1"/>
  <c r="T7232" i="1"/>
  <c r="U7232" i="1"/>
  <c r="T7233" i="1"/>
  <c r="U7233" i="1"/>
  <c r="T7234" i="1"/>
  <c r="U7234" i="1"/>
  <c r="T7235" i="1"/>
  <c r="U7235" i="1"/>
  <c r="T7236" i="1"/>
  <c r="U7236" i="1"/>
  <c r="T7237" i="1"/>
  <c r="U7237" i="1"/>
  <c r="T7238" i="1"/>
  <c r="U7238" i="1"/>
  <c r="T7239" i="1"/>
  <c r="U7239" i="1"/>
  <c r="T7240" i="1"/>
  <c r="U7240" i="1"/>
  <c r="T7241" i="1"/>
  <c r="U7241" i="1"/>
  <c r="T7242" i="1"/>
  <c r="U7242" i="1"/>
  <c r="T7243" i="1"/>
  <c r="U7243" i="1"/>
  <c r="T7244" i="1"/>
  <c r="U7244" i="1"/>
  <c r="T7245" i="1"/>
  <c r="U7245" i="1"/>
  <c r="T7246" i="1"/>
  <c r="U7246" i="1"/>
  <c r="T7247" i="1"/>
  <c r="U7247" i="1"/>
  <c r="T7248" i="1"/>
  <c r="U7248" i="1"/>
  <c r="T7249" i="1"/>
  <c r="U7249" i="1"/>
  <c r="T7250" i="1"/>
  <c r="U7250" i="1"/>
  <c r="T7251" i="1"/>
  <c r="U7251" i="1"/>
  <c r="T7252" i="1"/>
  <c r="U7252" i="1"/>
  <c r="T7253" i="1"/>
  <c r="U7253" i="1"/>
  <c r="T7254" i="1"/>
  <c r="U7254" i="1"/>
  <c r="T7255" i="1"/>
  <c r="U7255" i="1"/>
  <c r="T7256" i="1"/>
  <c r="U7256" i="1"/>
  <c r="T7257" i="1"/>
  <c r="U7257" i="1"/>
  <c r="T7258" i="1"/>
  <c r="U7258" i="1"/>
  <c r="T7259" i="1"/>
  <c r="U7259" i="1"/>
  <c r="T7260" i="1"/>
  <c r="U7260" i="1"/>
  <c r="T7261" i="1"/>
  <c r="U7261" i="1"/>
  <c r="T7262" i="1"/>
  <c r="U7262" i="1"/>
  <c r="T7263" i="1"/>
  <c r="U7263" i="1"/>
  <c r="T7264" i="1"/>
  <c r="U7264" i="1"/>
  <c r="T7265" i="1"/>
  <c r="U7265" i="1"/>
  <c r="T7266" i="1"/>
  <c r="U7266" i="1"/>
  <c r="T7267" i="1"/>
  <c r="U7267" i="1"/>
  <c r="T7268" i="1"/>
  <c r="U7268" i="1"/>
  <c r="T7269" i="1"/>
  <c r="U7269" i="1"/>
  <c r="T7270" i="1"/>
  <c r="U7270" i="1"/>
  <c r="T7271" i="1"/>
  <c r="U7271" i="1"/>
  <c r="T7272" i="1"/>
  <c r="U7272" i="1"/>
  <c r="T7273" i="1"/>
  <c r="U7273" i="1"/>
  <c r="T7274" i="1"/>
  <c r="U7274" i="1"/>
  <c r="T7275" i="1"/>
  <c r="U7275" i="1"/>
  <c r="T7276" i="1"/>
  <c r="U7276" i="1"/>
  <c r="T7277" i="1"/>
  <c r="U7277" i="1"/>
  <c r="T7278" i="1"/>
  <c r="U7278" i="1"/>
  <c r="T7279" i="1"/>
  <c r="U7279" i="1"/>
  <c r="T7280" i="1"/>
  <c r="U7280" i="1"/>
  <c r="T7281" i="1"/>
  <c r="U7281" i="1"/>
  <c r="T7282" i="1"/>
  <c r="U7282" i="1"/>
  <c r="T7283" i="1"/>
  <c r="U7283" i="1"/>
  <c r="T7284" i="1"/>
  <c r="U7284" i="1"/>
  <c r="T7285" i="1"/>
  <c r="U7285" i="1"/>
  <c r="T7286" i="1"/>
  <c r="U7286" i="1"/>
  <c r="T7287" i="1"/>
  <c r="U7287" i="1"/>
  <c r="T7288" i="1"/>
  <c r="U7288" i="1"/>
  <c r="T7289" i="1"/>
  <c r="U7289" i="1"/>
  <c r="T7290" i="1"/>
  <c r="U7290" i="1"/>
  <c r="T7291" i="1"/>
  <c r="U7291" i="1"/>
  <c r="T7292" i="1"/>
  <c r="U7292" i="1"/>
  <c r="T7293" i="1"/>
  <c r="U7293" i="1"/>
  <c r="T7294" i="1"/>
  <c r="U7294" i="1"/>
  <c r="T7295" i="1"/>
  <c r="U7295" i="1"/>
  <c r="T7296" i="1"/>
  <c r="U7296" i="1"/>
  <c r="T7297" i="1"/>
  <c r="U7297" i="1"/>
  <c r="T7298" i="1"/>
  <c r="U7298" i="1"/>
  <c r="T7299" i="1"/>
  <c r="U7299" i="1"/>
  <c r="T7300" i="1"/>
  <c r="U7300" i="1"/>
  <c r="T7301" i="1"/>
  <c r="U7301" i="1"/>
  <c r="T7302" i="1"/>
  <c r="U7302" i="1"/>
  <c r="T7303" i="1"/>
  <c r="U7303" i="1"/>
  <c r="T7304" i="1"/>
  <c r="U7304" i="1"/>
  <c r="T7305" i="1"/>
  <c r="U7305" i="1"/>
  <c r="T7306" i="1"/>
  <c r="U7306" i="1"/>
  <c r="T7307" i="1"/>
  <c r="U7307" i="1"/>
  <c r="T7308" i="1"/>
  <c r="U7308" i="1"/>
  <c r="T7309" i="1"/>
  <c r="U7309" i="1"/>
  <c r="T7310" i="1"/>
  <c r="U7310" i="1"/>
  <c r="T7311" i="1"/>
  <c r="U7311" i="1"/>
  <c r="T7312" i="1"/>
  <c r="U7312" i="1"/>
  <c r="T7313" i="1"/>
  <c r="U7313" i="1"/>
  <c r="T7314" i="1"/>
  <c r="U7314" i="1"/>
  <c r="T7315" i="1"/>
  <c r="U7315" i="1"/>
  <c r="T7316" i="1"/>
  <c r="U7316" i="1"/>
  <c r="T7317" i="1"/>
  <c r="U7317" i="1"/>
  <c r="T7318" i="1"/>
  <c r="U7318" i="1"/>
  <c r="T7319" i="1"/>
  <c r="U7319" i="1"/>
  <c r="T7320" i="1"/>
  <c r="U7320" i="1"/>
  <c r="T7321" i="1"/>
  <c r="U7321" i="1"/>
  <c r="T7322" i="1"/>
  <c r="U7322" i="1"/>
  <c r="T7323" i="1"/>
  <c r="U7323" i="1"/>
  <c r="T7324" i="1"/>
  <c r="U7324" i="1"/>
  <c r="T7325" i="1"/>
  <c r="U7325" i="1"/>
  <c r="T7326" i="1"/>
  <c r="U7326" i="1"/>
  <c r="T7327" i="1"/>
  <c r="U7327" i="1"/>
  <c r="T7328" i="1"/>
  <c r="U7328" i="1"/>
  <c r="T7329" i="1"/>
  <c r="U7329" i="1"/>
  <c r="T7330" i="1"/>
  <c r="U7330" i="1"/>
  <c r="T7331" i="1"/>
  <c r="U7331" i="1"/>
  <c r="T7332" i="1"/>
  <c r="U7332" i="1"/>
  <c r="T7333" i="1"/>
  <c r="U7333" i="1"/>
  <c r="T7334" i="1"/>
  <c r="U7334" i="1"/>
  <c r="T7335" i="1"/>
  <c r="U7335" i="1"/>
  <c r="T7336" i="1"/>
  <c r="U7336" i="1"/>
  <c r="T7337" i="1"/>
  <c r="U7337" i="1"/>
  <c r="T7338" i="1"/>
  <c r="U7338" i="1"/>
  <c r="T7339" i="1"/>
  <c r="U7339" i="1"/>
  <c r="T7340" i="1"/>
  <c r="U7340" i="1"/>
  <c r="T7341" i="1"/>
  <c r="U7341" i="1"/>
  <c r="T7342" i="1"/>
  <c r="U7342" i="1"/>
  <c r="T7343" i="1"/>
  <c r="U7343" i="1"/>
  <c r="T7344" i="1"/>
  <c r="U7344" i="1"/>
  <c r="T7345" i="1"/>
  <c r="U7345" i="1"/>
  <c r="T7346" i="1"/>
  <c r="U7346" i="1"/>
  <c r="T7347" i="1"/>
  <c r="U7347" i="1"/>
  <c r="T7348" i="1"/>
  <c r="U7348" i="1"/>
  <c r="T7349" i="1"/>
  <c r="U7349" i="1"/>
  <c r="T7350" i="1"/>
  <c r="U7350" i="1"/>
  <c r="T7351" i="1"/>
  <c r="U7351" i="1"/>
  <c r="T7352" i="1"/>
  <c r="U7352" i="1"/>
  <c r="T7353" i="1"/>
  <c r="U7353" i="1"/>
  <c r="T7354" i="1"/>
  <c r="U7354" i="1"/>
  <c r="T7355" i="1"/>
  <c r="U7355" i="1"/>
  <c r="T7356" i="1"/>
  <c r="U7356" i="1"/>
  <c r="T7357" i="1"/>
  <c r="U7357" i="1"/>
  <c r="T7358" i="1"/>
  <c r="U7358" i="1"/>
  <c r="T7359" i="1"/>
  <c r="U7359" i="1"/>
  <c r="T7360" i="1"/>
  <c r="U7360" i="1"/>
  <c r="T7361" i="1"/>
  <c r="U7361" i="1"/>
  <c r="T7362" i="1"/>
  <c r="U7362" i="1"/>
  <c r="T7363" i="1"/>
  <c r="U7363" i="1"/>
  <c r="T7364" i="1"/>
  <c r="U7364" i="1"/>
  <c r="T7365" i="1"/>
  <c r="U7365" i="1"/>
  <c r="T7366" i="1"/>
  <c r="U7366" i="1"/>
  <c r="T7367" i="1"/>
  <c r="U7367" i="1"/>
  <c r="T7368" i="1"/>
  <c r="U7368" i="1"/>
  <c r="T7369" i="1"/>
  <c r="U7369" i="1"/>
  <c r="T7370" i="1"/>
  <c r="U7370" i="1"/>
  <c r="T7371" i="1"/>
  <c r="U7371" i="1"/>
  <c r="T7372" i="1"/>
  <c r="U7372" i="1"/>
  <c r="T7373" i="1"/>
  <c r="U7373" i="1"/>
  <c r="T7374" i="1"/>
  <c r="U7374" i="1"/>
  <c r="T7375" i="1"/>
  <c r="U7375" i="1"/>
  <c r="T7376" i="1"/>
  <c r="U7376" i="1"/>
  <c r="T7377" i="1"/>
  <c r="U7377" i="1"/>
  <c r="T7378" i="1"/>
  <c r="U7378" i="1"/>
  <c r="T7379" i="1"/>
  <c r="U7379" i="1"/>
  <c r="T7380" i="1"/>
  <c r="U7380" i="1"/>
  <c r="T7381" i="1"/>
  <c r="U7381" i="1"/>
  <c r="T7382" i="1"/>
  <c r="U7382" i="1"/>
  <c r="T7383" i="1"/>
  <c r="U7383" i="1"/>
  <c r="T7384" i="1"/>
  <c r="U7384" i="1"/>
  <c r="T7385" i="1"/>
  <c r="U7385" i="1"/>
  <c r="T7386" i="1"/>
  <c r="U7386" i="1"/>
  <c r="T7387" i="1"/>
  <c r="U7387" i="1"/>
  <c r="T7388" i="1"/>
  <c r="U7388" i="1"/>
  <c r="T7389" i="1"/>
  <c r="U7389" i="1"/>
  <c r="T7390" i="1"/>
  <c r="U7390" i="1"/>
  <c r="T7391" i="1"/>
  <c r="U7391" i="1"/>
  <c r="T7392" i="1"/>
  <c r="U7392" i="1"/>
  <c r="T7393" i="1"/>
  <c r="U7393" i="1"/>
  <c r="T7394" i="1"/>
  <c r="U7394" i="1"/>
  <c r="T7395" i="1"/>
  <c r="U7395" i="1"/>
  <c r="T7396" i="1"/>
  <c r="U7396" i="1"/>
  <c r="T7397" i="1"/>
  <c r="U7397" i="1"/>
  <c r="T7398" i="1"/>
  <c r="U7398" i="1"/>
  <c r="T7399" i="1"/>
  <c r="U7399" i="1"/>
  <c r="T7400" i="1"/>
  <c r="U7400" i="1"/>
  <c r="T7401" i="1"/>
  <c r="U7401" i="1"/>
  <c r="T7402" i="1"/>
  <c r="U7402" i="1"/>
  <c r="T7403" i="1"/>
  <c r="U7403" i="1"/>
  <c r="T7404" i="1"/>
  <c r="U7404" i="1"/>
  <c r="T7405" i="1"/>
  <c r="U7405" i="1"/>
  <c r="T7406" i="1"/>
  <c r="U7406" i="1"/>
  <c r="T7407" i="1"/>
  <c r="U7407" i="1"/>
  <c r="T7408" i="1"/>
  <c r="U7408" i="1"/>
  <c r="T7409" i="1"/>
  <c r="U7409" i="1"/>
  <c r="T7410" i="1"/>
  <c r="U7410" i="1"/>
  <c r="T7411" i="1"/>
  <c r="U7411" i="1"/>
  <c r="T7412" i="1"/>
  <c r="U7412" i="1"/>
  <c r="T7413" i="1"/>
  <c r="U7413" i="1"/>
  <c r="T7414" i="1"/>
  <c r="U7414" i="1"/>
  <c r="T7415" i="1"/>
  <c r="U7415" i="1"/>
  <c r="T7416" i="1"/>
  <c r="U7416" i="1"/>
  <c r="T7417" i="1"/>
  <c r="U7417" i="1"/>
  <c r="T7418" i="1"/>
  <c r="U7418" i="1"/>
  <c r="T7419" i="1"/>
  <c r="U7419" i="1"/>
  <c r="T7420" i="1"/>
  <c r="U7420" i="1"/>
  <c r="T7421" i="1"/>
  <c r="U7421" i="1"/>
  <c r="T7422" i="1"/>
  <c r="U7422" i="1"/>
  <c r="T7423" i="1"/>
  <c r="U7423" i="1"/>
  <c r="T7424" i="1"/>
  <c r="U7424" i="1"/>
  <c r="T7425" i="1"/>
  <c r="U7425" i="1"/>
  <c r="T7426" i="1"/>
  <c r="U7426" i="1"/>
  <c r="T7427" i="1"/>
  <c r="U7427" i="1"/>
  <c r="T7428" i="1"/>
  <c r="U7428" i="1"/>
  <c r="T7429" i="1"/>
  <c r="U7429" i="1"/>
  <c r="T7430" i="1"/>
  <c r="U7430" i="1"/>
  <c r="T7431" i="1"/>
  <c r="U7431" i="1"/>
  <c r="T7432" i="1"/>
  <c r="U7432" i="1"/>
  <c r="T7433" i="1"/>
  <c r="U7433" i="1"/>
  <c r="T7434" i="1"/>
  <c r="U7434" i="1"/>
  <c r="T7435" i="1"/>
  <c r="U7435" i="1"/>
  <c r="T7436" i="1"/>
  <c r="U7436" i="1"/>
  <c r="T7437" i="1"/>
  <c r="U7437" i="1"/>
  <c r="T7438" i="1"/>
  <c r="U7438" i="1"/>
  <c r="T7439" i="1"/>
  <c r="U7439" i="1"/>
  <c r="T7440" i="1"/>
  <c r="U7440" i="1"/>
  <c r="T7441" i="1"/>
  <c r="U7441" i="1"/>
  <c r="T7442" i="1"/>
  <c r="U7442" i="1"/>
  <c r="T7443" i="1"/>
  <c r="U7443" i="1"/>
  <c r="T7444" i="1"/>
  <c r="U7444" i="1"/>
  <c r="T7445" i="1"/>
  <c r="U7445" i="1"/>
  <c r="T7446" i="1"/>
  <c r="U7446" i="1"/>
  <c r="T7447" i="1"/>
  <c r="U7447" i="1"/>
  <c r="T7448" i="1"/>
  <c r="U7448" i="1"/>
  <c r="T7449" i="1"/>
  <c r="U7449" i="1"/>
  <c r="T7450" i="1"/>
  <c r="U7450" i="1"/>
  <c r="T7451" i="1"/>
  <c r="U7451" i="1"/>
  <c r="T7452" i="1"/>
  <c r="U7452" i="1"/>
  <c r="T7453" i="1"/>
  <c r="U7453" i="1"/>
  <c r="T7454" i="1"/>
  <c r="U7454" i="1"/>
  <c r="T7455" i="1"/>
  <c r="U7455" i="1"/>
  <c r="U7456" i="1"/>
  <c r="U7457" i="1"/>
  <c r="U7458" i="1"/>
  <c r="U7459" i="1"/>
  <c r="U7460" i="1"/>
  <c r="U7461" i="1"/>
  <c r="U7462" i="1"/>
  <c r="U7463" i="1"/>
  <c r="U7464" i="1"/>
  <c r="U7465" i="1"/>
  <c r="U7466" i="1"/>
  <c r="U7467" i="1"/>
  <c r="U7468" i="1"/>
  <c r="U7469" i="1"/>
  <c r="U7470" i="1"/>
  <c r="U7471" i="1"/>
  <c r="U7472" i="1"/>
  <c r="T7473" i="1"/>
  <c r="U7473" i="1"/>
  <c r="T7474" i="1"/>
  <c r="U7474" i="1"/>
  <c r="T7475" i="1"/>
  <c r="U7475" i="1"/>
  <c r="T7476" i="1"/>
  <c r="U7476" i="1"/>
  <c r="T7477" i="1"/>
  <c r="U7477" i="1"/>
  <c r="T7478" i="1"/>
  <c r="U7478" i="1"/>
  <c r="T7479" i="1"/>
  <c r="U7479" i="1"/>
  <c r="T7480" i="1"/>
  <c r="U7480" i="1"/>
  <c r="T7481" i="1"/>
  <c r="U7481" i="1"/>
  <c r="T7482" i="1"/>
  <c r="U7482" i="1"/>
  <c r="T7483" i="1"/>
  <c r="U7483" i="1"/>
  <c r="T7484" i="1"/>
  <c r="U7484" i="1"/>
  <c r="T7485" i="1"/>
  <c r="U7485" i="1"/>
  <c r="T7486" i="1"/>
  <c r="U7486" i="1"/>
  <c r="T7487" i="1"/>
  <c r="U7487" i="1"/>
  <c r="T7488" i="1"/>
  <c r="U7488" i="1"/>
  <c r="T7489" i="1"/>
  <c r="U7489" i="1"/>
  <c r="T7490" i="1"/>
  <c r="U7490" i="1"/>
  <c r="T7491" i="1"/>
  <c r="U7491" i="1"/>
  <c r="T7492" i="1"/>
  <c r="U7492" i="1"/>
  <c r="T7493" i="1"/>
  <c r="U7493" i="1"/>
  <c r="T7494" i="1"/>
  <c r="U7494" i="1"/>
  <c r="T7495" i="1"/>
  <c r="U7495" i="1"/>
  <c r="T7496" i="1"/>
  <c r="U7496" i="1"/>
  <c r="T7497" i="1"/>
  <c r="U7497" i="1"/>
  <c r="T7498" i="1"/>
  <c r="U7498" i="1"/>
  <c r="T7499" i="1"/>
  <c r="U7499" i="1"/>
  <c r="T7500" i="1"/>
  <c r="U7500" i="1"/>
  <c r="T7501" i="1"/>
  <c r="U7501" i="1"/>
  <c r="T7502" i="1"/>
  <c r="U7502" i="1"/>
  <c r="T7503" i="1"/>
  <c r="U7503" i="1"/>
  <c r="T7504" i="1"/>
  <c r="U7504" i="1"/>
  <c r="T7505" i="1"/>
  <c r="U7505" i="1"/>
  <c r="T7506" i="1"/>
  <c r="U7506" i="1"/>
  <c r="T7507" i="1"/>
  <c r="U7507" i="1"/>
  <c r="T7508" i="1"/>
  <c r="U7508" i="1"/>
  <c r="T7509" i="1"/>
  <c r="U7509" i="1"/>
  <c r="T7510" i="1"/>
  <c r="U7510" i="1"/>
  <c r="T7511" i="1"/>
  <c r="U7511" i="1"/>
  <c r="T7512" i="1"/>
  <c r="U7512" i="1"/>
  <c r="T7513" i="1"/>
  <c r="U7513" i="1"/>
  <c r="T7514" i="1"/>
  <c r="U7514" i="1"/>
  <c r="T7515" i="1"/>
  <c r="U7515" i="1"/>
  <c r="T7516" i="1"/>
  <c r="U7516" i="1"/>
  <c r="T7517" i="1"/>
  <c r="U7517" i="1"/>
  <c r="T7518" i="1"/>
  <c r="U7518" i="1"/>
  <c r="T7519" i="1"/>
  <c r="U7519" i="1"/>
  <c r="T7520" i="1"/>
  <c r="U7520" i="1"/>
  <c r="T7521" i="1"/>
  <c r="U7521" i="1"/>
  <c r="T7522" i="1"/>
  <c r="U7522" i="1"/>
  <c r="T7523" i="1"/>
  <c r="U7523" i="1"/>
  <c r="T7524" i="1"/>
  <c r="U7524" i="1"/>
  <c r="T7525" i="1"/>
  <c r="U7525" i="1"/>
  <c r="T7526" i="1"/>
  <c r="U7526" i="1"/>
  <c r="T7527" i="1"/>
  <c r="U7527" i="1"/>
  <c r="T7528" i="1"/>
  <c r="U7528" i="1"/>
  <c r="T7529" i="1"/>
  <c r="U7529" i="1"/>
  <c r="T7530" i="1"/>
  <c r="U7530" i="1"/>
  <c r="T7531" i="1"/>
  <c r="U7531" i="1"/>
  <c r="T7532" i="1"/>
  <c r="U7532" i="1"/>
  <c r="T7533" i="1"/>
  <c r="U7533" i="1"/>
  <c r="T7534" i="1"/>
  <c r="U7534" i="1"/>
  <c r="T7535" i="1"/>
  <c r="U7535" i="1"/>
  <c r="T7536" i="1"/>
  <c r="U7536" i="1"/>
  <c r="T7537" i="1"/>
  <c r="U7537" i="1"/>
  <c r="T7538" i="1"/>
  <c r="U7538" i="1"/>
  <c r="T7539" i="1"/>
  <c r="U7539" i="1"/>
  <c r="T7540" i="1"/>
  <c r="U7540" i="1"/>
  <c r="T7541" i="1"/>
  <c r="U7541" i="1"/>
  <c r="T7542" i="1"/>
  <c r="U7542" i="1"/>
  <c r="T7543" i="1"/>
  <c r="U7543" i="1"/>
  <c r="T7544" i="1"/>
  <c r="U7544" i="1"/>
  <c r="T7545" i="1"/>
  <c r="U7545" i="1"/>
  <c r="T7546" i="1"/>
  <c r="U7546" i="1"/>
  <c r="T7547" i="1"/>
  <c r="U7547" i="1"/>
  <c r="T7548" i="1"/>
  <c r="U7548" i="1"/>
  <c r="T7549" i="1"/>
  <c r="U7549" i="1"/>
  <c r="T7550" i="1"/>
  <c r="U7550" i="1"/>
  <c r="T7551" i="1"/>
  <c r="U7551" i="1"/>
  <c r="T7552" i="1"/>
  <c r="U7552" i="1"/>
  <c r="T7553" i="1"/>
  <c r="U7553" i="1"/>
  <c r="T7554" i="1"/>
  <c r="U7554" i="1"/>
  <c r="T7555" i="1"/>
  <c r="U7555" i="1"/>
  <c r="T7556" i="1"/>
  <c r="U7556" i="1"/>
  <c r="T7557" i="1"/>
  <c r="U7557" i="1"/>
  <c r="T7558" i="1"/>
  <c r="U7558" i="1"/>
  <c r="T7559" i="1"/>
  <c r="U7559" i="1"/>
  <c r="T7560" i="1"/>
  <c r="U7560" i="1"/>
  <c r="T7561" i="1"/>
  <c r="U7561" i="1"/>
  <c r="T7562" i="1"/>
  <c r="U7562" i="1"/>
  <c r="T7563" i="1"/>
  <c r="U7563" i="1"/>
  <c r="T7564" i="1"/>
  <c r="U7564" i="1"/>
  <c r="T7565" i="1"/>
  <c r="U7565" i="1"/>
  <c r="T7566" i="1"/>
  <c r="U7566" i="1"/>
  <c r="T7567" i="1"/>
  <c r="U7567" i="1"/>
  <c r="T7568" i="1"/>
  <c r="U7568" i="1"/>
  <c r="T7569" i="1"/>
  <c r="U7569" i="1"/>
  <c r="T7570" i="1"/>
  <c r="U7570" i="1"/>
  <c r="T7571" i="1"/>
  <c r="U7571" i="1"/>
  <c r="T7572" i="1"/>
  <c r="U7572" i="1"/>
  <c r="T7573" i="1"/>
  <c r="U7573" i="1"/>
  <c r="T7574" i="1"/>
  <c r="U7574" i="1"/>
  <c r="T7575" i="1"/>
  <c r="U7575" i="1"/>
  <c r="T7576" i="1"/>
  <c r="U7576" i="1"/>
  <c r="T7577" i="1"/>
  <c r="U7577" i="1"/>
  <c r="T7578" i="1"/>
  <c r="U7578" i="1"/>
  <c r="T7579" i="1"/>
  <c r="U7579" i="1"/>
  <c r="T7580" i="1"/>
  <c r="U7580" i="1"/>
  <c r="T7581" i="1"/>
  <c r="U7581" i="1"/>
  <c r="T7582" i="1"/>
  <c r="U7582" i="1"/>
  <c r="T7583" i="1"/>
  <c r="U7583" i="1"/>
  <c r="T7584" i="1"/>
  <c r="U7584" i="1"/>
  <c r="T7585" i="1"/>
  <c r="U7585" i="1"/>
  <c r="T7586" i="1"/>
  <c r="U7586" i="1"/>
  <c r="T7587" i="1"/>
  <c r="U7587" i="1"/>
  <c r="T7588" i="1"/>
  <c r="U7588" i="1"/>
  <c r="T7589" i="1"/>
  <c r="U7589" i="1"/>
  <c r="T7590" i="1"/>
  <c r="U7590" i="1"/>
  <c r="T7591" i="1"/>
  <c r="U7591" i="1"/>
  <c r="T7592" i="1"/>
  <c r="U7592" i="1"/>
  <c r="T7593" i="1"/>
  <c r="U7593" i="1"/>
  <c r="T7594" i="1"/>
  <c r="U7594" i="1"/>
  <c r="T7595" i="1"/>
  <c r="U7595" i="1"/>
  <c r="T7596" i="1"/>
  <c r="U7596" i="1"/>
  <c r="T7597" i="1"/>
  <c r="U7597" i="1"/>
  <c r="T7598" i="1"/>
  <c r="U7598" i="1"/>
  <c r="T7599" i="1"/>
  <c r="U7599" i="1"/>
  <c r="T7600" i="1"/>
  <c r="U7600" i="1"/>
  <c r="T7601" i="1"/>
  <c r="U7601" i="1"/>
  <c r="T7602" i="1"/>
  <c r="U7602" i="1"/>
  <c r="T7603" i="1"/>
  <c r="U7603" i="1"/>
  <c r="T7604" i="1"/>
  <c r="U7604" i="1"/>
  <c r="T7605" i="1"/>
  <c r="U7605" i="1"/>
  <c r="T7606" i="1"/>
  <c r="U7606" i="1"/>
  <c r="T7607" i="1"/>
  <c r="U7607" i="1"/>
  <c r="T7608" i="1"/>
  <c r="U7608" i="1"/>
  <c r="T7609" i="1"/>
  <c r="U7609" i="1"/>
  <c r="T7610" i="1"/>
  <c r="U7610" i="1"/>
  <c r="T7611" i="1"/>
  <c r="U7611" i="1"/>
  <c r="T7612" i="1"/>
  <c r="U7612" i="1"/>
  <c r="T7613" i="1"/>
  <c r="U7613" i="1"/>
  <c r="T7614" i="1"/>
  <c r="U7614" i="1"/>
  <c r="T7615" i="1"/>
  <c r="U7615" i="1"/>
  <c r="T7616" i="1"/>
  <c r="U7616" i="1"/>
  <c r="T7617" i="1"/>
  <c r="U7617" i="1"/>
  <c r="T7618" i="1"/>
  <c r="U7618" i="1"/>
  <c r="T7619" i="1"/>
  <c r="U7619" i="1"/>
  <c r="T7620" i="1"/>
  <c r="U7620" i="1"/>
  <c r="T7621" i="1"/>
  <c r="U7621" i="1"/>
  <c r="T7622" i="1"/>
  <c r="U7622" i="1"/>
  <c r="T7623" i="1"/>
  <c r="U7623" i="1"/>
  <c r="T7624" i="1"/>
  <c r="U7624" i="1"/>
  <c r="T7625" i="1"/>
  <c r="U7625" i="1"/>
  <c r="T7626" i="1"/>
  <c r="U7626" i="1"/>
  <c r="T7627" i="1"/>
  <c r="U7627" i="1"/>
  <c r="T7628" i="1"/>
  <c r="U7628" i="1"/>
  <c r="T7629" i="1"/>
  <c r="U7629" i="1"/>
  <c r="T7630" i="1"/>
  <c r="U7630" i="1"/>
  <c r="T7631" i="1"/>
  <c r="U7631" i="1"/>
  <c r="T7632" i="1"/>
  <c r="U7632" i="1"/>
  <c r="T7633" i="1"/>
  <c r="U7633" i="1"/>
  <c r="T7634" i="1"/>
  <c r="U7634" i="1"/>
  <c r="T7635" i="1"/>
  <c r="U7635" i="1"/>
  <c r="T7636" i="1"/>
  <c r="U7636" i="1"/>
  <c r="T7637" i="1"/>
  <c r="U7637" i="1"/>
  <c r="T7638" i="1"/>
  <c r="U7638" i="1"/>
  <c r="T7639" i="1"/>
  <c r="U7639" i="1"/>
  <c r="T7640" i="1"/>
  <c r="U7640" i="1"/>
  <c r="T7641" i="1"/>
  <c r="U7641" i="1"/>
  <c r="T7642" i="1"/>
  <c r="U7642" i="1"/>
  <c r="T7643" i="1"/>
  <c r="U7643" i="1"/>
  <c r="T7644" i="1"/>
  <c r="U7644" i="1"/>
  <c r="T7645" i="1"/>
  <c r="U7645" i="1"/>
  <c r="T7646" i="1"/>
  <c r="U7646" i="1"/>
  <c r="T7647" i="1"/>
  <c r="U7647" i="1"/>
  <c r="T7648" i="1"/>
  <c r="U7648" i="1"/>
  <c r="T7649" i="1"/>
  <c r="U7649" i="1"/>
  <c r="T7650" i="1"/>
  <c r="U7650" i="1"/>
  <c r="T7651" i="1"/>
  <c r="U7651" i="1"/>
  <c r="T7652" i="1"/>
  <c r="U7652" i="1"/>
  <c r="T7653" i="1"/>
  <c r="U7653" i="1"/>
  <c r="T7654" i="1"/>
  <c r="U7654" i="1"/>
  <c r="T7655" i="1"/>
  <c r="U7655" i="1"/>
  <c r="T7656" i="1"/>
  <c r="U7656" i="1"/>
  <c r="T7657" i="1"/>
  <c r="U7657" i="1"/>
  <c r="T7658" i="1"/>
  <c r="U7658" i="1"/>
  <c r="T7659" i="1"/>
  <c r="U7659" i="1"/>
  <c r="T7660" i="1"/>
  <c r="U7660" i="1"/>
  <c r="T7661" i="1"/>
  <c r="U7661" i="1"/>
  <c r="T7662" i="1"/>
  <c r="U7662" i="1"/>
  <c r="T7663" i="1"/>
  <c r="U7663" i="1"/>
  <c r="T7664" i="1"/>
  <c r="U7664" i="1"/>
  <c r="T7665" i="1"/>
  <c r="U7665" i="1"/>
  <c r="T7666" i="1"/>
  <c r="U7666" i="1"/>
  <c r="T7667" i="1"/>
  <c r="U7667" i="1"/>
  <c r="T7668" i="1"/>
  <c r="U7668" i="1"/>
  <c r="T7669" i="1"/>
  <c r="U7669" i="1"/>
  <c r="T7670" i="1"/>
  <c r="U7670" i="1"/>
  <c r="T7671" i="1"/>
  <c r="U7671" i="1"/>
  <c r="T7672" i="1"/>
  <c r="U7672" i="1"/>
  <c r="T7673" i="1"/>
  <c r="U7673" i="1"/>
  <c r="T7674" i="1"/>
  <c r="U7674" i="1"/>
  <c r="T7675" i="1"/>
  <c r="U7675" i="1"/>
  <c r="T7676" i="1"/>
  <c r="U7676" i="1"/>
  <c r="T7677" i="1"/>
  <c r="U7677" i="1"/>
  <c r="T7678" i="1"/>
  <c r="U7678" i="1"/>
  <c r="T7679" i="1"/>
  <c r="U7679" i="1"/>
  <c r="T7680" i="1"/>
  <c r="U7680" i="1"/>
  <c r="T7681" i="1"/>
  <c r="U7681" i="1"/>
  <c r="T7682" i="1"/>
  <c r="U7682" i="1"/>
  <c r="T7683" i="1"/>
  <c r="U7683" i="1"/>
  <c r="T7684" i="1"/>
  <c r="U7684" i="1"/>
  <c r="T7685" i="1"/>
  <c r="U7685" i="1"/>
  <c r="T7686" i="1"/>
  <c r="U7686" i="1"/>
  <c r="T7687" i="1"/>
  <c r="U7687" i="1"/>
  <c r="T7688" i="1"/>
  <c r="U7688" i="1"/>
  <c r="T7689" i="1"/>
  <c r="U7689" i="1"/>
  <c r="T7690" i="1"/>
  <c r="U7690" i="1"/>
  <c r="T7691" i="1"/>
  <c r="U7691" i="1"/>
  <c r="T7692" i="1"/>
  <c r="U7692" i="1"/>
  <c r="T7693" i="1"/>
  <c r="U7693" i="1"/>
  <c r="T7694" i="1"/>
  <c r="U7694" i="1"/>
  <c r="T7695" i="1"/>
  <c r="U7695" i="1"/>
  <c r="T7696" i="1"/>
  <c r="U7696" i="1"/>
  <c r="T7697" i="1"/>
  <c r="U7697" i="1"/>
  <c r="T7698" i="1"/>
  <c r="U7698" i="1"/>
  <c r="T7699" i="1"/>
  <c r="U7699" i="1"/>
  <c r="T7700" i="1"/>
  <c r="U7700" i="1"/>
  <c r="T7701" i="1"/>
  <c r="U7701" i="1"/>
  <c r="T7702" i="1"/>
  <c r="U7702" i="1"/>
  <c r="T7703" i="1"/>
  <c r="U7703" i="1"/>
  <c r="T7704" i="1"/>
  <c r="U7704" i="1"/>
  <c r="T7705" i="1"/>
  <c r="U7705" i="1"/>
  <c r="T7706" i="1"/>
  <c r="U7706" i="1"/>
  <c r="T7707" i="1"/>
  <c r="U7707" i="1"/>
  <c r="T7708" i="1"/>
  <c r="U7708" i="1"/>
  <c r="T7709" i="1"/>
  <c r="U7709" i="1"/>
  <c r="T7710" i="1"/>
  <c r="U7710" i="1"/>
  <c r="T7711" i="1"/>
  <c r="U7711" i="1"/>
  <c r="T7712" i="1"/>
  <c r="U7712" i="1"/>
  <c r="T7713" i="1"/>
  <c r="U7713" i="1"/>
  <c r="T7714" i="1"/>
  <c r="U7714" i="1"/>
  <c r="T7715" i="1"/>
  <c r="U7715" i="1"/>
  <c r="T7716" i="1"/>
  <c r="U7716" i="1"/>
  <c r="T7717" i="1"/>
  <c r="U7717" i="1"/>
  <c r="T7718" i="1"/>
  <c r="U7718" i="1"/>
  <c r="T7719" i="1"/>
  <c r="U7719" i="1"/>
  <c r="T7720" i="1"/>
  <c r="U7720" i="1"/>
  <c r="T7721" i="1"/>
  <c r="U7721" i="1"/>
  <c r="T7722" i="1"/>
  <c r="U7722" i="1"/>
  <c r="T7723" i="1"/>
  <c r="U7723" i="1"/>
  <c r="T7724" i="1"/>
  <c r="U7724" i="1"/>
  <c r="T7725" i="1"/>
  <c r="U7725" i="1"/>
  <c r="T7726" i="1"/>
  <c r="U7726" i="1"/>
  <c r="T7727" i="1"/>
  <c r="U7727" i="1"/>
  <c r="T7728" i="1"/>
  <c r="U7728" i="1"/>
  <c r="T7729" i="1"/>
  <c r="U7729" i="1"/>
  <c r="T7730" i="1"/>
  <c r="U7730" i="1"/>
  <c r="T7731" i="1"/>
  <c r="U7731" i="1"/>
  <c r="T7732" i="1"/>
  <c r="U7732" i="1"/>
  <c r="T7733" i="1"/>
  <c r="U7733" i="1"/>
  <c r="T7734" i="1"/>
  <c r="U7734" i="1"/>
  <c r="T7735" i="1"/>
  <c r="U7735" i="1"/>
  <c r="T7736" i="1"/>
  <c r="U7736" i="1"/>
  <c r="T7737" i="1"/>
  <c r="U7737" i="1"/>
  <c r="T7738" i="1"/>
  <c r="U7738" i="1"/>
  <c r="T7739" i="1"/>
  <c r="U7739" i="1"/>
  <c r="T7740" i="1"/>
  <c r="U7740" i="1"/>
  <c r="T7741" i="1"/>
  <c r="U7741" i="1"/>
  <c r="T7742" i="1"/>
  <c r="U7742" i="1"/>
  <c r="T7743" i="1"/>
  <c r="U7743" i="1"/>
  <c r="T7744" i="1"/>
  <c r="U7744" i="1"/>
  <c r="T7745" i="1"/>
  <c r="U7745" i="1"/>
  <c r="T7746" i="1"/>
  <c r="U7746" i="1"/>
  <c r="T7747" i="1"/>
  <c r="U7747" i="1"/>
  <c r="T7748" i="1"/>
  <c r="U7748" i="1"/>
  <c r="T7749" i="1"/>
  <c r="U7749" i="1"/>
  <c r="T7750" i="1"/>
  <c r="U7750" i="1"/>
  <c r="T7751" i="1"/>
  <c r="U7751" i="1"/>
  <c r="T7752" i="1"/>
  <c r="U7752" i="1"/>
  <c r="T7753" i="1"/>
  <c r="U7753" i="1"/>
  <c r="T7754" i="1"/>
  <c r="U7754" i="1"/>
  <c r="T7755" i="1"/>
  <c r="U7755" i="1"/>
  <c r="T7756" i="1"/>
  <c r="U7756" i="1"/>
  <c r="T7757" i="1"/>
  <c r="U7757" i="1"/>
  <c r="T7758" i="1"/>
  <c r="U7758" i="1"/>
  <c r="T7759" i="1"/>
  <c r="U7759" i="1"/>
  <c r="T7760" i="1"/>
  <c r="U7760" i="1"/>
  <c r="T7761" i="1"/>
  <c r="U7761" i="1"/>
  <c r="T7762" i="1"/>
  <c r="U7762" i="1"/>
  <c r="T7763" i="1"/>
  <c r="U7763" i="1"/>
  <c r="T7764" i="1"/>
  <c r="U7764" i="1"/>
  <c r="T7765" i="1"/>
  <c r="U7765" i="1"/>
  <c r="T7766" i="1"/>
  <c r="U7766" i="1"/>
  <c r="T7767" i="1"/>
  <c r="U7767" i="1"/>
  <c r="T7768" i="1"/>
  <c r="U7768" i="1"/>
  <c r="T7769" i="1"/>
  <c r="U7769" i="1"/>
  <c r="T7770" i="1"/>
  <c r="U7770" i="1"/>
  <c r="T7771" i="1"/>
  <c r="U7771" i="1"/>
  <c r="T7772" i="1"/>
  <c r="U7772" i="1"/>
  <c r="T7773" i="1"/>
  <c r="U7773" i="1"/>
  <c r="T7774" i="1"/>
  <c r="U7774" i="1"/>
  <c r="T7775" i="1"/>
  <c r="U7775" i="1"/>
  <c r="T7776" i="1"/>
  <c r="U7776" i="1"/>
  <c r="T7777" i="1"/>
  <c r="U7777" i="1"/>
  <c r="T7778" i="1"/>
  <c r="U7778" i="1"/>
  <c r="T7779" i="1"/>
  <c r="U7779" i="1"/>
  <c r="T7789" i="1"/>
  <c r="U7789" i="1"/>
  <c r="T7790" i="1"/>
  <c r="U7790" i="1"/>
  <c r="T7791" i="1"/>
  <c r="U7791" i="1"/>
  <c r="T7792" i="1"/>
  <c r="U7792" i="1"/>
  <c r="T7793" i="1"/>
  <c r="U7793" i="1"/>
  <c r="T7794" i="1"/>
  <c r="U7794" i="1"/>
  <c r="T7795" i="1"/>
  <c r="U7795" i="1"/>
  <c r="T7796" i="1"/>
  <c r="U7796" i="1"/>
  <c r="T7797" i="1"/>
  <c r="U7797" i="1"/>
  <c r="T7798" i="1"/>
  <c r="U7798" i="1"/>
  <c r="T7799" i="1"/>
  <c r="U7799" i="1"/>
  <c r="T7800" i="1"/>
  <c r="U7800" i="1"/>
  <c r="T7801" i="1"/>
  <c r="U7801" i="1"/>
  <c r="T7802" i="1"/>
  <c r="U7802" i="1"/>
  <c r="T7803" i="1"/>
  <c r="U7803" i="1"/>
  <c r="T7804" i="1"/>
  <c r="U7804" i="1"/>
  <c r="T7805" i="1"/>
  <c r="U7805" i="1"/>
  <c r="T7806" i="1"/>
  <c r="U7806" i="1"/>
  <c r="T7807" i="1"/>
  <c r="U7807" i="1"/>
  <c r="T7808" i="1"/>
  <c r="U7808" i="1"/>
  <c r="T7809" i="1"/>
  <c r="U7809" i="1"/>
  <c r="T7810" i="1"/>
  <c r="U7810" i="1"/>
  <c r="T7811" i="1"/>
  <c r="U7811" i="1"/>
  <c r="T7812" i="1"/>
  <c r="U7812" i="1"/>
  <c r="T7813" i="1"/>
  <c r="U7813" i="1"/>
  <c r="T7814" i="1"/>
  <c r="U7814" i="1"/>
  <c r="T7815" i="1"/>
  <c r="U7815" i="1"/>
  <c r="T7816" i="1"/>
  <c r="U7816" i="1"/>
  <c r="T7817" i="1"/>
  <c r="U7817" i="1"/>
  <c r="T7818" i="1"/>
  <c r="U7818" i="1"/>
  <c r="T7819" i="1"/>
  <c r="U7819" i="1"/>
  <c r="T7820" i="1"/>
  <c r="U7820" i="1"/>
  <c r="T7821" i="1"/>
  <c r="U7821" i="1"/>
  <c r="T7822" i="1"/>
  <c r="U7822" i="1"/>
  <c r="T7823" i="1"/>
  <c r="U7823" i="1"/>
  <c r="T7824" i="1"/>
  <c r="U7824" i="1"/>
  <c r="T7825" i="1"/>
  <c r="U7825" i="1"/>
  <c r="T7826" i="1"/>
  <c r="U7826" i="1"/>
  <c r="T7827" i="1"/>
  <c r="U7827" i="1"/>
  <c r="T7828" i="1"/>
  <c r="U7828" i="1"/>
  <c r="T7829" i="1"/>
  <c r="U7829" i="1"/>
  <c r="T7830" i="1"/>
  <c r="U7830" i="1"/>
  <c r="T7831" i="1"/>
  <c r="U7831" i="1"/>
  <c r="T7832" i="1"/>
  <c r="U7832" i="1"/>
  <c r="T7833" i="1"/>
  <c r="U7833" i="1"/>
  <c r="T7834" i="1"/>
  <c r="U7834" i="1"/>
  <c r="T7835" i="1"/>
  <c r="U7835" i="1"/>
  <c r="T7836" i="1"/>
  <c r="U7836" i="1"/>
  <c r="T7837" i="1"/>
  <c r="U7837" i="1"/>
  <c r="T7838" i="1"/>
  <c r="U7838" i="1"/>
  <c r="T7839" i="1"/>
  <c r="U7839" i="1"/>
  <c r="T7840" i="1"/>
  <c r="U7840" i="1"/>
  <c r="T7841" i="1"/>
  <c r="U7841" i="1"/>
  <c r="T7842" i="1"/>
  <c r="U7842" i="1"/>
  <c r="T7843" i="1"/>
  <c r="U7843" i="1"/>
  <c r="T7844" i="1"/>
  <c r="U7844" i="1"/>
  <c r="T7845" i="1"/>
  <c r="U7845" i="1"/>
  <c r="T7846" i="1"/>
  <c r="U7846" i="1"/>
  <c r="T7847" i="1"/>
  <c r="U7847" i="1"/>
  <c r="T7848" i="1"/>
  <c r="U7848" i="1"/>
  <c r="T7849" i="1"/>
  <c r="U7849" i="1"/>
  <c r="T7850" i="1"/>
  <c r="U7850" i="1"/>
  <c r="T7851" i="1"/>
  <c r="U7851" i="1"/>
  <c r="T7852" i="1"/>
  <c r="U7852" i="1"/>
  <c r="T7853" i="1"/>
  <c r="U7853" i="1"/>
  <c r="T7854" i="1"/>
  <c r="U7854" i="1"/>
  <c r="T7855" i="1"/>
  <c r="U7855" i="1"/>
  <c r="T7856" i="1"/>
  <c r="U7856" i="1"/>
  <c r="T7857" i="1"/>
  <c r="U7857" i="1"/>
  <c r="T7858" i="1"/>
  <c r="U7858" i="1"/>
  <c r="T7859" i="1"/>
  <c r="U7859" i="1"/>
  <c r="T7860" i="1"/>
  <c r="U7860" i="1"/>
  <c r="T7861" i="1"/>
  <c r="U7861" i="1"/>
  <c r="T7862" i="1"/>
  <c r="U7862" i="1"/>
  <c r="T7863" i="1"/>
  <c r="U7863" i="1"/>
  <c r="T7864" i="1"/>
  <c r="U7864" i="1"/>
  <c r="T7865" i="1"/>
  <c r="U7865" i="1"/>
  <c r="T7866" i="1"/>
  <c r="U7866" i="1"/>
  <c r="T7867" i="1"/>
  <c r="U7867" i="1"/>
  <c r="T7868" i="1"/>
  <c r="U7868" i="1"/>
  <c r="T7869" i="1"/>
  <c r="U7869" i="1"/>
  <c r="T7870" i="1"/>
  <c r="U7870" i="1"/>
  <c r="T7871" i="1"/>
  <c r="U7871" i="1"/>
  <c r="T7872" i="1"/>
  <c r="U7872" i="1"/>
  <c r="T7873" i="1"/>
  <c r="U7873" i="1"/>
  <c r="T7874" i="1"/>
  <c r="U7874" i="1"/>
  <c r="T7875" i="1"/>
  <c r="U7875" i="1"/>
  <c r="T7876" i="1"/>
  <c r="U7876" i="1"/>
  <c r="T7877" i="1"/>
  <c r="U7877" i="1"/>
  <c r="T7878" i="1"/>
  <c r="U7878" i="1"/>
  <c r="T7879" i="1"/>
  <c r="U7879" i="1"/>
  <c r="T7880" i="1"/>
  <c r="U7880" i="1"/>
  <c r="T7881" i="1"/>
  <c r="U7881" i="1"/>
  <c r="T7882" i="1"/>
  <c r="U7882" i="1"/>
  <c r="T7883" i="1"/>
  <c r="U7883" i="1"/>
  <c r="T7884" i="1"/>
  <c r="U7884" i="1"/>
  <c r="T7885" i="1"/>
  <c r="U7885" i="1"/>
  <c r="T7886" i="1"/>
  <c r="U7886" i="1"/>
  <c r="T7887" i="1"/>
  <c r="U7887" i="1"/>
  <c r="T7888" i="1"/>
  <c r="U7888" i="1"/>
  <c r="T7889" i="1"/>
  <c r="U7889" i="1"/>
  <c r="T7890" i="1"/>
  <c r="U7890" i="1"/>
  <c r="T7891" i="1"/>
  <c r="U7891" i="1"/>
  <c r="T7892" i="1"/>
  <c r="U7892" i="1"/>
  <c r="T7893" i="1"/>
  <c r="U7893" i="1"/>
  <c r="T7894" i="1"/>
  <c r="U7894" i="1"/>
  <c r="T7895" i="1"/>
  <c r="U7895" i="1"/>
  <c r="T7896" i="1"/>
  <c r="U7896" i="1"/>
  <c r="T7897" i="1"/>
  <c r="U7897" i="1"/>
  <c r="T7898" i="1"/>
  <c r="U7898" i="1"/>
  <c r="T7899" i="1"/>
  <c r="U7899" i="1"/>
  <c r="T7900" i="1"/>
  <c r="U7900" i="1"/>
  <c r="T7901" i="1"/>
  <c r="U7901" i="1"/>
  <c r="T7902" i="1"/>
  <c r="U7902" i="1"/>
  <c r="T7903" i="1"/>
  <c r="U7903" i="1"/>
  <c r="T7904" i="1"/>
  <c r="U7904" i="1"/>
  <c r="T7905" i="1"/>
  <c r="U7905" i="1"/>
  <c r="T7906" i="1"/>
  <c r="U7906" i="1"/>
  <c r="T7907" i="1"/>
  <c r="U7907" i="1"/>
  <c r="T7908" i="1"/>
  <c r="U7908" i="1"/>
  <c r="T7909" i="1"/>
  <c r="U7909" i="1"/>
  <c r="T7910" i="1"/>
  <c r="U7910" i="1"/>
  <c r="T7911" i="1"/>
  <c r="U7911" i="1"/>
  <c r="T7912" i="1"/>
  <c r="U7912" i="1"/>
  <c r="T7913" i="1"/>
  <c r="U7913" i="1"/>
  <c r="T7914" i="1"/>
  <c r="U7914" i="1"/>
  <c r="T7915" i="1"/>
  <c r="U7915" i="1"/>
  <c r="T7916" i="1"/>
  <c r="U7916" i="1"/>
  <c r="T7917" i="1"/>
  <c r="U7917" i="1"/>
  <c r="T7918" i="1"/>
  <c r="U7918" i="1"/>
  <c r="T7919" i="1"/>
  <c r="U7919" i="1"/>
  <c r="T7920" i="1"/>
  <c r="U7920" i="1"/>
  <c r="T7921" i="1"/>
  <c r="U7921" i="1"/>
  <c r="T7922" i="1"/>
  <c r="U7922" i="1"/>
  <c r="T7923" i="1"/>
  <c r="U7923" i="1"/>
  <c r="T7924" i="1"/>
  <c r="U7924" i="1"/>
  <c r="T7925" i="1"/>
  <c r="U7925" i="1"/>
  <c r="T7926" i="1"/>
  <c r="U7926" i="1"/>
  <c r="T7927" i="1"/>
  <c r="U7927" i="1"/>
  <c r="T7928" i="1"/>
  <c r="U7928" i="1"/>
  <c r="T7929" i="1"/>
  <c r="U7929" i="1"/>
  <c r="T7930" i="1"/>
  <c r="U7930" i="1"/>
  <c r="T7931" i="1"/>
  <c r="U7931" i="1"/>
  <c r="T7932" i="1"/>
  <c r="U7932" i="1"/>
  <c r="T7933" i="1"/>
  <c r="U7933" i="1"/>
  <c r="T7934" i="1"/>
  <c r="U7934" i="1"/>
  <c r="T7935" i="1"/>
  <c r="U7935" i="1"/>
  <c r="T7936" i="1"/>
  <c r="U7936" i="1"/>
  <c r="T7937" i="1"/>
  <c r="U7937" i="1"/>
  <c r="T7938" i="1"/>
  <c r="U7938" i="1"/>
  <c r="T7939" i="1"/>
  <c r="U7939" i="1"/>
  <c r="T7940" i="1"/>
  <c r="U7940" i="1"/>
  <c r="T7941" i="1"/>
  <c r="U7941" i="1"/>
  <c r="T7942" i="1"/>
  <c r="U7942" i="1"/>
  <c r="T7943" i="1"/>
  <c r="U7943" i="1"/>
  <c r="T7944" i="1"/>
  <c r="U7944" i="1"/>
  <c r="T7945" i="1"/>
  <c r="U7945" i="1"/>
  <c r="T7946" i="1"/>
  <c r="U7946" i="1"/>
  <c r="T7947" i="1"/>
  <c r="U7947" i="1"/>
  <c r="T7948" i="1"/>
  <c r="U7948" i="1"/>
  <c r="T7949" i="1"/>
  <c r="U7949" i="1"/>
  <c r="T7950" i="1"/>
  <c r="U7950" i="1"/>
  <c r="T7951" i="1"/>
  <c r="U7951" i="1"/>
  <c r="T7952" i="1"/>
  <c r="U7952" i="1"/>
  <c r="T7953" i="1"/>
  <c r="U7953" i="1"/>
  <c r="T7954" i="1"/>
  <c r="U7954" i="1"/>
  <c r="T7955" i="1"/>
  <c r="U7955" i="1"/>
  <c r="T7956" i="1"/>
  <c r="U7956" i="1"/>
  <c r="T7957" i="1"/>
  <c r="U7957" i="1"/>
  <c r="T7958" i="1"/>
  <c r="U7958" i="1"/>
  <c r="T7959" i="1"/>
  <c r="U7959" i="1"/>
  <c r="T7960" i="1"/>
  <c r="U7960" i="1"/>
  <c r="T7961" i="1"/>
  <c r="U7961" i="1"/>
  <c r="T7962" i="1"/>
  <c r="U7962" i="1"/>
  <c r="T7963" i="1"/>
  <c r="U7963" i="1"/>
  <c r="T7964" i="1"/>
  <c r="U7964" i="1"/>
  <c r="T7965" i="1"/>
  <c r="U7965" i="1"/>
  <c r="T7966" i="1"/>
  <c r="U7966" i="1"/>
  <c r="T7967" i="1"/>
  <c r="U7967" i="1"/>
  <c r="T7968" i="1"/>
  <c r="U7968" i="1"/>
  <c r="T7969" i="1"/>
  <c r="U7969" i="1"/>
  <c r="T7970" i="1"/>
  <c r="U7970" i="1"/>
  <c r="T7971" i="1"/>
  <c r="U7971" i="1"/>
  <c r="T7972" i="1"/>
  <c r="U7972" i="1"/>
  <c r="T7973" i="1"/>
  <c r="U7973" i="1"/>
  <c r="T7974" i="1"/>
  <c r="U7974" i="1"/>
  <c r="T7975" i="1"/>
  <c r="U7975" i="1"/>
  <c r="T7976" i="1"/>
  <c r="U7976" i="1"/>
  <c r="T7977" i="1"/>
  <c r="U7977" i="1"/>
  <c r="T7978" i="1"/>
  <c r="U7978" i="1"/>
  <c r="T7979" i="1"/>
  <c r="U7979" i="1"/>
  <c r="T7980" i="1"/>
  <c r="U7980" i="1"/>
  <c r="T7981" i="1"/>
  <c r="U7981" i="1"/>
  <c r="T7982" i="1"/>
  <c r="U7982" i="1"/>
  <c r="T7983" i="1"/>
  <c r="U7983" i="1"/>
  <c r="T7984" i="1"/>
  <c r="U7984" i="1"/>
  <c r="T7985" i="1"/>
  <c r="U7985" i="1"/>
  <c r="T7986" i="1"/>
  <c r="U7986" i="1"/>
  <c r="T7987" i="1"/>
  <c r="U7987" i="1"/>
  <c r="T7988" i="1"/>
  <c r="U7988" i="1"/>
  <c r="T7989" i="1"/>
  <c r="U7989" i="1"/>
  <c r="T7990" i="1"/>
  <c r="U7990" i="1"/>
  <c r="T7991" i="1"/>
  <c r="U7991" i="1"/>
  <c r="T7992" i="1"/>
  <c r="U7992" i="1"/>
  <c r="T7993" i="1"/>
  <c r="U7993" i="1"/>
  <c r="T7994" i="1"/>
  <c r="U7994" i="1"/>
  <c r="T7995" i="1"/>
  <c r="U7995" i="1"/>
  <c r="T7996" i="1"/>
  <c r="U7996" i="1"/>
  <c r="T7997" i="1"/>
  <c r="U7997" i="1"/>
  <c r="T7998" i="1"/>
  <c r="U7998" i="1"/>
  <c r="T7999" i="1"/>
  <c r="U7999" i="1"/>
  <c r="T8000" i="1"/>
  <c r="U8000" i="1"/>
  <c r="T8001" i="1"/>
  <c r="U8001" i="1"/>
  <c r="T8002" i="1"/>
  <c r="U8002" i="1"/>
  <c r="T8003" i="1"/>
  <c r="U8003" i="1"/>
  <c r="T8004" i="1"/>
  <c r="U8004" i="1"/>
  <c r="T8005" i="1"/>
  <c r="U8005" i="1"/>
  <c r="T8006" i="1"/>
  <c r="U8006" i="1"/>
  <c r="T8007" i="1"/>
  <c r="U8007" i="1"/>
  <c r="T8008" i="1"/>
  <c r="U8008" i="1"/>
  <c r="T8009" i="1"/>
  <c r="U8009" i="1"/>
  <c r="T8010" i="1"/>
  <c r="U8010" i="1"/>
  <c r="T8011" i="1"/>
  <c r="U8011" i="1"/>
  <c r="T8012" i="1"/>
  <c r="U8012" i="1"/>
  <c r="T8013" i="1"/>
  <c r="U8013" i="1"/>
  <c r="T8014" i="1"/>
  <c r="U8014" i="1"/>
  <c r="T8015" i="1"/>
  <c r="U8015" i="1"/>
  <c r="T8016" i="1"/>
  <c r="U8016" i="1"/>
  <c r="T8017" i="1"/>
  <c r="U8017" i="1"/>
  <c r="T8018" i="1"/>
  <c r="U8018" i="1"/>
  <c r="T8019" i="1"/>
  <c r="U8019" i="1"/>
  <c r="T8020" i="1"/>
  <c r="U8020" i="1"/>
  <c r="T8021" i="1"/>
  <c r="U8021" i="1"/>
  <c r="T8022" i="1"/>
  <c r="U8022" i="1"/>
  <c r="T8023" i="1"/>
  <c r="U8023" i="1"/>
  <c r="T8024" i="1"/>
  <c r="U8024" i="1"/>
  <c r="T8025" i="1"/>
  <c r="U8025" i="1"/>
  <c r="T8026" i="1"/>
  <c r="U8026" i="1"/>
  <c r="T8027" i="1"/>
  <c r="U8027" i="1"/>
  <c r="T8028" i="1"/>
  <c r="U8028" i="1"/>
  <c r="T8029" i="1"/>
  <c r="U8029" i="1"/>
  <c r="T8030" i="1"/>
  <c r="U8030" i="1"/>
  <c r="T8031" i="1"/>
  <c r="U8031" i="1"/>
  <c r="T8032" i="1"/>
  <c r="U8032" i="1"/>
  <c r="T8033" i="1"/>
  <c r="U8033" i="1"/>
  <c r="T8034" i="1"/>
  <c r="U8034" i="1"/>
  <c r="T8035" i="1"/>
  <c r="U8035" i="1"/>
  <c r="T8036" i="1"/>
  <c r="U8036" i="1"/>
  <c r="T8037" i="1"/>
  <c r="U8037" i="1"/>
  <c r="T8038" i="1"/>
  <c r="U8038" i="1"/>
  <c r="T8039" i="1"/>
  <c r="U8039" i="1"/>
  <c r="T8040" i="1"/>
  <c r="U8040" i="1"/>
  <c r="T8041" i="1"/>
  <c r="U8041" i="1"/>
  <c r="T8042" i="1"/>
  <c r="U8042" i="1"/>
  <c r="T8043" i="1"/>
  <c r="U8043" i="1"/>
  <c r="T8044" i="1"/>
  <c r="U8044" i="1"/>
  <c r="T8045" i="1"/>
  <c r="U8045" i="1"/>
  <c r="T8046" i="1"/>
  <c r="U8046" i="1"/>
  <c r="T8047" i="1"/>
  <c r="U8047" i="1"/>
  <c r="T8048" i="1"/>
  <c r="U8048" i="1"/>
  <c r="T8049" i="1"/>
  <c r="U8049" i="1"/>
  <c r="T8050" i="1"/>
  <c r="U8050" i="1"/>
  <c r="T8051" i="1"/>
  <c r="U8051" i="1"/>
  <c r="T8052" i="1"/>
  <c r="U8052" i="1"/>
  <c r="T8053" i="1"/>
  <c r="U8053" i="1"/>
  <c r="T8054" i="1"/>
  <c r="U8054" i="1"/>
  <c r="T8055" i="1"/>
  <c r="U8055" i="1"/>
  <c r="T8056" i="1"/>
  <c r="U8056" i="1"/>
  <c r="T8057" i="1"/>
  <c r="U8057" i="1"/>
  <c r="T8058" i="1"/>
  <c r="U8058" i="1"/>
  <c r="T8059" i="1"/>
  <c r="U8059" i="1"/>
  <c r="T8060" i="1"/>
  <c r="U8060" i="1"/>
  <c r="T8061" i="1"/>
  <c r="U8061" i="1"/>
  <c r="T8062" i="1"/>
  <c r="U8062" i="1"/>
  <c r="T8063" i="1"/>
  <c r="U8063" i="1"/>
  <c r="T8064" i="1"/>
  <c r="U8064" i="1"/>
  <c r="T8065" i="1"/>
  <c r="U8065" i="1"/>
  <c r="T8066" i="1"/>
  <c r="U8066" i="1"/>
  <c r="T8067" i="1"/>
  <c r="U8067" i="1"/>
  <c r="T8068" i="1"/>
  <c r="U8068" i="1"/>
  <c r="T8069" i="1"/>
  <c r="U8069" i="1"/>
  <c r="T8070" i="1"/>
  <c r="U8070" i="1"/>
  <c r="T8071" i="1"/>
  <c r="U8071" i="1"/>
  <c r="T8072" i="1"/>
  <c r="U8072" i="1"/>
  <c r="T8073" i="1"/>
  <c r="U8073" i="1"/>
  <c r="T8074" i="1"/>
  <c r="U8074" i="1"/>
  <c r="T8075" i="1"/>
  <c r="U8075" i="1"/>
  <c r="T8076" i="1"/>
  <c r="U8076" i="1"/>
  <c r="T8077" i="1"/>
  <c r="U8077" i="1"/>
  <c r="T8078" i="1"/>
  <c r="U8078" i="1"/>
  <c r="T8079" i="1"/>
  <c r="U8079" i="1"/>
  <c r="T8080" i="1"/>
  <c r="U8080" i="1"/>
  <c r="T8081" i="1"/>
  <c r="U8081" i="1"/>
  <c r="T8082" i="1"/>
  <c r="U8082" i="1"/>
  <c r="T8083" i="1"/>
  <c r="U8083" i="1"/>
  <c r="T8084" i="1"/>
  <c r="U8084" i="1"/>
  <c r="T8085" i="1"/>
  <c r="U8085" i="1"/>
  <c r="T8086" i="1"/>
  <c r="U8086" i="1"/>
  <c r="T8087" i="1"/>
  <c r="U8087" i="1"/>
  <c r="T8088" i="1"/>
  <c r="U8088" i="1"/>
  <c r="T8089" i="1"/>
  <c r="U8089" i="1"/>
  <c r="T8090" i="1"/>
  <c r="U8090" i="1"/>
  <c r="T8091" i="1"/>
  <c r="U8091" i="1"/>
  <c r="T8092" i="1"/>
  <c r="U8092" i="1"/>
  <c r="T8093" i="1"/>
  <c r="U8093" i="1"/>
  <c r="T8094" i="1"/>
  <c r="U8094" i="1"/>
  <c r="T8095" i="1"/>
  <c r="U8095" i="1"/>
  <c r="T8096" i="1"/>
  <c r="U8096" i="1"/>
  <c r="T8097" i="1"/>
  <c r="U8097" i="1"/>
  <c r="T8098" i="1"/>
  <c r="U8098" i="1"/>
  <c r="T8099" i="1"/>
  <c r="U8099" i="1"/>
  <c r="T8100" i="1"/>
  <c r="U8100" i="1"/>
  <c r="T8101" i="1"/>
  <c r="U8101" i="1"/>
  <c r="T8102" i="1"/>
  <c r="U8102" i="1"/>
  <c r="T8103" i="1"/>
  <c r="U8103" i="1"/>
  <c r="T8104" i="1"/>
  <c r="U8104" i="1"/>
  <c r="T8105" i="1"/>
  <c r="U8105" i="1"/>
  <c r="T8106" i="1"/>
  <c r="U8106" i="1"/>
  <c r="T8107" i="1"/>
  <c r="U8107" i="1"/>
  <c r="T8108" i="1"/>
  <c r="U8108" i="1"/>
  <c r="T8109" i="1"/>
  <c r="U8109" i="1"/>
  <c r="T8110" i="1"/>
  <c r="U8110" i="1"/>
  <c r="T8111" i="1"/>
  <c r="U8111" i="1"/>
  <c r="T8112" i="1"/>
  <c r="U8112" i="1"/>
  <c r="T8113" i="1"/>
  <c r="U8113" i="1"/>
  <c r="T8114" i="1"/>
  <c r="U8114" i="1"/>
  <c r="T8115" i="1"/>
  <c r="U8115" i="1"/>
  <c r="T8116" i="1"/>
  <c r="U8116" i="1"/>
  <c r="T8117" i="1"/>
  <c r="U8117" i="1"/>
  <c r="T8118" i="1"/>
  <c r="U8118" i="1"/>
  <c r="T8119" i="1"/>
  <c r="U8119" i="1"/>
  <c r="T8120" i="1"/>
  <c r="U8120" i="1"/>
  <c r="T8121" i="1"/>
  <c r="U8121" i="1"/>
  <c r="T8122" i="1"/>
  <c r="U8122" i="1"/>
  <c r="T8123" i="1"/>
  <c r="U8123" i="1"/>
  <c r="T8124" i="1"/>
  <c r="U8124" i="1"/>
  <c r="T8125" i="1"/>
  <c r="U8125" i="1"/>
  <c r="T8126" i="1"/>
  <c r="U8126" i="1"/>
  <c r="T8127" i="1"/>
  <c r="U8127" i="1"/>
  <c r="T8128" i="1"/>
  <c r="U8128" i="1"/>
  <c r="T8129" i="1"/>
  <c r="U8129" i="1"/>
  <c r="T8130" i="1"/>
  <c r="U8130" i="1"/>
  <c r="T8131" i="1"/>
  <c r="U8131" i="1"/>
  <c r="T8132" i="1"/>
  <c r="U8132" i="1"/>
  <c r="T8133" i="1"/>
  <c r="U8133" i="1"/>
  <c r="T8134" i="1"/>
  <c r="U8134" i="1"/>
  <c r="T8135" i="1"/>
  <c r="U8135" i="1"/>
  <c r="T8136" i="1"/>
  <c r="U8136" i="1"/>
  <c r="T8137" i="1"/>
  <c r="U8137" i="1"/>
  <c r="T8138" i="1"/>
  <c r="U8138" i="1"/>
  <c r="T8139" i="1"/>
  <c r="U8139" i="1"/>
  <c r="T8140" i="1"/>
  <c r="U8140" i="1"/>
  <c r="T8141" i="1"/>
  <c r="U8141" i="1"/>
  <c r="T8142" i="1"/>
  <c r="U8142" i="1"/>
  <c r="T8143" i="1"/>
  <c r="U8143" i="1"/>
  <c r="T8144" i="1"/>
  <c r="U8144" i="1"/>
  <c r="T8145" i="1"/>
  <c r="U8145" i="1"/>
  <c r="T8146" i="1"/>
  <c r="U8146" i="1"/>
  <c r="T8147" i="1"/>
  <c r="U8147" i="1"/>
  <c r="T8148" i="1"/>
  <c r="U8148" i="1"/>
  <c r="T8149" i="1"/>
  <c r="U8149" i="1"/>
  <c r="T8150" i="1"/>
  <c r="U8150" i="1"/>
  <c r="T8151" i="1"/>
  <c r="U8151" i="1"/>
  <c r="T8152" i="1"/>
  <c r="U8152" i="1"/>
  <c r="T8153" i="1"/>
  <c r="U8153" i="1"/>
  <c r="T8154" i="1"/>
  <c r="U8154" i="1"/>
  <c r="T8155" i="1"/>
  <c r="U8155" i="1"/>
  <c r="T8156" i="1"/>
  <c r="U8156" i="1"/>
  <c r="T8157" i="1"/>
  <c r="U8157" i="1"/>
  <c r="T8158" i="1"/>
  <c r="U8158" i="1"/>
  <c r="T8159" i="1"/>
  <c r="U8159" i="1"/>
  <c r="T8160" i="1"/>
  <c r="U8160" i="1"/>
  <c r="T8161" i="1"/>
  <c r="U8161" i="1"/>
  <c r="T8162" i="1"/>
  <c r="U8162" i="1"/>
  <c r="T8163" i="1"/>
  <c r="U8163" i="1"/>
  <c r="T8164" i="1"/>
  <c r="U8164" i="1"/>
  <c r="T8165" i="1"/>
  <c r="U8165" i="1"/>
  <c r="T8166" i="1"/>
  <c r="U8166" i="1"/>
  <c r="T8167" i="1"/>
  <c r="U8167" i="1"/>
  <c r="T8168" i="1"/>
  <c r="U8168" i="1"/>
  <c r="T8169" i="1"/>
  <c r="U8169" i="1"/>
  <c r="T8170" i="1"/>
  <c r="U8170" i="1"/>
  <c r="T8171" i="1"/>
  <c r="U8171" i="1"/>
  <c r="T8172" i="1"/>
  <c r="U8172" i="1"/>
  <c r="T8173" i="1"/>
  <c r="U8173" i="1"/>
  <c r="T8174" i="1"/>
  <c r="U8174" i="1"/>
  <c r="T8175" i="1"/>
  <c r="U8175" i="1"/>
  <c r="T8176" i="1"/>
  <c r="U8176" i="1"/>
  <c r="T8177" i="1"/>
  <c r="U8177" i="1"/>
  <c r="T8178" i="1"/>
  <c r="U8178" i="1"/>
  <c r="T8179" i="1"/>
  <c r="U8179" i="1"/>
  <c r="T8180" i="1"/>
  <c r="U8180" i="1"/>
  <c r="T8181" i="1"/>
  <c r="U8181" i="1"/>
  <c r="T8182" i="1"/>
  <c r="U8182" i="1"/>
  <c r="T8183" i="1"/>
  <c r="U8183" i="1"/>
  <c r="T8184" i="1"/>
  <c r="U8184" i="1"/>
  <c r="T8185" i="1"/>
  <c r="U8185" i="1"/>
  <c r="T8186" i="1"/>
  <c r="U8186" i="1"/>
  <c r="T8187" i="1"/>
  <c r="U8187" i="1"/>
  <c r="T8188" i="1"/>
  <c r="U8188" i="1"/>
  <c r="T8189" i="1"/>
  <c r="U8189" i="1"/>
  <c r="T8190" i="1"/>
  <c r="U8190" i="1"/>
  <c r="T8191" i="1"/>
  <c r="U8191" i="1"/>
  <c r="T8192" i="1"/>
  <c r="U8192" i="1"/>
  <c r="T8193" i="1"/>
  <c r="U8193" i="1"/>
  <c r="T8194" i="1"/>
  <c r="U8194" i="1"/>
  <c r="T8195" i="1"/>
  <c r="U8195" i="1"/>
  <c r="T8196" i="1"/>
  <c r="U8196" i="1"/>
  <c r="T8197" i="1"/>
  <c r="U8197" i="1"/>
  <c r="T8198" i="1"/>
  <c r="U8198" i="1"/>
  <c r="T8199" i="1"/>
  <c r="U8199" i="1"/>
  <c r="T8200" i="1"/>
  <c r="U8200" i="1"/>
  <c r="T8201" i="1"/>
  <c r="U8201" i="1"/>
  <c r="T8202" i="1"/>
  <c r="U8202" i="1"/>
  <c r="T8203" i="1"/>
  <c r="U8203" i="1"/>
  <c r="T8204" i="1"/>
  <c r="U8204" i="1"/>
  <c r="T8205" i="1"/>
  <c r="U8205" i="1"/>
  <c r="T8206" i="1"/>
  <c r="U8206" i="1"/>
  <c r="T8207" i="1"/>
  <c r="U8207" i="1"/>
  <c r="T8208" i="1"/>
  <c r="U8208" i="1"/>
  <c r="T8209" i="1"/>
  <c r="U8209" i="1"/>
  <c r="T8210" i="1"/>
  <c r="U8210" i="1"/>
  <c r="T8211" i="1"/>
  <c r="U8211" i="1"/>
  <c r="T8212" i="1"/>
  <c r="U8212" i="1"/>
  <c r="T8213" i="1"/>
  <c r="U8213" i="1"/>
  <c r="T8214" i="1"/>
  <c r="U8214" i="1"/>
  <c r="T8215" i="1"/>
  <c r="U8215" i="1"/>
  <c r="T8216" i="1"/>
  <c r="U8216" i="1"/>
  <c r="T8217" i="1"/>
  <c r="U8217" i="1"/>
  <c r="T8218" i="1"/>
  <c r="U8218" i="1"/>
  <c r="T8219" i="1"/>
  <c r="U8219" i="1"/>
  <c r="T8220" i="1"/>
  <c r="U8220" i="1"/>
  <c r="T8221" i="1"/>
  <c r="U8221" i="1"/>
  <c r="T8222" i="1"/>
  <c r="U8222" i="1"/>
  <c r="T8223" i="1"/>
  <c r="U8223" i="1"/>
  <c r="T8224" i="1"/>
  <c r="U8224" i="1"/>
  <c r="T8225" i="1"/>
  <c r="U8225" i="1"/>
  <c r="T8226" i="1"/>
  <c r="U8226" i="1"/>
  <c r="T8227" i="1"/>
  <c r="U8227" i="1"/>
  <c r="T8228" i="1"/>
  <c r="U8228" i="1"/>
  <c r="T8229" i="1"/>
  <c r="U8229" i="1"/>
  <c r="T8230" i="1"/>
  <c r="U8230" i="1"/>
  <c r="T8231" i="1"/>
  <c r="U8231" i="1"/>
  <c r="T8232" i="1"/>
  <c r="U8232" i="1"/>
  <c r="T8233" i="1"/>
  <c r="U8233" i="1"/>
  <c r="T8234" i="1"/>
  <c r="U8234" i="1"/>
  <c r="T8235" i="1"/>
  <c r="U8235" i="1"/>
  <c r="T8236" i="1"/>
  <c r="U8236" i="1"/>
  <c r="T8237" i="1"/>
  <c r="U8237" i="1"/>
  <c r="T8238" i="1"/>
  <c r="U8238" i="1"/>
  <c r="T8239" i="1"/>
  <c r="U8239" i="1"/>
  <c r="T8240" i="1"/>
  <c r="U8240" i="1"/>
  <c r="T8241" i="1"/>
  <c r="U8241" i="1"/>
  <c r="T8242" i="1"/>
  <c r="U8242" i="1"/>
  <c r="T8243" i="1"/>
  <c r="U8243" i="1"/>
  <c r="T8244" i="1"/>
  <c r="U8244" i="1"/>
  <c r="T8245" i="1"/>
  <c r="U8245" i="1"/>
  <c r="T8246" i="1"/>
  <c r="U8246" i="1"/>
  <c r="T8247" i="1"/>
  <c r="U8247" i="1"/>
  <c r="T8248" i="1"/>
  <c r="U8248" i="1"/>
  <c r="T8249" i="1"/>
  <c r="U8249" i="1"/>
  <c r="T8250" i="1"/>
  <c r="U8250" i="1"/>
  <c r="T8251" i="1"/>
  <c r="U8251" i="1"/>
  <c r="T8252" i="1"/>
  <c r="U8252" i="1"/>
  <c r="T8253" i="1"/>
  <c r="U8253" i="1"/>
  <c r="T8254" i="1"/>
  <c r="U8254" i="1"/>
  <c r="T8255" i="1"/>
  <c r="U8255" i="1"/>
  <c r="T8256" i="1"/>
  <c r="U8256" i="1"/>
  <c r="T8257" i="1"/>
  <c r="U8257" i="1"/>
  <c r="T8258" i="1"/>
  <c r="U8258" i="1"/>
  <c r="T8259" i="1"/>
  <c r="U8259" i="1"/>
  <c r="T8260" i="1"/>
  <c r="U8260" i="1"/>
  <c r="T8261" i="1"/>
  <c r="U8261" i="1"/>
  <c r="T8262" i="1"/>
  <c r="U8262" i="1"/>
  <c r="T8263" i="1"/>
  <c r="U8263" i="1"/>
  <c r="T8264" i="1"/>
  <c r="U8264" i="1"/>
  <c r="T8265" i="1"/>
  <c r="U8265" i="1"/>
  <c r="T8266" i="1"/>
  <c r="U8266" i="1"/>
  <c r="T8267" i="1"/>
  <c r="U8267" i="1"/>
  <c r="T8268" i="1"/>
  <c r="U8268" i="1"/>
  <c r="T8269" i="1"/>
  <c r="U8269" i="1"/>
  <c r="T8270" i="1"/>
  <c r="U8270" i="1"/>
  <c r="T8271" i="1"/>
  <c r="U8271" i="1"/>
  <c r="T8272" i="1"/>
  <c r="U8272" i="1"/>
  <c r="T8273" i="1"/>
  <c r="U8273" i="1"/>
  <c r="T8274" i="1"/>
  <c r="U8274" i="1"/>
  <c r="T8275" i="1"/>
  <c r="U8275" i="1"/>
  <c r="T8276" i="1"/>
  <c r="U8276" i="1"/>
  <c r="T8277" i="1"/>
  <c r="U8277" i="1"/>
  <c r="T8278" i="1"/>
  <c r="U8278" i="1"/>
  <c r="T8279" i="1"/>
  <c r="U8279" i="1"/>
  <c r="T8280" i="1"/>
  <c r="U8280" i="1"/>
  <c r="T8281" i="1"/>
  <c r="U8281" i="1"/>
  <c r="T8282" i="1"/>
  <c r="U8282" i="1"/>
  <c r="T8283" i="1"/>
  <c r="U8283" i="1"/>
  <c r="T8284" i="1"/>
  <c r="U8284" i="1"/>
  <c r="T8285" i="1"/>
  <c r="U8285" i="1"/>
  <c r="T8286" i="1"/>
  <c r="U8286" i="1"/>
  <c r="T8287" i="1"/>
  <c r="U8287" i="1"/>
  <c r="T8288" i="1"/>
  <c r="U8288" i="1"/>
  <c r="T8289" i="1"/>
  <c r="U8289" i="1"/>
  <c r="T8290" i="1"/>
  <c r="U8290" i="1"/>
  <c r="T8291" i="1"/>
  <c r="U8291" i="1"/>
  <c r="T8292" i="1"/>
  <c r="U8292" i="1"/>
  <c r="T8293" i="1"/>
  <c r="U8293" i="1"/>
  <c r="T8294" i="1"/>
  <c r="U8294" i="1"/>
  <c r="T8295" i="1"/>
  <c r="U8295" i="1"/>
  <c r="T8296" i="1"/>
  <c r="U8296" i="1"/>
  <c r="T8297" i="1"/>
  <c r="U8297" i="1"/>
  <c r="T8298" i="1"/>
  <c r="U8298" i="1"/>
  <c r="T8299" i="1"/>
  <c r="U8299" i="1"/>
  <c r="T8300" i="1"/>
  <c r="U8300" i="1"/>
  <c r="T8301" i="1"/>
  <c r="U8301" i="1"/>
  <c r="T8302" i="1"/>
  <c r="U8302" i="1"/>
  <c r="T8303" i="1"/>
  <c r="U8303" i="1"/>
  <c r="T8304" i="1"/>
  <c r="U8304" i="1"/>
  <c r="T8305" i="1"/>
  <c r="U8305" i="1"/>
  <c r="T8306" i="1"/>
  <c r="U8306" i="1"/>
  <c r="T8307" i="1"/>
  <c r="U8307" i="1"/>
  <c r="T8308" i="1"/>
  <c r="U8308" i="1"/>
  <c r="T8309" i="1"/>
  <c r="U8309" i="1"/>
  <c r="T8310" i="1"/>
  <c r="U8310" i="1"/>
  <c r="T8311" i="1"/>
  <c r="U8311" i="1"/>
  <c r="T8312" i="1"/>
  <c r="U8312" i="1"/>
  <c r="T8313" i="1"/>
  <c r="U8313" i="1"/>
  <c r="T8314" i="1"/>
  <c r="U8314" i="1"/>
  <c r="T8315" i="1"/>
  <c r="U8315" i="1"/>
  <c r="T8316" i="1"/>
  <c r="U8316" i="1"/>
  <c r="T8317" i="1"/>
  <c r="U8317" i="1"/>
  <c r="T8318" i="1"/>
  <c r="U8318" i="1"/>
  <c r="T8319" i="1"/>
  <c r="U8319" i="1"/>
  <c r="T8320" i="1"/>
  <c r="U8320" i="1"/>
  <c r="T8321" i="1"/>
  <c r="U8321" i="1"/>
  <c r="T8322" i="1"/>
  <c r="U8322" i="1"/>
  <c r="T8323" i="1"/>
  <c r="U8323" i="1"/>
  <c r="T8324" i="1"/>
  <c r="U8324" i="1"/>
  <c r="T8325" i="1"/>
  <c r="U8325" i="1"/>
  <c r="T8326" i="1"/>
  <c r="U8326" i="1"/>
  <c r="T8327" i="1"/>
  <c r="U8327" i="1"/>
  <c r="T8328" i="1"/>
  <c r="U8328" i="1"/>
  <c r="T8329" i="1"/>
  <c r="U8329" i="1"/>
  <c r="T8330" i="1"/>
  <c r="U8330" i="1"/>
  <c r="T8331" i="1"/>
  <c r="U8331" i="1"/>
  <c r="T8332" i="1"/>
  <c r="U8332" i="1"/>
  <c r="T8333" i="1"/>
  <c r="U8333" i="1"/>
  <c r="T8334" i="1"/>
  <c r="U8334" i="1"/>
  <c r="T8335" i="1"/>
  <c r="U8335" i="1"/>
  <c r="T8336" i="1"/>
  <c r="U8336" i="1"/>
  <c r="T8337" i="1"/>
  <c r="U8337" i="1"/>
  <c r="T8338" i="1"/>
  <c r="U8338" i="1"/>
  <c r="T8339" i="1"/>
  <c r="U8339" i="1"/>
  <c r="T8340" i="1"/>
  <c r="U8340" i="1"/>
  <c r="T8341" i="1"/>
  <c r="U8341" i="1"/>
  <c r="T8342" i="1"/>
  <c r="U8342" i="1"/>
  <c r="T8343" i="1"/>
  <c r="U8343" i="1"/>
  <c r="T8344" i="1"/>
  <c r="U8344" i="1"/>
  <c r="T8345" i="1"/>
  <c r="U8345" i="1"/>
  <c r="T8346" i="1"/>
  <c r="U8346" i="1"/>
  <c r="T8347" i="1"/>
  <c r="U8347" i="1"/>
  <c r="T8348" i="1"/>
  <c r="U8348" i="1"/>
  <c r="T8349" i="1"/>
  <c r="U8349" i="1"/>
  <c r="T8350" i="1"/>
  <c r="U8350" i="1"/>
  <c r="T8351" i="1"/>
  <c r="U8351" i="1"/>
  <c r="T8352" i="1"/>
  <c r="U8352" i="1"/>
  <c r="T8353" i="1"/>
  <c r="U8353" i="1"/>
  <c r="T8354" i="1"/>
  <c r="U8354" i="1"/>
  <c r="T8355" i="1"/>
  <c r="U8355" i="1"/>
  <c r="T8356" i="1"/>
  <c r="U8356" i="1"/>
  <c r="T8357" i="1"/>
  <c r="U8357" i="1"/>
  <c r="T8358" i="1"/>
  <c r="U8358" i="1"/>
  <c r="T8359" i="1"/>
  <c r="U8359" i="1"/>
  <c r="T8360" i="1"/>
  <c r="U8360" i="1"/>
  <c r="T8361" i="1"/>
  <c r="U8361" i="1"/>
  <c r="T8362" i="1"/>
  <c r="U8362" i="1"/>
  <c r="T8363" i="1"/>
  <c r="U8363" i="1"/>
  <c r="T8364" i="1"/>
  <c r="U8364" i="1"/>
  <c r="T8365" i="1"/>
  <c r="U8365" i="1"/>
  <c r="T8366" i="1"/>
  <c r="U8366" i="1"/>
  <c r="T8367" i="1"/>
  <c r="U8367" i="1"/>
  <c r="T8368" i="1"/>
  <c r="U8368" i="1"/>
  <c r="T8369" i="1"/>
  <c r="U8369" i="1"/>
  <c r="T8370" i="1"/>
  <c r="U8370" i="1"/>
  <c r="T8371" i="1"/>
  <c r="U8371" i="1"/>
  <c r="T8372" i="1"/>
  <c r="U8372" i="1"/>
  <c r="T8373" i="1"/>
  <c r="U8373" i="1"/>
  <c r="T8374" i="1"/>
  <c r="U8374" i="1"/>
  <c r="T8375" i="1"/>
  <c r="U8375" i="1"/>
  <c r="T8376" i="1"/>
  <c r="U8376" i="1"/>
  <c r="T8377" i="1"/>
  <c r="U8377" i="1"/>
  <c r="T8378" i="1"/>
  <c r="U8378" i="1"/>
  <c r="T8379" i="1"/>
  <c r="U8379" i="1"/>
  <c r="T8380" i="1"/>
  <c r="U8380" i="1"/>
  <c r="T8381" i="1"/>
  <c r="U8381" i="1"/>
  <c r="T8382" i="1"/>
  <c r="U8382" i="1"/>
  <c r="T8383" i="1"/>
  <c r="U8383" i="1"/>
  <c r="T8384" i="1"/>
  <c r="U8384" i="1"/>
  <c r="T8385" i="1"/>
  <c r="U8385" i="1"/>
  <c r="T8386" i="1"/>
  <c r="U8386" i="1"/>
  <c r="T8387" i="1"/>
  <c r="U8387" i="1"/>
  <c r="T8388" i="1"/>
  <c r="U8388" i="1"/>
  <c r="T8389" i="1"/>
  <c r="U8389" i="1"/>
  <c r="T8390" i="1"/>
  <c r="U8390" i="1"/>
  <c r="T8391" i="1"/>
  <c r="U8391" i="1"/>
  <c r="T8392" i="1"/>
  <c r="U8392" i="1"/>
  <c r="T8393" i="1"/>
  <c r="U8393" i="1"/>
  <c r="T8394" i="1"/>
  <c r="U8394" i="1"/>
  <c r="T8395" i="1"/>
  <c r="U8395" i="1"/>
  <c r="T8396" i="1"/>
  <c r="U8396" i="1"/>
  <c r="T8397" i="1"/>
  <c r="U8397" i="1"/>
  <c r="T8398" i="1"/>
  <c r="U8398" i="1"/>
  <c r="T8399" i="1"/>
  <c r="U8399" i="1"/>
  <c r="T8400" i="1"/>
  <c r="U8400" i="1"/>
  <c r="T8401" i="1"/>
  <c r="U8401" i="1"/>
  <c r="T8402" i="1"/>
  <c r="U8402" i="1"/>
  <c r="T8403" i="1"/>
  <c r="U8403" i="1"/>
  <c r="T8404" i="1"/>
  <c r="U8404" i="1"/>
  <c r="T8405" i="1"/>
  <c r="U8405" i="1"/>
  <c r="T8406" i="1"/>
  <c r="U8406" i="1"/>
  <c r="T8407" i="1"/>
  <c r="U8407" i="1"/>
  <c r="T8408" i="1"/>
  <c r="U8408" i="1"/>
  <c r="T8409" i="1"/>
  <c r="U8409" i="1"/>
  <c r="T8410" i="1"/>
  <c r="U8410" i="1"/>
  <c r="T8411" i="1"/>
  <c r="U8411" i="1"/>
  <c r="T8412" i="1"/>
  <c r="U8412" i="1"/>
  <c r="T8413" i="1"/>
  <c r="U8413" i="1"/>
  <c r="T8414" i="1"/>
  <c r="U8414" i="1"/>
  <c r="T8415" i="1"/>
  <c r="U8415" i="1"/>
  <c r="T8416" i="1"/>
  <c r="U8416" i="1"/>
  <c r="T8417" i="1"/>
  <c r="U8417" i="1"/>
  <c r="T8418" i="1"/>
  <c r="U8418" i="1"/>
  <c r="T8419" i="1"/>
  <c r="U8419" i="1"/>
  <c r="T8420" i="1"/>
  <c r="U8420" i="1"/>
  <c r="T8421" i="1"/>
  <c r="U8421" i="1"/>
  <c r="T8422" i="1"/>
  <c r="U8422" i="1"/>
  <c r="T8423" i="1"/>
  <c r="U8423" i="1"/>
  <c r="T8424" i="1"/>
  <c r="U8424" i="1"/>
  <c r="T8425" i="1"/>
  <c r="U8425" i="1"/>
  <c r="T8426" i="1"/>
  <c r="U8426"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6" i="1"/>
  <c r="U8446" i="1"/>
  <c r="T8447" i="1"/>
  <c r="U8447" i="1"/>
  <c r="T8448" i="1"/>
  <c r="U8448" i="1"/>
  <c r="T8449" i="1"/>
  <c r="U8449" i="1"/>
  <c r="T8450" i="1"/>
  <c r="U8450" i="1"/>
  <c r="T8451" i="1"/>
  <c r="U8451" i="1"/>
  <c r="T8452" i="1"/>
  <c r="U8452" i="1"/>
  <c r="T8453" i="1"/>
  <c r="U8453" i="1"/>
  <c r="T8454" i="1"/>
  <c r="U8454" i="1"/>
  <c r="T8455" i="1"/>
  <c r="U8455" i="1"/>
  <c r="T8456" i="1"/>
  <c r="U8456" i="1"/>
  <c r="T8457" i="1"/>
  <c r="U8457" i="1"/>
  <c r="T8458" i="1"/>
  <c r="U8458" i="1"/>
  <c r="T8459" i="1"/>
  <c r="U8459" i="1"/>
  <c r="T8460" i="1"/>
  <c r="U8460" i="1"/>
  <c r="T8461" i="1"/>
  <c r="U8461" i="1"/>
  <c r="T8462" i="1"/>
  <c r="U8462" i="1"/>
  <c r="T8463" i="1"/>
  <c r="U8463" i="1"/>
  <c r="T8464" i="1"/>
  <c r="U8464" i="1"/>
  <c r="T8465" i="1"/>
  <c r="U8465" i="1"/>
  <c r="T8466" i="1"/>
  <c r="U8466" i="1"/>
  <c r="T8467" i="1"/>
  <c r="U8467" i="1"/>
  <c r="T8468" i="1"/>
  <c r="U8468" i="1"/>
  <c r="T8469" i="1"/>
  <c r="U8469" i="1"/>
  <c r="T8470" i="1"/>
  <c r="U8470" i="1"/>
  <c r="T8471" i="1"/>
  <c r="U8471" i="1"/>
  <c r="T8472" i="1"/>
  <c r="U8472" i="1"/>
  <c r="T8473" i="1"/>
  <c r="U8473" i="1"/>
  <c r="T8474" i="1"/>
  <c r="U8474" i="1"/>
  <c r="T8475" i="1"/>
  <c r="U8475" i="1"/>
  <c r="T8476" i="1"/>
  <c r="U8476" i="1"/>
  <c r="T8477" i="1"/>
  <c r="U8477" i="1"/>
  <c r="T8478" i="1"/>
  <c r="U8478" i="1"/>
  <c r="T8479" i="1"/>
  <c r="U8479" i="1"/>
  <c r="T8480" i="1"/>
  <c r="U8480" i="1"/>
  <c r="T8481" i="1"/>
  <c r="U8481" i="1"/>
  <c r="T8482" i="1"/>
  <c r="U8482" i="1"/>
  <c r="T8483" i="1"/>
  <c r="U8483" i="1"/>
  <c r="T8484" i="1"/>
  <c r="U8484" i="1"/>
  <c r="T8485" i="1"/>
  <c r="U8485" i="1"/>
  <c r="T8486" i="1"/>
  <c r="U8486" i="1"/>
  <c r="T8487" i="1"/>
  <c r="U8487" i="1"/>
  <c r="T8488" i="1"/>
  <c r="U8488" i="1"/>
  <c r="T8489" i="1"/>
  <c r="U8489" i="1"/>
  <c r="T8490" i="1"/>
  <c r="U8490" i="1"/>
  <c r="T8491" i="1"/>
  <c r="U8491" i="1"/>
  <c r="T8492" i="1"/>
  <c r="U8492" i="1"/>
  <c r="T8493" i="1"/>
  <c r="U8493" i="1"/>
  <c r="T8494" i="1"/>
  <c r="U8494" i="1"/>
  <c r="T8495" i="1"/>
  <c r="U8495" i="1"/>
  <c r="T8496" i="1"/>
  <c r="U8496" i="1"/>
  <c r="T8497" i="1"/>
  <c r="U8497" i="1"/>
  <c r="T8498" i="1"/>
  <c r="U8498" i="1"/>
  <c r="T8499" i="1"/>
  <c r="U8499" i="1"/>
  <c r="T8500" i="1"/>
  <c r="U8500" i="1"/>
  <c r="T8501" i="1"/>
  <c r="U8501" i="1"/>
  <c r="T8502" i="1"/>
  <c r="U8502" i="1"/>
  <c r="T8503" i="1"/>
  <c r="U8503" i="1"/>
  <c r="T8504" i="1"/>
  <c r="U8504" i="1"/>
  <c r="T8505" i="1"/>
  <c r="U8505" i="1"/>
  <c r="T8506" i="1"/>
  <c r="U8506" i="1"/>
  <c r="T8507" i="1"/>
  <c r="U8507" i="1"/>
  <c r="T8508" i="1"/>
  <c r="U8508" i="1"/>
  <c r="T8509" i="1"/>
  <c r="U8509" i="1"/>
  <c r="T8510" i="1"/>
  <c r="U8510" i="1"/>
  <c r="T8511" i="1"/>
  <c r="U8511" i="1"/>
  <c r="T8512" i="1"/>
  <c r="U8512" i="1"/>
  <c r="T8513" i="1"/>
  <c r="U8513" i="1"/>
  <c r="T8514" i="1"/>
  <c r="U8514" i="1"/>
  <c r="T8515" i="1"/>
  <c r="U8515" i="1"/>
  <c r="T8516" i="1"/>
  <c r="U8516" i="1"/>
  <c r="T8517" i="1"/>
  <c r="U8517" i="1"/>
  <c r="T8518" i="1"/>
  <c r="U8518" i="1"/>
  <c r="T8519" i="1"/>
  <c r="U8519" i="1"/>
  <c r="T8520" i="1"/>
  <c r="U8520" i="1"/>
  <c r="T8521" i="1"/>
  <c r="U8521" i="1"/>
  <c r="T8522" i="1"/>
  <c r="U8522" i="1"/>
  <c r="T8523" i="1"/>
  <c r="U8523" i="1"/>
  <c r="T8524" i="1"/>
  <c r="U8524" i="1"/>
  <c r="T8525" i="1"/>
  <c r="U8525" i="1"/>
  <c r="T8526" i="1"/>
  <c r="U8526" i="1"/>
  <c r="T8527" i="1"/>
  <c r="U8527" i="1"/>
  <c r="T8528" i="1"/>
  <c r="U8528" i="1"/>
  <c r="T8529" i="1"/>
  <c r="U8529" i="1"/>
  <c r="T8530" i="1"/>
  <c r="U8530" i="1"/>
  <c r="T8531" i="1"/>
  <c r="U8531" i="1"/>
  <c r="T8532" i="1"/>
  <c r="U8532" i="1"/>
  <c r="T8533" i="1"/>
  <c r="U8533" i="1"/>
  <c r="T8534" i="1"/>
  <c r="U8534" i="1"/>
  <c r="T8535" i="1"/>
  <c r="U8535" i="1"/>
  <c r="T8536" i="1"/>
  <c r="U8536" i="1"/>
  <c r="T8537" i="1"/>
  <c r="U8537" i="1"/>
  <c r="T8538" i="1"/>
  <c r="U8538" i="1"/>
  <c r="T8539" i="1"/>
  <c r="U8539" i="1"/>
  <c r="T8540" i="1"/>
  <c r="U8540" i="1"/>
  <c r="T8541" i="1"/>
  <c r="U8541" i="1"/>
  <c r="T8542" i="1"/>
  <c r="U8542" i="1"/>
  <c r="T8543" i="1"/>
  <c r="U8543" i="1"/>
  <c r="T8544" i="1"/>
  <c r="U8544" i="1"/>
  <c r="T8545" i="1"/>
  <c r="U8545" i="1"/>
  <c r="T8546" i="1"/>
  <c r="U8546" i="1"/>
  <c r="T8547" i="1"/>
  <c r="U8547" i="1"/>
  <c r="T8548" i="1"/>
  <c r="U8548" i="1"/>
  <c r="T8549" i="1"/>
  <c r="U8549" i="1"/>
  <c r="T8550" i="1"/>
  <c r="U8550" i="1"/>
  <c r="T8551" i="1"/>
  <c r="U8551" i="1"/>
  <c r="T8552" i="1"/>
  <c r="U8552" i="1"/>
  <c r="T8553" i="1"/>
  <c r="U8553" i="1"/>
  <c r="T8554" i="1"/>
  <c r="U8554" i="1"/>
  <c r="T8555" i="1"/>
  <c r="U8555" i="1"/>
  <c r="T8556" i="1"/>
  <c r="U8556" i="1"/>
  <c r="T8557" i="1"/>
  <c r="U8557" i="1"/>
  <c r="T8558" i="1"/>
  <c r="U8558" i="1"/>
  <c r="T8559" i="1"/>
  <c r="U8559" i="1"/>
  <c r="T8560" i="1"/>
  <c r="U8560" i="1"/>
  <c r="T8561" i="1"/>
  <c r="U8561" i="1"/>
  <c r="T8562" i="1"/>
  <c r="U8562" i="1"/>
  <c r="T8563" i="1"/>
  <c r="U8563" i="1"/>
  <c r="T8564" i="1"/>
  <c r="U8564" i="1"/>
  <c r="T8565" i="1"/>
  <c r="U8565" i="1"/>
  <c r="T8566" i="1"/>
  <c r="U8566" i="1"/>
  <c r="T8567" i="1"/>
  <c r="U8567" i="1"/>
  <c r="T8568" i="1"/>
  <c r="U8568" i="1"/>
  <c r="T8569" i="1"/>
  <c r="U8569" i="1"/>
  <c r="T8570" i="1"/>
  <c r="U8570" i="1"/>
  <c r="T8571" i="1"/>
  <c r="U8571" i="1"/>
  <c r="T8572" i="1"/>
  <c r="U8572" i="1"/>
  <c r="T8573" i="1"/>
  <c r="U8573" i="1"/>
  <c r="T8574" i="1"/>
  <c r="U8574" i="1"/>
  <c r="T8575" i="1"/>
  <c r="U8575" i="1"/>
  <c r="T8576" i="1"/>
  <c r="U8576" i="1"/>
  <c r="T8577" i="1"/>
  <c r="U8577" i="1"/>
  <c r="T8578" i="1"/>
  <c r="U8578" i="1"/>
  <c r="T8579" i="1"/>
  <c r="U8579" i="1"/>
  <c r="T8580" i="1"/>
  <c r="U8580" i="1"/>
  <c r="T8581" i="1"/>
  <c r="U8581" i="1"/>
  <c r="T8582" i="1"/>
  <c r="U8582" i="1"/>
  <c r="T8583" i="1"/>
  <c r="U8583" i="1"/>
  <c r="T8584" i="1"/>
  <c r="U8584" i="1"/>
  <c r="T8585" i="1"/>
  <c r="U8585" i="1"/>
  <c r="T8586" i="1"/>
  <c r="U8586" i="1"/>
  <c r="T8587" i="1"/>
  <c r="U8587" i="1"/>
  <c r="T8588" i="1"/>
  <c r="U8588" i="1"/>
  <c r="T8589" i="1"/>
  <c r="U8589" i="1"/>
  <c r="T8590" i="1"/>
  <c r="U8590" i="1"/>
  <c r="T8591" i="1"/>
  <c r="U8591" i="1"/>
  <c r="T8592" i="1"/>
  <c r="U8592" i="1"/>
  <c r="T8593" i="1"/>
  <c r="U8593" i="1"/>
  <c r="T8594" i="1"/>
  <c r="U8594" i="1"/>
  <c r="T8595" i="1"/>
  <c r="U8595" i="1"/>
  <c r="T8596" i="1"/>
  <c r="U8596" i="1"/>
  <c r="T8597" i="1"/>
  <c r="U8597" i="1"/>
  <c r="T8598" i="1"/>
  <c r="U8598" i="1"/>
  <c r="T8599" i="1"/>
  <c r="U8599" i="1"/>
  <c r="T8600" i="1"/>
  <c r="U8600" i="1"/>
  <c r="T8601" i="1"/>
  <c r="U8601" i="1"/>
  <c r="T8602" i="1"/>
  <c r="U8602" i="1"/>
  <c r="T8603" i="1"/>
  <c r="U8603" i="1"/>
  <c r="T8604" i="1"/>
  <c r="U8604" i="1"/>
  <c r="T8605" i="1"/>
  <c r="U8605" i="1"/>
  <c r="T8606" i="1"/>
  <c r="U8606" i="1"/>
  <c r="T8607" i="1"/>
  <c r="U8607" i="1"/>
  <c r="T8608" i="1"/>
  <c r="U8608" i="1"/>
  <c r="T8609" i="1"/>
  <c r="U8609" i="1"/>
  <c r="T8610" i="1"/>
  <c r="U8610" i="1"/>
  <c r="T8611" i="1"/>
  <c r="U8611" i="1"/>
  <c r="T8612" i="1"/>
  <c r="U8612" i="1"/>
  <c r="T8613" i="1"/>
  <c r="U8613" i="1"/>
  <c r="T8614" i="1"/>
  <c r="U8614" i="1"/>
  <c r="T8615" i="1"/>
  <c r="U8615" i="1"/>
  <c r="T8616" i="1"/>
  <c r="U8616" i="1"/>
  <c r="T8617" i="1"/>
  <c r="U8617" i="1"/>
  <c r="T8618" i="1"/>
  <c r="U8618"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46" i="1"/>
  <c r="U8646" i="1"/>
  <c r="T8647" i="1"/>
  <c r="U8647" i="1"/>
  <c r="T8648" i="1"/>
  <c r="U8648" i="1"/>
  <c r="T8649" i="1"/>
  <c r="U8649" i="1"/>
  <c r="T8650" i="1"/>
  <c r="U8650" i="1"/>
  <c r="T8651" i="1"/>
  <c r="U8651" i="1"/>
  <c r="T8652" i="1"/>
  <c r="U8652" i="1"/>
  <c r="T8653" i="1"/>
  <c r="U8653" i="1"/>
  <c r="T8654" i="1"/>
  <c r="U8654" i="1"/>
  <c r="T8655" i="1"/>
  <c r="U8655" i="1"/>
  <c r="T8656" i="1"/>
  <c r="U8656" i="1"/>
  <c r="T8657" i="1"/>
  <c r="U8657" i="1"/>
  <c r="T8658" i="1"/>
  <c r="U8658" i="1"/>
  <c r="T8659" i="1"/>
  <c r="U8659" i="1"/>
  <c r="T8660" i="1"/>
  <c r="U8660" i="1"/>
  <c r="T8661" i="1"/>
  <c r="U8661" i="1"/>
  <c r="T8662" i="1"/>
  <c r="U8662" i="1"/>
  <c r="T8663" i="1"/>
  <c r="U8663" i="1"/>
  <c r="T8664" i="1"/>
  <c r="U8664" i="1"/>
  <c r="T8665" i="1"/>
  <c r="U8665" i="1"/>
  <c r="T8666" i="1"/>
  <c r="U8666" i="1"/>
  <c r="T8667" i="1"/>
  <c r="U8667" i="1"/>
  <c r="T8668" i="1"/>
  <c r="U8668" i="1"/>
  <c r="T8669" i="1"/>
  <c r="U8669" i="1"/>
  <c r="T8670" i="1"/>
  <c r="U8670" i="1"/>
  <c r="T8671" i="1"/>
  <c r="U8671" i="1"/>
  <c r="T8672" i="1"/>
  <c r="U8672" i="1"/>
  <c r="T8673" i="1"/>
  <c r="U8673" i="1"/>
  <c r="T8674" i="1"/>
  <c r="U8674" i="1"/>
  <c r="T8675" i="1"/>
  <c r="U8675" i="1"/>
  <c r="T8676" i="1"/>
  <c r="U8676" i="1"/>
  <c r="T8677" i="1"/>
  <c r="U8677" i="1"/>
  <c r="T8678" i="1"/>
  <c r="U8678" i="1"/>
  <c r="T8679" i="1"/>
  <c r="U8679" i="1"/>
  <c r="T8680" i="1"/>
  <c r="U8680" i="1"/>
  <c r="T8681" i="1"/>
  <c r="U8681" i="1"/>
  <c r="T8682" i="1"/>
  <c r="U8682" i="1"/>
  <c r="T8683" i="1"/>
  <c r="U8683" i="1"/>
  <c r="T8684" i="1"/>
  <c r="U8684" i="1"/>
  <c r="T8685" i="1"/>
  <c r="U8685" i="1"/>
  <c r="T8686" i="1"/>
  <c r="U8686" i="1"/>
  <c r="T8687" i="1"/>
  <c r="U8687" i="1"/>
  <c r="T8688" i="1"/>
  <c r="U8688" i="1"/>
  <c r="T8689" i="1"/>
  <c r="U8689" i="1"/>
  <c r="T8690" i="1"/>
  <c r="U8690" i="1"/>
  <c r="T8691" i="1"/>
  <c r="U8691" i="1"/>
  <c r="T8692" i="1"/>
  <c r="U8692" i="1"/>
  <c r="T8693" i="1"/>
  <c r="U8693" i="1"/>
  <c r="T8694" i="1"/>
  <c r="U8694" i="1"/>
  <c r="T8695" i="1"/>
  <c r="U8695" i="1"/>
  <c r="T8696" i="1"/>
  <c r="U8696" i="1"/>
  <c r="T8697" i="1"/>
  <c r="U8697" i="1"/>
  <c r="T8698" i="1"/>
  <c r="U8698" i="1"/>
  <c r="T8699" i="1"/>
  <c r="U8699" i="1"/>
  <c r="T8700" i="1"/>
  <c r="U8700" i="1"/>
  <c r="T8701" i="1"/>
  <c r="U8701" i="1"/>
  <c r="T8702" i="1"/>
  <c r="U8702" i="1"/>
  <c r="T8703" i="1"/>
  <c r="U8703" i="1"/>
  <c r="T8704" i="1"/>
  <c r="U8704" i="1"/>
  <c r="T8705" i="1"/>
  <c r="U8705" i="1"/>
  <c r="T8706" i="1"/>
  <c r="U8706" i="1"/>
  <c r="T8707" i="1"/>
  <c r="U8707" i="1"/>
  <c r="T8708" i="1"/>
  <c r="U8708" i="1"/>
  <c r="T8709" i="1"/>
  <c r="U8709" i="1"/>
  <c r="T8710" i="1"/>
  <c r="U8710" i="1"/>
  <c r="T8711" i="1"/>
  <c r="U8711" i="1"/>
  <c r="T8712" i="1"/>
  <c r="U8712" i="1"/>
  <c r="T8713" i="1"/>
  <c r="U8713" i="1"/>
  <c r="T8714" i="1"/>
  <c r="U8714" i="1"/>
  <c r="T8715" i="1"/>
  <c r="U8715" i="1"/>
  <c r="T8716" i="1"/>
  <c r="U8716" i="1"/>
  <c r="T8717" i="1"/>
  <c r="U8717" i="1"/>
  <c r="T8718" i="1"/>
  <c r="U8718" i="1"/>
  <c r="T8719" i="1"/>
  <c r="U8719" i="1"/>
  <c r="T8720" i="1"/>
  <c r="U8720" i="1"/>
  <c r="T8721" i="1"/>
  <c r="U8721" i="1"/>
  <c r="T8722" i="1"/>
  <c r="U8722" i="1"/>
  <c r="T8723" i="1"/>
  <c r="U8723" i="1"/>
  <c r="T8724" i="1"/>
  <c r="U8724" i="1"/>
  <c r="T8725" i="1"/>
  <c r="U8725" i="1"/>
  <c r="T8726" i="1"/>
  <c r="U8726" i="1"/>
  <c r="T8727" i="1"/>
  <c r="U8727" i="1"/>
  <c r="T8728" i="1"/>
  <c r="U8728" i="1"/>
  <c r="T8729" i="1"/>
  <c r="U8729" i="1"/>
  <c r="T8730" i="1"/>
  <c r="U8730" i="1"/>
  <c r="T8731" i="1"/>
  <c r="U8731" i="1"/>
  <c r="T8732" i="1"/>
  <c r="U8732" i="1"/>
  <c r="T8733" i="1"/>
  <c r="U8733" i="1"/>
  <c r="T8734" i="1"/>
  <c r="U8734" i="1"/>
  <c r="T8735" i="1"/>
  <c r="U8735" i="1"/>
  <c r="T8736" i="1"/>
  <c r="U8736" i="1"/>
  <c r="T8737" i="1"/>
  <c r="U8737" i="1"/>
  <c r="T8738" i="1"/>
  <c r="U8738" i="1"/>
  <c r="T8739" i="1"/>
  <c r="U8739" i="1"/>
  <c r="T8740" i="1"/>
  <c r="U8740" i="1"/>
  <c r="T8741" i="1"/>
  <c r="U8741" i="1"/>
  <c r="T8742" i="1"/>
  <c r="U8742" i="1"/>
  <c r="T8743" i="1"/>
  <c r="U8743" i="1"/>
  <c r="T8744" i="1"/>
  <c r="U8744" i="1"/>
  <c r="T8745" i="1"/>
  <c r="U8745" i="1"/>
  <c r="T8746" i="1"/>
  <c r="U8746" i="1"/>
  <c r="T8747" i="1"/>
  <c r="U8747" i="1"/>
  <c r="T8748" i="1"/>
  <c r="U8748" i="1"/>
  <c r="T8749" i="1"/>
  <c r="U8749" i="1"/>
  <c r="T8750" i="1"/>
  <c r="U8750" i="1"/>
  <c r="T8751" i="1"/>
  <c r="U8751" i="1"/>
  <c r="T8752" i="1"/>
  <c r="U8752" i="1"/>
  <c r="T8753" i="1"/>
  <c r="U8753" i="1"/>
  <c r="T8754" i="1"/>
  <c r="U8754" i="1"/>
  <c r="T8755" i="1"/>
  <c r="U8755" i="1"/>
  <c r="T8756" i="1"/>
  <c r="U8756" i="1"/>
  <c r="T8757" i="1"/>
  <c r="U8757" i="1"/>
  <c r="T8758" i="1"/>
  <c r="U8758" i="1"/>
  <c r="T8759" i="1"/>
  <c r="U8759" i="1"/>
  <c r="T8760" i="1"/>
  <c r="U8760" i="1"/>
  <c r="T8761" i="1"/>
  <c r="U8761" i="1"/>
  <c r="T8762" i="1"/>
  <c r="U8762" i="1"/>
  <c r="T8763" i="1"/>
  <c r="U8763" i="1"/>
  <c r="T8764" i="1"/>
  <c r="U8764" i="1"/>
  <c r="T8765" i="1"/>
  <c r="U8765" i="1"/>
  <c r="T8766" i="1"/>
  <c r="U8766" i="1"/>
  <c r="T8767" i="1"/>
  <c r="U8767" i="1"/>
  <c r="T8768" i="1"/>
  <c r="U8768" i="1"/>
  <c r="T8769" i="1"/>
  <c r="U8769" i="1"/>
  <c r="T8770" i="1"/>
  <c r="U8770" i="1"/>
  <c r="T8771" i="1"/>
  <c r="U8771" i="1"/>
  <c r="T8772" i="1"/>
  <c r="U8772" i="1"/>
  <c r="T8773" i="1"/>
  <c r="U8773" i="1"/>
  <c r="T8774" i="1"/>
  <c r="U8774" i="1"/>
  <c r="T8775" i="1"/>
  <c r="U8775" i="1"/>
  <c r="T8776" i="1"/>
  <c r="U8776" i="1"/>
  <c r="T8777" i="1"/>
  <c r="U8777" i="1"/>
  <c r="T8778" i="1"/>
  <c r="U8778" i="1"/>
  <c r="T8779" i="1"/>
  <c r="U8779" i="1"/>
  <c r="T8780" i="1"/>
  <c r="U8780" i="1"/>
  <c r="T8781" i="1"/>
  <c r="U8781" i="1"/>
  <c r="T8782" i="1"/>
  <c r="U8782" i="1"/>
  <c r="T8783" i="1"/>
  <c r="U8783" i="1"/>
  <c r="T8784" i="1"/>
  <c r="U8784" i="1"/>
  <c r="T8785" i="1"/>
  <c r="U8785" i="1"/>
  <c r="T8786" i="1"/>
  <c r="U8786" i="1"/>
  <c r="T8787" i="1"/>
  <c r="U8787" i="1"/>
  <c r="T8788" i="1"/>
  <c r="U8788" i="1"/>
  <c r="T8789" i="1"/>
  <c r="U8789" i="1"/>
  <c r="T8790" i="1"/>
  <c r="U8790" i="1"/>
  <c r="T8791" i="1"/>
  <c r="U8791" i="1"/>
  <c r="T8792" i="1"/>
  <c r="U8792" i="1"/>
  <c r="T8793" i="1"/>
  <c r="U8793" i="1"/>
  <c r="T8794" i="1"/>
  <c r="U8794" i="1"/>
  <c r="T8795" i="1"/>
  <c r="U8795" i="1"/>
  <c r="T8796" i="1"/>
  <c r="U8796" i="1"/>
  <c r="T8797" i="1"/>
  <c r="U8797" i="1"/>
  <c r="T8798" i="1"/>
  <c r="U8798" i="1"/>
  <c r="T8799" i="1"/>
  <c r="U8799" i="1"/>
  <c r="T8800" i="1"/>
  <c r="U8800" i="1"/>
  <c r="T8801" i="1"/>
  <c r="U8801" i="1"/>
  <c r="T8802" i="1"/>
  <c r="U8802" i="1"/>
  <c r="T8803" i="1"/>
  <c r="U8803" i="1"/>
  <c r="T8804" i="1"/>
  <c r="U8804" i="1"/>
  <c r="T8805" i="1"/>
  <c r="U8805" i="1"/>
  <c r="T8806" i="1"/>
  <c r="U8806" i="1"/>
  <c r="T8807" i="1"/>
  <c r="U8807" i="1"/>
  <c r="T8808" i="1"/>
  <c r="U8808" i="1"/>
  <c r="T8809" i="1"/>
  <c r="U8809" i="1"/>
  <c r="T8810" i="1"/>
  <c r="U8810" i="1"/>
  <c r="T8811" i="1"/>
  <c r="U8811" i="1"/>
  <c r="T8812" i="1"/>
  <c r="U8812" i="1"/>
  <c r="T8813" i="1"/>
  <c r="U8813" i="1"/>
  <c r="T8814" i="1"/>
  <c r="U8814" i="1"/>
  <c r="T8815" i="1"/>
  <c r="U8815" i="1"/>
  <c r="T8816" i="1"/>
  <c r="U8816" i="1"/>
  <c r="T8817" i="1"/>
  <c r="U8817" i="1"/>
  <c r="T8818" i="1"/>
  <c r="U8818" i="1"/>
  <c r="T8819" i="1"/>
  <c r="U8819" i="1"/>
  <c r="T8820" i="1"/>
  <c r="U8820" i="1"/>
  <c r="T8821" i="1"/>
  <c r="U8821" i="1"/>
  <c r="T8822" i="1"/>
  <c r="U8822" i="1"/>
  <c r="T8823" i="1"/>
  <c r="U8823" i="1"/>
  <c r="T8824" i="1"/>
  <c r="U8824" i="1"/>
  <c r="T8825" i="1"/>
  <c r="U8825" i="1"/>
  <c r="T8826" i="1"/>
  <c r="U8826" i="1"/>
  <c r="T8827" i="1"/>
  <c r="U8827" i="1"/>
  <c r="T8828" i="1"/>
  <c r="U8828" i="1"/>
  <c r="T8829" i="1"/>
  <c r="U8829" i="1"/>
  <c r="T8830" i="1"/>
  <c r="U8830" i="1"/>
  <c r="T8831" i="1"/>
  <c r="U8831" i="1"/>
  <c r="T8832" i="1"/>
  <c r="U8832" i="1"/>
  <c r="T8833" i="1"/>
  <c r="U8833" i="1"/>
  <c r="T8834" i="1"/>
  <c r="U8834" i="1"/>
  <c r="T8835" i="1"/>
  <c r="U8835" i="1"/>
  <c r="T8836" i="1"/>
  <c r="U8836" i="1"/>
  <c r="T8837" i="1"/>
  <c r="U8837" i="1"/>
  <c r="T8838" i="1"/>
  <c r="U8838" i="1"/>
  <c r="T8839" i="1"/>
  <c r="U8839" i="1"/>
  <c r="T8840" i="1"/>
  <c r="U8840" i="1"/>
  <c r="T8841" i="1"/>
  <c r="U8841" i="1"/>
  <c r="T8842" i="1"/>
  <c r="U8842" i="1"/>
  <c r="T8843" i="1"/>
  <c r="U8843" i="1"/>
  <c r="T8844" i="1"/>
  <c r="U8844" i="1"/>
  <c r="T8845" i="1"/>
  <c r="U8845" i="1"/>
  <c r="T8846" i="1"/>
  <c r="U8846" i="1"/>
  <c r="T8847" i="1"/>
  <c r="U8847" i="1"/>
  <c r="T8848" i="1"/>
  <c r="U8848" i="1"/>
  <c r="T8849" i="1"/>
  <c r="U8849" i="1"/>
  <c r="T8850" i="1"/>
  <c r="U8850" i="1"/>
  <c r="T8851" i="1"/>
  <c r="U8851" i="1"/>
  <c r="T8852" i="1"/>
  <c r="U8852" i="1"/>
  <c r="T8853" i="1"/>
  <c r="U8853" i="1"/>
  <c r="T8854" i="1"/>
  <c r="U8854" i="1"/>
  <c r="T8855" i="1"/>
  <c r="U8855" i="1"/>
  <c r="T8856" i="1"/>
  <c r="U8856" i="1"/>
  <c r="T8857" i="1"/>
  <c r="U8857" i="1"/>
  <c r="T8858" i="1"/>
  <c r="U8858" i="1"/>
  <c r="T8859" i="1"/>
  <c r="U8859" i="1"/>
  <c r="T8860" i="1"/>
  <c r="U8860" i="1"/>
  <c r="T8861" i="1"/>
  <c r="U8861" i="1"/>
  <c r="T8862" i="1"/>
  <c r="U8862" i="1"/>
  <c r="T8863" i="1"/>
  <c r="U8863" i="1"/>
  <c r="T8864" i="1"/>
  <c r="U8864" i="1"/>
  <c r="T8865" i="1"/>
  <c r="U8865" i="1"/>
  <c r="T8866" i="1"/>
  <c r="U8866" i="1"/>
  <c r="T8867" i="1"/>
  <c r="U8867" i="1"/>
  <c r="T8868" i="1"/>
  <c r="U8868" i="1"/>
  <c r="T8869" i="1"/>
  <c r="U8869" i="1"/>
  <c r="T8870" i="1"/>
  <c r="U8870" i="1"/>
  <c r="T8871" i="1"/>
  <c r="U8871" i="1"/>
  <c r="T8872" i="1"/>
  <c r="U8872" i="1"/>
  <c r="T8873" i="1"/>
  <c r="U8873" i="1"/>
  <c r="T8874" i="1"/>
  <c r="U8874" i="1"/>
  <c r="T8875" i="1"/>
  <c r="U8875" i="1"/>
  <c r="T8876" i="1"/>
  <c r="U8876" i="1"/>
  <c r="T8877" i="1"/>
  <c r="U8877" i="1"/>
  <c r="T8878" i="1"/>
  <c r="U8878" i="1"/>
  <c r="T8879" i="1"/>
  <c r="U8879" i="1"/>
  <c r="T8880" i="1"/>
  <c r="U8880" i="1"/>
  <c r="T8881" i="1"/>
  <c r="U8881" i="1"/>
  <c r="T8882" i="1"/>
  <c r="U8882" i="1"/>
  <c r="T8883" i="1"/>
  <c r="U8883" i="1"/>
  <c r="T8884" i="1"/>
  <c r="U8884" i="1"/>
  <c r="T8885" i="1"/>
  <c r="U8885" i="1"/>
  <c r="T8886" i="1"/>
  <c r="U8886" i="1"/>
  <c r="T8887" i="1"/>
  <c r="U8887" i="1"/>
  <c r="T8888" i="1"/>
  <c r="U8888" i="1"/>
  <c r="T8889" i="1"/>
  <c r="U8889" i="1"/>
  <c r="T8890" i="1"/>
  <c r="U8890" i="1"/>
  <c r="T8891" i="1"/>
  <c r="U8891" i="1"/>
  <c r="T8892" i="1"/>
  <c r="U8892" i="1"/>
  <c r="T8893" i="1"/>
  <c r="U8893" i="1"/>
  <c r="T8894" i="1"/>
  <c r="U8894" i="1"/>
  <c r="T8895" i="1"/>
  <c r="U8895" i="1"/>
  <c r="T8896" i="1"/>
  <c r="U8896" i="1"/>
  <c r="T8897" i="1"/>
  <c r="U8897" i="1"/>
  <c r="T8898" i="1"/>
  <c r="U8898" i="1"/>
  <c r="T8899" i="1"/>
  <c r="U8899" i="1"/>
  <c r="T8900" i="1"/>
  <c r="U8900" i="1"/>
  <c r="T8901" i="1"/>
  <c r="U8901" i="1"/>
  <c r="T8902" i="1"/>
  <c r="U8902" i="1"/>
  <c r="T8903" i="1"/>
  <c r="U8903" i="1"/>
  <c r="T8904" i="1"/>
  <c r="U8904" i="1"/>
  <c r="T8905" i="1"/>
  <c r="U8905" i="1"/>
  <c r="T8906" i="1"/>
  <c r="U8906" i="1"/>
  <c r="T8907" i="1"/>
  <c r="U8907" i="1"/>
  <c r="T8908" i="1"/>
  <c r="U8908" i="1"/>
  <c r="T8909" i="1"/>
  <c r="U8909" i="1"/>
  <c r="T8910" i="1"/>
  <c r="U8910" i="1"/>
  <c r="T8911" i="1"/>
  <c r="U8911" i="1"/>
  <c r="T8912" i="1"/>
  <c r="U8912" i="1"/>
  <c r="T8913" i="1"/>
  <c r="U8913" i="1"/>
  <c r="T8914" i="1"/>
  <c r="U8914" i="1"/>
  <c r="T8915" i="1"/>
  <c r="U8915" i="1"/>
  <c r="T8916" i="1"/>
  <c r="U8916" i="1"/>
  <c r="T8917" i="1"/>
  <c r="U8917" i="1"/>
  <c r="T8918" i="1"/>
  <c r="U8918" i="1"/>
  <c r="T8919" i="1"/>
  <c r="U8919" i="1"/>
  <c r="T8920" i="1"/>
  <c r="U8920" i="1"/>
  <c r="T8921" i="1"/>
  <c r="U8921" i="1"/>
  <c r="T8922" i="1"/>
  <c r="U8922" i="1"/>
  <c r="T8923" i="1"/>
  <c r="U8923" i="1"/>
  <c r="T8924" i="1"/>
  <c r="U8924" i="1"/>
  <c r="T8925" i="1"/>
  <c r="U8925" i="1"/>
  <c r="T8926" i="1"/>
  <c r="U8926" i="1"/>
  <c r="T8927" i="1"/>
  <c r="U8927" i="1"/>
  <c r="T8928" i="1"/>
  <c r="U8928" i="1"/>
  <c r="T8929" i="1"/>
  <c r="U8929" i="1"/>
  <c r="T8930" i="1"/>
  <c r="U8930" i="1"/>
  <c r="T8931" i="1"/>
  <c r="U8931" i="1"/>
  <c r="T8932" i="1"/>
  <c r="U8932" i="1"/>
  <c r="T8933" i="1"/>
  <c r="U8933" i="1"/>
  <c r="T8934" i="1"/>
  <c r="U8934" i="1"/>
  <c r="T8935" i="1"/>
  <c r="U8935" i="1"/>
  <c r="T8936" i="1"/>
  <c r="U8936" i="1"/>
  <c r="T8937" i="1"/>
  <c r="U8937" i="1"/>
  <c r="T8938" i="1"/>
  <c r="U8938" i="1"/>
  <c r="T8939" i="1"/>
  <c r="U8939" i="1"/>
  <c r="T8940" i="1"/>
  <c r="U8940" i="1"/>
  <c r="T8941" i="1"/>
  <c r="U8941" i="1"/>
  <c r="T8942" i="1"/>
  <c r="U8942" i="1"/>
  <c r="T8943" i="1"/>
  <c r="U8943" i="1"/>
  <c r="T8944" i="1"/>
  <c r="U8944" i="1"/>
  <c r="T8945" i="1"/>
  <c r="U8945" i="1"/>
  <c r="T8946" i="1"/>
  <c r="U8946" i="1"/>
  <c r="T8947" i="1"/>
  <c r="U8947" i="1"/>
  <c r="T8948" i="1"/>
  <c r="U8948" i="1"/>
  <c r="T8949" i="1"/>
  <c r="U8949" i="1"/>
  <c r="T8950" i="1"/>
  <c r="U8950" i="1"/>
  <c r="T8951" i="1"/>
  <c r="U8951" i="1"/>
  <c r="T8952" i="1"/>
  <c r="U8952" i="1"/>
  <c r="T8953" i="1"/>
  <c r="U8953" i="1"/>
  <c r="T8954" i="1"/>
  <c r="U8954" i="1"/>
  <c r="T8955" i="1"/>
  <c r="U8955" i="1"/>
  <c r="T8956" i="1"/>
  <c r="U8956" i="1"/>
  <c r="T8957" i="1"/>
  <c r="U8957" i="1"/>
  <c r="T8958" i="1"/>
  <c r="U8958" i="1"/>
  <c r="T8959" i="1"/>
  <c r="U8959" i="1"/>
  <c r="T8960" i="1"/>
  <c r="U8960" i="1"/>
  <c r="T8961" i="1"/>
  <c r="U8961" i="1"/>
  <c r="T8962" i="1"/>
  <c r="U8962" i="1"/>
  <c r="T8963" i="1"/>
  <c r="U8963" i="1"/>
  <c r="T8964" i="1"/>
  <c r="U8964" i="1"/>
  <c r="T8965" i="1"/>
  <c r="U8965" i="1"/>
  <c r="T8966" i="1"/>
  <c r="U8966" i="1"/>
  <c r="T8967" i="1"/>
  <c r="U8967" i="1"/>
  <c r="T8968" i="1"/>
  <c r="U8968" i="1"/>
  <c r="T8969" i="1"/>
  <c r="U8969" i="1"/>
  <c r="T8970" i="1"/>
  <c r="U8970" i="1"/>
  <c r="T8971" i="1"/>
  <c r="U8971" i="1"/>
  <c r="T8972" i="1"/>
  <c r="U8972" i="1"/>
  <c r="T8973" i="1"/>
  <c r="U8973" i="1"/>
  <c r="T8974" i="1"/>
  <c r="U8974" i="1"/>
  <c r="T8975" i="1"/>
  <c r="U8975" i="1"/>
  <c r="T8976" i="1"/>
  <c r="U8976" i="1"/>
  <c r="T8977" i="1"/>
  <c r="U8977" i="1"/>
  <c r="T8978" i="1"/>
  <c r="U8978" i="1"/>
  <c r="T8979" i="1"/>
  <c r="U8979" i="1"/>
  <c r="T8980" i="1"/>
  <c r="U8980" i="1"/>
  <c r="T8981" i="1"/>
  <c r="U8981" i="1"/>
  <c r="T8982" i="1"/>
  <c r="U8982" i="1"/>
  <c r="T8983" i="1"/>
  <c r="U8983" i="1"/>
  <c r="T8984" i="1"/>
  <c r="U8984" i="1"/>
  <c r="T8985" i="1"/>
  <c r="U8985" i="1"/>
  <c r="T8986" i="1"/>
  <c r="U8986" i="1"/>
  <c r="T8987" i="1"/>
  <c r="U8987" i="1"/>
  <c r="T8988" i="1"/>
  <c r="U8988" i="1"/>
  <c r="T8989" i="1"/>
  <c r="U8989" i="1"/>
  <c r="T8990" i="1"/>
  <c r="U8990" i="1"/>
  <c r="T8991" i="1"/>
  <c r="U8991" i="1"/>
  <c r="T8992" i="1"/>
  <c r="U8992" i="1"/>
  <c r="T8993" i="1"/>
  <c r="U8993" i="1"/>
  <c r="T8994" i="1"/>
  <c r="U8994" i="1"/>
  <c r="T8995" i="1"/>
  <c r="U8995" i="1"/>
  <c r="T8996" i="1"/>
  <c r="U8996" i="1"/>
  <c r="T8997" i="1"/>
  <c r="U8997" i="1"/>
  <c r="T8998" i="1"/>
  <c r="U8998" i="1"/>
  <c r="T8999" i="1"/>
  <c r="U8999" i="1"/>
  <c r="T9000" i="1"/>
  <c r="U9000" i="1"/>
  <c r="T9001" i="1"/>
  <c r="U9001" i="1"/>
  <c r="T9002" i="1"/>
  <c r="U9002" i="1"/>
  <c r="T9003" i="1"/>
  <c r="U9003" i="1"/>
  <c r="P2062" i="1" l="1"/>
  <c r="P2047"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 i="1"/>
  <c r="T2009" i="1"/>
  <c r="G1992" i="1"/>
  <c r="G2002" i="1"/>
  <c r="O2002" i="1"/>
  <c r="O2003" i="1"/>
  <c r="P2003" i="1" s="1"/>
  <c r="O2004" i="1"/>
  <c r="P2004" i="1" s="1"/>
  <c r="O2005" i="1"/>
  <c r="P2005" i="1" s="1"/>
  <c r="O2006" i="1"/>
  <c r="P2006" i="1" s="1"/>
  <c r="O2007" i="1"/>
  <c r="P2007" i="1" s="1"/>
  <c r="O2008" i="1"/>
  <c r="P2008" i="1" s="1"/>
  <c r="O2009" i="1"/>
  <c r="P2009" i="1" s="1"/>
  <c r="O1990" i="1"/>
  <c r="P1990" i="1" s="1"/>
  <c r="O1991" i="1"/>
  <c r="P1991" i="1" s="1"/>
  <c r="O1992" i="1"/>
  <c r="O1993" i="1"/>
  <c r="P1993" i="1" s="1"/>
  <c r="O1994" i="1"/>
  <c r="P1994" i="1" s="1"/>
  <c r="O1995" i="1"/>
  <c r="P1995" i="1" s="1"/>
  <c r="O1996" i="1"/>
  <c r="P1996" i="1" s="1"/>
  <c r="O1997" i="1"/>
  <c r="P1997" i="1" s="1"/>
  <c r="O1998" i="1"/>
  <c r="P1998" i="1" s="1"/>
  <c r="O1999" i="1"/>
  <c r="P1999" i="1" s="1"/>
  <c r="O2000" i="1"/>
  <c r="P2000" i="1" s="1"/>
  <c r="O2001" i="1"/>
  <c r="P2001" i="1" s="1"/>
  <c r="O1981" i="1"/>
  <c r="P1981" i="1" s="1"/>
  <c r="O1982" i="1"/>
  <c r="P1982" i="1" s="1"/>
  <c r="O1983" i="1"/>
  <c r="P1983" i="1" s="1"/>
  <c r="O1984" i="1"/>
  <c r="P1984" i="1" s="1"/>
  <c r="O1985" i="1"/>
  <c r="P1985" i="1" s="1"/>
  <c r="O1986" i="1"/>
  <c r="P1986" i="1" s="1"/>
  <c r="O1987" i="1"/>
  <c r="P1987" i="1" s="1"/>
  <c r="O1988" i="1"/>
  <c r="P1988" i="1" s="1"/>
  <c r="O1989" i="1"/>
  <c r="P1989" i="1" s="1"/>
  <c r="M1980" i="1"/>
  <c r="O1980" i="1" s="1"/>
  <c r="P1980"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59" i="1"/>
  <c r="O1960" i="1"/>
  <c r="P1960" i="1" s="1"/>
  <c r="O1961" i="1"/>
  <c r="P1961" i="1" s="1"/>
  <c r="O1962" i="1"/>
  <c r="P1962" i="1" s="1"/>
  <c r="O1963" i="1"/>
  <c r="O1964" i="1"/>
  <c r="P1964" i="1" s="1"/>
  <c r="O1965" i="1"/>
  <c r="P1965" i="1" s="1"/>
  <c r="O1966" i="1"/>
  <c r="P1966" i="1" s="1"/>
  <c r="O1967" i="1"/>
  <c r="P1967" i="1" s="1"/>
  <c r="O1968" i="1"/>
  <c r="P1968" i="1" s="1"/>
  <c r="O1969" i="1"/>
  <c r="P1969" i="1" s="1"/>
  <c r="G1959" i="1"/>
  <c r="G1963" i="1"/>
  <c r="G1958" i="1"/>
  <c r="M1958" i="1" s="1"/>
  <c r="O1958" i="1" s="1"/>
  <c r="M1950" i="1"/>
  <c r="O1950" i="1" s="1"/>
  <c r="P1950" i="1" s="1"/>
  <c r="M1949" i="1"/>
  <c r="O1949" i="1" s="1"/>
  <c r="P1949" i="1" s="1"/>
  <c r="M1948" i="1"/>
  <c r="O1948" i="1" s="1"/>
  <c r="P1948" i="1" s="1"/>
  <c r="O1951" i="1"/>
  <c r="P1951" i="1" s="1"/>
  <c r="O1952" i="1"/>
  <c r="P1952" i="1" s="1"/>
  <c r="O1953" i="1"/>
  <c r="P1953" i="1" s="1"/>
  <c r="O1954" i="1"/>
  <c r="P1954" i="1" s="1"/>
  <c r="O1955" i="1"/>
  <c r="P1955" i="1" s="1"/>
  <c r="O1956" i="1"/>
  <c r="P1956" i="1" s="1"/>
  <c r="O1957" i="1"/>
  <c r="P1957" i="1" s="1"/>
  <c r="O1931" i="1"/>
  <c r="P1931" i="1" s="1"/>
  <c r="O1933" i="1"/>
  <c r="P1933" i="1" s="1"/>
  <c r="O1934" i="1"/>
  <c r="P1934" i="1" s="1"/>
  <c r="O1935" i="1"/>
  <c r="P1935" i="1" s="1"/>
  <c r="O1936" i="1"/>
  <c r="P1936" i="1" s="1"/>
  <c r="O1937" i="1"/>
  <c r="P1937" i="1" s="1"/>
  <c r="O1938" i="1"/>
  <c r="P1938" i="1" s="1"/>
  <c r="O1939" i="1"/>
  <c r="P1939" i="1" s="1"/>
  <c r="O1940" i="1"/>
  <c r="P1940" i="1" s="1"/>
  <c r="O1942" i="1"/>
  <c r="P1942" i="1" s="1"/>
  <c r="O1943" i="1"/>
  <c r="P1943" i="1" s="1"/>
  <c r="O1944" i="1"/>
  <c r="P1944" i="1" s="1"/>
  <c r="O1945" i="1"/>
  <c r="P1945" i="1" s="1"/>
  <c r="O1946" i="1"/>
  <c r="P1946" i="1" s="1"/>
  <c r="O1947" i="1"/>
  <c r="P1947" i="1" s="1"/>
  <c r="M1941" i="1"/>
  <c r="O1941" i="1" s="1"/>
  <c r="P1941" i="1" s="1"/>
  <c r="M1932" i="1"/>
  <c r="O1932" i="1" s="1"/>
  <c r="P1932" i="1" s="1"/>
  <c r="G1930" i="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M1911" i="1"/>
  <c r="O1911" i="1" s="1"/>
  <c r="P1911" i="1" s="1"/>
  <c r="M1899" i="1"/>
  <c r="O1899" i="1" s="1"/>
  <c r="P1899" i="1" s="1"/>
  <c r="O1898" i="1"/>
  <c r="P1898"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2" i="1"/>
  <c r="P1912" i="1" s="1"/>
  <c r="O1913" i="1"/>
  <c r="P1913" i="1" s="1"/>
  <c r="O1914" i="1"/>
  <c r="P1914"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M1865" i="1"/>
  <c r="O1865" i="1" s="1"/>
  <c r="P1865" i="1" s="1"/>
  <c r="M1866" i="1"/>
  <c r="O1866" i="1" s="1"/>
  <c r="P1866" i="1" s="1"/>
  <c r="G1867" i="1"/>
  <c r="M1867" i="1" s="1"/>
  <c r="O1867" i="1" s="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M1849" i="1"/>
  <c r="O1849" i="1" s="1"/>
  <c r="P1849" i="1" s="1"/>
  <c r="G1859" i="1"/>
  <c r="O1850" i="1"/>
  <c r="P1850" i="1" s="1"/>
  <c r="O1851" i="1"/>
  <c r="P1851" i="1" s="1"/>
  <c r="O1852" i="1"/>
  <c r="P1852" i="1" s="1"/>
  <c r="O1853" i="1"/>
  <c r="P1853" i="1" s="1"/>
  <c r="O1854" i="1"/>
  <c r="P1854" i="1" s="1"/>
  <c r="O1855" i="1"/>
  <c r="P1855" i="1" s="1"/>
  <c r="O1856" i="1"/>
  <c r="P1856" i="1" s="1"/>
  <c r="O1857" i="1"/>
  <c r="P1857" i="1" s="1"/>
  <c r="O1858" i="1"/>
  <c r="P1858" i="1" s="1"/>
  <c r="O1859" i="1"/>
  <c r="O1860" i="1"/>
  <c r="P1860" i="1" s="1"/>
  <c r="O1861" i="1"/>
  <c r="P1861" i="1" s="1"/>
  <c r="O1862" i="1"/>
  <c r="P1862" i="1" s="1"/>
  <c r="O1863" i="1"/>
  <c r="P1863" i="1" s="1"/>
  <c r="O1864" i="1"/>
  <c r="P1864" i="1" s="1"/>
  <c r="M1837" i="1"/>
  <c r="O1837" i="1" s="1"/>
  <c r="P1837" i="1" s="1"/>
  <c r="M1841" i="1"/>
  <c r="O1841" i="1" s="1"/>
  <c r="P1841" i="1" s="1"/>
  <c r="O1838" i="1"/>
  <c r="P1838" i="1" s="1"/>
  <c r="O1839" i="1"/>
  <c r="P1839" i="1" s="1"/>
  <c r="O1840" i="1"/>
  <c r="P1840" i="1" s="1"/>
  <c r="O1842" i="1"/>
  <c r="P1842" i="1" s="1"/>
  <c r="O1843" i="1"/>
  <c r="P1843" i="1" s="1"/>
  <c r="O1844" i="1"/>
  <c r="P1844" i="1" s="1"/>
  <c r="O1845" i="1"/>
  <c r="P1845" i="1" s="1"/>
  <c r="O1846" i="1"/>
  <c r="P1846" i="1" s="1"/>
  <c r="O1847" i="1"/>
  <c r="P1847" i="1" s="1"/>
  <c r="O1848" i="1"/>
  <c r="P1848" i="1" s="1"/>
  <c r="G1829" i="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O1830" i="1"/>
  <c r="P1830" i="1" s="1"/>
  <c r="O1831" i="1"/>
  <c r="P1831" i="1" s="1"/>
  <c r="O1832" i="1"/>
  <c r="P1832" i="1" s="1"/>
  <c r="O1833" i="1"/>
  <c r="P1833" i="1" s="1"/>
  <c r="O1834" i="1"/>
  <c r="P1834" i="1" s="1"/>
  <c r="O1835" i="1"/>
  <c r="P1835" i="1" s="1"/>
  <c r="O1836" i="1"/>
  <c r="P1836"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G1797" i="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O1798" i="1"/>
  <c r="P1798" i="1" s="1"/>
  <c r="G1774" i="1"/>
  <c r="M1780" i="1"/>
  <c r="O1780" i="1" s="1"/>
  <c r="P1780" i="1" s="1"/>
  <c r="O1769" i="1"/>
  <c r="P1769" i="1" s="1"/>
  <c r="O1770" i="1"/>
  <c r="P1770" i="1" s="1"/>
  <c r="O1771" i="1"/>
  <c r="P1771" i="1" s="1"/>
  <c r="O1772" i="1"/>
  <c r="O1773" i="1"/>
  <c r="P1773" i="1" s="1"/>
  <c r="O1774" i="1"/>
  <c r="O1775" i="1"/>
  <c r="P1775" i="1" s="1"/>
  <c r="O1776" i="1"/>
  <c r="P1776" i="1" s="1"/>
  <c r="O1777" i="1"/>
  <c r="P1777" i="1" s="1"/>
  <c r="O1778" i="1"/>
  <c r="P1778" i="1" s="1"/>
  <c r="O1779" i="1"/>
  <c r="P1779" i="1" s="1"/>
  <c r="G1764" i="1"/>
  <c r="O1757" i="1"/>
  <c r="P1757" i="1" s="1"/>
  <c r="O1758" i="1"/>
  <c r="P1758" i="1" s="1"/>
  <c r="O1759" i="1"/>
  <c r="P1759" i="1" s="1"/>
  <c r="O1760" i="1"/>
  <c r="P1760" i="1" s="1"/>
  <c r="O1761" i="1"/>
  <c r="P1761" i="1" s="1"/>
  <c r="O1762" i="1"/>
  <c r="P1762" i="1" s="1"/>
  <c r="O1763" i="1"/>
  <c r="P1763" i="1" s="1"/>
  <c r="O1764" i="1"/>
  <c r="O1765" i="1"/>
  <c r="P1765" i="1" s="1"/>
  <c r="O1766" i="1"/>
  <c r="P1766" i="1" s="1"/>
  <c r="O1767" i="1"/>
  <c r="P1767" i="1" s="1"/>
  <c r="O1768" i="1"/>
  <c r="P1768"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M1731" i="1"/>
  <c r="O1731" i="1" s="1"/>
  <c r="P1731" i="1" s="1"/>
  <c r="M1732" i="1"/>
  <c r="O1732" i="1" s="1"/>
  <c r="P1732" i="1" s="1"/>
  <c r="M1734" i="1"/>
  <c r="O1734" i="1" s="1"/>
  <c r="P1734" i="1" s="1"/>
  <c r="M1738" i="1"/>
  <c r="O1738" i="1" s="1"/>
  <c r="P1738" i="1" s="1"/>
  <c r="O1733" i="1"/>
  <c r="P1733" i="1" s="1"/>
  <c r="O1735" i="1"/>
  <c r="P1735" i="1" s="1"/>
  <c r="O1736" i="1"/>
  <c r="P1736" i="1" s="1"/>
  <c r="O1737" i="1"/>
  <c r="P1737" i="1" s="1"/>
  <c r="O1739" i="1"/>
  <c r="P1739" i="1" s="1"/>
  <c r="O1740" i="1"/>
  <c r="P1740" i="1" s="1"/>
  <c r="O1741" i="1"/>
  <c r="P1741" i="1" s="1"/>
  <c r="O1742" i="1"/>
  <c r="P1742" i="1" s="1"/>
  <c r="O1743" i="1"/>
  <c r="P1743" i="1" s="1"/>
  <c r="O1744" i="1"/>
  <c r="P1744" i="1" s="1"/>
  <c r="O1745" i="1"/>
  <c r="P1745" i="1" s="1"/>
  <c r="M1723" i="1"/>
  <c r="O1723" i="1" s="1"/>
  <c r="P1723" i="1" s="1"/>
  <c r="M1724" i="1"/>
  <c r="O1724" i="1" s="1"/>
  <c r="P1724" i="1" s="1"/>
  <c r="M1726" i="1"/>
  <c r="O1726" i="1" s="1"/>
  <c r="P1726" i="1" s="1"/>
  <c r="M1729" i="1"/>
  <c r="O1729" i="1" s="1"/>
  <c r="P1729" i="1" s="1"/>
  <c r="M1719" i="1"/>
  <c r="O1719" i="1" s="1"/>
  <c r="P1719" i="1" s="1"/>
  <c r="O1720" i="1"/>
  <c r="P1720" i="1" s="1"/>
  <c r="O1721" i="1"/>
  <c r="P1721" i="1" s="1"/>
  <c r="O1722" i="1"/>
  <c r="P1722" i="1" s="1"/>
  <c r="O1725" i="1"/>
  <c r="P1725" i="1" s="1"/>
  <c r="O1727" i="1"/>
  <c r="P1727" i="1" s="1"/>
  <c r="O1728" i="1"/>
  <c r="P1728" i="1" s="1"/>
  <c r="O1730" i="1"/>
  <c r="P1730" i="1" s="1"/>
  <c r="M1714" i="1"/>
  <c r="O1714" i="1" s="1"/>
  <c r="P1714" i="1" s="1"/>
  <c r="O1712" i="1"/>
  <c r="P1712" i="1" s="1"/>
  <c r="O1713" i="1"/>
  <c r="P1713" i="1" s="1"/>
  <c r="O1715" i="1"/>
  <c r="P1715" i="1" s="1"/>
  <c r="O1716" i="1"/>
  <c r="P1716" i="1" s="1"/>
  <c r="O1717" i="1"/>
  <c r="P1717" i="1" s="1"/>
  <c r="O1718" i="1"/>
  <c r="P1718" i="1" s="1"/>
  <c r="M1710" i="1"/>
  <c r="O1710" i="1" s="1"/>
  <c r="P1710" i="1" s="1"/>
  <c r="M1709" i="1"/>
  <c r="O1709" i="1" s="1"/>
  <c r="P1709" i="1" s="1"/>
  <c r="M1708" i="1"/>
  <c r="O1708" i="1" s="1"/>
  <c r="P1708" i="1" s="1"/>
  <c r="O1711" i="1"/>
  <c r="P1711" i="1" s="1"/>
  <c r="M1692" i="1"/>
  <c r="O1692" i="1" s="1"/>
  <c r="P1692" i="1" s="1"/>
  <c r="N1693" i="1"/>
  <c r="O1693" i="1" s="1"/>
  <c r="P1693" i="1" s="1"/>
  <c r="M1694" i="1"/>
  <c r="O1694" i="1" s="1"/>
  <c r="P1694" i="1" s="1"/>
  <c r="M1695" i="1"/>
  <c r="O1695" i="1" s="1"/>
  <c r="P1695" i="1" s="1"/>
  <c r="M1697" i="1"/>
  <c r="O1697" i="1" s="1"/>
  <c r="P1697" i="1" s="1"/>
  <c r="O1696" i="1"/>
  <c r="P1696"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M1690" i="1"/>
  <c r="O1690" i="1" s="1"/>
  <c r="P1690" i="1" s="1"/>
  <c r="M1691" i="1"/>
  <c r="O1691" i="1" s="1"/>
  <c r="P1691" i="1" s="1"/>
  <c r="M1685" i="1"/>
  <c r="O1685" i="1" s="1"/>
  <c r="P1685" i="1" s="1"/>
  <c r="M1684" i="1"/>
  <c r="O1684" i="1" s="1"/>
  <c r="P1684" i="1" s="1"/>
  <c r="O1680" i="1"/>
  <c r="P1680" i="1" s="1"/>
  <c r="O1679" i="1"/>
  <c r="P1679" i="1" s="1"/>
  <c r="O1681" i="1"/>
  <c r="P1681" i="1" s="1"/>
  <c r="O1682" i="1"/>
  <c r="P1682" i="1" s="1"/>
  <c r="O1683" i="1"/>
  <c r="P1683" i="1" s="1"/>
  <c r="O1686" i="1"/>
  <c r="P1686" i="1" s="1"/>
  <c r="O1687" i="1"/>
  <c r="P1687" i="1" s="1"/>
  <c r="O1688" i="1"/>
  <c r="P1688" i="1" s="1"/>
  <c r="O1689" i="1"/>
  <c r="P1689" i="1" s="1"/>
  <c r="N1667" i="1"/>
  <c r="O1667" i="1" s="1"/>
  <c r="P1667" i="1" s="1"/>
  <c r="G1677" i="1"/>
  <c r="O1665" i="1"/>
  <c r="P1665" i="1" s="1"/>
  <c r="O1666" i="1"/>
  <c r="P1666" i="1" s="1"/>
  <c r="O1668" i="1"/>
  <c r="P1668" i="1" s="1"/>
  <c r="O1669" i="1"/>
  <c r="P1669" i="1" s="1"/>
  <c r="O1670" i="1"/>
  <c r="P1670" i="1" s="1"/>
  <c r="O1671" i="1"/>
  <c r="P1671" i="1" s="1"/>
  <c r="O1672" i="1"/>
  <c r="P1672" i="1" s="1"/>
  <c r="O1673" i="1"/>
  <c r="P1673" i="1" s="1"/>
  <c r="O1674" i="1"/>
  <c r="P1674" i="1" s="1"/>
  <c r="O1675" i="1"/>
  <c r="P1675" i="1" s="1"/>
  <c r="O1676" i="1"/>
  <c r="P1676" i="1" s="1"/>
  <c r="O1677" i="1"/>
  <c r="O1678" i="1"/>
  <c r="P1678" i="1" s="1"/>
  <c r="N1659" i="1"/>
  <c r="O1659" i="1" s="1"/>
  <c r="P1659" i="1" s="1"/>
  <c r="N1656" i="1"/>
  <c r="O1656" i="1" s="1"/>
  <c r="P1656" i="1" s="1"/>
  <c r="N1655" i="1"/>
  <c r="O1655" i="1" s="1"/>
  <c r="P1655" i="1" s="1"/>
  <c r="M1654" i="1"/>
  <c r="O1654" i="1" s="1"/>
  <c r="P1654" i="1" s="1"/>
  <c r="M1653" i="1"/>
  <c r="O1653" i="1" s="1"/>
  <c r="P1653" i="1" s="1"/>
  <c r="M1652" i="1"/>
  <c r="O1652" i="1" s="1"/>
  <c r="P1652" i="1" s="1"/>
  <c r="M1650" i="1"/>
  <c r="O1650" i="1" s="1"/>
  <c r="P1650" i="1" s="1"/>
  <c r="M1649" i="1"/>
  <c r="O1649" i="1" s="1"/>
  <c r="P1649" i="1" s="1"/>
  <c r="O1651" i="1"/>
  <c r="P1651" i="1" s="1"/>
  <c r="O1657" i="1"/>
  <c r="P1657" i="1" s="1"/>
  <c r="O1658" i="1"/>
  <c r="P1658" i="1" s="1"/>
  <c r="O1660" i="1"/>
  <c r="P1660" i="1" s="1"/>
  <c r="O1661" i="1"/>
  <c r="P1661" i="1" s="1"/>
  <c r="O1662" i="1"/>
  <c r="P1662" i="1" s="1"/>
  <c r="O1663" i="1"/>
  <c r="P1663" i="1" s="1"/>
  <c r="O1664" i="1"/>
  <c r="P1664" i="1" s="1"/>
  <c r="N1645" i="1"/>
  <c r="O1645" i="1" s="1"/>
  <c r="P1645" i="1" s="1"/>
  <c r="M1639" i="1"/>
  <c r="O1639" i="1" s="1"/>
  <c r="P1639" i="1" s="1"/>
  <c r="N1637" i="1"/>
  <c r="O1637" i="1" s="1"/>
  <c r="P1637" i="1" s="1"/>
  <c r="O1636" i="1"/>
  <c r="P1636" i="1" s="1"/>
  <c r="O1638" i="1"/>
  <c r="P1638" i="1" s="1"/>
  <c r="O1640" i="1"/>
  <c r="P1640" i="1" s="1"/>
  <c r="O1641" i="1"/>
  <c r="P1641" i="1" s="1"/>
  <c r="O1642" i="1"/>
  <c r="P1642" i="1" s="1"/>
  <c r="O1643" i="1"/>
  <c r="P1643" i="1" s="1"/>
  <c r="O1644" i="1"/>
  <c r="P1644" i="1" s="1"/>
  <c r="O1646" i="1"/>
  <c r="P1646" i="1" s="1"/>
  <c r="O1647" i="1"/>
  <c r="P1647" i="1" s="1"/>
  <c r="O1648" i="1"/>
  <c r="P1648" i="1" s="1"/>
  <c r="N1624" i="1"/>
  <c r="O1624" i="1" s="1"/>
  <c r="P1624" i="1" s="1"/>
  <c r="N1623" i="1"/>
  <c r="O1623" i="1" s="1"/>
  <c r="P1623" i="1" s="1"/>
  <c r="M1628" i="1"/>
  <c r="O1628" i="1" s="1"/>
  <c r="P1628" i="1" s="1"/>
  <c r="M1625" i="1"/>
  <c r="O1625" i="1" s="1"/>
  <c r="P1625" i="1" s="1"/>
  <c r="M1622" i="1"/>
  <c r="O1622" i="1" s="1"/>
  <c r="P1622" i="1" s="1"/>
  <c r="O1621" i="1"/>
  <c r="O1626" i="1"/>
  <c r="P1626" i="1" s="1"/>
  <c r="O1627" i="1"/>
  <c r="P1627" i="1" s="1"/>
  <c r="O1629" i="1"/>
  <c r="P1629" i="1" s="1"/>
  <c r="O1630" i="1"/>
  <c r="P1630" i="1" s="1"/>
  <c r="O1631" i="1"/>
  <c r="P1631" i="1" s="1"/>
  <c r="O1632" i="1"/>
  <c r="P1632" i="1" s="1"/>
  <c r="O1633" i="1"/>
  <c r="P1633" i="1" s="1"/>
  <c r="O1634" i="1"/>
  <c r="P1634" i="1" s="1"/>
  <c r="O1635" i="1"/>
  <c r="P1635" i="1" s="1"/>
  <c r="N1610" i="1"/>
  <c r="O1610" i="1" s="1"/>
  <c r="P1610" i="1" s="1"/>
  <c r="N1612" i="1"/>
  <c r="O1612" i="1" s="1"/>
  <c r="P1612" i="1" s="1"/>
  <c r="N1607" i="1"/>
  <c r="O1607" i="1" s="1"/>
  <c r="P1607" i="1" s="1"/>
  <c r="M1609" i="1"/>
  <c r="O1609" i="1" s="1"/>
  <c r="P1609" i="1" s="1"/>
  <c r="M1611" i="1"/>
  <c r="O1611" i="1" s="1"/>
  <c r="P1611" i="1" s="1"/>
  <c r="M1618" i="1"/>
  <c r="O1618" i="1" s="1"/>
  <c r="P1618" i="1" s="1"/>
  <c r="G1617" i="1"/>
  <c r="O1608" i="1"/>
  <c r="P1608" i="1" s="1"/>
  <c r="O1613" i="1"/>
  <c r="P1613" i="1" s="1"/>
  <c r="O1614" i="1"/>
  <c r="P1614" i="1" s="1"/>
  <c r="O1615" i="1"/>
  <c r="P1615" i="1" s="1"/>
  <c r="O1616" i="1"/>
  <c r="P1616" i="1" s="1"/>
  <c r="O1617" i="1"/>
  <c r="O1619" i="1"/>
  <c r="P1619" i="1" s="1"/>
  <c r="O1620" i="1"/>
  <c r="P1620" i="1" s="1"/>
  <c r="M1597" i="1"/>
  <c r="O1597" i="1" s="1"/>
  <c r="P1597" i="1" s="1"/>
  <c r="M1592" i="1"/>
  <c r="O1592" i="1" s="1"/>
  <c r="P1592" i="1" s="1"/>
  <c r="N1591" i="1"/>
  <c r="O1591" i="1" s="1"/>
  <c r="P1591" i="1" s="1"/>
  <c r="N1595" i="1"/>
  <c r="O1595" i="1" s="1"/>
  <c r="P1595" i="1" s="1"/>
  <c r="N1596" i="1"/>
  <c r="O1596" i="1" s="1"/>
  <c r="P1596" i="1" s="1"/>
  <c r="N1603" i="1"/>
  <c r="O1603" i="1" s="1"/>
  <c r="P1603" i="1" s="1"/>
  <c r="N1606" i="1"/>
  <c r="O1606" i="1" s="1"/>
  <c r="P1606" i="1" s="1"/>
  <c r="O1593" i="1"/>
  <c r="P1593" i="1" s="1"/>
  <c r="O1594" i="1"/>
  <c r="P1594" i="1" s="1"/>
  <c r="O1598" i="1"/>
  <c r="P1598" i="1" s="1"/>
  <c r="O1599" i="1"/>
  <c r="P1599" i="1" s="1"/>
  <c r="O1600" i="1"/>
  <c r="P1600" i="1" s="1"/>
  <c r="O1601" i="1"/>
  <c r="P1601" i="1" s="1"/>
  <c r="O1602" i="1"/>
  <c r="P1602" i="1" s="1"/>
  <c r="O1604" i="1"/>
  <c r="P1604" i="1" s="1"/>
  <c r="O1605" i="1"/>
  <c r="P1605" i="1" s="1"/>
  <c r="M1584" i="1"/>
  <c r="O1584" i="1" s="1"/>
  <c r="P1584" i="1" s="1"/>
  <c r="N1585" i="1"/>
  <c r="O1585" i="1" s="1"/>
  <c r="P1585" i="1" s="1"/>
  <c r="N1582" i="1"/>
  <c r="O1582" i="1" s="1"/>
  <c r="P1582" i="1" s="1"/>
  <c r="N1581" i="1"/>
  <c r="O1581" i="1" s="1"/>
  <c r="P1581" i="1" s="1"/>
  <c r="N1580" i="1"/>
  <c r="O1580" i="1" s="1"/>
  <c r="P1580" i="1" s="1"/>
  <c r="M1578" i="1"/>
  <c r="O1578" i="1" s="1"/>
  <c r="P1578" i="1" s="1"/>
  <c r="O1583" i="1"/>
  <c r="P1583" i="1" s="1"/>
  <c r="O1586" i="1"/>
  <c r="P1586" i="1" s="1"/>
  <c r="O1587" i="1"/>
  <c r="P1587" i="1" s="1"/>
  <c r="O1588" i="1"/>
  <c r="P1588" i="1" s="1"/>
  <c r="O1589" i="1"/>
  <c r="P1589" i="1" s="1"/>
  <c r="O1590" i="1"/>
  <c r="P1590" i="1" s="1"/>
  <c r="G1579" i="1"/>
  <c r="N1579" i="1" s="1"/>
  <c r="O1579" i="1" s="1"/>
  <c r="P1579" i="1" s="1"/>
  <c r="N1569" i="1"/>
  <c r="O1569" i="1" s="1"/>
  <c r="P1569" i="1" s="1"/>
  <c r="N1564" i="1"/>
  <c r="O1564" i="1" s="1"/>
  <c r="P1564" i="1" s="1"/>
  <c r="M1567" i="1"/>
  <c r="O1567" i="1" s="1"/>
  <c r="P1567" i="1" s="1"/>
  <c r="M1566" i="1"/>
  <c r="O1566" i="1" s="1"/>
  <c r="P1566" i="1" s="1"/>
  <c r="M1565" i="1"/>
  <c r="O1565" i="1" s="1"/>
  <c r="P1565" i="1" s="1"/>
  <c r="M1563" i="1"/>
  <c r="O1563" i="1" s="1"/>
  <c r="P1563" i="1" s="1"/>
  <c r="O1568" i="1"/>
  <c r="P1568" i="1" s="1"/>
  <c r="O1570" i="1"/>
  <c r="P1570" i="1" s="1"/>
  <c r="O1571" i="1"/>
  <c r="P1571" i="1" s="1"/>
  <c r="O1572" i="1"/>
  <c r="P1572" i="1" s="1"/>
  <c r="O1573" i="1"/>
  <c r="P1573" i="1" s="1"/>
  <c r="O1574" i="1"/>
  <c r="P1574" i="1" s="1"/>
  <c r="O1575" i="1"/>
  <c r="P1575" i="1" s="1"/>
  <c r="O1576" i="1"/>
  <c r="P1576" i="1" s="1"/>
  <c r="O1577" i="1"/>
  <c r="P1577" i="1" s="1"/>
  <c r="M1555" i="1"/>
  <c r="O1555" i="1" s="1"/>
  <c r="P1555" i="1" s="1"/>
  <c r="M1548" i="1"/>
  <c r="O1548" i="1" s="1"/>
  <c r="P1548" i="1" s="1"/>
  <c r="M1546" i="1"/>
  <c r="O1546" i="1" s="1"/>
  <c r="P1546" i="1" s="1"/>
  <c r="M1545" i="1"/>
  <c r="O1545" i="1" s="1"/>
  <c r="P1545" i="1" s="1"/>
  <c r="N1553" i="1"/>
  <c r="O1553" i="1" s="1"/>
  <c r="P1553" i="1" s="1"/>
  <c r="N1554" i="1"/>
  <c r="O1554" i="1" s="1"/>
  <c r="P1554" i="1" s="1"/>
  <c r="N1562" i="1"/>
  <c r="O1562" i="1" s="1"/>
  <c r="P1562" i="1" s="1"/>
  <c r="G1547" i="1"/>
  <c r="N1547" i="1" s="1"/>
  <c r="O1547" i="1" s="1"/>
  <c r="P1547" i="1" s="1"/>
  <c r="G1561" i="1"/>
  <c r="O1549" i="1"/>
  <c r="P1549" i="1" s="1"/>
  <c r="O1550" i="1"/>
  <c r="O1551" i="1"/>
  <c r="P1551" i="1" s="1"/>
  <c r="O1552" i="1"/>
  <c r="P1552" i="1" s="1"/>
  <c r="O1556" i="1"/>
  <c r="P1556" i="1" s="1"/>
  <c r="O1557" i="1"/>
  <c r="P1557" i="1" s="1"/>
  <c r="O1558" i="1"/>
  <c r="P1558" i="1" s="1"/>
  <c r="O1559" i="1"/>
  <c r="P1559" i="1" s="1"/>
  <c r="O1560" i="1"/>
  <c r="P1560" i="1" s="1"/>
  <c r="O1561" i="1"/>
  <c r="G1550" i="1"/>
  <c r="N1531" i="1"/>
  <c r="O1531" i="1" s="1"/>
  <c r="P1531" i="1" s="1"/>
  <c r="M1535" i="1"/>
  <c r="O1535" i="1" s="1"/>
  <c r="P1535" i="1" s="1"/>
  <c r="M1537" i="1"/>
  <c r="O1537" i="1" s="1"/>
  <c r="P1537" i="1" s="1"/>
  <c r="O1530" i="1"/>
  <c r="P1530" i="1" s="1"/>
  <c r="O1532" i="1"/>
  <c r="P1532" i="1" s="1"/>
  <c r="O1533" i="1"/>
  <c r="P1533" i="1" s="1"/>
  <c r="O1534" i="1"/>
  <c r="P1534" i="1" s="1"/>
  <c r="O1536" i="1"/>
  <c r="P1536" i="1" s="1"/>
  <c r="O1538" i="1"/>
  <c r="P1538" i="1" s="1"/>
  <c r="O1539" i="1"/>
  <c r="P1539" i="1" s="1"/>
  <c r="O1540" i="1"/>
  <c r="P1540" i="1" s="1"/>
  <c r="O1541" i="1"/>
  <c r="P1541" i="1" s="1"/>
  <c r="O1542" i="1"/>
  <c r="P1542" i="1" s="1"/>
  <c r="O1543" i="1"/>
  <c r="P1543" i="1" s="1"/>
  <c r="O1544" i="1"/>
  <c r="P1544" i="1" s="1"/>
  <c r="M1523" i="1"/>
  <c r="O1523" i="1" s="1"/>
  <c r="P1523" i="1" s="1"/>
  <c r="M1518" i="1"/>
  <c r="O1518" i="1" s="1"/>
  <c r="P1518" i="1" s="1"/>
  <c r="N1529" i="1"/>
  <c r="O1529" i="1" s="1"/>
  <c r="P1529" i="1" s="1"/>
  <c r="N1520" i="1"/>
  <c r="O1520" i="1" s="1"/>
  <c r="P1520" i="1" s="1"/>
  <c r="N1517" i="1"/>
  <c r="O1517" i="1" s="1"/>
  <c r="P1517" i="1" s="1"/>
  <c r="O1519" i="1"/>
  <c r="P1519" i="1" s="1"/>
  <c r="O1521" i="1"/>
  <c r="P1521" i="1" s="1"/>
  <c r="O1522" i="1"/>
  <c r="P1522" i="1" s="1"/>
  <c r="O1524" i="1"/>
  <c r="P1524" i="1" s="1"/>
  <c r="O1525" i="1"/>
  <c r="P1525" i="1" s="1"/>
  <c r="O1526" i="1"/>
  <c r="P1526" i="1" s="1"/>
  <c r="O1527" i="1"/>
  <c r="P1527" i="1" s="1"/>
  <c r="O1528" i="1"/>
  <c r="P1528" i="1" s="1"/>
  <c r="N1511" i="1"/>
  <c r="O1511" i="1" s="1"/>
  <c r="P1511" i="1" s="1"/>
  <c r="O1512" i="1"/>
  <c r="P1512" i="1" s="1"/>
  <c r="O1513" i="1"/>
  <c r="P1513" i="1" s="1"/>
  <c r="O1514" i="1"/>
  <c r="P1514" i="1" s="1"/>
  <c r="O1515" i="1"/>
  <c r="P1515" i="1" s="1"/>
  <c r="O1516" i="1"/>
  <c r="P1516" i="1" s="1"/>
  <c r="N1509" i="1"/>
  <c r="O1509" i="1" s="1"/>
  <c r="P1509" i="1" s="1"/>
  <c r="N1507" i="1"/>
  <c r="O1507" i="1" s="1"/>
  <c r="P1507" i="1" s="1"/>
  <c r="M1506" i="1"/>
  <c r="O1506" i="1" s="1"/>
  <c r="P1506" i="1" s="1"/>
  <c r="N1505" i="1"/>
  <c r="O1505" i="1" s="1"/>
  <c r="P1505" i="1" s="1"/>
  <c r="O1508" i="1"/>
  <c r="P1508" i="1" s="1"/>
  <c r="O1510" i="1"/>
  <c r="P1510" i="1" s="1"/>
  <c r="M1493" i="1"/>
  <c r="O1493" i="1" s="1"/>
  <c r="P1493" i="1" s="1"/>
  <c r="N1495" i="1"/>
  <c r="O1495" i="1" s="1"/>
  <c r="P1495" i="1" s="1"/>
  <c r="N1494" i="1"/>
  <c r="O1494" i="1" s="1"/>
  <c r="P1494" i="1" s="1"/>
  <c r="M1496" i="1"/>
  <c r="O1496" i="1" s="1"/>
  <c r="P1496" i="1" s="1"/>
  <c r="N1499" i="1"/>
  <c r="O1499" i="1" s="1"/>
  <c r="P1499" i="1" s="1"/>
  <c r="O1492" i="1"/>
  <c r="P1492" i="1" s="1"/>
  <c r="O1497" i="1"/>
  <c r="P1497" i="1" s="1"/>
  <c r="O1498" i="1"/>
  <c r="P1498" i="1" s="1"/>
  <c r="O1500" i="1"/>
  <c r="P1500" i="1" s="1"/>
  <c r="O1501" i="1"/>
  <c r="P1501" i="1" s="1"/>
  <c r="O1502" i="1"/>
  <c r="P1502" i="1" s="1"/>
  <c r="O1503" i="1"/>
  <c r="P1503" i="1" s="1"/>
  <c r="O1504" i="1"/>
  <c r="P1504" i="1" s="1"/>
  <c r="G1484" i="1"/>
  <c r="M1482" i="1"/>
  <c r="O1482" i="1" s="1"/>
  <c r="P1482" i="1" s="1"/>
  <c r="N1483" i="1"/>
  <c r="O1483" i="1" s="1"/>
  <c r="P1483" i="1" s="1"/>
  <c r="N1481" i="1"/>
  <c r="O1481" i="1" s="1"/>
  <c r="P1481" i="1" s="1"/>
  <c r="O1480" i="1"/>
  <c r="P1480" i="1" s="1"/>
  <c r="O1484" i="1"/>
  <c r="O1485" i="1"/>
  <c r="P1485" i="1" s="1"/>
  <c r="O1486" i="1"/>
  <c r="P1486" i="1" s="1"/>
  <c r="O1487" i="1"/>
  <c r="P1487" i="1" s="1"/>
  <c r="O1488" i="1"/>
  <c r="P1488" i="1" s="1"/>
  <c r="O1489" i="1"/>
  <c r="P1489" i="1" s="1"/>
  <c r="O1490" i="1"/>
  <c r="P1490" i="1" s="1"/>
  <c r="O1491" i="1"/>
  <c r="P1491" i="1" s="1"/>
  <c r="M1474" i="1"/>
  <c r="O1474" i="1" s="1"/>
  <c r="P1474" i="1" s="1"/>
  <c r="N1473" i="1"/>
  <c r="O1473" i="1" s="1"/>
  <c r="P1473" i="1" s="1"/>
  <c r="O1475" i="1"/>
  <c r="P1475" i="1" s="1"/>
  <c r="O1476" i="1"/>
  <c r="P1476" i="1" s="1"/>
  <c r="O1477" i="1"/>
  <c r="P1477" i="1" s="1"/>
  <c r="O1478" i="1"/>
  <c r="P1478" i="1" s="1"/>
  <c r="O1479" i="1"/>
  <c r="P1479" i="1" s="1"/>
  <c r="O1468" i="1"/>
  <c r="P1468" i="1" s="1"/>
  <c r="O1469" i="1"/>
  <c r="P1469" i="1" s="1"/>
  <c r="O1470" i="1"/>
  <c r="P1470" i="1" s="1"/>
  <c r="O1471" i="1"/>
  <c r="P1471" i="1" s="1"/>
  <c r="O1472" i="1"/>
  <c r="P1472" i="1" s="1"/>
  <c r="N1466" i="1"/>
  <c r="O1466" i="1" s="1"/>
  <c r="P1466" i="1" s="1"/>
  <c r="N1463" i="1"/>
  <c r="O1463" i="1" s="1"/>
  <c r="P1463" i="1" s="1"/>
  <c r="M1467" i="1"/>
  <c r="O1467" i="1" s="1"/>
  <c r="P1467" i="1" s="1"/>
  <c r="M1464" i="1"/>
  <c r="O1464" i="1" s="1"/>
  <c r="P1464" i="1" s="1"/>
  <c r="G1465" i="1"/>
  <c r="N1465" i="1" s="1"/>
  <c r="O1465" i="1" s="1"/>
  <c r="P1465" i="1" s="1"/>
  <c r="N1449" i="1"/>
  <c r="O1449" i="1" s="1"/>
  <c r="P1449" i="1" s="1"/>
  <c r="M1453" i="1"/>
  <c r="O1453" i="1" s="1"/>
  <c r="P1453" i="1" s="1"/>
  <c r="M1452" i="1"/>
  <c r="O1452" i="1" s="1"/>
  <c r="P1452" i="1" s="1"/>
  <c r="M1450" i="1"/>
  <c r="O1450" i="1" s="1"/>
  <c r="P1450" i="1" s="1"/>
  <c r="O1448" i="1"/>
  <c r="P1448" i="1" s="1"/>
  <c r="O1451" i="1"/>
  <c r="P1451" i="1" s="1"/>
  <c r="O1454" i="1"/>
  <c r="P1454" i="1" s="1"/>
  <c r="O1455" i="1"/>
  <c r="P1455" i="1" s="1"/>
  <c r="O1456" i="1"/>
  <c r="P1456" i="1" s="1"/>
  <c r="O1457" i="1"/>
  <c r="P1457" i="1" s="1"/>
  <c r="O1458" i="1"/>
  <c r="P1458" i="1" s="1"/>
  <c r="O1459" i="1"/>
  <c r="P1459" i="1" s="1"/>
  <c r="O1460" i="1"/>
  <c r="P1460" i="1" s="1"/>
  <c r="O1461" i="1"/>
  <c r="P1461" i="1" s="1"/>
  <c r="O1462" i="1"/>
  <c r="P1462" i="1" s="1"/>
  <c r="G1438" i="1"/>
  <c r="M1438" i="1" s="1"/>
  <c r="O1438" i="1" s="1"/>
  <c r="N1439" i="1"/>
  <c r="O1439" i="1" s="1"/>
  <c r="P1439" i="1" s="1"/>
  <c r="M1440" i="1"/>
  <c r="O1440" i="1" s="1"/>
  <c r="P1440" i="1" s="1"/>
  <c r="N1441" i="1"/>
  <c r="O1441" i="1" s="1"/>
  <c r="P1441" i="1" s="1"/>
  <c r="O1437" i="1"/>
  <c r="P1437" i="1" s="1"/>
  <c r="O1442" i="1"/>
  <c r="P1442" i="1" s="1"/>
  <c r="O1443" i="1"/>
  <c r="P1443" i="1" s="1"/>
  <c r="O1444" i="1"/>
  <c r="P1444" i="1" s="1"/>
  <c r="O1445" i="1"/>
  <c r="P1445" i="1" s="1"/>
  <c r="O1446" i="1"/>
  <c r="P1446" i="1" s="1"/>
  <c r="O1447" i="1"/>
  <c r="P1447" i="1" s="1"/>
  <c r="N1432" i="1"/>
  <c r="O1432" i="1" s="1"/>
  <c r="P1432" i="1" s="1"/>
  <c r="N1431" i="1"/>
  <c r="O1431" i="1" s="1"/>
  <c r="P1431" i="1" s="1"/>
  <c r="M1429" i="1"/>
  <c r="O1429" i="1" s="1"/>
  <c r="P1429" i="1" s="1"/>
  <c r="O1430" i="1"/>
  <c r="P1430" i="1" s="1"/>
  <c r="O1433" i="1"/>
  <c r="P1433" i="1" s="1"/>
  <c r="O1434" i="1"/>
  <c r="P1434" i="1" s="1"/>
  <c r="O1435" i="1"/>
  <c r="P1435" i="1" s="1"/>
  <c r="O1436" i="1"/>
  <c r="P1436" i="1" s="1"/>
  <c r="N1423" i="1"/>
  <c r="O1423" i="1" s="1"/>
  <c r="P1423" i="1" s="1"/>
  <c r="M1420" i="1"/>
  <c r="O1420" i="1" s="1"/>
  <c r="P1420" i="1" s="1"/>
  <c r="G1424" i="1"/>
  <c r="N1424" i="1" s="1"/>
  <c r="O1424" i="1" s="1"/>
  <c r="O1421" i="1"/>
  <c r="P1421" i="1" s="1"/>
  <c r="O1422" i="1"/>
  <c r="P1422" i="1" s="1"/>
  <c r="O1425" i="1"/>
  <c r="P1425" i="1" s="1"/>
  <c r="O1426" i="1"/>
  <c r="P1426" i="1" s="1"/>
  <c r="O1427" i="1"/>
  <c r="P1427" i="1" s="1"/>
  <c r="O1428" i="1"/>
  <c r="P1428" i="1" s="1"/>
  <c r="N1411" i="1"/>
  <c r="O1411" i="1" s="1"/>
  <c r="P1411" i="1" s="1"/>
  <c r="O1410" i="1"/>
  <c r="P1410" i="1" s="1"/>
  <c r="M1408" i="1"/>
  <c r="O1408" i="1" s="1"/>
  <c r="P1408" i="1" s="1"/>
  <c r="M1407" i="1"/>
  <c r="O1407" i="1" s="1"/>
  <c r="P1407" i="1" s="1"/>
  <c r="O1397" i="1"/>
  <c r="P1397" i="1" s="1"/>
  <c r="O1400" i="1"/>
  <c r="P1400" i="1" s="1"/>
  <c r="O1401" i="1"/>
  <c r="P1401" i="1" s="1"/>
  <c r="O1402" i="1"/>
  <c r="P1402" i="1" s="1"/>
  <c r="O1403" i="1"/>
  <c r="P1403" i="1" s="1"/>
  <c r="O1404" i="1"/>
  <c r="P1404" i="1" s="1"/>
  <c r="O1405" i="1"/>
  <c r="P1405" i="1" s="1"/>
  <c r="O1406" i="1"/>
  <c r="P1406" i="1" s="1"/>
  <c r="O1409" i="1"/>
  <c r="P1409" i="1" s="1"/>
  <c r="O1412" i="1"/>
  <c r="P1412" i="1" s="1"/>
  <c r="O1413" i="1"/>
  <c r="P1413" i="1" s="1"/>
  <c r="O1414" i="1"/>
  <c r="P1414" i="1" s="1"/>
  <c r="O1415" i="1"/>
  <c r="P1415" i="1" s="1"/>
  <c r="O1416" i="1"/>
  <c r="P1416" i="1" s="1"/>
  <c r="O1417" i="1"/>
  <c r="P1417" i="1" s="1"/>
  <c r="O1418" i="1"/>
  <c r="P1418" i="1" s="1"/>
  <c r="O1419" i="1"/>
  <c r="P1419" i="1" s="1"/>
  <c r="M1399" i="1"/>
  <c r="O1399" i="1" s="1"/>
  <c r="P1399" i="1" s="1"/>
  <c r="M1398" i="1"/>
  <c r="O1398" i="1" s="1"/>
  <c r="P1398" i="1" s="1"/>
  <c r="R1392" i="1"/>
  <c r="O1392" i="1"/>
  <c r="P1392" i="1" s="1"/>
  <c r="N1389" i="1"/>
  <c r="O1389" i="1" s="1"/>
  <c r="P1389" i="1" s="1"/>
  <c r="O1390" i="1"/>
  <c r="P1390" i="1" s="1"/>
  <c r="O1391" i="1"/>
  <c r="P1391" i="1" s="1"/>
  <c r="O1393" i="1"/>
  <c r="P1393" i="1" s="1"/>
  <c r="O1394" i="1"/>
  <c r="P1394" i="1" s="1"/>
  <c r="O1395" i="1"/>
  <c r="P1395" i="1" s="1"/>
  <c r="O1396" i="1"/>
  <c r="P1396" i="1" s="1"/>
  <c r="N1384" i="1"/>
  <c r="O1384" i="1" s="1"/>
  <c r="P1384" i="1" s="1"/>
  <c r="M1385" i="1"/>
  <c r="O1385" i="1" s="1"/>
  <c r="P1385" i="1" s="1"/>
  <c r="O1383" i="1"/>
  <c r="P1383" i="1" s="1"/>
  <c r="O1386" i="1"/>
  <c r="P1386" i="1" s="1"/>
  <c r="O1387" i="1"/>
  <c r="P1387" i="1" s="1"/>
  <c r="O1388" i="1"/>
  <c r="P1388" i="1" s="1"/>
  <c r="G1367" i="1"/>
  <c r="N1368" i="1"/>
  <c r="O1368" i="1" s="1"/>
  <c r="P1368" i="1" s="1"/>
  <c r="M1371" i="1"/>
  <c r="O1371" i="1" s="1"/>
  <c r="P1371" i="1" s="1"/>
  <c r="N1372" i="1"/>
  <c r="O1372" i="1" s="1"/>
  <c r="P1372" i="1" s="1"/>
  <c r="N1376" i="1"/>
  <c r="O1376" i="1" s="1"/>
  <c r="P1376" i="1" s="1"/>
  <c r="O1367" i="1"/>
  <c r="O1369" i="1"/>
  <c r="P1369" i="1" s="1"/>
  <c r="O1370" i="1"/>
  <c r="P1370" i="1" s="1"/>
  <c r="O1373" i="1"/>
  <c r="P1373" i="1" s="1"/>
  <c r="O1374" i="1"/>
  <c r="P1374" i="1" s="1"/>
  <c r="O1375" i="1"/>
  <c r="P1375" i="1" s="1"/>
  <c r="O1377" i="1"/>
  <c r="P1377" i="1" s="1"/>
  <c r="O1378" i="1"/>
  <c r="P1378" i="1" s="1"/>
  <c r="O1379" i="1"/>
  <c r="P1379" i="1" s="1"/>
  <c r="O1380" i="1"/>
  <c r="P1380" i="1" s="1"/>
  <c r="O1381" i="1"/>
  <c r="P1381" i="1" s="1"/>
  <c r="O1382" i="1"/>
  <c r="P1382" i="1" s="1"/>
  <c r="N1363" i="1"/>
  <c r="O1363" i="1" s="1"/>
  <c r="P1363" i="1" s="1"/>
  <c r="N1364" i="1"/>
  <c r="O1364" i="1" s="1"/>
  <c r="P1364" i="1" s="1"/>
  <c r="O1362" i="1"/>
  <c r="P1362" i="1" s="1"/>
  <c r="O1365" i="1"/>
  <c r="P1365" i="1" s="1"/>
  <c r="O1366" i="1"/>
  <c r="P1366" i="1" s="1"/>
  <c r="N1354" i="1"/>
  <c r="O1354" i="1" s="1"/>
  <c r="P1354" i="1" s="1"/>
  <c r="M1353" i="1"/>
  <c r="O1353" i="1" s="1"/>
  <c r="P1353" i="1" s="1"/>
  <c r="M1352" i="1"/>
  <c r="O1352" i="1" s="1"/>
  <c r="P1352" i="1" s="1"/>
  <c r="N1355" i="1"/>
  <c r="O1355" i="1" s="1"/>
  <c r="P1355" i="1" s="1"/>
  <c r="O1356" i="1"/>
  <c r="P1356" i="1" s="1"/>
  <c r="O1357" i="1"/>
  <c r="P1357" i="1" s="1"/>
  <c r="O1358" i="1"/>
  <c r="P1358" i="1" s="1"/>
  <c r="O1359" i="1"/>
  <c r="P1359" i="1" s="1"/>
  <c r="O1360" i="1"/>
  <c r="P1360" i="1" s="1"/>
  <c r="O1361" i="1"/>
  <c r="P1361" i="1" s="1"/>
  <c r="N1343" i="1"/>
  <c r="O1343" i="1" s="1"/>
  <c r="P1343" i="1" s="1"/>
  <c r="M1344" i="1"/>
  <c r="O1344" i="1" s="1"/>
  <c r="P1344" i="1" s="1"/>
  <c r="N1347" i="1"/>
  <c r="O1347" i="1" s="1"/>
  <c r="P1347" i="1" s="1"/>
  <c r="O1345" i="1"/>
  <c r="P1345" i="1" s="1"/>
  <c r="O1346" i="1"/>
  <c r="P1346" i="1" s="1"/>
  <c r="O1348" i="1"/>
  <c r="P1348" i="1" s="1"/>
  <c r="O1349" i="1"/>
  <c r="P1349" i="1" s="1"/>
  <c r="O1350" i="1"/>
  <c r="P1350" i="1" s="1"/>
  <c r="O1351" i="1"/>
  <c r="P1351" i="1" s="1"/>
  <c r="O1337" i="1"/>
  <c r="P1337" i="1" s="1"/>
  <c r="O1338" i="1"/>
  <c r="P1338" i="1" s="1"/>
  <c r="O1339" i="1"/>
  <c r="P1339" i="1" s="1"/>
  <c r="O1340" i="1"/>
  <c r="P1340" i="1" s="1"/>
  <c r="O1341" i="1"/>
  <c r="P1341" i="1" s="1"/>
  <c r="O1342" i="1"/>
  <c r="P1342" i="1" s="1"/>
  <c r="N1336" i="1"/>
  <c r="O1336" i="1" s="1"/>
  <c r="P1336" i="1" s="1"/>
  <c r="N1335" i="1"/>
  <c r="O1335" i="1" s="1"/>
  <c r="P1335" i="1" s="1"/>
  <c r="M1333" i="1"/>
  <c r="O1333" i="1" s="1"/>
  <c r="P1333" i="1" s="1"/>
  <c r="M1334" i="1"/>
  <c r="O1334" i="1" s="1"/>
  <c r="P1334" i="1" s="1"/>
  <c r="M1332" i="1"/>
  <c r="O1332" i="1" s="1"/>
  <c r="P1332" i="1" s="1"/>
  <c r="M1329" i="1"/>
  <c r="O1329" i="1" s="1"/>
  <c r="P1329" i="1" s="1"/>
  <c r="M1327" i="1"/>
  <c r="O1327" i="1" s="1"/>
  <c r="P1327" i="1" s="1"/>
  <c r="M1328" i="1"/>
  <c r="O1328" i="1" s="1"/>
  <c r="P1328" i="1" s="1"/>
  <c r="O1330" i="1"/>
  <c r="P1330" i="1" s="1"/>
  <c r="O1331" i="1"/>
  <c r="P1331" i="1" s="1"/>
  <c r="G1317" i="1"/>
  <c r="M1316" i="1"/>
  <c r="O1316" i="1" s="1"/>
  <c r="P1316" i="1" s="1"/>
  <c r="M1320" i="1"/>
  <c r="O1320" i="1" s="1"/>
  <c r="P1320" i="1" s="1"/>
  <c r="O1315" i="1"/>
  <c r="P1315" i="1" s="1"/>
  <c r="O1317" i="1"/>
  <c r="O1318" i="1"/>
  <c r="P1318" i="1" s="1"/>
  <c r="O1319" i="1"/>
  <c r="P1319" i="1" s="1"/>
  <c r="O1321" i="1"/>
  <c r="P1321" i="1" s="1"/>
  <c r="O1322" i="1"/>
  <c r="P1322" i="1" s="1"/>
  <c r="O1323" i="1"/>
  <c r="P1323" i="1" s="1"/>
  <c r="O1324" i="1"/>
  <c r="P1324" i="1" s="1"/>
  <c r="O1325" i="1"/>
  <c r="P1325" i="1" s="1"/>
  <c r="O1326" i="1"/>
  <c r="P1326" i="1" s="1"/>
  <c r="N1307" i="1"/>
  <c r="O1307" i="1" s="1"/>
  <c r="P1307" i="1" s="1"/>
  <c r="N1305" i="1"/>
  <c r="O1305" i="1" s="1"/>
  <c r="P1305" i="1" s="1"/>
  <c r="N1304" i="1"/>
  <c r="O1304" i="1" s="1"/>
  <c r="P1304" i="1" s="1"/>
  <c r="M1306" i="1"/>
  <c r="O1306" i="1" s="1"/>
  <c r="P1306" i="1" s="1"/>
  <c r="M1308" i="1"/>
  <c r="O1308" i="1" s="1"/>
  <c r="P1308" i="1" s="1"/>
  <c r="M1309" i="1"/>
  <c r="O1309" i="1" s="1"/>
  <c r="P1309" i="1" s="1"/>
  <c r="M1314" i="1"/>
  <c r="O1314" i="1" s="1"/>
  <c r="P1314" i="1" s="1"/>
  <c r="O1303" i="1"/>
  <c r="P1303" i="1" s="1"/>
  <c r="O1310" i="1"/>
  <c r="P1310" i="1" s="1"/>
  <c r="O1311" i="1"/>
  <c r="P1311" i="1" s="1"/>
  <c r="O1312" i="1"/>
  <c r="P1312" i="1" s="1"/>
  <c r="O1313" i="1"/>
  <c r="P1313" i="1" s="1"/>
  <c r="N1290" i="1"/>
  <c r="O1290" i="1" s="1"/>
  <c r="P1290" i="1" s="1"/>
  <c r="M1293" i="1"/>
  <c r="O1293" i="1" s="1"/>
  <c r="P1293" i="1" s="1"/>
  <c r="M1294" i="1"/>
  <c r="O1294" i="1" s="1"/>
  <c r="P1294" i="1" s="1"/>
  <c r="O1291" i="1"/>
  <c r="P1291" i="1" s="1"/>
  <c r="O1292" i="1"/>
  <c r="P1292" i="1" s="1"/>
  <c r="O1295" i="1"/>
  <c r="P1295" i="1" s="1"/>
  <c r="O1296" i="1"/>
  <c r="P1296" i="1" s="1"/>
  <c r="O1297" i="1"/>
  <c r="P1297" i="1" s="1"/>
  <c r="O1298" i="1"/>
  <c r="P1298" i="1" s="1"/>
  <c r="O1299" i="1"/>
  <c r="P1299" i="1" s="1"/>
  <c r="O1300" i="1"/>
  <c r="P1300" i="1" s="1"/>
  <c r="O1301" i="1"/>
  <c r="P1301" i="1" s="1"/>
  <c r="O1302" i="1"/>
  <c r="P1302" i="1" s="1"/>
  <c r="M1283" i="1"/>
  <c r="O1283" i="1" s="1"/>
  <c r="P1283" i="1" s="1"/>
  <c r="N1282" i="1"/>
  <c r="O1282" i="1" s="1"/>
  <c r="P1282" i="1" s="1"/>
  <c r="M1281" i="1"/>
  <c r="O1281" i="1" s="1"/>
  <c r="P1281" i="1" s="1"/>
  <c r="O1280" i="1"/>
  <c r="P1280" i="1" s="1"/>
  <c r="O1284" i="1"/>
  <c r="P1284" i="1" s="1"/>
  <c r="O1285" i="1"/>
  <c r="P1285" i="1" s="1"/>
  <c r="O1286" i="1"/>
  <c r="P1286" i="1" s="1"/>
  <c r="O1287" i="1"/>
  <c r="P1287" i="1" s="1"/>
  <c r="O1288" i="1"/>
  <c r="P1288" i="1" s="1"/>
  <c r="O1289" i="1"/>
  <c r="P1289" i="1" s="1"/>
  <c r="N1269" i="1"/>
  <c r="O1269" i="1" s="1"/>
  <c r="P1269" i="1" s="1"/>
  <c r="N1270" i="1"/>
  <c r="O1270" i="1" s="1"/>
  <c r="P1270" i="1" s="1"/>
  <c r="M1272" i="1"/>
  <c r="O1272" i="1" s="1"/>
  <c r="P1272" i="1" s="1"/>
  <c r="M1276" i="1"/>
  <c r="O1276" i="1" s="1"/>
  <c r="P1276" i="1" s="1"/>
  <c r="O1271" i="1"/>
  <c r="P1271" i="1" s="1"/>
  <c r="O1273" i="1"/>
  <c r="P1273" i="1" s="1"/>
  <c r="O1274" i="1"/>
  <c r="P1274" i="1" s="1"/>
  <c r="O1275" i="1"/>
  <c r="P1275" i="1" s="1"/>
  <c r="O1277" i="1"/>
  <c r="P1277" i="1" s="1"/>
  <c r="O1278" i="1"/>
  <c r="P1278" i="1" s="1"/>
  <c r="O1279" i="1"/>
  <c r="P1279" i="1" s="1"/>
  <c r="G1261" i="1"/>
  <c r="N1263" i="1"/>
  <c r="O1263" i="1" s="1"/>
  <c r="P1263" i="1" s="1"/>
  <c r="N1262" i="1"/>
  <c r="O1262" i="1" s="1"/>
  <c r="P1262" i="1" s="1"/>
  <c r="O1264" i="1"/>
  <c r="P1264" i="1" s="1"/>
  <c r="N1260" i="1"/>
  <c r="O1260" i="1" s="1"/>
  <c r="P1260" i="1" s="1"/>
  <c r="O1261" i="1"/>
  <c r="O1265" i="1"/>
  <c r="P1265" i="1" s="1"/>
  <c r="O1266" i="1"/>
  <c r="P1266" i="1" s="1"/>
  <c r="O1267" i="1"/>
  <c r="P1267" i="1" s="1"/>
  <c r="O1268" i="1"/>
  <c r="P1268" i="1" s="1"/>
  <c r="M1247" i="1"/>
  <c r="O1247" i="1" s="1"/>
  <c r="P1247" i="1" s="1"/>
  <c r="O1245" i="1"/>
  <c r="P1245" i="1" s="1"/>
  <c r="O1246" i="1"/>
  <c r="P1246"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M1228" i="1"/>
  <c r="O1228" i="1" s="1"/>
  <c r="P1228" i="1" s="1"/>
  <c r="N1231" i="1"/>
  <c r="O1231" i="1" s="1"/>
  <c r="P1231" i="1" s="1"/>
  <c r="N1230" i="1"/>
  <c r="O1230" i="1" s="1"/>
  <c r="P1230" i="1" s="1"/>
  <c r="N1232" i="1"/>
  <c r="O1232" i="1" s="1"/>
  <c r="P1232" i="1" s="1"/>
  <c r="N1233" i="1"/>
  <c r="O1233" i="1" s="1"/>
  <c r="P1233" i="1" s="1"/>
  <c r="O1229" i="1"/>
  <c r="P1229"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N1214" i="1"/>
  <c r="O1214" i="1" s="1"/>
  <c r="P1214" i="1" s="1"/>
  <c r="N1213" i="1"/>
  <c r="O1213" i="1" s="1"/>
  <c r="P1213" i="1" s="1"/>
  <c r="N1212" i="1"/>
  <c r="O1212" i="1" s="1"/>
  <c r="P1212" i="1" s="1"/>
  <c r="N1215" i="1"/>
  <c r="O1215" i="1" s="1"/>
  <c r="P1215" i="1" s="1"/>
  <c r="N1216" i="1"/>
  <c r="O1216" i="1" s="1"/>
  <c r="P1216" i="1" s="1"/>
  <c r="N1218" i="1"/>
  <c r="O1218" i="1" s="1"/>
  <c r="P1218" i="1" s="1"/>
  <c r="O1211" i="1"/>
  <c r="P1211" i="1" s="1"/>
  <c r="O1217" i="1"/>
  <c r="P1217" i="1" s="1"/>
  <c r="O1219" i="1"/>
  <c r="P1219" i="1" s="1"/>
  <c r="O1220" i="1"/>
  <c r="P1220" i="1" s="1"/>
  <c r="O1221" i="1"/>
  <c r="P1221" i="1" s="1"/>
  <c r="O1222" i="1"/>
  <c r="P1222" i="1" s="1"/>
  <c r="O1223" i="1"/>
  <c r="P1223" i="1" s="1"/>
  <c r="O1224" i="1"/>
  <c r="P1224" i="1" s="1"/>
  <c r="O1225" i="1"/>
  <c r="P1225" i="1" s="1"/>
  <c r="O1226" i="1"/>
  <c r="P1226" i="1" s="1"/>
  <c r="O1227" i="1"/>
  <c r="P1227" i="1" s="1"/>
  <c r="N1210" i="1"/>
  <c r="O1210" i="1" s="1"/>
  <c r="P1210" i="1" s="1"/>
  <c r="N1205" i="1"/>
  <c r="O1205" i="1" s="1"/>
  <c r="P1205" i="1" s="1"/>
  <c r="N1201" i="1"/>
  <c r="O1201" i="1" s="1"/>
  <c r="P1201" i="1" s="1"/>
  <c r="N1204" i="1"/>
  <c r="O1204" i="1" s="1"/>
  <c r="P1204" i="1" s="1"/>
  <c r="N1206" i="1"/>
  <c r="O1206" i="1" s="1"/>
  <c r="P1206" i="1" s="1"/>
  <c r="O1200" i="1"/>
  <c r="P1200" i="1" s="1"/>
  <c r="O1202" i="1"/>
  <c r="P1202" i="1" s="1"/>
  <c r="O1203" i="1"/>
  <c r="P1203" i="1" s="1"/>
  <c r="O1207" i="1"/>
  <c r="P1207" i="1" s="1"/>
  <c r="O1208" i="1"/>
  <c r="P1208" i="1" s="1"/>
  <c r="O1209" i="1"/>
  <c r="P1209" i="1" s="1"/>
  <c r="G1184" i="1"/>
  <c r="N1185" i="1"/>
  <c r="O1185" i="1" s="1"/>
  <c r="P1185" i="1" s="1"/>
  <c r="N1183" i="1"/>
  <c r="O1183" i="1" s="1"/>
  <c r="P1183" i="1" s="1"/>
  <c r="N1182" i="1"/>
  <c r="O1182" i="1" s="1"/>
  <c r="P1182" i="1" s="1"/>
  <c r="O1184" i="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N1172" i="1"/>
  <c r="O1172" i="1" s="1"/>
  <c r="P1172" i="1" s="1"/>
  <c r="N1171" i="1"/>
  <c r="O1171" i="1" s="1"/>
  <c r="P1171" i="1" s="1"/>
  <c r="N1168" i="1"/>
  <c r="O1168" i="1" s="1"/>
  <c r="P1168" i="1" s="1"/>
  <c r="N1167" i="1"/>
  <c r="O1167" i="1" s="1"/>
  <c r="P1167" i="1" s="1"/>
  <c r="N1166" i="1"/>
  <c r="O1166" i="1" s="1"/>
  <c r="P1166" i="1" s="1"/>
  <c r="N1174" i="1"/>
  <c r="O1174" i="1" s="1"/>
  <c r="P1174" i="1" s="1"/>
  <c r="N1179" i="1"/>
  <c r="O1179" i="1" s="1"/>
  <c r="P1179" i="1" s="1"/>
  <c r="O1169" i="1"/>
  <c r="P1169" i="1" s="1"/>
  <c r="O1170" i="1"/>
  <c r="P1170" i="1" s="1"/>
  <c r="O1173" i="1"/>
  <c r="P1173" i="1" s="1"/>
  <c r="O1175" i="1"/>
  <c r="P1175" i="1" s="1"/>
  <c r="O1176" i="1"/>
  <c r="P1176" i="1" s="1"/>
  <c r="O1177" i="1"/>
  <c r="P1177" i="1" s="1"/>
  <c r="O1178" i="1"/>
  <c r="P1178" i="1" s="1"/>
  <c r="O1180" i="1"/>
  <c r="P1180" i="1" s="1"/>
  <c r="O1181" i="1"/>
  <c r="P1181" i="1" s="1"/>
  <c r="N1160" i="1"/>
  <c r="O1160" i="1" s="1"/>
  <c r="P1160" i="1" s="1"/>
  <c r="N1159" i="1"/>
  <c r="O1159" i="1" s="1"/>
  <c r="P1159" i="1" s="1"/>
  <c r="N1161" i="1"/>
  <c r="O1161" i="1" s="1"/>
  <c r="P1161" i="1" s="1"/>
  <c r="O1158" i="1"/>
  <c r="P1158" i="1" s="1"/>
  <c r="O1162" i="1"/>
  <c r="P1162" i="1" s="1"/>
  <c r="O1163" i="1"/>
  <c r="P1163" i="1" s="1"/>
  <c r="O1164" i="1"/>
  <c r="P1164" i="1" s="1"/>
  <c r="O1165" i="1"/>
  <c r="P1165" i="1" s="1"/>
  <c r="N1146" i="1"/>
  <c r="O1146" i="1" s="1"/>
  <c r="P1146" i="1" s="1"/>
  <c r="N1147" i="1"/>
  <c r="O1147" i="1" s="1"/>
  <c r="P1147" i="1" s="1"/>
  <c r="N1148" i="1"/>
  <c r="O1148" i="1" s="1"/>
  <c r="P1148" i="1" s="1"/>
  <c r="O1145" i="1"/>
  <c r="P1145" i="1" s="1"/>
  <c r="O1149" i="1"/>
  <c r="P1149" i="1" s="1"/>
  <c r="O1150" i="1"/>
  <c r="P1150" i="1" s="1"/>
  <c r="O1151" i="1"/>
  <c r="P1151" i="1" s="1"/>
  <c r="O1152" i="1"/>
  <c r="P1152" i="1" s="1"/>
  <c r="O1153" i="1"/>
  <c r="P1153" i="1" s="1"/>
  <c r="O1154" i="1"/>
  <c r="P1154" i="1" s="1"/>
  <c r="O1155" i="1"/>
  <c r="P1155" i="1" s="1"/>
  <c r="O1156" i="1"/>
  <c r="P1156" i="1" s="1"/>
  <c r="O1157" i="1"/>
  <c r="P1157" i="1" s="1"/>
  <c r="N1134" i="1"/>
  <c r="O1134" i="1" s="1"/>
  <c r="P1134" i="1" s="1"/>
  <c r="N1137" i="1"/>
  <c r="O1137" i="1" s="1"/>
  <c r="P1137" i="1" s="1"/>
  <c r="N1136" i="1"/>
  <c r="O1136" i="1" s="1"/>
  <c r="P1136" i="1" s="1"/>
  <c r="N1135" i="1"/>
  <c r="O1135" i="1" s="1"/>
  <c r="P1135" i="1" s="1"/>
  <c r="O1133" i="1"/>
  <c r="P1133" i="1" s="1"/>
  <c r="O1138" i="1"/>
  <c r="P1138" i="1" s="1"/>
  <c r="O1139" i="1"/>
  <c r="P1139" i="1" s="1"/>
  <c r="O1140" i="1"/>
  <c r="P1140" i="1" s="1"/>
  <c r="O1141" i="1"/>
  <c r="P1141" i="1" s="1"/>
  <c r="O1142" i="1"/>
  <c r="P1142" i="1" s="1"/>
  <c r="O1143" i="1"/>
  <c r="P1143" i="1" s="1"/>
  <c r="O1144" i="1"/>
  <c r="P1144" i="1" s="1"/>
  <c r="G1119" i="1"/>
  <c r="N1120" i="1"/>
  <c r="O1120" i="1" s="1"/>
  <c r="P1120" i="1" s="1"/>
  <c r="N1121" i="1"/>
  <c r="O1121" i="1" s="1"/>
  <c r="P1121" i="1" s="1"/>
  <c r="N1122" i="1"/>
  <c r="O1122" i="1" s="1"/>
  <c r="P1122" i="1" s="1"/>
  <c r="N1118" i="1"/>
  <c r="O1118" i="1" s="1"/>
  <c r="P1118" i="1" s="1"/>
  <c r="O1119" i="1"/>
  <c r="O1123" i="1"/>
  <c r="P1123" i="1" s="1"/>
  <c r="O1124" i="1"/>
  <c r="P1124" i="1" s="1"/>
  <c r="O1125" i="1"/>
  <c r="P1125" i="1" s="1"/>
  <c r="O1126" i="1"/>
  <c r="P1126" i="1" s="1"/>
  <c r="O1127" i="1"/>
  <c r="P1127" i="1" s="1"/>
  <c r="O1128" i="1"/>
  <c r="P1128" i="1" s="1"/>
  <c r="O1129" i="1"/>
  <c r="P1129" i="1" s="1"/>
  <c r="O1130" i="1"/>
  <c r="P1130" i="1" s="1"/>
  <c r="O1131" i="1"/>
  <c r="P1131" i="1" s="1"/>
  <c r="O1132" i="1"/>
  <c r="P1132" i="1" s="1"/>
  <c r="N1106" i="1"/>
  <c r="O1106" i="1" s="1"/>
  <c r="P1106" i="1" s="1"/>
  <c r="N1099" i="1"/>
  <c r="O1099" i="1" s="1"/>
  <c r="P1099" i="1" s="1"/>
  <c r="N1098" i="1"/>
  <c r="O1098" i="1" s="1"/>
  <c r="P1098" i="1" s="1"/>
  <c r="N1097" i="1"/>
  <c r="O1097" i="1" s="1"/>
  <c r="P1097" i="1" s="1"/>
  <c r="N1096" i="1"/>
  <c r="O1096" i="1" s="1"/>
  <c r="P1096" i="1" s="1"/>
  <c r="O1100" i="1"/>
  <c r="P1100" i="1" s="1"/>
  <c r="O1101" i="1"/>
  <c r="P1101" i="1" s="1"/>
  <c r="O1102" i="1"/>
  <c r="P1102" i="1" s="1"/>
  <c r="O1103" i="1"/>
  <c r="P1103" i="1" s="1"/>
  <c r="O1104" i="1"/>
  <c r="P1104" i="1" s="1"/>
  <c r="O1105" i="1"/>
  <c r="P1105"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N1084" i="1"/>
  <c r="O1084" i="1" s="1"/>
  <c r="P1084" i="1" s="1"/>
  <c r="N1083" i="1"/>
  <c r="O1083" i="1" s="1"/>
  <c r="P1083" i="1" s="1"/>
  <c r="N1086" i="1"/>
  <c r="O1086" i="1" s="1"/>
  <c r="P1086" i="1" s="1"/>
  <c r="N1085" i="1"/>
  <c r="O1085" i="1" s="1"/>
  <c r="P1085" i="1" s="1"/>
  <c r="N1087" i="1"/>
  <c r="O1087" i="1" s="1"/>
  <c r="P1087" i="1" s="1"/>
  <c r="N1088" i="1"/>
  <c r="O1088" i="1" s="1"/>
  <c r="P1088" i="1" s="1"/>
  <c r="N1089" i="1"/>
  <c r="O1089" i="1" s="1"/>
  <c r="P1089" i="1" s="1"/>
  <c r="N1092" i="1"/>
  <c r="O1092" i="1" s="1"/>
  <c r="P1092" i="1" s="1"/>
  <c r="N1093" i="1"/>
  <c r="O1093" i="1" s="1"/>
  <c r="P1093" i="1" s="1"/>
  <c r="O1090" i="1"/>
  <c r="P1090" i="1" s="1"/>
  <c r="O1091" i="1"/>
  <c r="P1091" i="1" s="1"/>
  <c r="O1094" i="1"/>
  <c r="P1094" i="1" s="1"/>
  <c r="O1095" i="1"/>
  <c r="P1095" i="1" s="1"/>
  <c r="N1065" i="1"/>
  <c r="O1065" i="1" s="1"/>
  <c r="P1065" i="1" s="1"/>
  <c r="N1066" i="1"/>
  <c r="O1066" i="1" s="1"/>
  <c r="P1066" i="1" s="1"/>
  <c r="N1070" i="1"/>
  <c r="O1070" i="1" s="1"/>
  <c r="P1070" i="1" s="1"/>
  <c r="O1064" i="1"/>
  <c r="O1067" i="1"/>
  <c r="P1067" i="1" s="1"/>
  <c r="O1068" i="1"/>
  <c r="P1068" i="1" s="1"/>
  <c r="O1069" i="1"/>
  <c r="P1069"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N1049" i="1"/>
  <c r="O1049" i="1" s="1"/>
  <c r="P1049" i="1" s="1"/>
  <c r="N1050" i="1"/>
  <c r="O1050" i="1" s="1"/>
  <c r="P1050" i="1" s="1"/>
  <c r="N1051" i="1"/>
  <c r="O1051" i="1" s="1"/>
  <c r="P1051" i="1" s="1"/>
  <c r="N1052" i="1"/>
  <c r="O1052" i="1" s="1"/>
  <c r="P1052" i="1" s="1"/>
  <c r="N1053" i="1"/>
  <c r="O1053" i="1" s="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N1041" i="1"/>
  <c r="O1041" i="1" s="1"/>
  <c r="P1041" i="1" s="1"/>
  <c r="N1038" i="1"/>
  <c r="O1038" i="1" s="1"/>
  <c r="P1038" i="1" s="1"/>
  <c r="N1035" i="1"/>
  <c r="O1035" i="1" s="1"/>
  <c r="P1035" i="1" s="1"/>
  <c r="O1034" i="1"/>
  <c r="P1034" i="1" s="1"/>
  <c r="O1036" i="1"/>
  <c r="P1036" i="1" s="1"/>
  <c r="O1037" i="1"/>
  <c r="P1037" i="1" s="1"/>
  <c r="O1039" i="1"/>
  <c r="P1039" i="1" s="1"/>
  <c r="O1040" i="1"/>
  <c r="P1040" i="1" s="1"/>
  <c r="O1042" i="1"/>
  <c r="P1042" i="1" s="1"/>
  <c r="O1043" i="1"/>
  <c r="P1043" i="1" s="1"/>
  <c r="O1044" i="1"/>
  <c r="P1044" i="1" s="1"/>
  <c r="O1045" i="1"/>
  <c r="P1045" i="1" s="1"/>
  <c r="O1046" i="1"/>
  <c r="P1046" i="1" s="1"/>
  <c r="O1047" i="1"/>
  <c r="P1047" i="1" s="1"/>
  <c r="O1048" i="1"/>
  <c r="P1048" i="1" s="1"/>
  <c r="N1026" i="1"/>
  <c r="O1026" i="1" s="1"/>
  <c r="P1026" i="1" s="1"/>
  <c r="N1025" i="1"/>
  <c r="O1025" i="1" s="1"/>
  <c r="P1025" i="1" s="1"/>
  <c r="N1023" i="1"/>
  <c r="O1023" i="1" s="1"/>
  <c r="P1023" i="1" s="1"/>
  <c r="N1022" i="1"/>
  <c r="O1022" i="1" s="1"/>
  <c r="P1022" i="1" s="1"/>
  <c r="O1021" i="1"/>
  <c r="P1021" i="1" s="1"/>
  <c r="O1024" i="1"/>
  <c r="P1024" i="1" s="1"/>
  <c r="O1027" i="1"/>
  <c r="P1027" i="1" s="1"/>
  <c r="O1028" i="1"/>
  <c r="P1028" i="1" s="1"/>
  <c r="O1029" i="1"/>
  <c r="P1029" i="1" s="1"/>
  <c r="O1030" i="1"/>
  <c r="P1030" i="1" s="1"/>
  <c r="O1031" i="1"/>
  <c r="P1031" i="1" s="1"/>
  <c r="O1032" i="1"/>
  <c r="P1032" i="1" s="1"/>
  <c r="O1033" i="1"/>
  <c r="P1033" i="1" s="1"/>
  <c r="N1004" i="1"/>
  <c r="O1004" i="1" s="1"/>
  <c r="P1004" i="1" s="1"/>
  <c r="N1005" i="1"/>
  <c r="O1005" i="1" s="1"/>
  <c r="P1005" i="1" s="1"/>
  <c r="N1006" i="1"/>
  <c r="O1006" i="1" s="1"/>
  <c r="P1006" i="1" s="1"/>
  <c r="N1008" i="1"/>
  <c r="O1008" i="1" s="1"/>
  <c r="P1008" i="1" s="1"/>
  <c r="N1015" i="1"/>
  <c r="O1015" i="1" s="1"/>
  <c r="P1015" i="1" s="1"/>
  <c r="O1001" i="1"/>
  <c r="P1001" i="1" s="1"/>
  <c r="O1002" i="1"/>
  <c r="P1002" i="1" s="1"/>
  <c r="O1003" i="1"/>
  <c r="P1003" i="1" s="1"/>
  <c r="O1007" i="1"/>
  <c r="P1007" i="1" s="1"/>
  <c r="O1009" i="1"/>
  <c r="P1009" i="1" s="1"/>
  <c r="O1010" i="1"/>
  <c r="P1010" i="1" s="1"/>
  <c r="O1011" i="1"/>
  <c r="P1011" i="1" s="1"/>
  <c r="O1012" i="1"/>
  <c r="P1012" i="1" s="1"/>
  <c r="O1013" i="1"/>
  <c r="P1013" i="1" s="1"/>
  <c r="O1014" i="1"/>
  <c r="P1014" i="1" s="1"/>
  <c r="O1016" i="1"/>
  <c r="P1016" i="1" s="1"/>
  <c r="O1017" i="1"/>
  <c r="P1017" i="1" s="1"/>
  <c r="O1018" i="1"/>
  <c r="P1018" i="1" s="1"/>
  <c r="O1019" i="1"/>
  <c r="P1019" i="1" s="1"/>
  <c r="O1020" i="1"/>
  <c r="P1020" i="1" s="1"/>
  <c r="N1000" i="1"/>
  <c r="O1000" i="1" s="1"/>
  <c r="P1000" i="1" s="1"/>
  <c r="N994" i="1"/>
  <c r="O994" i="1" s="1"/>
  <c r="P994" i="1" s="1"/>
  <c r="N993" i="1"/>
  <c r="O993" i="1" s="1"/>
  <c r="P993" i="1" s="1"/>
  <c r="O995" i="1"/>
  <c r="P995" i="1" s="1"/>
  <c r="O996" i="1"/>
  <c r="P996" i="1" s="1"/>
  <c r="O997" i="1"/>
  <c r="P997" i="1" s="1"/>
  <c r="O998" i="1"/>
  <c r="P998" i="1" s="1"/>
  <c r="O999" i="1"/>
  <c r="P999" i="1" s="1"/>
  <c r="N981" i="1"/>
  <c r="O981" i="1" s="1"/>
  <c r="P981" i="1" s="1"/>
  <c r="N983" i="1"/>
  <c r="O983" i="1" s="1"/>
  <c r="P983" i="1" s="1"/>
  <c r="N982" i="1"/>
  <c r="O982" i="1" s="1"/>
  <c r="P982" i="1" s="1"/>
  <c r="N980" i="1"/>
  <c r="O980" i="1" s="1"/>
  <c r="P980" i="1" s="1"/>
  <c r="N979" i="1"/>
  <c r="O979" i="1" s="1"/>
  <c r="P979" i="1" s="1"/>
  <c r="O978" i="1"/>
  <c r="P978" i="1" s="1"/>
  <c r="O984" i="1"/>
  <c r="P984" i="1" s="1"/>
  <c r="O985" i="1"/>
  <c r="P985" i="1" s="1"/>
  <c r="O986" i="1"/>
  <c r="P986" i="1" s="1"/>
  <c r="O987" i="1"/>
  <c r="P987" i="1" s="1"/>
  <c r="O988" i="1"/>
  <c r="P988" i="1" s="1"/>
  <c r="O989" i="1"/>
  <c r="P989" i="1" s="1"/>
  <c r="O990" i="1"/>
  <c r="P990" i="1" s="1"/>
  <c r="O991" i="1"/>
  <c r="P991" i="1" s="1"/>
  <c r="O992" i="1"/>
  <c r="P992" i="1" s="1"/>
  <c r="O970" i="1"/>
  <c r="P970" i="1" s="1"/>
  <c r="N966" i="1"/>
  <c r="O966" i="1" s="1"/>
  <c r="P966" i="1" s="1"/>
  <c r="N967" i="1"/>
  <c r="O967" i="1" s="1"/>
  <c r="P967" i="1" s="1"/>
  <c r="O964" i="1"/>
  <c r="P964" i="1" s="1"/>
  <c r="O965" i="1"/>
  <c r="P965" i="1" s="1"/>
  <c r="O968" i="1"/>
  <c r="P968" i="1" s="1"/>
  <c r="O969" i="1"/>
  <c r="P969" i="1" s="1"/>
  <c r="O971" i="1"/>
  <c r="P971" i="1" s="1"/>
  <c r="O972" i="1"/>
  <c r="P972" i="1" s="1"/>
  <c r="O973" i="1"/>
  <c r="P973" i="1" s="1"/>
  <c r="O974" i="1"/>
  <c r="P974" i="1" s="1"/>
  <c r="O975" i="1"/>
  <c r="P975" i="1" s="1"/>
  <c r="O976" i="1"/>
  <c r="P976" i="1" s="1"/>
  <c r="O977" i="1"/>
  <c r="P977" i="1" s="1"/>
  <c r="P1959" i="1" l="1"/>
  <c r="P1992" i="1"/>
  <c r="P1963" i="1"/>
  <c r="P1829" i="1"/>
  <c r="P2002" i="1"/>
  <c r="P1859" i="1"/>
  <c r="P1958" i="1"/>
  <c r="P1797" i="1"/>
  <c r="P1930" i="1"/>
  <c r="P1617" i="1"/>
  <c r="P1772" i="1"/>
  <c r="P1774" i="1"/>
  <c r="P1764" i="1"/>
  <c r="P1677" i="1"/>
  <c r="P1621" i="1"/>
  <c r="P1317" i="1"/>
  <c r="P1184" i="1"/>
  <c r="P1550" i="1"/>
  <c r="P1561" i="1"/>
  <c r="P1484" i="1"/>
  <c r="P1438" i="1"/>
  <c r="P1424" i="1"/>
  <c r="P1367" i="1"/>
  <c r="P1261" i="1"/>
  <c r="P1119" i="1"/>
  <c r="P1064" i="1"/>
  <c r="N951" i="1"/>
  <c r="O951" i="1" s="1"/>
  <c r="P951" i="1" s="1"/>
  <c r="N954" i="1"/>
  <c r="O954" i="1" s="1"/>
  <c r="P954" i="1" s="1"/>
  <c r="N953" i="1"/>
  <c r="O953" i="1" s="1"/>
  <c r="P953" i="1" s="1"/>
  <c r="N952" i="1"/>
  <c r="O952" i="1" s="1"/>
  <c r="P952" i="1" s="1"/>
  <c r="N949" i="1"/>
  <c r="O949" i="1" s="1"/>
  <c r="P949" i="1" s="1"/>
  <c r="G956" i="1"/>
  <c r="O947" i="1"/>
  <c r="P947" i="1" s="1"/>
  <c r="O948" i="1"/>
  <c r="P948" i="1" s="1"/>
  <c r="O950" i="1"/>
  <c r="P950" i="1" s="1"/>
  <c r="O955" i="1"/>
  <c r="P955" i="1" s="1"/>
  <c r="O956" i="1"/>
  <c r="O957" i="1"/>
  <c r="P957" i="1" s="1"/>
  <c r="O958" i="1"/>
  <c r="P958" i="1" s="1"/>
  <c r="O959" i="1"/>
  <c r="P959" i="1" s="1"/>
  <c r="O960" i="1"/>
  <c r="P960" i="1" s="1"/>
  <c r="O961" i="1"/>
  <c r="P961" i="1" s="1"/>
  <c r="O962" i="1"/>
  <c r="P962" i="1" s="1"/>
  <c r="O963" i="1"/>
  <c r="P963" i="1" s="1"/>
  <c r="P956" i="1" l="1"/>
  <c r="M946" i="1"/>
  <c r="O946" i="1" s="1"/>
  <c r="P946" i="1" s="1"/>
  <c r="N938" i="1"/>
  <c r="O938" i="1" s="1"/>
  <c r="P938" i="1" s="1"/>
  <c r="N937" i="1"/>
  <c r="O937" i="1" s="1"/>
  <c r="P937" i="1" s="1"/>
  <c r="N936" i="1"/>
  <c r="O936" i="1" s="1"/>
  <c r="P936" i="1" s="1"/>
  <c r="N935" i="1"/>
  <c r="O935" i="1" s="1"/>
  <c r="P935" i="1" s="1"/>
  <c r="N934" i="1"/>
  <c r="O934" i="1" s="1"/>
  <c r="P934" i="1" s="1"/>
  <c r="N933" i="1"/>
  <c r="O933" i="1" s="1"/>
  <c r="P933" i="1" s="1"/>
  <c r="O932" i="1"/>
  <c r="P932" i="1" s="1"/>
  <c r="O939" i="1"/>
  <c r="P939" i="1" s="1"/>
  <c r="O940" i="1"/>
  <c r="P940" i="1" s="1"/>
  <c r="O941" i="1"/>
  <c r="P941" i="1" s="1"/>
  <c r="O942" i="1"/>
  <c r="P942" i="1" s="1"/>
  <c r="O943" i="1"/>
  <c r="P943" i="1" s="1"/>
  <c r="O944" i="1"/>
  <c r="P944" i="1" s="1"/>
  <c r="O945" i="1"/>
  <c r="P945" i="1" s="1"/>
  <c r="N924" i="1" l="1"/>
  <c r="O924" i="1" s="1"/>
  <c r="P924" i="1" s="1"/>
  <c r="N923" i="1"/>
  <c r="O923" i="1" s="1"/>
  <c r="P923" i="1" s="1"/>
  <c r="N922" i="1"/>
  <c r="O922" i="1" s="1"/>
  <c r="P922" i="1" s="1"/>
  <c r="N921" i="1"/>
  <c r="O921" i="1" s="1"/>
  <c r="P921" i="1" s="1"/>
  <c r="N920" i="1"/>
  <c r="O920" i="1" s="1"/>
  <c r="P920" i="1" s="1"/>
  <c r="O925" i="1"/>
  <c r="P925" i="1" s="1"/>
  <c r="O926" i="1"/>
  <c r="P926" i="1" s="1"/>
  <c r="O927" i="1"/>
  <c r="P927" i="1" s="1"/>
  <c r="O928" i="1"/>
  <c r="P928" i="1" s="1"/>
  <c r="O929" i="1"/>
  <c r="P929" i="1" s="1"/>
  <c r="O930" i="1"/>
  <c r="P930" i="1" s="1"/>
  <c r="O931" i="1"/>
  <c r="P931" i="1" s="1"/>
  <c r="O919" i="1" l="1"/>
  <c r="P919" i="1" s="1"/>
  <c r="N915" i="1" l="1"/>
  <c r="O915" i="1" s="1"/>
  <c r="P915" i="1" s="1"/>
  <c r="N914" i="1"/>
  <c r="O914" i="1" s="1"/>
  <c r="P914" i="1" s="1"/>
  <c r="N913" i="1"/>
  <c r="O913" i="1" s="1"/>
  <c r="P913" i="1" s="1"/>
  <c r="N912" i="1"/>
  <c r="O912" i="1" s="1"/>
  <c r="P912" i="1" s="1"/>
  <c r="N911" i="1"/>
  <c r="O911" i="1" s="1"/>
  <c r="P911" i="1" s="1"/>
  <c r="O910" i="1"/>
  <c r="P910" i="1" s="1"/>
  <c r="O916" i="1"/>
  <c r="P916" i="1" s="1"/>
  <c r="O917" i="1"/>
  <c r="P917" i="1" s="1"/>
  <c r="O918" i="1"/>
  <c r="P918" i="1" s="1"/>
  <c r="N897" i="1" l="1"/>
  <c r="O897" i="1" s="1"/>
  <c r="P897" i="1" s="1"/>
  <c r="N898" i="1"/>
  <c r="O898" i="1" s="1"/>
  <c r="P898" i="1" s="1"/>
  <c r="N901" i="1"/>
  <c r="O901" i="1" s="1"/>
  <c r="P901" i="1" s="1"/>
  <c r="N904" i="1"/>
  <c r="O904" i="1" s="1"/>
  <c r="P904" i="1" s="1"/>
  <c r="N903" i="1"/>
  <c r="O903" i="1" s="1"/>
  <c r="P903" i="1" s="1"/>
  <c r="N902" i="1"/>
  <c r="O902" i="1" s="1"/>
  <c r="P902" i="1" s="1"/>
  <c r="N905" i="1"/>
  <c r="O905" i="1" s="1"/>
  <c r="P905" i="1" s="1"/>
  <c r="O899" i="1"/>
  <c r="P899" i="1" s="1"/>
  <c r="O900" i="1"/>
  <c r="P900" i="1" s="1"/>
  <c r="O906" i="1"/>
  <c r="P906" i="1" s="1"/>
  <c r="O907" i="1"/>
  <c r="P907" i="1" s="1"/>
  <c r="O908" i="1"/>
  <c r="P908" i="1" s="1"/>
  <c r="O909" i="1"/>
  <c r="P909" i="1" s="1"/>
  <c r="N888" i="1" l="1"/>
  <c r="O888" i="1" s="1"/>
  <c r="P888" i="1" s="1"/>
  <c r="N889" i="1"/>
  <c r="O889" i="1" s="1"/>
  <c r="P889" i="1" s="1"/>
  <c r="N890" i="1"/>
  <c r="O890" i="1" s="1"/>
  <c r="P890" i="1" s="1"/>
  <c r="N892" i="1"/>
  <c r="O892" i="1" s="1"/>
  <c r="P892" i="1" s="1"/>
  <c r="N891" i="1"/>
  <c r="O891" i="1" s="1"/>
  <c r="P891" i="1" s="1"/>
  <c r="O887" i="1"/>
  <c r="O893" i="1"/>
  <c r="P893" i="1" s="1"/>
  <c r="O894" i="1"/>
  <c r="P894" i="1" s="1"/>
  <c r="O895" i="1"/>
  <c r="P895" i="1" s="1"/>
  <c r="O896" i="1"/>
  <c r="P896" i="1" s="1"/>
  <c r="P887" i="1" l="1"/>
  <c r="O883" i="1"/>
  <c r="P883" i="1" s="1"/>
  <c r="O884" i="1"/>
  <c r="P884" i="1" s="1"/>
  <c r="O885" i="1"/>
  <c r="P885" i="1" s="1"/>
  <c r="O886" i="1"/>
  <c r="P886" i="1" s="1"/>
  <c r="N877" i="1" l="1"/>
  <c r="O877" i="1" s="1"/>
  <c r="P877" i="1" s="1"/>
  <c r="N878" i="1"/>
  <c r="O878" i="1" s="1"/>
  <c r="P878" i="1" s="1"/>
  <c r="N880" i="1"/>
  <c r="O880" i="1" s="1"/>
  <c r="P880" i="1" s="1"/>
  <c r="N881" i="1"/>
  <c r="O881" i="1" s="1"/>
  <c r="P881" i="1" s="1"/>
  <c r="N882" i="1"/>
  <c r="O882" i="1" s="1"/>
  <c r="P882" i="1" s="1"/>
  <c r="O879" i="1"/>
  <c r="P879" i="1" s="1"/>
  <c r="O876" i="1"/>
  <c r="P876" i="1" s="1"/>
  <c r="N870" i="1" l="1"/>
  <c r="O870" i="1" s="1"/>
  <c r="P870" i="1" s="1"/>
  <c r="N868" i="1"/>
  <c r="O868" i="1" s="1"/>
  <c r="P868" i="1" s="1"/>
  <c r="N866" i="1"/>
  <c r="O866" i="1" s="1"/>
  <c r="P866" i="1" s="1"/>
  <c r="N865" i="1"/>
  <c r="O865" i="1" s="1"/>
  <c r="P865" i="1" s="1"/>
  <c r="O863" i="1"/>
  <c r="P863" i="1" s="1"/>
  <c r="O864" i="1"/>
  <c r="P864" i="1" s="1"/>
  <c r="O867" i="1"/>
  <c r="P867" i="1" s="1"/>
  <c r="O869" i="1"/>
  <c r="P869" i="1" s="1"/>
  <c r="O871" i="1"/>
  <c r="P871" i="1" s="1"/>
  <c r="O872" i="1"/>
  <c r="P872" i="1" s="1"/>
  <c r="O873" i="1"/>
  <c r="P873" i="1" s="1"/>
  <c r="O874" i="1"/>
  <c r="P874" i="1" s="1"/>
  <c r="O875" i="1"/>
  <c r="P875" i="1" s="1"/>
  <c r="N855" i="1" l="1"/>
  <c r="O855" i="1" s="1"/>
  <c r="P855" i="1" s="1"/>
  <c r="N854" i="1"/>
  <c r="O854" i="1" s="1"/>
  <c r="P854" i="1" s="1"/>
  <c r="O853" i="1"/>
  <c r="P853" i="1" s="1"/>
  <c r="N852" i="1"/>
  <c r="O852" i="1" s="1"/>
  <c r="P852" i="1" s="1"/>
  <c r="N851" i="1"/>
  <c r="O851" i="1" s="1"/>
  <c r="P851" i="1" s="1"/>
  <c r="N850" i="1"/>
  <c r="O850" i="1" s="1"/>
  <c r="P850" i="1" s="1"/>
  <c r="O849" i="1"/>
  <c r="P849" i="1" s="1"/>
  <c r="O856" i="1"/>
  <c r="P856" i="1" s="1"/>
  <c r="O857" i="1"/>
  <c r="P857" i="1" s="1"/>
  <c r="O858" i="1"/>
  <c r="P858" i="1" s="1"/>
  <c r="O859" i="1"/>
  <c r="P859" i="1" s="1"/>
  <c r="O860" i="1"/>
  <c r="P860" i="1" s="1"/>
  <c r="O861" i="1"/>
  <c r="P861" i="1" s="1"/>
  <c r="O862" i="1"/>
  <c r="P862" i="1" s="1"/>
  <c r="N845" i="1" l="1"/>
  <c r="O845" i="1" s="1"/>
  <c r="P845" i="1" s="1"/>
  <c r="N842" i="1"/>
  <c r="O842" i="1" s="1"/>
  <c r="P842" i="1" s="1"/>
  <c r="N844" i="1"/>
  <c r="O844" i="1" s="1"/>
  <c r="P844" i="1" s="1"/>
  <c r="N841" i="1"/>
  <c r="O841" i="1" s="1"/>
  <c r="P841" i="1" s="1"/>
  <c r="N839" i="1"/>
  <c r="O839" i="1" s="1"/>
  <c r="P839" i="1" s="1"/>
  <c r="O840" i="1"/>
  <c r="P840" i="1" s="1"/>
  <c r="O843" i="1"/>
  <c r="P843" i="1" s="1"/>
  <c r="O846" i="1"/>
  <c r="P846" i="1" s="1"/>
  <c r="O847" i="1"/>
  <c r="P847" i="1" s="1"/>
  <c r="O848" i="1"/>
  <c r="P848" i="1" s="1"/>
  <c r="O838" i="1" l="1"/>
  <c r="P838" i="1" s="1"/>
  <c r="N836" i="1" l="1"/>
  <c r="O836" i="1" s="1"/>
  <c r="P836" i="1" s="1"/>
  <c r="N833" i="1"/>
  <c r="O833" i="1" s="1"/>
  <c r="P833" i="1" s="1"/>
  <c r="N831" i="1"/>
  <c r="O831" i="1" s="1"/>
  <c r="P831" i="1" s="1"/>
  <c r="N832" i="1"/>
  <c r="O832" i="1" s="1"/>
  <c r="P832" i="1" s="1"/>
  <c r="N826" i="1"/>
  <c r="O826" i="1" s="1"/>
  <c r="P826" i="1" s="1"/>
  <c r="N825" i="1"/>
  <c r="O825" i="1" s="1"/>
  <c r="P825" i="1" s="1"/>
  <c r="N824" i="1"/>
  <c r="O824" i="1" s="1"/>
  <c r="P824" i="1" s="1"/>
  <c r="N821" i="1"/>
  <c r="O821" i="1" s="1"/>
  <c r="P821" i="1" s="1"/>
  <c r="N822" i="1"/>
  <c r="O822" i="1" s="1"/>
  <c r="P822" i="1" s="1"/>
  <c r="O820" i="1"/>
  <c r="P820" i="1" s="1"/>
  <c r="O823" i="1"/>
  <c r="P823" i="1" s="1"/>
  <c r="O827" i="1"/>
  <c r="P827" i="1" s="1"/>
  <c r="O828" i="1"/>
  <c r="P828" i="1" s="1"/>
  <c r="O829" i="1"/>
  <c r="P829" i="1" s="1"/>
  <c r="O830" i="1"/>
  <c r="P830" i="1" s="1"/>
  <c r="O834" i="1"/>
  <c r="P834" i="1" s="1"/>
  <c r="O835" i="1"/>
  <c r="P835" i="1" s="1"/>
  <c r="O837" i="1"/>
  <c r="P837" i="1" s="1"/>
  <c r="N802" i="1" l="1"/>
  <c r="O802" i="1" s="1"/>
  <c r="P802" i="1" s="1"/>
  <c r="N804" i="1"/>
  <c r="O804" i="1" s="1"/>
  <c r="P804" i="1" s="1"/>
  <c r="N805" i="1"/>
  <c r="O805" i="1" s="1"/>
  <c r="P805" i="1" s="1"/>
  <c r="N806" i="1"/>
  <c r="O806" i="1" s="1"/>
  <c r="P806" i="1" s="1"/>
  <c r="N807" i="1"/>
  <c r="O807" i="1" s="1"/>
  <c r="P807" i="1" s="1"/>
  <c r="N808" i="1"/>
  <c r="O808" i="1" s="1"/>
  <c r="P808" i="1" s="1"/>
  <c r="N809" i="1"/>
  <c r="O809" i="1" s="1"/>
  <c r="P809" i="1" s="1"/>
  <c r="N819" i="1"/>
  <c r="O819" i="1" s="1"/>
  <c r="P819" i="1" s="1"/>
  <c r="O801" i="1"/>
  <c r="P801" i="1" s="1"/>
  <c r="O803" i="1"/>
  <c r="P803" i="1" s="1"/>
  <c r="O810" i="1"/>
  <c r="P810" i="1" s="1"/>
  <c r="O811" i="1"/>
  <c r="P811" i="1" s="1"/>
  <c r="O812" i="1"/>
  <c r="P812" i="1" s="1"/>
  <c r="O813" i="1"/>
  <c r="P813" i="1" s="1"/>
  <c r="O814" i="1"/>
  <c r="P814" i="1" s="1"/>
  <c r="O815" i="1"/>
  <c r="P815" i="1" s="1"/>
  <c r="O816" i="1"/>
  <c r="P816" i="1" s="1"/>
  <c r="O817" i="1"/>
  <c r="P817" i="1" s="1"/>
  <c r="O818" i="1"/>
  <c r="P818" i="1" s="1"/>
  <c r="N790" i="1" l="1"/>
  <c r="O790" i="1" s="1"/>
  <c r="P790" i="1" s="1"/>
  <c r="N787" i="1"/>
  <c r="O787" i="1" s="1"/>
  <c r="P787" i="1" s="1"/>
  <c r="N784" i="1"/>
  <c r="O784" i="1" s="1"/>
  <c r="P784" i="1" s="1"/>
  <c r="N785" i="1"/>
  <c r="O785" i="1" s="1"/>
  <c r="P785" i="1" s="1"/>
  <c r="O786" i="1"/>
  <c r="P786" i="1" s="1"/>
  <c r="O788" i="1"/>
  <c r="P788" i="1" s="1"/>
  <c r="O789" i="1"/>
  <c r="P789" i="1" s="1"/>
  <c r="O791" i="1"/>
  <c r="P791" i="1" s="1"/>
  <c r="O792" i="1"/>
  <c r="P792" i="1" s="1"/>
  <c r="O793" i="1"/>
  <c r="P793" i="1" s="1"/>
  <c r="O794" i="1"/>
  <c r="P794" i="1" s="1"/>
  <c r="O795" i="1"/>
  <c r="P795" i="1" s="1"/>
  <c r="O796" i="1"/>
  <c r="P796" i="1" s="1"/>
  <c r="O797" i="1"/>
  <c r="P797" i="1" s="1"/>
  <c r="O798" i="1"/>
  <c r="P798" i="1" s="1"/>
  <c r="O799" i="1"/>
  <c r="P799" i="1" s="1"/>
  <c r="O800" i="1"/>
  <c r="P800" i="1" s="1"/>
  <c r="N769" i="1" l="1"/>
  <c r="O769" i="1" s="1"/>
  <c r="P769" i="1" s="1"/>
  <c r="N770" i="1"/>
  <c r="O770" i="1" s="1"/>
  <c r="P770" i="1" s="1"/>
  <c r="N768" i="1"/>
  <c r="O768" i="1" s="1"/>
  <c r="P768" i="1" s="1"/>
  <c r="N767" i="1"/>
  <c r="O767" i="1" s="1"/>
  <c r="P767" i="1" s="1"/>
  <c r="N766" i="1"/>
  <c r="O766" i="1" s="1"/>
  <c r="P766" i="1" s="1"/>
  <c r="N764" i="1"/>
  <c r="O764" i="1" s="1"/>
  <c r="P764" i="1" s="1"/>
  <c r="O763" i="1"/>
  <c r="P763" i="1" s="1"/>
  <c r="O765" i="1"/>
  <c r="P765"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N752" i="1" l="1"/>
  <c r="O752" i="1" s="1"/>
  <c r="P752" i="1" s="1"/>
  <c r="N753" i="1"/>
  <c r="O753" i="1" s="1"/>
  <c r="P753" i="1" s="1"/>
  <c r="N754" i="1"/>
  <c r="O754" i="1" s="1"/>
  <c r="P754" i="1" s="1"/>
  <c r="N755" i="1"/>
  <c r="O755" i="1" s="1"/>
  <c r="P755" i="1" s="1"/>
  <c r="N756" i="1"/>
  <c r="O756" i="1" s="1"/>
  <c r="P756" i="1" s="1"/>
  <c r="N757" i="1"/>
  <c r="O757" i="1" s="1"/>
  <c r="P757" i="1" s="1"/>
  <c r="N759" i="1"/>
  <c r="O759" i="1" s="1"/>
  <c r="P759" i="1" s="1"/>
  <c r="O749" i="1"/>
  <c r="P749" i="1" s="1"/>
  <c r="O750" i="1"/>
  <c r="P750" i="1" s="1"/>
  <c r="O751" i="1"/>
  <c r="P751" i="1" s="1"/>
  <c r="O758" i="1"/>
  <c r="P758" i="1" s="1"/>
  <c r="O760" i="1"/>
  <c r="P760" i="1" s="1"/>
  <c r="O761" i="1"/>
  <c r="P761" i="1" s="1"/>
  <c r="O762" i="1"/>
  <c r="P762" i="1" s="1"/>
  <c r="N734" i="1" l="1"/>
  <c r="O734" i="1" s="1"/>
  <c r="P734" i="1" s="1"/>
  <c r="N735" i="1"/>
  <c r="O735" i="1" s="1"/>
  <c r="P735" i="1" s="1"/>
  <c r="N737" i="1"/>
  <c r="O737" i="1" s="1"/>
  <c r="P737" i="1" s="1"/>
  <c r="N738" i="1"/>
  <c r="O738" i="1" s="1"/>
  <c r="P738" i="1" s="1"/>
  <c r="N739" i="1"/>
  <c r="O739" i="1" s="1"/>
  <c r="P739" i="1" s="1"/>
  <c r="N743" i="1"/>
  <c r="O743" i="1" s="1"/>
  <c r="P743" i="1" s="1"/>
  <c r="N744" i="1"/>
  <c r="O744" i="1" s="1"/>
  <c r="P744" i="1" s="1"/>
  <c r="O733" i="1"/>
  <c r="P733" i="1" s="1"/>
  <c r="O736" i="1"/>
  <c r="P736" i="1" s="1"/>
  <c r="O740" i="1"/>
  <c r="P740" i="1" s="1"/>
  <c r="O741" i="1"/>
  <c r="P741" i="1" s="1"/>
  <c r="O742" i="1"/>
  <c r="P742" i="1" s="1"/>
  <c r="O745" i="1"/>
  <c r="P745" i="1" s="1"/>
  <c r="O746" i="1"/>
  <c r="P746" i="1" s="1"/>
  <c r="O747" i="1"/>
  <c r="P747" i="1" s="1"/>
  <c r="O748" i="1"/>
  <c r="P748" i="1" s="1"/>
  <c r="N719" i="1" l="1"/>
  <c r="O719" i="1" s="1"/>
  <c r="P719" i="1" s="1"/>
  <c r="N720" i="1"/>
  <c r="O720" i="1" s="1"/>
  <c r="P720" i="1" s="1"/>
  <c r="N725" i="1"/>
  <c r="O725" i="1" s="1"/>
  <c r="P725" i="1" s="1"/>
  <c r="N723" i="1"/>
  <c r="O723" i="1" s="1"/>
  <c r="P723" i="1" s="1"/>
  <c r="O717" i="1"/>
  <c r="P717" i="1" s="1"/>
  <c r="O718" i="1"/>
  <c r="P718" i="1" s="1"/>
  <c r="O721" i="1"/>
  <c r="P721" i="1" s="1"/>
  <c r="O724" i="1"/>
  <c r="P724" i="1" s="1"/>
  <c r="O726" i="1"/>
  <c r="P726" i="1" s="1"/>
  <c r="O727" i="1"/>
  <c r="P727" i="1" s="1"/>
  <c r="O728" i="1"/>
  <c r="P728" i="1" s="1"/>
  <c r="O729" i="1"/>
  <c r="P729" i="1" s="1"/>
  <c r="O730" i="1"/>
  <c r="P730" i="1" s="1"/>
  <c r="O731" i="1"/>
  <c r="P731" i="1" s="1"/>
  <c r="O732" i="1"/>
  <c r="P732" i="1" s="1"/>
  <c r="N722" i="1"/>
  <c r="O722" i="1" s="1"/>
  <c r="P722" i="1" s="1"/>
  <c r="O711" i="1" l="1"/>
  <c r="P711" i="1" s="1"/>
  <c r="O712" i="1"/>
  <c r="P712" i="1" s="1"/>
  <c r="O713" i="1"/>
  <c r="P713" i="1" s="1"/>
  <c r="O714" i="1"/>
  <c r="P714" i="1" s="1"/>
  <c r="O715" i="1"/>
  <c r="P715" i="1" s="1"/>
  <c r="O716" i="1"/>
  <c r="P716" i="1" s="1"/>
  <c r="N694" i="1" l="1"/>
  <c r="O694" i="1" s="1"/>
  <c r="P694" i="1" s="1"/>
  <c r="N696" i="1"/>
  <c r="O696" i="1" s="1"/>
  <c r="P696" i="1" s="1"/>
  <c r="N698" i="1"/>
  <c r="O698" i="1" s="1"/>
  <c r="P698" i="1" s="1"/>
  <c r="N710" i="1"/>
  <c r="O710" i="1" s="1"/>
  <c r="P710" i="1" s="1"/>
  <c r="O692" i="1"/>
  <c r="P692" i="1" s="1"/>
  <c r="O693" i="1"/>
  <c r="P693" i="1" s="1"/>
  <c r="O695" i="1"/>
  <c r="P695" i="1" s="1"/>
  <c r="O697" i="1"/>
  <c r="P697"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N677" i="1" l="1"/>
  <c r="O677" i="1" s="1"/>
  <c r="P677" i="1" s="1"/>
  <c r="N678" i="1"/>
  <c r="O678" i="1" s="1"/>
  <c r="P678" i="1" s="1"/>
  <c r="N680" i="1"/>
  <c r="O680" i="1" s="1"/>
  <c r="P680" i="1" s="1"/>
  <c r="N681" i="1"/>
  <c r="O681" i="1" s="1"/>
  <c r="P681" i="1" s="1"/>
  <c r="N682" i="1"/>
  <c r="O682" i="1" s="1"/>
  <c r="P682" i="1" s="1"/>
  <c r="O676" i="1"/>
  <c r="P676" i="1" s="1"/>
  <c r="O679" i="1"/>
  <c r="P679" i="1" s="1"/>
  <c r="O683" i="1"/>
  <c r="P683" i="1" s="1"/>
  <c r="O684" i="1"/>
  <c r="P684" i="1" s="1"/>
  <c r="O685" i="1"/>
  <c r="P685" i="1" s="1"/>
  <c r="O686" i="1"/>
  <c r="P686" i="1" s="1"/>
  <c r="O687" i="1"/>
  <c r="P687" i="1" s="1"/>
  <c r="O688" i="1"/>
  <c r="P688" i="1" s="1"/>
  <c r="O689" i="1"/>
  <c r="P689" i="1" s="1"/>
  <c r="O690" i="1"/>
  <c r="P690" i="1" s="1"/>
  <c r="O691" i="1"/>
  <c r="P691" i="1" s="1"/>
  <c r="N668" i="1" l="1"/>
  <c r="O668" i="1" s="1"/>
  <c r="P668" i="1" s="1"/>
  <c r="N667" i="1"/>
  <c r="O667" i="1" s="1"/>
  <c r="P667" i="1" s="1"/>
  <c r="N664" i="1"/>
  <c r="O664" i="1" s="1"/>
  <c r="P664" i="1" s="1"/>
  <c r="N674" i="1"/>
  <c r="O674" i="1" s="1"/>
  <c r="P674" i="1" s="1"/>
  <c r="O665" i="1"/>
  <c r="P665" i="1" s="1"/>
  <c r="O666" i="1"/>
  <c r="P666" i="1" s="1"/>
  <c r="O669" i="1"/>
  <c r="P669" i="1" s="1"/>
  <c r="O670" i="1"/>
  <c r="P670" i="1" s="1"/>
  <c r="O671" i="1"/>
  <c r="P671" i="1" s="1"/>
  <c r="O672" i="1"/>
  <c r="P672" i="1" s="1"/>
  <c r="O673" i="1"/>
  <c r="P673" i="1" s="1"/>
  <c r="O675" i="1"/>
  <c r="P675" i="1" s="1"/>
  <c r="N652" i="1" l="1"/>
  <c r="O652" i="1" s="1"/>
  <c r="P652" i="1" s="1"/>
  <c r="N653" i="1"/>
  <c r="O653" i="1" s="1"/>
  <c r="P653" i="1" s="1"/>
  <c r="N657" i="1"/>
  <c r="O657" i="1" s="1"/>
  <c r="P657" i="1" s="1"/>
  <c r="O648" i="1"/>
  <c r="P648" i="1" s="1"/>
  <c r="O649" i="1"/>
  <c r="P649" i="1" s="1"/>
  <c r="O650" i="1"/>
  <c r="P650" i="1" s="1"/>
  <c r="O651" i="1"/>
  <c r="P651" i="1" s="1"/>
  <c r="O654" i="1"/>
  <c r="P654" i="1" s="1"/>
  <c r="O655" i="1"/>
  <c r="P655" i="1" s="1"/>
  <c r="O656" i="1"/>
  <c r="P656" i="1" s="1"/>
  <c r="O658" i="1"/>
  <c r="P658" i="1" s="1"/>
  <c r="O659" i="1"/>
  <c r="P659" i="1" s="1"/>
  <c r="O660" i="1"/>
  <c r="P660" i="1" s="1"/>
  <c r="O661" i="1"/>
  <c r="P661" i="1" s="1"/>
  <c r="O662" i="1"/>
  <c r="P662" i="1" s="1"/>
  <c r="O663" i="1"/>
  <c r="P663" i="1" s="1"/>
  <c r="N638" i="1" l="1"/>
  <c r="O638" i="1" s="1"/>
  <c r="P638" i="1" s="1"/>
  <c r="N639" i="1"/>
  <c r="O639" i="1" s="1"/>
  <c r="P639" i="1" s="1"/>
  <c r="N640" i="1"/>
  <c r="O640" i="1" s="1"/>
  <c r="P640" i="1" s="1"/>
  <c r="O636" i="1"/>
  <c r="P636" i="1" s="1"/>
  <c r="O637" i="1"/>
  <c r="P637" i="1" s="1"/>
  <c r="O641" i="1"/>
  <c r="P641" i="1" s="1"/>
  <c r="O642" i="1"/>
  <c r="P642" i="1" s="1"/>
  <c r="O643" i="1"/>
  <c r="P643" i="1" s="1"/>
  <c r="O644" i="1"/>
  <c r="P644" i="1" s="1"/>
  <c r="O645" i="1"/>
  <c r="P645" i="1" s="1"/>
  <c r="O646" i="1"/>
  <c r="P646" i="1" s="1"/>
  <c r="O647" i="1"/>
  <c r="P647" i="1" s="1"/>
  <c r="N623" i="1" l="1"/>
  <c r="O623" i="1" s="1"/>
  <c r="P623" i="1" s="1"/>
  <c r="N622" i="1"/>
  <c r="O622" i="1" s="1"/>
  <c r="P622" i="1" s="1"/>
  <c r="N625" i="1"/>
  <c r="O625" i="1" s="1"/>
  <c r="P625" i="1" s="1"/>
  <c r="O621" i="1"/>
  <c r="O624" i="1"/>
  <c r="P624" i="1" s="1"/>
  <c r="O626" i="1"/>
  <c r="P626" i="1" s="1"/>
  <c r="O627" i="1"/>
  <c r="P627" i="1" s="1"/>
  <c r="O628" i="1"/>
  <c r="P628" i="1" s="1"/>
  <c r="O629" i="1"/>
  <c r="P629" i="1" s="1"/>
  <c r="O630" i="1"/>
  <c r="P630" i="1" s="1"/>
  <c r="O631" i="1"/>
  <c r="P631" i="1" s="1"/>
  <c r="O632" i="1"/>
  <c r="P632" i="1" s="1"/>
  <c r="O633" i="1"/>
  <c r="P633" i="1" s="1"/>
  <c r="O634" i="1"/>
  <c r="P634" i="1" s="1"/>
  <c r="O635" i="1"/>
  <c r="P635" i="1" s="1"/>
  <c r="P621" i="1" l="1"/>
  <c r="N609" i="1"/>
  <c r="O609" i="1" s="1"/>
  <c r="P609" i="1" s="1"/>
  <c r="N608" i="1"/>
  <c r="O608" i="1" s="1"/>
  <c r="P608" i="1" s="1"/>
  <c r="N610" i="1"/>
  <c r="O610" i="1" s="1"/>
  <c r="P610" i="1" s="1"/>
  <c r="N620" i="1"/>
  <c r="O620" i="1" s="1"/>
  <c r="P620" i="1" s="1"/>
  <c r="N619" i="1"/>
  <c r="O619" i="1" s="1"/>
  <c r="P619" i="1" s="1"/>
  <c r="O611" i="1"/>
  <c r="P611" i="1" s="1"/>
  <c r="O612" i="1"/>
  <c r="P612" i="1" s="1"/>
  <c r="O613" i="1"/>
  <c r="P613" i="1" s="1"/>
  <c r="O614" i="1"/>
  <c r="P614" i="1" s="1"/>
  <c r="O615" i="1"/>
  <c r="P615" i="1" s="1"/>
  <c r="O616" i="1"/>
  <c r="P616" i="1" s="1"/>
  <c r="O617" i="1"/>
  <c r="P617" i="1" s="1"/>
  <c r="O618" i="1"/>
  <c r="P618" i="1" s="1"/>
  <c r="N599" i="1" l="1"/>
  <c r="O599" i="1" s="1"/>
  <c r="P599" i="1" s="1"/>
  <c r="N598" i="1"/>
  <c r="O598" i="1" s="1"/>
  <c r="P598" i="1" s="1"/>
  <c r="N600" i="1"/>
  <c r="O600" i="1" s="1"/>
  <c r="P600" i="1" s="1"/>
  <c r="N597" i="1"/>
  <c r="O597" i="1" s="1"/>
  <c r="P597" i="1" s="1"/>
  <c r="N595" i="1"/>
  <c r="O595" i="1" s="1"/>
  <c r="P595" i="1" s="1"/>
  <c r="O593" i="1"/>
  <c r="P593" i="1" s="1"/>
  <c r="O594" i="1"/>
  <c r="P594" i="1" s="1"/>
  <c r="O596" i="1"/>
  <c r="P596" i="1" s="1"/>
  <c r="O601" i="1"/>
  <c r="P601" i="1" s="1"/>
  <c r="O602" i="1"/>
  <c r="P602" i="1" s="1"/>
  <c r="O603" i="1"/>
  <c r="P603" i="1" s="1"/>
  <c r="O604" i="1"/>
  <c r="P604" i="1" s="1"/>
  <c r="O605" i="1"/>
  <c r="P605" i="1" s="1"/>
  <c r="O606" i="1"/>
  <c r="P606" i="1" s="1"/>
  <c r="O607" i="1"/>
  <c r="P607" i="1" s="1"/>
  <c r="N586" i="1" l="1"/>
  <c r="O586" i="1" s="1"/>
  <c r="P586" i="1" s="1"/>
  <c r="N588" i="1"/>
  <c r="O588" i="1" s="1"/>
  <c r="P588" i="1" s="1"/>
  <c r="N585" i="1"/>
  <c r="O585" i="1" s="1"/>
  <c r="P585" i="1" s="1"/>
  <c r="N584" i="1"/>
  <c r="O584" i="1" s="1"/>
  <c r="P584" i="1" s="1"/>
  <c r="N583" i="1"/>
  <c r="O583" i="1" s="1"/>
  <c r="P583" i="1" s="1"/>
  <c r="N582" i="1"/>
  <c r="O582" i="1" s="1"/>
  <c r="P582" i="1" s="1"/>
  <c r="N581" i="1"/>
  <c r="O581" i="1" s="1"/>
  <c r="P581" i="1" s="1"/>
  <c r="N580" i="1"/>
  <c r="O580" i="1" s="1"/>
  <c r="P580" i="1" s="1"/>
  <c r="O577" i="1"/>
  <c r="P577" i="1" s="1"/>
  <c r="O578" i="1"/>
  <c r="P578" i="1" s="1"/>
  <c r="O579" i="1"/>
  <c r="P579" i="1" s="1"/>
  <c r="O587" i="1"/>
  <c r="P587" i="1" s="1"/>
  <c r="O589" i="1"/>
  <c r="P589" i="1" s="1"/>
  <c r="O590" i="1"/>
  <c r="P590" i="1" s="1"/>
  <c r="O591" i="1"/>
  <c r="P591" i="1" s="1"/>
  <c r="O592" i="1"/>
  <c r="P592" i="1" s="1"/>
  <c r="N568" i="1" l="1"/>
  <c r="O568" i="1" s="1"/>
  <c r="P568" i="1" s="1"/>
  <c r="N567" i="1"/>
  <c r="O567" i="1" s="1"/>
  <c r="P567" i="1" s="1"/>
  <c r="N563" i="1"/>
  <c r="O563" i="1" s="1"/>
  <c r="P563" i="1" s="1"/>
  <c r="N561" i="1"/>
  <c r="O561" i="1" s="1"/>
  <c r="P561" i="1" s="1"/>
  <c r="O560" i="1"/>
  <c r="P560" i="1" s="1"/>
  <c r="O562" i="1"/>
  <c r="P562" i="1" s="1"/>
  <c r="O564" i="1"/>
  <c r="P564" i="1" s="1"/>
  <c r="O565" i="1"/>
  <c r="P565" i="1" s="1"/>
  <c r="O566" i="1"/>
  <c r="P566" i="1" s="1"/>
  <c r="O569" i="1"/>
  <c r="P569" i="1" s="1"/>
  <c r="O570" i="1"/>
  <c r="O571" i="1"/>
  <c r="P571" i="1" s="1"/>
  <c r="O572" i="1"/>
  <c r="P572" i="1" s="1"/>
  <c r="O573" i="1"/>
  <c r="P573" i="1" s="1"/>
  <c r="O574" i="1"/>
  <c r="P574" i="1" s="1"/>
  <c r="O575" i="1"/>
  <c r="P575" i="1" s="1"/>
  <c r="O576" i="1"/>
  <c r="P576" i="1" s="1"/>
  <c r="P570" i="1" l="1"/>
  <c r="N553" i="1"/>
  <c r="O553" i="1" s="1"/>
  <c r="P553" i="1" s="1"/>
  <c r="N552" i="1"/>
  <c r="O552" i="1" s="1"/>
  <c r="P552" i="1" s="1"/>
  <c r="N548" i="1"/>
  <c r="O548" i="1" s="1"/>
  <c r="P548" i="1" s="1"/>
  <c r="N547" i="1"/>
  <c r="O547" i="1" s="1"/>
  <c r="P547" i="1" s="1"/>
  <c r="N546" i="1"/>
  <c r="O546" i="1" s="1"/>
  <c r="P546" i="1" s="1"/>
  <c r="O545" i="1"/>
  <c r="P545" i="1" s="1"/>
  <c r="O549" i="1"/>
  <c r="P549" i="1" s="1"/>
  <c r="O550" i="1"/>
  <c r="P550" i="1" s="1"/>
  <c r="O551" i="1"/>
  <c r="P551" i="1" s="1"/>
  <c r="O554" i="1"/>
  <c r="P554" i="1" s="1"/>
  <c r="O555" i="1"/>
  <c r="P555" i="1" s="1"/>
  <c r="O556" i="1"/>
  <c r="P556" i="1" s="1"/>
  <c r="O557" i="1"/>
  <c r="P557" i="1" s="1"/>
  <c r="O558" i="1"/>
  <c r="P558" i="1" s="1"/>
  <c r="O559" i="1"/>
  <c r="P559" i="1" s="1"/>
  <c r="N541" i="1" l="1"/>
  <c r="O541" i="1" s="1"/>
  <c r="P541" i="1" s="1"/>
  <c r="N540" i="1"/>
  <c r="O540" i="1" s="1"/>
  <c r="P540" i="1" s="1"/>
  <c r="N538" i="1"/>
  <c r="O538" i="1" s="1"/>
  <c r="P538" i="1" s="1"/>
  <c r="N537" i="1"/>
  <c r="O537" i="1" s="1"/>
  <c r="P537" i="1" s="1"/>
  <c r="N535" i="1"/>
  <c r="O535" i="1" s="1"/>
  <c r="P535" i="1" s="1"/>
  <c r="O534" i="1"/>
  <c r="O544" i="1"/>
  <c r="P544" i="1" s="1"/>
  <c r="O533" i="1"/>
  <c r="P533" i="1" s="1"/>
  <c r="O536" i="1"/>
  <c r="O539" i="1"/>
  <c r="P539" i="1" s="1"/>
  <c r="O542" i="1"/>
  <c r="P542" i="1" s="1"/>
  <c r="O543" i="1"/>
  <c r="P543" i="1" s="1"/>
  <c r="P534" i="1" l="1"/>
  <c r="P536" i="1"/>
  <c r="O529" i="1"/>
  <c r="O530" i="1"/>
  <c r="P530" i="1" s="1"/>
  <c r="O531" i="1"/>
  <c r="P531" i="1" s="1"/>
  <c r="O532" i="1"/>
  <c r="P532" i="1" s="1"/>
  <c r="N528" i="1"/>
  <c r="O528" i="1" s="1"/>
  <c r="P528" i="1" s="1"/>
  <c r="N527" i="1"/>
  <c r="O527" i="1" s="1"/>
  <c r="P527" i="1" s="1"/>
  <c r="N526" i="1"/>
  <c r="O526" i="1" s="1"/>
  <c r="P526" i="1" s="1"/>
  <c r="N525" i="1"/>
  <c r="O525" i="1" s="1"/>
  <c r="P525" i="1" s="1"/>
  <c r="N524" i="1"/>
  <c r="O524" i="1" s="1"/>
  <c r="P524" i="1" s="1"/>
  <c r="P529" i="1" l="1"/>
  <c r="N519" i="1"/>
  <c r="O519" i="1" s="1"/>
  <c r="P519" i="1" s="1"/>
  <c r="N518" i="1"/>
  <c r="O518" i="1" s="1"/>
  <c r="P518" i="1" s="1"/>
  <c r="N517" i="1"/>
  <c r="O517" i="1" s="1"/>
  <c r="P517" i="1" s="1"/>
  <c r="N515" i="1"/>
  <c r="O515" i="1" s="1"/>
  <c r="P515" i="1" s="1"/>
  <c r="N514" i="1"/>
  <c r="O514" i="1" s="1"/>
  <c r="P514" i="1" s="1"/>
  <c r="N513" i="1"/>
  <c r="O513" i="1" s="1"/>
  <c r="P513" i="1" s="1"/>
  <c r="O512" i="1"/>
  <c r="P512" i="1" s="1"/>
  <c r="O516" i="1"/>
  <c r="P516" i="1" s="1"/>
  <c r="O520" i="1"/>
  <c r="P520" i="1" s="1"/>
  <c r="O521" i="1"/>
  <c r="P521" i="1" s="1"/>
  <c r="O522" i="1"/>
  <c r="P522" i="1" s="1"/>
  <c r="O523" i="1"/>
  <c r="P523" i="1" s="1"/>
  <c r="N506" i="1" l="1"/>
  <c r="O506" i="1" s="1"/>
  <c r="P506" i="1" s="1"/>
  <c r="N505" i="1"/>
  <c r="O505" i="1" s="1"/>
  <c r="P505" i="1" s="1"/>
  <c r="N503" i="1"/>
  <c r="O503" i="1" s="1"/>
  <c r="P503" i="1" s="1"/>
  <c r="N501" i="1"/>
  <c r="O501" i="1" s="1"/>
  <c r="P501" i="1" s="1"/>
  <c r="N504" i="1"/>
  <c r="O504" i="1" s="1"/>
  <c r="P504" i="1" s="1"/>
  <c r="N500" i="1"/>
  <c r="O500" i="1" s="1"/>
  <c r="P500" i="1" s="1"/>
  <c r="O502" i="1"/>
  <c r="P502" i="1" s="1"/>
  <c r="O507" i="1"/>
  <c r="P507" i="1" s="1"/>
  <c r="O508" i="1"/>
  <c r="P508" i="1" s="1"/>
  <c r="O509" i="1"/>
  <c r="P509" i="1" s="1"/>
  <c r="O510" i="1"/>
  <c r="P510" i="1" s="1"/>
  <c r="O511" i="1"/>
  <c r="P511" i="1" s="1"/>
  <c r="N493" i="1" l="1"/>
  <c r="O493" i="1" s="1"/>
  <c r="P493" i="1" s="1"/>
  <c r="N492" i="1"/>
  <c r="O492" i="1" s="1"/>
  <c r="P492" i="1" s="1"/>
  <c r="N491" i="1"/>
  <c r="O491" i="1" s="1"/>
  <c r="P491" i="1" s="1"/>
  <c r="N490" i="1"/>
  <c r="O490" i="1" s="1"/>
  <c r="P490" i="1" s="1"/>
  <c r="N488" i="1"/>
  <c r="O488" i="1" s="1"/>
  <c r="P488" i="1" s="1"/>
  <c r="N486" i="1"/>
  <c r="O486" i="1" s="1"/>
  <c r="P486" i="1" s="1"/>
  <c r="N485" i="1"/>
  <c r="O485" i="1" s="1"/>
  <c r="P485" i="1" s="1"/>
  <c r="O484" i="1"/>
  <c r="P484" i="1" s="1"/>
  <c r="O487" i="1"/>
  <c r="P487" i="1" s="1"/>
  <c r="O489" i="1"/>
  <c r="P489" i="1" s="1"/>
  <c r="O494" i="1"/>
  <c r="P494" i="1" s="1"/>
  <c r="O495" i="1"/>
  <c r="P495" i="1" s="1"/>
  <c r="O496" i="1"/>
  <c r="P496" i="1" s="1"/>
  <c r="O497" i="1"/>
  <c r="P497" i="1" s="1"/>
  <c r="O498" i="1"/>
  <c r="P498" i="1" s="1"/>
  <c r="O499" i="1"/>
  <c r="P499" i="1" s="1"/>
  <c r="N468" i="1" l="1"/>
  <c r="O468" i="1" s="1"/>
  <c r="P468" i="1" s="1"/>
  <c r="N470" i="1"/>
  <c r="O470" i="1" s="1"/>
  <c r="P470" i="1" s="1"/>
  <c r="N471" i="1"/>
  <c r="O471" i="1" s="1"/>
  <c r="P471" i="1" s="1"/>
  <c r="N472" i="1"/>
  <c r="O472" i="1" s="1"/>
  <c r="P472" i="1" s="1"/>
  <c r="N473" i="1"/>
  <c r="O473" i="1" s="1"/>
  <c r="P473" i="1" s="1"/>
  <c r="N474" i="1"/>
  <c r="O474" i="1" s="1"/>
  <c r="P474" i="1" s="1"/>
  <c r="N475" i="1"/>
  <c r="O475" i="1" s="1"/>
  <c r="P475" i="1" s="1"/>
  <c r="O466" i="1"/>
  <c r="P466" i="1" s="1"/>
  <c r="O467" i="1"/>
  <c r="P467" i="1" s="1"/>
  <c r="O469" i="1"/>
  <c r="P469" i="1" s="1"/>
  <c r="O476" i="1"/>
  <c r="P476" i="1" s="1"/>
  <c r="O477" i="1"/>
  <c r="P477" i="1" s="1"/>
  <c r="O478" i="1"/>
  <c r="P478" i="1" s="1"/>
  <c r="O479" i="1"/>
  <c r="P479" i="1" s="1"/>
  <c r="O480" i="1"/>
  <c r="P480" i="1" s="1"/>
  <c r="O481" i="1"/>
  <c r="P481" i="1" s="1"/>
  <c r="O482" i="1"/>
  <c r="P482" i="1" s="1"/>
  <c r="O483" i="1"/>
  <c r="P483" i="1" s="1"/>
  <c r="N454" i="1" l="1"/>
  <c r="O454" i="1" s="1"/>
  <c r="P454" i="1" s="1"/>
  <c r="N453" i="1"/>
  <c r="O453" i="1" s="1"/>
  <c r="P453" i="1" s="1"/>
  <c r="N452" i="1"/>
  <c r="O452" i="1" s="1"/>
  <c r="P452" i="1" s="1"/>
  <c r="N451" i="1"/>
  <c r="O451" i="1" s="1"/>
  <c r="P451" i="1" s="1"/>
  <c r="O462" i="1"/>
  <c r="P462" i="1" s="1"/>
  <c r="O463" i="1"/>
  <c r="P463" i="1" s="1"/>
  <c r="O464" i="1"/>
  <c r="P464" i="1" s="1"/>
  <c r="O465" i="1"/>
  <c r="P465" i="1" s="1"/>
  <c r="O455" i="1"/>
  <c r="P455" i="1" s="1"/>
  <c r="O456" i="1"/>
  <c r="P456" i="1" s="1"/>
  <c r="O457" i="1"/>
  <c r="P457" i="1" s="1"/>
  <c r="N459" i="1"/>
  <c r="N461" i="1"/>
  <c r="N460" i="1"/>
  <c r="N458" i="1"/>
  <c r="M461" i="1"/>
  <c r="M460" i="1"/>
  <c r="M459" i="1"/>
  <c r="M458" i="1"/>
  <c r="O458" i="1" l="1"/>
  <c r="P458" i="1" s="1"/>
  <c r="O459" i="1"/>
  <c r="P459" i="1" s="1"/>
  <c r="O460" i="1"/>
  <c r="P460" i="1" s="1"/>
  <c r="O461" i="1"/>
  <c r="P461" i="1" s="1"/>
  <c r="N448" i="1"/>
  <c r="O448" i="1" s="1"/>
  <c r="P448" i="1" s="1"/>
  <c r="N439" i="1"/>
  <c r="O439" i="1" s="1"/>
  <c r="P439" i="1" s="1"/>
  <c r="O438" i="1"/>
  <c r="P438" i="1" s="1"/>
  <c r="N436" i="1"/>
  <c r="O436" i="1" s="1"/>
  <c r="P436" i="1" s="1"/>
  <c r="N435" i="1"/>
  <c r="O435" i="1" s="1"/>
  <c r="P435" i="1" s="1"/>
  <c r="N434" i="1"/>
  <c r="O434" i="1" s="1"/>
  <c r="P434" i="1" s="1"/>
  <c r="N433" i="1"/>
  <c r="O433" i="1" s="1"/>
  <c r="P433" i="1" s="1"/>
  <c r="N431" i="1"/>
  <c r="O431" i="1" s="1"/>
  <c r="P431" i="1" s="1"/>
  <c r="N430" i="1"/>
  <c r="O430" i="1" s="1"/>
  <c r="P430" i="1" s="1"/>
  <c r="O429" i="1"/>
  <c r="P429" i="1" s="1"/>
  <c r="O432" i="1"/>
  <c r="P432" i="1" s="1"/>
  <c r="O437" i="1"/>
  <c r="P437" i="1" s="1"/>
  <c r="O440" i="1"/>
  <c r="P440" i="1" s="1"/>
  <c r="O441" i="1"/>
  <c r="P441" i="1" s="1"/>
  <c r="O442" i="1"/>
  <c r="P442" i="1" s="1"/>
  <c r="O443" i="1"/>
  <c r="P443" i="1" s="1"/>
  <c r="O444" i="1"/>
  <c r="P444" i="1" s="1"/>
  <c r="O445" i="1"/>
  <c r="P445" i="1" s="1"/>
  <c r="O446" i="1"/>
  <c r="P446" i="1" s="1"/>
  <c r="O447" i="1"/>
  <c r="P447" i="1" s="1"/>
  <c r="O449" i="1"/>
  <c r="P449" i="1" s="1"/>
  <c r="O450" i="1"/>
  <c r="P450" i="1" s="1"/>
  <c r="N418" i="1" l="1"/>
  <c r="O418" i="1" s="1"/>
  <c r="P418" i="1" s="1"/>
  <c r="N417" i="1"/>
  <c r="O417" i="1" s="1"/>
  <c r="P417" i="1" s="1"/>
  <c r="N412" i="1"/>
  <c r="O412" i="1" s="1"/>
  <c r="P412" i="1" s="1"/>
  <c r="N411" i="1"/>
  <c r="O411" i="1" s="1"/>
  <c r="P411" i="1" s="1"/>
  <c r="N410" i="1"/>
  <c r="O410" i="1" s="1"/>
  <c r="P410" i="1" s="1"/>
  <c r="N409" i="1"/>
  <c r="O409" i="1" s="1"/>
  <c r="P409" i="1" s="1"/>
  <c r="N408" i="1"/>
  <c r="O408" i="1" s="1"/>
  <c r="P408" i="1" s="1"/>
  <c r="O407" i="1"/>
  <c r="P407" i="1" s="1"/>
  <c r="O413" i="1"/>
  <c r="P413" i="1" s="1"/>
  <c r="O414" i="1"/>
  <c r="P414" i="1" s="1"/>
  <c r="O415" i="1"/>
  <c r="P415" i="1" s="1"/>
  <c r="O416" i="1"/>
  <c r="P416" i="1" s="1"/>
  <c r="O419" i="1"/>
  <c r="P419" i="1" s="1"/>
  <c r="O420" i="1"/>
  <c r="P420" i="1" s="1"/>
  <c r="O421" i="1"/>
  <c r="P421" i="1" s="1"/>
  <c r="O422" i="1"/>
  <c r="P422" i="1" s="1"/>
  <c r="O423" i="1"/>
  <c r="P423" i="1" s="1"/>
  <c r="O424" i="1"/>
  <c r="P424" i="1" s="1"/>
  <c r="O425" i="1"/>
  <c r="P425" i="1" s="1"/>
  <c r="O426" i="1"/>
  <c r="P426" i="1" s="1"/>
  <c r="O427" i="1"/>
  <c r="P427" i="1" s="1"/>
  <c r="O428" i="1"/>
  <c r="P428" i="1" s="1"/>
  <c r="N401" i="1" l="1"/>
  <c r="O401" i="1" s="1"/>
  <c r="P401" i="1" s="1"/>
  <c r="N399" i="1"/>
  <c r="O399" i="1" s="1"/>
  <c r="P399" i="1" s="1"/>
  <c r="N398" i="1"/>
  <c r="O398" i="1" s="1"/>
  <c r="P398" i="1" s="1"/>
  <c r="O400" i="1"/>
  <c r="P400" i="1" s="1"/>
  <c r="O402" i="1"/>
  <c r="P402" i="1" s="1"/>
  <c r="O403" i="1"/>
  <c r="P403" i="1" s="1"/>
  <c r="O404" i="1"/>
  <c r="P404" i="1" s="1"/>
  <c r="O405" i="1"/>
  <c r="P405" i="1" s="1"/>
  <c r="O406" i="1"/>
  <c r="P406" i="1" s="1"/>
  <c r="N397" i="1"/>
  <c r="O397" i="1" s="1"/>
  <c r="P397" i="1" s="1"/>
  <c r="N396" i="1"/>
  <c r="O396" i="1" s="1"/>
  <c r="P396" i="1" s="1"/>
  <c r="N390" i="1" l="1"/>
  <c r="N389" i="1"/>
  <c r="N388" i="1"/>
  <c r="N386" i="1"/>
  <c r="N387" i="1"/>
  <c r="N384" i="1" l="1"/>
  <c r="O384" i="1" s="1"/>
  <c r="P384" i="1" s="1"/>
  <c r="N382" i="1"/>
  <c r="O382" i="1" s="1"/>
  <c r="P382" i="1" s="1"/>
  <c r="N379" i="1"/>
  <c r="O379" i="1" s="1"/>
  <c r="P379" i="1" s="1"/>
  <c r="N378" i="1"/>
  <c r="O378" i="1" s="1"/>
  <c r="P378" i="1" s="1"/>
  <c r="O380" i="1"/>
  <c r="P380" i="1" s="1"/>
  <c r="O381" i="1"/>
  <c r="P381" i="1" s="1"/>
  <c r="O383" i="1"/>
  <c r="P383"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70" i="1" l="1"/>
  <c r="P370" i="1" s="1"/>
  <c r="N369" i="1"/>
  <c r="O369" i="1" s="1"/>
  <c r="P369" i="1" s="1"/>
  <c r="N366" i="1"/>
  <c r="O366" i="1" s="1"/>
  <c r="P366" i="1" s="1"/>
  <c r="N365" i="1"/>
  <c r="O365" i="1" s="1"/>
  <c r="P365" i="1" s="1"/>
  <c r="N364" i="1"/>
  <c r="O364" i="1" s="1"/>
  <c r="P364" i="1" s="1"/>
  <c r="N363" i="1"/>
  <c r="O363" i="1" s="1"/>
  <c r="P363" i="1" s="1"/>
  <c r="O362" i="1"/>
  <c r="P362" i="1" s="1"/>
  <c r="O367" i="1"/>
  <c r="P367" i="1" s="1"/>
  <c r="O368" i="1"/>
  <c r="P368" i="1" s="1"/>
  <c r="O371" i="1"/>
  <c r="P371" i="1" s="1"/>
  <c r="O372" i="1"/>
  <c r="P372" i="1" s="1"/>
  <c r="O373" i="1"/>
  <c r="P373" i="1" s="1"/>
  <c r="O374" i="1"/>
  <c r="P374" i="1" s="1"/>
  <c r="O375" i="1"/>
  <c r="P375" i="1" s="1"/>
  <c r="O376" i="1"/>
  <c r="P376" i="1" s="1"/>
  <c r="O377" i="1"/>
  <c r="P377" i="1" s="1"/>
  <c r="N350" i="1" l="1"/>
  <c r="O350" i="1" s="1"/>
  <c r="P350" i="1" s="1"/>
  <c r="O349" i="1"/>
  <c r="P349" i="1" s="1"/>
  <c r="N347" i="1"/>
  <c r="O347" i="1" s="1"/>
  <c r="P347" i="1" s="1"/>
  <c r="O348" i="1"/>
  <c r="P348"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N335" i="1" l="1"/>
  <c r="O335" i="1" s="1"/>
  <c r="P335" i="1" s="1"/>
  <c r="N333" i="1"/>
  <c r="O333" i="1" s="1"/>
  <c r="P333" i="1" s="1"/>
  <c r="N334" i="1"/>
  <c r="O334" i="1" s="1"/>
  <c r="P334" i="1" s="1"/>
  <c r="N332" i="1"/>
  <c r="O332" i="1" s="1"/>
  <c r="P332" i="1" s="1"/>
  <c r="N330" i="1"/>
  <c r="O330" i="1" s="1"/>
  <c r="P330" i="1" s="1"/>
  <c r="O331" i="1"/>
  <c r="P331"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N317" i="1" l="1"/>
  <c r="O317" i="1" s="1"/>
  <c r="P317" i="1" s="1"/>
  <c r="N316" i="1"/>
  <c r="O316" i="1" s="1"/>
  <c r="P316" i="1" s="1"/>
  <c r="N324" i="1"/>
  <c r="O324" i="1" s="1"/>
  <c r="P324" i="1" s="1"/>
  <c r="N321" i="1"/>
  <c r="O321" i="1" s="1"/>
  <c r="P321" i="1" s="1"/>
  <c r="N318" i="1"/>
  <c r="O318" i="1" s="1"/>
  <c r="P318" i="1" s="1"/>
  <c r="N315" i="1"/>
  <c r="O315" i="1" s="1"/>
  <c r="P315" i="1" s="1"/>
  <c r="O319" i="1"/>
  <c r="P319" i="1" s="1"/>
  <c r="O320" i="1"/>
  <c r="P320" i="1" s="1"/>
  <c r="O322" i="1"/>
  <c r="P322" i="1" s="1"/>
  <c r="O323" i="1"/>
  <c r="P323" i="1" s="1"/>
  <c r="O325" i="1"/>
  <c r="P325" i="1" s="1"/>
  <c r="O326" i="1"/>
  <c r="P326" i="1" s="1"/>
  <c r="O327" i="1"/>
  <c r="P327" i="1" s="1"/>
  <c r="O328" i="1"/>
  <c r="P328" i="1" s="1"/>
  <c r="O329" i="1"/>
  <c r="P329" i="1" s="1"/>
  <c r="O295" i="1" l="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N287" i="1" l="1"/>
  <c r="O287" i="1" s="1"/>
  <c r="P287" i="1" s="1"/>
  <c r="N282" i="1"/>
  <c r="O282" i="1" s="1"/>
  <c r="P282" i="1" s="1"/>
  <c r="N281" i="1"/>
  <c r="O281" i="1" s="1"/>
  <c r="P281" i="1" s="1"/>
  <c r="N279" i="1"/>
  <c r="O279" i="1" s="1"/>
  <c r="P279" i="1" s="1"/>
  <c r="O280" i="1"/>
  <c r="P280" i="1" s="1"/>
  <c r="O283" i="1"/>
  <c r="P283" i="1" s="1"/>
  <c r="O284" i="1"/>
  <c r="O285" i="1"/>
  <c r="P285" i="1" s="1"/>
  <c r="O286" i="1"/>
  <c r="P286" i="1" s="1"/>
  <c r="O288" i="1"/>
  <c r="P288" i="1" s="1"/>
  <c r="O289" i="1"/>
  <c r="P289" i="1" s="1"/>
  <c r="O290" i="1"/>
  <c r="P290" i="1" s="1"/>
  <c r="O291" i="1"/>
  <c r="P291" i="1" s="1"/>
  <c r="O292" i="1"/>
  <c r="P292" i="1" s="1"/>
  <c r="O293" i="1"/>
  <c r="P293" i="1" s="1"/>
  <c r="O294" i="1"/>
  <c r="P294" i="1" s="1"/>
  <c r="P284" i="1" l="1"/>
  <c r="N262" i="1"/>
  <c r="O262" i="1" s="1"/>
  <c r="P262" i="1" s="1"/>
  <c r="N264" i="1"/>
  <c r="O264" i="1" s="1"/>
  <c r="P264" i="1" s="1"/>
  <c r="N267" i="1"/>
  <c r="O267" i="1" s="1"/>
  <c r="P267" i="1" s="1"/>
  <c r="N268" i="1"/>
  <c r="O268" i="1" s="1"/>
  <c r="P268" i="1" s="1"/>
  <c r="N269" i="1"/>
  <c r="O269" i="1" s="1"/>
  <c r="P269" i="1" s="1"/>
  <c r="N272" i="1"/>
  <c r="O272" i="1" s="1"/>
  <c r="P272" i="1" s="1"/>
  <c r="N274" i="1"/>
  <c r="O274" i="1" s="1"/>
  <c r="P274" i="1" s="1"/>
  <c r="O261" i="1"/>
  <c r="P261" i="1" s="1"/>
  <c r="O263" i="1"/>
  <c r="P263" i="1" s="1"/>
  <c r="O265" i="1"/>
  <c r="P265" i="1" s="1"/>
  <c r="O266" i="1"/>
  <c r="P266" i="1" s="1"/>
  <c r="O270" i="1"/>
  <c r="P270" i="1" s="1"/>
  <c r="O271" i="1"/>
  <c r="P271" i="1" s="1"/>
  <c r="O273" i="1"/>
  <c r="P273" i="1" s="1"/>
  <c r="O275" i="1"/>
  <c r="P275" i="1" s="1"/>
  <c r="O276" i="1"/>
  <c r="P276" i="1" s="1"/>
  <c r="O277" i="1"/>
  <c r="P277" i="1" s="1"/>
  <c r="O278" i="1"/>
  <c r="P278" i="1" s="1"/>
  <c r="N246" i="1" l="1"/>
  <c r="O246" i="1" s="1"/>
  <c r="P246" i="1" s="1"/>
  <c r="N247" i="1"/>
  <c r="O247" i="1" s="1"/>
  <c r="P247" i="1" s="1"/>
  <c r="N249" i="1"/>
  <c r="O249" i="1" s="1"/>
  <c r="P249" i="1" s="1"/>
  <c r="N250" i="1"/>
  <c r="O250" i="1" s="1"/>
  <c r="P250" i="1" s="1"/>
  <c r="N251" i="1"/>
  <c r="O251" i="1" s="1"/>
  <c r="P251" i="1" s="1"/>
  <c r="N254" i="1"/>
  <c r="O254" i="1" s="1"/>
  <c r="P254" i="1" s="1"/>
  <c r="O244" i="1"/>
  <c r="P244" i="1" s="1"/>
  <c r="O245" i="1"/>
  <c r="P245" i="1" s="1"/>
  <c r="O248" i="1"/>
  <c r="P248" i="1" s="1"/>
  <c r="O252" i="1"/>
  <c r="P252" i="1" s="1"/>
  <c r="O253" i="1"/>
  <c r="P253" i="1" s="1"/>
  <c r="O255" i="1"/>
  <c r="P255" i="1" s="1"/>
  <c r="O256" i="1"/>
  <c r="O257" i="1"/>
  <c r="P257" i="1" s="1"/>
  <c r="O258" i="1"/>
  <c r="P258" i="1" s="1"/>
  <c r="O259" i="1"/>
  <c r="P259" i="1" s="1"/>
  <c r="O260" i="1"/>
  <c r="P260" i="1" s="1"/>
  <c r="P256" i="1" l="1"/>
  <c r="N239" i="1"/>
  <c r="O239" i="1" s="1"/>
  <c r="P239" i="1" s="1"/>
  <c r="N238" i="1"/>
  <c r="O238" i="1" s="1"/>
  <c r="P238" i="1" s="1"/>
  <c r="N237" i="1"/>
  <c r="O237" i="1" s="1"/>
  <c r="P237" i="1" s="1"/>
  <c r="N235" i="1"/>
  <c r="O235" i="1" s="1"/>
  <c r="P235" i="1" s="1"/>
  <c r="N234" i="1"/>
  <c r="O234" i="1" s="1"/>
  <c r="P234" i="1" s="1"/>
  <c r="N232" i="1"/>
  <c r="O232" i="1" s="1"/>
  <c r="P232" i="1" s="1"/>
  <c r="O233" i="1"/>
  <c r="P233" i="1" s="1"/>
  <c r="O236" i="1"/>
  <c r="P236" i="1" s="1"/>
  <c r="O240" i="1"/>
  <c r="P240" i="1" s="1"/>
  <c r="O241" i="1"/>
  <c r="P241" i="1" s="1"/>
  <c r="O242" i="1"/>
  <c r="P242" i="1" s="1"/>
  <c r="O243" i="1"/>
  <c r="P243" i="1" s="1"/>
  <c r="N222" i="1" l="1"/>
  <c r="O222" i="1" s="1"/>
  <c r="P222" i="1" s="1"/>
  <c r="N219" i="1"/>
  <c r="O219" i="1" s="1"/>
  <c r="P219" i="1" s="1"/>
  <c r="N218" i="1"/>
  <c r="O218" i="1" s="1"/>
  <c r="P218" i="1" s="1"/>
  <c r="N217" i="1"/>
  <c r="O217" i="1" s="1"/>
  <c r="P217" i="1" s="1"/>
  <c r="N216" i="1"/>
  <c r="O216" i="1" s="1"/>
  <c r="P216" i="1" s="1"/>
  <c r="N215" i="1"/>
  <c r="O215" i="1" s="1"/>
  <c r="P215" i="1" s="1"/>
  <c r="O214" i="1"/>
  <c r="P214" i="1" s="1"/>
  <c r="O220" i="1"/>
  <c r="P220" i="1" s="1"/>
  <c r="O221" i="1"/>
  <c r="P221" i="1" s="1"/>
  <c r="O223" i="1"/>
  <c r="P223" i="1" s="1"/>
  <c r="O224" i="1"/>
  <c r="P224" i="1" s="1"/>
  <c r="O225" i="1"/>
  <c r="O226" i="1"/>
  <c r="P226" i="1" s="1"/>
  <c r="O227" i="1"/>
  <c r="P227" i="1" s="1"/>
  <c r="O228" i="1"/>
  <c r="P228" i="1" s="1"/>
  <c r="O229" i="1"/>
  <c r="P229" i="1" s="1"/>
  <c r="O230" i="1"/>
  <c r="P230" i="1" s="1"/>
  <c r="O231" i="1"/>
  <c r="P231" i="1" s="1"/>
  <c r="P225" i="1" l="1"/>
  <c r="N203" i="1"/>
  <c r="O203" i="1" s="1"/>
  <c r="P203" i="1" s="1"/>
  <c r="N202" i="1"/>
  <c r="O202" i="1" s="1"/>
  <c r="P202" i="1" s="1"/>
  <c r="N201" i="1"/>
  <c r="O201" i="1" s="1"/>
  <c r="P201" i="1" s="1"/>
  <c r="N200" i="1"/>
  <c r="O200" i="1" s="1"/>
  <c r="P200" i="1" s="1"/>
  <c r="O204" i="1"/>
  <c r="P204" i="1" s="1"/>
  <c r="O205" i="1"/>
  <c r="P205" i="1" s="1"/>
  <c r="O206" i="1"/>
  <c r="P206" i="1" s="1"/>
  <c r="O207" i="1"/>
  <c r="P207" i="1" s="1"/>
  <c r="O209" i="1"/>
  <c r="P209" i="1" s="1"/>
  <c r="O210" i="1"/>
  <c r="P210" i="1" s="1"/>
  <c r="O211" i="1"/>
  <c r="P211" i="1" s="1"/>
  <c r="O212" i="1"/>
  <c r="P212" i="1" s="1"/>
  <c r="O213" i="1"/>
  <c r="P213" i="1" s="1"/>
  <c r="N208" i="1"/>
  <c r="O208" i="1" s="1"/>
  <c r="P208" i="1" s="1"/>
  <c r="N187" i="1" l="1"/>
  <c r="O187" i="1" s="1"/>
  <c r="P187" i="1" s="1"/>
  <c r="N185" i="1"/>
  <c r="O185" i="1" s="1"/>
  <c r="P185" i="1" s="1"/>
  <c r="N186" i="1"/>
  <c r="O186" i="1" s="1"/>
  <c r="P186" i="1" s="1"/>
  <c r="N188" i="1"/>
  <c r="O188" i="1" s="1"/>
  <c r="P188" i="1" s="1"/>
  <c r="N190" i="1"/>
  <c r="O190" i="1" s="1"/>
  <c r="P190" i="1" s="1"/>
  <c r="N191" i="1"/>
  <c r="O191" i="1" s="1"/>
  <c r="P191" i="1" s="1"/>
  <c r="N192" i="1"/>
  <c r="O192" i="1" s="1"/>
  <c r="P192" i="1" s="1"/>
  <c r="N193" i="1"/>
  <c r="O193" i="1" s="1"/>
  <c r="P193" i="1" s="1"/>
  <c r="N194" i="1"/>
  <c r="O194" i="1" s="1"/>
  <c r="P194" i="1" s="1"/>
  <c r="O184" i="1"/>
  <c r="P184" i="1" s="1"/>
  <c r="O189" i="1"/>
  <c r="P189" i="1" s="1"/>
  <c r="O195" i="1"/>
  <c r="P195" i="1" s="1"/>
  <c r="O196" i="1"/>
  <c r="P196" i="1" s="1"/>
  <c r="O197" i="1"/>
  <c r="P197" i="1" s="1"/>
  <c r="O198" i="1"/>
  <c r="P198" i="1" s="1"/>
  <c r="O199" i="1"/>
  <c r="P199" i="1" s="1"/>
  <c r="N178" i="1" l="1"/>
  <c r="O178" i="1" s="1"/>
  <c r="P178" i="1" s="1"/>
  <c r="N177" i="1"/>
  <c r="O177" i="1" s="1"/>
  <c r="P177" i="1" s="1"/>
  <c r="N176" i="1"/>
  <c r="O176" i="1" s="1"/>
  <c r="P176" i="1" s="1"/>
  <c r="N174" i="1"/>
  <c r="O174" i="1" s="1"/>
  <c r="P174" i="1" s="1"/>
  <c r="N173" i="1"/>
  <c r="O173" i="1" s="1"/>
  <c r="P173" i="1" s="1"/>
  <c r="N172" i="1"/>
  <c r="O172" i="1" s="1"/>
  <c r="P172" i="1" s="1"/>
  <c r="N171" i="1"/>
  <c r="O171" i="1" s="1"/>
  <c r="P171" i="1" s="1"/>
  <c r="N170" i="1"/>
  <c r="O170" i="1" s="1"/>
  <c r="P170" i="1" s="1"/>
  <c r="O183" i="1"/>
  <c r="P183" i="1" s="1"/>
  <c r="O167" i="1"/>
  <c r="P167" i="1" s="1"/>
  <c r="O168" i="1"/>
  <c r="P168" i="1" s="1"/>
  <c r="O169" i="1"/>
  <c r="P169" i="1" s="1"/>
  <c r="O175" i="1"/>
  <c r="P175" i="1" s="1"/>
  <c r="O179" i="1"/>
  <c r="P179" i="1" s="1"/>
  <c r="O180" i="1"/>
  <c r="P180" i="1" s="1"/>
  <c r="O181" i="1"/>
  <c r="P181" i="1" s="1"/>
  <c r="O182" i="1"/>
  <c r="P182" i="1" s="1"/>
  <c r="G158" i="1" l="1"/>
  <c r="O153" i="1"/>
  <c r="P153" i="1" s="1"/>
  <c r="O154" i="1"/>
  <c r="P154" i="1" s="1"/>
  <c r="O155" i="1"/>
  <c r="P155" i="1" s="1"/>
  <c r="O156" i="1"/>
  <c r="P156" i="1" s="1"/>
  <c r="O157" i="1"/>
  <c r="P157" i="1" s="1"/>
  <c r="O158" i="1"/>
  <c r="O159" i="1"/>
  <c r="P159" i="1" s="1"/>
  <c r="O160" i="1"/>
  <c r="P160" i="1" s="1"/>
  <c r="O161" i="1"/>
  <c r="O162" i="1"/>
  <c r="P162" i="1" s="1"/>
  <c r="O163" i="1"/>
  <c r="P163" i="1" s="1"/>
  <c r="O164" i="1"/>
  <c r="P164" i="1" s="1"/>
  <c r="O165" i="1"/>
  <c r="P165" i="1" s="1"/>
  <c r="O166" i="1"/>
  <c r="P166" i="1" s="1"/>
  <c r="P158" i="1" l="1"/>
  <c r="P161" i="1"/>
  <c r="N143" i="1"/>
  <c r="O143" i="1" s="1"/>
  <c r="P143" i="1" s="1"/>
  <c r="N142" i="1"/>
  <c r="O142" i="1" s="1"/>
  <c r="P142" i="1" s="1"/>
  <c r="N141" i="1"/>
  <c r="O141" i="1" s="1"/>
  <c r="O144" i="1"/>
  <c r="P144" i="1" s="1"/>
  <c r="O145" i="1"/>
  <c r="P145" i="1" s="1"/>
  <c r="O146" i="1"/>
  <c r="P146" i="1" s="1"/>
  <c r="O147" i="1"/>
  <c r="P147" i="1" s="1"/>
  <c r="O148" i="1"/>
  <c r="P148" i="1" s="1"/>
  <c r="O149" i="1"/>
  <c r="P149" i="1" s="1"/>
  <c r="O150" i="1"/>
  <c r="P150" i="1" s="1"/>
  <c r="O151" i="1"/>
  <c r="P151" i="1" s="1"/>
  <c r="O152" i="1"/>
  <c r="P152" i="1" s="1"/>
  <c r="P141" i="1" l="1"/>
  <c r="N129" i="1"/>
  <c r="O129" i="1" s="1"/>
  <c r="P129" i="1" s="1"/>
  <c r="N128" i="1"/>
  <c r="O128" i="1" s="1"/>
  <c r="P128" i="1" s="1"/>
  <c r="N127" i="1"/>
  <c r="O127" i="1" s="1"/>
  <c r="P127" i="1" s="1"/>
  <c r="O140" i="1"/>
  <c r="P140" i="1" s="1"/>
  <c r="O126" i="1"/>
  <c r="P126" i="1" s="1"/>
  <c r="O130" i="1"/>
  <c r="P130" i="1" s="1"/>
  <c r="O131" i="1"/>
  <c r="P131" i="1" s="1"/>
  <c r="O132" i="1"/>
  <c r="P132" i="1" s="1"/>
  <c r="O133" i="1"/>
  <c r="P133" i="1" s="1"/>
  <c r="O134" i="1"/>
  <c r="P134" i="1" s="1"/>
  <c r="O135" i="1"/>
  <c r="P135" i="1" s="1"/>
  <c r="O136" i="1"/>
  <c r="P136" i="1" s="1"/>
  <c r="O137" i="1"/>
  <c r="P137" i="1" s="1"/>
  <c r="O138" i="1"/>
  <c r="P138" i="1" s="1"/>
  <c r="O139" i="1"/>
  <c r="P139" i="1" s="1"/>
  <c r="O113" i="1" l="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N104" i="1" l="1"/>
  <c r="N105" i="1"/>
  <c r="O105" i="1" s="1"/>
  <c r="P105" i="1" s="1"/>
  <c r="N106" i="1"/>
  <c r="O106" i="1" s="1"/>
  <c r="P106" i="1" s="1"/>
  <c r="N103" i="1"/>
  <c r="O103" i="1" s="1"/>
  <c r="P103" i="1" s="1"/>
  <c r="M104" i="1"/>
  <c r="O100" i="1"/>
  <c r="P100" i="1" s="1"/>
  <c r="O101" i="1"/>
  <c r="P101" i="1" s="1"/>
  <c r="O102" i="1"/>
  <c r="P102" i="1" s="1"/>
  <c r="O107" i="1"/>
  <c r="P107" i="1" s="1"/>
  <c r="O108" i="1"/>
  <c r="P108" i="1" s="1"/>
  <c r="O109" i="1"/>
  <c r="P109" i="1" s="1"/>
  <c r="O110" i="1"/>
  <c r="P110" i="1" s="1"/>
  <c r="O111" i="1"/>
  <c r="P111" i="1" s="1"/>
  <c r="O112" i="1"/>
  <c r="P112" i="1" s="1"/>
  <c r="O104" i="1" l="1"/>
  <c r="P104" i="1" s="1"/>
  <c r="N88" i="1"/>
  <c r="O88" i="1" s="1"/>
  <c r="P88" i="1" s="1"/>
  <c r="N90" i="1"/>
  <c r="O90" i="1" s="1"/>
  <c r="P90" i="1" s="1"/>
  <c r="N91" i="1"/>
  <c r="O91" i="1" s="1"/>
  <c r="P91" i="1" s="1"/>
  <c r="N94" i="1"/>
  <c r="O94" i="1" s="1"/>
  <c r="P94" i="1" s="1"/>
  <c r="O86" i="1"/>
  <c r="P86" i="1" s="1"/>
  <c r="O87" i="1"/>
  <c r="P87" i="1" s="1"/>
  <c r="O89" i="1"/>
  <c r="P89" i="1" s="1"/>
  <c r="O92" i="1"/>
  <c r="P92" i="1" s="1"/>
  <c r="O93" i="1"/>
  <c r="P93" i="1" s="1"/>
  <c r="O95" i="1"/>
  <c r="P95" i="1" s="1"/>
  <c r="O96" i="1"/>
  <c r="P96" i="1" s="1"/>
  <c r="O97" i="1"/>
  <c r="P97" i="1" s="1"/>
  <c r="O98" i="1"/>
  <c r="P98" i="1" s="1"/>
  <c r="O99" i="1"/>
  <c r="P99" i="1" s="1"/>
  <c r="O53" i="1" l="1"/>
  <c r="P53" i="1" s="1"/>
  <c r="O54" i="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l="1"/>
  <c r="P54" i="1"/>
  <c r="G26" i="1"/>
  <c r="N28" i="1"/>
  <c r="O17" i="1" l="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3" i="1"/>
  <c r="P3" i="1" s="1"/>
  <c r="O5" i="1"/>
  <c r="P5" i="1" s="1"/>
  <c r="O6" i="1"/>
  <c r="P6" i="1" s="1"/>
  <c r="O8" i="1"/>
  <c r="P8" i="1" s="1"/>
  <c r="O9" i="1"/>
  <c r="P9" i="1" s="1"/>
  <c r="O10" i="1"/>
  <c r="P10" i="1" s="1"/>
  <c r="O11" i="1"/>
  <c r="P11" i="1" s="1"/>
  <c r="O12" i="1"/>
  <c r="P12" i="1" s="1"/>
  <c r="O13" i="1"/>
  <c r="P13" i="1" s="1"/>
  <c r="O14" i="1"/>
  <c r="P14" i="1" s="1"/>
  <c r="O15" i="1"/>
  <c r="P15" i="1" s="1"/>
  <c r="O16" i="1"/>
  <c r="P16" i="1" s="1"/>
  <c r="O2" i="1"/>
  <c r="P2" i="1" s="1"/>
  <c r="N7" i="1" l="1"/>
  <c r="O7" i="1" s="1"/>
  <c r="P7" i="1" s="1"/>
  <c r="N4" i="1"/>
  <c r="O4" i="1" s="1"/>
  <c r="P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Mauricio Arevalo Moran</author>
    <author>tc={6CC7C1D7-558C-4F37-83F8-1DE4BDA49381}</author>
    <author>tc={35A5EE0C-01F5-4265-B3BB-65A705B6FD22}</author>
  </authors>
  <commentList>
    <comment ref="G2229" authorId="0" shapeId="0" xr:uid="{2D2421D5-9B8B-4653-A044-E10D65014AF8}">
      <text>
        <r>
          <rPr>
            <b/>
            <sz val="9"/>
            <color indexed="81"/>
            <rFont val="Tahoma"/>
            <family val="2"/>
          </rPr>
          <t>Mauricio Arevalo Moran:</t>
        </r>
        <r>
          <rPr>
            <sz val="9"/>
            <color indexed="81"/>
            <rFont val="Tahoma"/>
            <family val="2"/>
          </rPr>
          <t xml:space="preserve">
SE SUMA GUIA 123097</t>
        </r>
      </text>
    </comment>
    <comment ref="G2270" authorId="0" shapeId="0" xr:uid="{2260E274-B79E-43C9-86D2-0373A5DFC115}">
      <text>
        <r>
          <rPr>
            <b/>
            <sz val="9"/>
            <color indexed="81"/>
            <rFont val="Tahoma"/>
            <family val="2"/>
          </rPr>
          <t>Mauricio Arevalo Moran:</t>
        </r>
        <r>
          <rPr>
            <sz val="9"/>
            <color indexed="81"/>
            <rFont val="Tahoma"/>
            <family val="2"/>
          </rPr>
          <t xml:space="preserve">
Autorizado por Carolina araya</t>
        </r>
      </text>
    </comment>
    <comment ref="G2906" authorId="0" shapeId="0" xr:uid="{79FF0255-CCE6-44FB-8BA3-2102840E2B96}">
      <text>
        <r>
          <rPr>
            <b/>
            <sz val="9"/>
            <color indexed="81"/>
            <rFont val="Tahoma"/>
            <family val="2"/>
          </rPr>
          <t>Mauricio Arevalo Moran:</t>
        </r>
        <r>
          <rPr>
            <sz val="9"/>
            <color indexed="81"/>
            <rFont val="Tahoma"/>
            <family val="2"/>
          </rPr>
          <t xml:space="preserve">
+ ACMANET 5000 KG </t>
        </r>
      </text>
    </comment>
    <comment ref="G2920" authorId="0" shapeId="0" xr:uid="{4C46A0FD-5200-4BD5-B78C-899D35EFA83E}">
      <text>
        <r>
          <rPr>
            <b/>
            <sz val="9"/>
            <color indexed="81"/>
            <rFont val="Tahoma"/>
            <family val="2"/>
          </rPr>
          <t>Mauricio Arevalo Moran:</t>
        </r>
        <r>
          <rPr>
            <sz val="9"/>
            <color indexed="81"/>
            <rFont val="Tahoma"/>
            <family val="2"/>
          </rPr>
          <t xml:space="preserve">
+ amanet 5000 kg
</t>
        </r>
      </text>
    </comment>
    <comment ref="O4493" authorId="1" shapeId="0" xr:uid="{6CC7C1D7-558C-4F37-83F8-1DE4BDA49381}">
      <text>
        <t>[Comentario encadenado]
Tu versión de Excel te permite leer este comentario encadenado; sin embargo, las ediciones que se apliquen se quitarán si el archivo se abre en una versión más reciente de Excel. Más información: https://go.microsoft.com/fwlink/?linkid=870924
Comentario:
    FLETE PAGADO 680000</t>
      </text>
    </comment>
    <comment ref="M4670" authorId="2" shapeId="0" xr:uid="{35A5EE0C-01F5-4265-B3BB-65A705B6FD22}">
      <text>
        <t>[Comentario encadenado]
Tu versión de Excel te permite leer este comentario encadenado; sin embargo, las ediciones que se apliquen se quitarán si el archivo se abre en una versión más reciente de Excel. Más información: https://go.microsoft.com/fwlink/?linkid=870924
Comentario:
    flete pagado</t>
      </text>
    </comment>
    <comment ref="O4709" authorId="0" shapeId="0" xr:uid="{741F4EFF-B051-4062-AB56-36B71217AACF}">
      <text>
        <r>
          <rPr>
            <b/>
            <sz val="9"/>
            <color indexed="81"/>
            <rFont val="Tahoma"/>
            <family val="2"/>
          </rPr>
          <t>Mauricio Arevalo Moran:</t>
        </r>
        <r>
          <rPr>
            <sz val="9"/>
            <color indexed="81"/>
            <rFont val="Tahoma"/>
            <family val="2"/>
          </rPr>
          <t xml:space="preserve">
FLETE PAGADO
</t>
        </r>
      </text>
    </comment>
  </commentList>
</comments>
</file>

<file path=xl/sharedStrings.xml><?xml version="1.0" encoding="utf-8"?>
<sst xmlns="http://schemas.openxmlformats.org/spreadsheetml/2006/main" count="76256" uniqueCount="9448">
  <si>
    <t>f_despreal</t>
  </si>
  <si>
    <t>clent</t>
  </si>
  <si>
    <t>nombredelsolicitante</t>
  </si>
  <si>
    <t>matriccamion</t>
  </si>
  <si>
    <t>nidentfis1</t>
  </si>
  <si>
    <t>destino</t>
  </si>
  <si>
    <t>pesototal</t>
  </si>
  <si>
    <t>transporte</t>
  </si>
  <si>
    <t>rampla</t>
  </si>
  <si>
    <t>ciudad</t>
  </si>
  <si>
    <t>region</t>
  </si>
  <si>
    <t>radio</t>
  </si>
  <si>
    <t>base</t>
  </si>
  <si>
    <t>servicio</t>
  </si>
  <si>
    <t>total</t>
  </si>
  <si>
    <t>pesoskg</t>
  </si>
  <si>
    <t>kgmin</t>
  </si>
  <si>
    <t>ocupacion</t>
  </si>
  <si>
    <t>ZPEP</t>
  </si>
  <si>
    <t>CONSTRUCTORA POCURO SPA.</t>
  </si>
  <si>
    <t>XR6339</t>
  </si>
  <si>
    <t>78907355</t>
  </si>
  <si>
    <t>MORA</t>
  </si>
  <si>
    <t>METROPOLITANA DE SANTIAGO</t>
  </si>
  <si>
    <t>OTRO</t>
  </si>
  <si>
    <t>125108660</t>
  </si>
  <si>
    <t>LAS CONDES</t>
  </si>
  <si>
    <t>PN4466</t>
  </si>
  <si>
    <t>81417709</t>
  </si>
  <si>
    <t>PRODALAM S.A.</t>
  </si>
  <si>
    <t>SU9354</t>
  </si>
  <si>
    <t>72564391</t>
  </si>
  <si>
    <t>MATUS</t>
  </si>
  <si>
    <t>ZTAN</t>
  </si>
  <si>
    <t>QUILICURA</t>
  </si>
  <si>
    <t>UA7248</t>
  </si>
  <si>
    <t>EASY RETAIL S.A.</t>
  </si>
  <si>
    <t>HLBX77</t>
  </si>
  <si>
    <t>DJLF85</t>
  </si>
  <si>
    <t>RENCA</t>
  </si>
  <si>
    <t>16093509K</t>
  </si>
  <si>
    <t>WC2233</t>
  </si>
  <si>
    <t>53173292</t>
  </si>
  <si>
    <t>ARNAIZ</t>
  </si>
  <si>
    <t>SODIMAC S.A.</t>
  </si>
  <si>
    <t>SV2718</t>
  </si>
  <si>
    <t>CERRILLOS</t>
  </si>
  <si>
    <t>TP3884</t>
  </si>
  <si>
    <t>PUDAHUEL</t>
  </si>
  <si>
    <t>107643206</t>
  </si>
  <si>
    <t>BESALCO DRAGADOS S.A.</t>
  </si>
  <si>
    <t>SAN BERNARDO</t>
  </si>
  <si>
    <t>99626232</t>
  </si>
  <si>
    <t>LA REINA</t>
  </si>
  <si>
    <t>ZNL</t>
  </si>
  <si>
    <t>ACMA CORONEL</t>
  </si>
  <si>
    <t>BDCH61</t>
  </si>
  <si>
    <t>CONSTRUCTORA CARRAN S.A.</t>
  </si>
  <si>
    <t>COLINA</t>
  </si>
  <si>
    <t>VIÑA DEL MAR</t>
  </si>
  <si>
    <t>CHILEMAT SPA.</t>
  </si>
  <si>
    <t>CJFZ67</t>
  </si>
  <si>
    <t>115812335</t>
  </si>
  <si>
    <t>RK5135</t>
  </si>
  <si>
    <t>138841065</t>
  </si>
  <si>
    <t>VELÁSQUEZ</t>
  </si>
  <si>
    <t>TALCAHUANO</t>
  </si>
  <si>
    <t>MAIPU</t>
  </si>
  <si>
    <t>kg</t>
  </si>
  <si>
    <t>$</t>
  </si>
  <si>
    <t xml:space="preserve">$/kg </t>
  </si>
  <si>
    <t>CONST. CONCRETA S.A.</t>
  </si>
  <si>
    <t>ISLA DE MAIPO</t>
  </si>
  <si>
    <t xml:space="preserve">ocupacion </t>
  </si>
  <si>
    <t>01-10-2020</t>
  </si>
  <si>
    <t>DEL BIOBIO</t>
  </si>
  <si>
    <t>VJ8408</t>
  </si>
  <si>
    <t>83259353</t>
  </si>
  <si>
    <t>DE VALPARAISO</t>
  </si>
  <si>
    <t>02-10-2020</t>
  </si>
  <si>
    <t>JTYB84</t>
  </si>
  <si>
    <t>6270439K</t>
  </si>
  <si>
    <t>GKRB84</t>
  </si>
  <si>
    <t>122975819</t>
  </si>
  <si>
    <t>TALCA</t>
  </si>
  <si>
    <t>ARIAS</t>
  </si>
  <si>
    <t>DEL MAULE</t>
  </si>
  <si>
    <t>PREFABRICADOS DE HORMIGON X</t>
  </si>
  <si>
    <t>161268070</t>
  </si>
  <si>
    <t>PAINE</t>
  </si>
  <si>
    <t>ZJ2464</t>
  </si>
  <si>
    <t>160626984</t>
  </si>
  <si>
    <t>TEMUCO</t>
  </si>
  <si>
    <t>DE LA ARAUCANIA</t>
  </si>
  <si>
    <t>REÑACA</t>
  </si>
  <si>
    <t>ÑUÑOA</t>
  </si>
  <si>
    <t>['116676']</t>
  </si>
  <si>
    <t>['116666']</t>
  </si>
  <si>
    <t>['116677', '116678']</t>
  </si>
  <si>
    <t>['116664', '116665']</t>
  </si>
  <si>
    <t>['116667']</t>
  </si>
  <si>
    <t>['116659', '116660']</t>
  </si>
  <si>
    <t>['116675']</t>
  </si>
  <si>
    <t>['116671']</t>
  </si>
  <si>
    <t>['116679']</t>
  </si>
  <si>
    <t>['116672', '116673']</t>
  </si>
  <si>
    <t>['116658', '116661', '116662', '116663']</t>
  </si>
  <si>
    <t>['116685', '116686']</t>
  </si>
  <si>
    <t>['116683', '116684']</t>
  </si>
  <si>
    <t>['116682']</t>
  </si>
  <si>
    <t>['116687']</t>
  </si>
  <si>
    <t>guías</t>
  </si>
  <si>
    <t>03-10-2020</t>
  </si>
  <si>
    <t>CDSK23</t>
  </si>
  <si>
    <t>CORONEL</t>
  </si>
  <si>
    <t>['116688']</t>
  </si>
  <si>
    <t>['116689', '116690', '116691', '116692', '116693', '116694', '116695', '116696', '116697', '116698', '116699']</t>
  </si>
  <si>
    <t>05-10-2020</t>
  </si>
  <si>
    <t>RG6503</t>
  </si>
  <si>
    <t>10519045K</t>
  </si>
  <si>
    <t>LAMPA</t>
  </si>
  <si>
    <t>CJFZ69</t>
  </si>
  <si>
    <t>174967806</t>
  </si>
  <si>
    <t>QUILLON</t>
  </si>
  <si>
    <t>DE ÑUBLE</t>
  </si>
  <si>
    <t>TW7053</t>
  </si>
  <si>
    <t>172861164</t>
  </si>
  <si>
    <t>QUILLOTA</t>
  </si>
  <si>
    <t>CONSTRUMART S.A</t>
  </si>
  <si>
    <t>SANTIAGO</t>
  </si>
  <si>
    <t>CJXX49</t>
  </si>
  <si>
    <t>167832741</t>
  </si>
  <si>
    <t>CHILLAN</t>
  </si>
  <si>
    <t>LA LIGUA</t>
  </si>
  <si>
    <t>SAN MIGUEL</t>
  </si>
  <si>
    <t>TK8815</t>
  </si>
  <si>
    <t>121406330</t>
  </si>
  <si>
    <t>HUECHURABA</t>
  </si>
  <si>
    <t>EL BOSQUE</t>
  </si>
  <si>
    <t>['116718']</t>
  </si>
  <si>
    <t>['116712']</t>
  </si>
  <si>
    <t>['116720']</t>
  </si>
  <si>
    <t>['116721']</t>
  </si>
  <si>
    <t>['116719']</t>
  </si>
  <si>
    <t>['116717']</t>
  </si>
  <si>
    <t>['116729', '116730', '116731', '116732', '116733', '116734', '116735']</t>
  </si>
  <si>
    <t>['116713']</t>
  </si>
  <si>
    <t>['116722', '116723', '116724', '116725', '116726', '116727']</t>
  </si>
  <si>
    <t>['116701', '116702', '116703', '116704', '116705']</t>
  </si>
  <si>
    <t>['116700']</t>
  </si>
  <si>
    <t>['116706', '116707', '116708', '116709', '116710']</t>
  </si>
  <si>
    <t>['116711']</t>
  </si>
  <si>
    <t>['116714']</t>
  </si>
  <si>
    <t>['116739']</t>
  </si>
  <si>
    <t>['116737']</t>
  </si>
  <si>
    <t>['116738']</t>
  </si>
  <si>
    <t>['116736']</t>
  </si>
  <si>
    <t>['116740', '116741', '116742', '116743', '116744', '116746', '116747']</t>
  </si>
  <si>
    <t>06-10-2020</t>
  </si>
  <si>
    <t>['116772']</t>
  </si>
  <si>
    <t>CONSTRUCTORA LONDRES LTDA.</t>
  </si>
  <si>
    <t>PADRE HURTADO</t>
  </si>
  <si>
    <t>160963509K</t>
  </si>
  <si>
    <t>CONSTRUCTORA VESPUCIO ORIEX</t>
  </si>
  <si>
    <t>WG4022</t>
  </si>
  <si>
    <t>VITACURA</t>
  </si>
  <si>
    <t>['116768']</t>
  </si>
  <si>
    <t>['116778']</t>
  </si>
  <si>
    <t>['116779', '116780', '116781', '116782', '116783']</t>
  </si>
  <si>
    <t>['116775', '116776', '116777']</t>
  </si>
  <si>
    <t>RANCAGUA</t>
  </si>
  <si>
    <t>DEL LIBERTADOR GENERAL BERNARDO O'HIGGINS</t>
  </si>
  <si>
    <t>['116773', '116774']</t>
  </si>
  <si>
    <t>MELIPILLA</t>
  </si>
  <si>
    <t>RMORA</t>
  </si>
  <si>
    <t>['116759', '116760', '116761', '116762', '116763', '116764', '116765', '116766', '116767']</t>
  </si>
  <si>
    <t>['116800', '116801', '116802', '116803', '116804', '116805', '116806', '116807', '116808', '116809']</t>
  </si>
  <si>
    <t>['116750', '116751', '116752', '116753', '116754', '116755', '116756', '116757', '116758']</t>
  </si>
  <si>
    <t>['116787', '116788']</t>
  </si>
  <si>
    <t>['116789', '116790', '116791']</t>
  </si>
  <si>
    <t>['116786']</t>
  </si>
  <si>
    <t>['116792', '116793', '116794', '116795', '116796', '116797', '116798', '116799']</t>
  </si>
  <si>
    <t>PUENTE ALTO</t>
  </si>
  <si>
    <t>['116784']</t>
  </si>
  <si>
    <t>['116769, 116770']</t>
  </si>
  <si>
    <t>['116785', 116749]</t>
  </si>
  <si>
    <t>07-10-2020</t>
  </si>
  <si>
    <t>BALDOSAS Y MOBILIARIO ATRIX</t>
  </si>
  <si>
    <t>DP5738</t>
  </si>
  <si>
    <t>35488103</t>
  </si>
  <si>
    <t>RIVERA</t>
  </si>
  <si>
    <t>BWPL69</t>
  </si>
  <si>
    <t>78551976</t>
  </si>
  <si>
    <t>IND.DE TUBOS Y PREFAB.DE HX</t>
  </si>
  <si>
    <t>LA PINTANA</t>
  </si>
  <si>
    <t>SAN CARLOS</t>
  </si>
  <si>
    <t>['116837']</t>
  </si>
  <si>
    <t>['116815']</t>
  </si>
  <si>
    <t>['116811']</t>
  </si>
  <si>
    <t>['116862']</t>
  </si>
  <si>
    <t>['116829']</t>
  </si>
  <si>
    <t>['116813']</t>
  </si>
  <si>
    <t>['116814', '116816']</t>
  </si>
  <si>
    <t>['116830', '116831', '116832', '116833', '116834', '116835', '116836']</t>
  </si>
  <si>
    <t>['116818']</t>
  </si>
  <si>
    <t>['116825', '116826']</t>
  </si>
  <si>
    <t>['116819', '116820', '116821']</t>
  </si>
  <si>
    <t>['116851', '116852']</t>
  </si>
  <si>
    <t>['116853', '116854']</t>
  </si>
  <si>
    <t>['116839', '116840', '116841', '116842', '116843']</t>
  </si>
  <si>
    <t>['116838']</t>
  </si>
  <si>
    <t>['116855']</t>
  </si>
  <si>
    <t>['116844', '116845', '116847', '116848', '116849', '116850', '116846']</t>
  </si>
  <si>
    <t>08-10-2020</t>
  </si>
  <si>
    <t>['116903']</t>
  </si>
  <si>
    <t>['116868']</t>
  </si>
  <si>
    <t>['116866', '116867']</t>
  </si>
  <si>
    <t>ASESORIAS, PROYECTOS Y CONX</t>
  </si>
  <si>
    <t>['116864']</t>
  </si>
  <si>
    <t>['116874']</t>
  </si>
  <si>
    <t>['116875']</t>
  </si>
  <si>
    <t>['116863']</t>
  </si>
  <si>
    <t>['116904', '116905', '116906', '116907', '116908', '116909', '116910']</t>
  </si>
  <si>
    <t>ELECTROCOM S.A.</t>
  </si>
  <si>
    <t>['116870', '116871', '116872']</t>
  </si>
  <si>
    <t>LA FLORIDA</t>
  </si>
  <si>
    <t>['116896', '116902']</t>
  </si>
  <si>
    <t>['116897']</t>
  </si>
  <si>
    <t>['116899', '116900']</t>
  </si>
  <si>
    <t>QUILIN</t>
  </si>
  <si>
    <t>PEÑALOLEN</t>
  </si>
  <si>
    <t>['116898']</t>
  </si>
  <si>
    <t>['116883', '116884']</t>
  </si>
  <si>
    <t>09-10-2020</t>
  </si>
  <si>
    <t>['116934']</t>
  </si>
  <si>
    <t>937362332</t>
  </si>
  <si>
    <t>['116924']</t>
  </si>
  <si>
    <t>['116927']</t>
  </si>
  <si>
    <t>['116926']</t>
  </si>
  <si>
    <t>1251086600</t>
  </si>
  <si>
    <t>['116921']</t>
  </si>
  <si>
    <t>['116922']</t>
  </si>
  <si>
    <t>['116937']</t>
  </si>
  <si>
    <t>['116923']</t>
  </si>
  <si>
    <t>['116948', '116960']</t>
  </si>
  <si>
    <t>['116950']</t>
  </si>
  <si>
    <t>['116951']</t>
  </si>
  <si>
    <t>['116952', '116961']</t>
  </si>
  <si>
    <t>['116954', '116955', '116956', '116957', '116958', '116959']</t>
  </si>
  <si>
    <t>13-10-2020</t>
  </si>
  <si>
    <t>WC2283</t>
  </si>
  <si>
    <t>SAN FELIPE</t>
  </si>
  <si>
    <t>['116964']</t>
  </si>
  <si>
    <t>['116970', '116971']</t>
  </si>
  <si>
    <t>1606266984</t>
  </si>
  <si>
    <t>['116967']</t>
  </si>
  <si>
    <t>['116972', '116973', '116974', '116975', '116976', '116977', '116978']</t>
  </si>
  <si>
    <t>['116963']</t>
  </si>
  <si>
    <t>['116962']</t>
  </si>
  <si>
    <t>['116988']</t>
  </si>
  <si>
    <t>['116993']</t>
  </si>
  <si>
    <t>['116990', '116995']</t>
  </si>
  <si>
    <t>['116966']</t>
  </si>
  <si>
    <t>['116996', '116997', '116998', '116999', '117000', '117001']</t>
  </si>
  <si>
    <t>['116989']</t>
  </si>
  <si>
    <t>['116992']</t>
  </si>
  <si>
    <t>14-10-2020</t>
  </si>
  <si>
    <t>['117020']</t>
  </si>
  <si>
    <t>['117021']</t>
  </si>
  <si>
    <t>['117017']</t>
  </si>
  <si>
    <t>BAUMAX SPA</t>
  </si>
  <si>
    <t>['117024']</t>
  </si>
  <si>
    <t>['117035']</t>
  </si>
  <si>
    <t>['117034']</t>
  </si>
  <si>
    <t>VALPARAISO</t>
  </si>
  <si>
    <t>['117025']</t>
  </si>
  <si>
    <t>['117018']</t>
  </si>
  <si>
    <t>['117044', '117045', '117046', '117047', '117048']</t>
  </si>
  <si>
    <t>['117032']</t>
  </si>
  <si>
    <t>['117054']</t>
  </si>
  <si>
    <t>['117049', '117050', '117051', '117052']</t>
  </si>
  <si>
    <t>['117053']</t>
  </si>
  <si>
    <t>['117055']</t>
  </si>
  <si>
    <t>['117033']</t>
  </si>
  <si>
    <t>15-10-2020</t>
  </si>
  <si>
    <t>['117072']</t>
  </si>
  <si>
    <t>['117062']</t>
  </si>
  <si>
    <t>['117071']</t>
  </si>
  <si>
    <t>['117063']</t>
  </si>
  <si>
    <t>['117070']</t>
  </si>
  <si>
    <t>['117097']</t>
  </si>
  <si>
    <t>['117076']</t>
  </si>
  <si>
    <t>['117098', '117099']</t>
  </si>
  <si>
    <t>['117094']</t>
  </si>
  <si>
    <t>['117095', '117096']</t>
  </si>
  <si>
    <t>['117103', '117104', '117105', '117106', '117107']</t>
  </si>
  <si>
    <t>['117100', '117101', '117102']</t>
  </si>
  <si>
    <t>16-10-2020</t>
  </si>
  <si>
    <t>['117120']</t>
  </si>
  <si>
    <t>['117112']</t>
  </si>
  <si>
    <t>['117138', '117139']</t>
  </si>
  <si>
    <t>['117115']</t>
  </si>
  <si>
    <t>['117151', '117152', '117153', '117154', '117155', '117162']</t>
  </si>
  <si>
    <t>NK5991</t>
  </si>
  <si>
    <t>78778555</t>
  </si>
  <si>
    <t>CALAMA</t>
  </si>
  <si>
    <t>DE ANTOFAGASTA</t>
  </si>
  <si>
    <t>['117124', '117125']</t>
  </si>
  <si>
    <t>LOS ANDES</t>
  </si>
  <si>
    <t>['117113', '117114']</t>
  </si>
  <si>
    <t>['117118', '117119', '117121']</t>
  </si>
  <si>
    <t>DTCY42</t>
  </si>
  <si>
    <t>92028607</t>
  </si>
  <si>
    <t>CABRERO</t>
  </si>
  <si>
    <t>['117123']</t>
  </si>
  <si>
    <t>['117116', '117117']</t>
  </si>
  <si>
    <t>['117141', '117142', '117143']</t>
  </si>
  <si>
    <t>['117159', '117160', '117161']</t>
  </si>
  <si>
    <t>['117144', '117145', '117146', '117147', '117148', '117149', '117150']</t>
  </si>
  <si>
    <t>['117140']</t>
  </si>
  <si>
    <t>19-10-2020</t>
  </si>
  <si>
    <t>['117205']</t>
  </si>
  <si>
    <t>['117206']</t>
  </si>
  <si>
    <t>['117212', '117213', '117214', '117215']</t>
  </si>
  <si>
    <t>CONSTRUCTORA VALENCIA SPA</t>
  </si>
  <si>
    <t>CARTAGENA</t>
  </si>
  <si>
    <t>['117164']</t>
  </si>
  <si>
    <t>['117167']</t>
  </si>
  <si>
    <t>['117193']</t>
  </si>
  <si>
    <t>['117179']</t>
  </si>
  <si>
    <t>['117173']</t>
  </si>
  <si>
    <t>CONSTRUCTORA JCA S.A</t>
  </si>
  <si>
    <t>['117169']</t>
  </si>
  <si>
    <t>['117166']</t>
  </si>
  <si>
    <t>['117163']</t>
  </si>
  <si>
    <t>FRANCISCO PETRICIO LIMITADA</t>
  </si>
  <si>
    <t>II REGION</t>
  </si>
  <si>
    <t>['117165']</t>
  </si>
  <si>
    <t>['117207', '117208']</t>
  </si>
  <si>
    <t>['117209']</t>
  </si>
  <si>
    <t>['117200', '117201', '117202', '117203', '117204']</t>
  </si>
  <si>
    <t>['117180', '117181', '117182']</t>
  </si>
  <si>
    <t>['117210', '117211']</t>
  </si>
  <si>
    <t>20-10-2020</t>
  </si>
  <si>
    <t>DBJH91</t>
  </si>
  <si>
    <t>105192567</t>
  </si>
  <si>
    <t>['117228']</t>
  </si>
  <si>
    <t>['117221']</t>
  </si>
  <si>
    <t>['117227']</t>
  </si>
  <si>
    <t>['117219', '117220']</t>
  </si>
  <si>
    <t>['117218']</t>
  </si>
  <si>
    <t>['117252']</t>
  </si>
  <si>
    <t>['117226']</t>
  </si>
  <si>
    <t>['117222', '117223']</t>
  </si>
  <si>
    <t>COMER.MATIAS C.RAMIREZ OLAX</t>
  </si>
  <si>
    <t>['117224']</t>
  </si>
  <si>
    <t>['117225']</t>
  </si>
  <si>
    <t>GRAU SA AGLOMERADOS DE HORX</t>
  </si>
  <si>
    <t>['117216']</t>
  </si>
  <si>
    <t>['117235', '117236', '117237']</t>
  </si>
  <si>
    <t>['117250', '117251']</t>
  </si>
  <si>
    <t>SU2718</t>
  </si>
  <si>
    <t>['117246']</t>
  </si>
  <si>
    <t>['117238', '117239', '117240', '117241', '117242', '117243', '117244', '117245']</t>
  </si>
  <si>
    <t>['117247', '117248', '117249']</t>
  </si>
  <si>
    <t>21-10-2020</t>
  </si>
  <si>
    <t>['117266']</t>
  </si>
  <si>
    <t>['117273']</t>
  </si>
  <si>
    <t>['117265']</t>
  </si>
  <si>
    <t>['117263', '117264']</t>
  </si>
  <si>
    <t>RJ6819</t>
  </si>
  <si>
    <t>94742285</t>
  </si>
  <si>
    <t>['117291']</t>
  </si>
  <si>
    <t>['117268', '117269']</t>
  </si>
  <si>
    <t>['117267']</t>
  </si>
  <si>
    <t>['117276']</t>
  </si>
  <si>
    <t>LA DEHESA</t>
  </si>
  <si>
    <t>LO BARNECHEA</t>
  </si>
  <si>
    <t>['117262']</t>
  </si>
  <si>
    <t>['117271']</t>
  </si>
  <si>
    <t>['117292', '117293', '117294']</t>
  </si>
  <si>
    <t>['117289']</t>
  </si>
  <si>
    <t>['117295', '117296', '117297', '117298', '117299']</t>
  </si>
  <si>
    <t>['117290']</t>
  </si>
  <si>
    <t>22-10-2020</t>
  </si>
  <si>
    <t>1678332741</t>
  </si>
  <si>
    <t>['117329']</t>
  </si>
  <si>
    <t>['117319']</t>
  </si>
  <si>
    <t>['117305']</t>
  </si>
  <si>
    <t>['117300']</t>
  </si>
  <si>
    <t>['117311']</t>
  </si>
  <si>
    <t>['117320']</t>
  </si>
  <si>
    <t>['117326']</t>
  </si>
  <si>
    <t>['117321', '117322', '117323', '117324', '117325']</t>
  </si>
  <si>
    <t>['117339']</t>
  </si>
  <si>
    <t>['117309', '117310']</t>
  </si>
  <si>
    <t>['117307', '117308']</t>
  </si>
  <si>
    <t>['117315']</t>
  </si>
  <si>
    <t>['117301', '117302', '117303', '117304']</t>
  </si>
  <si>
    <t>['117333']</t>
  </si>
  <si>
    <t>['117334', '117335', '117336', '117337', '117338']</t>
  </si>
  <si>
    <t>['117332']</t>
  </si>
  <si>
    <t>['117331']</t>
  </si>
  <si>
    <t>VCGP - ASTALDI INGEN.Y CONX</t>
  </si>
  <si>
    <t>['117316']</t>
  </si>
  <si>
    <t>23-10-2020</t>
  </si>
  <si>
    <t>['117342']</t>
  </si>
  <si>
    <t>COQUIMBO</t>
  </si>
  <si>
    <t>DE COQUIMBO</t>
  </si>
  <si>
    <t>YW3249</t>
  </si>
  <si>
    <t>129162074</t>
  </si>
  <si>
    <t>['117348', '117349']</t>
  </si>
  <si>
    <t>['117341']</t>
  </si>
  <si>
    <t>['117347']</t>
  </si>
  <si>
    <t>['117361']</t>
  </si>
  <si>
    <t>['117344']</t>
  </si>
  <si>
    <t>['117346']</t>
  </si>
  <si>
    <t>DISTRIBUIDORA DE MATERIALEX</t>
  </si>
  <si>
    <t>MACHALI</t>
  </si>
  <si>
    <t>['117343']</t>
  </si>
  <si>
    <t>['117368']</t>
  </si>
  <si>
    <t>['117370', '117371', '117372']</t>
  </si>
  <si>
    <t>['117366', '117367']</t>
  </si>
  <si>
    <t>['117369']</t>
  </si>
  <si>
    <t>26-10-2020</t>
  </si>
  <si>
    <t>['117385']</t>
  </si>
  <si>
    <t>HUALPEN</t>
  </si>
  <si>
    <t>['117388', '117389']</t>
  </si>
  <si>
    <t>['117381']</t>
  </si>
  <si>
    <t>['117383']</t>
  </si>
  <si>
    <t>['117400']</t>
  </si>
  <si>
    <t>160932509K</t>
  </si>
  <si>
    <t>['117382']</t>
  </si>
  <si>
    <t>['117378']</t>
  </si>
  <si>
    <t>['117374']</t>
  </si>
  <si>
    <t>INMOBILIARIA Y CONST. ECOMX</t>
  </si>
  <si>
    <t>VALLENAR</t>
  </si>
  <si>
    <t>DE ATACAMA</t>
  </si>
  <si>
    <t>['117379', '117380']</t>
  </si>
  <si>
    <t>['117375']</t>
  </si>
  <si>
    <t>['117386']</t>
  </si>
  <si>
    <t>['117376', '117377']</t>
  </si>
  <si>
    <t>99705434</t>
  </si>
  <si>
    <t>ZN4986</t>
  </si>
  <si>
    <t>['117397', '117398', '117399']</t>
  </si>
  <si>
    <t>['117395']</t>
  </si>
  <si>
    <t>['117393', '117394']</t>
  </si>
  <si>
    <t>['117390', '117391']</t>
  </si>
  <si>
    <t>['117392']</t>
  </si>
  <si>
    <t>27-10-2020</t>
  </si>
  <si>
    <t>['117409']</t>
  </si>
  <si>
    <t>CONSTRUCTORA C.B.L SPA</t>
  </si>
  <si>
    <t>GRANEROS</t>
  </si>
  <si>
    <t>['117401']</t>
  </si>
  <si>
    <t>['117410', '117411']</t>
  </si>
  <si>
    <t>['117403']</t>
  </si>
  <si>
    <t>['117406']</t>
  </si>
  <si>
    <t>CONSTRUCTORA JOSE M. GARCIX</t>
  </si>
  <si>
    <t>SAN PEDRO DE LA PAZ</t>
  </si>
  <si>
    <t>['117419']</t>
  </si>
  <si>
    <t>ZUBLIN INTERNATIONAL GMBH X</t>
  </si>
  <si>
    <t>['117402']</t>
  </si>
  <si>
    <t>['117405']</t>
  </si>
  <si>
    <t>['117449']</t>
  </si>
  <si>
    <t>['117420', '117421', '117422', '117423', '117424', '117425', '117426']</t>
  </si>
  <si>
    <t>['117427', '117428', '117429', '117430', '117431', '117432', '117433', '117434', '117435', '117436']</t>
  </si>
  <si>
    <t>['117408']</t>
  </si>
  <si>
    <t>['117404']</t>
  </si>
  <si>
    <t>['117446', '117447']</t>
  </si>
  <si>
    <t>['117444', '117445']</t>
  </si>
  <si>
    <t>['117448']</t>
  </si>
  <si>
    <t>['117437', '117438', '117439', '117440', '117441', '117442']</t>
  </si>
  <si>
    <t>['117443']</t>
  </si>
  <si>
    <t>28-10-2020</t>
  </si>
  <si>
    <t>['117456']</t>
  </si>
  <si>
    <t>CONSTRUCTORA AITUE S.A.</t>
  </si>
  <si>
    <t>['117485', '117486', '117487']</t>
  </si>
  <si>
    <t>['117454']</t>
  </si>
  <si>
    <t>CONSTRUCTORA CENTAURO LTDA.</t>
  </si>
  <si>
    <t>['117453']</t>
  </si>
  <si>
    <t>CONSTRUCTORA MANITOBA SPA.</t>
  </si>
  <si>
    <t>PUCON</t>
  </si>
  <si>
    <t>['117455']</t>
  </si>
  <si>
    <t>YT6892</t>
  </si>
  <si>
    <t>['117460']</t>
  </si>
  <si>
    <t>VV6251</t>
  </si>
  <si>
    <t>['117473']</t>
  </si>
  <si>
    <t>['117464', '117465', '117466']</t>
  </si>
  <si>
    <t>['117452']</t>
  </si>
  <si>
    <t>['117457', '117458', '117471']</t>
  </si>
  <si>
    <t>['117484']</t>
  </si>
  <si>
    <t>['117481', '117482']</t>
  </si>
  <si>
    <t>['117480']</t>
  </si>
  <si>
    <t>['117474', '117475', '117476', '117477', '117478', '117479']</t>
  </si>
  <si>
    <t>['117483']</t>
  </si>
  <si>
    <t>['117472']</t>
  </si>
  <si>
    <t>29-10-2020</t>
  </si>
  <si>
    <t>['117495']</t>
  </si>
  <si>
    <t>['117488']</t>
  </si>
  <si>
    <t>['117526']</t>
  </si>
  <si>
    <t>CONSTRUCTORA LAMPA ORIENTEX</t>
  </si>
  <si>
    <t>['117489', '117490', '117491', '117492', '117493', '117494']</t>
  </si>
  <si>
    <t>['117520', '117521', '117522', '117523', '117524', '117525']</t>
  </si>
  <si>
    <t>HILBX77</t>
  </si>
  <si>
    <t>['117500']</t>
  </si>
  <si>
    <t>['117498', '117499', '117501', '117502', '117503']</t>
  </si>
  <si>
    <t>['117527']</t>
  </si>
  <si>
    <t>['117505']</t>
  </si>
  <si>
    <t>URBANIZA CONSTRUCTORA S.A.</t>
  </si>
  <si>
    <t>['117497']</t>
  </si>
  <si>
    <t>['117496']</t>
  </si>
  <si>
    <t>['117538', '117539', '117540']</t>
  </si>
  <si>
    <t>['117528']</t>
  </si>
  <si>
    <t>['117504']</t>
  </si>
  <si>
    <t>['117533']</t>
  </si>
  <si>
    <t>RF5135</t>
  </si>
  <si>
    <t>['117529']</t>
  </si>
  <si>
    <t>['117517', '117518', '117519']</t>
  </si>
  <si>
    <t>['117530', '117531']</t>
  </si>
  <si>
    <t>['117534', '117535', '117536', '117537']</t>
  </si>
  <si>
    <t>['117532']</t>
  </si>
  <si>
    <t>30-10-2020</t>
  </si>
  <si>
    <t>['117546']</t>
  </si>
  <si>
    <t>['117543', '117544']</t>
  </si>
  <si>
    <t>['117549', '117550', '117551', '117552', '117553', '117554']</t>
  </si>
  <si>
    <t>['117555']</t>
  </si>
  <si>
    <t>94654599</t>
  </si>
  <si>
    <t>['117557']</t>
  </si>
  <si>
    <t>['117542']</t>
  </si>
  <si>
    <t>['117548']</t>
  </si>
  <si>
    <t>['117541']</t>
  </si>
  <si>
    <t>ANTOFAGASTA</t>
  </si>
  <si>
    <t>['117569', '117570']</t>
  </si>
  <si>
    <t>['117547']</t>
  </si>
  <si>
    <t>['117556']</t>
  </si>
  <si>
    <t>['117568']</t>
  </si>
  <si>
    <t>['117579']</t>
  </si>
  <si>
    <t>['117567']</t>
  </si>
  <si>
    <t>['117576', '117577', '117578']</t>
  </si>
  <si>
    <t>02-11-2020</t>
  </si>
  <si>
    <t>CNT PROYECTOS LTDA.</t>
  </si>
  <si>
    <t>['117593']</t>
  </si>
  <si>
    <t>['117614', '117615', '117616']</t>
  </si>
  <si>
    <t>['117612']</t>
  </si>
  <si>
    <t>100327283</t>
  </si>
  <si>
    <t>['117592']</t>
  </si>
  <si>
    <t>['117582']</t>
  </si>
  <si>
    <t>['117591']</t>
  </si>
  <si>
    <t>['117608']</t>
  </si>
  <si>
    <t>['117583']</t>
  </si>
  <si>
    <t>['117584', '117585']</t>
  </si>
  <si>
    <t>['117580', '117581']</t>
  </si>
  <si>
    <t>['117586', '117587']</t>
  </si>
  <si>
    <t>['117588', '117590']</t>
  </si>
  <si>
    <t>TALAGANTE</t>
  </si>
  <si>
    <t>['117598']</t>
  </si>
  <si>
    <t>['117609', '117610']</t>
  </si>
  <si>
    <t>['117601', '117602']</t>
  </si>
  <si>
    <t>['117603', '117604']</t>
  </si>
  <si>
    <t>['117599', '117600']</t>
  </si>
  <si>
    <t>03-11-2020</t>
  </si>
  <si>
    <t>['117635']</t>
  </si>
  <si>
    <t>['117624', '117625']</t>
  </si>
  <si>
    <t>91417709</t>
  </si>
  <si>
    <t>['117626']</t>
  </si>
  <si>
    <t>['117634']</t>
  </si>
  <si>
    <t>['117628']</t>
  </si>
  <si>
    <t>['117636', '117637', '117638', '117639']</t>
  </si>
  <si>
    <t>['117629', '117630', '117631']</t>
  </si>
  <si>
    <t>['117664']</t>
  </si>
  <si>
    <t>['117665', '117666']</t>
  </si>
  <si>
    <t>['117621', '117622', '117623', '117641']</t>
  </si>
  <si>
    <t>['117617', '117618', '117619', '117620']</t>
  </si>
  <si>
    <t>['117660']</t>
  </si>
  <si>
    <t>['117658', '117659']</t>
  </si>
  <si>
    <t>['117651', '117652', '117653', '117654', '117655', '117656', '117657']</t>
  </si>
  <si>
    <t>['117661']</t>
  </si>
  <si>
    <t>04-11-2020</t>
  </si>
  <si>
    <t>['117678']</t>
  </si>
  <si>
    <t>CONST. HUNEEUS ALLIENDE IIX</t>
  </si>
  <si>
    <t>['117700', '117701']</t>
  </si>
  <si>
    <t>['117674', '117675', '117676']</t>
  </si>
  <si>
    <t>['117690', '117691', '117692', '117693', '117694', '117695', '117696', '117697', '117698', '117699']</t>
  </si>
  <si>
    <t>['117682']</t>
  </si>
  <si>
    <t>['117725', '117726']</t>
  </si>
  <si>
    <t>['117679', '117680']</t>
  </si>
  <si>
    <t>['117673']</t>
  </si>
  <si>
    <t>['117681']</t>
  </si>
  <si>
    <t>['117667', '117668', '117669']</t>
  </si>
  <si>
    <t>['117670', '117671', '117672']</t>
  </si>
  <si>
    <t>['117719', '117720']</t>
  </si>
  <si>
    <t>['117715', '117716', '117717', '117718']</t>
  </si>
  <si>
    <t>['117722']</t>
  </si>
  <si>
    <t>['117723', '117724']</t>
  </si>
  <si>
    <t>['117721']</t>
  </si>
  <si>
    <t>05-11-2020</t>
  </si>
  <si>
    <t>['117728', '117729', '117730', '117731', '117732', '117733']</t>
  </si>
  <si>
    <t>['117750']</t>
  </si>
  <si>
    <t>['117749']</t>
  </si>
  <si>
    <t>['117739', '117740', '117741']</t>
  </si>
  <si>
    <t>['117755']</t>
  </si>
  <si>
    <t>['117737']</t>
  </si>
  <si>
    <t>['117754']</t>
  </si>
  <si>
    <t>SAN FRANCISCO</t>
  </si>
  <si>
    <t>MOSTAZAL</t>
  </si>
  <si>
    <t>['117751', '117752']</t>
  </si>
  <si>
    <t>ARICA</t>
  </si>
  <si>
    <t>['117747']</t>
  </si>
  <si>
    <t>['117748']</t>
  </si>
  <si>
    <t>['117735', '117736']</t>
  </si>
  <si>
    <t>['117734']</t>
  </si>
  <si>
    <t>['117738']</t>
  </si>
  <si>
    <t>['117756', '117757']</t>
  </si>
  <si>
    <t>['117763']</t>
  </si>
  <si>
    <t>['117764']</t>
  </si>
  <si>
    <t>['117761', '117762', '117768']</t>
  </si>
  <si>
    <t>['117759', '117760']</t>
  </si>
  <si>
    <t>06-11-2020</t>
  </si>
  <si>
    <t>['117790', '117791']</t>
  </si>
  <si>
    <t>['117787', '117788']</t>
  </si>
  <si>
    <t>['117781', '117782', '117783', '117784', '117785', '117786']</t>
  </si>
  <si>
    <t>['117769', '117770', '117771', '117772', '117773', '117774']</t>
  </si>
  <si>
    <t>['117798']</t>
  </si>
  <si>
    <t>['117780']</t>
  </si>
  <si>
    <t>['117777', '117778']</t>
  </si>
  <si>
    <t>['117775', '117776']</t>
  </si>
  <si>
    <t>['117809', '117810', '117811', '117812', '117813']</t>
  </si>
  <si>
    <t>['117808']</t>
  </si>
  <si>
    <t>['117807']</t>
  </si>
  <si>
    <t>09-11-2020</t>
  </si>
  <si>
    <t>['117844']</t>
  </si>
  <si>
    <t>['117838']</t>
  </si>
  <si>
    <t>['117815']</t>
  </si>
  <si>
    <t>['117825', '117826', '117827', '117828', '117829', '117830']</t>
  </si>
  <si>
    <t>['117831']</t>
  </si>
  <si>
    <t>['117835']</t>
  </si>
  <si>
    <t>DFRV76</t>
  </si>
  <si>
    <t>113693268</t>
  </si>
  <si>
    <t>['117846']</t>
  </si>
  <si>
    <t>113693568</t>
  </si>
  <si>
    <t>['117847']</t>
  </si>
  <si>
    <t>['117840']</t>
  </si>
  <si>
    <t>['117824']</t>
  </si>
  <si>
    <t>['117823']</t>
  </si>
  <si>
    <t>['117839']</t>
  </si>
  <si>
    <t>['117832', '117833', '117834']</t>
  </si>
  <si>
    <t>['117816']</t>
  </si>
  <si>
    <t>['117814']</t>
  </si>
  <si>
    <t>['117819', '117820', '117821', '117822']</t>
  </si>
  <si>
    <t>['117817', '117818']</t>
  </si>
  <si>
    <t>['117852']</t>
  </si>
  <si>
    <t>['117854', '117855', '117856']</t>
  </si>
  <si>
    <t>['117848']</t>
  </si>
  <si>
    <t>['117850', '117851']</t>
  </si>
  <si>
    <t>['117849']</t>
  </si>
  <si>
    <t>10-11-2020</t>
  </si>
  <si>
    <t>['117889']</t>
  </si>
  <si>
    <t>['117866', '117867']</t>
  </si>
  <si>
    <t>['117864', '117865']</t>
  </si>
  <si>
    <t>['117891']</t>
  </si>
  <si>
    <t>['117878', '117879', '117880', '117881', '117882', '117883', '117884', '117885', '117886', '117888']</t>
  </si>
  <si>
    <t>['117861']</t>
  </si>
  <si>
    <t>['117859']</t>
  </si>
  <si>
    <t>['117860']</t>
  </si>
  <si>
    <t>['117905']</t>
  </si>
  <si>
    <t>['117899']</t>
  </si>
  <si>
    <t>['117862']</t>
  </si>
  <si>
    <t>INMOBILIARIA SUR TREINTA SX</t>
  </si>
  <si>
    <t>PADRE LAS CASAS</t>
  </si>
  <si>
    <t>['117876', '117877']</t>
  </si>
  <si>
    <t>BDSZ82</t>
  </si>
  <si>
    <t>17447844</t>
  </si>
  <si>
    <t>['117904']</t>
  </si>
  <si>
    <t>DPCY42</t>
  </si>
  <si>
    <t>['117892']</t>
  </si>
  <si>
    <t>['117857']</t>
  </si>
  <si>
    <t>['117858']</t>
  </si>
  <si>
    <t>['117869', '117870', '117871', '117872', '117873', '117874']</t>
  </si>
  <si>
    <t>['117898']</t>
  </si>
  <si>
    <t>['117890']</t>
  </si>
  <si>
    <t>['117893', '117894', '117895', '117896']</t>
  </si>
  <si>
    <t>['117897']</t>
  </si>
  <si>
    <t>['117900', '117901', '117902']</t>
  </si>
  <si>
    <t>11-11-2020</t>
  </si>
  <si>
    <t>['117926', '117927', '117928']</t>
  </si>
  <si>
    <t>['117915', '117916']</t>
  </si>
  <si>
    <t>['117910']</t>
  </si>
  <si>
    <t>['117914']</t>
  </si>
  <si>
    <t>['117911', '117912', '117913']</t>
  </si>
  <si>
    <t>['117917']</t>
  </si>
  <si>
    <t>['117929', '117930', '117931']</t>
  </si>
  <si>
    <t>PUERTO MONTT</t>
  </si>
  <si>
    <t>['117906']</t>
  </si>
  <si>
    <t>['117909']</t>
  </si>
  <si>
    <t>['117908']</t>
  </si>
  <si>
    <t>['117907']</t>
  </si>
  <si>
    <t>['117920', '117921', '117922', '117923', '117924', '117925']</t>
  </si>
  <si>
    <t>120327233</t>
  </si>
  <si>
    <t>['117919']</t>
  </si>
  <si>
    <t>['117937', '117938']</t>
  </si>
  <si>
    <t>['117939']</t>
  </si>
  <si>
    <t>12-11-2020</t>
  </si>
  <si>
    <t>CKXS73</t>
  </si>
  <si>
    <t>70616297</t>
  </si>
  <si>
    <t>['117983']</t>
  </si>
  <si>
    <t>['117965', '117966', '117967', '117968']</t>
  </si>
  <si>
    <t>['117947']</t>
  </si>
  <si>
    <t>['117982']</t>
  </si>
  <si>
    <t>['117948']</t>
  </si>
  <si>
    <t>['117941']</t>
  </si>
  <si>
    <t>['117951']</t>
  </si>
  <si>
    <t>['117959']</t>
  </si>
  <si>
    <t>['117949', '117950']</t>
  </si>
  <si>
    <t>['117952']</t>
  </si>
  <si>
    <t>['117942']</t>
  </si>
  <si>
    <t>['117945', '117946']</t>
  </si>
  <si>
    <t>['117943', '117944']</t>
  </si>
  <si>
    <t>['117981']</t>
  </si>
  <si>
    <t>['117979', '117980']</t>
  </si>
  <si>
    <t>['117977', '117978']</t>
  </si>
  <si>
    <t>['117975', '117976']</t>
  </si>
  <si>
    <t>['117969', '117970', '117971', '117972', '117973', '117974']</t>
  </si>
  <si>
    <t>13-11-2020</t>
  </si>
  <si>
    <t>GCHF95</t>
  </si>
  <si>
    <t>158529734</t>
  </si>
  <si>
    <t>['117998']</t>
  </si>
  <si>
    <t>CONST. HUNEEUS-ALLIENDE LTX</t>
  </si>
  <si>
    <t>PROVIDENCIA</t>
  </si>
  <si>
    <t>['117997']</t>
  </si>
  <si>
    <t>['117995']</t>
  </si>
  <si>
    <t>YP6892</t>
  </si>
  <si>
    <t>124157498</t>
  </si>
  <si>
    <t>['118015']</t>
  </si>
  <si>
    <t>['117994']</t>
  </si>
  <si>
    <t>['117993']</t>
  </si>
  <si>
    <t>['118001']</t>
  </si>
  <si>
    <t>CONSTRUCTORA JULIO PALMA FX</t>
  </si>
  <si>
    <t>SAN ANTONIO</t>
  </si>
  <si>
    <t>['117999']</t>
  </si>
  <si>
    <t>['118009']</t>
  </si>
  <si>
    <t>['117992', '117996']</t>
  </si>
  <si>
    <t>['118006', '118007', '118008']</t>
  </si>
  <si>
    <t>['117987', '117988', '117989', '117990', '117991']</t>
  </si>
  <si>
    <t>['117984', '117985', '117986']</t>
  </si>
  <si>
    <t>['118010']</t>
  </si>
  <si>
    <t>['118012', '118013', '118014']</t>
  </si>
  <si>
    <t>['118011']</t>
  </si>
  <si>
    <t>16-11-2020</t>
  </si>
  <si>
    <t>['118022']</t>
  </si>
  <si>
    <t>['118049']</t>
  </si>
  <si>
    <t>113693598</t>
  </si>
  <si>
    <t>['118048']</t>
  </si>
  <si>
    <t>['118023', '118024', '118026']</t>
  </si>
  <si>
    <t>PUERTO NATALES</t>
  </si>
  <si>
    <t>['118018']</t>
  </si>
  <si>
    <t>['118019']</t>
  </si>
  <si>
    <t>['118028']</t>
  </si>
  <si>
    <t>['118042']</t>
  </si>
  <si>
    <t>['118040', '118041']</t>
  </si>
  <si>
    <t>['118035', '118036', '118037', '118038', '118039']</t>
  </si>
  <si>
    <t>['118043']</t>
  </si>
  <si>
    <t>['118044']</t>
  </si>
  <si>
    <t>17-11-2020</t>
  </si>
  <si>
    <t>KGFF46</t>
  </si>
  <si>
    <t>119051878</t>
  </si>
  <si>
    <t>['118055']</t>
  </si>
  <si>
    <t>['118060']</t>
  </si>
  <si>
    <t>['118059']</t>
  </si>
  <si>
    <t>['118071', '118072']</t>
  </si>
  <si>
    <t>['118070']</t>
  </si>
  <si>
    <t>['118061']</t>
  </si>
  <si>
    <t>['118056']</t>
  </si>
  <si>
    <t>['118052', '118053', '118054']</t>
  </si>
  <si>
    <t>['118068']</t>
  </si>
  <si>
    <t>['118065']</t>
  </si>
  <si>
    <t>['118062', '118063', '118064']</t>
  </si>
  <si>
    <t>['118066', '118067']</t>
  </si>
  <si>
    <t>18-11-2020</t>
  </si>
  <si>
    <t>['118080']</t>
  </si>
  <si>
    <t>['118081']</t>
  </si>
  <si>
    <t>['118085']</t>
  </si>
  <si>
    <t>['118076', '118077', '118078', '118079']</t>
  </si>
  <si>
    <t>['118075']</t>
  </si>
  <si>
    <t>['118087', '118088']</t>
  </si>
  <si>
    <t>['118089']</t>
  </si>
  <si>
    <t>['118074']</t>
  </si>
  <si>
    <t>KKPF51</t>
  </si>
  <si>
    <t>95707734</t>
  </si>
  <si>
    <t>ORTIZ</t>
  </si>
  <si>
    <t>['118082', '118083', '118084']</t>
  </si>
  <si>
    <t>19-11-2020</t>
  </si>
  <si>
    <t>['118114']</t>
  </si>
  <si>
    <t>['118098']</t>
  </si>
  <si>
    <t>['118113']</t>
  </si>
  <si>
    <t>6270435K</t>
  </si>
  <si>
    <t>['118128']</t>
  </si>
  <si>
    <t>['118101', '118102', '118103', '118104', '118105', '118106', '118107']</t>
  </si>
  <si>
    <t>['118121', '118122', '118123', '118124', '118125', '118126']</t>
  </si>
  <si>
    <t>['118112']</t>
  </si>
  <si>
    <t>CONSTRUCTORA METROPOLITANAX</t>
  </si>
  <si>
    <t>BUIN</t>
  </si>
  <si>
    <t>['118110']</t>
  </si>
  <si>
    <t>115815335</t>
  </si>
  <si>
    <t>['118111']</t>
  </si>
  <si>
    <t>['118108', '118109']</t>
  </si>
  <si>
    <t>['118099', '118100']</t>
  </si>
  <si>
    <t>['118134', '118135', '118136', '118137']</t>
  </si>
  <si>
    <t>20-11-2020</t>
  </si>
  <si>
    <t>['118148']</t>
  </si>
  <si>
    <t>['118142']</t>
  </si>
  <si>
    <t>['118147']</t>
  </si>
  <si>
    <t>['118149']</t>
  </si>
  <si>
    <t>['118150', '118151', '118152', '118153', '118154', '118155', '118156', '118157', '118158']</t>
  </si>
  <si>
    <t>['118186', '118187']</t>
  </si>
  <si>
    <t>XP6892</t>
  </si>
  <si>
    <t>LOS ANGELES</t>
  </si>
  <si>
    <t>['118159', '118160', '118161', '118162', '118163']</t>
  </si>
  <si>
    <t>['118140', '118141']</t>
  </si>
  <si>
    <t>['118138', '118139']</t>
  </si>
  <si>
    <t>['118184', '118185']</t>
  </si>
  <si>
    <t>['118188']</t>
  </si>
  <si>
    <t>['118183']</t>
  </si>
  <si>
    <t>TP3881</t>
  </si>
  <si>
    <t>['118174']</t>
  </si>
  <si>
    <t>789*07355</t>
  </si>
  <si>
    <t>['118176']</t>
  </si>
  <si>
    <t>['118169', '118170', '118171', '118172', '118173', '118175']</t>
  </si>
  <si>
    <t>23-11-2020</t>
  </si>
  <si>
    <t>DFGV44</t>
  </si>
  <si>
    <t>91064081</t>
  </si>
  <si>
    <t>['118222']</t>
  </si>
  <si>
    <t>['118195', '118196']</t>
  </si>
  <si>
    <t>['118190']</t>
  </si>
  <si>
    <t>['118189']</t>
  </si>
  <si>
    <t>['118216', '118217']</t>
  </si>
  <si>
    <t>['118210']</t>
  </si>
  <si>
    <t>['118192', '118193']</t>
  </si>
  <si>
    <t>531783292</t>
  </si>
  <si>
    <t>['118191']</t>
  </si>
  <si>
    <t>['118194']</t>
  </si>
  <si>
    <t>['118205', '118206', '118207']</t>
  </si>
  <si>
    <t>['118214', '118215']</t>
  </si>
  <si>
    <t>['118199', '118200', '118201', '118202', '118203']</t>
  </si>
  <si>
    <t>['118219']</t>
  </si>
  <si>
    <t>['118223', '118224']</t>
  </si>
  <si>
    <t>['118225', '118226', '118227', '118228']</t>
  </si>
  <si>
    <t>['118218']</t>
  </si>
  <si>
    <t>['118220', '118221']</t>
  </si>
  <si>
    <t>24-11-2020</t>
  </si>
  <si>
    <t>['118268']</t>
  </si>
  <si>
    <t>['118230']</t>
  </si>
  <si>
    <t>['118269', '118270']</t>
  </si>
  <si>
    <t>['118242', '118243', '118244', '118245', '118246', '118247']</t>
  </si>
  <si>
    <t>['118229']</t>
  </si>
  <si>
    <t>['118237']</t>
  </si>
  <si>
    <t>QUILPUE</t>
  </si>
  <si>
    <t>['118263']</t>
  </si>
  <si>
    <t>['118234']</t>
  </si>
  <si>
    <t>['118264']</t>
  </si>
  <si>
    <t>['118239', '118240', '118241']</t>
  </si>
  <si>
    <t>['118248']</t>
  </si>
  <si>
    <t>['118249', '118250', '118260']</t>
  </si>
  <si>
    <t>['118252', '118253', '118254', '118255', '118256', '118257', '118258', '118259']</t>
  </si>
  <si>
    <t>['118265']</t>
  </si>
  <si>
    <t>['118261', '118262']</t>
  </si>
  <si>
    <t>['118266', '118267']</t>
  </si>
  <si>
    <t>25-11-2020</t>
  </si>
  <si>
    <t>VE9862</t>
  </si>
  <si>
    <t>98494073</t>
  </si>
  <si>
    <t>['118285']</t>
  </si>
  <si>
    <t>['118271']</t>
  </si>
  <si>
    <t>['118282']</t>
  </si>
  <si>
    <t>CONSTRUCTORA BAQUEDANO SURX</t>
  </si>
  <si>
    <t>DE LOS LAGOS</t>
  </si>
  <si>
    <t>['118286']</t>
  </si>
  <si>
    <t>['118272', '118273', '118274']</t>
  </si>
  <si>
    <t>LINARES</t>
  </si>
  <si>
    <t>['118276']</t>
  </si>
  <si>
    <t>['118277']</t>
  </si>
  <si>
    <t>['118275']</t>
  </si>
  <si>
    <t>['118290']</t>
  </si>
  <si>
    <t>['118297', '118298', '118299', '118300', '118301']</t>
  </si>
  <si>
    <t>['118291', '118292', '118293']</t>
  </si>
  <si>
    <t>SP2497</t>
  </si>
  <si>
    <t>['118294', '118295', '118296']</t>
  </si>
  <si>
    <t>['118287']</t>
  </si>
  <si>
    <t>['118289']</t>
  </si>
  <si>
    <t>['118288']</t>
  </si>
  <si>
    <t>26-11-2020</t>
  </si>
  <si>
    <t>['118325']</t>
  </si>
  <si>
    <t>['118304', '118305']</t>
  </si>
  <si>
    <t>LA CALERA</t>
  </si>
  <si>
    <t>['118307']</t>
  </si>
  <si>
    <t>COPIAPO</t>
  </si>
  <si>
    <t>['118357']</t>
  </si>
  <si>
    <t>['118312', '118313', '118314', '118315']</t>
  </si>
  <si>
    <t>['118340', '118341', '118342', '118343', '118344', '118345', '118346']</t>
  </si>
  <si>
    <t>['118350']</t>
  </si>
  <si>
    <t>['118354', '118355', '118356']</t>
  </si>
  <si>
    <t>['118349']</t>
  </si>
  <si>
    <t>['118351', '118352', '118353']</t>
  </si>
  <si>
    <t>['118347', '118348']</t>
  </si>
  <si>
    <t>['118316']</t>
  </si>
  <si>
    <t>['118306']</t>
  </si>
  <si>
    <t>27-11-2020</t>
  </si>
  <si>
    <t>['118391']</t>
  </si>
  <si>
    <t>['118359']</t>
  </si>
  <si>
    <t>['118358']</t>
  </si>
  <si>
    <t>['118362', '118363', '118364', '118365', '118366', '118367', '118368', '118369', '118370', '118371', '118372', '118373']</t>
  </si>
  <si>
    <t>FERRETERIA OVIEDO S A</t>
  </si>
  <si>
    <t>LAS CABRAS</t>
  </si>
  <si>
    <t>['118382']</t>
  </si>
  <si>
    <t>['118374']</t>
  </si>
  <si>
    <t>['118375', '118376', '118377', '118378', '118379']</t>
  </si>
  <si>
    <t>['118404']</t>
  </si>
  <si>
    <t>['118400', '118401']</t>
  </si>
  <si>
    <t>['118402']</t>
  </si>
  <si>
    <t>['118403']</t>
  </si>
  <si>
    <t>['118392', '118393', '118394', '118395', '118396', '118397', '118398', '118399']</t>
  </si>
  <si>
    <t>['118406']</t>
  </si>
  <si>
    <t>['118405']</t>
  </si>
  <si>
    <t>['118407', '118408', '118409']</t>
  </si>
  <si>
    <t>30-11-2020</t>
  </si>
  <si>
    <t>['118414']</t>
  </si>
  <si>
    <t>['118416']</t>
  </si>
  <si>
    <t>['118410']</t>
  </si>
  <si>
    <t>['118413']</t>
  </si>
  <si>
    <t>['118411']</t>
  </si>
  <si>
    <t>['118417', '118418']</t>
  </si>
  <si>
    <t>['118423', '118424', '118425']</t>
  </si>
  <si>
    <t>['118426', '118427']</t>
  </si>
  <si>
    <t>['118419', '118420', '118421']</t>
  </si>
  <si>
    <t>['118422']</t>
  </si>
  <si>
    <t>['118428', '118429']</t>
  </si>
  <si>
    <t>['118430', '118431']</t>
  </si>
  <si>
    <t>01-12-2020</t>
  </si>
  <si>
    <t>['118445']</t>
  </si>
  <si>
    <t>['118447']</t>
  </si>
  <si>
    <t>VWSV52</t>
  </si>
  <si>
    <t>115139185</t>
  </si>
  <si>
    <t>['118439', '118440', '118443']</t>
  </si>
  <si>
    <t>['118457']</t>
  </si>
  <si>
    <t>['118446']</t>
  </si>
  <si>
    <t>['118448']</t>
  </si>
  <si>
    <t>['118432', '118433']</t>
  </si>
  <si>
    <t>['118449', '118450', '118451', '118452', '118453', '118454']</t>
  </si>
  <si>
    <t>['118434', '118435']</t>
  </si>
  <si>
    <t>['118436', '118437']</t>
  </si>
  <si>
    <t>['118464', '118465']</t>
  </si>
  <si>
    <t>['118468', '118469']</t>
  </si>
  <si>
    <t>['118455', '118456']</t>
  </si>
  <si>
    <t>['118458', '118459']</t>
  </si>
  <si>
    <t>['118460', '118461', '118462', '118463']</t>
  </si>
  <si>
    <t>['118466', '118467']</t>
  </si>
  <si>
    <t>02-12-2020</t>
  </si>
  <si>
    <t>['118479']</t>
  </si>
  <si>
    <t>RZ4484</t>
  </si>
  <si>
    <t>93321006</t>
  </si>
  <si>
    <t>['118486']</t>
  </si>
  <si>
    <t>['118477']</t>
  </si>
  <si>
    <t>['118489', '118490', '118491']</t>
  </si>
  <si>
    <t>['118475', '118476']</t>
  </si>
  <si>
    <t>['118474']</t>
  </si>
  <si>
    <t>['118487']</t>
  </si>
  <si>
    <t>['118488']</t>
  </si>
  <si>
    <t>['118471']</t>
  </si>
  <si>
    <t>['118482']</t>
  </si>
  <si>
    <t>['118483', '118484', '118485']</t>
  </si>
  <si>
    <t>['118480', '118481']</t>
  </si>
  <si>
    <t>03-12-2020</t>
  </si>
  <si>
    <t>['118500']</t>
  </si>
  <si>
    <t>['118501']</t>
  </si>
  <si>
    <t>['118499']</t>
  </si>
  <si>
    <t>['118493']</t>
  </si>
  <si>
    <t>['118523']</t>
  </si>
  <si>
    <t>['118492']</t>
  </si>
  <si>
    <t>['118497']</t>
  </si>
  <si>
    <t>['118503']</t>
  </si>
  <si>
    <t>['118498']</t>
  </si>
  <si>
    <t>['118494', '118495', '118496']</t>
  </si>
  <si>
    <t>['118521', '118522']</t>
  </si>
  <si>
    <t>['118518', '118519', '118520']</t>
  </si>
  <si>
    <t>['118524']</t>
  </si>
  <si>
    <t>['118525', '118526']</t>
  </si>
  <si>
    <t>['118529', '118530']</t>
  </si>
  <si>
    <t>['118527', '118528']</t>
  </si>
  <si>
    <t>04-12-2020</t>
  </si>
  <si>
    <t>BSSK97</t>
  </si>
  <si>
    <t>162824716</t>
  </si>
  <si>
    <t>['118539']</t>
  </si>
  <si>
    <t>['118542']</t>
  </si>
  <si>
    <t>['118532']</t>
  </si>
  <si>
    <t>['118580']</t>
  </si>
  <si>
    <t>['118540']</t>
  </si>
  <si>
    <t>EMIN SISTEMAS GEOTECNICOS X</t>
  </si>
  <si>
    <t>QUINTA NORMAL</t>
  </si>
  <si>
    <t>['118541']</t>
  </si>
  <si>
    <t>['118538']</t>
  </si>
  <si>
    <t>['118552', '118553', '118554', '118555', '118556']</t>
  </si>
  <si>
    <t>['118557', '118558', '118559', '118560', '118562', '118563', '118565', '118566', '118567']</t>
  </si>
  <si>
    <t>['118533']</t>
  </si>
  <si>
    <t>['118543', '118544', '118545', '118546', '118547', '118549', '118550', '118551']</t>
  </si>
  <si>
    <t>['118534', '118535', '118536']</t>
  </si>
  <si>
    <t>['118531']</t>
  </si>
  <si>
    <t>['118571', '118572', '118573']</t>
  </si>
  <si>
    <t>['118569']</t>
  </si>
  <si>
    <t>['118574', '118575', '118576', '118577', '118578']</t>
  </si>
  <si>
    <t>['118568']</t>
  </si>
  <si>
    <t>['118570']</t>
  </si>
  <si>
    <t>['118581']</t>
  </si>
  <si>
    <t>07-12-2020</t>
  </si>
  <si>
    <t>['118592', '118593', '118594']</t>
  </si>
  <si>
    <t>['118583', '118584', '118585']</t>
  </si>
  <si>
    <t>['118586', '118587', '118588', '118589', '118591']</t>
  </si>
  <si>
    <t>CITA1100955707</t>
  </si>
  <si>
    <t>['118590']</t>
  </si>
  <si>
    <t>['118582']</t>
  </si>
  <si>
    <t>['118595', '118596']</t>
  </si>
  <si>
    <t>09-12-2020</t>
  </si>
  <si>
    <t>['118610', '118613']</t>
  </si>
  <si>
    <t>['118612']</t>
  </si>
  <si>
    <t>['118601']</t>
  </si>
  <si>
    <t>['118600']</t>
  </si>
  <si>
    <t>['118598', '118599']</t>
  </si>
  <si>
    <t>['118602']</t>
  </si>
  <si>
    <t>['118597']</t>
  </si>
  <si>
    <t>LA SERENA</t>
  </si>
  <si>
    <t>['118606', '118607', '118608']</t>
  </si>
  <si>
    <t>['118603', '118604', '118605']</t>
  </si>
  <si>
    <t>['118615', '118616']</t>
  </si>
  <si>
    <t>['118614']</t>
  </si>
  <si>
    <t>['118625']</t>
  </si>
  <si>
    <t>81417109</t>
  </si>
  <si>
    <t>['118623']</t>
  </si>
  <si>
    <t>['118620', '118621', '118622', '118624']</t>
  </si>
  <si>
    <t>['118619']</t>
  </si>
  <si>
    <t>['118617', '118618']</t>
  </si>
  <si>
    <t>10-12-2020</t>
  </si>
  <si>
    <t>['118641']</t>
  </si>
  <si>
    <t>['118627']</t>
  </si>
  <si>
    <t>['118640']</t>
  </si>
  <si>
    <t>['118642', '118643']</t>
  </si>
  <si>
    <t>['118636', '118637']</t>
  </si>
  <si>
    <t>['118638']</t>
  </si>
  <si>
    <t>1612680700</t>
  </si>
  <si>
    <t>['118639']</t>
  </si>
  <si>
    <t>['118632']</t>
  </si>
  <si>
    <t>['118633']</t>
  </si>
  <si>
    <t>['118631']</t>
  </si>
  <si>
    <t>['118628']</t>
  </si>
  <si>
    <t>['118647', '118648', '118649']</t>
  </si>
  <si>
    <t>['118645', '118646']</t>
  </si>
  <si>
    <t>['118653', '118654', '118655']</t>
  </si>
  <si>
    <t>['118650', '118651', '118652']</t>
  </si>
  <si>
    <t>['118644']</t>
  </si>
  <si>
    <t>11-12-2020</t>
  </si>
  <si>
    <t>['118668']</t>
  </si>
  <si>
    <t>['118669']</t>
  </si>
  <si>
    <t>['118677']</t>
  </si>
  <si>
    <t>['118667']</t>
  </si>
  <si>
    <t>['118663']</t>
  </si>
  <si>
    <t>['118661']</t>
  </si>
  <si>
    <t>['118664']</t>
  </si>
  <si>
    <t>['118657', '118658']</t>
  </si>
  <si>
    <t>['118659', '118660']</t>
  </si>
  <si>
    <t>['118665']</t>
  </si>
  <si>
    <t>PASCUAL ATENAS Y COMPANIA X</t>
  </si>
  <si>
    <t>['118662']</t>
  </si>
  <si>
    <t>['118672', '118673', '118674', '118678']</t>
  </si>
  <si>
    <t>['118675', '118676']</t>
  </si>
  <si>
    <t>['118670', '118671']</t>
  </si>
  <si>
    <t>14-12-2020</t>
  </si>
  <si>
    <t>['118711']</t>
  </si>
  <si>
    <t>SU5135</t>
  </si>
  <si>
    <t>['118680']</t>
  </si>
  <si>
    <t>['118712']</t>
  </si>
  <si>
    <t>['118691']</t>
  </si>
  <si>
    <t>['118692', '118693']</t>
  </si>
  <si>
    <t>['118689', '118690']</t>
  </si>
  <si>
    <t>['118679']</t>
  </si>
  <si>
    <t>['118684', '118685']</t>
  </si>
  <si>
    <t>['118686', '118687']</t>
  </si>
  <si>
    <t>['118682']</t>
  </si>
  <si>
    <t>['118694', '118695', '118696', '118698', '118699', '118700', '118701']</t>
  </si>
  <si>
    <t>['118702', '118703', '118704']</t>
  </si>
  <si>
    <t>['118681']</t>
  </si>
  <si>
    <t>['118683']</t>
  </si>
  <si>
    <t>['118705', '118706', '118707', '118708']</t>
  </si>
  <si>
    <t>['118726', '118727']</t>
  </si>
  <si>
    <t>['118718', '118719', '118720']</t>
  </si>
  <si>
    <t>['118725']</t>
  </si>
  <si>
    <t>['118724']</t>
  </si>
  <si>
    <t>['118713', '118714', '118715', '118716', '118717']</t>
  </si>
  <si>
    <t>['118721', '118722', '118723']</t>
  </si>
  <si>
    <t>15-12-2020</t>
  </si>
  <si>
    <t>['118737']</t>
  </si>
  <si>
    <t>['118733']</t>
  </si>
  <si>
    <t>BWHV44</t>
  </si>
  <si>
    <t>100552922</t>
  </si>
  <si>
    <t>['118732']</t>
  </si>
  <si>
    <t>['118735']</t>
  </si>
  <si>
    <t>['118728', '118729']</t>
  </si>
  <si>
    <t>DLLF85</t>
  </si>
  <si>
    <t>['118742']</t>
  </si>
  <si>
    <t>['118736']</t>
  </si>
  <si>
    <t>OSORNO</t>
  </si>
  <si>
    <t>['118760', '118761', '118762', '118763']</t>
  </si>
  <si>
    <t>YUNGAY</t>
  </si>
  <si>
    <t>['118740', '118741']</t>
  </si>
  <si>
    <t>['118747', '118748']</t>
  </si>
  <si>
    <t>['118744']</t>
  </si>
  <si>
    <t>['118750', '118751', '118752', '118753', '118754']</t>
  </si>
  <si>
    <t>['118755', '118756']</t>
  </si>
  <si>
    <t>['118746']</t>
  </si>
  <si>
    <t>['118757', '118758', '118759']</t>
  </si>
  <si>
    <t>['118745']</t>
  </si>
  <si>
    <t>['118743']</t>
  </si>
  <si>
    <t>16-12-2020</t>
  </si>
  <si>
    <t>['118784']</t>
  </si>
  <si>
    <t>['118777', '118778']</t>
  </si>
  <si>
    <t>DFKP16</t>
  </si>
  <si>
    <t>125389473</t>
  </si>
  <si>
    <t>['118788']</t>
  </si>
  <si>
    <t>['118772']</t>
  </si>
  <si>
    <t>53173294</t>
  </si>
  <si>
    <t>['118771']</t>
  </si>
  <si>
    <t>['118766', '118767']</t>
  </si>
  <si>
    <t>['118773']</t>
  </si>
  <si>
    <t>['118781']</t>
  </si>
  <si>
    <t>['118783']</t>
  </si>
  <si>
    <t>['118775', '118776']</t>
  </si>
  <si>
    <t>['118791', '118792', '118793']</t>
  </si>
  <si>
    <t>INMOBILIARIA ISIETE LIBERTX</t>
  </si>
  <si>
    <t>['118785']</t>
  </si>
  <si>
    <t>['118768', '118769', '118770']</t>
  </si>
  <si>
    <t>['118795', '118796']</t>
  </si>
  <si>
    <t>DJHL</t>
  </si>
  <si>
    <t>['118801', '118802']</t>
  </si>
  <si>
    <t>['118799']</t>
  </si>
  <si>
    <t>['118803', '118804', '118805', '118806', '118807']</t>
  </si>
  <si>
    <t>['118797', '118798']</t>
  </si>
  <si>
    <t>['118800']</t>
  </si>
  <si>
    <t>17-12-2020</t>
  </si>
  <si>
    <t>['118814']</t>
  </si>
  <si>
    <t>['118811']</t>
  </si>
  <si>
    <t>['118812', '118813']</t>
  </si>
  <si>
    <t>1472861164</t>
  </si>
  <si>
    <t>['118810']</t>
  </si>
  <si>
    <t>531073292</t>
  </si>
  <si>
    <t>['118820']</t>
  </si>
  <si>
    <t>['118817']</t>
  </si>
  <si>
    <t>['118816']</t>
  </si>
  <si>
    <t>['118829', '118830', '118831']</t>
  </si>
  <si>
    <t>['118825']</t>
  </si>
  <si>
    <t>['118826', '118827', '118828']</t>
  </si>
  <si>
    <t>['118832', '118833', '118834', '118835', '118836']</t>
  </si>
  <si>
    <t>['118839']</t>
  </si>
  <si>
    <t>['118838']</t>
  </si>
  <si>
    <t>['118809']</t>
  </si>
  <si>
    <t>['118847', '118848', '118849', '118850', '118851', '118852']</t>
  </si>
  <si>
    <t>['118842', '118843']</t>
  </si>
  <si>
    <t>['118844', '118845', '118846']</t>
  </si>
  <si>
    <t>['118840', '118841']</t>
  </si>
  <si>
    <t>STRABAG SPA</t>
  </si>
  <si>
    <t>VG3464</t>
  </si>
  <si>
    <t>101364364</t>
  </si>
  <si>
    <t>SAN JOSE DE MAIPO</t>
  </si>
  <si>
    <t>['118837']</t>
  </si>
  <si>
    <t>18-12-2020</t>
  </si>
  <si>
    <t>['118853']</t>
  </si>
  <si>
    <t>PKYS74</t>
  </si>
  <si>
    <t>['118875', '118876']</t>
  </si>
  <si>
    <t>['118877']</t>
  </si>
  <si>
    <t>CONSTRUCTORA CBI SPA</t>
  </si>
  <si>
    <t>['118855']</t>
  </si>
  <si>
    <t>['118857']</t>
  </si>
  <si>
    <t>['118856']</t>
  </si>
  <si>
    <t>19-12-2020</t>
  </si>
  <si>
    <t>['118878', '118879']</t>
  </si>
  <si>
    <t>['118883', '118884']</t>
  </si>
  <si>
    <t>['118880', '118881', '118882']</t>
  </si>
  <si>
    <t>['118885', '118886', '118887']</t>
  </si>
  <si>
    <t>21-12-2020</t>
  </si>
  <si>
    <t>['118902']</t>
  </si>
  <si>
    <t>['118891']</t>
  </si>
  <si>
    <t>['118890']</t>
  </si>
  <si>
    <t>['118888']</t>
  </si>
  <si>
    <t>['118892']</t>
  </si>
  <si>
    <t>78907359</t>
  </si>
  <si>
    <t>['118889']</t>
  </si>
  <si>
    <t>['118900']</t>
  </si>
  <si>
    <t>['118895', '118896', '118897', '118898', '118899']</t>
  </si>
  <si>
    <t>['118912', '118913']</t>
  </si>
  <si>
    <t>['118904']</t>
  </si>
  <si>
    <t>['118905', '118906', '118907']</t>
  </si>
  <si>
    <t>['118910', '118911']</t>
  </si>
  <si>
    <t>['118908', '118909']</t>
  </si>
  <si>
    <t>['118914', '118915']</t>
  </si>
  <si>
    <t>22-12-2020</t>
  </si>
  <si>
    <t>['118924']</t>
  </si>
  <si>
    <t>['118931']</t>
  </si>
  <si>
    <t>['118928']</t>
  </si>
  <si>
    <t>['118917']</t>
  </si>
  <si>
    <t>['118922', '118923']</t>
  </si>
  <si>
    <t>['118921']</t>
  </si>
  <si>
    <t>WG2233</t>
  </si>
  <si>
    <t>['118918']</t>
  </si>
  <si>
    <t>['118920']</t>
  </si>
  <si>
    <t>['118940']</t>
  </si>
  <si>
    <t>['118943', '118944']</t>
  </si>
  <si>
    <t>['118939']</t>
  </si>
  <si>
    <t>['118937', '118938']</t>
  </si>
  <si>
    <t>['118941', '118942']</t>
  </si>
  <si>
    <t>23-12-2020</t>
  </si>
  <si>
    <t>['118956']</t>
  </si>
  <si>
    <t>['118962']</t>
  </si>
  <si>
    <t>['118952']</t>
  </si>
  <si>
    <t>['118957']</t>
  </si>
  <si>
    <t>['118970']</t>
  </si>
  <si>
    <t>['118953']</t>
  </si>
  <si>
    <t>['118954']</t>
  </si>
  <si>
    <t>24-12-2020</t>
  </si>
  <si>
    <t>['118988', '118989']</t>
  </si>
  <si>
    <t>['118985']</t>
  </si>
  <si>
    <t>['118990', '118991', '118992', '118993']</t>
  </si>
  <si>
    <t>['118986', '118987']</t>
  </si>
  <si>
    <t>28-12-2020</t>
  </si>
  <si>
    <t>['119021']</t>
  </si>
  <si>
    <t>['118994']</t>
  </si>
  <si>
    <t>['118995']</t>
  </si>
  <si>
    <t>['118997']</t>
  </si>
  <si>
    <t>['118999', '119000', '119001', '119002']</t>
  </si>
  <si>
    <t>['118996']</t>
  </si>
  <si>
    <t>CONCRETOS E INGENIERIA VIPX</t>
  </si>
  <si>
    <t>SAN JOAQUIN</t>
  </si>
  <si>
    <t>['119004']</t>
  </si>
  <si>
    <t>['119015']</t>
  </si>
  <si>
    <t>['119016', '119017', '119018', '119019']</t>
  </si>
  <si>
    <t>['119013', '119014']</t>
  </si>
  <si>
    <t>29-12-2020</t>
  </si>
  <si>
    <t>['119023']</t>
  </si>
  <si>
    <t>['119027']</t>
  </si>
  <si>
    <t>['119022']</t>
  </si>
  <si>
    <t>['119034']</t>
  </si>
  <si>
    <t>['119033']</t>
  </si>
  <si>
    <t>['119030', '119031']</t>
  </si>
  <si>
    <t>['119026']</t>
  </si>
  <si>
    <t>12518660</t>
  </si>
  <si>
    <t>['119025']</t>
  </si>
  <si>
    <t>['119024']</t>
  </si>
  <si>
    <t>['119029']</t>
  </si>
  <si>
    <t>['119035']</t>
  </si>
  <si>
    <t>['119038', '119039', '119040', '119041']</t>
  </si>
  <si>
    <t>['119036', '119037']</t>
  </si>
  <si>
    <t>30-12-2020</t>
  </si>
  <si>
    <t>['119046']</t>
  </si>
  <si>
    <t>['119071']</t>
  </si>
  <si>
    <t>['119045']</t>
  </si>
  <si>
    <t>['119042']</t>
  </si>
  <si>
    <t>['119044']</t>
  </si>
  <si>
    <t>['119043']</t>
  </si>
  <si>
    <t>['119073', '119074']</t>
  </si>
  <si>
    <t>['119075']</t>
  </si>
  <si>
    <t>['119076', '119077']</t>
  </si>
  <si>
    <t>31-12-2020</t>
  </si>
  <si>
    <t>['119078']</t>
  </si>
  <si>
    <t>04-01-2021</t>
  </si>
  <si>
    <t>['119096']</t>
  </si>
  <si>
    <t>['119102']</t>
  </si>
  <si>
    <t>['119097', '119099']</t>
  </si>
  <si>
    <t>['119095']</t>
  </si>
  <si>
    <t>['119121']</t>
  </si>
  <si>
    <t>['119106']</t>
  </si>
  <si>
    <t>['119105']</t>
  </si>
  <si>
    <t>['119109', '119110', '119111']</t>
  </si>
  <si>
    <t>['119113', '119114', '119115']</t>
  </si>
  <si>
    <t>['119116', '119117', '119118', '119119', '119120']</t>
  </si>
  <si>
    <t>['119107', '119108', '119112']</t>
  </si>
  <si>
    <t>['119104']</t>
  </si>
  <si>
    <t>05-01-2021</t>
  </si>
  <si>
    <t>['119128']</t>
  </si>
  <si>
    <t>['119129', '119130']</t>
  </si>
  <si>
    <t>['119125']</t>
  </si>
  <si>
    <t>['119133', '119149']</t>
  </si>
  <si>
    <t>['119132']</t>
  </si>
  <si>
    <t>['119139', '119140']</t>
  </si>
  <si>
    <t>['119137']</t>
  </si>
  <si>
    <t>['119123', '119124']</t>
  </si>
  <si>
    <t>['119136']</t>
  </si>
  <si>
    <t>['119134', '119135']</t>
  </si>
  <si>
    <t>['119142', '119143', '119144']</t>
  </si>
  <si>
    <t>['119145', '119146', '119147', '119148']</t>
  </si>
  <si>
    <t>['119141']</t>
  </si>
  <si>
    <t>['119138']</t>
  </si>
  <si>
    <t>['119131']</t>
  </si>
  <si>
    <t>06-01-2021</t>
  </si>
  <si>
    <t>CJKP95</t>
  </si>
  <si>
    <t>109513911</t>
  </si>
  <si>
    <t>['119153', '119154', '119155']</t>
  </si>
  <si>
    <t>['119175', '119176']</t>
  </si>
  <si>
    <t>['119164']</t>
  </si>
  <si>
    <t>['119150']</t>
  </si>
  <si>
    <t>['119152']</t>
  </si>
  <si>
    <t>['119160']</t>
  </si>
  <si>
    <t>['119161']</t>
  </si>
  <si>
    <t>['119156']</t>
  </si>
  <si>
    <t>['119157', '119158', '119159']</t>
  </si>
  <si>
    <t>['119162']</t>
  </si>
  <si>
    <t>['119167', '119168', '119169']</t>
  </si>
  <si>
    <t>['119170', '119171']</t>
  </si>
  <si>
    <t>['119172']</t>
  </si>
  <si>
    <t>['119165', '119166']</t>
  </si>
  <si>
    <t>['119173']</t>
  </si>
  <si>
    <t>['119174']</t>
  </si>
  <si>
    <t>['119151']</t>
  </si>
  <si>
    <t>07-01-2021</t>
  </si>
  <si>
    <t>['119193']</t>
  </si>
  <si>
    <t>['119183']</t>
  </si>
  <si>
    <t>['119184']</t>
  </si>
  <si>
    <t>['119181']</t>
  </si>
  <si>
    <t>['119187']</t>
  </si>
  <si>
    <t>['119188', '119189', '119190', '119191']</t>
  </si>
  <si>
    <t>['119185', '119186']</t>
  </si>
  <si>
    <t>RESORTES Y ESPIRALES DE ACX</t>
  </si>
  <si>
    <t>LO ESPEJO</t>
  </si>
  <si>
    <t>['119182']</t>
  </si>
  <si>
    <t>['119210', '119211', '119212']</t>
  </si>
  <si>
    <t>['119213', '119214']</t>
  </si>
  <si>
    <t>['119222', '119223']</t>
  </si>
  <si>
    <t>['119224']</t>
  </si>
  <si>
    <t>['119209']</t>
  </si>
  <si>
    <t>['119215', '119216']</t>
  </si>
  <si>
    <t>08-01-2021</t>
  </si>
  <si>
    <t>['119247', '119248']</t>
  </si>
  <si>
    <t>['119242', '119243', '119244']</t>
  </si>
  <si>
    <t>['119241']</t>
  </si>
  <si>
    <t>['119233']</t>
  </si>
  <si>
    <t>['119225']</t>
  </si>
  <si>
    <t>['119238']</t>
  </si>
  <si>
    <t>['119246']</t>
  </si>
  <si>
    <t>['119226', '119227']</t>
  </si>
  <si>
    <t>09-01-2021</t>
  </si>
  <si>
    <t>['119256', '119257', '119258']</t>
  </si>
  <si>
    <t>['119252']</t>
  </si>
  <si>
    <t>['119250']</t>
  </si>
  <si>
    <t>['119259', '119260']</t>
  </si>
  <si>
    <t>['119261', '119262', '119263']</t>
  </si>
  <si>
    <t>['119251']</t>
  </si>
  <si>
    <t>['119253', '119254', '119255']</t>
  </si>
  <si>
    <t>11-01-2021</t>
  </si>
  <si>
    <t>['119264']</t>
  </si>
  <si>
    <t>['119265', '119266']</t>
  </si>
  <si>
    <t>['119275', '119276']</t>
  </si>
  <si>
    <t>['119281']</t>
  </si>
  <si>
    <t>['119279', '119280']</t>
  </si>
  <si>
    <t>['119277', '119278']</t>
  </si>
  <si>
    <t>['119285', '119286', '119287']</t>
  </si>
  <si>
    <t>['119282', '119283', '119284', '119288']</t>
  </si>
  <si>
    <t>12-01-2021</t>
  </si>
  <si>
    <t>BDDR40</t>
  </si>
  <si>
    <t>116813351</t>
  </si>
  <si>
    <t>['119327']</t>
  </si>
  <si>
    <t>['119299']</t>
  </si>
  <si>
    <t>139518071</t>
  </si>
  <si>
    <t>['119333', '119334']</t>
  </si>
  <si>
    <t>['119319']</t>
  </si>
  <si>
    <t>['119298']</t>
  </si>
  <si>
    <t>['119296', '119297']</t>
  </si>
  <si>
    <t>['119317']</t>
  </si>
  <si>
    <t>['119323']</t>
  </si>
  <si>
    <t>['119293', '119294']</t>
  </si>
  <si>
    <t>['119295']</t>
  </si>
  <si>
    <t>['119321', '119322', '119324']</t>
  </si>
  <si>
    <t>['119307', '119308', '119309']</t>
  </si>
  <si>
    <t>['119301']</t>
  </si>
  <si>
    <t>['119302', '119303', '119304', '119305', '119306']</t>
  </si>
  <si>
    <t>['119332']</t>
  </si>
  <si>
    <t>['119328', '119329']</t>
  </si>
  <si>
    <t>['119330', '119331']</t>
  </si>
  <si>
    <t>['119337', '119338', '119339']</t>
  </si>
  <si>
    <t>['119335', '119336']</t>
  </si>
  <si>
    <t>['119318']</t>
  </si>
  <si>
    <t>13-01-2021</t>
  </si>
  <si>
    <t>['119375']</t>
  </si>
  <si>
    <t>['119374']</t>
  </si>
  <si>
    <t>['119346']</t>
  </si>
  <si>
    <t>['119362', '119363', '119364']</t>
  </si>
  <si>
    <t>['119348', '119349']</t>
  </si>
  <si>
    <t>['119347']</t>
  </si>
  <si>
    <t>['119381', '119382', '119383']</t>
  </si>
  <si>
    <t>['119391', '119392']</t>
  </si>
  <si>
    <t>['119387', '119388', '119389', '119390']</t>
  </si>
  <si>
    <t>['119379', '119380']</t>
  </si>
  <si>
    <t>['119376', '119377']</t>
  </si>
  <si>
    <t>['119384', '119385', '119386']</t>
  </si>
  <si>
    <t>['119378']</t>
  </si>
  <si>
    <t>14-01-2021</t>
  </si>
  <si>
    <t>['119406']</t>
  </si>
  <si>
    <t>['119396']</t>
  </si>
  <si>
    <t>['119400']</t>
  </si>
  <si>
    <t>['119398']</t>
  </si>
  <si>
    <t>['119397']</t>
  </si>
  <si>
    <t>['119402']</t>
  </si>
  <si>
    <t>['119401']</t>
  </si>
  <si>
    <t>['119394', '119395']</t>
  </si>
  <si>
    <t>['119393']</t>
  </si>
  <si>
    <t>['119424', '119425']</t>
  </si>
  <si>
    <t>['119421']</t>
  </si>
  <si>
    <t>['119428']</t>
  </si>
  <si>
    <t>['119426', '119427']</t>
  </si>
  <si>
    <t>['119422', '119423']</t>
  </si>
  <si>
    <t>['119429', '119430', '119431']</t>
  </si>
  <si>
    <t>15-01-2021</t>
  </si>
  <si>
    <t>['119438']</t>
  </si>
  <si>
    <t>['119435']</t>
  </si>
  <si>
    <t>['119434']</t>
  </si>
  <si>
    <t>CARLOS HERRERA ARREDONDO LX</t>
  </si>
  <si>
    <t>['119436']</t>
  </si>
  <si>
    <t>['119450']</t>
  </si>
  <si>
    <t>['119437']</t>
  </si>
  <si>
    <t>['119445']</t>
  </si>
  <si>
    <t>['119456', '119457']</t>
  </si>
  <si>
    <t>['119433']</t>
  </si>
  <si>
    <t>16-01-2021</t>
  </si>
  <si>
    <t>['119464', '119465']</t>
  </si>
  <si>
    <t>['119462']</t>
  </si>
  <si>
    <t>['119459', '119460']</t>
  </si>
  <si>
    <t>['119463']</t>
  </si>
  <si>
    <t>['119461']</t>
  </si>
  <si>
    <t>['119466', '119467']</t>
  </si>
  <si>
    <t>18-01-2021</t>
  </si>
  <si>
    <t>137879050</t>
  </si>
  <si>
    <t>['119512', '119513']</t>
  </si>
  <si>
    <t>['119487', '119488']</t>
  </si>
  <si>
    <t>['119477']</t>
  </si>
  <si>
    <t>['119471', '119472', '119473']</t>
  </si>
  <si>
    <t>['119474', '119475', '119476']</t>
  </si>
  <si>
    <t>['119468', '119469', '119470']</t>
  </si>
  <si>
    <t>['119498']</t>
  </si>
  <si>
    <t>['119482', '119483']</t>
  </si>
  <si>
    <t>['119478']</t>
  </si>
  <si>
    <t>['119481']</t>
  </si>
  <si>
    <t>['119485']</t>
  </si>
  <si>
    <t>['119480']</t>
  </si>
  <si>
    <t>['119484', '119486']</t>
  </si>
  <si>
    <t>['119503', '119504']</t>
  </si>
  <si>
    <t>['119505']</t>
  </si>
  <si>
    <t>['119499', '119500']</t>
  </si>
  <si>
    <t>['119506', '119507']</t>
  </si>
  <si>
    <t>['119501', '119502']</t>
  </si>
  <si>
    <t>['119508', '119509', '119510']</t>
  </si>
  <si>
    <t>19-01-2021</t>
  </si>
  <si>
    <t>['119541', '119542']</t>
  </si>
  <si>
    <t>['119534', '119535']</t>
  </si>
  <si>
    <t>['119533', '119536']</t>
  </si>
  <si>
    <t>['119514']</t>
  </si>
  <si>
    <t>['119543']</t>
  </si>
  <si>
    <t>160935096K</t>
  </si>
  <si>
    <t>['119530']</t>
  </si>
  <si>
    <t>['119531', '119532']</t>
  </si>
  <si>
    <t>['119557', '119558', '119559', '119560']</t>
  </si>
  <si>
    <t>['119546', '119547']</t>
  </si>
  <si>
    <t>['119553', '119554', '119555', '119556']</t>
  </si>
  <si>
    <t>['119517']</t>
  </si>
  <si>
    <t>['119544', '119545']</t>
  </si>
  <si>
    <t>['119548', '119549', '119550', '119551', '119552']</t>
  </si>
  <si>
    <t>20-01-2021</t>
  </si>
  <si>
    <t>['119597', '119598']</t>
  </si>
  <si>
    <t>['119583', '119584']</t>
  </si>
  <si>
    <t>['119596']</t>
  </si>
  <si>
    <t>['119599']</t>
  </si>
  <si>
    <t>QUINTERO</t>
  </si>
  <si>
    <t>['119562']</t>
  </si>
  <si>
    <t>['119574', '119575', '119576', '119577', '119578', '119579', '119580', '119581']</t>
  </si>
  <si>
    <t>['119593']</t>
  </si>
  <si>
    <t>['119592']</t>
  </si>
  <si>
    <t>['119563', '119564', '119565', '119566', '119567', '119568', '119569', '119570']</t>
  </si>
  <si>
    <t>['119611']</t>
  </si>
  <si>
    <t>['119561']</t>
  </si>
  <si>
    <t>['119585']</t>
  </si>
  <si>
    <t>['119595']</t>
  </si>
  <si>
    <t>['119622']</t>
  </si>
  <si>
    <t>['119619', '119620', '119621']</t>
  </si>
  <si>
    <t>['119612', '119613']</t>
  </si>
  <si>
    <t>['119606', '119607', '119608', '119609', '119610']</t>
  </si>
  <si>
    <t>['119614', '119615', '119616']</t>
  </si>
  <si>
    <t>['119603', '119604', '119605']</t>
  </si>
  <si>
    <t>['119617', '119618']</t>
  </si>
  <si>
    <t>['119602']</t>
  </si>
  <si>
    <t>['119623', '119624']</t>
  </si>
  <si>
    <t>21-01-2021</t>
  </si>
  <si>
    <t>['119646', '119647']</t>
  </si>
  <si>
    <t>['119636']</t>
  </si>
  <si>
    <t>['119631', '119632']</t>
  </si>
  <si>
    <t>['119638', '119639']</t>
  </si>
  <si>
    <t>['119627']</t>
  </si>
  <si>
    <t>['119629']</t>
  </si>
  <si>
    <t>['119625']</t>
  </si>
  <si>
    <t>['119653']</t>
  </si>
  <si>
    <t>['119650', '119651', '119652']</t>
  </si>
  <si>
    <t>['119630']</t>
  </si>
  <si>
    <t>['119654', '119655', '119656', '119657']</t>
  </si>
  <si>
    <t>['119660', '119661', '119662']</t>
  </si>
  <si>
    <t>['119648', '119649']</t>
  </si>
  <si>
    <t>['119658', '119659']</t>
  </si>
  <si>
    <t>['119626']</t>
  </si>
  <si>
    <t>22-01-2021</t>
  </si>
  <si>
    <t>['119678']</t>
  </si>
  <si>
    <t>['119676']</t>
  </si>
  <si>
    <t>['119679']</t>
  </si>
  <si>
    <t>['119673']</t>
  </si>
  <si>
    <t>['119672']</t>
  </si>
  <si>
    <t>['119663', '119664', '119665', '119666', '119667']</t>
  </si>
  <si>
    <t>['119670']</t>
  </si>
  <si>
    <t>YW3219</t>
  </si>
  <si>
    <t>['119668']</t>
  </si>
  <si>
    <t>['119674']</t>
  </si>
  <si>
    <t>['119675']</t>
  </si>
  <si>
    <t>['119709']</t>
  </si>
  <si>
    <t>['119707', '119708']</t>
  </si>
  <si>
    <t>25-01-2021</t>
  </si>
  <si>
    <t>['119722']</t>
  </si>
  <si>
    <t>['119713']</t>
  </si>
  <si>
    <t>['119723', '119724']</t>
  </si>
  <si>
    <t>['119712']</t>
  </si>
  <si>
    <t>CONSTRUCTORA E INMOBILIARIX</t>
  </si>
  <si>
    <t>['119757']</t>
  </si>
  <si>
    <t>['119725']</t>
  </si>
  <si>
    <t>['119747', '119748', '119749']</t>
  </si>
  <si>
    <t>['119742', '119743', '119744']</t>
  </si>
  <si>
    <t>['119753']</t>
  </si>
  <si>
    <t>['119752']</t>
  </si>
  <si>
    <t>['119754', '119755', '119756']</t>
  </si>
  <si>
    <t>['119750', '119751']</t>
  </si>
  <si>
    <t>['119745', '119746']</t>
  </si>
  <si>
    <t>26-01-2021</t>
  </si>
  <si>
    <t>['119782', '119783']</t>
  </si>
  <si>
    <t>['119762']</t>
  </si>
  <si>
    <t>['119761']</t>
  </si>
  <si>
    <t>['119764', '119765']</t>
  </si>
  <si>
    <t>['119789', '119790']</t>
  </si>
  <si>
    <t>['119760']</t>
  </si>
  <si>
    <t>['119791', '119792']</t>
  </si>
  <si>
    <t>['119793', '119794']</t>
  </si>
  <si>
    <t>27-01-2021</t>
  </si>
  <si>
    <t>00000000</t>
  </si>
  <si>
    <t>['119800']</t>
  </si>
  <si>
    <t>['119808', '119809']</t>
  </si>
  <si>
    <t>['119806']</t>
  </si>
  <si>
    <t>81417575</t>
  </si>
  <si>
    <t>['119802', '119803', '119804']</t>
  </si>
  <si>
    <t>['119801']</t>
  </si>
  <si>
    <t>16141787K</t>
  </si>
  <si>
    <t>['119815']</t>
  </si>
  <si>
    <t>16141818K</t>
  </si>
  <si>
    <t>['119814', '119816']</t>
  </si>
  <si>
    <t>['119795', '119796', '119797', '119798', '119799']</t>
  </si>
  <si>
    <t>['119805']</t>
  </si>
  <si>
    <t>['119827', '119828', '119829']</t>
  </si>
  <si>
    <t>71412624</t>
  </si>
  <si>
    <t>['119844', '119845']</t>
  </si>
  <si>
    <t>['119838', '119839', '119840', '119841', '119842']</t>
  </si>
  <si>
    <t>['119837']</t>
  </si>
  <si>
    <t>['119835', '119836', '119843']</t>
  </si>
  <si>
    <t>['119830']</t>
  </si>
  <si>
    <t>12178520</t>
  </si>
  <si>
    <t>['119833', '119834']</t>
  </si>
  <si>
    <t>28-01-2021</t>
  </si>
  <si>
    <t>['119850']</t>
  </si>
  <si>
    <t>['119846', '119847']</t>
  </si>
  <si>
    <t>['119863']</t>
  </si>
  <si>
    <t>['119852']</t>
  </si>
  <si>
    <t>['119855', '119856', '119857']</t>
  </si>
  <si>
    <t>['119859']</t>
  </si>
  <si>
    <t>['119849']</t>
  </si>
  <si>
    <t>['119861']</t>
  </si>
  <si>
    <t>154837728</t>
  </si>
  <si>
    <t>['119853']</t>
  </si>
  <si>
    <t>['119854']</t>
  </si>
  <si>
    <t>['119848']</t>
  </si>
  <si>
    <t>['119869']</t>
  </si>
  <si>
    <t>['119870']</t>
  </si>
  <si>
    <t>['119872', '119873', '119874']</t>
  </si>
  <si>
    <t>['119875', '119876', '119877']</t>
  </si>
  <si>
    <t>['119864', '119865', '119866', '119867', '119868']</t>
  </si>
  <si>
    <t>['119878', '119879']</t>
  </si>
  <si>
    <t>['119871']</t>
  </si>
  <si>
    <t>29-01-2021</t>
  </si>
  <si>
    <t>BHFG42</t>
  </si>
  <si>
    <t>125487580</t>
  </si>
  <si>
    <t>['119916']</t>
  </si>
  <si>
    <t>['119899']</t>
  </si>
  <si>
    <t>['119917', '119918']</t>
  </si>
  <si>
    <t>['119895', '119896', '119897', '119898']</t>
  </si>
  <si>
    <t>['119908']</t>
  </si>
  <si>
    <t>['119907']</t>
  </si>
  <si>
    <t>['119909']</t>
  </si>
  <si>
    <t>['119887', '119888', '119889', '119890', '119891', '119892', '119893']</t>
  </si>
  <si>
    <t>['119880', '119881', '119882', '119883', '119884', '119885', '119886']</t>
  </si>
  <si>
    <t>['119894']</t>
  </si>
  <si>
    <t>['119900']</t>
  </si>
  <si>
    <t>01-02-2021</t>
  </si>
  <si>
    <t>['119943']</t>
  </si>
  <si>
    <t>['119928', '119929']</t>
  </si>
  <si>
    <t>['119926', '119927']</t>
  </si>
  <si>
    <t>['119932']</t>
  </si>
  <si>
    <t>['119935']</t>
  </si>
  <si>
    <t>['119923']</t>
  </si>
  <si>
    <t>['119933', '119934']</t>
  </si>
  <si>
    <t>['119930', '119931']</t>
  </si>
  <si>
    <t>['119937']</t>
  </si>
  <si>
    <t>['119925']</t>
  </si>
  <si>
    <t>['119919', '119920']</t>
  </si>
  <si>
    <t>['119924']</t>
  </si>
  <si>
    <t>['119936']</t>
  </si>
  <si>
    <t>['119941', '119942']</t>
  </si>
  <si>
    <t>['119921', '119922']</t>
  </si>
  <si>
    <t>['119939', '119940']</t>
  </si>
  <si>
    <t>['119938']</t>
  </si>
  <si>
    <t>02-02-2021</t>
  </si>
  <si>
    <t>['119944']</t>
  </si>
  <si>
    <t>SU3954</t>
  </si>
  <si>
    <t>['119959']</t>
  </si>
  <si>
    <t>['119951']</t>
  </si>
  <si>
    <t>['119952']</t>
  </si>
  <si>
    <t>['119953']</t>
  </si>
  <si>
    <t>['119962', '119965']</t>
  </si>
  <si>
    <t>['119946', '119947', '119948']</t>
  </si>
  <si>
    <t>['119945']</t>
  </si>
  <si>
    <t>['119976', '119977']</t>
  </si>
  <si>
    <t>['119971', '119972', '119973']</t>
  </si>
  <si>
    <t>EK5135</t>
  </si>
  <si>
    <t>['119974']</t>
  </si>
  <si>
    <t>['119975']</t>
  </si>
  <si>
    <t>['119978', '119979']</t>
  </si>
  <si>
    <t>['119969', '119970']</t>
  </si>
  <si>
    <t>['119957']</t>
  </si>
  <si>
    <t>['119966']</t>
  </si>
  <si>
    <t>['119967', '119968']</t>
  </si>
  <si>
    <t>03-02-2021</t>
  </si>
  <si>
    <t>['119991']</t>
  </si>
  <si>
    <t>['119986', '119987']</t>
  </si>
  <si>
    <t>ACENOR ACEROS DEL NORTE S.A</t>
  </si>
  <si>
    <t>['119988']</t>
  </si>
  <si>
    <t>['119980']</t>
  </si>
  <si>
    <t>['119981']</t>
  </si>
  <si>
    <t>['119982', '119983']</t>
  </si>
  <si>
    <t>['119984', '119985']</t>
  </si>
  <si>
    <t>['119999', '120000']</t>
  </si>
  <si>
    <t>['120337', '120338']</t>
  </si>
  <si>
    <t>['120332', '120333']</t>
  </si>
  <si>
    <t>['120334', '120335', '120336']</t>
  </si>
  <si>
    <t>['119992', '119993', '119994']</t>
  </si>
  <si>
    <t>['119997', '119998']</t>
  </si>
  <si>
    <t>['119996']</t>
  </si>
  <si>
    <t>['119995']</t>
  </si>
  <si>
    <t>04-02-2021</t>
  </si>
  <si>
    <t>['120340']</t>
  </si>
  <si>
    <t>['120354']</t>
  </si>
  <si>
    <t>['120353']</t>
  </si>
  <si>
    <t>['120346']</t>
  </si>
  <si>
    <t>['120341']</t>
  </si>
  <si>
    <t>['120364']</t>
  </si>
  <si>
    <t>['120357', '120358']</t>
  </si>
  <si>
    <t>['120360', '120361', '120362', '120363']</t>
  </si>
  <si>
    <t>['120359']</t>
  </si>
  <si>
    <t>05-02-2021</t>
  </si>
  <si>
    <t>['120378']</t>
  </si>
  <si>
    <t>['120383', '120384', '120394']</t>
  </si>
  <si>
    <t>DESARROLLOS CONSTRUCTIVOS X</t>
  </si>
  <si>
    <t>['120377']</t>
  </si>
  <si>
    <t>['120365', '120366', '120367', '120368', '120369', '120370', '120371', '120372', '120373', '120374']</t>
  </si>
  <si>
    <t>['120379']</t>
  </si>
  <si>
    <t>['120380', '120381', '120382']</t>
  </si>
  <si>
    <t>['120395', '120396', '120397', '120398']</t>
  </si>
  <si>
    <t>['120399', '120400']</t>
  </si>
  <si>
    <t>['120391', '120392', '120393']</t>
  </si>
  <si>
    <t>['120388', '120389', '120390']</t>
  </si>
  <si>
    <t>['120386', '120387']</t>
  </si>
  <si>
    <t>08-02-2021</t>
  </si>
  <si>
    <t>78551676</t>
  </si>
  <si>
    <t>['120406']</t>
  </si>
  <si>
    <t>['120403']</t>
  </si>
  <si>
    <t>['120404']</t>
  </si>
  <si>
    <t>['120407']</t>
  </si>
  <si>
    <t>['120401', '120402']</t>
  </si>
  <si>
    <t>['120405']</t>
  </si>
  <si>
    <t>['120412', '120413']</t>
  </si>
  <si>
    <t>['120417', '120418']</t>
  </si>
  <si>
    <t>['120415', '120416']</t>
  </si>
  <si>
    <t>['120414']</t>
  </si>
  <si>
    <t>09-02-2021</t>
  </si>
  <si>
    <t>['120419']</t>
  </si>
  <si>
    <t>['120420', '120421']</t>
  </si>
  <si>
    <t>JC3808</t>
  </si>
  <si>
    <t>11581233</t>
  </si>
  <si>
    <t>['120441']</t>
  </si>
  <si>
    <t>['120423']</t>
  </si>
  <si>
    <t>['120422']</t>
  </si>
  <si>
    <t>DBZH61</t>
  </si>
  <si>
    <t>105195567</t>
  </si>
  <si>
    <t>['120440']</t>
  </si>
  <si>
    <t>['120424']</t>
  </si>
  <si>
    <t>16168070</t>
  </si>
  <si>
    <t>['120425']</t>
  </si>
  <si>
    <t>['120431', '120432']</t>
  </si>
  <si>
    <t>['120433', '120434']</t>
  </si>
  <si>
    <t>['120437', '120438', '120439']</t>
  </si>
  <si>
    <t>['120435', '120436']</t>
  </si>
  <si>
    <t>['120429', '120430']</t>
  </si>
  <si>
    <t>10-02-2021</t>
  </si>
  <si>
    <t>['120450']</t>
  </si>
  <si>
    <t>['120449']</t>
  </si>
  <si>
    <t>['120451', '120452', '120453']</t>
  </si>
  <si>
    <t>['120455']</t>
  </si>
  <si>
    <t>['120456']</t>
  </si>
  <si>
    <t>['120445', '120446']</t>
  </si>
  <si>
    <t>['120444']</t>
  </si>
  <si>
    <t>['120442', '120443']</t>
  </si>
  <si>
    <t>['120464', '120465', '120466']</t>
  </si>
  <si>
    <t>['120462', '120463']</t>
  </si>
  <si>
    <t>['120461']</t>
  </si>
  <si>
    <t>VSL SISTEMAS ESPECIALES DEX</t>
  </si>
  <si>
    <t>['120448']</t>
  </si>
  <si>
    <t>11-02-2021</t>
  </si>
  <si>
    <t>['120488']</t>
  </si>
  <si>
    <t>['120470']</t>
  </si>
  <si>
    <t>['120472', '120473']</t>
  </si>
  <si>
    <t>['120478']</t>
  </si>
  <si>
    <t>['120474']</t>
  </si>
  <si>
    <t>['120475']</t>
  </si>
  <si>
    <t>['120479']</t>
  </si>
  <si>
    <t>['120480']</t>
  </si>
  <si>
    <t>['120477']</t>
  </si>
  <si>
    <t>['120476']</t>
  </si>
  <si>
    <t>['120481', '120482', '120483']</t>
  </si>
  <si>
    <t>['120484', '120485', '120486', '120487']</t>
  </si>
  <si>
    <t>12-02-2021</t>
  </si>
  <si>
    <t>['120497', '120498', '120499']</t>
  </si>
  <si>
    <t>['120492', '120493', '120494', '120495', '120496']</t>
  </si>
  <si>
    <t>['120508', '120509', '120510']</t>
  </si>
  <si>
    <t>['120500', '120501', '120502', '120503']</t>
  </si>
  <si>
    <t>['120519', '120520']</t>
  </si>
  <si>
    <t>['120490', '120491']</t>
  </si>
  <si>
    <t>15-02-2021</t>
  </si>
  <si>
    <t>['120531']</t>
  </si>
  <si>
    <t>['120532']</t>
  </si>
  <si>
    <t>['120534']</t>
  </si>
  <si>
    <t>['120529', '120530']</t>
  </si>
  <si>
    <t>16-02-2021</t>
  </si>
  <si>
    <t>['120543']</t>
  </si>
  <si>
    <t>['120542']</t>
  </si>
  <si>
    <t>['120545']</t>
  </si>
  <si>
    <t>['120562', '120563', '120564']</t>
  </si>
  <si>
    <t>['120556', '120557', '120558', '120559']</t>
  </si>
  <si>
    <t>['120560', '120561']</t>
  </si>
  <si>
    <t>17-02-2021</t>
  </si>
  <si>
    <t>['120579']</t>
  </si>
  <si>
    <t>['120584']</t>
  </si>
  <si>
    <t>['120587']</t>
  </si>
  <si>
    <t>['120585', '120586']</t>
  </si>
  <si>
    <t>['120580', '120581', '120582', '120583']</t>
  </si>
  <si>
    <t>['120589']</t>
  </si>
  <si>
    <t>['120590']</t>
  </si>
  <si>
    <t>['120588']</t>
  </si>
  <si>
    <t>['120591', '120592']</t>
  </si>
  <si>
    <t>18-02-2021</t>
  </si>
  <si>
    <t>['120598']</t>
  </si>
  <si>
    <t>['120601']</t>
  </si>
  <si>
    <t>['120595', '120596', '120597']</t>
  </si>
  <si>
    <t>['120594']</t>
  </si>
  <si>
    <t>['120600']</t>
  </si>
  <si>
    <t>ARRIGONI INGENIERIA Y CONSX</t>
  </si>
  <si>
    <t>['120603']</t>
  </si>
  <si>
    <t>['120599']</t>
  </si>
  <si>
    <t>['120604']</t>
  </si>
  <si>
    <t>['120607', '120608', '120609', '120610']</t>
  </si>
  <si>
    <t>['120605', '120606']</t>
  </si>
  <si>
    <t>19-02-2021</t>
  </si>
  <si>
    <t>JTGL12</t>
  </si>
  <si>
    <t>['120614']</t>
  </si>
  <si>
    <t>['120611']</t>
  </si>
  <si>
    <t>['120612']</t>
  </si>
  <si>
    <t>TIL TIL</t>
  </si>
  <si>
    <t>TILTIL</t>
  </si>
  <si>
    <t>['120613']</t>
  </si>
  <si>
    <t>['120615', '120616', '120617', '120618']</t>
  </si>
  <si>
    <t>22-02-2021</t>
  </si>
  <si>
    <t>['120632']</t>
  </si>
  <si>
    <t>['120624', '120625']</t>
  </si>
  <si>
    <t>['120649', '120650']</t>
  </si>
  <si>
    <t>['120623']</t>
  </si>
  <si>
    <t>['120621']</t>
  </si>
  <si>
    <t>['120620']</t>
  </si>
  <si>
    <t>['120627']</t>
  </si>
  <si>
    <t>['120633']</t>
  </si>
  <si>
    <t>['120619']</t>
  </si>
  <si>
    <t>['120636']</t>
  </si>
  <si>
    <t>['120634']</t>
  </si>
  <si>
    <t>['120645', '120646', '120647', '120648']</t>
  </si>
  <si>
    <t>['120642', '120643']</t>
  </si>
  <si>
    <t>['120637', '120638', '120639']</t>
  </si>
  <si>
    <t>['120635']</t>
  </si>
  <si>
    <t>['120640', '120641', '120644']</t>
  </si>
  <si>
    <t>23-02-2021</t>
  </si>
  <si>
    <t>['120656']</t>
  </si>
  <si>
    <t>['120657']</t>
  </si>
  <si>
    <t>FERRARA INGENIERIA Y CONSTX</t>
  </si>
  <si>
    <t>['120654']</t>
  </si>
  <si>
    <t>['120666', '120667']</t>
  </si>
  <si>
    <t>['120668', '120669']</t>
  </si>
  <si>
    <t>['120663', '120664', '120665']</t>
  </si>
  <si>
    <t>24-02-2021</t>
  </si>
  <si>
    <t>['120673', '120674']</t>
  </si>
  <si>
    <t>['120675', '120676']</t>
  </si>
  <si>
    <t>['120684']</t>
  </si>
  <si>
    <t>INMOB. Y CONSTRUCTORA RIO X</t>
  </si>
  <si>
    <t>['120672']</t>
  </si>
  <si>
    <t>['120688', '120689']</t>
  </si>
  <si>
    <t>['120690']</t>
  </si>
  <si>
    <t>['120685', '120687', '120691']</t>
  </si>
  <si>
    <t>['120686']</t>
  </si>
  <si>
    <t>25-02-2021</t>
  </si>
  <si>
    <t>['120717']</t>
  </si>
  <si>
    <t>['120692', '120693']</t>
  </si>
  <si>
    <t>['120695', '120696']</t>
  </si>
  <si>
    <t>['120718', '120719', '120720']</t>
  </si>
  <si>
    <t>['120709']</t>
  </si>
  <si>
    <t>['120721', '120722']</t>
  </si>
  <si>
    <t>['120715']</t>
  </si>
  <si>
    <t>['120710', '120711', '120712', '120713', '120714', '120716']</t>
  </si>
  <si>
    <t>['120723', '120724']</t>
  </si>
  <si>
    <t>26-02-2021</t>
  </si>
  <si>
    <t>['120752']</t>
  </si>
  <si>
    <t>['120743']</t>
  </si>
  <si>
    <t>['120735', '120736', '120737']</t>
  </si>
  <si>
    <t>['120751']</t>
  </si>
  <si>
    <t>XR6369</t>
  </si>
  <si>
    <t>['120769']</t>
  </si>
  <si>
    <t>['120732', '120733']</t>
  </si>
  <si>
    <t>['120749']</t>
  </si>
  <si>
    <t>['120754']</t>
  </si>
  <si>
    <t>['120755']</t>
  </si>
  <si>
    <t>['120760']</t>
  </si>
  <si>
    <t>['120761', '120762', '120763', '120764', '120765', '120766', '120767', '120768']</t>
  </si>
  <si>
    <t>['120756', '120757']</t>
  </si>
  <si>
    <t>['120758', '120759']</t>
  </si>
  <si>
    <t>URTVALMETAL SPA</t>
  </si>
  <si>
    <t>['120734']</t>
  </si>
  <si>
    <t>01-03-2021</t>
  </si>
  <si>
    <t>['120770', '120771', '120772']</t>
  </si>
  <si>
    <t>['120778']</t>
  </si>
  <si>
    <t>['120773']</t>
  </si>
  <si>
    <t>['120777']</t>
  </si>
  <si>
    <t>['120782']</t>
  </si>
  <si>
    <t>['120779', '120780']</t>
  </si>
  <si>
    <t>['120784', '120785']</t>
  </si>
  <si>
    <t>['120788', '120789', '120790', '120791', '120792']</t>
  </si>
  <si>
    <t>['120786', '120787']</t>
  </si>
  <si>
    <t>02-03-2021</t>
  </si>
  <si>
    <t>['120812']</t>
  </si>
  <si>
    <t>['120806', '120807']</t>
  </si>
  <si>
    <t>['120828', '120829']</t>
  </si>
  <si>
    <t>['120809', '120810', '120813', '120814']</t>
  </si>
  <si>
    <t>['120841', '120842']</t>
  </si>
  <si>
    <t>['120839', '120840']</t>
  </si>
  <si>
    <t>['120834', '120835', '120836']</t>
  </si>
  <si>
    <t>['120837', '120838']</t>
  </si>
  <si>
    <t>03-03-2021</t>
  </si>
  <si>
    <t>BPKD94</t>
  </si>
  <si>
    <t>125897258</t>
  </si>
  <si>
    <t>['120872']</t>
  </si>
  <si>
    <t>53173262</t>
  </si>
  <si>
    <t>['120844']</t>
  </si>
  <si>
    <t>['120846']</t>
  </si>
  <si>
    <t>['120847']</t>
  </si>
  <si>
    <t>['120855']</t>
  </si>
  <si>
    <t>DFEV76</t>
  </si>
  <si>
    <t>['120862']</t>
  </si>
  <si>
    <t>['120868']</t>
  </si>
  <si>
    <t>['120863', '120864']</t>
  </si>
  <si>
    <t>['120865', '120866', '120867']</t>
  </si>
  <si>
    <t>['120871']</t>
  </si>
  <si>
    <t>['120875', '120876', '120877']</t>
  </si>
  <si>
    <t>['120873', '120874']</t>
  </si>
  <si>
    <t>04-03-2021</t>
  </si>
  <si>
    <t>['120885']</t>
  </si>
  <si>
    <t>['120912']</t>
  </si>
  <si>
    <t>['120917']</t>
  </si>
  <si>
    <t>['120888']</t>
  </si>
  <si>
    <t>['120886']</t>
  </si>
  <si>
    <t>95707334</t>
  </si>
  <si>
    <t>['120884']</t>
  </si>
  <si>
    <t>['120919', '120920', '120921']</t>
  </si>
  <si>
    <t>['120879', '120880', '120881', '120882', '120883']</t>
  </si>
  <si>
    <t>['120899', '120900', '120901']</t>
  </si>
  <si>
    <t>['120887']</t>
  </si>
  <si>
    <t>['120922', '120923']</t>
  </si>
  <si>
    <t>['120918']</t>
  </si>
  <si>
    <t>['120924', '120925', '120926', '120927']</t>
  </si>
  <si>
    <t>['120928', '120929']</t>
  </si>
  <si>
    <t>05-03-2021</t>
  </si>
  <si>
    <t>['120930']</t>
  </si>
  <si>
    <t>['120934', '120935']</t>
  </si>
  <si>
    <t>['120931', '120932']</t>
  </si>
  <si>
    <t>['120937']</t>
  </si>
  <si>
    <t>['120936']</t>
  </si>
  <si>
    <t>['120940', '120941']</t>
  </si>
  <si>
    <t>['120944']</t>
  </si>
  <si>
    <t>['120945']</t>
  </si>
  <si>
    <t>['120946', '120947', '120948']</t>
  </si>
  <si>
    <t>['120942', '120943']</t>
  </si>
  <si>
    <t>08-03-2021</t>
  </si>
  <si>
    <t>['120950', '120951']</t>
  </si>
  <si>
    <t>['120949']</t>
  </si>
  <si>
    <t>['120964', '120965', '120970']</t>
  </si>
  <si>
    <t>['120962']</t>
  </si>
  <si>
    <t>['120961']</t>
  </si>
  <si>
    <t>['120966', '120967', '120968']</t>
  </si>
  <si>
    <t>['120969']</t>
  </si>
  <si>
    <t>09-03-2021</t>
  </si>
  <si>
    <t>['120972']</t>
  </si>
  <si>
    <t>['120983']</t>
  </si>
  <si>
    <t>['120979']</t>
  </si>
  <si>
    <t>['120980']</t>
  </si>
  <si>
    <t>['120977']</t>
  </si>
  <si>
    <t>['120984', '120985']</t>
  </si>
  <si>
    <t>['120995', '120996', '120997']</t>
  </si>
  <si>
    <t>['121001']</t>
  </si>
  <si>
    <t>['120998', '120999', '121000']</t>
  </si>
  <si>
    <t>['120978']</t>
  </si>
  <si>
    <t>['120990', '120991']</t>
  </si>
  <si>
    <t>['120992', '120993']</t>
  </si>
  <si>
    <t>10-03-2021</t>
  </si>
  <si>
    <t>KKPX70</t>
  </si>
  <si>
    <t>119615755</t>
  </si>
  <si>
    <t>['121029']</t>
  </si>
  <si>
    <t>['121011', '121012']</t>
  </si>
  <si>
    <t>['121014', '121015', '121016']</t>
  </si>
  <si>
    <t>['121013']</t>
  </si>
  <si>
    <t>['121030', '121031', '121032']</t>
  </si>
  <si>
    <t>['121005', '121006', '121007']</t>
  </si>
  <si>
    <t>['121017', '121018']</t>
  </si>
  <si>
    <t>['121010']</t>
  </si>
  <si>
    <t>['121024', '121025']</t>
  </si>
  <si>
    <t>['121026']</t>
  </si>
  <si>
    <t>['121022', '121023']</t>
  </si>
  <si>
    <t>['121020', '121021']</t>
  </si>
  <si>
    <t>['121027']</t>
  </si>
  <si>
    <t>11-03-2021</t>
  </si>
  <si>
    <t>['121034']</t>
  </si>
  <si>
    <t>['121033']</t>
  </si>
  <si>
    <t>['121045']</t>
  </si>
  <si>
    <t>['121047', '121048', '121049', '121050', '121051']</t>
  </si>
  <si>
    <t>['121035', '121036', '121037', '121038', '121039']</t>
  </si>
  <si>
    <t>['121040', '121041', '121042', '121043', '121044']</t>
  </si>
  <si>
    <t>12-03-2021</t>
  </si>
  <si>
    <t>['121054']</t>
  </si>
  <si>
    <t>['121063']</t>
  </si>
  <si>
    <t>['121052', '121053']</t>
  </si>
  <si>
    <t>['121065']</t>
  </si>
  <si>
    <t>['121056', '121057']</t>
  </si>
  <si>
    <t>['121058', '121059', '121060']</t>
  </si>
  <si>
    <t>15-03-2021</t>
  </si>
  <si>
    <t>['121067']</t>
  </si>
  <si>
    <t>['121071']</t>
  </si>
  <si>
    <t>['121072']</t>
  </si>
  <si>
    <t>['121082']</t>
  </si>
  <si>
    <t>['121085', '121086', '121087']</t>
  </si>
  <si>
    <t>['121068', '121069', '121070']</t>
  </si>
  <si>
    <t>['121076', '121077', '121078', '121079']</t>
  </si>
  <si>
    <t>['121073', '121074', '121075']</t>
  </si>
  <si>
    <t>['121080', '121081']</t>
  </si>
  <si>
    <t>['121083', '121084']</t>
  </si>
  <si>
    <t>['121097', '121098', '121099']</t>
  </si>
  <si>
    <t>['121100', '121101']</t>
  </si>
  <si>
    <t>['121102', '121103', '121104']</t>
  </si>
  <si>
    <t>16-03-2021</t>
  </si>
  <si>
    <t>['121109']</t>
  </si>
  <si>
    <t>['121115']</t>
  </si>
  <si>
    <t>['121122', '121123']</t>
  </si>
  <si>
    <t>['121120']</t>
  </si>
  <si>
    <t>['121114']</t>
  </si>
  <si>
    <t>['121112', '121113']</t>
  </si>
  <si>
    <t>['121117']</t>
  </si>
  <si>
    <t>['121110', '121111']</t>
  </si>
  <si>
    <t>['121106', '121107', '121108']</t>
  </si>
  <si>
    <t>['121105']</t>
  </si>
  <si>
    <t>['121136', '121137']</t>
  </si>
  <si>
    <t>['121133']</t>
  </si>
  <si>
    <t>['121134', '121135']</t>
  </si>
  <si>
    <t>['121124', '121125', '121126', '121127', '121128', '121129', '121130']</t>
  </si>
  <si>
    <t>['121131', '121132']</t>
  </si>
  <si>
    <t>17-03-2021</t>
  </si>
  <si>
    <t>['121169']</t>
  </si>
  <si>
    <t>['121153']</t>
  </si>
  <si>
    <t>['121158']</t>
  </si>
  <si>
    <t>CONSTRUCTORA AYRES ORIENTEX</t>
  </si>
  <si>
    <t>['121165']</t>
  </si>
  <si>
    <t>['121147', '121148', '121149', '121150']</t>
  </si>
  <si>
    <t>['121139', '121141']</t>
  </si>
  <si>
    <t>['121155', '121156', '121157']</t>
  </si>
  <si>
    <t>['121161', '121162', '121163', '121164']</t>
  </si>
  <si>
    <t>['121166', '121167', '121168']</t>
  </si>
  <si>
    <t>CALERA DE TANGO</t>
  </si>
  <si>
    <t>['121154']</t>
  </si>
  <si>
    <t>['121152']</t>
  </si>
  <si>
    <t>['121173', '121174']</t>
  </si>
  <si>
    <t>['121182', '121183']</t>
  </si>
  <si>
    <t>['121180', '121184']</t>
  </si>
  <si>
    <t>['121175', '121176', '121177', '121178', '121179']</t>
  </si>
  <si>
    <t>['121181', '121185', '121186']</t>
  </si>
  <si>
    <t>['121172']</t>
  </si>
  <si>
    <t>['121170']</t>
  </si>
  <si>
    <t>18-03-2021</t>
  </si>
  <si>
    <t>['121213']</t>
  </si>
  <si>
    <t>['121189']</t>
  </si>
  <si>
    <t>['121187']</t>
  </si>
  <si>
    <t>['121196']</t>
  </si>
  <si>
    <t>['121188']</t>
  </si>
  <si>
    <t>['121212']</t>
  </si>
  <si>
    <t>['121190']</t>
  </si>
  <si>
    <t>['121192']</t>
  </si>
  <si>
    <t>['121193', '121194', '121195']</t>
  </si>
  <si>
    <t>['121191']</t>
  </si>
  <si>
    <t>['121219']</t>
  </si>
  <si>
    <t>['121220', '121221']</t>
  </si>
  <si>
    <t>['121217', '121218']</t>
  </si>
  <si>
    <t>UK7193</t>
  </si>
  <si>
    <t>['121198', '121199', '121200', '121201', '121202', '121203']</t>
  </si>
  <si>
    <t>['121214', '121215', '121216']</t>
  </si>
  <si>
    <t>19-03-2021</t>
  </si>
  <si>
    <t>['121234']</t>
  </si>
  <si>
    <t>['121229', '121231']</t>
  </si>
  <si>
    <t>['121228']</t>
  </si>
  <si>
    <t>['121226']</t>
  </si>
  <si>
    <t>['121222']</t>
  </si>
  <si>
    <t>['121236', '121237', '121238', '121239', '121240']</t>
  </si>
  <si>
    <t>['121223', '121224']</t>
  </si>
  <si>
    <t>['121252', '121253', '121254']</t>
  </si>
  <si>
    <t>['121249']</t>
  </si>
  <si>
    <t>['121255', '121256', '121257']</t>
  </si>
  <si>
    <t>['121247', '121248']</t>
  </si>
  <si>
    <t>['121241', '121242', '121243', '121244', '121245', '121246']</t>
  </si>
  <si>
    <t>['121250', '121251']</t>
  </si>
  <si>
    <t>22-03-2021</t>
  </si>
  <si>
    <t>['121265']</t>
  </si>
  <si>
    <t>['121259']</t>
  </si>
  <si>
    <t>['121272']</t>
  </si>
  <si>
    <t>CONSTRUCTORA CERUTTI S A</t>
  </si>
  <si>
    <t>CAUQUENES</t>
  </si>
  <si>
    <t>['121277', '121278']</t>
  </si>
  <si>
    <t>['121262']</t>
  </si>
  <si>
    <t>['121273']</t>
  </si>
  <si>
    <t>['121263']</t>
  </si>
  <si>
    <t>CURICO</t>
  </si>
  <si>
    <t>['121280', '121281', '121282', '121283', '121284']</t>
  </si>
  <si>
    <t>GERVACRIS LTDA</t>
  </si>
  <si>
    <t>ARAUCO</t>
  </si>
  <si>
    <t>['121275']</t>
  </si>
  <si>
    <t>['121292']</t>
  </si>
  <si>
    <t>PKSY74</t>
  </si>
  <si>
    <t>['121285', '121286']</t>
  </si>
  <si>
    <t>['121289', '121290', '121291']</t>
  </si>
  <si>
    <t>['121287', '121288']</t>
  </si>
  <si>
    <t>['121293', '121294']</t>
  </si>
  <si>
    <t>SANTA CRUZ</t>
  </si>
  <si>
    <t>['121264']</t>
  </si>
  <si>
    <t>['121260', '121261']</t>
  </si>
  <si>
    <t>23-03-2021</t>
  </si>
  <si>
    <t>['121311']</t>
  </si>
  <si>
    <t>['121325', '121326', '121327']</t>
  </si>
  <si>
    <t>['121298', '121299', '121300', '121301']</t>
  </si>
  <si>
    <t>['121304', '121305']</t>
  </si>
  <si>
    <t>['121295', '121297', '121302']</t>
  </si>
  <si>
    <t>['121316', '121317', '121318', '121319']</t>
  </si>
  <si>
    <t>['121334', '121335', '121336']</t>
  </si>
  <si>
    <t>['121320', '121321', '121322']</t>
  </si>
  <si>
    <t>['121323', '121324']</t>
  </si>
  <si>
    <t>['121330', '121331']</t>
  </si>
  <si>
    <t>JJHS30</t>
  </si>
  <si>
    <t>['121312', '121313', '121314']</t>
  </si>
  <si>
    <t>['121308']</t>
  </si>
  <si>
    <t>['121332', '121333']</t>
  </si>
  <si>
    <t>['121328', '121329']</t>
  </si>
  <si>
    <t>24-03-2021</t>
  </si>
  <si>
    <t>['121354']</t>
  </si>
  <si>
    <t>['121351']</t>
  </si>
  <si>
    <t>['121355']</t>
  </si>
  <si>
    <t>['121343', '121344']</t>
  </si>
  <si>
    <t>['121371']</t>
  </si>
  <si>
    <t>['121339', '121340', '121341']</t>
  </si>
  <si>
    <t>['121368', '121369', '121370']</t>
  </si>
  <si>
    <t>['121348']</t>
  </si>
  <si>
    <t>['121366', '121367']</t>
  </si>
  <si>
    <t>['121365']</t>
  </si>
  <si>
    <t>['121363', '121364']</t>
  </si>
  <si>
    <t>['121361', '121362']</t>
  </si>
  <si>
    <t>['121357', '121358', '121359', '121360']</t>
  </si>
  <si>
    <t>['121349']</t>
  </si>
  <si>
    <t>['121338']</t>
  </si>
  <si>
    <t>25-03-2021</t>
  </si>
  <si>
    <t>['121397']</t>
  </si>
  <si>
    <t>['121437']</t>
  </si>
  <si>
    <t>['121413']</t>
  </si>
  <si>
    <t>['121400']</t>
  </si>
  <si>
    <t>['121384', '121385', '121386', '121387', '121388', '121389', '121390', '121391', '121392', '121393']</t>
  </si>
  <si>
    <t>['121372', '121373', '121374', '121375', '121376', '121377', '121378', '121379', '121380', '121381', '121382']</t>
  </si>
  <si>
    <t>TP3839</t>
  </si>
  <si>
    <t>['121398']</t>
  </si>
  <si>
    <t>['121441']</t>
  </si>
  <si>
    <t>['121401', '121402', '121403', '121404']</t>
  </si>
  <si>
    <t>['121399']</t>
  </si>
  <si>
    <t>103018366</t>
  </si>
  <si>
    <t>['121435', '121436', '121438']</t>
  </si>
  <si>
    <t>['121416', '121434', '121439']</t>
  </si>
  <si>
    <t>['121414']</t>
  </si>
  <si>
    <t>26-03-2021</t>
  </si>
  <si>
    <t>['121448']</t>
  </si>
  <si>
    <t>['121446']</t>
  </si>
  <si>
    <t>['121452']</t>
  </si>
  <si>
    <t>['121465', '121466']</t>
  </si>
  <si>
    <t>['121449']</t>
  </si>
  <si>
    <t>['121442', '121443']</t>
  </si>
  <si>
    <t>['121444']</t>
  </si>
  <si>
    <t>['121445']</t>
  </si>
  <si>
    <t>['121468']</t>
  </si>
  <si>
    <t>['121467']</t>
  </si>
  <si>
    <t>['121475', '121476']</t>
  </si>
  <si>
    <t>['121472']</t>
  </si>
  <si>
    <t>['121459', '121460', '121461', '121462', '121463']</t>
  </si>
  <si>
    <t>['121470', '121471']</t>
  </si>
  <si>
    <t>['121469']</t>
  </si>
  <si>
    <t>['121473', '121474']</t>
  </si>
  <si>
    <t>29-03-2021</t>
  </si>
  <si>
    <t>['121478']</t>
  </si>
  <si>
    <t>172861162</t>
  </si>
  <si>
    <t>['121489', '121490', '121491', '121492', '121493', '121494']</t>
  </si>
  <si>
    <t>['121481']</t>
  </si>
  <si>
    <t>LA CISTERNA, SANTIAGO</t>
  </si>
  <si>
    <t>LA CISTERNA</t>
  </si>
  <si>
    <t>['121480']</t>
  </si>
  <si>
    <t>['121479']</t>
  </si>
  <si>
    <t>['121501', '121502']</t>
  </si>
  <si>
    <t>['121497']</t>
  </si>
  <si>
    <t>['121500']</t>
  </si>
  <si>
    <t>['121498', '121499']</t>
  </si>
  <si>
    <t>['121503', '121504']</t>
  </si>
  <si>
    <t>['121507', '121510']</t>
  </si>
  <si>
    <t>['121509']</t>
  </si>
  <si>
    <t>98444073</t>
  </si>
  <si>
    <t>['121484', '121488', '121496']</t>
  </si>
  <si>
    <t>['121508']</t>
  </si>
  <si>
    <t>30-03-2021</t>
  </si>
  <si>
    <t>['121523']</t>
  </si>
  <si>
    <t>['121526']</t>
  </si>
  <si>
    <t>['121517']</t>
  </si>
  <si>
    <t>['121531']</t>
  </si>
  <si>
    <t>['121524']</t>
  </si>
  <si>
    <t>['121515', '121516']</t>
  </si>
  <si>
    <t>['121512', '121513', '121514']</t>
  </si>
  <si>
    <t>['121519', '121521']</t>
  </si>
  <si>
    <t>['121532', '121533']</t>
  </si>
  <si>
    <t>['121534', '121535']</t>
  </si>
  <si>
    <t>['121536', '121537']</t>
  </si>
  <si>
    <t>['121530']</t>
  </si>
  <si>
    <t>['121522']</t>
  </si>
  <si>
    <t>31-03-2021</t>
  </si>
  <si>
    <t>['121548', '121549', '121550']</t>
  </si>
  <si>
    <t>['121579', '121580']</t>
  </si>
  <si>
    <t>['121563']</t>
  </si>
  <si>
    <t>['121562']</t>
  </si>
  <si>
    <t>['121546', '121547']</t>
  </si>
  <si>
    <t>['121542', '121543', '121544']</t>
  </si>
  <si>
    <t>['121559']</t>
  </si>
  <si>
    <t>AU7248</t>
  </si>
  <si>
    <t>['121552']</t>
  </si>
  <si>
    <t>['121551']</t>
  </si>
  <si>
    <t>['121560']</t>
  </si>
  <si>
    <t>['121590', '121591']</t>
  </si>
  <si>
    <t>['121571', '121572', '121573', '121574', '121575']</t>
  </si>
  <si>
    <t>['121581']</t>
  </si>
  <si>
    <t>['121539', '121540', '121541']</t>
  </si>
  <si>
    <t>['121585', '121586']</t>
  </si>
  <si>
    <t>['121587', '121588', '121589']</t>
  </si>
  <si>
    <t>01-04-2021</t>
  </si>
  <si>
    <t>['121594']</t>
  </si>
  <si>
    <t>['121596']</t>
  </si>
  <si>
    <t>['121602']</t>
  </si>
  <si>
    <t>['121605']</t>
  </si>
  <si>
    <t>05-04-2021</t>
  </si>
  <si>
    <t>['121608', '121609']</t>
  </si>
  <si>
    <t>['121611', '121612']</t>
  </si>
  <si>
    <t>['121622']</t>
  </si>
  <si>
    <t>['121631']</t>
  </si>
  <si>
    <t>['121614', '121615', '121616', '121617', '121618', '121619', '121620', '121621']</t>
  </si>
  <si>
    <t>['121627', '121628', '121629', '121630']</t>
  </si>
  <si>
    <t>['121623', '121624', '121625', '121626']</t>
  </si>
  <si>
    <t>06-04-2021</t>
  </si>
  <si>
    <t>WC4022</t>
  </si>
  <si>
    <t>['121633']</t>
  </si>
  <si>
    <t>['121649']</t>
  </si>
  <si>
    <t>['121632']</t>
  </si>
  <si>
    <t>['121634', '121635', '121636']</t>
  </si>
  <si>
    <t>['121637', '121638', '121639', '121640']</t>
  </si>
  <si>
    <t>['121661', '121662', '121663']</t>
  </si>
  <si>
    <t>['121641', '121642', '121643', '121644', '121645', '121646', '121647']</t>
  </si>
  <si>
    <t>['121654', '121655', '121656']</t>
  </si>
  <si>
    <t>['121651']</t>
  </si>
  <si>
    <t>['121664', '121665']</t>
  </si>
  <si>
    <t>['121657', '121658', '121659', '121660']</t>
  </si>
  <si>
    <t>['121652', '121653']</t>
  </si>
  <si>
    <t>07-04-2021</t>
  </si>
  <si>
    <t>['121666']</t>
  </si>
  <si>
    <t>['121713']</t>
  </si>
  <si>
    <t>['121689']</t>
  </si>
  <si>
    <t>['121711']</t>
  </si>
  <si>
    <t>['121667', '121668', '121669', '121670', '121671', '121672', '121673', '121674', '121675', '121676', '121677', '121678']</t>
  </si>
  <si>
    <t>['121680', '121681', '121682', '121684', '121685', '121686', '121687']</t>
  </si>
  <si>
    <t>['121691', '121693', '121694', '121695', '121696', '121697', '121698', '121699', '121700', '121701', '121703', '121704', '121705', '121706', '121710']</t>
  </si>
  <si>
    <t>['121688']</t>
  </si>
  <si>
    <t>['121714']</t>
  </si>
  <si>
    <t>['121708', '121709', '121712']</t>
  </si>
  <si>
    <t>['121716']</t>
  </si>
  <si>
    <t>['121720', '121721']</t>
  </si>
  <si>
    <t>['121715']</t>
  </si>
  <si>
    <t>['121723']</t>
  </si>
  <si>
    <t>['121717', '121718']</t>
  </si>
  <si>
    <t>08-04-2021</t>
  </si>
  <si>
    <t>CONSTRUCTORA SALAS Y JARAMX</t>
  </si>
  <si>
    <t>LABRANZA</t>
  </si>
  <si>
    <t>['121740', '121741', '121742']</t>
  </si>
  <si>
    <t>['121726', '121727']</t>
  </si>
  <si>
    <t>['121724']</t>
  </si>
  <si>
    <t>['121729']</t>
  </si>
  <si>
    <t>['121728']</t>
  </si>
  <si>
    <t>['121725']</t>
  </si>
  <si>
    <t>['121733']</t>
  </si>
  <si>
    <t>BFRV76</t>
  </si>
  <si>
    <t>['121730', '121731', '121732']</t>
  </si>
  <si>
    <t>['121735', '121736']</t>
  </si>
  <si>
    <t>['121738']</t>
  </si>
  <si>
    <t>['121737']</t>
  </si>
  <si>
    <t>09-04-2021</t>
  </si>
  <si>
    <t>['121756']</t>
  </si>
  <si>
    <t>['121752']</t>
  </si>
  <si>
    <t>['121750']</t>
  </si>
  <si>
    <t>['121745']</t>
  </si>
  <si>
    <t>['121746', '121747']</t>
  </si>
  <si>
    <t>['121749']</t>
  </si>
  <si>
    <t>['121766', '121767', '121768', '121769']</t>
  </si>
  <si>
    <t>CVSK23</t>
  </si>
  <si>
    <t>['121757', '121759', '121760', '121761', '121762']</t>
  </si>
  <si>
    <t>['121765']</t>
  </si>
  <si>
    <t>['121764']</t>
  </si>
  <si>
    <t>['121770', '121771']</t>
  </si>
  <si>
    <t>['121763']</t>
  </si>
  <si>
    <t>12-04-2021</t>
  </si>
  <si>
    <t>['121776']</t>
  </si>
  <si>
    <t>['121778']</t>
  </si>
  <si>
    <t>['121775']</t>
  </si>
  <si>
    <t>['121797']</t>
  </si>
  <si>
    <t>BYZH29</t>
  </si>
  <si>
    <t>['121785']</t>
  </si>
  <si>
    <t>['121796']</t>
  </si>
  <si>
    <t>['121788', '121789']</t>
  </si>
  <si>
    <t>FGBD51</t>
  </si>
  <si>
    <t>183612816</t>
  </si>
  <si>
    <t>['121779', '121780', '121781', '121782']</t>
  </si>
  <si>
    <t>['121793', '121794']</t>
  </si>
  <si>
    <t>['121790', '121791']</t>
  </si>
  <si>
    <t>['121786', '121787']</t>
  </si>
  <si>
    <t>['121777']</t>
  </si>
  <si>
    <t>13-04-2021</t>
  </si>
  <si>
    <t>['121825']</t>
  </si>
  <si>
    <t>['121799']</t>
  </si>
  <si>
    <t>['121800']</t>
  </si>
  <si>
    <t>['121848', '121849']</t>
  </si>
  <si>
    <t>['121826']</t>
  </si>
  <si>
    <t>['121801', '121802', '121803']</t>
  </si>
  <si>
    <t>['121812', '121813', '121814', '121815', '121816', '121817', '121818', '121819']</t>
  </si>
  <si>
    <t>['121808', '121809']</t>
  </si>
  <si>
    <t>['121810']</t>
  </si>
  <si>
    <t>['121804', '121805', '121806', '121807']</t>
  </si>
  <si>
    <t>['121820', '121821', '121822']</t>
  </si>
  <si>
    <t>['121841', '121842', '121843']</t>
  </si>
  <si>
    <t>['121837', '121838']</t>
  </si>
  <si>
    <t>['121827', '121828', '121829', '121830', '121831', '121832', '121833', '121834', '121835']</t>
  </si>
  <si>
    <t>738907355</t>
  </si>
  <si>
    <t>['121845']</t>
  </si>
  <si>
    <t>['121844']</t>
  </si>
  <si>
    <t>['121840']</t>
  </si>
  <si>
    <t>['121836']</t>
  </si>
  <si>
    <t>14-04-2021</t>
  </si>
  <si>
    <t>['121853', '121854']</t>
  </si>
  <si>
    <t>['121852', '121869']</t>
  </si>
  <si>
    <t>['121867']</t>
  </si>
  <si>
    <t>['121864']</t>
  </si>
  <si>
    <t>['121866']</t>
  </si>
  <si>
    <t>CONSTRUCTORA PEDERNALES LTX</t>
  </si>
  <si>
    <t>['121868']</t>
  </si>
  <si>
    <t>['121860']</t>
  </si>
  <si>
    <t>['121861', '121862', '121863']</t>
  </si>
  <si>
    <t>['121850', '121851']</t>
  </si>
  <si>
    <t>['121870']</t>
  </si>
  <si>
    <t>['121856', '121857', '121858']</t>
  </si>
  <si>
    <t>['121859']</t>
  </si>
  <si>
    <t>['121889']</t>
  </si>
  <si>
    <t>VALDIVIA</t>
  </si>
  <si>
    <t>DE LOS RIOS</t>
  </si>
  <si>
    <t>['121865']</t>
  </si>
  <si>
    <t>['121885', '121886', '121890']</t>
  </si>
  <si>
    <t>['121871', '121872']</t>
  </si>
  <si>
    <t>['121855']</t>
  </si>
  <si>
    <t>['121883', '121884']</t>
  </si>
  <si>
    <t>['121887', '121888']</t>
  </si>
  <si>
    <t>['121880', '121881', '121882']</t>
  </si>
  <si>
    <t>15-04-2021</t>
  </si>
  <si>
    <t>['121899']</t>
  </si>
  <si>
    <t>PARRAL</t>
  </si>
  <si>
    <t>['121907']</t>
  </si>
  <si>
    <t>['121891', '121892']</t>
  </si>
  <si>
    <t>['121903']</t>
  </si>
  <si>
    <t>PUENTE ALTA</t>
  </si>
  <si>
    <t>['121905']</t>
  </si>
  <si>
    <t>['121906']</t>
  </si>
  <si>
    <t>['121915', '121916']</t>
  </si>
  <si>
    <t>['121912']</t>
  </si>
  <si>
    <t>['121917', '121918']</t>
  </si>
  <si>
    <t>['121902']</t>
  </si>
  <si>
    <t>53173192</t>
  </si>
  <si>
    <t>['121894']</t>
  </si>
  <si>
    <t>['121893']</t>
  </si>
  <si>
    <t>['121898']</t>
  </si>
  <si>
    <t>['121896', '121897']</t>
  </si>
  <si>
    <t>['121908', '121909', '121910', '121911']</t>
  </si>
  <si>
    <t>['121914']</t>
  </si>
  <si>
    <t>['121919', '121920', '121921', '121922', '121923']</t>
  </si>
  <si>
    <t>['121913']</t>
  </si>
  <si>
    <t>16-04-2021</t>
  </si>
  <si>
    <t>['121926', '121927']</t>
  </si>
  <si>
    <t>['121946']</t>
  </si>
  <si>
    <t>['121945']</t>
  </si>
  <si>
    <t>['121928']</t>
  </si>
  <si>
    <t>['121931', '121932', '121933', '121934']</t>
  </si>
  <si>
    <t>['121948', '121949', '121950', '121951', '121952', '121953']</t>
  </si>
  <si>
    <t>['121961', '121962']</t>
  </si>
  <si>
    <t>DV2718</t>
  </si>
  <si>
    <t>['121960']</t>
  </si>
  <si>
    <t>['121959']</t>
  </si>
  <si>
    <t>['121956', '121957', '121958']</t>
  </si>
  <si>
    <t>['121939', '121940', '121941', '121942', '121943', '121944']</t>
  </si>
  <si>
    <t>['121954', '121955']</t>
  </si>
  <si>
    <t>19-04-2021</t>
  </si>
  <si>
    <t>['121981', '121982']</t>
  </si>
  <si>
    <t>['121968']</t>
  </si>
  <si>
    <t>['121964']</t>
  </si>
  <si>
    <t>['121969']</t>
  </si>
  <si>
    <t>['121970']</t>
  </si>
  <si>
    <t>['121985', '121986', '121987']</t>
  </si>
  <si>
    <t>['121983', '121984']</t>
  </si>
  <si>
    <t>['121965']</t>
  </si>
  <si>
    <t>['121966']</t>
  </si>
  <si>
    <t>['121967']</t>
  </si>
  <si>
    <t>['121976', '121977', '121978', '121979']</t>
  </si>
  <si>
    <t>['122004', '122005']</t>
  </si>
  <si>
    <t>['122006', '122007']</t>
  </si>
  <si>
    <t>['121998', '121999', '122000', '122001']</t>
  </si>
  <si>
    <t>['122002', '122003']</t>
  </si>
  <si>
    <t>['122008', '122009', '122010']</t>
  </si>
  <si>
    <t>20-04-2021</t>
  </si>
  <si>
    <t>['122026']</t>
  </si>
  <si>
    <t>['122019', '122020']</t>
  </si>
  <si>
    <t>['122014', '122015']</t>
  </si>
  <si>
    <t>['122023']</t>
  </si>
  <si>
    <t>CBSK23</t>
  </si>
  <si>
    <t>95439802</t>
  </si>
  <si>
    <t>['122041', '122043']</t>
  </si>
  <si>
    <t>['122021']</t>
  </si>
  <si>
    <t>['122018']</t>
  </si>
  <si>
    <t>['122011']</t>
  </si>
  <si>
    <t>['122016', '122017']</t>
  </si>
  <si>
    <t>['122024', '122025']</t>
  </si>
  <si>
    <t>['122053', '122054']</t>
  </si>
  <si>
    <t>['122029', '122031', '122032', '122033', '122034']</t>
  </si>
  <si>
    <t>['122035']</t>
  </si>
  <si>
    <t>['122051', '122052']</t>
  </si>
  <si>
    <t>['122042', '122044', '122045', '122046', '122047', '122048']</t>
  </si>
  <si>
    <t>['122049', '122050']</t>
  </si>
  <si>
    <t>21-04-2021</t>
  </si>
  <si>
    <t>['122056']</t>
  </si>
  <si>
    <t>['122055']</t>
  </si>
  <si>
    <t>['122066']</t>
  </si>
  <si>
    <t>['122069']</t>
  </si>
  <si>
    <t>['122067']</t>
  </si>
  <si>
    <t>['122059', '122061', '122062', '122063', '122064']</t>
  </si>
  <si>
    <t>['122057', '122058', '122060']</t>
  </si>
  <si>
    <t>['122068']</t>
  </si>
  <si>
    <t>['122085', '122086']</t>
  </si>
  <si>
    <t>['122071', '122072', '122073']</t>
  </si>
  <si>
    <t>['122080']</t>
  </si>
  <si>
    <t>1388431065</t>
  </si>
  <si>
    <t>['122081']</t>
  </si>
  <si>
    <t>['122065']</t>
  </si>
  <si>
    <t>['122083', '122084']</t>
  </si>
  <si>
    <t>['122088']</t>
  </si>
  <si>
    <t>['122087']</t>
  </si>
  <si>
    <t>['122082']</t>
  </si>
  <si>
    <t>22-04-2021</t>
  </si>
  <si>
    <t>['122090']</t>
  </si>
  <si>
    <t>['122089']</t>
  </si>
  <si>
    <t>['122113']</t>
  </si>
  <si>
    <t>['122109', '122110']</t>
  </si>
  <si>
    <t>['122093']</t>
  </si>
  <si>
    <t>['122102']</t>
  </si>
  <si>
    <t>['122114', '122115', '122116']</t>
  </si>
  <si>
    <t>['122119', '122120', '122121', '122122', '122123', '122124', '122125', '122126', '122127', '122128']</t>
  </si>
  <si>
    <t>['122117', '122118']</t>
  </si>
  <si>
    <t>['122101']</t>
  </si>
  <si>
    <t>['122100']</t>
  </si>
  <si>
    <t>['122091', '122092']</t>
  </si>
  <si>
    <t>['122094', '122095']</t>
  </si>
  <si>
    <t>['122096', '122097', '122098']</t>
  </si>
  <si>
    <t>['122099']</t>
  </si>
  <si>
    <t>['122129']</t>
  </si>
  <si>
    <t>['122103', '122104', '122105', '122107', '122108']</t>
  </si>
  <si>
    <t>23-04-2021</t>
  </si>
  <si>
    <t>120327283</t>
  </si>
  <si>
    <t>['122141', '122142']</t>
  </si>
  <si>
    <t>['122134']</t>
  </si>
  <si>
    <t>['122143']</t>
  </si>
  <si>
    <t>ACMANET S.A.</t>
  </si>
  <si>
    <t>['122131']</t>
  </si>
  <si>
    <t>['122149', '122150', '122151']</t>
  </si>
  <si>
    <t>['122155']</t>
  </si>
  <si>
    <t>['122147', '122148']</t>
  </si>
  <si>
    <t>['122144', '122145', '122146']</t>
  </si>
  <si>
    <t>['122152', '122153', '122154']</t>
  </si>
  <si>
    <t>['122132']</t>
  </si>
  <si>
    <t>['122130']</t>
  </si>
  <si>
    <t>['122133']</t>
  </si>
  <si>
    <t>SBH SPA</t>
  </si>
  <si>
    <t>['122138']</t>
  </si>
  <si>
    <t>['122135']</t>
  </si>
  <si>
    <t>['122137']</t>
  </si>
  <si>
    <t>113393568</t>
  </si>
  <si>
    <t>['122140']</t>
  </si>
  <si>
    <t>26-04-2021</t>
  </si>
  <si>
    <t>['122177']</t>
  </si>
  <si>
    <t>['122160', '122161', '122162']</t>
  </si>
  <si>
    <t>['122168']</t>
  </si>
  <si>
    <t>['122185', '122186']</t>
  </si>
  <si>
    <t>['122197']</t>
  </si>
  <si>
    <t>['122189', '122190', '122191']</t>
  </si>
  <si>
    <t>['122192']</t>
  </si>
  <si>
    <t>['122195', '122196', '122198', '122199']</t>
  </si>
  <si>
    <t>['122193', '122194']</t>
  </si>
  <si>
    <t>['122187', '122188']</t>
  </si>
  <si>
    <t>['122165']</t>
  </si>
  <si>
    <t>['122157', '122158']</t>
  </si>
  <si>
    <t>['122166', '122167']</t>
  </si>
  <si>
    <t>['122159']</t>
  </si>
  <si>
    <t>['122163', '122164']</t>
  </si>
  <si>
    <t>['122169', '122170', '122171', '122172', '122173', '122174', '122175']</t>
  </si>
  <si>
    <t>['122179']</t>
  </si>
  <si>
    <t>27-04-2021</t>
  </si>
  <si>
    <t>['122206']</t>
  </si>
  <si>
    <t>['122205']</t>
  </si>
  <si>
    <t>['122209', '122210', '122211']</t>
  </si>
  <si>
    <t>['122200', '122201']</t>
  </si>
  <si>
    <t>['122207']</t>
  </si>
  <si>
    <t>['122203']</t>
  </si>
  <si>
    <t>['122212', '122213']</t>
  </si>
  <si>
    <t>['122214']</t>
  </si>
  <si>
    <t>['122217']</t>
  </si>
  <si>
    <t>['122223', '122224', '122225', '122226', '122227', '122230']</t>
  </si>
  <si>
    <t>['122229']</t>
  </si>
  <si>
    <t>28-04-2021</t>
  </si>
  <si>
    <t>['122233', '122235']</t>
  </si>
  <si>
    <t>125108860</t>
  </si>
  <si>
    <t>['122237', '122238']</t>
  </si>
  <si>
    <t>67907355</t>
  </si>
  <si>
    <t>['122240', '122241']</t>
  </si>
  <si>
    <t>['122242']</t>
  </si>
  <si>
    <t>62714391</t>
  </si>
  <si>
    <t>['122258']</t>
  </si>
  <si>
    <t>['122244']</t>
  </si>
  <si>
    <t>['122248']</t>
  </si>
  <si>
    <t>['122249']</t>
  </si>
  <si>
    <t>['122254', '122255']</t>
  </si>
  <si>
    <t>['122250', '122251', '122252', '122253']</t>
  </si>
  <si>
    <t>['122231', '122262']</t>
  </si>
  <si>
    <t>29-04-2021</t>
  </si>
  <si>
    <t>['122263']</t>
  </si>
  <si>
    <t>['122276']</t>
  </si>
  <si>
    <t>['122289', '122290']</t>
  </si>
  <si>
    <t>['122273']</t>
  </si>
  <si>
    <t>['122274', '122275']</t>
  </si>
  <si>
    <t>['122264', '122265']</t>
  </si>
  <si>
    <t>['122266', '122267']</t>
  </si>
  <si>
    <t>['122277', '122278']</t>
  </si>
  <si>
    <t>['122284', '122285', '122286', '122287']</t>
  </si>
  <si>
    <t>['122279', '122280', '122281', '122282', '122283']</t>
  </si>
  <si>
    <t>['122292']</t>
  </si>
  <si>
    <t>30-04-2021</t>
  </si>
  <si>
    <t>['122297']</t>
  </si>
  <si>
    <t>['122295']</t>
  </si>
  <si>
    <t>CONSTRUCTORA JOSE Y JOSE LX</t>
  </si>
  <si>
    <t>CODEGUA</t>
  </si>
  <si>
    <t>['122294']</t>
  </si>
  <si>
    <t>['122293']</t>
  </si>
  <si>
    <t>['122310', '122311']</t>
  </si>
  <si>
    <t>['122298']</t>
  </si>
  <si>
    <t>['122299']</t>
  </si>
  <si>
    <t>['122300', '122301', '122302', '122303']</t>
  </si>
  <si>
    <t>['122305', '122306', '122307', '122308', '122309']</t>
  </si>
  <si>
    <t>03-05-2021</t>
  </si>
  <si>
    <t>['122318']</t>
  </si>
  <si>
    <t>['122319']</t>
  </si>
  <si>
    <t>['122316']</t>
  </si>
  <si>
    <t>['122320']</t>
  </si>
  <si>
    <t>['122323']</t>
  </si>
  <si>
    <t>['122326', '122327']</t>
  </si>
  <si>
    <t>['122321', '122322']</t>
  </si>
  <si>
    <t>['122324', '122330', '122331']</t>
  </si>
  <si>
    <t>['122325', '122328', '122329']</t>
  </si>
  <si>
    <t>['122315']</t>
  </si>
  <si>
    <t>['122314']</t>
  </si>
  <si>
    <t>['122313']</t>
  </si>
  <si>
    <t>04-05-2021</t>
  </si>
  <si>
    <t>['122359']</t>
  </si>
  <si>
    <t>['122350']</t>
  </si>
  <si>
    <t>['122343']</t>
  </si>
  <si>
    <t>TP3888</t>
  </si>
  <si>
    <t>['122344']</t>
  </si>
  <si>
    <t>['122342']</t>
  </si>
  <si>
    <t>['122341']</t>
  </si>
  <si>
    <t>['122346', '122347', '122348', '122349']</t>
  </si>
  <si>
    <t>['122354', '122355', '122356', '122357', '122358']</t>
  </si>
  <si>
    <t>Mes</t>
  </si>
  <si>
    <t>Año</t>
  </si>
  <si>
    <t>Region</t>
  </si>
  <si>
    <t>05-05-2021</t>
  </si>
  <si>
    <t>['122372', '122373']</t>
  </si>
  <si>
    <t>['122376']</t>
  </si>
  <si>
    <t>['122369']</t>
  </si>
  <si>
    <t>['122370']</t>
  </si>
  <si>
    <t>['122366', '122367', '122368']</t>
  </si>
  <si>
    <t>['122363']</t>
  </si>
  <si>
    <t>['122364']</t>
  </si>
  <si>
    <t>['122374', '122375']</t>
  </si>
  <si>
    <t>['122361', '122362']</t>
  </si>
  <si>
    <t>['122377', '122378', '122379']</t>
  </si>
  <si>
    <t>06-05-2021</t>
  </si>
  <si>
    <t>PEÑAFLOR</t>
  </si>
  <si>
    <t>['122380', '122381', '122382']</t>
  </si>
  <si>
    <t>['122386', '122387', '122388']</t>
  </si>
  <si>
    <t>['122385']</t>
  </si>
  <si>
    <t>['122392']</t>
  </si>
  <si>
    <t>['122393', '122394', '122395', '122396']</t>
  </si>
  <si>
    <t>CBDR22</t>
  </si>
  <si>
    <t>19964844K</t>
  </si>
  <si>
    <t>['122405', '122406', '122407', '122408', '122409', '122410', '122411']</t>
  </si>
  <si>
    <t>['122400', '122401', '122402', '122403', '122404']</t>
  </si>
  <si>
    <t>['122390']</t>
  </si>
  <si>
    <t>07-05-2021</t>
  </si>
  <si>
    <t>['122415']</t>
  </si>
  <si>
    <t>['122419']</t>
  </si>
  <si>
    <t>['122417']</t>
  </si>
  <si>
    <t>['122423', '122424', '122425', '122426']</t>
  </si>
  <si>
    <t>['122422']</t>
  </si>
  <si>
    <t>10-05-2021</t>
  </si>
  <si>
    <t>['122449', '122450']</t>
  </si>
  <si>
    <t>['122443', '122444', '122445']</t>
  </si>
  <si>
    <t>['122440', '122441', '122442']</t>
  </si>
  <si>
    <t>['122446', '122447', '122448']</t>
  </si>
  <si>
    <t>['122452', '122453']</t>
  </si>
  <si>
    <t>['122438', '122439']</t>
  </si>
  <si>
    <t>['122470']</t>
  </si>
  <si>
    <t>['122474', '122475']</t>
  </si>
  <si>
    <t>FRTZ19</t>
  </si>
  <si>
    <t>['122462', '122463']</t>
  </si>
  <si>
    <t>['122471', '122472', '122473']</t>
  </si>
  <si>
    <t>['122459', '122460', '122461']</t>
  </si>
  <si>
    <t>11-05-2021</t>
  </si>
  <si>
    <t>['122482']</t>
  </si>
  <si>
    <t>['122476', '122484']</t>
  </si>
  <si>
    <t>['122485']</t>
  </si>
  <si>
    <t>['122501']</t>
  </si>
  <si>
    <t>['122507', '122508', '122509']</t>
  </si>
  <si>
    <t>['122487', '122488', '122489']</t>
  </si>
  <si>
    <t>['122495']</t>
  </si>
  <si>
    <t>['122510', '122511']</t>
  </si>
  <si>
    <t>['122492', '122493']</t>
  </si>
  <si>
    <t>['122494']</t>
  </si>
  <si>
    <t>['122490', '122491']</t>
  </si>
  <si>
    <t>['122502', '122503', '122504', '122505', '122506']</t>
  </si>
  <si>
    <t>12-05-2021</t>
  </si>
  <si>
    <t>['122521', '122522']</t>
  </si>
  <si>
    <t>['122553', '122554', '122555', '122556', '122557']</t>
  </si>
  <si>
    <t>['122549', '122550', '122551', '122552']</t>
  </si>
  <si>
    <t>['122558', '122559', '122560', '122561', '122562', '122564', '122565']</t>
  </si>
  <si>
    <t>['122535', '122536', '122537', '122538', '122539', '122540', '122541', '122542']</t>
  </si>
  <si>
    <t>['122533']</t>
  </si>
  <si>
    <t>['122544', '122545', '122546', '122547', '122548']</t>
  </si>
  <si>
    <t>EBEMA S.A.</t>
  </si>
  <si>
    <t>['122512']</t>
  </si>
  <si>
    <t>['122514']</t>
  </si>
  <si>
    <t>['122518', '122519', '122520']</t>
  </si>
  <si>
    <t>['122513']</t>
  </si>
  <si>
    <t>['122515', '122516', '122517']</t>
  </si>
  <si>
    <t>['122530', '122531', '122532']</t>
  </si>
  <si>
    <t>FSFS27</t>
  </si>
  <si>
    <t>['122523', '122524', '122525', '122526', '122529']</t>
  </si>
  <si>
    <t>13-05-2021</t>
  </si>
  <si>
    <t>['122566']</t>
  </si>
  <si>
    <t>['122589']</t>
  </si>
  <si>
    <t>['122568']</t>
  </si>
  <si>
    <t>['122588']</t>
  </si>
  <si>
    <t>['122575', '122576', '122577', '122578', '122579', '122580', '122581']</t>
  </si>
  <si>
    <t>['122583', '122584', '122585', '122586']</t>
  </si>
  <si>
    <t>14-05-2021</t>
  </si>
  <si>
    <t>['122592', '122593']</t>
  </si>
  <si>
    <t>BARRACA DE FIERRO SIMON SPA</t>
  </si>
  <si>
    <t>['122594']</t>
  </si>
  <si>
    <t>['122601']</t>
  </si>
  <si>
    <t>['122597']</t>
  </si>
  <si>
    <t>['122606']</t>
  </si>
  <si>
    <t>['122607']</t>
  </si>
  <si>
    <t>['122608', '122609']</t>
  </si>
  <si>
    <t>['122602', '122603']</t>
  </si>
  <si>
    <t>['122618', '122619']</t>
  </si>
  <si>
    <t>['122610', '122611', '122612', '122613', '122614', '122615']</t>
  </si>
  <si>
    <t>17-05-2021</t>
  </si>
  <si>
    <t>['122628', '122629']</t>
  </si>
  <si>
    <t>['122621', '122622']</t>
  </si>
  <si>
    <t>BYCZ29</t>
  </si>
  <si>
    <t>['122631']</t>
  </si>
  <si>
    <t>['122640']</t>
  </si>
  <si>
    <t>CONCEPCION</t>
  </si>
  <si>
    <t>['122641', '122642', '122643']</t>
  </si>
  <si>
    <t>['122624']</t>
  </si>
  <si>
    <t>['122636', '122637', '122638', '122639']</t>
  </si>
  <si>
    <t>['122632', '122633', '122634', '122635']</t>
  </si>
  <si>
    <t>18-05-2021</t>
  </si>
  <si>
    <t>['122662']</t>
  </si>
  <si>
    <t>['122661']</t>
  </si>
  <si>
    <t>['122659']</t>
  </si>
  <si>
    <t>['122660']</t>
  </si>
  <si>
    <t>['122663', '122664', '122665', '122666', '122667']</t>
  </si>
  <si>
    <t>['122668', '122669', '122670', '122671', '122672']</t>
  </si>
  <si>
    <t>['122647', '122648', '122649']</t>
  </si>
  <si>
    <t>['122658']</t>
  </si>
  <si>
    <t>['122650', '122651', '122652', '122653', '122654', '122655']</t>
  </si>
  <si>
    <t>19-05-2021</t>
  </si>
  <si>
    <t>['122682']</t>
  </si>
  <si>
    <t>['122700', '122701', '122702', '122703']</t>
  </si>
  <si>
    <t>['122695', '122696', '122697', '122698', '122699']</t>
  </si>
  <si>
    <t>['122704', '122705', '122706', '122707', '122708']</t>
  </si>
  <si>
    <t>['122711', '122712', '122713', '122714', '122715']</t>
  </si>
  <si>
    <t>['122679']</t>
  </si>
  <si>
    <t>['122674']</t>
  </si>
  <si>
    <t>['122675']</t>
  </si>
  <si>
    <t>['122673']</t>
  </si>
  <si>
    <t>['122683', '122684', '122685', '122686', '122687', '122688', '122689']</t>
  </si>
  <si>
    <t>['122718', '122719', '122720']</t>
  </si>
  <si>
    <t>Etiquetas de fila</t>
  </si>
  <si>
    <t>Total general</t>
  </si>
  <si>
    <t>(Todas)</t>
  </si>
  <si>
    <t>20-05-2021</t>
  </si>
  <si>
    <t>['122724']</t>
  </si>
  <si>
    <t>DFRN76</t>
  </si>
  <si>
    <t>['122737']</t>
  </si>
  <si>
    <t>['122722']</t>
  </si>
  <si>
    <t>['122723']</t>
  </si>
  <si>
    <t>['122733', '122734', '122735']</t>
  </si>
  <si>
    <t>['122743', '122745', '122746', '122747']</t>
  </si>
  <si>
    <t>['122721']</t>
  </si>
  <si>
    <t>24-05-2021</t>
  </si>
  <si>
    <t>['122760', '122761', '122762']</t>
  </si>
  <si>
    <t>['122749']</t>
  </si>
  <si>
    <t>['122750']</t>
  </si>
  <si>
    <t>['122754']</t>
  </si>
  <si>
    <t>['122753']</t>
  </si>
  <si>
    <t>['122779', '122780']</t>
  </si>
  <si>
    <t>['122775', '122776']</t>
  </si>
  <si>
    <t>['122778']</t>
  </si>
  <si>
    <t>['122773', '122774']</t>
  </si>
  <si>
    <t>['122765', '122766', '122767', '122768', '122769', '122770', '122771', '122772']</t>
  </si>
  <si>
    <t>['122755', '122756', '122757', '122758', '122759']</t>
  </si>
  <si>
    <t>['122763']</t>
  </si>
  <si>
    <t>['122752']</t>
  </si>
  <si>
    <t>25-05-2021</t>
  </si>
  <si>
    <t>['122814']</t>
  </si>
  <si>
    <t>['122829', '122830']</t>
  </si>
  <si>
    <t>['122790', '122791', '122792', '122793', '122794', '122795', '122796', '122797', '122798', '122799']</t>
  </si>
  <si>
    <t>['122811']</t>
  </si>
  <si>
    <t>['122810']</t>
  </si>
  <si>
    <t>SALOMON SACK S.A</t>
  </si>
  <si>
    <t>['122817', '122818', '122819', '122820']</t>
  </si>
  <si>
    <t>['122821', '122822', '122823', '122824', '122825', '122826']</t>
  </si>
  <si>
    <t>['122833', '122834', '122835', '122836']</t>
  </si>
  <si>
    <t>26-05-2021</t>
  </si>
  <si>
    <t>['122843', '122844', '122845']</t>
  </si>
  <si>
    <t>['122839']</t>
  </si>
  <si>
    <t>['122841']</t>
  </si>
  <si>
    <t>['122849']</t>
  </si>
  <si>
    <t>['122847', '122848']</t>
  </si>
  <si>
    <t>['122840']</t>
  </si>
  <si>
    <t>['122859', '122860']</t>
  </si>
  <si>
    <t>['122850', '122851', '122852']</t>
  </si>
  <si>
    <t>['122846']</t>
  </si>
  <si>
    <t>['122861', '122862']</t>
  </si>
  <si>
    <t>['122837']</t>
  </si>
  <si>
    <t>DP5736</t>
  </si>
  <si>
    <t>['122866']</t>
  </si>
  <si>
    <t>['122865']</t>
  </si>
  <si>
    <t>['122853', '122854', '122855', '122856', '122857', '122858']</t>
  </si>
  <si>
    <t>['122842']</t>
  </si>
  <si>
    <t>27-05-2021</t>
  </si>
  <si>
    <t>['122867']</t>
  </si>
  <si>
    <t>['122899']</t>
  </si>
  <si>
    <t>['122871']</t>
  </si>
  <si>
    <t>['122868']</t>
  </si>
  <si>
    <t>['122886', '122887']</t>
  </si>
  <si>
    <t>['122894', '122895', '122896', '122897', '122898']</t>
  </si>
  <si>
    <t>['122874', '122875']</t>
  </si>
  <si>
    <t>['122876', '122877']</t>
  </si>
  <si>
    <t>['122879']</t>
  </si>
  <si>
    <t>['122880']</t>
  </si>
  <si>
    <t>['122900', '122901', '122902']</t>
  </si>
  <si>
    <t>['122903', '122904', '122905']</t>
  </si>
  <si>
    <t>['122890', '122891', '122892', '122893']</t>
  </si>
  <si>
    <t>28-05-2021</t>
  </si>
  <si>
    <t>['122928']</t>
  </si>
  <si>
    <t>['122910']</t>
  </si>
  <si>
    <t>['122908']</t>
  </si>
  <si>
    <t>['122907']</t>
  </si>
  <si>
    <t>['122963', '122964', '122965', '122966']</t>
  </si>
  <si>
    <t>['122983', '122984', '122985', '122986', '122987', '122988', '122989', '122990', '122992', '122993']</t>
  </si>
  <si>
    <t>['122944', '122945', '122946', '122947', '122948', '122949', '122950', '122951', '122952', '123005']</t>
  </si>
  <si>
    <t>['122994', '122995', '122996', '122997', '122998', '122999', '123000', '123001', '123002', '123003']</t>
  </si>
  <si>
    <t>['122967', '122968', '122969', '122970', '122971', '122972', '122973', '122974', '122975', '122976', '122977', '122978']</t>
  </si>
  <si>
    <t>62701439K</t>
  </si>
  <si>
    <t>CHIGUAYANTE</t>
  </si>
  <si>
    <t>['122913']</t>
  </si>
  <si>
    <t>['122909']</t>
  </si>
  <si>
    <t>['122926']</t>
  </si>
  <si>
    <t>['122921', '122922', '122923', '122924']</t>
  </si>
  <si>
    <t>['122929', '122930', '122931', '122932', '122933', '122934', '122935', '122936']</t>
  </si>
  <si>
    <t>31-05-2021</t>
  </si>
  <si>
    <t>['122958']</t>
  </si>
  <si>
    <t>['122942']</t>
  </si>
  <si>
    <t>['123004']</t>
  </si>
  <si>
    <t>['122962']</t>
  </si>
  <si>
    <t>['123025', '123026']</t>
  </si>
  <si>
    <t>['122938', '122939', '122940', '122941']</t>
  </si>
  <si>
    <t>['122956']</t>
  </si>
  <si>
    <t>['123019', '123020', '123021']</t>
  </si>
  <si>
    <t>['122953']</t>
  </si>
  <si>
    <t>['123013', '123014', '123015']</t>
  </si>
  <si>
    <t>['123006', '123007', '123008']</t>
  </si>
  <si>
    <t>['123009', '123010', '123011', '123012']</t>
  </si>
  <si>
    <t>['123016', '123017', '123018']</t>
  </si>
  <si>
    <t>['123022', '123023', '123024']</t>
  </si>
  <si>
    <t>['122727', '122728', '122729']['122725', '122726']</t>
  </si>
  <si>
    <t>['122800', '122801', '122802', '122803', '122805', '122806', '122807', '122808', '122809']['122804']</t>
  </si>
  <si>
    <t>DE PAINE</t>
  </si>
  <si>
    <t>['122863']['122864']</t>
  </si>
  <si>
    <t>(Varios elementos)</t>
  </si>
  <si>
    <t>01-06-2021</t>
  </si>
  <si>
    <t>['123057', '123058']</t>
  </si>
  <si>
    <t>['123038']</t>
  </si>
  <si>
    <t>['123031']</t>
  </si>
  <si>
    <t>['123039', '123040', '123041', '123042', '123043', '123044', '123045']</t>
  </si>
  <si>
    <t>['123053', '123054']</t>
  </si>
  <si>
    <t>['123033', '123034', '123035', '123036', '123037']</t>
  </si>
  <si>
    <t>['123051', '123052']</t>
  </si>
  <si>
    <t>['123059', '123060']</t>
  </si>
  <si>
    <t>02-06-2021</t>
  </si>
  <si>
    <t>['123061']</t>
  </si>
  <si>
    <t>['123073']</t>
  </si>
  <si>
    <t>['123074']</t>
  </si>
  <si>
    <t>['123078']</t>
  </si>
  <si>
    <t>['123097']</t>
  </si>
  <si>
    <t>['123096']</t>
  </si>
  <si>
    <t>85707734</t>
  </si>
  <si>
    <t>['123093']</t>
  </si>
  <si>
    <t>['123065']</t>
  </si>
  <si>
    <t>['123069', '123070']</t>
  </si>
  <si>
    <t>['123066', '123067', '123068']</t>
  </si>
  <si>
    <t>['123064']</t>
  </si>
  <si>
    <t>['123062', '123063']</t>
  </si>
  <si>
    <t>DP5737</t>
  </si>
  <si>
    <t>['123079']</t>
  </si>
  <si>
    <t>['123094', '123095']</t>
  </si>
  <si>
    <t>154837722</t>
  </si>
  <si>
    <t>['123085']</t>
  </si>
  <si>
    <t>['123081', '123082', '123083']</t>
  </si>
  <si>
    <t>03-06-2021</t>
  </si>
  <si>
    <t>['123106', '123107', '123109']</t>
  </si>
  <si>
    <t>['123127']</t>
  </si>
  <si>
    <t>['123100']</t>
  </si>
  <si>
    <t>['123103']</t>
  </si>
  <si>
    <t>['123098']</t>
  </si>
  <si>
    <t>['123126']</t>
  </si>
  <si>
    <t>['123125']</t>
  </si>
  <si>
    <t>['123101']</t>
  </si>
  <si>
    <t>139094329</t>
  </si>
  <si>
    <t>LUCIANOBENEBICH</t>
  </si>
  <si>
    <t>['123112']</t>
  </si>
  <si>
    <t>['123105']</t>
  </si>
  <si>
    <t>['123123', '123124']</t>
  </si>
  <si>
    <t>['123104']</t>
  </si>
  <si>
    <t>['123099']</t>
  </si>
  <si>
    <t>['123116']</t>
  </si>
  <si>
    <t>['123117', '123118']</t>
  </si>
  <si>
    <t>['123119', '123120']</t>
  </si>
  <si>
    <t>04-06-2021</t>
  </si>
  <si>
    <t>['123143']</t>
  </si>
  <si>
    <t>['123136']</t>
  </si>
  <si>
    <t>['123128']</t>
  </si>
  <si>
    <t>['123129']</t>
  </si>
  <si>
    <t>['123130']</t>
  </si>
  <si>
    <t>['123131', '123139', '123140']</t>
  </si>
  <si>
    <t>DRFV76</t>
  </si>
  <si>
    <t>['123132']</t>
  </si>
  <si>
    <t>['123137', '123138']</t>
  </si>
  <si>
    <t>07-06-2021</t>
  </si>
  <si>
    <t>['123156']</t>
  </si>
  <si>
    <t>['123147']</t>
  </si>
  <si>
    <t>['123167']</t>
  </si>
  <si>
    <t>['123168', '123170', '123171', '123172', '123173', '123174']</t>
  </si>
  <si>
    <t>['123158', '123159', '123160', '123161', '123162', '123163']</t>
  </si>
  <si>
    <t>DPKB94</t>
  </si>
  <si>
    <t>125891258</t>
  </si>
  <si>
    <t>['123149', '123150']</t>
  </si>
  <si>
    <t>['123145']</t>
  </si>
  <si>
    <t>['123144']</t>
  </si>
  <si>
    <t>['123148']</t>
  </si>
  <si>
    <t>['123164']</t>
  </si>
  <si>
    <t>08-06-2021</t>
  </si>
  <si>
    <t>['123185']</t>
  </si>
  <si>
    <t>OFC SPA</t>
  </si>
  <si>
    <t>1609350K</t>
  </si>
  <si>
    <t>['123177']</t>
  </si>
  <si>
    <t>['123176']</t>
  </si>
  <si>
    <t>['123180']</t>
  </si>
  <si>
    <t>['123179']</t>
  </si>
  <si>
    <t>['123178']</t>
  </si>
  <si>
    <t>['123183', '123184']</t>
  </si>
  <si>
    <t>09-06-2021</t>
  </si>
  <si>
    <t>WG4422</t>
  </si>
  <si>
    <t>['123210']</t>
  </si>
  <si>
    <t>['123193']</t>
  </si>
  <si>
    <t>['123211']</t>
  </si>
  <si>
    <t>['123188', '123189']</t>
  </si>
  <si>
    <t>['123192']</t>
  </si>
  <si>
    <t>['123190']</t>
  </si>
  <si>
    <t>['123187']</t>
  </si>
  <si>
    <t>['123198', '123199', '123200', '123201']</t>
  </si>
  <si>
    <t>['123202', '123204', '123205', '123206']</t>
  </si>
  <si>
    <t>MATERIALES Y SOLUCIONES S A</t>
  </si>
  <si>
    <t>['123209']</t>
  </si>
  <si>
    <t>['123213', '123214', '123215', '123216', '123217']</t>
  </si>
  <si>
    <t>['123191']</t>
  </si>
  <si>
    <t>10-06-2021</t>
  </si>
  <si>
    <t>['123228', '123229', '123230']</t>
  </si>
  <si>
    <t>['123251']</t>
  </si>
  <si>
    <t>['123222']</t>
  </si>
  <si>
    <t>['123232']</t>
  </si>
  <si>
    <t>['123220']</t>
  </si>
  <si>
    <t>['123252']</t>
  </si>
  <si>
    <t>['123224']</t>
  </si>
  <si>
    <t>['123246', '123247', '123248', '123249', '123250']</t>
  </si>
  <si>
    <t>['123242', '123243', '123244', '123245']</t>
  </si>
  <si>
    <t>['123237', '123238', '123241']</t>
  </si>
  <si>
    <t>['123239', '123240']</t>
  </si>
  <si>
    <t>['123235', '123236']['123234']</t>
  </si>
  <si>
    <t>11-06-2021</t>
  </si>
  <si>
    <t>['123261']</t>
  </si>
  <si>
    <t>['123303']</t>
  </si>
  <si>
    <t>['123260']</t>
  </si>
  <si>
    <t>['123326', '123327', '123328', '123329']</t>
  </si>
  <si>
    <t>['123256']</t>
  </si>
  <si>
    <t>['123267', '123268', '123269', '123270', '123271', '123272', '123273', '123274', '123275', '123276', '123277', '123278', '123279']</t>
  </si>
  <si>
    <t>['123284', '123285', '123286', '123287', '123288', '123289', '123290', '123291', '123292', '123293', '123294']</t>
  </si>
  <si>
    <t>['123264', '123265', '123266']</t>
  </si>
  <si>
    <t>['123280', '123281', '123282', '123283']</t>
  </si>
  <si>
    <t>['123262', '123263']</t>
  </si>
  <si>
    <t>['123305', '123306', '123307', '123308']</t>
  </si>
  <si>
    <t>['123295', '123296']</t>
  </si>
  <si>
    <t>['123314', '123315', '123316', '123317']</t>
  </si>
  <si>
    <t>['123297', '123298', '123299', '123300', '123301']</t>
  </si>
  <si>
    <t>['123309', '123310', '123311', '123312']</t>
  </si>
  <si>
    <t>['123325']['123324']</t>
  </si>
  <si>
    <t>14-06-2021</t>
  </si>
  <si>
    <t>['123342', '123343', '123344', '123345']</t>
  </si>
  <si>
    <t>['123334']</t>
  </si>
  <si>
    <t>['123335']</t>
  </si>
  <si>
    <t>['123332', '123333']</t>
  </si>
  <si>
    <t>['123338', '123339']</t>
  </si>
  <si>
    <t>['123346']</t>
  </si>
  <si>
    <t>['123340']</t>
  </si>
  <si>
    <t>['123361', '123362', '123363']</t>
  </si>
  <si>
    <t>['123347']</t>
  </si>
  <si>
    <t>['123374', '123375', '123376']</t>
  </si>
  <si>
    <t>['123354', '123355', '123356', '123357', '123359', '123360']['123358']</t>
  </si>
  <si>
    <t>['123364', '123366', '123368']['123367']['123365']</t>
  </si>
  <si>
    <t>['123349', '123350', '123351', '123353']['123352']</t>
  </si>
  <si>
    <t>['123369', '123370', '123371', '123372', '123373']['123330', '123331']</t>
  </si>
  <si>
    <t>15-06-2021</t>
  </si>
  <si>
    <t>['123392', '123393', '123394']</t>
  </si>
  <si>
    <t>['123413']</t>
  </si>
  <si>
    <t>['123390']</t>
  </si>
  <si>
    <t>['123395']</t>
  </si>
  <si>
    <t>['123383']</t>
  </si>
  <si>
    <t>['123377', '123378']</t>
  </si>
  <si>
    <t>['123379', '123380', '123381']</t>
  </si>
  <si>
    <t>PEDRO AGUIRRE CERDA</t>
  </si>
  <si>
    <t>['123391']</t>
  </si>
  <si>
    <t>['123382']</t>
  </si>
  <si>
    <t>['123384', '123385', '123386', '123387', '123388', '123389']</t>
  </si>
  <si>
    <t>['123401', '123402']</t>
  </si>
  <si>
    <t>['123396', '123397']</t>
  </si>
  <si>
    <t>['123398', '123399', '123400']</t>
  </si>
  <si>
    <t>['123405', '123406']</t>
  </si>
  <si>
    <t>['123403', '123404']</t>
  </si>
  <si>
    <t>['123407', '123408', '123409']['123410', '123411', '123412']</t>
  </si>
  <si>
    <t>16-06-2021</t>
  </si>
  <si>
    <t>['123432']</t>
  </si>
  <si>
    <t>['123416']</t>
  </si>
  <si>
    <t>['123465']</t>
  </si>
  <si>
    <t>['123418']</t>
  </si>
  <si>
    <t>['123430']</t>
  </si>
  <si>
    <t>['123427']</t>
  </si>
  <si>
    <t>['123425']</t>
  </si>
  <si>
    <t>['123414', '123415']</t>
  </si>
  <si>
    <t>['123469', '123470', '123471']</t>
  </si>
  <si>
    <t>['123428', '123429']</t>
  </si>
  <si>
    <t>['123433', '123434', '123435', '123436']</t>
  </si>
  <si>
    <t>['123426']</t>
  </si>
  <si>
    <t>['123457', '123458']</t>
  </si>
  <si>
    <t>['123445', '123446', '123447', '123448']</t>
  </si>
  <si>
    <t>['123453', '123454', '123455', '123456']</t>
  </si>
  <si>
    <t>['123463', '123464']</t>
  </si>
  <si>
    <t>['123451', '123452']</t>
  </si>
  <si>
    <t>['123449', '123450']</t>
  </si>
  <si>
    <t>['123459']</t>
  </si>
  <si>
    <t>17-06-2021</t>
  </si>
  <si>
    <t>['123501']</t>
  </si>
  <si>
    <t>['123483']</t>
  </si>
  <si>
    <t>['123495']</t>
  </si>
  <si>
    <t>['123472']</t>
  </si>
  <si>
    <t>['123484']</t>
  </si>
  <si>
    <t>RH1133</t>
  </si>
  <si>
    <t>65941082</t>
  </si>
  <si>
    <t>['123489']</t>
  </si>
  <si>
    <t>['123486']</t>
  </si>
  <si>
    <t>['123485']</t>
  </si>
  <si>
    <t>['123506', '123507']</t>
  </si>
  <si>
    <t>['123476', '123477', '123478']</t>
  </si>
  <si>
    <t>['123509', '123510', '123511', '123512', '123513', '123514', '123515']</t>
  </si>
  <si>
    <t>['123508']</t>
  </si>
  <si>
    <t>['123504', '123505']</t>
  </si>
  <si>
    <t>['123516', '123517', '123518', '123519']</t>
  </si>
  <si>
    <t>18-06-2021</t>
  </si>
  <si>
    <t>['123531']</t>
  </si>
  <si>
    <t>['123532']</t>
  </si>
  <si>
    <t>['123536']</t>
  </si>
  <si>
    <t>['123549', '123550', '123551', '123552', '123553', '123554', '123555', '123556', '123557']</t>
  </si>
  <si>
    <t>['123558', '123559', '123560', '123561', '123562', '123563', '123564', '123565', '123566', '123567', '123569']</t>
  </si>
  <si>
    <t>['123570', '123571', '123572', '123573', '123574', '123575', '123576', '123578', '123579']</t>
  </si>
  <si>
    <t>['123585', '123586', '123587', '123588', '123589', '123590', '123591', '123592', '123593', '123594', '123595', '123596', '123597']</t>
  </si>
  <si>
    <t>['123581', '123582', '123583', '123584']</t>
  </si>
  <si>
    <t>['123520']</t>
  </si>
  <si>
    <t>['123527', '123528', '123529']</t>
  </si>
  <si>
    <t>['123533', '123534', '123535']</t>
  </si>
  <si>
    <t>['123522']</t>
  </si>
  <si>
    <t>['123524', '123525', '123526']</t>
  </si>
  <si>
    <t>['123537', '123538', '123539', '123540']</t>
  </si>
  <si>
    <t>['123521']</t>
  </si>
  <si>
    <t>['123545', '123546', '123547']</t>
  </si>
  <si>
    <t>['123542', '123543']</t>
  </si>
  <si>
    <t>['123541']</t>
  </si>
  <si>
    <t>22-06-2021</t>
  </si>
  <si>
    <t>['123598']</t>
  </si>
  <si>
    <t>['123599']</t>
  </si>
  <si>
    <t>['123607', '123608', '123609', '123610', '123611', '123612', '123613', '123614', '123615', '123616', '123618']</t>
  </si>
  <si>
    <t>['123605', '123606']</t>
  </si>
  <si>
    <t>['123621', '123622', '123623', '123624', '123626']</t>
  </si>
  <si>
    <t>['123633']</t>
  </si>
  <si>
    <t>['123619', '123620']</t>
  </si>
  <si>
    <t>125897358</t>
  </si>
  <si>
    <t>['123635']</t>
  </si>
  <si>
    <t>['123627', '123628', '123629', '123630', '123631', '123632']</t>
  </si>
  <si>
    <t>['123634']</t>
  </si>
  <si>
    <t>23-06-2021</t>
  </si>
  <si>
    <t>RK5435</t>
  </si>
  <si>
    <t>['123644']</t>
  </si>
  <si>
    <t>['123646', '123647', '123648', '123649', '123650']</t>
  </si>
  <si>
    <t>['123665', '123666', '123667', '123668']</t>
  </si>
  <si>
    <t>['123645']</t>
  </si>
  <si>
    <t>['123669', '123670']</t>
  </si>
  <si>
    <t>['123671']</t>
  </si>
  <si>
    <t>96626232</t>
  </si>
  <si>
    <t>['123636']</t>
  </si>
  <si>
    <t>['123684', '123685', '123686']</t>
  </si>
  <si>
    <t>957007734</t>
  </si>
  <si>
    <t>['123654']</t>
  </si>
  <si>
    <t>['123657', '123658', '123659', '123661']</t>
  </si>
  <si>
    <t>['123640', '123641', '123642', '123643']</t>
  </si>
  <si>
    <t>['123664', '123673', '123674', '123675', '123676', '123677', '123678', '123679', '123680', '123681', '123682', '123683']</t>
  </si>
  <si>
    <t>['123688', '123689']</t>
  </si>
  <si>
    <t>['123663']</t>
  </si>
  <si>
    <t>24-06-2021</t>
  </si>
  <si>
    <t>['123696', '123697']</t>
  </si>
  <si>
    <t>['123698', '123699', '123700']</t>
  </si>
  <si>
    <t>['123715']</t>
  </si>
  <si>
    <t>['123708']</t>
  </si>
  <si>
    <t>['123692']</t>
  </si>
  <si>
    <t>['123713', '123714']</t>
  </si>
  <si>
    <t>['123716', '123717']</t>
  </si>
  <si>
    <t>['123693']</t>
  </si>
  <si>
    <t>['123718', '123722']</t>
  </si>
  <si>
    <t>['123702', '123703']</t>
  </si>
  <si>
    <t>['123704', '123705', '123706', '123707']</t>
  </si>
  <si>
    <t>['123710', '123711', '123712']</t>
  </si>
  <si>
    <t>25-06-2021</t>
  </si>
  <si>
    <t>['123750', '123751']</t>
  </si>
  <si>
    <t>['123752', '123753', '123754', '123755']</t>
  </si>
  <si>
    <t>['123744']</t>
  </si>
  <si>
    <t>['123732']</t>
  </si>
  <si>
    <t>['123735', '123736', '123737', '123738', '123739']</t>
  </si>
  <si>
    <t>['123733', '123734']</t>
  </si>
  <si>
    <t>['123724', '123725', '123726', '123727', '123728']</t>
  </si>
  <si>
    <t>['123743']</t>
  </si>
  <si>
    <t>['123741']</t>
  </si>
  <si>
    <t>['123742']</t>
  </si>
  <si>
    <t>['123745', '123746']['123747', '123748', '123749']</t>
  </si>
  <si>
    <t>29-06-2021</t>
  </si>
  <si>
    <t>['123774', '123775']</t>
  </si>
  <si>
    <t>['123758', '123759', '123760', '123761', '123762', '123763', '123764']</t>
  </si>
  <si>
    <t>['123783']</t>
  </si>
  <si>
    <t>GUZMAN Y LARRAIN VIVIENDASX</t>
  </si>
  <si>
    <t>['123757']</t>
  </si>
  <si>
    <t>['123781', '123782']</t>
  </si>
  <si>
    <t>['123792', '123793', '123794']</t>
  </si>
  <si>
    <t>['123789', '123790', '123791']</t>
  </si>
  <si>
    <t>['123772', '123773']</t>
  </si>
  <si>
    <t>['123770', '123771']</t>
  </si>
  <si>
    <t>['123778', '123780']</t>
  </si>
  <si>
    <t>['123784', '123785', '123786', '123787', '123788']</t>
  </si>
  <si>
    <t>['123795']</t>
  </si>
  <si>
    <t>['123765', '123766', '123767', '123768', '123769']</t>
  </si>
  <si>
    <t>['123796']</t>
  </si>
  <si>
    <t>['123779']</t>
  </si>
  <si>
    <t>['123797', '123798', '123799', '123800', '123801', '123802']</t>
  </si>
  <si>
    <t>30-06-2021</t>
  </si>
  <si>
    <t>['123805']</t>
  </si>
  <si>
    <t>CONSTRUCTORA PARQUE CHICURX</t>
  </si>
  <si>
    <t>['123806', '123807', '123808']</t>
  </si>
  <si>
    <t>['123822']</t>
  </si>
  <si>
    <t>['123812']</t>
  </si>
  <si>
    <t>['123820']</t>
  </si>
  <si>
    <t>['123804']</t>
  </si>
  <si>
    <t>['123815', '123816']</t>
  </si>
  <si>
    <t>['123821']</t>
  </si>
  <si>
    <t>['123809', '123810', '123811']</t>
  </si>
  <si>
    <t>['123817', '123818', '123819']</t>
  </si>
  <si>
    <t>['123813', '123814']</t>
  </si>
  <si>
    <t>['123837', '123838', '123839']</t>
  </si>
  <si>
    <t>['123823', '123824', '123825', '123826']</t>
  </si>
  <si>
    <t>['123827', '123828', '123829']</t>
  </si>
  <si>
    <t>['123830']</t>
  </si>
  <si>
    <t>['123842']['123803']</t>
  </si>
  <si>
    <t>01-07-2021</t>
  </si>
  <si>
    <t>['123865', '123866']</t>
  </si>
  <si>
    <t>['123870']</t>
  </si>
  <si>
    <t>['123843', '123844']</t>
  </si>
  <si>
    <t>['123878']</t>
  </si>
  <si>
    <t>['123846', '123847']</t>
  </si>
  <si>
    <t>['123871']</t>
  </si>
  <si>
    <t>['123845']</t>
  </si>
  <si>
    <t>['123850']</t>
  </si>
  <si>
    <t>['123872', '123873']</t>
  </si>
  <si>
    <t>PKYB74</t>
  </si>
  <si>
    <t>['123848', '123849']</t>
  </si>
  <si>
    <t>['123874', '123875']</t>
  </si>
  <si>
    <t>154827738</t>
  </si>
  <si>
    <t>['123852', '123854', '123855', '123856', '123858', '123859', '123860', '123861', '123862']['123853']</t>
  </si>
  <si>
    <t>['123868']['123867', '123869']</t>
  </si>
  <si>
    <t>02-07-2021</t>
  </si>
  <si>
    <t>['123924']</t>
  </si>
  <si>
    <t>['123893', '123894', '123895', '123896', '123897', '123898', '123899']</t>
  </si>
  <si>
    <t>['123901', '123902', '123903', '123904', '123905']</t>
  </si>
  <si>
    <t>['123882', '123883']</t>
  </si>
  <si>
    <t>['123880', '123881']</t>
  </si>
  <si>
    <t>['123925', '123926', '123927']</t>
  </si>
  <si>
    <t>['123921', '123922', '123923']</t>
  </si>
  <si>
    <t>['123919']</t>
  </si>
  <si>
    <t>['123889', '123890', '123892']</t>
  </si>
  <si>
    <t>['123914', '123915']</t>
  </si>
  <si>
    <t>['123918']</t>
  </si>
  <si>
    <t>['123916', '123917']</t>
  </si>
  <si>
    <t>['123886']['123884', '123885', '123887', '123888']</t>
  </si>
  <si>
    <t>['123908', '123909', '123912', '123913']['123910', '123911']</t>
  </si>
  <si>
    <t>05-07-2021</t>
  </si>
  <si>
    <t>125108/660</t>
  </si>
  <si>
    <t>['123937']</t>
  </si>
  <si>
    <t>['123936']</t>
  </si>
  <si>
    <t>['123940', '123941', '123942']</t>
  </si>
  <si>
    <t>['123971']</t>
  </si>
  <si>
    <t>['123931', '123932', '123933']</t>
  </si>
  <si>
    <t>['123928', '123929', '123930']</t>
  </si>
  <si>
    <t>['123957']</t>
  </si>
  <si>
    <t>['123938']</t>
  </si>
  <si>
    <t>['123935']</t>
  </si>
  <si>
    <t>['123934']</t>
  </si>
  <si>
    <t>['123952', '123956']</t>
  </si>
  <si>
    <t>['123958', '123959']</t>
  </si>
  <si>
    <t>['123949', '123951', '123968', '123969', '123970']</t>
  </si>
  <si>
    <t>['123946', '123948', '123967']</t>
  </si>
  <si>
    <t>['123960', '123961']</t>
  </si>
  <si>
    <t>['123964', '123965']</t>
  </si>
  <si>
    <t>['123962', '123963']</t>
  </si>
  <si>
    <t>['123966']</t>
  </si>
  <si>
    <t>06-07-2021</t>
  </si>
  <si>
    <t>['123992', '123993', '123994', '123995', '123996']</t>
  </si>
  <si>
    <t>['123973', '123974']</t>
  </si>
  <si>
    <t>['124016']</t>
  </si>
  <si>
    <t>['123991']</t>
  </si>
  <si>
    <t>['124000']</t>
  </si>
  <si>
    <t>['124002', '124003', '124004', '124005', '124006', '124007', '124008']</t>
  </si>
  <si>
    <t>['123972']</t>
  </si>
  <si>
    <t>['124001']</t>
  </si>
  <si>
    <t>['123987', '123988', '123989', '123990']</t>
  </si>
  <si>
    <t>['124009', '124010', '124011', '124012']</t>
  </si>
  <si>
    <t>['123981', '123982', '123983', '123984', '123985', '123986']</t>
  </si>
  <si>
    <t>ANGOL</t>
  </si>
  <si>
    <t>['124013', '124014']</t>
  </si>
  <si>
    <t>['123998', '123999']</t>
  </si>
  <si>
    <t>['123997']</t>
  </si>
  <si>
    <t>['123979', '123980']['123978']</t>
  </si>
  <si>
    <t>['123975', '123977']['123976']</t>
  </si>
  <si>
    <t>07-07-2021</t>
  </si>
  <si>
    <t>['124017']</t>
  </si>
  <si>
    <t>['124036', '124037', '124038', '124039']</t>
  </si>
  <si>
    <t>['124031']</t>
  </si>
  <si>
    <t>['124045']</t>
  </si>
  <si>
    <t>['124046']</t>
  </si>
  <si>
    <t>['124027']</t>
  </si>
  <si>
    <t>['124028', '124029', '124030']</t>
  </si>
  <si>
    <t>['124024', '124025']</t>
  </si>
  <si>
    <t>['124047']</t>
  </si>
  <si>
    <t>['124021', '124022']</t>
  </si>
  <si>
    <t>['124018']</t>
  </si>
  <si>
    <t>['124035']</t>
  </si>
  <si>
    <t>['124032', '124033', '124034']</t>
  </si>
  <si>
    <t>['124019']</t>
  </si>
  <si>
    <t>08-07-2021</t>
  </si>
  <si>
    <t>['124063', '124064', '124065']</t>
  </si>
  <si>
    <t>['124092']</t>
  </si>
  <si>
    <t>['124066']</t>
  </si>
  <si>
    <t>['124053']</t>
  </si>
  <si>
    <t>['124052']</t>
  </si>
  <si>
    <t>['124090']</t>
  </si>
  <si>
    <t>['124080', '124081']</t>
  </si>
  <si>
    <t>['124067', '124068', '124069']</t>
  </si>
  <si>
    <t>['124048', '124049']</t>
  </si>
  <si>
    <t>['124050']</t>
  </si>
  <si>
    <t>['124054', '124055', '124057', '124058', '124059', '124060']</t>
  </si>
  <si>
    <t>['124086', '124087']</t>
  </si>
  <si>
    <t>['124088', '124089']</t>
  </si>
  <si>
    <t>['124085']</t>
  </si>
  <si>
    <t>['124071', '124072', '124073', '124074', '124075', '124076', '124077']</t>
  </si>
  <si>
    <t>['124082', '124084']['124083']</t>
  </si>
  <si>
    <t>09-07-2021</t>
  </si>
  <si>
    <t>['124095', '124096', '124097']</t>
  </si>
  <si>
    <t>['124113']</t>
  </si>
  <si>
    <t>['124114']</t>
  </si>
  <si>
    <t>['124094']</t>
  </si>
  <si>
    <t>['124093']</t>
  </si>
  <si>
    <t>['124105']</t>
  </si>
  <si>
    <t>['124106']</t>
  </si>
  <si>
    <t>['124109', '124110']</t>
  </si>
  <si>
    <t>['124111', '124112']</t>
  </si>
  <si>
    <t>['124098', '124099', '124100', '124101', '124102', '124103']</t>
  </si>
  <si>
    <t>12-07-2021</t>
  </si>
  <si>
    <t>['124150', '124151', '124152', '124153']</t>
  </si>
  <si>
    <t>['124145', '124146', '124147', '124148', '124149']</t>
  </si>
  <si>
    <t>['124120', '124121', '124122']</t>
  </si>
  <si>
    <t>['124123']</t>
  </si>
  <si>
    <t>['124124']</t>
  </si>
  <si>
    <t>['124125']</t>
  </si>
  <si>
    <t>['124136', '124137', '124138', '124139', '124140', '124141', '124142', '124143']</t>
  </si>
  <si>
    <t>['124126', '124127', '124128', '124129', '124130', '124131', '124132', '124133', '124134', '124135']</t>
  </si>
  <si>
    <t>['124117']</t>
  </si>
  <si>
    <t>['124116']</t>
  </si>
  <si>
    <t>OVALLE</t>
  </si>
  <si>
    <t>['124115']</t>
  </si>
  <si>
    <t>['124171', '124175']</t>
  </si>
  <si>
    <t>['124172', '124173', '124174']</t>
  </si>
  <si>
    <t>['124167', '124168']</t>
  </si>
  <si>
    <t>['124163', '124164', '124165', '124166']</t>
  </si>
  <si>
    <t>['124156', '124157', '124158', '124160']['124155', '124159', '124161', '124162']</t>
  </si>
  <si>
    <t>13-07-2021</t>
  </si>
  <si>
    <t>['124189']</t>
  </si>
  <si>
    <t>['124180', '124181']</t>
  </si>
  <si>
    <t>['124179']</t>
  </si>
  <si>
    <t>['124182']</t>
  </si>
  <si>
    <t>['124192', '124193', '124194']</t>
  </si>
  <si>
    <t>['124195', '124196', '124197', '124198', '124199']</t>
  </si>
  <si>
    <t>['124200', '124201']</t>
  </si>
  <si>
    <t>['124203', '124204']</t>
  </si>
  <si>
    <t>['124211']</t>
  </si>
  <si>
    <t>['124183', '124184', '124185', '124186', '124187', '124188']</t>
  </si>
  <si>
    <t>['124205', '124206']</t>
  </si>
  <si>
    <t>['124202']</t>
  </si>
  <si>
    <t>['124212', '124213', '124214']['124207', '124208']</t>
  </si>
  <si>
    <t>14-07-2021</t>
  </si>
  <si>
    <t>['124221', '124222', '124223']</t>
  </si>
  <si>
    <t>['124225']</t>
  </si>
  <si>
    <t>NACIMIENTO</t>
  </si>
  <si>
    <t>['124258']</t>
  </si>
  <si>
    <t>['124259']</t>
  </si>
  <si>
    <t>['124215', '124216', '124217', '124218', '124219', '124220']</t>
  </si>
  <si>
    <t>['124244', '124245']</t>
  </si>
  <si>
    <t>['124248', '124249']</t>
  </si>
  <si>
    <t>['124227']</t>
  </si>
  <si>
    <t>['124231']</t>
  </si>
  <si>
    <t>['124232', '124233', '124234', '124235']</t>
  </si>
  <si>
    <t>['124252', '124254']</t>
  </si>
  <si>
    <t>['124246']['124247']</t>
  </si>
  <si>
    <t>['124228', '124229']['124230']</t>
  </si>
  <si>
    <t>['124255', '124257']['124256']</t>
  </si>
  <si>
    <t>15-07-2021</t>
  </si>
  <si>
    <t>['124263', '124264', '124265', '124266', '124267', '124268', '124269']</t>
  </si>
  <si>
    <t>['124271']</t>
  </si>
  <si>
    <t>['124289']</t>
  </si>
  <si>
    <t>CONSTRUCTORA CERRO CASTILLX</t>
  </si>
  <si>
    <t>['124262']</t>
  </si>
  <si>
    <t>['124261']</t>
  </si>
  <si>
    <t>['124272']</t>
  </si>
  <si>
    <t>['124290', '124291']</t>
  </si>
  <si>
    <t>['124274', '124275', '124276', '124277']</t>
  </si>
  <si>
    <t>['124282', '124283']</t>
  </si>
  <si>
    <t>['124284', '124285', '124286', '124287', '124288']</t>
  </si>
  <si>
    <t>['124292', '124293']</t>
  </si>
  <si>
    <t>['124295']['124294']</t>
  </si>
  <si>
    <t>19-07-2021</t>
  </si>
  <si>
    <t>['124301', '124302', '124303']</t>
  </si>
  <si>
    <t>['124306']</t>
  </si>
  <si>
    <t>['124298', '124299', '124300']</t>
  </si>
  <si>
    <t>984940743</t>
  </si>
  <si>
    <t>['124327']</t>
  </si>
  <si>
    <t>['124305']</t>
  </si>
  <si>
    <t>['124309', '124310']</t>
  </si>
  <si>
    <t>['124323', '124324']</t>
  </si>
  <si>
    <t>['124321', '124322']</t>
  </si>
  <si>
    <t>['124325']</t>
  </si>
  <si>
    <t>['124331']</t>
  </si>
  <si>
    <t>['124311', '124312', '124313', '124314', '124315', '124316', '124317']</t>
  </si>
  <si>
    <t>WG45022</t>
  </si>
  <si>
    <t>['124332', '124333', '124334']['124326']</t>
  </si>
  <si>
    <t>['124307', '124308']['124318']</t>
  </si>
  <si>
    <t>['124319']['124320']</t>
  </si>
  <si>
    <t>20-07-2021</t>
  </si>
  <si>
    <t>['124352', '124353']</t>
  </si>
  <si>
    <t>['124363']</t>
  </si>
  <si>
    <t>['124335']</t>
  </si>
  <si>
    <t>['124358', '124359']</t>
  </si>
  <si>
    <t>['124360', '124361']</t>
  </si>
  <si>
    <t>['124364', '124365', '124366', '124367', '124368']</t>
  </si>
  <si>
    <t>['124337']</t>
  </si>
  <si>
    <t>['124342', '124343', '124344']</t>
  </si>
  <si>
    <t>['124336']</t>
  </si>
  <si>
    <t>['124339']</t>
  </si>
  <si>
    <t>['124369', '124370', '124371']</t>
  </si>
  <si>
    <t>['124354', '124355', '124356', '124357']</t>
  </si>
  <si>
    <t>['124347', '124348']['124345', '124346']</t>
  </si>
  <si>
    <t>21-07-2021</t>
  </si>
  <si>
    <t>['124373']</t>
  </si>
  <si>
    <t>['124399']</t>
  </si>
  <si>
    <t>['124382']</t>
  </si>
  <si>
    <t>['124384']</t>
  </si>
  <si>
    <t>['124383']</t>
  </si>
  <si>
    <t>['124374', '124375']</t>
  </si>
  <si>
    <t>['124395', '124396']</t>
  </si>
  <si>
    <t>['124394']</t>
  </si>
  <si>
    <t>['124372']</t>
  </si>
  <si>
    <t>['124400', '124402', '124403']</t>
  </si>
  <si>
    <t>['124397', '124398']</t>
  </si>
  <si>
    <t>['124386', '124387', '124388', '124389', '124390', '124391', '124392', '124393']</t>
  </si>
  <si>
    <t>['124377', '124378']['124376']</t>
  </si>
  <si>
    <t>22-07-2021</t>
  </si>
  <si>
    <t>BE9862</t>
  </si>
  <si>
    <t>['124447']</t>
  </si>
  <si>
    <t>['124417']</t>
  </si>
  <si>
    <t>['124445', '124446']</t>
  </si>
  <si>
    <t>['124418']</t>
  </si>
  <si>
    <t>['124421', '124422']</t>
  </si>
  <si>
    <t>['124441', '124442']</t>
  </si>
  <si>
    <t>['124407', '124408', '124409', '124410', '124411']</t>
  </si>
  <si>
    <t>['124438', '124439', '124440']</t>
  </si>
  <si>
    <t>['124430', '124431', '124432', '124433', '124434']</t>
  </si>
  <si>
    <t>['124435', '124436']</t>
  </si>
  <si>
    <t>['124412', '124413', '124415', '124416']['124414']</t>
  </si>
  <si>
    <t>23-07-2021</t>
  </si>
  <si>
    <t>['124467', '124468']</t>
  </si>
  <si>
    <t>['124461']</t>
  </si>
  <si>
    <t>['124464', '124465', '124466']</t>
  </si>
  <si>
    <t>['124462', '124463']</t>
  </si>
  <si>
    <t>['124451', '124452']</t>
  </si>
  <si>
    <t>['124449']</t>
  </si>
  <si>
    <t>['124448']</t>
  </si>
  <si>
    <t>['124453', '124454', '124455', '124456', '124457', '124458', '124459', '124460']</t>
  </si>
  <si>
    <t>26-07-2021</t>
  </si>
  <si>
    <t>['124495', '124496', '124497']</t>
  </si>
  <si>
    <t>['124502']</t>
  </si>
  <si>
    <t>['124472', '124473', '124474', '124475', '124476', '124477', '124478', '124479', '124480', '124481', '124482', '124483', '124484', '124485', '124486', '124487']</t>
  </si>
  <si>
    <t>['124490']</t>
  </si>
  <si>
    <t>['124500']</t>
  </si>
  <si>
    <t>['124491', '124492']</t>
  </si>
  <si>
    <t>['124505', '124507']['124506']</t>
  </si>
  <si>
    <t>['124499']['124498']</t>
  </si>
  <si>
    <t>27-07-2021</t>
  </si>
  <si>
    <t>['124523']</t>
  </si>
  <si>
    <t>['124556', '124557', '124558']</t>
  </si>
  <si>
    <t>['124520']</t>
  </si>
  <si>
    <t>['124534']</t>
  </si>
  <si>
    <t>['124524', '124525']</t>
  </si>
  <si>
    <t>['124527']</t>
  </si>
  <si>
    <t>['124554', '124555']</t>
  </si>
  <si>
    <t>MOLLER Y PEREZ COTAPOS CONX</t>
  </si>
  <si>
    <t>['124526']</t>
  </si>
  <si>
    <t>['124518', '124519']</t>
  </si>
  <si>
    <t>['124546', '124547', '124548']</t>
  </si>
  <si>
    <t>['124543', '124544', '124545']</t>
  </si>
  <si>
    <t>['124528', '124529', '124530', '124531', '124532', '124533']</t>
  </si>
  <si>
    <t>['124552', '124553']</t>
  </si>
  <si>
    <t>['124549', '124550', '124551']</t>
  </si>
  <si>
    <t>['124535', '124536']['124537', '124538']['124539', '124540']</t>
  </si>
  <si>
    <t>28-07-2021</t>
  </si>
  <si>
    <t>['124570']</t>
  </si>
  <si>
    <t>['124581', '124582']</t>
  </si>
  <si>
    <t>['124580']</t>
  </si>
  <si>
    <t>['124562']</t>
  </si>
  <si>
    <t>['124561', '124563']</t>
  </si>
  <si>
    <t>['124567']</t>
  </si>
  <si>
    <t>['124571', '124572']</t>
  </si>
  <si>
    <t>['124576', '124577']</t>
  </si>
  <si>
    <t>['124573', '124574', '124575']</t>
  </si>
  <si>
    <t>['124579']</t>
  </si>
  <si>
    <t>['124586', '124587']</t>
  </si>
  <si>
    <t>['124583']</t>
  </si>
  <si>
    <t>29-07-2021</t>
  </si>
  <si>
    <t>['124594']</t>
  </si>
  <si>
    <t>['124596']</t>
  </si>
  <si>
    <t>['124593']</t>
  </si>
  <si>
    <t>['124614', '124615', '124616', '124617', '124618', '124619', '124620', '124621', '124622', '124623', '124624', '124625', '124626', '124627', '124628', '124629', '124630', '124631', '124632', '124633', '124634', '124648']</t>
  </si>
  <si>
    <t>LO CAMPINO CONSTRUCTORA LIX</t>
  </si>
  <si>
    <t>['124591']</t>
  </si>
  <si>
    <t>['124588', '124589', '124590']</t>
  </si>
  <si>
    <t>['124610']</t>
  </si>
  <si>
    <t>['124611', '124612', '124613']</t>
  </si>
  <si>
    <t>['124597', '124598', '124599']</t>
  </si>
  <si>
    <t>['124650']</t>
  </si>
  <si>
    <t>['124635', '124636', '124637', '124638', '124639', '124640', '124641', '124642', '124644', '124646', '124647']['124643', '124645', '124649']</t>
  </si>
  <si>
    <t>['124603', '124604', '124605', '124606', '124607']['124600', '124601']</t>
  </si>
  <si>
    <t>30-07-2021</t>
  </si>
  <si>
    <t>TK7053</t>
  </si>
  <si>
    <t>['124697']</t>
  </si>
  <si>
    <t>['124659']</t>
  </si>
  <si>
    <t>['124682']</t>
  </si>
  <si>
    <t>['124661', '124662', '124663', '124664', '124665', '124666', '124667', '124668', '124669', '124670', '124671', '124672', '124673', '124674', '124675', '124676', '124677', '124678', '124679', '124680', '124681']</t>
  </si>
  <si>
    <t>['124693', '124694', '124695']</t>
  </si>
  <si>
    <t>['124696']</t>
  </si>
  <si>
    <t>['124653']</t>
  </si>
  <si>
    <t>['124685', '124687', '124692']</t>
  </si>
  <si>
    <t>['124683', '124684', '124686', '124688', '124689', '124690', '124691']</t>
  </si>
  <si>
    <t>02-08-2021</t>
  </si>
  <si>
    <t>['124702', '124703']</t>
  </si>
  <si>
    <t>['124705']</t>
  </si>
  <si>
    <t>['124704']</t>
  </si>
  <si>
    <t>['124708']</t>
  </si>
  <si>
    <t>['124706', '124707']</t>
  </si>
  <si>
    <t>03-08-2021</t>
  </si>
  <si>
    <t>['124714']</t>
  </si>
  <si>
    <t>['124711']</t>
  </si>
  <si>
    <t>['124750', '124751']</t>
  </si>
  <si>
    <t>['124713']</t>
  </si>
  <si>
    <t>R6339</t>
  </si>
  <si>
    <t>['124715']</t>
  </si>
  <si>
    <t>['124737']</t>
  </si>
  <si>
    <t>['124736']</t>
  </si>
  <si>
    <t>['124731', '124732', '124733', '124734', '124735']</t>
  </si>
  <si>
    <t>['124726', '124727', '124728', '124729', '124730']</t>
  </si>
  <si>
    <t>['124712']</t>
  </si>
  <si>
    <t>['124746', '124747', '124748']</t>
  </si>
  <si>
    <t>['124739', '124740', '124741', '124742', '124743', '124744', '124745']</t>
  </si>
  <si>
    <t>['124749']</t>
  </si>
  <si>
    <t>04-08-2021</t>
  </si>
  <si>
    <t>['124775']</t>
  </si>
  <si>
    <t>['124753']</t>
  </si>
  <si>
    <t>['124752']</t>
  </si>
  <si>
    <t>['124764']</t>
  </si>
  <si>
    <t>['124759', '124760']</t>
  </si>
  <si>
    <t>['124761', '124762', '124763']</t>
  </si>
  <si>
    <t>['124755']</t>
  </si>
  <si>
    <t>['124754']</t>
  </si>
  <si>
    <t>['124770', '124771']</t>
  </si>
  <si>
    <t>['124768', '124769']</t>
  </si>
  <si>
    <t>['124772', '124773', '124774']</t>
  </si>
  <si>
    <t>['124756', '124757']</t>
  </si>
  <si>
    <t>05-08-2021</t>
  </si>
  <si>
    <t>['124795', '124796']</t>
  </si>
  <si>
    <t>['124779']</t>
  </si>
  <si>
    <t>['124778']</t>
  </si>
  <si>
    <t>['124780', '124781', '124782']</t>
  </si>
  <si>
    <t>['124788', '124789', '124790', '124791']</t>
  </si>
  <si>
    <t>KLVY88</t>
  </si>
  <si>
    <t>['124797', '124798']</t>
  </si>
  <si>
    <t>['124803']</t>
  </si>
  <si>
    <t>['124799', '124800']</t>
  </si>
  <si>
    <t>['124801', '124802']</t>
  </si>
  <si>
    <t>['124792', '124793', '124794']</t>
  </si>
  <si>
    <t>['124783', '124784', '124785', '124786', '124787']</t>
  </si>
  <si>
    <t>['124776']['124777']</t>
  </si>
  <si>
    <t>09-08-2021</t>
  </si>
  <si>
    <t>['124834', '124835', '124836']</t>
  </si>
  <si>
    <t>['124845']</t>
  </si>
  <si>
    <t>['124837', '124838']</t>
  </si>
  <si>
    <t>CONST. GARDILCIC LTDA.</t>
  </si>
  <si>
    <t>['124858']</t>
  </si>
  <si>
    <t>DE ARICA Y PARINACOTA</t>
  </si>
  <si>
    <t>['124840', '124841']</t>
  </si>
  <si>
    <t>['124833']</t>
  </si>
  <si>
    <t>VILLARRICA</t>
  </si>
  <si>
    <t>['124839']</t>
  </si>
  <si>
    <t>['124842']</t>
  </si>
  <si>
    <t>['124855', '124856', '124857']</t>
  </si>
  <si>
    <t>['124850', '124851']</t>
  </si>
  <si>
    <t>['124847', '124848', '124849']</t>
  </si>
  <si>
    <t>['124843']['124844']</t>
  </si>
  <si>
    <t>10-08-2021</t>
  </si>
  <si>
    <t>['124865']</t>
  </si>
  <si>
    <t>['124867']</t>
  </si>
  <si>
    <t>['124861']</t>
  </si>
  <si>
    <t>['124860']</t>
  </si>
  <si>
    <t>['124862']</t>
  </si>
  <si>
    <t>WC233</t>
  </si>
  <si>
    <t>['124870', '124871', '124872', '124873']</t>
  </si>
  <si>
    <t>['124866']</t>
  </si>
  <si>
    <t>['124863']</t>
  </si>
  <si>
    <t>['124874', '124875', '124876']</t>
  </si>
  <si>
    <t>['124878', '124879', '124880', '124881', '124882']</t>
  </si>
  <si>
    <t>['124868']['124869']</t>
  </si>
  <si>
    <t>11-08-2021</t>
  </si>
  <si>
    <t>['124909']</t>
  </si>
  <si>
    <t>CONSTRUCTORA CONVET LTDA.</t>
  </si>
  <si>
    <t>['124887']</t>
  </si>
  <si>
    <t>['124892', '124893', '124894']</t>
  </si>
  <si>
    <t>['124884', '124885', '124886']</t>
  </si>
  <si>
    <t>['124910', '124911', '124912']</t>
  </si>
  <si>
    <t>['124907', '124908']</t>
  </si>
  <si>
    <t>['124900', '124901', '124902', '124903']</t>
  </si>
  <si>
    <t>['124895']['124899']</t>
  </si>
  <si>
    <t>['124890', '124891']['124888', '124889']</t>
  </si>
  <si>
    <t>12-08-2021</t>
  </si>
  <si>
    <t>CONSTRUFACE SPA</t>
  </si>
  <si>
    <t>['124914']</t>
  </si>
  <si>
    <t>['124915']</t>
  </si>
  <si>
    <t>['124918', '124919']</t>
  </si>
  <si>
    <t>['124933']</t>
  </si>
  <si>
    <t>['124936', '124937', '124938', '124939']</t>
  </si>
  <si>
    <t>['124920', '124921', '124922']</t>
  </si>
  <si>
    <t>['124924', '124925', '124926']</t>
  </si>
  <si>
    <t>['124931', '124932']</t>
  </si>
  <si>
    <t>['124927', '124928']['124929']</t>
  </si>
  <si>
    <t>['124934']['124935']</t>
  </si>
  <si>
    <t>['124916']['124917']</t>
  </si>
  <si>
    <t>['124945', '124946', '124948', '124949', '124950', '124951']['124947']</t>
  </si>
  <si>
    <t>['124940', '124941', '124943', '124944']['124942']</t>
  </si>
  <si>
    <t>13-08-2021</t>
  </si>
  <si>
    <t>['124957']</t>
  </si>
  <si>
    <t>['124962']</t>
  </si>
  <si>
    <t>['124959']</t>
  </si>
  <si>
    <t>['124967', '124968', '124969', '124970', '124971']</t>
  </si>
  <si>
    <t>['124978', '124979', '124980', '124981', '124982']</t>
  </si>
  <si>
    <t>['124952']</t>
  </si>
  <si>
    <t>['124956']</t>
  </si>
  <si>
    <t>['124964', '124965']</t>
  </si>
  <si>
    <t>['124955']</t>
  </si>
  <si>
    <t>['124985', '124986']</t>
  </si>
  <si>
    <t>['124983', '124984']</t>
  </si>
  <si>
    <t>['124958']['124953', '124954']</t>
  </si>
  <si>
    <t>['124973', '124974', '124975', '124976', '124977']['124972']</t>
  </si>
  <si>
    <t>16-08-2021</t>
  </si>
  <si>
    <t>['124987']</t>
  </si>
  <si>
    <t>['124999']</t>
  </si>
  <si>
    <t>['124998']</t>
  </si>
  <si>
    <t>['125008']</t>
  </si>
  <si>
    <t>['125009']</t>
  </si>
  <si>
    <t>['124994']</t>
  </si>
  <si>
    <t>['124993']</t>
  </si>
  <si>
    <t>['125006']</t>
  </si>
  <si>
    <t>['124996', '124997']</t>
  </si>
  <si>
    <t>['125002', '125003']</t>
  </si>
  <si>
    <t>['125004', '125005']</t>
  </si>
  <si>
    <t>['125007']</t>
  </si>
  <si>
    <t>['124989', '124990', '124991', '124992']['124988']</t>
  </si>
  <si>
    <t>['125000']['125001']</t>
  </si>
  <si>
    <t>Suma de % Ocup.</t>
  </si>
  <si>
    <t>17-08-2021</t>
  </si>
  <si>
    <t>['125044']</t>
  </si>
  <si>
    <t>['125011', '125012']</t>
  </si>
  <si>
    <t>['125010']</t>
  </si>
  <si>
    <t>['125036']</t>
  </si>
  <si>
    <t>['125037', '125038']</t>
  </si>
  <si>
    <t>['125039', '125040']</t>
  </si>
  <si>
    <t>['125016', '125017']</t>
  </si>
  <si>
    <t>['125025', '125026', '125027', '125028']</t>
  </si>
  <si>
    <t>['125042', '125043']</t>
  </si>
  <si>
    <t>['125029', '125030', '125031', '125032', '125033', '125034', '125035']</t>
  </si>
  <si>
    <t>['125013', '125015']['125014']</t>
  </si>
  <si>
    <t>['125019', '125020', '125021', '125022', '125023', '125024']['125018']</t>
  </si>
  <si>
    <t>18-08-2021</t>
  </si>
  <si>
    <t>['125052']</t>
  </si>
  <si>
    <t>['125048']</t>
  </si>
  <si>
    <t>['125073']</t>
  </si>
  <si>
    <t>['125050', '125051']</t>
  </si>
  <si>
    <t>['125068', '125069']</t>
  </si>
  <si>
    <t>['125064', '125065']</t>
  </si>
  <si>
    <t>['125062', '125063']</t>
  </si>
  <si>
    <t>['125066', '125067']</t>
  </si>
  <si>
    <t>141057073</t>
  </si>
  <si>
    <t>['125057', '125058']</t>
  </si>
  <si>
    <t>UJ4016</t>
  </si>
  <si>
    <t>135025216</t>
  </si>
  <si>
    <t>['125055']</t>
  </si>
  <si>
    <t>['125053', '125054']</t>
  </si>
  <si>
    <t>['125074']</t>
  </si>
  <si>
    <t>['125049']</t>
  </si>
  <si>
    <t>['125070']</t>
  </si>
  <si>
    <t>19-08-2021</t>
  </si>
  <si>
    <t>['125076']</t>
  </si>
  <si>
    <t>DRFV16</t>
  </si>
  <si>
    <t>['125090']</t>
  </si>
  <si>
    <t>['125088', '125089']</t>
  </si>
  <si>
    <t>['125094', '125095']</t>
  </si>
  <si>
    <t>['125079']</t>
  </si>
  <si>
    <t>['125077']</t>
  </si>
  <si>
    <t>['125086', '125087']</t>
  </si>
  <si>
    <t>['125084', '125085']</t>
  </si>
  <si>
    <t>['125078']</t>
  </si>
  <si>
    <t>['125075']</t>
  </si>
  <si>
    <t>['125083']</t>
  </si>
  <si>
    <t>['125082']</t>
  </si>
  <si>
    <t>['125081']</t>
  </si>
  <si>
    <t>['125080']</t>
  </si>
  <si>
    <t>['125096']</t>
  </si>
  <si>
    <t>20-08-2021</t>
  </si>
  <si>
    <t>CONCHALI</t>
  </si>
  <si>
    <t>['125101']</t>
  </si>
  <si>
    <t>['125107']</t>
  </si>
  <si>
    <t>COM. Y SERVICIOS ATENAS IRX</t>
  </si>
  <si>
    <t>['125098', '125099']</t>
  </si>
  <si>
    <t>['125133', '125134']</t>
  </si>
  <si>
    <t>['125129', '125130']</t>
  </si>
  <si>
    <t>['125123', '125124', '125125']</t>
  </si>
  <si>
    <t>['125126', '125127', '125128']</t>
  </si>
  <si>
    <t>['125100']</t>
  </si>
  <si>
    <t>['125131', '125132']</t>
  </si>
  <si>
    <t>['125114']</t>
  </si>
  <si>
    <t>['125113']</t>
  </si>
  <si>
    <t>['125115', '125116', '125117', '125118', '125119', '125120', '125121', '125122']</t>
  </si>
  <si>
    <t>['125108', '125109']['125110', '125111']</t>
  </si>
  <si>
    <t>23-08-2021</t>
  </si>
  <si>
    <t>['125159', '125160']</t>
  </si>
  <si>
    <t>['125138']</t>
  </si>
  <si>
    <t>['125151']</t>
  </si>
  <si>
    <t>['125141', '125142', '125143', '125144']</t>
  </si>
  <si>
    <t>['125139', '125140']</t>
  </si>
  <si>
    <t>['125150']</t>
  </si>
  <si>
    <t>['125153', '125154', '125155', '125156', '125157', '125158']</t>
  </si>
  <si>
    <t>['125148', '125149']</t>
  </si>
  <si>
    <t>['125145']</t>
  </si>
  <si>
    <t>['125165', '125166']</t>
  </si>
  <si>
    <t>['125161', '125162', '125163', '125164']</t>
  </si>
  <si>
    <t>['125168']['125167']</t>
  </si>
  <si>
    <t>24-08-2021</t>
  </si>
  <si>
    <t>['125172']</t>
  </si>
  <si>
    <t>['125194']</t>
  </si>
  <si>
    <t>['125196']</t>
  </si>
  <si>
    <t>['125170', '125171']</t>
  </si>
  <si>
    <t>['125173', '125174']</t>
  </si>
  <si>
    <t>['125187', '125188']</t>
  </si>
  <si>
    <t>['125180', '125181', '125182', '125183', '125184', '125185', '125186']</t>
  </si>
  <si>
    <t>['125189', '125190', '125191']</t>
  </si>
  <si>
    <t>['125175']</t>
  </si>
  <si>
    <t>['125192', '125193']</t>
  </si>
  <si>
    <t>['125178', '125179']</t>
  </si>
  <si>
    <t>['125176']['125177']</t>
  </si>
  <si>
    <t>25-08-2021</t>
  </si>
  <si>
    <t>['125202', '125203']</t>
  </si>
  <si>
    <t>['125206', '125207', '125208', '125209']</t>
  </si>
  <si>
    <t>['125220', '125221']</t>
  </si>
  <si>
    <t>['125222', '125223']</t>
  </si>
  <si>
    <t>['125198']</t>
  </si>
  <si>
    <t>['125224', '125225']</t>
  </si>
  <si>
    <t>['125199', '125200']</t>
  </si>
  <si>
    <t>['125226', '125227', '125228', '125229', '125230']</t>
  </si>
  <si>
    <t>['125231', '125232']</t>
  </si>
  <si>
    <t>['125239', '125240']['125241', '125242']</t>
  </si>
  <si>
    <t>['125216', '125217']['125218', '125219']</t>
  </si>
  <si>
    <t>['125233', '125234']['125235', '125236']</t>
  </si>
  <si>
    <t>['125237']['125238']</t>
  </si>
  <si>
    <t>26-08-2021</t>
  </si>
  <si>
    <t>['125285']</t>
  </si>
  <si>
    <t>['125256', '125257', '125258', '125259', '125260', '125261']</t>
  </si>
  <si>
    <t>['125264', '125265', '125266', '125267', '125268', '125269', '125270']</t>
  </si>
  <si>
    <t>['125250', '125251', '125252', '125253', '125254', '125255']</t>
  </si>
  <si>
    <t>['125274']</t>
  </si>
  <si>
    <t>['125276']</t>
  </si>
  <si>
    <t>['125286', '125287']</t>
  </si>
  <si>
    <t>['125283', '125284']</t>
  </si>
  <si>
    <t>['125248', '125249']</t>
  </si>
  <si>
    <t>['125291']</t>
  </si>
  <si>
    <t>['125275', '125277', '125278', '125279', '125280', '125281', '125282']</t>
  </si>
  <si>
    <t>YA1297</t>
  </si>
  <si>
    <t>144488262K</t>
  </si>
  <si>
    <t>['125290']['125289']</t>
  </si>
  <si>
    <t>['125262']['125263']</t>
  </si>
  <si>
    <t>27-08-2021</t>
  </si>
  <si>
    <t>FGCZ60</t>
  </si>
  <si>
    <t>99950315</t>
  </si>
  <si>
    <t>['125324', '125325', '125327']</t>
  </si>
  <si>
    <t>HCLS49</t>
  </si>
  <si>
    <t>95118305</t>
  </si>
  <si>
    <t>['125323']</t>
  </si>
  <si>
    <t>RX2274</t>
  </si>
  <si>
    <t>100822321</t>
  </si>
  <si>
    <t>['125328']</t>
  </si>
  <si>
    <t>YG5651</t>
  </si>
  <si>
    <t>['125297', '125298', '125299']</t>
  </si>
  <si>
    <t>['125303']</t>
  </si>
  <si>
    <t>['125292']</t>
  </si>
  <si>
    <t>['125304']</t>
  </si>
  <si>
    <t>['125293']</t>
  </si>
  <si>
    <t>['125294']</t>
  </si>
  <si>
    <t>['125300']</t>
  </si>
  <si>
    <t>['125314']</t>
  </si>
  <si>
    <t>['125313']</t>
  </si>
  <si>
    <t>['125319']</t>
  </si>
  <si>
    <t>['125317', '125318']</t>
  </si>
  <si>
    <t>['125305', '125306', '125307', '125308', '125309', '125310', '125311', '125312']</t>
  </si>
  <si>
    <t>['125315', '125316']</t>
  </si>
  <si>
    <t>28-08-2021</t>
  </si>
  <si>
    <t>['125329']</t>
  </si>
  <si>
    <t>['125301']['125302']</t>
  </si>
  <si>
    <t>['125322']['125321']</t>
  </si>
  <si>
    <t>30-08-2021</t>
  </si>
  <si>
    <t>['125350', '125351', '125352', '125353']</t>
  </si>
  <si>
    <t>['125336']</t>
  </si>
  <si>
    <t>INMOBILIARIA QUINTA VALLE X</t>
  </si>
  <si>
    <t>['125362']</t>
  </si>
  <si>
    <t>['125344']</t>
  </si>
  <si>
    <t>['125345']</t>
  </si>
  <si>
    <t>['125346']</t>
  </si>
  <si>
    <t>['125341']</t>
  </si>
  <si>
    <t>['125342']</t>
  </si>
  <si>
    <t>PROYECTOS Y CONSTRUCCIONESX</t>
  </si>
  <si>
    <t>['125343']</t>
  </si>
  <si>
    <t>['125355']</t>
  </si>
  <si>
    <t>['125356', '125357']</t>
  </si>
  <si>
    <t>['125361']</t>
  </si>
  <si>
    <t>['125358']['125359']</t>
  </si>
  <si>
    <t>['125335']['125334']</t>
  </si>
  <si>
    <t>31-08-2021</t>
  </si>
  <si>
    <t>['125364']</t>
  </si>
  <si>
    <t>['125414']</t>
  </si>
  <si>
    <t>['125416']</t>
  </si>
  <si>
    <t>['125415']</t>
  </si>
  <si>
    <t>69941082</t>
  </si>
  <si>
    <t>['125380']</t>
  </si>
  <si>
    <t>['125384']</t>
  </si>
  <si>
    <t>['125385']</t>
  </si>
  <si>
    <t>['125391', '125392']</t>
  </si>
  <si>
    <t>['125407', '125408', '125409', '125410', '125411', '125412', '125413']</t>
  </si>
  <si>
    <t>['125402', '125403', '125404', '125405', '125406']</t>
  </si>
  <si>
    <t>['125368', '125369', '125370', '125372', '125373']</t>
  </si>
  <si>
    <t>['125381']</t>
  </si>
  <si>
    <t>['125375', '125376', '125377', '125378', '125379']</t>
  </si>
  <si>
    <t>['125382']</t>
  </si>
  <si>
    <t>['125365', '125366', '125367']</t>
  </si>
  <si>
    <t>['125393', '125394', '125395', '125397', '125398', '125400', '125401']['125399']['125396']</t>
  </si>
  <si>
    <t>['125386', '125387', '125388', '125389']['125390']</t>
  </si>
  <si>
    <t>01-09-2021</t>
  </si>
  <si>
    <t>['125419']</t>
  </si>
  <si>
    <t>['125421']</t>
  </si>
  <si>
    <t>['125418']</t>
  </si>
  <si>
    <t>['125420']</t>
  </si>
  <si>
    <t>['125435']</t>
  </si>
  <si>
    <t>['125434']</t>
  </si>
  <si>
    <t>['125433']</t>
  </si>
  <si>
    <t>['125430', '125431']</t>
  </si>
  <si>
    <t>['125422', '125423', '125424', '125426', '125427']</t>
  </si>
  <si>
    <t>['125432']</t>
  </si>
  <si>
    <t>['125447', '125448']</t>
  </si>
  <si>
    <t>['125442', '125443']</t>
  </si>
  <si>
    <t>['125444', '125445', '125446']</t>
  </si>
  <si>
    <t>['125440', '125441']</t>
  </si>
  <si>
    <t>02-09-2021</t>
  </si>
  <si>
    <t>['125449', '125450', '125451', '125452']</t>
  </si>
  <si>
    <t>SANBERNARDO</t>
  </si>
  <si>
    <t>['125459']</t>
  </si>
  <si>
    <t>['125458']</t>
  </si>
  <si>
    <t>['125471']</t>
  </si>
  <si>
    <t>['125456']</t>
  </si>
  <si>
    <t>188841065</t>
  </si>
  <si>
    <t>['125470']</t>
  </si>
  <si>
    <t>['125453']</t>
  </si>
  <si>
    <t>['125455']</t>
  </si>
  <si>
    <t>['125464', '125465', '125466', '125468']</t>
  </si>
  <si>
    <t>['125460', '125461']</t>
  </si>
  <si>
    <t>['125462']</t>
  </si>
  <si>
    <t>['125472', '125473']</t>
  </si>
  <si>
    <t>['125474', '125475', '125476']</t>
  </si>
  <si>
    <t>03-09-2021</t>
  </si>
  <si>
    <t>['125479', '125480']</t>
  </si>
  <si>
    <t>['125478']</t>
  </si>
  <si>
    <t>['125492']</t>
  </si>
  <si>
    <t>['125488', '125489', '125490', '125491']</t>
  </si>
  <si>
    <t>['125500']</t>
  </si>
  <si>
    <t>['125493', '125494', '125495', '125496', '125497', '125498', '125499']</t>
  </si>
  <si>
    <t>06-09-2021</t>
  </si>
  <si>
    <t>['125501']</t>
  </si>
  <si>
    <t>['125503']</t>
  </si>
  <si>
    <t>['125514']</t>
  </si>
  <si>
    <t>['125517']</t>
  </si>
  <si>
    <t>['125508', '125509', '125510', '125511', '125512', '125513']</t>
  </si>
  <si>
    <t>['125504', '125505']</t>
  </si>
  <si>
    <t>['125506', '125507']</t>
  </si>
  <si>
    <t>['125516']</t>
  </si>
  <si>
    <t>['125518', '125521']['125519', '125520']</t>
  </si>
  <si>
    <t>07-09-2021</t>
  </si>
  <si>
    <t>CONSTRUC.MANQUEHUE-BROTEC-X</t>
  </si>
  <si>
    <t>['125522']</t>
  </si>
  <si>
    <t>['125543']</t>
  </si>
  <si>
    <t>['125534', '125535']</t>
  </si>
  <si>
    <t>['125536']</t>
  </si>
  <si>
    <t>['125544']</t>
  </si>
  <si>
    <t>['125532']</t>
  </si>
  <si>
    <t>['125533']</t>
  </si>
  <si>
    <t>['125524', '125525', '125526', '125527', '125528', '125529', '125530', '125531']['125523']</t>
  </si>
  <si>
    <t>08-09-2021</t>
  </si>
  <si>
    <t>['125555']</t>
  </si>
  <si>
    <t>['125561', '125562']</t>
  </si>
  <si>
    <t>['125565']</t>
  </si>
  <si>
    <t>SV27158</t>
  </si>
  <si>
    <t>['125545']</t>
  </si>
  <si>
    <t>['125546']</t>
  </si>
  <si>
    <t>['125577', '125579', '125580', '125581', '125582', '125583', '125584', '125585', '125586', '125587']</t>
  </si>
  <si>
    <t>['125578']</t>
  </si>
  <si>
    <t>['125552']</t>
  </si>
  <si>
    <t>['125547', '125548']</t>
  </si>
  <si>
    <t>['125553']</t>
  </si>
  <si>
    <t>['125559', '125560']</t>
  </si>
  <si>
    <t>['125549']</t>
  </si>
  <si>
    <t>['125554', '125589']</t>
  </si>
  <si>
    <t>['125550']</t>
  </si>
  <si>
    <t>['125588']</t>
  </si>
  <si>
    <t>['125551']</t>
  </si>
  <si>
    <t>['125573', '125574', '125576']['125575']</t>
  </si>
  <si>
    <t>09-09-2021</t>
  </si>
  <si>
    <t>['125607']</t>
  </si>
  <si>
    <t>['125593', '125594']</t>
  </si>
  <si>
    <t>['125595', '125596', '125597', '125598']</t>
  </si>
  <si>
    <t>['125590']</t>
  </si>
  <si>
    <t>['125592']</t>
  </si>
  <si>
    <t>SAN VICENTE</t>
  </si>
  <si>
    <t>['125591']</t>
  </si>
  <si>
    <t>['125628']</t>
  </si>
  <si>
    <t>['125609', '125610', '125611']</t>
  </si>
  <si>
    <t>['125605', '125606']</t>
  </si>
  <si>
    <t>['125612', '125613', '125615', '125616', '125617', '125618']</t>
  </si>
  <si>
    <t>['125608']</t>
  </si>
  <si>
    <t>['125623', '125624', '125625']</t>
  </si>
  <si>
    <t>99626231</t>
  </si>
  <si>
    <t>['125601', '125602', '125603', '125604']</t>
  </si>
  <si>
    <t>['125620', '125621', '125622']</t>
  </si>
  <si>
    <t>10-09-2021</t>
  </si>
  <si>
    <t>['125644', '125645']</t>
  </si>
  <si>
    <t>['125636', '125637']</t>
  </si>
  <si>
    <t>['125643']</t>
  </si>
  <si>
    <t>['125649', '125650', '125651', '125652', '125653', '125654', '125655', '125656', '125657', '125658']</t>
  </si>
  <si>
    <t>['125646', '125647', '125648']</t>
  </si>
  <si>
    <t>['125659', '125660', '125661', '125662', '125663', '125664', '125665', '125666', '125667', '125668', '125669', '125670', '125671', '125672', '125673']</t>
  </si>
  <si>
    <t>['125638']</t>
  </si>
  <si>
    <t>['125681', '125682', '125683']</t>
  </si>
  <si>
    <t>['125684', '125685', '125686', '125687']</t>
  </si>
  <si>
    <t>['125678', '125679', '125680']</t>
  </si>
  <si>
    <t>['125631']</t>
  </si>
  <si>
    <t>['125630']</t>
  </si>
  <si>
    <t>['125674', '125675', '125676', '125677']</t>
  </si>
  <si>
    <t>['125632', '125633', '125635']['125634']</t>
  </si>
  <si>
    <t>['125639', '125640']['125641']</t>
  </si>
  <si>
    <t>13-09-2021</t>
  </si>
  <si>
    <t>['125698', '125699']</t>
  </si>
  <si>
    <t>['125691']</t>
  </si>
  <si>
    <t>['125716']</t>
  </si>
  <si>
    <t>['125692']</t>
  </si>
  <si>
    <t>['125705', '125706']</t>
  </si>
  <si>
    <t>['125689']</t>
  </si>
  <si>
    <t>['125714']</t>
  </si>
  <si>
    <t>['125713']</t>
  </si>
  <si>
    <t>['125710', '125711', '125712']</t>
  </si>
  <si>
    <t>['125693', '125694', '125695', '125696', '125697']</t>
  </si>
  <si>
    <t>['125690']</t>
  </si>
  <si>
    <t>['125701', '125702', '125703', '125704']['125700']</t>
  </si>
  <si>
    <t>14-09-2021</t>
  </si>
  <si>
    <t>139094328</t>
  </si>
  <si>
    <t>['125723', '125724']</t>
  </si>
  <si>
    <t>['125718', '125719']</t>
  </si>
  <si>
    <t>['125720']</t>
  </si>
  <si>
    <t>['125722']</t>
  </si>
  <si>
    <t>['125717']</t>
  </si>
  <si>
    <t>['125744', '125745', '125746', '125747']</t>
  </si>
  <si>
    <t>['125726', '125727']</t>
  </si>
  <si>
    <t>['125728', '125729', '125730', '125731', '125732']</t>
  </si>
  <si>
    <t>['125734', '125735']</t>
  </si>
  <si>
    <t>['125736', '125737', '125738', '125739', '125740', '125741', '125742', '125743']</t>
  </si>
  <si>
    <t>['125748', '125749', '125750']</t>
  </si>
  <si>
    <t>15-09-2021</t>
  </si>
  <si>
    <t>RENGO</t>
  </si>
  <si>
    <t>['125797']</t>
  </si>
  <si>
    <t>['125762', '125763', '125764', '125765']</t>
  </si>
  <si>
    <t>['125766', '125798']</t>
  </si>
  <si>
    <t>['125756']</t>
  </si>
  <si>
    <t>['125757', '125758']</t>
  </si>
  <si>
    <t>['125755']</t>
  </si>
  <si>
    <t>HDDV11</t>
  </si>
  <si>
    <t>79602280</t>
  </si>
  <si>
    <t>['125768', '125769', '125770', '125771', '125772', '125773', '125774', '125775', '125776', '125777', '125778', '125779', '125781', '125782', '125783', '125784', '125785', '125786', '125787', '125788', '125789', '125790', '125791', '125792']['125780']</t>
  </si>
  <si>
    <t>['125793']['125794']</t>
  </si>
  <si>
    <t>['125760']['125761']</t>
  </si>
  <si>
    <t>16-09-2021</t>
  </si>
  <si>
    <t>['125799', '125800', '125801', '125802', '125803', '125804', '125805']</t>
  </si>
  <si>
    <t>21-09-2021</t>
  </si>
  <si>
    <t>['125827']</t>
  </si>
  <si>
    <t>['125840']</t>
  </si>
  <si>
    <t>['125850']</t>
  </si>
  <si>
    <t>['125841']</t>
  </si>
  <si>
    <t>['125846', '125847']</t>
  </si>
  <si>
    <t>['125831', '125832', '125833', '125834']</t>
  </si>
  <si>
    <t>['125828', '125829', '125830']</t>
  </si>
  <si>
    <t>['125835']</t>
  </si>
  <si>
    <t>['125836', '125837']</t>
  </si>
  <si>
    <t>['125843', '125844']</t>
  </si>
  <si>
    <t>['125845']</t>
  </si>
  <si>
    <t>['125838']['125839']</t>
  </si>
  <si>
    <t>['125848']['125849']</t>
  </si>
  <si>
    <t>22-09-2021</t>
  </si>
  <si>
    <t>['125856', '125857']</t>
  </si>
  <si>
    <t>['125863']</t>
  </si>
  <si>
    <t>['125861', '125862']</t>
  </si>
  <si>
    <t>['125859', '125860']</t>
  </si>
  <si>
    <t>['125852']</t>
  </si>
  <si>
    <t>['125872']</t>
  </si>
  <si>
    <t>['125881', '125882']</t>
  </si>
  <si>
    <t>['125873', '125874', '125875', '125876']</t>
  </si>
  <si>
    <t>['125864']</t>
  </si>
  <si>
    <t>['125877', '125878']['125879', '125880']</t>
  </si>
  <si>
    <t>23-09-2021</t>
  </si>
  <si>
    <t>['125886']</t>
  </si>
  <si>
    <t>['125917', '125918', '125919', '125920', '125921']</t>
  </si>
  <si>
    <t>['125916']</t>
  </si>
  <si>
    <t>['125892']</t>
  </si>
  <si>
    <t>DPKD94</t>
  </si>
  <si>
    <t>['125883']</t>
  </si>
  <si>
    <t>TN6106</t>
  </si>
  <si>
    <t>66700488</t>
  </si>
  <si>
    <t>['125884']</t>
  </si>
  <si>
    <t>VC8102</t>
  </si>
  <si>
    <t>97924201</t>
  </si>
  <si>
    <t>['125926']</t>
  </si>
  <si>
    <t>['125924']</t>
  </si>
  <si>
    <t>['125891']</t>
  </si>
  <si>
    <t>['125890']</t>
  </si>
  <si>
    <t>9962623</t>
  </si>
  <si>
    <t>['125927']</t>
  </si>
  <si>
    <t>['125887', '125888']</t>
  </si>
  <si>
    <t>24-09-2021</t>
  </si>
  <si>
    <t>['125931', '125932', '125933', '125934', '125935', '125936', '125937']</t>
  </si>
  <si>
    <t>['125948', '125949']</t>
  </si>
  <si>
    <t>['125943']</t>
  </si>
  <si>
    <t>['125952', '125953']</t>
  </si>
  <si>
    <t>EL MANZANO</t>
  </si>
  <si>
    <t>['125950']</t>
  </si>
  <si>
    <t>['125938']</t>
  </si>
  <si>
    <t>['125941', '125942']</t>
  </si>
  <si>
    <t>167852741</t>
  </si>
  <si>
    <t>['125958']</t>
  </si>
  <si>
    <t>['125954', '125955', '125956', '125957']</t>
  </si>
  <si>
    <t>['125929']</t>
  </si>
  <si>
    <t>['125939']['125940']</t>
  </si>
  <si>
    <t>27-09-2021</t>
  </si>
  <si>
    <t>['125975', '125976', '125977', '125978', '125979', '125980']</t>
  </si>
  <si>
    <t>['125960', '125961', '125962', '125963', '125964']</t>
  </si>
  <si>
    <t>['125986']</t>
  </si>
  <si>
    <t>['125968']</t>
  </si>
  <si>
    <t>['125981']</t>
  </si>
  <si>
    <t>['125982']</t>
  </si>
  <si>
    <t>['125966', '125967']</t>
  </si>
  <si>
    <t>['125983', '125984']</t>
  </si>
  <si>
    <t>['125971', '125972']</t>
  </si>
  <si>
    <t>['125969', '125970']</t>
  </si>
  <si>
    <t>['125973', '125974']</t>
  </si>
  <si>
    <t>CJFZ68</t>
  </si>
  <si>
    <t>188951333</t>
  </si>
  <si>
    <t>['125987']</t>
  </si>
  <si>
    <t>Yolito Balar Hrnos Ltda</t>
  </si>
  <si>
    <t>['125985']</t>
  </si>
  <si>
    <t>28-09-2021</t>
  </si>
  <si>
    <t>['126028', '126029', '126030', '126031']</t>
  </si>
  <si>
    <t>['126005']</t>
  </si>
  <si>
    <t>['126020']</t>
  </si>
  <si>
    <t>['126016', '126017', '126018', '126026', '126027']</t>
  </si>
  <si>
    <t>['126001']</t>
  </si>
  <si>
    <t>['126002']</t>
  </si>
  <si>
    <t>['126013', '126014', '126015']</t>
  </si>
  <si>
    <t>['126006', '126007', '126008']</t>
  </si>
  <si>
    <t>['126009', '126010']</t>
  </si>
  <si>
    <t>['126021', '126022', '126023', '126024']</t>
  </si>
  <si>
    <t>['125988', '125989', '125990', '125991', '125993', '125994', '125995', '125996', '125997', '125998', '125999', '126000']['125992']</t>
  </si>
  <si>
    <t>['126003']['126025']</t>
  </si>
  <si>
    <t>29-09-2021</t>
  </si>
  <si>
    <t>['126068']</t>
  </si>
  <si>
    <t>['126035', '126036', '126037', '126038', '126039', '126040']</t>
  </si>
  <si>
    <t>['126032', '126033']</t>
  </si>
  <si>
    <t>['126041']</t>
  </si>
  <si>
    <t>['126067']</t>
  </si>
  <si>
    <t>['126059']</t>
  </si>
  <si>
    <t>['126060']</t>
  </si>
  <si>
    <t>['126046', '126047']</t>
  </si>
  <si>
    <t>['126049', '126050', '126051', '126052', '126053']</t>
  </si>
  <si>
    <t>['126055', '126056']</t>
  </si>
  <si>
    <t>['126062', '126063', '126064', '126065', '126066']</t>
  </si>
  <si>
    <t>['126054']</t>
  </si>
  <si>
    <t>['126057', '126058']</t>
  </si>
  <si>
    <t>RL7886</t>
  </si>
  <si>
    <t>156323241</t>
  </si>
  <si>
    <t>['126061']</t>
  </si>
  <si>
    <t>['126043', '126044', '126045']['126042']</t>
  </si>
  <si>
    <t>30-09-2021</t>
  </si>
  <si>
    <t>['126073']</t>
  </si>
  <si>
    <t>['126074', '126075']</t>
  </si>
  <si>
    <t>['126072', '126079']</t>
  </si>
  <si>
    <t>['126098']</t>
  </si>
  <si>
    <t>['126092']</t>
  </si>
  <si>
    <t>PREFABRICADOS ANDINOS S.A.</t>
  </si>
  <si>
    <t>['126091']</t>
  </si>
  <si>
    <t>['126071']</t>
  </si>
  <si>
    <t>['126099', '126100', '126101']</t>
  </si>
  <si>
    <t>['126081', '126082', '126083']</t>
  </si>
  <si>
    <t>['126084', '126085', '126086', '126087', '126088', '126089', '126090']</t>
  </si>
  <si>
    <t>['126076']</t>
  </si>
  <si>
    <t>['126093']['126094']</t>
  </si>
  <si>
    <t>04-10-2021</t>
  </si>
  <si>
    <t>['126152', '126154']</t>
  </si>
  <si>
    <t>['126151']</t>
  </si>
  <si>
    <t>['126140']</t>
  </si>
  <si>
    <t>['126141']</t>
  </si>
  <si>
    <t>['126133', '126134', '126135', '126136', '126137']</t>
  </si>
  <si>
    <t>['126130', '126131', '126132']</t>
  </si>
  <si>
    <t>['126125', '126126', '126127', '126129']</t>
  </si>
  <si>
    <t>['126138']</t>
  </si>
  <si>
    <t>['126156', '126157']</t>
  </si>
  <si>
    <t>TW7055</t>
  </si>
  <si>
    <t>['126142']</t>
  </si>
  <si>
    <t>['126143']</t>
  </si>
  <si>
    <t>['126139']['126146']['126148', '126149']['126147']</t>
  </si>
  <si>
    <t>06-10-2021</t>
  </si>
  <si>
    <t>['126216']</t>
  </si>
  <si>
    <t>['126220', '126221', '126222', '126223', '126224']</t>
  </si>
  <si>
    <t>['126217', '126218']</t>
  </si>
  <si>
    <t>HKBX77</t>
  </si>
  <si>
    <t>['126240']</t>
  </si>
  <si>
    <t>['126243', '126244', '126245', '126246', '126247', '126248', '126249', '126250', '126251', '126252', '126253', '126254', '126255', '126256', '126257', '126258', '126259', '126260', '126261']</t>
  </si>
  <si>
    <t>['126215']</t>
  </si>
  <si>
    <t>['126262', '126263', '126264', '126265', '126266', '126267']</t>
  </si>
  <si>
    <t>['126225']</t>
  </si>
  <si>
    <t>['126230', '126231', '126232']</t>
  </si>
  <si>
    <t>['126238', '126239']</t>
  </si>
  <si>
    <t>['126235', '126236', '126237']</t>
  </si>
  <si>
    <t>['126233', '126234']</t>
  </si>
  <si>
    <t>['126228', '126229']</t>
  </si>
  <si>
    <t>07-10-2021</t>
  </si>
  <si>
    <t>['126308']</t>
  </si>
  <si>
    <t>['126281']</t>
  </si>
  <si>
    <t>['126291']</t>
  </si>
  <si>
    <t>['126271']</t>
  </si>
  <si>
    <t>['126275', '126276', '126277', '126278', '126279']</t>
  </si>
  <si>
    <t>['126309']</t>
  </si>
  <si>
    <t>['126283', '126284', '126285', '126286']</t>
  </si>
  <si>
    <t>['126287', '126288', '126289']</t>
  </si>
  <si>
    <t>['126290']</t>
  </si>
  <si>
    <t>['126294', '126295', '126296', '126297']</t>
  </si>
  <si>
    <t>['126306']</t>
  </si>
  <si>
    <t>['126292', '126293']</t>
  </si>
  <si>
    <t>['126298', '126299', '126300', '126301', '126302', '126303', '126304', '126305']</t>
  </si>
  <si>
    <t>08-10-2021</t>
  </si>
  <si>
    <t>['126323']</t>
  </si>
  <si>
    <t>['126311']</t>
  </si>
  <si>
    <t>['126319']</t>
  </si>
  <si>
    <t>['126318']</t>
  </si>
  <si>
    <t>['126310']</t>
  </si>
  <si>
    <t>['126314', '126315', '126316', '126317']</t>
  </si>
  <si>
    <t>['126312']</t>
  </si>
  <si>
    <t>['126332', '126333', '126334']</t>
  </si>
  <si>
    <t>['126335', '126336']</t>
  </si>
  <si>
    <t>['126331']</t>
  </si>
  <si>
    <t>['126324', '126325', '126326', '126327', '126328', '126329', '126330']</t>
  </si>
  <si>
    <t>['126337']</t>
  </si>
  <si>
    <t>12-10-2021</t>
  </si>
  <si>
    <t>['126363', '126364', '126365', '126366', '126367', '126368', '126369', '126370', '126371', '126372', '126373', '126374']</t>
  </si>
  <si>
    <t>['126340']</t>
  </si>
  <si>
    <t>['126377']</t>
  </si>
  <si>
    <t>['126342']</t>
  </si>
  <si>
    <t>['126341']</t>
  </si>
  <si>
    <t>['126389']</t>
  </si>
  <si>
    <t>['126351', '126352', '126378']</t>
  </si>
  <si>
    <t>['126379', '126380', '126381']</t>
  </si>
  <si>
    <t>['126349']</t>
  </si>
  <si>
    <t>['126353', '126354', '126355', '126356']</t>
  </si>
  <si>
    <t>['126384', '126385', '126386', '126387']</t>
  </si>
  <si>
    <t>['126343', '126344', '126345']['126346', '126347']</t>
  </si>
  <si>
    <t>['126382']['126383']</t>
  </si>
  <si>
    <t>13-10-2021</t>
  </si>
  <si>
    <t>['126422']</t>
  </si>
  <si>
    <t>['126390']</t>
  </si>
  <si>
    <t>['126394']</t>
  </si>
  <si>
    <t>['126393']</t>
  </si>
  <si>
    <t>['126404']</t>
  </si>
  <si>
    <t>['126405']</t>
  </si>
  <si>
    <t>['126428']</t>
  </si>
  <si>
    <t>['126427']</t>
  </si>
  <si>
    <t>['126396']</t>
  </si>
  <si>
    <t>['126406', '126407']</t>
  </si>
  <si>
    <t>['126395', '126408']</t>
  </si>
  <si>
    <t>['126409', '126410', '126411', '126412', '126413', '126414', '126415', '126416', '126417', '126418', '126419', '126420']</t>
  </si>
  <si>
    <t>['126426']</t>
  </si>
  <si>
    <t>['126397', '126399', '126400', '126401', '126402']['126398']</t>
  </si>
  <si>
    <t>['126435', '126436', '126437']['126434']</t>
  </si>
  <si>
    <t>14-10-2021</t>
  </si>
  <si>
    <t>['126467']</t>
  </si>
  <si>
    <t>['126445', '126446']</t>
  </si>
  <si>
    <t>['126466']</t>
  </si>
  <si>
    <t>['126449']</t>
  </si>
  <si>
    <t>['126438']</t>
  </si>
  <si>
    <t>['126461']</t>
  </si>
  <si>
    <t>['126457', '126458']</t>
  </si>
  <si>
    <t>['126439', '126440']</t>
  </si>
  <si>
    <t>SAN FERNANDO</t>
  </si>
  <si>
    <t>['126460']</t>
  </si>
  <si>
    <t>['126462', '126463', '126464', '126465']</t>
  </si>
  <si>
    <t>['126450', '126451', '126452']['126453']</t>
  </si>
  <si>
    <t>['126455']['126454']</t>
  </si>
  <si>
    <t>15-10-2021</t>
  </si>
  <si>
    <t>['126483']</t>
  </si>
  <si>
    <t>['126489', '126490']</t>
  </si>
  <si>
    <t>['126470', '126471', '126472', '126473', '126474', '126475', '126476', '126477', '126478', '126479', '126480', '126481']</t>
  </si>
  <si>
    <t>['126469']</t>
  </si>
  <si>
    <t>['126468']</t>
  </si>
  <si>
    <t>['126491']</t>
  </si>
  <si>
    <t>['126485', '126486', '126488']['126484', '126487']</t>
  </si>
  <si>
    <t>['126492', '126493', '126494', '126496', '126497']['126495']</t>
  </si>
  <si>
    <t>18-10-2021</t>
  </si>
  <si>
    <t>['126498']</t>
  </si>
  <si>
    <t>134881065</t>
  </si>
  <si>
    <t>['126531']</t>
  </si>
  <si>
    <t>['126501']</t>
  </si>
  <si>
    <t>['126511', '126512', '126513', '126514', '126515', '126516', '126517', '126518', '126519', '126520', '126521', '126522']</t>
  </si>
  <si>
    <t>['126532', '126533']</t>
  </si>
  <si>
    <t>['126502', '126503', '126504', '126505', '126506', '126507', '126508', '126509', '126510']</t>
  </si>
  <si>
    <t>['126525']['126526']['126523', '126524', '126527']</t>
  </si>
  <si>
    <t>['126528', '126530']['126529']</t>
  </si>
  <si>
    <t>['126535', '126536', '126542']['126537']</t>
  </si>
  <si>
    <t>['126539', '126540', '126541']['126538']</t>
  </si>
  <si>
    <t>19-10-2021</t>
  </si>
  <si>
    <t>CONSTRUCTORA NOVATEC S.A.</t>
  </si>
  <si>
    <t>['126550']</t>
  </si>
  <si>
    <t>['126545']</t>
  </si>
  <si>
    <t>['126551', '126552', '126553', '126554', '126555']</t>
  </si>
  <si>
    <t>['126557', '126558', '126559', '126560', '126561', '126562']</t>
  </si>
  <si>
    <t>['126546', '126556']</t>
  </si>
  <si>
    <t>['126563']['126564']</t>
  </si>
  <si>
    <t>20-10-2021</t>
  </si>
  <si>
    <t>['126571']</t>
  </si>
  <si>
    <t>['126572']</t>
  </si>
  <si>
    <t>['126607']</t>
  </si>
  <si>
    <t>['126605', '126606']</t>
  </si>
  <si>
    <t>['126578']</t>
  </si>
  <si>
    <t>['126565', '126566']</t>
  </si>
  <si>
    <t>['126576']</t>
  </si>
  <si>
    <t>['126575']</t>
  </si>
  <si>
    <t>['126573']</t>
  </si>
  <si>
    <t>['126580', '126581', '126582', '126583', '126584', '126585', '126586', '126587']</t>
  </si>
  <si>
    <t>['126569', '126570']</t>
  </si>
  <si>
    <t>['126588', '126589', '126590', '126591', '126592', '126593']</t>
  </si>
  <si>
    <t>['126595']</t>
  </si>
  <si>
    <t>['126596', '126597']</t>
  </si>
  <si>
    <t>['126600', '126601']</t>
  </si>
  <si>
    <t>['126598', '126599']</t>
  </si>
  <si>
    <t>['126579']</t>
  </si>
  <si>
    <t>21-10-2021</t>
  </si>
  <si>
    <t>['126650']</t>
  </si>
  <si>
    <t>['126611']</t>
  </si>
  <si>
    <t>['126614']</t>
  </si>
  <si>
    <t>138441391</t>
  </si>
  <si>
    <t>['126609']</t>
  </si>
  <si>
    <t>['126634']</t>
  </si>
  <si>
    <t>['126615', '126616', '126617', '126618', '126619', '126620', '126621', '126622']</t>
  </si>
  <si>
    <t>['126637']</t>
  </si>
  <si>
    <t>['126608']</t>
  </si>
  <si>
    <t>['126623', '126624', '126625', '126626', '126627', '126628', '126629']</t>
  </si>
  <si>
    <t>['126638', '126639']</t>
  </si>
  <si>
    <t>HZ2385</t>
  </si>
  <si>
    <t>177957186</t>
  </si>
  <si>
    <t>['126643']</t>
  </si>
  <si>
    <t>['126644', '126645', '126646', '126647', '126648', '126649']</t>
  </si>
  <si>
    <t>['126640']['126641', '126642']</t>
  </si>
  <si>
    <t>22-10-2021</t>
  </si>
  <si>
    <t>['126676', '126677', '126678']</t>
  </si>
  <si>
    <t>['126651']</t>
  </si>
  <si>
    <t>['126653']</t>
  </si>
  <si>
    <t>['126662']</t>
  </si>
  <si>
    <t>['126652']</t>
  </si>
  <si>
    <t>['126655']</t>
  </si>
  <si>
    <t>['126660', '126661']</t>
  </si>
  <si>
    <t>['126659']</t>
  </si>
  <si>
    <t>['126664', '126665']</t>
  </si>
  <si>
    <t>['126668', '126669']</t>
  </si>
  <si>
    <t>['126663']</t>
  </si>
  <si>
    <t>CJCC49</t>
  </si>
  <si>
    <t>['126654']</t>
  </si>
  <si>
    <t>25-10-2021</t>
  </si>
  <si>
    <t>['126685']</t>
  </si>
  <si>
    <t>['126692']</t>
  </si>
  <si>
    <t>SU8354</t>
  </si>
  <si>
    <t>['126680']</t>
  </si>
  <si>
    <t>['126689', '126690']</t>
  </si>
  <si>
    <t>122897258</t>
  </si>
  <si>
    <t>['126721']</t>
  </si>
  <si>
    <t>['126713']</t>
  </si>
  <si>
    <t>['126679']</t>
  </si>
  <si>
    <t>['126687', '126688']</t>
  </si>
  <si>
    <t>['126719', '126720']</t>
  </si>
  <si>
    <t>['126717', '126718']</t>
  </si>
  <si>
    <t>['126698', '126699', '126700']</t>
  </si>
  <si>
    <t>['126709', '126710', '126711', '126712']</t>
  </si>
  <si>
    <t>['126693', '126695', '126696', '126697']['126694']</t>
  </si>
  <si>
    <t>['126701']['126702']</t>
  </si>
  <si>
    <t>26-10-2021</t>
  </si>
  <si>
    <t>['126746']</t>
  </si>
  <si>
    <t>['126727', '126728']</t>
  </si>
  <si>
    <t>['126777', '126778']</t>
  </si>
  <si>
    <t>['126724']</t>
  </si>
  <si>
    <t>['126761', '126762', '126763', '126764', '126765', '126766', '126767', '126768', '126769']</t>
  </si>
  <si>
    <t>['126723']</t>
  </si>
  <si>
    <t>['126722']</t>
  </si>
  <si>
    <t>['126729', '126730']</t>
  </si>
  <si>
    <t>['126747', '126748', '126749', '126750']</t>
  </si>
  <si>
    <t>['126751', '126752', '126753', '126754']</t>
  </si>
  <si>
    <t>['126755', '126756', '126757', '126758', '126759']</t>
  </si>
  <si>
    <t>['126742', '126743']</t>
  </si>
  <si>
    <t>['126776']</t>
  </si>
  <si>
    <t>['126771', '126772', '126773', '126774']</t>
  </si>
  <si>
    <t>['126775']</t>
  </si>
  <si>
    <t>['126770']</t>
  </si>
  <si>
    <t>['126731', '126732', '126733', '126734', '126735', '126736', '126737', '126738', '126739', '126740']['126741']</t>
  </si>
  <si>
    <t>27-10-2021</t>
  </si>
  <si>
    <t>['126794', '126795', '126796']</t>
  </si>
  <si>
    <t>['126779']</t>
  </si>
  <si>
    <t>['126782', '126783']</t>
  </si>
  <si>
    <t>['126797']</t>
  </si>
  <si>
    <t>['126792']</t>
  </si>
  <si>
    <t>['126785']</t>
  </si>
  <si>
    <t>['126786']</t>
  </si>
  <si>
    <t>['126787']</t>
  </si>
  <si>
    <t>TRAIGUEN</t>
  </si>
  <si>
    <t>['126788', '126789']</t>
  </si>
  <si>
    <t>['126793']</t>
  </si>
  <si>
    <t>['126798']</t>
  </si>
  <si>
    <t>28-10-2021</t>
  </si>
  <si>
    <t>['126810']</t>
  </si>
  <si>
    <t>['126826', '126827']</t>
  </si>
  <si>
    <t>['126799']</t>
  </si>
  <si>
    <t>['126807']</t>
  </si>
  <si>
    <t>['126806']</t>
  </si>
  <si>
    <t>['126803']</t>
  </si>
  <si>
    <t>['126800']</t>
  </si>
  <si>
    <t>['126812', '126813', '126814']</t>
  </si>
  <si>
    <t>['126825']</t>
  </si>
  <si>
    <t>['126816', '126817', '126818', '126819', '126820', '126821']</t>
  </si>
  <si>
    <t>05-10-2021</t>
  </si>
  <si>
    <t>['126179']</t>
  </si>
  <si>
    <t>['126193']</t>
  </si>
  <si>
    <t>['126212', '126213']</t>
  </si>
  <si>
    <t>['126180']</t>
  </si>
  <si>
    <t>['126196', '126197', '126198', '126199', '126200', '126201', '126202', '126203', '126204']</t>
  </si>
  <si>
    <t>['126162', '126163']</t>
  </si>
  <si>
    <t>['126164', '126165', '126166']</t>
  </si>
  <si>
    <t>['126159']</t>
  </si>
  <si>
    <t>['126160']</t>
  </si>
  <si>
    <t>['126181', '126182', '126183']</t>
  </si>
  <si>
    <t>['126185', '126186', '126187', '126188', '126189', '126190']</t>
  </si>
  <si>
    <t>['126195']['126194']</t>
  </si>
  <si>
    <t>['126168', '126169', '126170', '126171', '126173', '126174', '126175', '126176', '126177', '126178']['126167']</t>
  </si>
  <si>
    <t>01-10-2021</t>
  </si>
  <si>
    <t>['126107', '126108']</t>
  </si>
  <si>
    <t>['126115', '126116', '126117']</t>
  </si>
  <si>
    <t>['126118']</t>
  </si>
  <si>
    <t>['126104']</t>
  </si>
  <si>
    <t>['126105', '126106']</t>
  </si>
  <si>
    <t>['126111', '126112']</t>
  </si>
  <si>
    <t>['126113']</t>
  </si>
  <si>
    <t>['126120', '126121', '126122', '126123']</t>
  </si>
  <si>
    <t>['126114']</t>
  </si>
  <si>
    <t>29-10-2021</t>
  </si>
  <si>
    <t>CONSTRUCTORA ALFREDO JARA X</t>
  </si>
  <si>
    <t>['126846']</t>
  </si>
  <si>
    <t>['126830']</t>
  </si>
  <si>
    <t>['126829']</t>
  </si>
  <si>
    <t>['126828']</t>
  </si>
  <si>
    <t>['126839', '126840']</t>
  </si>
  <si>
    <t>['126832']</t>
  </si>
  <si>
    <t>['126833', '126835', '126836']['126834']</t>
  </si>
  <si>
    <t>['126842']['126843']</t>
  </si>
  <si>
    <t>02-11-2021</t>
  </si>
  <si>
    <t>['126851']</t>
  </si>
  <si>
    <t>['126852']</t>
  </si>
  <si>
    <t>['126857']</t>
  </si>
  <si>
    <t>['126855']</t>
  </si>
  <si>
    <t>['126849', '126850']</t>
  </si>
  <si>
    <t>['126848']</t>
  </si>
  <si>
    <t>CKYB66</t>
  </si>
  <si>
    <t>['126853', '126854']</t>
  </si>
  <si>
    <t>03-11-2021</t>
  </si>
  <si>
    <t>['126865']</t>
  </si>
  <si>
    <t>['126880']</t>
  </si>
  <si>
    <t>CONSTRUCTORA E INVERSIONESX</t>
  </si>
  <si>
    <t>['126878']</t>
  </si>
  <si>
    <t>['126879']</t>
  </si>
  <si>
    <t>['126877']</t>
  </si>
  <si>
    <t>['126862']</t>
  </si>
  <si>
    <t>['126864']</t>
  </si>
  <si>
    <t>['126875']</t>
  </si>
  <si>
    <t>['126870', '126871', '126872', '126873', '126874']</t>
  </si>
  <si>
    <t>['126863']</t>
  </si>
  <si>
    <t>['126868']</t>
  </si>
  <si>
    <t>04-11-2021</t>
  </si>
  <si>
    <t>['126892']</t>
  </si>
  <si>
    <t>['126895', '126896']</t>
  </si>
  <si>
    <t>['126882', '126883', '126884', '126885', '126886']</t>
  </si>
  <si>
    <t>['126881']</t>
  </si>
  <si>
    <t>['126898', '126899']</t>
  </si>
  <si>
    <t>['126897']</t>
  </si>
  <si>
    <t>['126893']</t>
  </si>
  <si>
    <t>['126894']</t>
  </si>
  <si>
    <t>['126887', '126888', '126890', '126891']['126889']</t>
  </si>
  <si>
    <t>05-11-2021</t>
  </si>
  <si>
    <t>['126901']</t>
  </si>
  <si>
    <t>['126906']</t>
  </si>
  <si>
    <t>['126900']</t>
  </si>
  <si>
    <t>['126902']</t>
  </si>
  <si>
    <t>['126904']</t>
  </si>
  <si>
    <t>['126905']</t>
  </si>
  <si>
    <t>['126907', '126908', '126909', '126910']</t>
  </si>
  <si>
    <t>['126903']</t>
  </si>
  <si>
    <t>['126911']</t>
  </si>
  <si>
    <t>10-11-2021</t>
  </si>
  <si>
    <t>['126970']</t>
  </si>
  <si>
    <t>['126990']</t>
  </si>
  <si>
    <t>['126969']</t>
  </si>
  <si>
    <t>['126971']</t>
  </si>
  <si>
    <t>['126966']</t>
  </si>
  <si>
    <t>['126992', '126993', '126994', '126995', '126996', '126997', '126998', '126999', '127000']</t>
  </si>
  <si>
    <t>['126979', '126980', '126981']</t>
  </si>
  <si>
    <t>['126982', '126983', '126984', '126985', '126986']</t>
  </si>
  <si>
    <t>['127002']</t>
  </si>
  <si>
    <t>['127001']</t>
  </si>
  <si>
    <t>['126974', '126975', '126976']</t>
  </si>
  <si>
    <t>['126973']</t>
  </si>
  <si>
    <t>['126991']</t>
  </si>
  <si>
    <t>11-11-2021</t>
  </si>
  <si>
    <t>['127034']</t>
  </si>
  <si>
    <t>['127035']</t>
  </si>
  <si>
    <t>['127029']</t>
  </si>
  <si>
    <t>['127022']</t>
  </si>
  <si>
    <t>['127012', '127013', '127014', '127015', '127016', '127017', '127018', '127019', '127020', '127021']</t>
  </si>
  <si>
    <t>['127039', '127040']</t>
  </si>
  <si>
    <t>['127037', '127038']</t>
  </si>
  <si>
    <t>['127036']</t>
  </si>
  <si>
    <t>['127042', '127043', '127044', '127045', '127046']</t>
  </si>
  <si>
    <t>['127032']</t>
  </si>
  <si>
    <t>12-11-2021</t>
  </si>
  <si>
    <t>HBJY66</t>
  </si>
  <si>
    <t>['127056']</t>
  </si>
  <si>
    <t>CONSTRUCTORA LAVAL SPA</t>
  </si>
  <si>
    <t>['127064']</t>
  </si>
  <si>
    <t>['127047']</t>
  </si>
  <si>
    <t>['127058', '127059']</t>
  </si>
  <si>
    <t>['127062', '127063']</t>
  </si>
  <si>
    <t>['127053']</t>
  </si>
  <si>
    <t>['127054', '127055']</t>
  </si>
  <si>
    <t>['127073']</t>
  </si>
  <si>
    <t>['127066', '127067', '127068', '127069', '127070', '127071']</t>
  </si>
  <si>
    <t>['127065']['127048']</t>
  </si>
  <si>
    <t>08-11-2021</t>
  </si>
  <si>
    <t>['126932']</t>
  </si>
  <si>
    <t>['126936', '126937']</t>
  </si>
  <si>
    <t>['126933']</t>
  </si>
  <si>
    <t>['126934']</t>
  </si>
  <si>
    <t>09-11-2021</t>
  </si>
  <si>
    <t>['126946']</t>
  </si>
  <si>
    <t>['126965']</t>
  </si>
  <si>
    <t>['126929']['126930']</t>
  </si>
  <si>
    <t>['126964']['126963']</t>
  </si>
  <si>
    <t>15-11-2021</t>
  </si>
  <si>
    <t>CONSTRUCTORA SANTA HERMINIX</t>
  </si>
  <si>
    <t>['127095']</t>
  </si>
  <si>
    <t>['127092', '127093']</t>
  </si>
  <si>
    <t>ROBERTO SAN MARTIN V.</t>
  </si>
  <si>
    <t>FREIRINA</t>
  </si>
  <si>
    <t>['127091']</t>
  </si>
  <si>
    <t>['127074', '127096']</t>
  </si>
  <si>
    <t>['127087']</t>
  </si>
  <si>
    <t>['127083', '127084']</t>
  </si>
  <si>
    <t>['127076', '127077', '127078', '127079', '127080', '127081', '127082']</t>
  </si>
  <si>
    <t>['127097', '127098', '127099', '127100']</t>
  </si>
  <si>
    <t>['127089', '127090']['127088']</t>
  </si>
  <si>
    <t>['127101']['127103']</t>
  </si>
  <si>
    <t>17-11-2021</t>
  </si>
  <si>
    <t>['127200']</t>
  </si>
  <si>
    <t>['127192']</t>
  </si>
  <si>
    <t>['127198', '127199']</t>
  </si>
  <si>
    <t>['127176', '127177']</t>
  </si>
  <si>
    <t>['127187']</t>
  </si>
  <si>
    <t>['127183', '127184', '127185', '127186']</t>
  </si>
  <si>
    <t>['127178', '127179', '127180', '127181', '127182']</t>
  </si>
  <si>
    <t>['127191']</t>
  </si>
  <si>
    <t>['127196']</t>
  </si>
  <si>
    <t>['127202', '127203', '127204']</t>
  </si>
  <si>
    <t>['127197']</t>
  </si>
  <si>
    <t>['127194', '127195']</t>
  </si>
  <si>
    <t>['127189']['127190']</t>
  </si>
  <si>
    <t>18-11-2021</t>
  </si>
  <si>
    <t>161376469</t>
  </si>
  <si>
    <t>['127232']</t>
  </si>
  <si>
    <t>HDDV12</t>
  </si>
  <si>
    <t>95605095</t>
  </si>
  <si>
    <t>TW7253</t>
  </si>
  <si>
    <t>['127227']</t>
  </si>
  <si>
    <t>138441065</t>
  </si>
  <si>
    <t>['127218']</t>
  </si>
  <si>
    <t>['127225']</t>
  </si>
  <si>
    <t>['127228', '127229']</t>
  </si>
  <si>
    <t>5941082</t>
  </si>
  <si>
    <t>['127216']</t>
  </si>
  <si>
    <t>['127215']</t>
  </si>
  <si>
    <t>LW2855</t>
  </si>
  <si>
    <t>125088058</t>
  </si>
  <si>
    <t>['127210', '127211']</t>
  </si>
  <si>
    <t>['127219', '127220', '127221', '127222']</t>
  </si>
  <si>
    <t>['127224']['127226']</t>
  </si>
  <si>
    <t>['127230']['127231']</t>
  </si>
  <si>
    <t>19-11-2021</t>
  </si>
  <si>
    <t>['127264']</t>
  </si>
  <si>
    <t>['127263']</t>
  </si>
  <si>
    <t>['127257', '127258']</t>
  </si>
  <si>
    <t>16083509K</t>
  </si>
  <si>
    <t>['127234']</t>
  </si>
  <si>
    <t>['127262']</t>
  </si>
  <si>
    <t>['127256']</t>
  </si>
  <si>
    <t>['127250']</t>
  </si>
  <si>
    <t>['127238', '127239']</t>
  </si>
  <si>
    <t>['127235', '127236', '127237']</t>
  </si>
  <si>
    <t>['127243', '127244', '127245', '127246', '127247', '127248', '127249']</t>
  </si>
  <si>
    <t>['127261']</t>
  </si>
  <si>
    <t>['127251', '127252', '127253', '127254', '127255']</t>
  </si>
  <si>
    <t>22-11-2021</t>
  </si>
  <si>
    <t>['127274']</t>
  </si>
  <si>
    <t>['127290']</t>
  </si>
  <si>
    <t>PU7975</t>
  </si>
  <si>
    <t>119825261</t>
  </si>
  <si>
    <t>['127291']</t>
  </si>
  <si>
    <t>['127265']</t>
  </si>
  <si>
    <t>['127273']</t>
  </si>
  <si>
    <t>INMOBILIARIA GAMERO SPA</t>
  </si>
  <si>
    <t>['127266']</t>
  </si>
  <si>
    <t>['127272']</t>
  </si>
  <si>
    <t>['127269', '127271']</t>
  </si>
  <si>
    <t>72562391</t>
  </si>
  <si>
    <t>['127275']</t>
  </si>
  <si>
    <t>['127278', '127280']</t>
  </si>
  <si>
    <t>['127282', '127284']</t>
  </si>
  <si>
    <t>['127276', '127277', '127279', '127281', '127283']</t>
  </si>
  <si>
    <t>['127288']</t>
  </si>
  <si>
    <t>['127285', '127286', '127287']</t>
  </si>
  <si>
    <t>23-11-2021</t>
  </si>
  <si>
    <t>['127301']</t>
  </si>
  <si>
    <t>['127321']</t>
  </si>
  <si>
    <t>['127302']</t>
  </si>
  <si>
    <t>['127303']</t>
  </si>
  <si>
    <t>['127293']</t>
  </si>
  <si>
    <t>['127299', '127300']</t>
  </si>
  <si>
    <t>['127318', '127319', '127320']</t>
  </si>
  <si>
    <t>['127307', '127308', '127309', '127310', '127311', '127312', '127313', '127314']</t>
  </si>
  <si>
    <t>['127315', '127316', '127322']</t>
  </si>
  <si>
    <t>TECHINT CHILE S.A.</t>
  </si>
  <si>
    <t>['127292']</t>
  </si>
  <si>
    <t>['127294']</t>
  </si>
  <si>
    <t>24-11-2021</t>
  </si>
  <si>
    <t>['127335']</t>
  </si>
  <si>
    <t>['127359']</t>
  </si>
  <si>
    <t>['127358']</t>
  </si>
  <si>
    <t>['127323']</t>
  </si>
  <si>
    <t>['127333']</t>
  </si>
  <si>
    <t>['127332']</t>
  </si>
  <si>
    <t>SV2748</t>
  </si>
  <si>
    <t>['127336']</t>
  </si>
  <si>
    <t>['127334']</t>
  </si>
  <si>
    <t>['127329']</t>
  </si>
  <si>
    <t>['127347']</t>
  </si>
  <si>
    <t>['127349', '127350']</t>
  </si>
  <si>
    <t>['127348']</t>
  </si>
  <si>
    <t>['127324', '127325']</t>
  </si>
  <si>
    <t>['127326']</t>
  </si>
  <si>
    <t>['127340']</t>
  </si>
  <si>
    <t>['127341', '127342', '127343', '127344']</t>
  </si>
  <si>
    <t>25-11-2021</t>
  </si>
  <si>
    <t>['127361']</t>
  </si>
  <si>
    <t>['127360']</t>
  </si>
  <si>
    <t>['127389']</t>
  </si>
  <si>
    <t>['127376']</t>
  </si>
  <si>
    <t>['127369', '127370', '127371', '127372', '127373', '127374', '127375']</t>
  </si>
  <si>
    <t>['127377', '127378', '127379', '127380', '127381', '127382']</t>
  </si>
  <si>
    <t>['127365', '127366', '127367']</t>
  </si>
  <si>
    <t>['127384', '127385', '127386', '127387']</t>
  </si>
  <si>
    <t>26-11-2021</t>
  </si>
  <si>
    <t>['127398']</t>
  </si>
  <si>
    <t>['127395']</t>
  </si>
  <si>
    <t>['127418', '127419']</t>
  </si>
  <si>
    <t>['127414', '127415', '127416', '127417']</t>
  </si>
  <si>
    <t>['127404', '127405', '127406', '127407', '127408', '127409', '127410', '127411']</t>
  </si>
  <si>
    <t>['127394']</t>
  </si>
  <si>
    <t>['127396']</t>
  </si>
  <si>
    <t>['127400', '127401', '127402', '127403']</t>
  </si>
  <si>
    <t>29-11-2021</t>
  </si>
  <si>
    <t>['127452', '127453']</t>
  </si>
  <si>
    <t>['127427', '127428']</t>
  </si>
  <si>
    <t>['127461']</t>
  </si>
  <si>
    <t>['127455']</t>
  </si>
  <si>
    <t>['127457']</t>
  </si>
  <si>
    <t>['127456']</t>
  </si>
  <si>
    <t>['127430', '127431', '127432']</t>
  </si>
  <si>
    <t>['127424']</t>
  </si>
  <si>
    <t>['127433', '127434', '127435', '127436', '127437', '127438', '127439', '127440', '127441', '127442', '127443', '127444', '127445', '127446', '127447', '127448', '127449']</t>
  </si>
  <si>
    <t>['127422', '127450']</t>
  </si>
  <si>
    <t>['127451']</t>
  </si>
  <si>
    <t>['127423']</t>
  </si>
  <si>
    <t>30-11-2021</t>
  </si>
  <si>
    <t>160935069K</t>
  </si>
  <si>
    <t>['127485']</t>
  </si>
  <si>
    <t>['127487']</t>
  </si>
  <si>
    <t>['127466']</t>
  </si>
  <si>
    <t>['127462', '127463']</t>
  </si>
  <si>
    <t>['127467']</t>
  </si>
  <si>
    <t>['127471', '127472', '127473', '127474', '127475', '127476', '127477']</t>
  </si>
  <si>
    <t>['127480', '127481', '127490', '127491', '127492', '127493', '127494', '127495', '127496']</t>
  </si>
  <si>
    <t>['127478', '127479']</t>
  </si>
  <si>
    <t>['127469', '127470']</t>
  </si>
  <si>
    <t>['127484']</t>
  </si>
  <si>
    <t>['127498', '127499']['127468']</t>
  </si>
  <si>
    <t>01-12-2021</t>
  </si>
  <si>
    <t>['127509']</t>
  </si>
  <si>
    <t>WV2233</t>
  </si>
  <si>
    <t>['127506']</t>
  </si>
  <si>
    <t>['127508']</t>
  </si>
  <si>
    <t>['127513']</t>
  </si>
  <si>
    <t>['127510', '127511', '127512']</t>
  </si>
  <si>
    <t>['127515', '127516']</t>
  </si>
  <si>
    <t>['127500', '127501', '127502']['127503']</t>
  </si>
  <si>
    <t>02-12-2021</t>
  </si>
  <si>
    <t>['127529']</t>
  </si>
  <si>
    <t>['127523', '127524', '127525', '127526', '127527', '127528']</t>
  </si>
  <si>
    <t>['127531', '127532', '127533', '127534', '127535', '127536']</t>
  </si>
  <si>
    <t>['127541', '127542']['127539', '127540']</t>
  </si>
  <si>
    <t>['127520', '127521']['127518', '127519']</t>
  </si>
  <si>
    <t>03-12-2021</t>
  </si>
  <si>
    <t>['127572', '127573']</t>
  </si>
  <si>
    <t>['127544']</t>
  </si>
  <si>
    <t>['127545', '127546', '127547', '127548', '127549', '127550', '127551', '127552', '127553', '127554', '127555', '127556', '127557', '127558', '127559', '127560', '127561', '127562', '127563', '127564']</t>
  </si>
  <si>
    <t>['127543']</t>
  </si>
  <si>
    <t>['127569']</t>
  </si>
  <si>
    <t>LZ2385</t>
  </si>
  <si>
    <t>['127576']</t>
  </si>
  <si>
    <t>['127575']</t>
  </si>
  <si>
    <t>['127579', '127580', '127581', '127582', '127583']</t>
  </si>
  <si>
    <t>['127566']</t>
  </si>
  <si>
    <t>['127588', '127590', '127591', '127592', '127593', '127594', '127596', '127597', '127598', '127599', '127600', '127601', '127602', '127603', '127604', '127605', '127606', '127607']['127589', '127595']</t>
  </si>
  <si>
    <t>['127608', '127609']['127610']</t>
  </si>
  <si>
    <t>06-12-2021</t>
  </si>
  <si>
    <t>['127617']</t>
  </si>
  <si>
    <t>['127630', '127631', '127632', '127633', '127634']</t>
  </si>
  <si>
    <t>['127622', '127623', '127624', '127625', '127626', '127627', '127628', '127629']</t>
  </si>
  <si>
    <t>['127618']</t>
  </si>
  <si>
    <t>['127621']</t>
  </si>
  <si>
    <t>['127636']</t>
  </si>
  <si>
    <t>['127639', '127640']</t>
  </si>
  <si>
    <t>SV2818</t>
  </si>
  <si>
    <t>['127613', '127614']</t>
  </si>
  <si>
    <t>['127645', '127646']['127647']</t>
  </si>
  <si>
    <t>09-12-2021</t>
  </si>
  <si>
    <t>['127700']</t>
  </si>
  <si>
    <t>['127718']</t>
  </si>
  <si>
    <t>['127699']</t>
  </si>
  <si>
    <t>['127717']</t>
  </si>
  <si>
    <t>['127711', '127712', '127713', '127714', '127715', '127716']</t>
  </si>
  <si>
    <t>['127702', '127703', '127704', '127705', '127706', '127707', '127708', '127709', '127710']</t>
  </si>
  <si>
    <t>['127732', '127733', '127734']</t>
  </si>
  <si>
    <t>['127720']</t>
  </si>
  <si>
    <t>['127719']</t>
  </si>
  <si>
    <t>['127729', '127730', '127731']</t>
  </si>
  <si>
    <t>10-12-2021</t>
  </si>
  <si>
    <t>['127742', '127743']</t>
  </si>
  <si>
    <t>['127741']</t>
  </si>
  <si>
    <t>['127737']</t>
  </si>
  <si>
    <t>['127740']</t>
  </si>
  <si>
    <t>['127738', '127739']</t>
  </si>
  <si>
    <t>['127744']</t>
  </si>
  <si>
    <t>['127751', '127752', '127753']</t>
  </si>
  <si>
    <t>['127747', '127748', '127749']</t>
  </si>
  <si>
    <t>['127755']['127754']</t>
  </si>
  <si>
    <t>13-12-2021</t>
  </si>
  <si>
    <t>['127758']</t>
  </si>
  <si>
    <t>['127759']</t>
  </si>
  <si>
    <t>['127757']</t>
  </si>
  <si>
    <t>['127761']</t>
  </si>
  <si>
    <t>['127767', '127768']['127766']</t>
  </si>
  <si>
    <t>RETIRO</t>
  </si>
  <si>
    <t>Despacho</t>
  </si>
  <si>
    <t xml:space="preserve">Los Angeles </t>
  </si>
  <si>
    <t xml:space="preserve">Calama </t>
  </si>
  <si>
    <t>14-12-2021</t>
  </si>
  <si>
    <t>['127796', '127797']</t>
  </si>
  <si>
    <t>['127776']</t>
  </si>
  <si>
    <t>['127775']</t>
  </si>
  <si>
    <t>['127789']</t>
  </si>
  <si>
    <t>16093509KK</t>
  </si>
  <si>
    <t>['127778']</t>
  </si>
  <si>
    <t>CONSTRUCTORA PACAL S.A.</t>
  </si>
  <si>
    <t>['127792']</t>
  </si>
  <si>
    <t>['127793']</t>
  </si>
  <si>
    <t>['127785']</t>
  </si>
  <si>
    <t>72564392</t>
  </si>
  <si>
    <t>['127777']</t>
  </si>
  <si>
    <t>BDHB75</t>
  </si>
  <si>
    <t>['127786', '127787', '127788']</t>
  </si>
  <si>
    <t>['127781', '127782', '127783']</t>
  </si>
  <si>
    <t>15-12-2021</t>
  </si>
  <si>
    <t>['127853']</t>
  </si>
  <si>
    <t>['127832']</t>
  </si>
  <si>
    <t>['127857']</t>
  </si>
  <si>
    <t>['127854']</t>
  </si>
  <si>
    <t>['127855']</t>
  </si>
  <si>
    <t>['127833', '127834', '127835', '127836', '127837', '127838', '127839']</t>
  </si>
  <si>
    <t>['127805', '127806', '127807', '127808', '127809', '127810', '127811', '127812', '127813', '127814', '127815', '127816']</t>
  </si>
  <si>
    <t>['127818', '127819', '127820', '127821', '127822', '127823', '127824', '127825', '127826', '127827', '127828', '127829', '127830', '127831']</t>
  </si>
  <si>
    <t>['127841', '127842', '127843', '127844', '127845', '127846']</t>
  </si>
  <si>
    <t>['127847', '127848', '127849', '127850']</t>
  </si>
  <si>
    <t>['127804']</t>
  </si>
  <si>
    <t>16-12-2021</t>
  </si>
  <si>
    <t>['127899', '127937']</t>
  </si>
  <si>
    <t>['127900']</t>
  </si>
  <si>
    <t>DJLS11</t>
  </si>
  <si>
    <t>103610044</t>
  </si>
  <si>
    <t>['127903']</t>
  </si>
  <si>
    <t>['127935', '127936']</t>
  </si>
  <si>
    <t>['127901']</t>
  </si>
  <si>
    <t>['127911', '127912']</t>
  </si>
  <si>
    <t>['127913']</t>
  </si>
  <si>
    <t>['127921', '127922', '127923', '127924', '127925']</t>
  </si>
  <si>
    <t>['127908']</t>
  </si>
  <si>
    <t>['127904', '127907', '127909', '127910']</t>
  </si>
  <si>
    <t>['127920']</t>
  </si>
  <si>
    <t>['127928', '127929', '127930', '127931', '127932']</t>
  </si>
  <si>
    <t>['127934']</t>
  </si>
  <si>
    <t>17-12-2021</t>
  </si>
  <si>
    <t>['127939']</t>
  </si>
  <si>
    <t>113692568</t>
  </si>
  <si>
    <t>['127960']</t>
  </si>
  <si>
    <t>SU9351</t>
  </si>
  <si>
    <t>['127954']</t>
  </si>
  <si>
    <t>['127940']</t>
  </si>
  <si>
    <t>['127950']</t>
  </si>
  <si>
    <t>['127951', '127952']</t>
  </si>
  <si>
    <t>['127946', '127947', '127948', '127949']</t>
  </si>
  <si>
    <t>['127953']</t>
  </si>
  <si>
    <t>['127956', '127957']</t>
  </si>
  <si>
    <t>['127938']</t>
  </si>
  <si>
    <t>['127943', '127944']</t>
  </si>
  <si>
    <t>['127959']['127958']</t>
  </si>
  <si>
    <t>21-12-2021</t>
  </si>
  <si>
    <t>['128008', '128009', '128010', '128011']</t>
  </si>
  <si>
    <t>['127997']</t>
  </si>
  <si>
    <t>['127999']</t>
  </si>
  <si>
    <t>['128024']</t>
  </si>
  <si>
    <t>['128012']</t>
  </si>
  <si>
    <t>['127998']</t>
  </si>
  <si>
    <t>['128000']</t>
  </si>
  <si>
    <t>['128019', '128020', '128021']</t>
  </si>
  <si>
    <t>['128001', '128002', '128003', '128004', '128005', '128006']</t>
  </si>
  <si>
    <t>['128022', '128023']</t>
  </si>
  <si>
    <t>['128013', '128014', '128015', '128016', '128017', '128018']</t>
  </si>
  <si>
    <t>['128027', '128028']</t>
  </si>
  <si>
    <t>['128039', '128040']</t>
  </si>
  <si>
    <t>['128029', '128030']</t>
  </si>
  <si>
    <t>['128031', '128033', '128034', '128035', '128036', '128037', '128038']['128032']</t>
  </si>
  <si>
    <t>22-12-2021</t>
  </si>
  <si>
    <t>['128045']</t>
  </si>
  <si>
    <t>['128048']</t>
  </si>
  <si>
    <t>['128068', '128069']</t>
  </si>
  <si>
    <t>['128063']</t>
  </si>
  <si>
    <t>['128064', '128065', '128066']</t>
  </si>
  <si>
    <t>['128043', '128044']</t>
  </si>
  <si>
    <t>['128047']</t>
  </si>
  <si>
    <t>['128050']</t>
  </si>
  <si>
    <t>['128057', '128058', '128059', '128060', '128061', '128062']</t>
  </si>
  <si>
    <t>23-12-2021</t>
  </si>
  <si>
    <t>['128073']</t>
  </si>
  <si>
    <t>['128076']</t>
  </si>
  <si>
    <t>['128077']</t>
  </si>
  <si>
    <t>27-12-2021</t>
  </si>
  <si>
    <t>['128109', '128110', '128111']</t>
  </si>
  <si>
    <t>['128091', '128092', '128093', '128094', '128095', '128096', '128097', '128098', '128099', '128100', '128101', '128102', '128103', '128104', '128105']</t>
  </si>
  <si>
    <t>['128078', '128079', '128080', '128081', '128082', '128083', '128084', '128085', '128086', '128087', '128088', '128089', '128090']</t>
  </si>
  <si>
    <t>GORBEA</t>
  </si>
  <si>
    <t>['128107']</t>
  </si>
  <si>
    <t>['128108']</t>
  </si>
  <si>
    <t>['128112']['128113', '128114']</t>
  </si>
  <si>
    <t>28-12-2021</t>
  </si>
  <si>
    <t>['128119']</t>
  </si>
  <si>
    <t>72561394</t>
  </si>
  <si>
    <t>['128136']</t>
  </si>
  <si>
    <t>['128133']</t>
  </si>
  <si>
    <t>['128146']</t>
  </si>
  <si>
    <t>['128121']</t>
  </si>
  <si>
    <t>['128129']</t>
  </si>
  <si>
    <t>['128130']</t>
  </si>
  <si>
    <t>['128132']</t>
  </si>
  <si>
    <t>['128134', '128135']</t>
  </si>
  <si>
    <t>['128141', '128142', '128144', '128145']</t>
  </si>
  <si>
    <t>['128124', '128125']['128126']</t>
  </si>
  <si>
    <t>['128139', '128140']['128137', '128138']</t>
  </si>
  <si>
    <t>['128128']['128127']</t>
  </si>
  <si>
    <t>29-12-2021</t>
  </si>
  <si>
    <t>['128151', '128152']</t>
  </si>
  <si>
    <t>['128149']</t>
  </si>
  <si>
    <t>['128174']</t>
  </si>
  <si>
    <t>['128169', '128170', '128171']</t>
  </si>
  <si>
    <t>['128168']</t>
  </si>
  <si>
    <t>['128154']</t>
  </si>
  <si>
    <t>['128172', '128173']</t>
  </si>
  <si>
    <t>['128166', '128167']</t>
  </si>
  <si>
    <t>['128164', '128165']</t>
  </si>
  <si>
    <t>['128157']</t>
  </si>
  <si>
    <t>30-12-2021</t>
  </si>
  <si>
    <t>['128186']</t>
  </si>
  <si>
    <t>72561391</t>
  </si>
  <si>
    <t>['128187']</t>
  </si>
  <si>
    <t>['128179']</t>
  </si>
  <si>
    <t>03-01-2022</t>
  </si>
  <si>
    <t>['128191']</t>
  </si>
  <si>
    <t>['128216']</t>
  </si>
  <si>
    <t>['128190']</t>
  </si>
  <si>
    <t>['128192']</t>
  </si>
  <si>
    <t>['128215']</t>
  </si>
  <si>
    <t>['128195', '128196', '128197', '128198', '128199', '128203']</t>
  </si>
  <si>
    <t>['128204', '128205']</t>
  </si>
  <si>
    <t>['128206', '128207', '128208', '128209', '128210', '128211', '128212', '128213', '128214']</t>
  </si>
  <si>
    <t>04-01-2022</t>
  </si>
  <si>
    <t>['128225']</t>
  </si>
  <si>
    <t>['128257']</t>
  </si>
  <si>
    <t>['128230']</t>
  </si>
  <si>
    <t>['128218']</t>
  </si>
  <si>
    <t>['128250']</t>
  </si>
  <si>
    <t>['128220']</t>
  </si>
  <si>
    <t>['128219']</t>
  </si>
  <si>
    <t>['128234', '128235', '128236']</t>
  </si>
  <si>
    <t>['128221', '128222', '128223']</t>
  </si>
  <si>
    <t>['128231', '128232', '128233']</t>
  </si>
  <si>
    <t>['128237', '128238', '128239', '128240', '128241', '128242', '128243', '128244', '128245', '128246', '128247', '128248', '128249']</t>
  </si>
  <si>
    <t>['128252']</t>
  </si>
  <si>
    <t>['128254', '128255', '128256']</t>
  </si>
  <si>
    <t>['128227', '128228']['128226']</t>
  </si>
  <si>
    <t>05-01-2022</t>
  </si>
  <si>
    <t>['128273', '128274']</t>
  </si>
  <si>
    <t>['128280']</t>
  </si>
  <si>
    <t>['128275']</t>
  </si>
  <si>
    <t>['128260']</t>
  </si>
  <si>
    <t>['128271', '128272']</t>
  </si>
  <si>
    <t>['128261']</t>
  </si>
  <si>
    <t>['128262', '128263', '128264', '128265', '128266', '128267', '128268', '128270']</t>
  </si>
  <si>
    <t>['128281', '128282']</t>
  </si>
  <si>
    <t>['128283', '128284']</t>
  </si>
  <si>
    <t>['128285', '128286', '128287', '128288', '128289', '128290', '128291']</t>
  </si>
  <si>
    <t>['128276', '128277']['128278', '128279']</t>
  </si>
  <si>
    <t>06-01-2022</t>
  </si>
  <si>
    <t>['128336', '128337']</t>
  </si>
  <si>
    <t>['128308', '128309', '128310', '128311', '128312', '128313', '128314', '128315', '128316', '128317', '128318', '128319', '128320', '128321', '128322', '128323', '128324', '128325', '128326', '128327', '128328', '128329', '128330', '128331', '128332', '128333', '128334', '128335']</t>
  </si>
  <si>
    <t>['128351', '128352']</t>
  </si>
  <si>
    <t>['128349', '128350']</t>
  </si>
  <si>
    <t>['128303']</t>
  </si>
  <si>
    <t>['128304']</t>
  </si>
  <si>
    <t>['128300', '128301', '128302']</t>
  </si>
  <si>
    <t>['128338']</t>
  </si>
  <si>
    <t>['128339']</t>
  </si>
  <si>
    <t>['128294', '128295', '128296', '128297', '128298', '128299']</t>
  </si>
  <si>
    <t>['128306', '128307']</t>
  </si>
  <si>
    <t>['128340', '128341', '128342', '128343', '128344']</t>
  </si>
  <si>
    <t>YG5635</t>
  </si>
  <si>
    <t>['128293']['128292']</t>
  </si>
  <si>
    <t>['128346', '128347']['128345']</t>
  </si>
  <si>
    <t>07-01-2022</t>
  </si>
  <si>
    <t>['128357']</t>
  </si>
  <si>
    <t>['128358']</t>
  </si>
  <si>
    <t>['128361', '128362']</t>
  </si>
  <si>
    <t>['128363']</t>
  </si>
  <si>
    <t>['128353', '128354', '128355', '128356']</t>
  </si>
  <si>
    <t>['128371', '128372', '128373']</t>
  </si>
  <si>
    <t>['128359', '128360']</t>
  </si>
  <si>
    <t>['128366', '128367', '128368', '128369', '128370']</t>
  </si>
  <si>
    <t>10-01-2022</t>
  </si>
  <si>
    <t>['128376']</t>
  </si>
  <si>
    <t>['128377']</t>
  </si>
  <si>
    <t>957077434</t>
  </si>
  <si>
    <t>['128397']</t>
  </si>
  <si>
    <t>['128398', '128399', '128400']</t>
  </si>
  <si>
    <t>['128378', '128379', '128380', '128381', '128382', '128383', '128384', '128385', '128386', '128387', '128388', '128389', '128390', '128391', '128392', '128393', '128394', '128395']</t>
  </si>
  <si>
    <t>['128396']</t>
  </si>
  <si>
    <t>['128402']</t>
  </si>
  <si>
    <t>['128404', '128405']</t>
  </si>
  <si>
    <t>['128403']</t>
  </si>
  <si>
    <t>11-01-2022</t>
  </si>
  <si>
    <t>['128411', '128412', '128413', '128414']</t>
  </si>
  <si>
    <t>['128408', '128409']</t>
  </si>
  <si>
    <t>['128422', '128423', '128424']</t>
  </si>
  <si>
    <t>['128433', '128434']</t>
  </si>
  <si>
    <t>['128410']</t>
  </si>
  <si>
    <t>['128420', '128421']</t>
  </si>
  <si>
    <t>['128427', '128428', '128429', '128430', '128431', '128432']</t>
  </si>
  <si>
    <t>['128435']</t>
  </si>
  <si>
    <t>['128416', '128417']['128418', '128419']</t>
  </si>
  <si>
    <t>12-01-2022</t>
  </si>
  <si>
    <t>['128438']</t>
  </si>
  <si>
    <t>['128466', '128467']</t>
  </si>
  <si>
    <t>['128470', '128471']</t>
  </si>
  <si>
    <t>['128457', '128458']</t>
  </si>
  <si>
    <t>['128442', '128443']</t>
  </si>
  <si>
    <t>['128453', '128454', '128455', '128456']</t>
  </si>
  <si>
    <t>['128440', '128441']</t>
  </si>
  <si>
    <t>['128451', '128452']</t>
  </si>
  <si>
    <t>['128468', '128469']</t>
  </si>
  <si>
    <t>['128429', '128446', '128447', '128448', '128449']</t>
  </si>
  <si>
    <t>13-01-2022</t>
  </si>
  <si>
    <t>['128500', '128501']</t>
  </si>
  <si>
    <t>['128473', '128474']</t>
  </si>
  <si>
    <t>['128475', '128476']</t>
  </si>
  <si>
    <t>['128486', '128487', '128488', '128489', '128490', '128491', '128492', '128493', '128494', '128495']</t>
  </si>
  <si>
    <t>['128485']</t>
  </si>
  <si>
    <t>['128477', '128478', '128479', '128480', '128481', '128482', '128483', '128484']</t>
  </si>
  <si>
    <t>14-01-2022</t>
  </si>
  <si>
    <t>['128519']</t>
  </si>
  <si>
    <t>DPJS85</t>
  </si>
  <si>
    <t>['128502', '128503', '128504']</t>
  </si>
  <si>
    <t>['128515', '128516']</t>
  </si>
  <si>
    <t>['128507', '128508']</t>
  </si>
  <si>
    <t>['128517']</t>
  </si>
  <si>
    <t>['128518']</t>
  </si>
  <si>
    <t>['128505', '128506']</t>
  </si>
  <si>
    <t>['128481', '128511', '128512', '128513', '128514']</t>
  </si>
  <si>
    <t>17-01-2022</t>
  </si>
  <si>
    <t>['128529']</t>
  </si>
  <si>
    <t>['128526', '128527', '128528']</t>
  </si>
  <si>
    <t>['128537']</t>
  </si>
  <si>
    <t>['128533', '128534', '128535', '128536']</t>
  </si>
  <si>
    <t>['128539', '128540']</t>
  </si>
  <si>
    <t>['128541', '128542']</t>
  </si>
  <si>
    <t>['128538']</t>
  </si>
  <si>
    <t>Sociedad Hormigones y BaldX</t>
  </si>
  <si>
    <t>['128543']</t>
  </si>
  <si>
    <t>18-01-2022</t>
  </si>
  <si>
    <t>['128547']</t>
  </si>
  <si>
    <t>['128544']</t>
  </si>
  <si>
    <t>CGRC36</t>
  </si>
  <si>
    <t>193765262</t>
  </si>
  <si>
    <t>['128558', '128559', '128560']</t>
  </si>
  <si>
    <t>['128561', '128562', '128563', '128564', '128565', '128566']</t>
  </si>
  <si>
    <t>['128570', '128578']</t>
  </si>
  <si>
    <t>['128545', '128546']</t>
  </si>
  <si>
    <t>['128575', '128576', '128581']</t>
  </si>
  <si>
    <t>['128574']</t>
  </si>
  <si>
    <t>['128552', '128553', '128554', '128555', '128556', '128557']</t>
  </si>
  <si>
    <t>['128577', '128580']</t>
  </si>
  <si>
    <t>['128549']['128550']</t>
  </si>
  <si>
    <t>['128569']['128567', '128568']</t>
  </si>
  <si>
    <t>19-01-2022</t>
  </si>
  <si>
    <t>['128589', '128590']</t>
  </si>
  <si>
    <t>['128609', '128610']</t>
  </si>
  <si>
    <t>['128608']</t>
  </si>
  <si>
    <t>NZ2385</t>
  </si>
  <si>
    <t>['128582']</t>
  </si>
  <si>
    <t>['128584']</t>
  </si>
  <si>
    <t>['128599', '128600']</t>
  </si>
  <si>
    <t>['128597', '128598']</t>
  </si>
  <si>
    <t>['128595', '128596']</t>
  </si>
  <si>
    <t>['128587', '128588']</t>
  </si>
  <si>
    <t>['128602', '128603', '128604', '128605']</t>
  </si>
  <si>
    <t>['128601']</t>
  </si>
  <si>
    <t>20-01-2022</t>
  </si>
  <si>
    <t>['128640']</t>
  </si>
  <si>
    <t>['128617']</t>
  </si>
  <si>
    <t>['128611']</t>
  </si>
  <si>
    <t>['128632', '128634', '128635', '128636', '128637', '128638', '128639']</t>
  </si>
  <si>
    <t>['128618', '128619', '128620', '128621', '128622', '128623', '128624', '128625', '128626', '128627', '128628', '128629', '128630', '128631']</t>
  </si>
  <si>
    <t>['128644', '128645']</t>
  </si>
  <si>
    <t>['128612', '128613', '128614', '128615', '128616']</t>
  </si>
  <si>
    <t>21-01-2022</t>
  </si>
  <si>
    <t>['128671']</t>
  </si>
  <si>
    <t>['128662']</t>
  </si>
  <si>
    <t>['128663', '128664', '128665', '128666', '128667', '128668', '128669']</t>
  </si>
  <si>
    <t>['128651', '128652', '128653', '128654', '128655', '128656', '128657', '128658', '128659', '128660', '128661', '128670']</t>
  </si>
  <si>
    <t>['128672']</t>
  </si>
  <si>
    <t>['128673', '128674', '128675', '128676']</t>
  </si>
  <si>
    <t>['128678']['128677']</t>
  </si>
  <si>
    <t>24-01-2022</t>
  </si>
  <si>
    <t>['128679']</t>
  </si>
  <si>
    <t>['128683']</t>
  </si>
  <si>
    <t>['128684']</t>
  </si>
  <si>
    <t>95707724</t>
  </si>
  <si>
    <t>['128682']</t>
  </si>
  <si>
    <t>['128685']</t>
  </si>
  <si>
    <t>['128700', '128701']</t>
  </si>
  <si>
    <t>['128688', '128689', '128690', '128691', '128692', '128693', '128694', '128695', '128696', '128697', '128698', '128699']</t>
  </si>
  <si>
    <t>['128686']</t>
  </si>
  <si>
    <t>['128702', '128703']</t>
  </si>
  <si>
    <t>['128705']</t>
  </si>
  <si>
    <t>['128704']</t>
  </si>
  <si>
    <t>25-01-2022</t>
  </si>
  <si>
    <t>['128734', '128735']</t>
  </si>
  <si>
    <t>['128709']</t>
  </si>
  <si>
    <t>['128738']</t>
  </si>
  <si>
    <t>['128737']</t>
  </si>
  <si>
    <t>['128736']</t>
  </si>
  <si>
    <t>['128711']</t>
  </si>
  <si>
    <t>['128739', '128740', '128741', '128742', '128743', '128744', '128745', '128746', '128747', '128748', '128749', '128750', '128751', '128752', '128753', '128754', '128755', '128756', '128757', '128758']</t>
  </si>
  <si>
    <t>['128759', '128760', '128761', '128762', '128763']</t>
  </si>
  <si>
    <t>125108338</t>
  </si>
  <si>
    <t>['128766', '128767']</t>
  </si>
  <si>
    <t>['128772']</t>
  </si>
  <si>
    <t>['128712']['128713', '128714', '128715', '128716', '128717', '128718', '128719', '128720', '128721']['128706']['128722', '128723', '128724', '128725', '128726', '128727', '128728', '128729', '128730', '128731', '128732']</t>
  </si>
  <si>
    <t>['128769']['128770', '128771']</t>
  </si>
  <si>
    <t>26-01-2022</t>
  </si>
  <si>
    <t>['128815']</t>
  </si>
  <si>
    <t>['128774']</t>
  </si>
  <si>
    <t>BPKD89</t>
  </si>
  <si>
    <t>['128814']</t>
  </si>
  <si>
    <t>BOTTAI S.A.</t>
  </si>
  <si>
    <t>['128775']</t>
  </si>
  <si>
    <t>['128773']</t>
  </si>
  <si>
    <t>['128795', '128796', '128797', '128798', '128799', '128800', '128801', '128802', '128803', '128804', '128805', '128806', '128807', '128808']</t>
  </si>
  <si>
    <t>['128809', '128810', '128811', '128812', '128813']</t>
  </si>
  <si>
    <t>['128777', '128778', '128779', '128780', '128781', '128782', '128783', '128784', '128785', '128786', '128787', '128788', '128789', '128790', '128791', '128792', '128793', '128794']</t>
  </si>
  <si>
    <t>['128776']</t>
  </si>
  <si>
    <t>['128824', '128825']</t>
  </si>
  <si>
    <t>['128821', '128822', '128823']</t>
  </si>
  <si>
    <t>['128819', '128820']</t>
  </si>
  <si>
    <t>['128826', '128827', '128828']</t>
  </si>
  <si>
    <t>27-01-2022</t>
  </si>
  <si>
    <t>['128829']</t>
  </si>
  <si>
    <t>['128867']</t>
  </si>
  <si>
    <t>['128852']</t>
  </si>
  <si>
    <t>['128841', '128842', '128843', '128844', '128845', '128846']</t>
  </si>
  <si>
    <t>['128835', '128836', '128837', '128838', '128839', '128840']</t>
  </si>
  <si>
    <t>['128848', '128849', '128850']</t>
  </si>
  <si>
    <t>['128830', '128831', '128832', '128833', '128834']</t>
  </si>
  <si>
    <t>129975819</t>
  </si>
  <si>
    <t>['128851']</t>
  </si>
  <si>
    <t>['128861', '128862', '128863', '128864', '128865']</t>
  </si>
  <si>
    <t>28-01-2022</t>
  </si>
  <si>
    <t>['128869']</t>
  </si>
  <si>
    <t>['128881', '128882', '128883', '128884', '128885', '128886', '128887', '128888', '128889']</t>
  </si>
  <si>
    <t>['128870', '128871', '128872', '128873', '128874', '128875', '128876', '128877', '128878', '128879']</t>
  </si>
  <si>
    <t>['128890', '128891']</t>
  </si>
  <si>
    <t>['128892', '128893', '128894', '128895', '128896']</t>
  </si>
  <si>
    <t>31-01-2022</t>
  </si>
  <si>
    <t>['128899']</t>
  </si>
  <si>
    <t>['128902']</t>
  </si>
  <si>
    <t>['128920', '128921']</t>
  </si>
  <si>
    <t>['128905', '128906']</t>
  </si>
  <si>
    <t>['128907', '128908', '128909']</t>
  </si>
  <si>
    <t>['128913', '128914', '128915', '128916']</t>
  </si>
  <si>
    <t>['128912']</t>
  </si>
  <si>
    <t>['128911']</t>
  </si>
  <si>
    <t>['128910']</t>
  </si>
  <si>
    <t>['128919']['128917', '128918']</t>
  </si>
  <si>
    <t>01-02-2022</t>
  </si>
  <si>
    <t>['128947', '128948', '128949']</t>
  </si>
  <si>
    <t>['128933']</t>
  </si>
  <si>
    <t>['128934']</t>
  </si>
  <si>
    <t>['128930']</t>
  </si>
  <si>
    <t>['128928', '128929', '128935']</t>
  </si>
  <si>
    <t>['128936', '128937', '128938', '128939']</t>
  </si>
  <si>
    <t>['128940', '128941', '128942', '128943', '128944', '128945']</t>
  </si>
  <si>
    <t>['128956']</t>
  </si>
  <si>
    <t>['128950', '128951', '128952', '128953', '128955']</t>
  </si>
  <si>
    <t>['128957']</t>
  </si>
  <si>
    <t>['128927']['128926']</t>
  </si>
  <si>
    <t>02-02-2022</t>
  </si>
  <si>
    <t>['128958']</t>
  </si>
  <si>
    <t>['128998']</t>
  </si>
  <si>
    <t>['128963']</t>
  </si>
  <si>
    <t>['128973', '128974', '128977', '128978', '128979']</t>
  </si>
  <si>
    <t>['128959']</t>
  </si>
  <si>
    <t>['128964', '128965', '128966', '128967']</t>
  </si>
  <si>
    <t>['128960', '128961']</t>
  </si>
  <si>
    <t>['128968', '128969', '128970', '128971', '128972']</t>
  </si>
  <si>
    <t>['129000', '129001', '129002', '129003']</t>
  </si>
  <si>
    <t>['129004', '129005']</t>
  </si>
  <si>
    <t>['129006']</t>
  </si>
  <si>
    <t>['128980', '128982', '128983', '128984', '128985', '128986', '128987', '128988', '128989', '128990']['128981']</t>
  </si>
  <si>
    <t>03-02-2022</t>
  </si>
  <si>
    <t>['129048', '129049', '129050']</t>
  </si>
  <si>
    <t>['129043']</t>
  </si>
  <si>
    <t>['129045']</t>
  </si>
  <si>
    <t>Constructora Mauricio GutiX</t>
  </si>
  <si>
    <t>['129057', '129058', '129059']</t>
  </si>
  <si>
    <t>['129015']</t>
  </si>
  <si>
    <t>['129041', '129042']</t>
  </si>
  <si>
    <t>['129036', '129037', '129038', '129039', '129040']</t>
  </si>
  <si>
    <t>['129010']</t>
  </si>
  <si>
    <t>['129013', '129014']</t>
  </si>
  <si>
    <t>['129007', '129008']</t>
  </si>
  <si>
    <t>['129023', '129024', '129025', '129026', '129027', '129028', '129029', '129030', '129031', '129032', '129033', '129034']</t>
  </si>
  <si>
    <t>['129051', '129052', '129053', '129054', '129055', '129056']</t>
  </si>
  <si>
    <t>04-02-2022</t>
  </si>
  <si>
    <t>['129080', '129081', '129082']</t>
  </si>
  <si>
    <t>['129065']</t>
  </si>
  <si>
    <t>['129067']</t>
  </si>
  <si>
    <t>['129078']</t>
  </si>
  <si>
    <t>['129069', '129070', '129071', '129072', '129073', '129074', '129075', '129076', '129077']</t>
  </si>
  <si>
    <t>['129079']</t>
  </si>
  <si>
    <t>DSJR93</t>
  </si>
  <si>
    <t>123181255</t>
  </si>
  <si>
    <t>['129084', '129085']</t>
  </si>
  <si>
    <t>['129086', '129087', '129088', '129089']</t>
  </si>
  <si>
    <t>['129064']</t>
  </si>
  <si>
    <t>07-02-2022</t>
  </si>
  <si>
    <t>['129090', '129098']</t>
  </si>
  <si>
    <t>['129092']</t>
  </si>
  <si>
    <t>['129100']</t>
  </si>
  <si>
    <t>['129099']</t>
  </si>
  <si>
    <t>['129110', '129111']</t>
  </si>
  <si>
    <t>['129108', '129109']</t>
  </si>
  <si>
    <t>['129094']</t>
  </si>
  <si>
    <t>['129096', '129097']</t>
  </si>
  <si>
    <t>['129113', '129114', '129115', '129116', '129117']</t>
  </si>
  <si>
    <t>['129091']</t>
  </si>
  <si>
    <t>08-02-2022</t>
  </si>
  <si>
    <t>['129131', '129132', '129133', '129134']</t>
  </si>
  <si>
    <t>['129149']</t>
  </si>
  <si>
    <t>['129138']</t>
  </si>
  <si>
    <t>['129140']</t>
  </si>
  <si>
    <t>['129135']</t>
  </si>
  <si>
    <t>['129124']</t>
  </si>
  <si>
    <t>['129125', '129126', '129127']</t>
  </si>
  <si>
    <t>['129128']</t>
  </si>
  <si>
    <t>['129142', '129143', '129144', '129145', '129146', '129147']</t>
  </si>
  <si>
    <t>['129141']</t>
  </si>
  <si>
    <t>09-02-2022</t>
  </si>
  <si>
    <t>['129163', '129164', '129165']</t>
  </si>
  <si>
    <t>['129172', '129173']</t>
  </si>
  <si>
    <t>['129155']</t>
  </si>
  <si>
    <t>['129156']</t>
  </si>
  <si>
    <t>['129162']</t>
  </si>
  <si>
    <t>['129153']</t>
  </si>
  <si>
    <t>['129150']</t>
  </si>
  <si>
    <t>['129171']</t>
  </si>
  <si>
    <t>['129158', '129159']</t>
  </si>
  <si>
    <t>['129152']</t>
  </si>
  <si>
    <t>['129160', '129161']</t>
  </si>
  <si>
    <t>['129154']</t>
  </si>
  <si>
    <t>['129157']</t>
  </si>
  <si>
    <t>['129169', '129170']</t>
  </si>
  <si>
    <t>10-02-2022</t>
  </si>
  <si>
    <t>['129175']</t>
  </si>
  <si>
    <t>['129176', '129177']</t>
  </si>
  <si>
    <t>['129179']</t>
  </si>
  <si>
    <t>['129174']</t>
  </si>
  <si>
    <t>['129188', '129189']</t>
  </si>
  <si>
    <t>['129184', '129185']</t>
  </si>
  <si>
    <t>['129181', '129182', '129183']</t>
  </si>
  <si>
    <t>['129186']</t>
  </si>
  <si>
    <t>['129180']</t>
  </si>
  <si>
    <t>['129193']</t>
  </si>
  <si>
    <t>['129187']</t>
  </si>
  <si>
    <t>['129190', '129191', '129192']</t>
  </si>
  <si>
    <t>['129194', '129195', '129196', '129197', '129198']</t>
  </si>
  <si>
    <t>11-02-2022</t>
  </si>
  <si>
    <t>['129199']</t>
  </si>
  <si>
    <t>['129215']</t>
  </si>
  <si>
    <t>['129216', '129217', '129218']</t>
  </si>
  <si>
    <t>['129219', '129220', '129221']</t>
  </si>
  <si>
    <t>['129211', '129212', '129213', '129214']</t>
  </si>
  <si>
    <t>['129200', '129201', '129202', '129203', '129204', '129205', '129206', '129207', '129208']</t>
  </si>
  <si>
    <t>['129209', '129210']</t>
  </si>
  <si>
    <t>DCRX99</t>
  </si>
  <si>
    <t>78778995</t>
  </si>
  <si>
    <t>['129224']</t>
  </si>
  <si>
    <t>['129222', '129223']</t>
  </si>
  <si>
    <t>['129093']['129104', '129105', '129106', '129107']</t>
  </si>
  <si>
    <t>['129129']['129130']</t>
  </si>
  <si>
    <t>['129122', '129123']['129137']</t>
  </si>
  <si>
    <t>['129136']['129121']</t>
  </si>
  <si>
    <t>['129166', '129167', '129168']['129151']</t>
  </si>
  <si>
    <t>['129227']['129225', '129226']</t>
  </si>
  <si>
    <t>15-02-2022</t>
  </si>
  <si>
    <t>['129281']</t>
  </si>
  <si>
    <t>['129278', '129279']</t>
  </si>
  <si>
    <t>['129308']</t>
  </si>
  <si>
    <t>['129307']</t>
  </si>
  <si>
    <t>['129302', '129303']</t>
  </si>
  <si>
    <t>['129287', '129288', '129289', '129290', '129291', '129292', '129293', '129294', '129295']</t>
  </si>
  <si>
    <t>16-02-2022</t>
  </si>
  <si>
    <t>['129338']</t>
  </si>
  <si>
    <t>['129332']</t>
  </si>
  <si>
    <t>['129349', '129350']</t>
  </si>
  <si>
    <t>['129334']</t>
  </si>
  <si>
    <t>['129309']</t>
  </si>
  <si>
    <t>['129326', '129327', '129328', '129329', '129330', '129331']</t>
  </si>
  <si>
    <t>['129341', '129342', '129343', '129344']</t>
  </si>
  <si>
    <t>['129339', '129340']</t>
  </si>
  <si>
    <t>['129345', '129346', '129347', '129348']</t>
  </si>
  <si>
    <t>['129335', '129336']</t>
  </si>
  <si>
    <t>['129351']</t>
  </si>
  <si>
    <t>17-02-2022</t>
  </si>
  <si>
    <t>['129359']</t>
  </si>
  <si>
    <t>['129352']</t>
  </si>
  <si>
    <t>['129355', '129356']</t>
  </si>
  <si>
    <t>['129358']</t>
  </si>
  <si>
    <t>['129372', '129373']</t>
  </si>
  <si>
    <t>['129360', '129361', '129362', '129363', '129364', '129365', '129366', '129367', '129368', '129369']</t>
  </si>
  <si>
    <t>18-02-2022</t>
  </si>
  <si>
    <t>['129382']</t>
  </si>
  <si>
    <t>['129383']</t>
  </si>
  <si>
    <t>['129415']</t>
  </si>
  <si>
    <t>['129394', '129395', '129396', '129397', '129398', '129399', '129400', '129401', '129402']</t>
  </si>
  <si>
    <t>['129406']</t>
  </si>
  <si>
    <t>['129385', '129386', '129387', '129388', '129389', '129390', '129391', '129392', '129393']</t>
  </si>
  <si>
    <t>['129403', '129404', '129405']</t>
  </si>
  <si>
    <t>['129407', '129408', '129409', '129410']</t>
  </si>
  <si>
    <t>21-02-2022</t>
  </si>
  <si>
    <t>['129442']</t>
  </si>
  <si>
    <t>['129424']</t>
  </si>
  <si>
    <t>['129421']</t>
  </si>
  <si>
    <t>['129454', '129455']</t>
  </si>
  <si>
    <t>['129452', '129453']</t>
  </si>
  <si>
    <t>['129435', '129436', '129437', '129438']</t>
  </si>
  <si>
    <t>1693509K</t>
  </si>
  <si>
    <t>['129439']</t>
  </si>
  <si>
    <t>['129422', '129423']</t>
  </si>
  <si>
    <t>['129420']</t>
  </si>
  <si>
    <t>['129440']</t>
  </si>
  <si>
    <t>BPHS56</t>
  </si>
  <si>
    <t>104966535</t>
  </si>
  <si>
    <t>['129443', '129444']</t>
  </si>
  <si>
    <t>['129445', '129446']</t>
  </si>
  <si>
    <t>22-02-2022</t>
  </si>
  <si>
    <t>['129487', '129488', '129489']</t>
  </si>
  <si>
    <t>['129490']</t>
  </si>
  <si>
    <t>['129472']</t>
  </si>
  <si>
    <t>725654391</t>
  </si>
  <si>
    <t>['129456']</t>
  </si>
  <si>
    <t>['129479']</t>
  </si>
  <si>
    <t>['129473', '129474']</t>
  </si>
  <si>
    <t>['129477', '129478']</t>
  </si>
  <si>
    <t>['129460', '129461', '129462', '129463', '129464', '129465', '129466', '129467', '129468', '129469', '129470', '129471']</t>
  </si>
  <si>
    <t>['129459']</t>
  </si>
  <si>
    <t>['129480', '129481', '129482', '129483', '129484', '129485', '129486']</t>
  </si>
  <si>
    <t>23-02-2022</t>
  </si>
  <si>
    <t>['129543']</t>
  </si>
  <si>
    <t>['129491', '129492']</t>
  </si>
  <si>
    <t>['129515']</t>
  </si>
  <si>
    <t>['129544']</t>
  </si>
  <si>
    <t>['129542']</t>
  </si>
  <si>
    <t>['129512']</t>
  </si>
  <si>
    <t>['129547', '129548']</t>
  </si>
  <si>
    <t>['129549', '129550']</t>
  </si>
  <si>
    <t>['129532', '129533', '129534', '129535', '129536', '129537', '129538', '129539', '129540', '129541']</t>
  </si>
  <si>
    <t>['129513', '129514']</t>
  </si>
  <si>
    <t>['129556', '129557']</t>
  </si>
  <si>
    <t>['129553', '129554', '129555']</t>
  </si>
  <si>
    <t>24-02-2022</t>
  </si>
  <si>
    <t>['129567']</t>
  </si>
  <si>
    <t>['129568']</t>
  </si>
  <si>
    <t>['129580']</t>
  </si>
  <si>
    <t>['129559']</t>
  </si>
  <si>
    <t>['129558']</t>
  </si>
  <si>
    <t>['129569', '129570', '129571', '129572', '129573', '129574', '129575', '129576', '129577', '129578', '129579']</t>
  </si>
  <si>
    <t>['129560', '129561', '129562', '129563', '129564', '129565', '129566']</t>
  </si>
  <si>
    <t>25-02-2022</t>
  </si>
  <si>
    <t>100822326</t>
  </si>
  <si>
    <t>['129605']</t>
  </si>
  <si>
    <t>['129584', '129585']</t>
  </si>
  <si>
    <t>['129607', '129608']</t>
  </si>
  <si>
    <t>DCRX92</t>
  </si>
  <si>
    <t>['129591', '129592']</t>
  </si>
  <si>
    <t>DYZH29</t>
  </si>
  <si>
    <t>['129586']</t>
  </si>
  <si>
    <t>['129606']</t>
  </si>
  <si>
    <t>['129604']</t>
  </si>
  <si>
    <t>['129590']</t>
  </si>
  <si>
    <t>['129601']</t>
  </si>
  <si>
    <t>['129593', '129594', '129595', '129596', '129597', '129598', '129599', '129600']</t>
  </si>
  <si>
    <t>['129282', '129285']['129284']</t>
  </si>
  <si>
    <t>['129296', '129298', '129299', '129300', '129301']'129297']</t>
  </si>
  <si>
    <t>['129310', '129311', '129312', '129313', '129314', '129315', '129316', '129317', '129319', '129320', '129321', '129322', '129323', '129324', '129325']'129318']</t>
  </si>
  <si>
    <t>['129376', '129377', '129378', '129380', '129381']'129379']</t>
  </si>
  <si>
    <t>['129417']['129416']</t>
  </si>
  <si>
    <t>['129411', '129413', '129414']'129412']</t>
  </si>
  <si>
    <t>['129425', '129426', '129427', '129428', '129429', '129431', '129432', '129433', '129434']['129430']</t>
  </si>
  <si>
    <t>['129448', '129449', '129451']['129450']</t>
  </si>
  <si>
    <t>['129475']['129476']</t>
  </si>
  <si>
    <t>['129581']['129582']</t>
  </si>
  <si>
    <t>['129589']['129587', '129588']</t>
  </si>
  <si>
    <t>28-02-2022</t>
  </si>
  <si>
    <t>['129609', '129610']</t>
  </si>
  <si>
    <t>CJXX69</t>
  </si>
  <si>
    <t>['129626']</t>
  </si>
  <si>
    <t>['129641']</t>
  </si>
  <si>
    <t>['129625']</t>
  </si>
  <si>
    <t>['129613', '129614', '129615', '129616', '129617', '129618', '129619', '129620', '129621', '129622', '129623']</t>
  </si>
  <si>
    <t>['129611', '129612']</t>
  </si>
  <si>
    <t>['129627']</t>
  </si>
  <si>
    <t>['129634', '129635']</t>
  </si>
  <si>
    <t>['129629', '129630', '129631', '129632', '129633']</t>
  </si>
  <si>
    <t>['129636', '129637']</t>
  </si>
  <si>
    <t>01-03-2022</t>
  </si>
  <si>
    <t>['129639']</t>
  </si>
  <si>
    <t>['129650', '129651', '129652', '129653', '129654', '129655', '129656', '129657']</t>
  </si>
  <si>
    <t>['129643', '129644', '129645', '129646', '129647', '129648', '129649']</t>
  </si>
  <si>
    <t>['129660']</t>
  </si>
  <si>
    <t>['129664']['129663']</t>
  </si>
  <si>
    <t>02-03-2022</t>
  </si>
  <si>
    <t>['129693']</t>
  </si>
  <si>
    <t>['129686', '129687']</t>
  </si>
  <si>
    <t>['129682', '129683']</t>
  </si>
  <si>
    <t>['129681']</t>
  </si>
  <si>
    <t>['129678', '129679', '129680']</t>
  </si>
  <si>
    <t>['129673', '129674', '129675', '129676', '129677']</t>
  </si>
  <si>
    <t>162559923</t>
  </si>
  <si>
    <t>SGYC12</t>
  </si>
  <si>
    <t>['129684', '129685']</t>
  </si>
  <si>
    <t>['129690']['129691', '129692']</t>
  </si>
  <si>
    <t>['129671']['129670']</t>
  </si>
  <si>
    <t>03-03-2022</t>
  </si>
  <si>
    <t>['129711']</t>
  </si>
  <si>
    <t>['129717', '129718']</t>
  </si>
  <si>
    <t>789078355</t>
  </si>
  <si>
    <t>['129708', '129709', '129710']</t>
  </si>
  <si>
    <t>['129704', '129705']</t>
  </si>
  <si>
    <t>['129697', '129698', '129699', '129700', '129701', '129702', '129703']</t>
  </si>
  <si>
    <t>['129706', '129707']</t>
  </si>
  <si>
    <t>['129695', '129696']</t>
  </si>
  <si>
    <t>['129715']['129716']</t>
  </si>
  <si>
    <t>04-03-2022</t>
  </si>
  <si>
    <t>['129749', '129750']</t>
  </si>
  <si>
    <t>['129734', '129735']</t>
  </si>
  <si>
    <t>['129736', '129737']</t>
  </si>
  <si>
    <t>['129726', '129727', '129728', '129729', '129730', '129731', '129732', '129733']</t>
  </si>
  <si>
    <t>['129723', '129724']</t>
  </si>
  <si>
    <t>['129742', '129743', '129744', '129745', '129746', '129747']</t>
  </si>
  <si>
    <t>['129748']</t>
  </si>
  <si>
    <t>07-03-2022</t>
  </si>
  <si>
    <t>['129753']</t>
  </si>
  <si>
    <t>['129756']</t>
  </si>
  <si>
    <t>['129769', '129770', '129771', '129772', '129773']</t>
  </si>
  <si>
    <t>['129774']</t>
  </si>
  <si>
    <t>['129751', '129752']</t>
  </si>
  <si>
    <t>['129757']</t>
  </si>
  <si>
    <t>['129758', '129759', '129760', '129763', '129764', '129765', '129766', '129767', '129768']['129761', '129762']</t>
  </si>
  <si>
    <t>08-03-2022</t>
  </si>
  <si>
    <t>['129787']</t>
  </si>
  <si>
    <t>['129802']</t>
  </si>
  <si>
    <t>['129785']</t>
  </si>
  <si>
    <t>['129786']</t>
  </si>
  <si>
    <t>['129790']</t>
  </si>
  <si>
    <t>['129791']</t>
  </si>
  <si>
    <t>['129793', '129794', '129795', '129796', '129797', '129798', '129799']</t>
  </si>
  <si>
    <t>['129784']</t>
  </si>
  <si>
    <t>['129792']</t>
  </si>
  <si>
    <t>['129800', '129801']</t>
  </si>
  <si>
    <t>['129806', '129807']['129804', '129805']</t>
  </si>
  <si>
    <t>09-03-2022</t>
  </si>
  <si>
    <t>['129813', '129814']</t>
  </si>
  <si>
    <t>['129809']</t>
  </si>
  <si>
    <t>['129810']</t>
  </si>
  <si>
    <t>['129829', '129830']</t>
  </si>
  <si>
    <t>['129822', '129823', '129824', '129825', '129826', '129827', '129828']</t>
  </si>
  <si>
    <t>['129820', '129821']</t>
  </si>
  <si>
    <t>['129817', '129818', '129819']</t>
  </si>
  <si>
    <t>['129815', '129816']</t>
  </si>
  <si>
    <t>10-03-2022</t>
  </si>
  <si>
    <t>['129838']</t>
  </si>
  <si>
    <t>['129839', '129840']</t>
  </si>
  <si>
    <t>['129831']['129832']['129837']</t>
  </si>
  <si>
    <t>11-03-2022</t>
  </si>
  <si>
    <t>['129841']</t>
  </si>
  <si>
    <t>['129876', '129877', '129878']</t>
  </si>
  <si>
    <t>['129868', '129869', '129870']</t>
  </si>
  <si>
    <t>['129863', '129864', '129865', '129866', '129867']</t>
  </si>
  <si>
    <t>['129871', '129872', '129873']</t>
  </si>
  <si>
    <t>['129843']</t>
  </si>
  <si>
    <t>['129879', '129880', '129881']</t>
  </si>
  <si>
    <t>['129883']</t>
  </si>
  <si>
    <t>['129845', '129846', '129848', '129849', '129850', '129851', '129852', '129853', '129854', '129855', '129856', '129857', '129858', '129859', '129860']['129847']</t>
  </si>
  <si>
    <t>14-03-2022</t>
  </si>
  <si>
    <t>VILLA ALEMANA</t>
  </si>
  <si>
    <t>['129886']</t>
  </si>
  <si>
    <t>['129922']</t>
  </si>
  <si>
    <t>['129887', '129888', '129889', '129890', '129891', '129892', '129893', '129894', '129895', '129896', '129897', '129898', '129899', '129900', '129901', '129902']</t>
  </si>
  <si>
    <t>['129917', '129918']</t>
  </si>
  <si>
    <t>['129914']</t>
  </si>
  <si>
    <t>['129924']</t>
  </si>
  <si>
    <t>['129921']</t>
  </si>
  <si>
    <t>['129919', '129920']</t>
  </si>
  <si>
    <t>['129915']['129916']</t>
  </si>
  <si>
    <t>['129905', '129906', '129908', '129909', '129910']['129911']</t>
  </si>
  <si>
    <t>15-03-2022</t>
  </si>
  <si>
    <t>['129948', '129949']</t>
  </si>
  <si>
    <t>['129954']</t>
  </si>
  <si>
    <t>['129925']</t>
  </si>
  <si>
    <t>['129928', '129929', '129930', '129931', '129932', '129933', '129934', '129935', '129936', '129937', '129938', '129939', '129940', '129941', '129942', '129943', '129944', '129945', '129946', '129947']</t>
  </si>
  <si>
    <t>['129968', '129969', '129970', '129971', '129972']</t>
  </si>
  <si>
    <t>['129955', '129956', '129957', '129958', '129959', '129960', '129961', '129962']</t>
  </si>
  <si>
    <t>['129963', '129964', '129965', '129966', '129967', '129973']</t>
  </si>
  <si>
    <t>['129974', '129975']</t>
  </si>
  <si>
    <t>16-03-2022</t>
  </si>
  <si>
    <t>['130006']</t>
  </si>
  <si>
    <t>['129976']</t>
  </si>
  <si>
    <t>['129977']</t>
  </si>
  <si>
    <t>CONSTRUCTORA NOVATEC EDIFIX</t>
  </si>
  <si>
    <t>['130007']</t>
  </si>
  <si>
    <t>['130008']</t>
  </si>
  <si>
    <t>['129988', '129989', '129990', '129991', '129992', '129993', '129994']</t>
  </si>
  <si>
    <t>['129978', '129979']</t>
  </si>
  <si>
    <t>['129980', '129981', '129982', '129983']</t>
  </si>
  <si>
    <t>78997355</t>
  </si>
  <si>
    <t>['130009']</t>
  </si>
  <si>
    <t>['130001', '130002', '130003', '130004', '130005']</t>
  </si>
  <si>
    <t>['129986']['129984', '129985', '129987']</t>
  </si>
  <si>
    <t>['129995']['129996']['129997']</t>
  </si>
  <si>
    <t>17-03-2022</t>
  </si>
  <si>
    <t>['130015']</t>
  </si>
  <si>
    <t>['130016', '130033']</t>
  </si>
  <si>
    <t>['130038', '130039']</t>
  </si>
  <si>
    <t>['130017']</t>
  </si>
  <si>
    <t>['130035', '130036']</t>
  </si>
  <si>
    <t>['130029', '130030']</t>
  </si>
  <si>
    <t>['130020', '130021', '130022', '130023', '130024', '130025', '130026', '130027', '130028']</t>
  </si>
  <si>
    <t>['130012', '130013', '130014']</t>
  </si>
  <si>
    <t>['130031']</t>
  </si>
  <si>
    <t>['130034']</t>
  </si>
  <si>
    <t>18-03-2022</t>
  </si>
  <si>
    <t>['130041']</t>
  </si>
  <si>
    <t>['130043']</t>
  </si>
  <si>
    <t>['130042']</t>
  </si>
  <si>
    <t>['130060', '130061']</t>
  </si>
  <si>
    <t>['130049']</t>
  </si>
  <si>
    <t>['130050', '130052', '130053', '130054', '130055', '130056']['130051']</t>
  </si>
  <si>
    <t>22-03-2022</t>
  </si>
  <si>
    <t>['130085']</t>
  </si>
  <si>
    <t>['130068']</t>
  </si>
  <si>
    <t>['130067']</t>
  </si>
  <si>
    <t>['130082']</t>
  </si>
  <si>
    <t>['130084']</t>
  </si>
  <si>
    <t>['130069']</t>
  </si>
  <si>
    <t>['130075', '130076']</t>
  </si>
  <si>
    <t>['130071', '130072', '130073']</t>
  </si>
  <si>
    <t>['130074']</t>
  </si>
  <si>
    <t>['130096', '130097']</t>
  </si>
  <si>
    <t>['130094', '130095']</t>
  </si>
  <si>
    <t>['130090', '130091']['130088', '130089']</t>
  </si>
  <si>
    <t>['130079', '130080']['130078', '130083']</t>
  </si>
  <si>
    <t>23-03-2022</t>
  </si>
  <si>
    <t>['130125']</t>
  </si>
  <si>
    <t>['130098']</t>
  </si>
  <si>
    <t>['130100']</t>
  </si>
  <si>
    <t>['130128']</t>
  </si>
  <si>
    <t>['130119', '130120', '130121', '130122']</t>
  </si>
  <si>
    <t>['130124']</t>
  </si>
  <si>
    <t>['130123']</t>
  </si>
  <si>
    <t>['130118']</t>
  </si>
  <si>
    <t>['130131', '130132', '130133', '130134', '130135', '130136', '130137']</t>
  </si>
  <si>
    <t>['130129', '130130']</t>
  </si>
  <si>
    <t>1074643206</t>
  </si>
  <si>
    <t>['130142', '130143']</t>
  </si>
  <si>
    <t>24-03-2022</t>
  </si>
  <si>
    <t>['130152']</t>
  </si>
  <si>
    <t>['130147']</t>
  </si>
  <si>
    <t>['130144']</t>
  </si>
  <si>
    <t>957077334</t>
  </si>
  <si>
    <t>['130155']</t>
  </si>
  <si>
    <t>['130157']</t>
  </si>
  <si>
    <t>['130156']</t>
  </si>
  <si>
    <t>['130145']</t>
  </si>
  <si>
    <t>['130154']</t>
  </si>
  <si>
    <t>['130160']</t>
  </si>
  <si>
    <t>['130107', '130108', '130110', '130111', '130112', '130113', '130114', '130115', '130116', '130117']['130109']</t>
  </si>
  <si>
    <t>['130126']['130127']</t>
  </si>
  <si>
    <t>['130140']['130141']</t>
  </si>
  <si>
    <t>25-03-2022</t>
  </si>
  <si>
    <t>['130162']</t>
  </si>
  <si>
    <t>['130161']</t>
  </si>
  <si>
    <t>['130186']</t>
  </si>
  <si>
    <t>['130164']</t>
  </si>
  <si>
    <t>['130183', '130184', '130185']</t>
  </si>
  <si>
    <t>['130180']</t>
  </si>
  <si>
    <t>['130181', '130182']</t>
  </si>
  <si>
    <t>['130172', '130174', '130175', '130176', '130177', '130178', '130179']['130173']</t>
  </si>
  <si>
    <t>28-03-2022</t>
  </si>
  <si>
    <t>['130190']</t>
  </si>
  <si>
    <t>['130187']</t>
  </si>
  <si>
    <t>['130188']</t>
  </si>
  <si>
    <t>['130189']</t>
  </si>
  <si>
    <t>['130191', '130192', '130193', '130194', '130195', '130196', '130197', '130198', '130199']</t>
  </si>
  <si>
    <t>['130222']</t>
  </si>
  <si>
    <t>['130219', '130220', '130221']</t>
  </si>
  <si>
    <t>['130213']</t>
  </si>
  <si>
    <t>['130214']</t>
  </si>
  <si>
    <t>['130217']</t>
  </si>
  <si>
    <t>['130207', '130208', '130209', '130210']['130211']</t>
  </si>
  <si>
    <t>['130200', '130201', '130202', '130203', '130205', '130206']['130204']</t>
  </si>
  <si>
    <t>29-03-2022</t>
  </si>
  <si>
    <t>['130223']</t>
  </si>
  <si>
    <t>['130224']</t>
  </si>
  <si>
    <t>['130233', '130234']</t>
  </si>
  <si>
    <t>['130229']</t>
  </si>
  <si>
    <t>['130238']</t>
  </si>
  <si>
    <t>['130236', '130237']</t>
  </si>
  <si>
    <t>['130235']</t>
  </si>
  <si>
    <t>['130228']['130227']</t>
  </si>
  <si>
    <t>['130226']['130225']</t>
  </si>
  <si>
    <t>['130231']['130230']</t>
  </si>
  <si>
    <t>30-03-2022</t>
  </si>
  <si>
    <t>['130239', '130240']</t>
  </si>
  <si>
    <t>['130284', '130285']</t>
  </si>
  <si>
    <t>['130242', '130243']</t>
  </si>
  <si>
    <t>['130244', '130245', '130246']</t>
  </si>
  <si>
    <t>['130266', '130267', '130268']</t>
  </si>
  <si>
    <t>['130262', '130263', '130264', '130265']</t>
  </si>
  <si>
    <t>['130254', '130255', '130256', '130257', '130258', '130259', '130260', '130261']</t>
  </si>
  <si>
    <t>9849407*3</t>
  </si>
  <si>
    <t>['130287']</t>
  </si>
  <si>
    <t>HUALAÑE</t>
  </si>
  <si>
    <t>['130283']</t>
  </si>
  <si>
    <t>['130271', '130272', '130273', '130274', '130275', '130276', '130277']</t>
  </si>
  <si>
    <t>['130281', '130282']</t>
  </si>
  <si>
    <t>['130252', '130269']['130251']</t>
  </si>
  <si>
    <t>['130279']['130280']</t>
  </si>
  <si>
    <t>['130248', '130250']['130249']</t>
  </si>
  <si>
    <t>31-03-2022</t>
  </si>
  <si>
    <t>['130316']</t>
  </si>
  <si>
    <t>['130295']</t>
  </si>
  <si>
    <t>['130294']</t>
  </si>
  <si>
    <t>['130296']</t>
  </si>
  <si>
    <t>['130310']</t>
  </si>
  <si>
    <t>['130317']</t>
  </si>
  <si>
    <t>['130313']</t>
  </si>
  <si>
    <t>['130315']</t>
  </si>
  <si>
    <t>['130288', '130289']</t>
  </si>
  <si>
    <t>['130292', '130293']</t>
  </si>
  <si>
    <t>['130290', '130291']</t>
  </si>
  <si>
    <t>['130307', '130308']</t>
  </si>
  <si>
    <t>['130309']</t>
  </si>
  <si>
    <t>['130299', '130300', '130301', '130302', '130303', '130304', '130305', '130306']</t>
  </si>
  <si>
    <t>['130314']</t>
  </si>
  <si>
    <t>01-04-2022</t>
  </si>
  <si>
    <t>['130329', '130330', '130331', '130332', '130333', '130334', '130335', '130336', '130337', '130338']</t>
  </si>
  <si>
    <t>['130318']</t>
  </si>
  <si>
    <t>['130324', '130325']</t>
  </si>
  <si>
    <t>['130326', '130327', '130328']</t>
  </si>
  <si>
    <t>['130319', '130320', '130321', '130322', '130323']</t>
  </si>
  <si>
    <t>['130350']</t>
  </si>
  <si>
    <t>['130360', '130361']</t>
  </si>
  <si>
    <t>['130351', '130352', '130353', '130354', '130355', '130356', '130357', '130358', '130359']</t>
  </si>
  <si>
    <t>['130339', '130342', '130343', '130344', '130345', '130346', '130347', '130348', '130349']['130340', '130341']</t>
  </si>
  <si>
    <t>04-04-2022</t>
  </si>
  <si>
    <t>['130367']</t>
  </si>
  <si>
    <t>XXXXXXXXX</t>
  </si>
  <si>
    <t>['130366']</t>
  </si>
  <si>
    <t>['130369']</t>
  </si>
  <si>
    <t>['130363']</t>
  </si>
  <si>
    <t>['130395', '130396', '130397', '130398', '130399', '130400', '130401', '130402', '130403', '130405', '130406', '130407', '130408', '130409', '130410', '130411', '130412', '130413', '130414', '130415', '130416', '130417', '130418', '130419']</t>
  </si>
  <si>
    <t>['130374', '130375', '130376', '130377', '130378']</t>
  </si>
  <si>
    <t>['130420', '130421', '130423', '130424', '130426', '130427', '130428', '130429', '130430', '130431', '130432', '130433', '130434', '130435', '130436', '130437', '130439', '130440', '130441', '130442', '130443', '130444']['130425']['130422']['130438']</t>
  </si>
  <si>
    <t>['130379', '130380', '130381', '130382', '130383', '130384', '130385', '130386', '130387', '130388', '130389', '130390', '130391', '130392', '130393']['130394']</t>
  </si>
  <si>
    <t>['130370', '130371']['130372']</t>
  </si>
  <si>
    <t>05-04-2022</t>
  </si>
  <si>
    <t>['130446']</t>
  </si>
  <si>
    <t>['130445']</t>
  </si>
  <si>
    <t>['130447']</t>
  </si>
  <si>
    <t>['130458', '130459']</t>
  </si>
  <si>
    <t>['130448', '130449', '130450', '130451', '130452', '130453', '130454', '130455', '130456', '130457']</t>
  </si>
  <si>
    <t>['130460', '130461', '130462', '130463', '130464', '130465', '130466', '130467', '130468', '130469']</t>
  </si>
  <si>
    <t>563173292</t>
  </si>
  <si>
    <t>['130479']</t>
  </si>
  <si>
    <t>['130486', '130487']</t>
  </si>
  <si>
    <t>['130483']['130481', '130482']['130480']</t>
  </si>
  <si>
    <t>['130470', '130471', '130472', '130473', '130474', '130475', '130476', '130477']['130478']</t>
  </si>
  <si>
    <t>['130485']['130484']</t>
  </si>
  <si>
    <t>06-04-2022</t>
  </si>
  <si>
    <t>['130494']</t>
  </si>
  <si>
    <t>['130493']</t>
  </si>
  <si>
    <t>['130510', '130511', '130512']</t>
  </si>
  <si>
    <t>['130507', '130508']</t>
  </si>
  <si>
    <t>['130489', '130490']</t>
  </si>
  <si>
    <t>['130497', '130498', '130499', '130500', '130501', '130502', '130503', '130504', '130505', '130506']</t>
  </si>
  <si>
    <t>['130513']</t>
  </si>
  <si>
    <t>CURACAUTIN</t>
  </si>
  <si>
    <t>BATUCO</t>
  </si>
  <si>
    <t>['130509']</t>
  </si>
  <si>
    <t>['130514', '130515', '130516', '130517', '130518', '130519', '130520', '130521']</t>
  </si>
  <si>
    <t>['130495']['130496']</t>
  </si>
  <si>
    <t>07-04-2022</t>
  </si>
  <si>
    <t>['130524']</t>
  </si>
  <si>
    <t>['130526', '130527']</t>
  </si>
  <si>
    <t>['130525']</t>
  </si>
  <si>
    <t>['130575']</t>
  </si>
  <si>
    <t>['130576', '130577', '130578']</t>
  </si>
  <si>
    <t>['130528']</t>
  </si>
  <si>
    <t>['130555', '130556', '130557', '130558', '130559', '130560']</t>
  </si>
  <si>
    <t>['130568', '130569', '130570', '130571', '130572', '130573', '130574']</t>
  </si>
  <si>
    <t>['130561', '130562', '130563', '130564', '130565', '130566', '130567']</t>
  </si>
  <si>
    <t>['130579', '130580']</t>
  </si>
  <si>
    <t>['130529', '130530', '130532', '130533', '130534', '130535', '130536', '130537', '130538', '130539', '130541', '130543', '130544', '130545', '130546', '130547', '130548', '130549', '130550', '130551', '130552']['130531', '130542']</t>
  </si>
  <si>
    <t>08-04-2022</t>
  </si>
  <si>
    <t>['130587', '130588']</t>
  </si>
  <si>
    <t>['130605']</t>
  </si>
  <si>
    <t>['130581']</t>
  </si>
  <si>
    <t>['130593']</t>
  </si>
  <si>
    <t>['130594', '130595']</t>
  </si>
  <si>
    <t>['130597', '130598', '130599', '130600', '130601', '130602', '130603']</t>
  </si>
  <si>
    <t>['130596']</t>
  </si>
  <si>
    <t>11-04-2022</t>
  </si>
  <si>
    <t>['130647', '130648']</t>
  </si>
  <si>
    <t>['130626', '130627']</t>
  </si>
  <si>
    <t>['130628']</t>
  </si>
  <si>
    <t>['130629', '130630', '130631', '130632', '130633', '130634', '130635', '130636', '130637', '130638', '130640', '130641', '130642', '130643', '130644', '130645']</t>
  </si>
  <si>
    <t>['130664']</t>
  </si>
  <si>
    <t>DFCF93</t>
  </si>
  <si>
    <t>1218678435</t>
  </si>
  <si>
    <t>['130667']</t>
  </si>
  <si>
    <t>['130653']</t>
  </si>
  <si>
    <t>['130663']</t>
  </si>
  <si>
    <t>DKDL88</t>
  </si>
  <si>
    <t>['130661', '130662']</t>
  </si>
  <si>
    <t>['130650', '130651']['130649']</t>
  </si>
  <si>
    <t>['130659']['130660']</t>
  </si>
  <si>
    <t>12-04-2022</t>
  </si>
  <si>
    <t>['130670', '130671']</t>
  </si>
  <si>
    <t>['130672']</t>
  </si>
  <si>
    <t>['130677']</t>
  </si>
  <si>
    <t>['130697', '130698']</t>
  </si>
  <si>
    <t>['130669']</t>
  </si>
  <si>
    <t>['130678', '130679', '130680', '130681', '130682', '130683', '130684']</t>
  </si>
  <si>
    <t>['130675', '130676']</t>
  </si>
  <si>
    <t>8841065</t>
  </si>
  <si>
    <t>['130695']</t>
  </si>
  <si>
    <t>['130691', '130692', '130693']</t>
  </si>
  <si>
    <t>['130694']</t>
  </si>
  <si>
    <t>['130696']['130699']</t>
  </si>
  <si>
    <t>['130701']['130700', '130702']</t>
  </si>
  <si>
    <t>['130685']['130686', '130687']</t>
  </si>
  <si>
    <t>['130688']['130689']</t>
  </si>
  <si>
    <t>13-04-2022</t>
  </si>
  <si>
    <t>['130721']</t>
  </si>
  <si>
    <t>['130730', '130731']</t>
  </si>
  <si>
    <t>['130704']</t>
  </si>
  <si>
    <t>['130707', '130708']</t>
  </si>
  <si>
    <t>['130714']</t>
  </si>
  <si>
    <t>['130709', '130710', '130711', '130712', '130713']</t>
  </si>
  <si>
    <t>['130715', '130716']</t>
  </si>
  <si>
    <t>['130729']</t>
  </si>
  <si>
    <t>['130718', '130719']</t>
  </si>
  <si>
    <t>['130722', '130723', '130724', '130725', '130726', '130727']['130728']</t>
  </si>
  <si>
    <t>18-04-2022</t>
  </si>
  <si>
    <t>['130736']</t>
  </si>
  <si>
    <t>['130735']</t>
  </si>
  <si>
    <t>['130761']</t>
  </si>
  <si>
    <t>['130776', '130777']</t>
  </si>
  <si>
    <t>['130780', '130781']</t>
  </si>
  <si>
    <t>['130763', '130764', '130765']</t>
  </si>
  <si>
    <t>['130737', '130738', '130739', '130740', '130741', '130742', '130743', '130744', '130745']</t>
  </si>
  <si>
    <t>['130778', '130779']</t>
  </si>
  <si>
    <t>['130747', '130748', '130749', '130750', '130751', '130752', '130753', '130754', '130755', '130756']['130746']</t>
  </si>
  <si>
    <t>['130757', '130759', '130760']'130758']</t>
  </si>
  <si>
    <t>['130766', '130767', '130768', '130769', '130771', '130772', '130773', '130774']['130770']</t>
  </si>
  <si>
    <t>19-04-2022</t>
  </si>
  <si>
    <t>['130814']</t>
  </si>
  <si>
    <t>['130813']</t>
  </si>
  <si>
    <t>['130790']</t>
  </si>
  <si>
    <t>FLORIDA</t>
  </si>
  <si>
    <t>['130786']</t>
  </si>
  <si>
    <t>['130852']</t>
  </si>
  <si>
    <t>['130843', '130844']</t>
  </si>
  <si>
    <t>['130839', '130840', '130841', '130842']</t>
  </si>
  <si>
    <t>['130848', '130849', '130850', '130851']</t>
  </si>
  <si>
    <t>['130788']['130789']</t>
  </si>
  <si>
    <t>['130822', '130823', '130824', '130825', '130826', '130827', '130828', '130829', '130830', '130831', '130832', '130833', '130834', '130835', '130836', '130837', '130838']['130821']</t>
  </si>
  <si>
    <t>['130791', '130792', '130793', '130794', '130795', '130796', '130797', '130798', '130799', '130800', '130801', '130802', '130803', '130805', '130806', '130807', '130808', '130809', '130810', '130811', '130812']['130804']</t>
  </si>
  <si>
    <t>['130815', '130816', '130817', '130819', '130820']['130818']</t>
  </si>
  <si>
    <t>20-04-2022</t>
  </si>
  <si>
    <t>['130858']</t>
  </si>
  <si>
    <t>12510866</t>
  </si>
  <si>
    <t>['130881']</t>
  </si>
  <si>
    <t>['130853']</t>
  </si>
  <si>
    <t>['130886']</t>
  </si>
  <si>
    <t>['130882', '130883']</t>
  </si>
  <si>
    <t>['130864', '130865', '130866', '130867', '130868', '130869', '130870', '130871', '130872']</t>
  </si>
  <si>
    <t>['130876', '130877', '130878', '130879', '130880']</t>
  </si>
  <si>
    <t>['130887', '130888', '130889', '130890']</t>
  </si>
  <si>
    <t>['130884']</t>
  </si>
  <si>
    <t>107643204</t>
  </si>
  <si>
    <t>['130885']</t>
  </si>
  <si>
    <t>['130860', '130861', '130862']['130873', '130874', '130875']['130859']</t>
  </si>
  <si>
    <t>['130855', '130856']['130854']</t>
  </si>
  <si>
    <t>21-04-2022</t>
  </si>
  <si>
    <t>['130908']</t>
  </si>
  <si>
    <t>['130913']</t>
  </si>
  <si>
    <t>['130914']</t>
  </si>
  <si>
    <t>['130891']</t>
  </si>
  <si>
    <t>['130925']</t>
  </si>
  <si>
    <t>['130912']</t>
  </si>
  <si>
    <t>['130893']</t>
  </si>
  <si>
    <t>['130894', '130895', '130896', '130897', '130898', '130899', '130900', '130901', '130902', '130903', '130904', '130905', '130906', '130907']</t>
  </si>
  <si>
    <t>['130917', '130918', '130919', '130920', '130921']</t>
  </si>
  <si>
    <t>['130923']</t>
  </si>
  <si>
    <t>['130915', '130916']</t>
  </si>
  <si>
    <t>['130922']</t>
  </si>
  <si>
    <t>['130910', '130911']['130909']</t>
  </si>
  <si>
    <t>22-04-2022</t>
  </si>
  <si>
    <t>107643203</t>
  </si>
  <si>
    <t>['130937', '130938']</t>
  </si>
  <si>
    <t>['130929']</t>
  </si>
  <si>
    <t>['130928']</t>
  </si>
  <si>
    <t>['130932']</t>
  </si>
  <si>
    <t>['130931']</t>
  </si>
  <si>
    <t>SOC. ING Y CONST CUMBRES LX</t>
  </si>
  <si>
    <t>['130953', '130954', '130955']</t>
  </si>
  <si>
    <t>SACYR CHILE S.A.</t>
  </si>
  <si>
    <t>['130934']</t>
  </si>
  <si>
    <t>['130950', '130951']</t>
  </si>
  <si>
    <t>['130943', '130944', '130945', '130946', '130947', '130948', '130949']</t>
  </si>
  <si>
    <t>['130941', '130942']['130939', '130940']</t>
  </si>
  <si>
    <t>25-04-2022</t>
  </si>
  <si>
    <t>['130959']</t>
  </si>
  <si>
    <t>16043509K</t>
  </si>
  <si>
    <t>['130958']</t>
  </si>
  <si>
    <t>['130960', '130961', '130962', '130963', '130964', '130965', '130966', '130967', '130968', '130969', '130970', '130971', '130972', '130973', '130974', '130975', '130976', '130977']</t>
  </si>
  <si>
    <t>['130982']</t>
  </si>
  <si>
    <t>['130980']</t>
  </si>
  <si>
    <t>['130983', '130984']</t>
  </si>
  <si>
    <t>['130981']</t>
  </si>
  <si>
    <t>['130979']['130978']</t>
  </si>
  <si>
    <t>27-04-2022</t>
  </si>
  <si>
    <t>['131041']</t>
  </si>
  <si>
    <t>['131038', '131076']</t>
  </si>
  <si>
    <t>['131039']</t>
  </si>
  <si>
    <t>['131059', '131060', '131061', '131062', '131063', '131064', '131065', '131066', '131067', '131068', '131069', '131070', '131071', '131072', '131073', '131074']</t>
  </si>
  <si>
    <t>['131040']</t>
  </si>
  <si>
    <t>['131045']</t>
  </si>
  <si>
    <t>['131042', '131043', '131044']</t>
  </si>
  <si>
    <t>['131047', '131048']</t>
  </si>
  <si>
    <t>['131046']</t>
  </si>
  <si>
    <t>['131049', '131050', '131051', '131052', '131053', '131054', '131055', '131056', '131057', '131058']</t>
  </si>
  <si>
    <t>28-04-2022</t>
  </si>
  <si>
    <t>['131083']</t>
  </si>
  <si>
    <t>['131090']</t>
  </si>
  <si>
    <t>['131080', '131081']</t>
  </si>
  <si>
    <t>['131086', '131087']</t>
  </si>
  <si>
    <t>['131085']['131084']</t>
  </si>
  <si>
    <t>29-04-2022</t>
  </si>
  <si>
    <t>['131088', '131089']</t>
  </si>
  <si>
    <t>['131091']</t>
  </si>
  <si>
    <t>['131099']</t>
  </si>
  <si>
    <t>['131102', '131103', '131104', '131105']</t>
  </si>
  <si>
    <t>WC222</t>
  </si>
  <si>
    <t>SOC DE CONSTRUCTORES TENSAX</t>
  </si>
  <si>
    <t>['131098']</t>
  </si>
  <si>
    <t>['131128', '131129']</t>
  </si>
  <si>
    <t>['131113', '131114', '131115', '131116', '131117', '131118', '131119', '131120', '131121', '131122']</t>
  </si>
  <si>
    <t>['131126']</t>
  </si>
  <si>
    <t>['131093']['131094']</t>
  </si>
  <si>
    <t>['131112']['131109', '131110', '131111']['131106', '131107', '131108']</t>
  </si>
  <si>
    <t>02-05-2022</t>
  </si>
  <si>
    <t>['131150']</t>
  </si>
  <si>
    <t>['131137']</t>
  </si>
  <si>
    <t>['131134', '131135', '131136']</t>
  </si>
  <si>
    <t>['131132', '131133']</t>
  </si>
  <si>
    <t>['131130', '131131']</t>
  </si>
  <si>
    <t>['131149']</t>
  </si>
  <si>
    <t>['131145', '131146']</t>
  </si>
  <si>
    <t>['131148']</t>
  </si>
  <si>
    <t>03-05-2022</t>
  </si>
  <si>
    <t>['131154', '131155']</t>
  </si>
  <si>
    <t>['131152']</t>
  </si>
  <si>
    <t>['131153']</t>
  </si>
  <si>
    <t>['131180', '131181', '131182', '131183', '131184', '131185', '131186', '131187', '131188', '131189', '131191', '131192', '131193', '131194', '131195']</t>
  </si>
  <si>
    <t>['131177', '131178']</t>
  </si>
  <si>
    <t>['131176']</t>
  </si>
  <si>
    <t>['131168', '131169', '131170', '131171', '131172', '131173', '131174']</t>
  </si>
  <si>
    <t>['131197']</t>
  </si>
  <si>
    <t>['131198', '131199']</t>
  </si>
  <si>
    <t>['131179']</t>
  </si>
  <si>
    <t>['131156', '131158', '131159', '131160', '131161', '131162', '131163', '131164', '131165', '131166', '131167']['131157']</t>
  </si>
  <si>
    <t>04-05-2022</t>
  </si>
  <si>
    <t>['131200']</t>
  </si>
  <si>
    <t>['131201']</t>
  </si>
  <si>
    <t>['131250']</t>
  </si>
  <si>
    <t>['131231']</t>
  </si>
  <si>
    <t>['131220', '131221', '131222', '131223', '131224', '131225', '131226', '131227', '131228', '131229', '131230']</t>
  </si>
  <si>
    <t>['131216', '131217', '131218', '131219']</t>
  </si>
  <si>
    <t>['131202', '131203', '131204', '131205', '131206', '131207', '131208', '131209', '131210', '131211', '131212', '131213', '131214', '131215']</t>
  </si>
  <si>
    <t>['131248', '131249']</t>
  </si>
  <si>
    <t>['131235']</t>
  </si>
  <si>
    <t>['131236', '131237', '131238', '131239', '131240', '131241', '131242', '131243', '131244', '131245', '131246', '131247']</t>
  </si>
  <si>
    <t>['131234']['131233']['131251', '131252']</t>
  </si>
  <si>
    <t>05-05-2022</t>
  </si>
  <si>
    <t>['131278', '131279']</t>
  </si>
  <si>
    <t>['131280']</t>
  </si>
  <si>
    <t>['131254']</t>
  </si>
  <si>
    <t>['131255']</t>
  </si>
  <si>
    <t>['131256', '131257']</t>
  </si>
  <si>
    <t>['131269', '131270', '131271', '131272', '131273', '131274', '131275', '131276']</t>
  </si>
  <si>
    <t>['131258', '131259', '131260', '131261', '131262', '131263', '131264', '131265', '131266', '131267']</t>
  </si>
  <si>
    <t>['131268']</t>
  </si>
  <si>
    <t>['131282']['131283']</t>
  </si>
  <si>
    <t>06-05-2022</t>
  </si>
  <si>
    <t>['131286', '131287', '131288', '131289', '131290', '131291', '131292', '131293', '131294', '131295', '131296', '131297', '131298', '131299', '131300', '131301', '131302', '131303']</t>
  </si>
  <si>
    <t>['131306']</t>
  </si>
  <si>
    <t>['131315', '131316', '131317']</t>
  </si>
  <si>
    <t>['131313']</t>
  </si>
  <si>
    <t>['131307', '131308', '131309', '131310', '131311', '131312']</t>
  </si>
  <si>
    <t>BWP'L69</t>
  </si>
  <si>
    <t>['131285']</t>
  </si>
  <si>
    <t>['131328']</t>
  </si>
  <si>
    <t>['131327']['131326']</t>
  </si>
  <si>
    <t>['131284']['131318', '131319', '131320', '131321', '131322', '131323', '131324', '131325']</t>
  </si>
  <si>
    <t>09-05-2022</t>
  </si>
  <si>
    <t>['131347']</t>
  </si>
  <si>
    <t>['131329']</t>
  </si>
  <si>
    <t>['131346']</t>
  </si>
  <si>
    <t>['131334', '131335', '131336', '131337', '131338', '131339', '131340', '131341', '131342', '131343', '131344', '131345']</t>
  </si>
  <si>
    <t>['131330']</t>
  </si>
  <si>
    <t>HXKC25</t>
  </si>
  <si>
    <t>['131351']</t>
  </si>
  <si>
    <t>['131332', '131333']</t>
  </si>
  <si>
    <t>['131348']</t>
  </si>
  <si>
    <t>['131349', '131350']</t>
  </si>
  <si>
    <t>10-05-2022</t>
  </si>
  <si>
    <t>['131353']</t>
  </si>
  <si>
    <t>['131395']</t>
  </si>
  <si>
    <t>['131400']</t>
  </si>
  <si>
    <t>['131401', '131402', '131403']</t>
  </si>
  <si>
    <t>['131398', '131399']</t>
  </si>
  <si>
    <t>['131352']</t>
  </si>
  <si>
    <t>PREFAST SPA.</t>
  </si>
  <si>
    <t>['131354']</t>
  </si>
  <si>
    <t>['131357', '131358', '131359']</t>
  </si>
  <si>
    <t>['131360', '131361', '131362', '131363', '131364', '131365', '131366', '131367', '131368', '131369', '131370', '131371', '131372']</t>
  </si>
  <si>
    <t>['131396']</t>
  </si>
  <si>
    <t>FJCX67</t>
  </si>
  <si>
    <t>90366327</t>
  </si>
  <si>
    <t>['131408']</t>
  </si>
  <si>
    <t>PERALILLO</t>
  </si>
  <si>
    <t>['131355']</t>
  </si>
  <si>
    <t>['131374', '131375', '131376', '131377', '131378', '131379', '131380', '131381', '131382', '131383', '131384', '131385', '131386', '131387', '131388', '131389', '131390', '131392', '131393', '131394']['131391']</t>
  </si>
  <si>
    <t>11-05-2022</t>
  </si>
  <si>
    <t>['131439', '131440']</t>
  </si>
  <si>
    <t>['131417']</t>
  </si>
  <si>
    <t>['131416']</t>
  </si>
  <si>
    <t>['131432', '131433', '131434', '131435', '131436', '131437', '131438']</t>
  </si>
  <si>
    <t>['131410', '131411', '131412', '131413', '131414', '131415']</t>
  </si>
  <si>
    <t>['131418', '131419', '131420', '131421', '131422', '131423', '131424', '131425', '131426', '131427']</t>
  </si>
  <si>
    <t>['131428']</t>
  </si>
  <si>
    <t>['131450']</t>
  </si>
  <si>
    <t>['131451']</t>
  </si>
  <si>
    <t>['131441', '131442', '131443', '131444', '131445', '131446', '131447', '131449']['131448']</t>
  </si>
  <si>
    <t>['131430', '131431']['131429']</t>
  </si>
  <si>
    <t>12-05-2022</t>
  </si>
  <si>
    <t>['131475']</t>
  </si>
  <si>
    <t>['131473', '131474']</t>
  </si>
  <si>
    <t>['131490', '131491']</t>
  </si>
  <si>
    <t>['131492']</t>
  </si>
  <si>
    <t>WT7053</t>
  </si>
  <si>
    <t>['131488', '131489']</t>
  </si>
  <si>
    <t>['131470']</t>
  </si>
  <si>
    <t>['131476']</t>
  </si>
  <si>
    <t>['131477']</t>
  </si>
  <si>
    <t>['131471', '131472']</t>
  </si>
  <si>
    <t>['131486', '131487']</t>
  </si>
  <si>
    <t>['131456', '131457', '131458', '131459', '131460', '131461', '131462', '131463', '131464', '131466', '131467', '131468', '131469']['131465']</t>
  </si>
  <si>
    <t>16-05-2022</t>
  </si>
  <si>
    <t>['131524', '131525', '131526', '131527', '131528', '131529', '131530']</t>
  </si>
  <si>
    <t>['131556', '131557']</t>
  </si>
  <si>
    <t>['131558', '131559']</t>
  </si>
  <si>
    <t>['131538', '131539', '131540', '131541', '131542', '131543', '131544', '131545']</t>
  </si>
  <si>
    <t>['131531', '131532', '131533', '131534', '131536', '131537']</t>
  </si>
  <si>
    <t>['131560']</t>
  </si>
  <si>
    <t>['131546', '131547', '131549', '131550', '131551', '131552']['131548']</t>
  </si>
  <si>
    <t>17-05-2022</t>
  </si>
  <si>
    <t>['131566']</t>
  </si>
  <si>
    <t>['131588', '131589', '131590']</t>
  </si>
  <si>
    <t>['131561']</t>
  </si>
  <si>
    <t>['131592', '131593']</t>
  </si>
  <si>
    <t>['131606']</t>
  </si>
  <si>
    <t>['131563']</t>
  </si>
  <si>
    <t>['131605']</t>
  </si>
  <si>
    <t>['131591', '131600']</t>
  </si>
  <si>
    <t>['131585', '131586', '131587']</t>
  </si>
  <si>
    <t>['131562']</t>
  </si>
  <si>
    <t>['131602']</t>
  </si>
  <si>
    <t>['131577', '131578', '131579', '131580', '131581', '131582', '131583']['131584']</t>
  </si>
  <si>
    <t>['131567', '131568', '131569', '131570', '131571', '131573', '131574', '131575', '131576']['131572']</t>
  </si>
  <si>
    <t>18-05-2022</t>
  </si>
  <si>
    <t>['131665', '131666']</t>
  </si>
  <si>
    <t>COMERCIAL COSTA SUR SPA</t>
  </si>
  <si>
    <t>['131607']</t>
  </si>
  <si>
    <t>['131680']</t>
  </si>
  <si>
    <t>['131681']</t>
  </si>
  <si>
    <t>['131620', '131621', '131622', '131623', '131624', '131625', '131626', '131627', '131628', '131629', '131630', '131631', '131632', '131633', '131634', '131635', '131636', '131637', '131638', '131639', '131640', '131641']</t>
  </si>
  <si>
    <t>['131608', '131609', '131610', '131611', '131612', '131613']</t>
  </si>
  <si>
    <t>['131678', '131679']</t>
  </si>
  <si>
    <t>['131652', '131653', '131654', '131655', '131656', '131657', '131658', '131659', '131660', '131661', '131662', '131663', '131664']['131651']</t>
  </si>
  <si>
    <t>['131642', '131643', '131644', '131645', '131646', '131647']['131648', '131649', '131650']</t>
  </si>
  <si>
    <t>['131667']['131668']</t>
  </si>
  <si>
    <t>['131669', '131671', '131672', '131673', '131674', '131675', '131682']['131677']</t>
  </si>
  <si>
    <t>19-05-2022</t>
  </si>
  <si>
    <t>['131726']</t>
  </si>
  <si>
    <t>['131725']</t>
  </si>
  <si>
    <t>['131686']</t>
  </si>
  <si>
    <t>['131684', '131685']</t>
  </si>
  <si>
    <t>['131720', '131721']</t>
  </si>
  <si>
    <t>['131718', '131719']</t>
  </si>
  <si>
    <t>['131731']</t>
  </si>
  <si>
    <t>['131687', '131688', '131689']</t>
  </si>
  <si>
    <t>['131712', '131713', '131714', '131715', '131716', '131717']</t>
  </si>
  <si>
    <t>['131696', '131697', '131698', '131699', '131700', '131701', '131702', '131703', '131704', '131705', '131706', '131707', '131708', '131709', '131710', '131711']</t>
  </si>
  <si>
    <t>['131727', '131728']</t>
  </si>
  <si>
    <t>20-05-2022</t>
  </si>
  <si>
    <t>WR7391</t>
  </si>
  <si>
    <t>156295558</t>
  </si>
  <si>
    <t>['131780', '131781']</t>
  </si>
  <si>
    <t>['131739']</t>
  </si>
  <si>
    <t>['131788']</t>
  </si>
  <si>
    <t>['131733', '131734']</t>
  </si>
  <si>
    <t>['131762', '131763', '131764', '131765']</t>
  </si>
  <si>
    <t>['131748', '131749', '131750', '131751', '131752', '131753', '131754', '131755', '131756', '131757', '131758', '131759', '131760', '131761']</t>
  </si>
  <si>
    <t>['131735']</t>
  </si>
  <si>
    <t>['131766']</t>
  </si>
  <si>
    <t>['131778', '131779']</t>
  </si>
  <si>
    <t>['131769', '131770', '131771', '131772', '131773', '131774', '131775', '131776']</t>
  </si>
  <si>
    <t>['131767']['131768']</t>
  </si>
  <si>
    <t>23-05-2022</t>
  </si>
  <si>
    <t>['131789', '131790', '131791']</t>
  </si>
  <si>
    <t>['131792']</t>
  </si>
  <si>
    <t>['131796']</t>
  </si>
  <si>
    <t>['131793']</t>
  </si>
  <si>
    <t>['131794']</t>
  </si>
  <si>
    <t>['131795']</t>
  </si>
  <si>
    <t>24-05-2022</t>
  </si>
  <si>
    <t>['131802']</t>
  </si>
  <si>
    <t>FACORO SPA</t>
  </si>
  <si>
    <t>['131819']</t>
  </si>
  <si>
    <t>['131820']</t>
  </si>
  <si>
    <t>['131821']</t>
  </si>
  <si>
    <t>['131827', '131828']</t>
  </si>
  <si>
    <t>['131826']</t>
  </si>
  <si>
    <t>['131829']</t>
  </si>
  <si>
    <t>['131810', '131811', '131812', '131813', '131814', '131815', '131816', '131817', '131818']</t>
  </si>
  <si>
    <t>['131803', '131804', '131805', '131806', '131807', '131808', '131809']</t>
  </si>
  <si>
    <t>BDH75</t>
  </si>
  <si>
    <t>['131801']</t>
  </si>
  <si>
    <t>['131835']</t>
  </si>
  <si>
    <t>['131823']['131822']</t>
  </si>
  <si>
    <t>25-05-2022</t>
  </si>
  <si>
    <t>CONSTRUCTORA BRISAS DE BATX</t>
  </si>
  <si>
    <t>['131839']</t>
  </si>
  <si>
    <t>['131840', '131841', '131842', '131843', '131844', '131845', '131846', '131847', '131848', '131849', '131850', '131851', '131852', '131853', '131854', '131855', '131856']</t>
  </si>
  <si>
    <t>['131837', '131838']</t>
  </si>
  <si>
    <t>['131874', '131875']</t>
  </si>
  <si>
    <t>['131876']</t>
  </si>
  <si>
    <t>7890735*5</t>
  </si>
  <si>
    <t>['131864']</t>
  </si>
  <si>
    <t>['131836']</t>
  </si>
  <si>
    <t>['131877']</t>
  </si>
  <si>
    <t>['131857', '131858', '131859', '131860', '131861', '131862']['131863']</t>
  </si>
  <si>
    <t>['131865', '131866', '131867', '131868', '131869', '131870', '131872']['131871']</t>
  </si>
  <si>
    <t>26-05-2022</t>
  </si>
  <si>
    <t>['131881']</t>
  </si>
  <si>
    <t>['131879', '131880']</t>
  </si>
  <si>
    <t>789073558</t>
  </si>
  <si>
    <t>['131882']</t>
  </si>
  <si>
    <t>['131893', '131894', '131895']</t>
  </si>
  <si>
    <t>['131883']</t>
  </si>
  <si>
    <t>['131884', '131885', '131886', '131887', '131888', '131889', '131890', '131891', '131892']</t>
  </si>
  <si>
    <t>['131900']['131898']</t>
  </si>
  <si>
    <t>['131901']131899']</t>
  </si>
  <si>
    <t>27-05-2022</t>
  </si>
  <si>
    <t>['131922']</t>
  </si>
  <si>
    <t>['131904']</t>
  </si>
  <si>
    <t>['131903']</t>
  </si>
  <si>
    <t>['131924']</t>
  </si>
  <si>
    <t>['131925']</t>
  </si>
  <si>
    <t>['131913', '131914']</t>
  </si>
  <si>
    <t>['131915', '131916', '131917', '131918', '131919']</t>
  </si>
  <si>
    <t>['131907', '131908', '131909', '131910', '131911', '131912']</t>
  </si>
  <si>
    <t>['131920', '131921']</t>
  </si>
  <si>
    <t>['131905']['131906']</t>
  </si>
  <si>
    <t>30-05-2022</t>
  </si>
  <si>
    <t>['131933', '131934']</t>
  </si>
  <si>
    <t>['131927']</t>
  </si>
  <si>
    <t>['131938']</t>
  </si>
  <si>
    <t>['131928']</t>
  </si>
  <si>
    <t>['131941']</t>
  </si>
  <si>
    <t>SU9357</t>
  </si>
  <si>
    <t>['131926']</t>
  </si>
  <si>
    <t>DIMASA S.A.</t>
  </si>
  <si>
    <t>['131939', '131940']</t>
  </si>
  <si>
    <t>['131935', '131936', '131937']</t>
  </si>
  <si>
    <t>['131929', '131930', '131931']</t>
  </si>
  <si>
    <t>31-05-2022</t>
  </si>
  <si>
    <t>['131950', '131951']</t>
  </si>
  <si>
    <t>['131965']</t>
  </si>
  <si>
    <t>['131963']</t>
  </si>
  <si>
    <t>['131944', '131945', '131947', '131948']</t>
  </si>
  <si>
    <t>['131962']</t>
  </si>
  <si>
    <t>['131954']</t>
  </si>
  <si>
    <t>['131964']</t>
  </si>
  <si>
    <t>['131966']</t>
  </si>
  <si>
    <t>01-06-2022</t>
  </si>
  <si>
    <t>['131985', '131986']</t>
  </si>
  <si>
    <t>['131987']</t>
  </si>
  <si>
    <t>['131989', '131990']</t>
  </si>
  <si>
    <t>['131981', '131982', '131983', '131984']</t>
  </si>
  <si>
    <t>CONCON</t>
  </si>
  <si>
    <t>['131994']</t>
  </si>
  <si>
    <t>['131971']</t>
  </si>
  <si>
    <t>['131973', '131974', '131975', '131976', '131977', '131978', '131979', '131980']</t>
  </si>
  <si>
    <t>['131995', '131996', '131997']</t>
  </si>
  <si>
    <t>['132000', '132001', '132003', '132004', '132005']['132002']</t>
  </si>
  <si>
    <t>['131998']['131999']</t>
  </si>
  <si>
    <t>['131992', '131993']['131991']</t>
  </si>
  <si>
    <t>02-06-2022</t>
  </si>
  <si>
    <t>['132021']</t>
  </si>
  <si>
    <t>SALCAB SPA</t>
  </si>
  <si>
    <t>['132031']</t>
  </si>
  <si>
    <t>['132032', '132033']</t>
  </si>
  <si>
    <t>['132030']</t>
  </si>
  <si>
    <t>['132006']</t>
  </si>
  <si>
    <t>['132022', '132023']</t>
  </si>
  <si>
    <t>['132020']</t>
  </si>
  <si>
    <t>['132007', '132008', '132009', '132010', '132011', '132012', '132013', '132014', '132015', '132016', '132017']</t>
  </si>
  <si>
    <t>['132024', '132025']</t>
  </si>
  <si>
    <t>['132026', '132028', '132029']['132027']</t>
  </si>
  <si>
    <t>03-06-2022</t>
  </si>
  <si>
    <t>['132037']</t>
  </si>
  <si>
    <t>['132055']</t>
  </si>
  <si>
    <t>7254391</t>
  </si>
  <si>
    <t>['132056', '132057', '132058', '132059', '132060', '132061', '132062', '132063', '132064', '132065', '132066', '132067', '132068', '132069']</t>
  </si>
  <si>
    <t>['132090', '132091']</t>
  </si>
  <si>
    <t>['132092']</t>
  </si>
  <si>
    <t>['132078', '132079', '132080', '132081', '132082', '132083', '132084']</t>
  </si>
  <si>
    <t>['132040', '132041', '132042', '132043', '132044', '132045', '132047', '132048', '132049', '132050', '132051', '132052', '132053', '132054']['132046']</t>
  </si>
  <si>
    <t>['132038']['132073', '132074', '132075', '132076']['132077']</t>
  </si>
  <si>
    <t>['132070', '132071']['132072']</t>
  </si>
  <si>
    <t>06-06-2022</t>
  </si>
  <si>
    <t>CID CONSTRUCCIONES SPA</t>
  </si>
  <si>
    <t>['132107']</t>
  </si>
  <si>
    <t>['132108', '132109', '132110', '132111', '132112', '132113', '132114', '132115', '132116', '132117', '132118', '132119', '132120', '132121', '132122', '132123', '132124', '132125', '132126']</t>
  </si>
  <si>
    <t>['132096', '132097', '132098', '132099', '132100', '132101', '132102']</t>
  </si>
  <si>
    <t>['132103', '132104', '132105']</t>
  </si>
  <si>
    <t>['132094']</t>
  </si>
  <si>
    <t>07-06-2022</t>
  </si>
  <si>
    <t>['132157', '132158']</t>
  </si>
  <si>
    <t>['132159', '132160', '132161']</t>
  </si>
  <si>
    <t>['132145', '132146', '132147', '132148', '132149', '132150', '132151', '132152']</t>
  </si>
  <si>
    <t>['132127', '132128']</t>
  </si>
  <si>
    <t>['132130', '132131', '132132', '132133', '132134', '132135', '132136', '132137', '132138', '132139', '132140', '132141', '132142']</t>
  </si>
  <si>
    <t>['132143', '132144']</t>
  </si>
  <si>
    <t>['132156']</t>
  </si>
  <si>
    <t>['132162']['132163']</t>
  </si>
  <si>
    <t>08-06-2022</t>
  </si>
  <si>
    <t>['132165', '132166', '132167']</t>
  </si>
  <si>
    <t>['132182', '132183']</t>
  </si>
  <si>
    <t>['132195']</t>
  </si>
  <si>
    <t>['132196']</t>
  </si>
  <si>
    <t>['132184']</t>
  </si>
  <si>
    <t>['132197']</t>
  </si>
  <si>
    <t>['132185', '132186', '132187', '132188', '132189', '132190', '132191', '132192', '132193']</t>
  </si>
  <si>
    <t>['132198', '132199']</t>
  </si>
  <si>
    <t>['132168', '132169', '132170', '132171', '132172', '132173', '132174', '132175', '132176', '132177', '132178', '132180', '132181']['132179']</t>
  </si>
  <si>
    <t>10-06-2022</t>
  </si>
  <si>
    <t>['132246']</t>
  </si>
  <si>
    <t>['132270']</t>
  </si>
  <si>
    <t>['132262', '132263']</t>
  </si>
  <si>
    <t>['132260', '132261']</t>
  </si>
  <si>
    <t>['132228']</t>
  </si>
  <si>
    <t>['132264']</t>
  </si>
  <si>
    <t>['132241', '132242']</t>
  </si>
  <si>
    <t>['132229', '132230', '132231', '132232', '132233', '132234', '132235', '132236', '132237', '132238', '132239', '132240']</t>
  </si>
  <si>
    <t>['132250']</t>
  </si>
  <si>
    <t>['132251', '132252', '132253', '132254', '132255', '132256', '132257', '132258', '132259']</t>
  </si>
  <si>
    <t>['132265']</t>
  </si>
  <si>
    <t>['132243', '132244']['132266', '132267', '132268']</t>
  </si>
  <si>
    <t>13-06-2022</t>
  </si>
  <si>
    <t>['132303']</t>
  </si>
  <si>
    <t>['132289']</t>
  </si>
  <si>
    <t>['132290', '132291']</t>
  </si>
  <si>
    <t>['132292']</t>
  </si>
  <si>
    <t>['132296']</t>
  </si>
  <si>
    <t>['132297']</t>
  </si>
  <si>
    <t>['132271', '132272', '132273', '132274', '132275', '132276', '132277', '132278', '132279', '132280', '132281', '132282', '132283', '132284', '132285', '132286', '132287', '132288']</t>
  </si>
  <si>
    <t>['132306']</t>
  </si>
  <si>
    <t>['132307']</t>
  </si>
  <si>
    <t>['132309']</t>
  </si>
  <si>
    <t>['132308']</t>
  </si>
  <si>
    <t>['132305']['132304']</t>
  </si>
  <si>
    <t>14-06-2022</t>
  </si>
  <si>
    <t>['132315', '132316']</t>
  </si>
  <si>
    <t>['132312']</t>
  </si>
  <si>
    <t>['132313']</t>
  </si>
  <si>
    <t>['132317']</t>
  </si>
  <si>
    <t>['132314']</t>
  </si>
  <si>
    <t>FREIRE</t>
  </si>
  <si>
    <t>['132311']</t>
  </si>
  <si>
    <t>['132320']</t>
  </si>
  <si>
    <t>['132318']</t>
  </si>
  <si>
    <t>['132319']</t>
  </si>
  <si>
    <t>15-06-2022</t>
  </si>
  <si>
    <t>['132322']</t>
  </si>
  <si>
    <t>['132321']</t>
  </si>
  <si>
    <t>['132326']</t>
  </si>
  <si>
    <t>['132345', '132346']</t>
  </si>
  <si>
    <t>['132360']</t>
  </si>
  <si>
    <t>['132347']</t>
  </si>
  <si>
    <t>['132361']</t>
  </si>
  <si>
    <t>['132343']</t>
  </si>
  <si>
    <t>['132339', '132340', '132341', '132342']</t>
  </si>
  <si>
    <t>['132348', '132349', '132350', '132351', '132352', '132353', '132356', '132357', '132358']</t>
  </si>
  <si>
    <t>['132327', '132328', '132330', '132331', '132332', '132333', '132334', '132335', '132336', '132337', '132338']['132329']</t>
  </si>
  <si>
    <t>16-06-2022</t>
  </si>
  <si>
    <t>['132402']</t>
  </si>
  <si>
    <t>['132370']</t>
  </si>
  <si>
    <t>['132367']</t>
  </si>
  <si>
    <t>['132387', '132388', '132389', '132390', '132391', '132392', '132393', '132394', '132395', '132396', '132397', '132398', '132399', '132400', '132401']</t>
  </si>
  <si>
    <t>['132368', '132369']</t>
  </si>
  <si>
    <t>['132407', '132408']</t>
  </si>
  <si>
    <t>['132414', '132415']</t>
  </si>
  <si>
    <t>['132411']</t>
  </si>
  <si>
    <t>['132412', '132413']</t>
  </si>
  <si>
    <t>['132371', '132372', '132373', '132374', '132375']</t>
  </si>
  <si>
    <t>['132376', '132377', '132378', '132379', '132380', '132381', '132382', '132383', '132384', '132385']</t>
  </si>
  <si>
    <t>['132409', '132410']</t>
  </si>
  <si>
    <t>17-06-2022</t>
  </si>
  <si>
    <t>['132418']</t>
  </si>
  <si>
    <t>['132416', '132417']</t>
  </si>
  <si>
    <t>['132424']</t>
  </si>
  <si>
    <t>['132421', '132422']</t>
  </si>
  <si>
    <t>['132420']</t>
  </si>
  <si>
    <t>['132423']</t>
  </si>
  <si>
    <t>['132426', '132428', '132430', '132431', '132432']['132425']['132429']['132427']</t>
  </si>
  <si>
    <t>23-06-2022</t>
  </si>
  <si>
    <t>['132475', '132476', '132477']</t>
  </si>
  <si>
    <t>['132499']</t>
  </si>
  <si>
    <t>['132479', '132480', '132481', '132482', '132483', '132484']</t>
  </si>
  <si>
    <t>['132478']</t>
  </si>
  <si>
    <t>['132497']</t>
  </si>
  <si>
    <t>['132489', '132490', '132491', '132492', '132493', '132494', '132495', '132496']</t>
  </si>
  <si>
    <t>['132485', '132486', '132487']</t>
  </si>
  <si>
    <t>24-06-2022</t>
  </si>
  <si>
    <t>EURO CONSTRUCTORA SPA</t>
  </si>
  <si>
    <t>['132521']</t>
  </si>
  <si>
    <t>['132516', '132522']</t>
  </si>
  <si>
    <t>125975819</t>
  </si>
  <si>
    <t>['132501']</t>
  </si>
  <si>
    <t>['132500']</t>
  </si>
  <si>
    <t>['132502', '132503', '132504', '132505', '132506', '132507', '132508', '132509', '132510', '132511', '132512', '132513', '132514', '132515']</t>
  </si>
  <si>
    <t>['132517']</t>
  </si>
  <si>
    <t>['132519']['132520']['132518']</t>
  </si>
  <si>
    <t>28-06-2022</t>
  </si>
  <si>
    <t>['132557']</t>
  </si>
  <si>
    <t>['132552']</t>
  </si>
  <si>
    <t>['132550', '132551']</t>
  </si>
  <si>
    <t>['132531', '132532', '132533', '132534', '132535', '132536', '132537', '132538', '132539', '132540', '132541', '132542', '132543', '132544', '132545', '132546', '132547', '132548', '132549']</t>
  </si>
  <si>
    <t>113693569</t>
  </si>
  <si>
    <t>['132556']</t>
  </si>
  <si>
    <t>['132558']</t>
  </si>
  <si>
    <t>['132559']</t>
  </si>
  <si>
    <t>['132553']</t>
  </si>
  <si>
    <t>['132561']['132560']</t>
  </si>
  <si>
    <t>['132529']['132528']</t>
  </si>
  <si>
    <t>29-06-2022</t>
  </si>
  <si>
    <t>['132562']</t>
  </si>
  <si>
    <t>['132564']</t>
  </si>
  <si>
    <t>['132565']</t>
  </si>
  <si>
    <t>['132619']</t>
  </si>
  <si>
    <t>XR6336</t>
  </si>
  <si>
    <t>['132566']</t>
  </si>
  <si>
    <t>['132567', '132568', '132569', '132570', '132571', '132572', '132573', '132574', '132575', '132576', '132577', '132578', '132579', '132580', '132581', '132582', '132583', '132584', '132585', '132586', '132587', '132588', '132589', '132590', '132591', '132592', '132593', '132594', '132595']</t>
  </si>
  <si>
    <t>['132596', '132597', '132598', '132599', '132600']</t>
  </si>
  <si>
    <t>['132601', '132602', '132603', '132604']</t>
  </si>
  <si>
    <t>['132605', '132606', '132607', '132608', '132609', '132610', '132611', '132612', '132613']</t>
  </si>
  <si>
    <t>['132614', '132615']</t>
  </si>
  <si>
    <t>['132563']</t>
  </si>
  <si>
    <t>['132618']['132616', '132617']</t>
  </si>
  <si>
    <t>30-06-2022</t>
  </si>
  <si>
    <t>['132621', '132622']</t>
  </si>
  <si>
    <t>['132632']</t>
  </si>
  <si>
    <t>['132624']</t>
  </si>
  <si>
    <t>['132623']</t>
  </si>
  <si>
    <t>['132620']</t>
  </si>
  <si>
    <t>['132652', '132654', '132656']</t>
  </si>
  <si>
    <t>['132659']</t>
  </si>
  <si>
    <t>['132633', '132634', '132635']</t>
  </si>
  <si>
    <t>['132636', '132637', '132638', '132639', '132640', '132641']</t>
  </si>
  <si>
    <t>['132625', '132626', '132627', '132628', '132629', '132630', '132631']</t>
  </si>
  <si>
    <t>['132642', '132643', '132644', '132645', '132646', '132647', '132648', '132649', '132650', '132651']</t>
  </si>
  <si>
    <t>01-07-2022</t>
  </si>
  <si>
    <t>['132673', '132674', '132676', '132677', '132678', '132679']</t>
  </si>
  <si>
    <t>['132688', '132689']</t>
  </si>
  <si>
    <t>['132668']</t>
  </si>
  <si>
    <t>['132669', '132670', '132671', '132672']</t>
  </si>
  <si>
    <t>['132660', '132661', '132662', '132663', '132664', '132665', '132666', '132667']</t>
  </si>
  <si>
    <t>['132691']</t>
  </si>
  <si>
    <t>['132687']</t>
  </si>
  <si>
    <t>['132685']['132684']['132686']</t>
  </si>
  <si>
    <t>04-07-2022</t>
  </si>
  <si>
    <t>['132717', '132718']</t>
  </si>
  <si>
    <t>['132719']</t>
  </si>
  <si>
    <t>['132715', '132716']</t>
  </si>
  <si>
    <t>['132725']</t>
  </si>
  <si>
    <t>['132724']</t>
  </si>
  <si>
    <t>['132726']</t>
  </si>
  <si>
    <t>['132723']</t>
  </si>
  <si>
    <t>['132692', '132693', '132694', '132696', '132697', '132698', '132699', '132700', '132701', '132702', '132703', '132704', '132705', '132706', '132707', '132708', '132709', '132710', '132711', '132712', '132713']['132725']</t>
  </si>
  <si>
    <t>05-07-2022</t>
  </si>
  <si>
    <t>['132730', '132731']</t>
  </si>
  <si>
    <t>['132755']</t>
  </si>
  <si>
    <t>['132729']</t>
  </si>
  <si>
    <t>['132756', '132757']</t>
  </si>
  <si>
    <t>['132732']</t>
  </si>
  <si>
    <t>['132758']</t>
  </si>
  <si>
    <t>['132760', '132761', '132762']</t>
  </si>
  <si>
    <t>['132747', '132748', '132749', '132750', '132751', '132752', '132753']</t>
  </si>
  <si>
    <t>['132735', '132736', '132737', '132738', '132739', '132740', '132741']</t>
  </si>
  <si>
    <t>['132742', '132743', '132744', '132745', '132746']</t>
  </si>
  <si>
    <t>['132754']</t>
  </si>
  <si>
    <t>06-07-2022</t>
  </si>
  <si>
    <t>['132789']</t>
  </si>
  <si>
    <t>['132779', '132780', '132781', '132782', '132783', '132784', '132785', '132786', '132787']</t>
  </si>
  <si>
    <t>['132774', '132775', '132776', '132777', '132778']</t>
  </si>
  <si>
    <t>GLYG10</t>
  </si>
  <si>
    <t>125579876</t>
  </si>
  <si>
    <t>['132788']</t>
  </si>
  <si>
    <t>['132765', '132766', '132767', '132768', '132769', '132770', '132771', '132772', '132773']</t>
  </si>
  <si>
    <t>07-07-2022</t>
  </si>
  <si>
    <t>['132791']</t>
  </si>
  <si>
    <t>['132792']</t>
  </si>
  <si>
    <t>['132798']</t>
  </si>
  <si>
    <t>['132803']</t>
  </si>
  <si>
    <t>['132795', '132796', '132797']</t>
  </si>
  <si>
    <t>WC1343</t>
  </si>
  <si>
    <t>['132800']</t>
  </si>
  <si>
    <t>['132793', '132794']</t>
  </si>
  <si>
    <t>11-07-2022</t>
  </si>
  <si>
    <t>['132847']</t>
  </si>
  <si>
    <t>['132848']</t>
  </si>
  <si>
    <t>['132860']</t>
  </si>
  <si>
    <t>['132858', '132859']</t>
  </si>
  <si>
    <t>['132849']</t>
  </si>
  <si>
    <t>['132842', '132843', '132844', '132845', '132846']['132841']</t>
  </si>
  <si>
    <t>['132854', '132855', '132856', '132857']['132853']</t>
  </si>
  <si>
    <t>12-07-2022</t>
  </si>
  <si>
    <t>['132881']</t>
  </si>
  <si>
    <t>['132882']</t>
  </si>
  <si>
    <t>['132865']</t>
  </si>
  <si>
    <t>['132894']</t>
  </si>
  <si>
    <t>['132886', '132887', '132888']</t>
  </si>
  <si>
    <t>['132867', '132868', '132869', '132870', '132871', '132872', '132873', '132874', '132875', '132876', '132877', '132878']</t>
  </si>
  <si>
    <t>['132884', '132885']</t>
  </si>
  <si>
    <t>['132863', '132864']</t>
  </si>
  <si>
    <t>['132879']['132892']['132893']</t>
  </si>
  <si>
    <t>13-07-2022</t>
  </si>
  <si>
    <t>['132897', '132898']</t>
  </si>
  <si>
    <t>['132896']</t>
  </si>
  <si>
    <t>['132917']</t>
  </si>
  <si>
    <t>['132918']</t>
  </si>
  <si>
    <t>['132895']</t>
  </si>
  <si>
    <t>['132905', '132906', '132907', '132908', '132909', '132910', '132911', '132912', '132913', '132914', '132915', '132916']</t>
  </si>
  <si>
    <t>['132899', '132900', '132902', '132903', '132904']['132901']</t>
  </si>
  <si>
    <t>14-07-2022</t>
  </si>
  <si>
    <t>['132932']</t>
  </si>
  <si>
    <t>['132939']</t>
  </si>
  <si>
    <t>LA UNION</t>
  </si>
  <si>
    <t>['132933', '132934']</t>
  </si>
  <si>
    <t>129626232</t>
  </si>
  <si>
    <t>['132937']</t>
  </si>
  <si>
    <t>['132935']['132936']</t>
  </si>
  <si>
    <t>['132930']['132929']</t>
  </si>
  <si>
    <t>15-07-2022</t>
  </si>
  <si>
    <t>['132940']</t>
  </si>
  <si>
    <t>['132963', '132964', '132965', '132966', '132967', '132968', '132969', '132970', '132971']</t>
  </si>
  <si>
    <t>['132983']</t>
  </si>
  <si>
    <t>['132972', '132973', '132974', '132975', '132976', '132977', '132979', '132980', '132981', '132982']</t>
  </si>
  <si>
    <t>['132941']</t>
  </si>
  <si>
    <t>['132945', '132946', '132948', '132949', '132950', '132951', '132952', '132953', '132954', '132956', '132957', '132958']['132959']['132947']</t>
  </si>
  <si>
    <t>18-07-2022</t>
  </si>
  <si>
    <t>['132995', '132996']</t>
  </si>
  <si>
    <t>['132984']</t>
  </si>
  <si>
    <t>['132986']</t>
  </si>
  <si>
    <t>['132988', '132989']</t>
  </si>
  <si>
    <t>['132992', '132993']</t>
  </si>
  <si>
    <t>789073552</t>
  </si>
  <si>
    <t>['132991']</t>
  </si>
  <si>
    <t>['132997', '132999', '133000', '133001', '133002', '133003', '133004', '133005', '133006', '133007']</t>
  </si>
  <si>
    <t>['132987']</t>
  </si>
  <si>
    <t>['133009']</t>
  </si>
  <si>
    <t>19-07-2022</t>
  </si>
  <si>
    <t>['133014']</t>
  </si>
  <si>
    <t>['133011']</t>
  </si>
  <si>
    <t>['133012']</t>
  </si>
  <si>
    <t>['133015']</t>
  </si>
  <si>
    <t>['133013']</t>
  </si>
  <si>
    <t>['133016']</t>
  </si>
  <si>
    <t>20-07-2022</t>
  </si>
  <si>
    <t>['133021']</t>
  </si>
  <si>
    <t>['133022', '133023', '133024', '133025', '133026', '133027', '133028', '133029', '133030', '133031']</t>
  </si>
  <si>
    <t>['133034']</t>
  </si>
  <si>
    <t>['133033']</t>
  </si>
  <si>
    <t>['133020']['133017', '133018', '133019']</t>
  </si>
  <si>
    <t>['133038', '133039']['133040']</t>
  </si>
  <si>
    <t>21-07-2022</t>
  </si>
  <si>
    <t>['133043', '133044']</t>
  </si>
  <si>
    <t>['133045', '133046', '133047', '133048', '133049', '133050', '133051', '133052', '133053']</t>
  </si>
  <si>
    <t>25-07-2022</t>
  </si>
  <si>
    <t>['133114', '133115']</t>
  </si>
  <si>
    <t>['133133']</t>
  </si>
  <si>
    <t>['133118']</t>
  </si>
  <si>
    <t>['133117']</t>
  </si>
  <si>
    <t>['133116']</t>
  </si>
  <si>
    <t>['133119']</t>
  </si>
  <si>
    <t>['133127', '133128', '133131']</t>
  </si>
  <si>
    <t>['133129', '133130']</t>
  </si>
  <si>
    <t>['133120', '133121', '133122', '133123', '133124', '133125', '133126']</t>
  </si>
  <si>
    <t>26-07-2022</t>
  </si>
  <si>
    <t>['133160']</t>
  </si>
  <si>
    <t>['133162']</t>
  </si>
  <si>
    <t>['133158']</t>
  </si>
  <si>
    <t>['133134']</t>
  </si>
  <si>
    <t>['133168']</t>
  </si>
  <si>
    <t>['133166']</t>
  </si>
  <si>
    <t>['133135', '133136', '133138', '133139', '133140', '133141', '133142', '133143', '133144', '133145', '133146', '133147', '133148', '133149', '133150', '133151', '133152', '133153', '133154', '133156', '133157']['133137']['133155']</t>
  </si>
  <si>
    <t>27-07-2022</t>
  </si>
  <si>
    <t>['133169', '133170']</t>
  </si>
  <si>
    <t>['133173']</t>
  </si>
  <si>
    <t>['133183', '133184']</t>
  </si>
  <si>
    <t>['133175']</t>
  </si>
  <si>
    <t>['133176']</t>
  </si>
  <si>
    <t>RK5137</t>
  </si>
  <si>
    <t>['133192']</t>
  </si>
  <si>
    <t>['133177']</t>
  </si>
  <si>
    <t>['133182', '133185', '133186', '133187', '133188', '133189', '133190', '133191']</t>
  </si>
  <si>
    <t>['133195']</t>
  </si>
  <si>
    <t>SV278</t>
  </si>
  <si>
    <t>['133194']</t>
  </si>
  <si>
    <t>['133172']['133171']</t>
  </si>
  <si>
    <t>28-07-2022</t>
  </si>
  <si>
    <t>['133200']</t>
  </si>
  <si>
    <t>['133198']</t>
  </si>
  <si>
    <t>['133197']</t>
  </si>
  <si>
    <t>['133217', '133218', '133219']</t>
  </si>
  <si>
    <t>['133201', '133202', '133203', '133204', '133205', '133206', '133207']</t>
  </si>
  <si>
    <t>['133196']</t>
  </si>
  <si>
    <t>['133223']</t>
  </si>
  <si>
    <t>['133224', '133225']</t>
  </si>
  <si>
    <t>['133221']</t>
  </si>
  <si>
    <t>['133208', '133210']['133211']['133209']</t>
  </si>
  <si>
    <t>['133214', '133215', '133216']['133213']['133212']</t>
  </si>
  <si>
    <t>['133227']['133226']</t>
  </si>
  <si>
    <t>29-07-2022</t>
  </si>
  <si>
    <t>['133285']</t>
  </si>
  <si>
    <t>['133288']</t>
  </si>
  <si>
    <t>['133256']</t>
  </si>
  <si>
    <t>HLZV71</t>
  </si>
  <si>
    <t>154629327</t>
  </si>
  <si>
    <t>['133281']</t>
  </si>
  <si>
    <t>KXTC79</t>
  </si>
  <si>
    <t>13074995K</t>
  </si>
  <si>
    <t>['133286']</t>
  </si>
  <si>
    <t>['133228', '133229', '133230', '133231', '133232', '133233', '133234', '133235', '133236', '133237', '133238']</t>
  </si>
  <si>
    <t>['133239', '133240', '133241', '133242', '133243', '133244', '133245', '133246', '133247', '133248', '133249', '133250', '133251', '133252', '133253', '133254']</t>
  </si>
  <si>
    <t>['133282']</t>
  </si>
  <si>
    <t>['133257']</t>
  </si>
  <si>
    <t>['133261', '133262', '133263', '133264', '133265', '133266', '133267', '133268', '133269', '133270', '133271']</t>
  </si>
  <si>
    <t>['133258']</t>
  </si>
  <si>
    <t>['133272', '133273', '133274', '133275', '133276', '133277', '133278', '133279', '133280']</t>
  </si>
  <si>
    <t>['133283']</t>
  </si>
  <si>
    <t>01-08-2022</t>
  </si>
  <si>
    <t>['133289']</t>
  </si>
  <si>
    <t>['133292', '133293']</t>
  </si>
  <si>
    <t>['133294']</t>
  </si>
  <si>
    <t>02-08-2022</t>
  </si>
  <si>
    <t>['133298']</t>
  </si>
  <si>
    <t>['133296']</t>
  </si>
  <si>
    <t>['133304', '133305']</t>
  </si>
  <si>
    <t>['133302']</t>
  </si>
  <si>
    <t>['133300', '133301']</t>
  </si>
  <si>
    <t>03-08-2022</t>
  </si>
  <si>
    <t>['133310']</t>
  </si>
  <si>
    <t>['133312', '133313', '133314', '133315', '133316', '133317']</t>
  </si>
  <si>
    <t>['133311']</t>
  </si>
  <si>
    <t>04-08-2022</t>
  </si>
  <si>
    <t>['133320']</t>
  </si>
  <si>
    <t>['133324']</t>
  </si>
  <si>
    <t>['133321']</t>
  </si>
  <si>
    <t>['133339', '133340', '133341', '133342', '133343', '133344', '133345', '133346', '133347']</t>
  </si>
  <si>
    <t>['133348', '133349', '133350', '133351', '133352', '133353', '133354', '133355', '133356']</t>
  </si>
  <si>
    <t>['133326', '133327', '133328', '133329', '133330', '133331', '133332', '133333', '133334', '133335', '133336', '133337', '133338']</t>
  </si>
  <si>
    <t>['133368']</t>
  </si>
  <si>
    <t>['133369', '133370', '133371', '133372', '133373', '133374', '133375', '133376', '133377']</t>
  </si>
  <si>
    <t>['133358', '133359', '133360', '133361', '133362', '133363', '133364', '133365', '133366', '133367']['133357']</t>
  </si>
  <si>
    <t>05-08-2022</t>
  </si>
  <si>
    <t>['133378']</t>
  </si>
  <si>
    <t>HUASCO</t>
  </si>
  <si>
    <t>['133391']</t>
  </si>
  <si>
    <t>['133388', '133389']</t>
  </si>
  <si>
    <t>['133379', '133380', '133381', '133382', '133383', '133384', '133385']</t>
  </si>
  <si>
    <t>['133390']</t>
  </si>
  <si>
    <t>['133387']</t>
  </si>
  <si>
    <t>08-08-2022</t>
  </si>
  <si>
    <t>DCRK92</t>
  </si>
  <si>
    <t>['133405']</t>
  </si>
  <si>
    <t>DTCY</t>
  </si>
  <si>
    <t>['133419']</t>
  </si>
  <si>
    <t>['133406', '133408', '133409', '133410', '133411', '133412', '133413']</t>
  </si>
  <si>
    <t>['133394', '133395', '133397', '133398', '133399', '133400', '133401', '133402']['133396']['133393']['133403']</t>
  </si>
  <si>
    <t>['133415', '133416', '133417']['133418']</t>
  </si>
  <si>
    <t>09-08-2022</t>
  </si>
  <si>
    <t>['133435']</t>
  </si>
  <si>
    <t>['133437']</t>
  </si>
  <si>
    <t>['133436']</t>
  </si>
  <si>
    <t>['133430']</t>
  </si>
  <si>
    <t>['133431', '133432', '133433', '133434']</t>
  </si>
  <si>
    <t>['133427', '133428']['133429']</t>
  </si>
  <si>
    <t>10-08-2022</t>
  </si>
  <si>
    <t>['133447']</t>
  </si>
  <si>
    <t>['133438']</t>
  </si>
  <si>
    <t>['133439', '133440', '133441', '133442']</t>
  </si>
  <si>
    <t>['133443']</t>
  </si>
  <si>
    <t>['133452']</t>
  </si>
  <si>
    <t>['133454']</t>
  </si>
  <si>
    <t>['133448']</t>
  </si>
  <si>
    <t>['133444']['133445']</t>
  </si>
  <si>
    <t>['133455', '133456', '133457', '133459', '133460', '133461', '133462']['133458']</t>
  </si>
  <si>
    <t>11-08-2022</t>
  </si>
  <si>
    <t>['133464', '133465']</t>
  </si>
  <si>
    <t>['133495']</t>
  </si>
  <si>
    <t>['133492']</t>
  </si>
  <si>
    <t>['133480', '133481', '133482', '133483', '133484', '133485', '133486', '133487', '133488', '133489', '133490']</t>
  </si>
  <si>
    <t>['133470', '133471', '133472', '133473', '133474', '133475', '133476', '133477', '133478', '133479']</t>
  </si>
  <si>
    <t>['133496']</t>
  </si>
  <si>
    <t>['133468']['133467']</t>
  </si>
  <si>
    <t>12-08-2022</t>
  </si>
  <si>
    <t>['133503']</t>
  </si>
  <si>
    <t>['133499']</t>
  </si>
  <si>
    <t>['133504']</t>
  </si>
  <si>
    <t>['133500', '133508']</t>
  </si>
  <si>
    <t>['133512']</t>
  </si>
  <si>
    <t>['133507']</t>
  </si>
  <si>
    <t>16-08-2022</t>
  </si>
  <si>
    <t>['133533']</t>
  </si>
  <si>
    <t>['133529']</t>
  </si>
  <si>
    <t>['133539']</t>
  </si>
  <si>
    <t>['133513', '133514', '133515', '133516', '133517', '133518', '133519', '133520', '133521', '133522', '133523', '133524', '133525', '133526', '133527', '133528']</t>
  </si>
  <si>
    <t>['133536', '133537', '133538']</t>
  </si>
  <si>
    <t>['133531', '133532']['133530']</t>
  </si>
  <si>
    <t>['133535']['133534']</t>
  </si>
  <si>
    <t>17-08-2022</t>
  </si>
  <si>
    <t>['133579']</t>
  </si>
  <si>
    <t>['133580']</t>
  </si>
  <si>
    <t>WC22333</t>
  </si>
  <si>
    <t>['133574']</t>
  </si>
  <si>
    <t>['133543', '133544', '133545', '133546', '133547', '133548', '133549', '133550', '133551', '133552', '133553', '133554', '133555', '133556']</t>
  </si>
  <si>
    <t>['133578']</t>
  </si>
  <si>
    <t>['133558', '133559', '133560', '133561', '133562', '133563', '133564', '133565', '133566', '133567']</t>
  </si>
  <si>
    <t>['133577']</t>
  </si>
  <si>
    <t>['133557']['133568', '133569', '133570', '133571', '133572', '133573']</t>
  </si>
  <si>
    <t>['133540', '133541']['133542']</t>
  </si>
  <si>
    <t>['133575']['133576']</t>
  </si>
  <si>
    <t>18-08-2022</t>
  </si>
  <si>
    <t>['133600']</t>
  </si>
  <si>
    <t>CONSTRUCTORA ROBLE S.A</t>
  </si>
  <si>
    <t>['133618']</t>
  </si>
  <si>
    <t>['133616', '133617']</t>
  </si>
  <si>
    <t>['133601', '133602', '133603', '133604', '133605', '133606', '133608', '133609', '133610', '133611', '133612', '133613', '133614', '133615']</t>
  </si>
  <si>
    <t>['133581', '133582', '133583', '133584', '133585', '133586', '133587', '133588', '133589', '133590', '133591', '133592', '133593', '133594', '133596', '133597', '133598', '133599']['133595']</t>
  </si>
  <si>
    <t>19-08-2022</t>
  </si>
  <si>
    <t>['133620']</t>
  </si>
  <si>
    <t>['133622', '133623']</t>
  </si>
  <si>
    <t>['133619']</t>
  </si>
  <si>
    <t>22-08-2022</t>
  </si>
  <si>
    <t>['133671']</t>
  </si>
  <si>
    <t>['133666']</t>
  </si>
  <si>
    <t>['133670']</t>
  </si>
  <si>
    <t>['133667']</t>
  </si>
  <si>
    <t>['133668']</t>
  </si>
  <si>
    <t>['133639', '133640', '133641', '133642', '133643', '133644', '133645', '133646', '133647', '133648', '133649', '133650']</t>
  </si>
  <si>
    <t>['133624', '133625', '133626', '133627', '133628', '133629', '133630', '133631', '133632', '133633', '133634', '133635', '133636', '133637', '133638']</t>
  </si>
  <si>
    <t>['133654', '133655', '133656', '133657', '133658', '133659', '133660', '133661', '133662']</t>
  </si>
  <si>
    <t>['133663']</t>
  </si>
  <si>
    <t>['133665']['133664']</t>
  </si>
  <si>
    <t>['133651']['133652']</t>
  </si>
  <si>
    <t>23-08-2022</t>
  </si>
  <si>
    <t>['133684']</t>
  </si>
  <si>
    <t>DLSS85</t>
  </si>
  <si>
    <t>155202483</t>
  </si>
  <si>
    <t>['133685', '133686']</t>
  </si>
  <si>
    <t>['133703', '133704']</t>
  </si>
  <si>
    <t>87493997</t>
  </si>
  <si>
    <t>['133687', '133688', '133689', '133690', '133691', '133692']</t>
  </si>
  <si>
    <t>['133674', '133675', '133676', '133677', '133678', '133679', '133680', '133681', '133682', '133683']</t>
  </si>
  <si>
    <t>['133693', '133694', '133695', '133696']</t>
  </si>
  <si>
    <t>['133705']</t>
  </si>
  <si>
    <t>['133697']['133699', '133700']['133698']</t>
  </si>
  <si>
    <t>['133701']['133702']</t>
  </si>
  <si>
    <t>24-08-2022</t>
  </si>
  <si>
    <t>['133714']</t>
  </si>
  <si>
    <t>['133706']</t>
  </si>
  <si>
    <t>['133715', '133716']</t>
  </si>
  <si>
    <t>['133711', '133712']</t>
  </si>
  <si>
    <t>['133709', '133710']</t>
  </si>
  <si>
    <t>15487728</t>
  </si>
  <si>
    <t>['133721']</t>
  </si>
  <si>
    <t>['133724', '133725', '133726']</t>
  </si>
  <si>
    <t>['133722', '133723']</t>
  </si>
  <si>
    <t>103576032</t>
  </si>
  <si>
    <t>['133730']</t>
  </si>
  <si>
    <t>['133727']['133728', '133729']</t>
  </si>
  <si>
    <t>25-08-2022</t>
  </si>
  <si>
    <t>['133790']</t>
  </si>
  <si>
    <t>['133732']</t>
  </si>
  <si>
    <t>['133789']</t>
  </si>
  <si>
    <t>['133748', '133749', '133750', '133751', '133752', '133753', '133754', '133755', '133756', '133757', '133758', '133759', '133760', '133761', '133762', '133763', '133764', '133765', '133766', '133767', '133768']</t>
  </si>
  <si>
    <t>['133769', '133770', '133771', '133772', '133773', '133774', '133775', '133776', '133777', '133778', '133779', '133780', '133781', '133782', '133783', '133784', '133785', '133786', '133787', '133788']</t>
  </si>
  <si>
    <t>['133793', '133794', '133795', '133796', '133797', '133798']</t>
  </si>
  <si>
    <t>['133733', '133734', '133735', '133736', '133737', '133738', '133739', '133740', '133741', '133742', '133743', '133744', '133745', '133746']</t>
  </si>
  <si>
    <t>XR6338</t>
  </si>
  <si>
    <t>['133731']</t>
  </si>
  <si>
    <t>['133799', '133800', '133801', '133802', '133803', '133804', '133805']</t>
  </si>
  <si>
    <t>['133806', '133807', '133808', '133809', '133810', '133811', '133812', '133813', '133814', '133815']</t>
  </si>
  <si>
    <t>['133816']['133817', '133818']</t>
  </si>
  <si>
    <t>26-08-2022</t>
  </si>
  <si>
    <t>['133840']</t>
  </si>
  <si>
    <t>['133836']</t>
  </si>
  <si>
    <t>['133821']</t>
  </si>
  <si>
    <t>['133822']</t>
  </si>
  <si>
    <t>['133820']</t>
  </si>
  <si>
    <t>['133830', '133831', '133832', '133833', '133834']</t>
  </si>
  <si>
    <t>['133835']</t>
  </si>
  <si>
    <t>['133823', '133824', '133825', '133826', '133827', '133829']['133828']</t>
  </si>
  <si>
    <t>29-08-2022</t>
  </si>
  <si>
    <t>WC2222</t>
  </si>
  <si>
    <t>['133868']</t>
  </si>
  <si>
    <t>['133853']</t>
  </si>
  <si>
    <t>['133852']</t>
  </si>
  <si>
    <t>['133841']</t>
  </si>
  <si>
    <t>['133866', '133867']</t>
  </si>
  <si>
    <t>['133854', '133855', '133856', '133857', '133858', '133859', '133860', '133861', '133862', '133863', '133864', '133865']</t>
  </si>
  <si>
    <t>['133879']</t>
  </si>
  <si>
    <t>['133881']</t>
  </si>
  <si>
    <t>['133869', '133871', '133872', '133873', '133874', '133875', '133876', '133877', '133878']['133870']</t>
  </si>
  <si>
    <t>30-08-2022</t>
  </si>
  <si>
    <t>['133900']</t>
  </si>
  <si>
    <t>['133901', '133902']</t>
  </si>
  <si>
    <t>['133898']</t>
  </si>
  <si>
    <t>['133897']</t>
  </si>
  <si>
    <t>['133885']</t>
  </si>
  <si>
    <t>['133899']</t>
  </si>
  <si>
    <t>['133903']</t>
  </si>
  <si>
    <t>['133886', '133887', '133888', '133889', '133890', '133891', '133892', '133893', '133894', '133895', '133896']</t>
  </si>
  <si>
    <t>31-08-2022</t>
  </si>
  <si>
    <t>['133908']</t>
  </si>
  <si>
    <t>['133955']</t>
  </si>
  <si>
    <t>['133918', '133919', '133920', '133921', '133923', '133924', '133925', '133926', '133927', '133928', '133929']</t>
  </si>
  <si>
    <t>['133948']</t>
  </si>
  <si>
    <t>['133909', '133910', '133911', '133912', '133913', '133914', '133915', '133916', '133917']</t>
  </si>
  <si>
    <t>['133930', '133931', '133932', '133933', '133934', '133935', '133936', '133937', '133938', '133939', '133940']</t>
  </si>
  <si>
    <t>['133945']</t>
  </si>
  <si>
    <t>['133944']</t>
  </si>
  <si>
    <t>['133943']</t>
  </si>
  <si>
    <t>WT7728</t>
  </si>
  <si>
    <t>['133953']</t>
  </si>
  <si>
    <t>['133906']['133907']</t>
  </si>
  <si>
    <t>01-09-2022</t>
  </si>
  <si>
    <t>INMOBILIARIA Y CONSTRUCTORX</t>
  </si>
  <si>
    <t>['133970']</t>
  </si>
  <si>
    <t>['133958', '133959', '133960', '133961', '133962', '133963', '133964', '133965', '133966', '133967', '133968', '133969']</t>
  </si>
  <si>
    <t>['133972']</t>
  </si>
  <si>
    <t>['133956']['133975']</t>
  </si>
  <si>
    <t>02-09-2022</t>
  </si>
  <si>
    <t>['133991']</t>
  </si>
  <si>
    <t>['133996']</t>
  </si>
  <si>
    <t>['133992', '133993', '133994']</t>
  </si>
  <si>
    <t>['133978', '133979']</t>
  </si>
  <si>
    <t>['134000']</t>
  </si>
  <si>
    <t>['133980', '133981', '133982', '133984', '133985', '133986', '133987', '133988', '133989', '133990']['133983']</t>
  </si>
  <si>
    <t>['133997']['133998']</t>
  </si>
  <si>
    <t>05-09-2022</t>
  </si>
  <si>
    <t>['134015']</t>
  </si>
  <si>
    <t>['134014']</t>
  </si>
  <si>
    <t>['134016']</t>
  </si>
  <si>
    <t>['134017', '134018']</t>
  </si>
  <si>
    <t>['134019']</t>
  </si>
  <si>
    <t>['134002', '134003', '134004']</t>
  </si>
  <si>
    <t>['134005', '134006', '134007', '134008', '134009']</t>
  </si>
  <si>
    <t>['134012']</t>
  </si>
  <si>
    <t>['134010', '134011']</t>
  </si>
  <si>
    <t>06-09-2022</t>
  </si>
  <si>
    <t>['134051']</t>
  </si>
  <si>
    <t>['134058']</t>
  </si>
  <si>
    <t>HXJC25</t>
  </si>
  <si>
    <t>116608979</t>
  </si>
  <si>
    <t>['134059']</t>
  </si>
  <si>
    <t>51373292</t>
  </si>
  <si>
    <t>['134052']</t>
  </si>
  <si>
    <t>['134053']</t>
  </si>
  <si>
    <t>['134054', '134055']</t>
  </si>
  <si>
    <t>['134025', '134026', '134027', '134028', '134029', '134030']</t>
  </si>
  <si>
    <t>['134031', '134032', '134033', '134034', '134035']</t>
  </si>
  <si>
    <t>['134056', '134057']</t>
  </si>
  <si>
    <t>['134036', '134037', '134038', '134039', '134040', '134041', '134042', '134044', '134045', '134046', '134047', '134048', '134050']</t>
  </si>
  <si>
    <t>07-09-2022</t>
  </si>
  <si>
    <t>['134064']</t>
  </si>
  <si>
    <t>['134078']</t>
  </si>
  <si>
    <t>['134063']</t>
  </si>
  <si>
    <t>['134061']</t>
  </si>
  <si>
    <t>10822326</t>
  </si>
  <si>
    <t>['134060']</t>
  </si>
  <si>
    <t>['134065', '134066', '134067', '134068', '134069', '134070', '134071', '134072', '134073', '134074', '134075']</t>
  </si>
  <si>
    <t>['134077']</t>
  </si>
  <si>
    <t>['134076']</t>
  </si>
  <si>
    <t>08-09-2022</t>
  </si>
  <si>
    <t>['134112', '134114']</t>
  </si>
  <si>
    <t>['134107', '134108']</t>
  </si>
  <si>
    <t>['134082', '134083', '134084', '134085', '134086', '134087', '134088', '134089', '134090', '134091', '134092', '134093', '134094', '134095', '134096', '134097', '134098']</t>
  </si>
  <si>
    <t>['134109', '134110']</t>
  </si>
  <si>
    <t>['134111']</t>
  </si>
  <si>
    <t>['134099', '134100', '134101', '134102', '134103', '134104', '134105']['134106']</t>
  </si>
  <si>
    <t>09-09-2022</t>
  </si>
  <si>
    <t>['134126', '134127']</t>
  </si>
  <si>
    <t>160935098K</t>
  </si>
  <si>
    <t>['134115']</t>
  </si>
  <si>
    <t>['134128']</t>
  </si>
  <si>
    <t>['134116', '134117', '134118', '134119', '134120', '134121', '134122', '134123', '134124', '134125']</t>
  </si>
  <si>
    <t>['134129']</t>
  </si>
  <si>
    <t>778907355</t>
  </si>
  <si>
    <t>['134130']</t>
  </si>
  <si>
    <t>12-09-2022</t>
  </si>
  <si>
    <t>['134132']</t>
  </si>
  <si>
    <t>['134171', '134172']</t>
  </si>
  <si>
    <t>['134170']</t>
  </si>
  <si>
    <t>['134160', '134161', '134162', '134163', '134164', '134165', '134166', '134167', '134168']</t>
  </si>
  <si>
    <t>['134151', '134152', '134153', '134154', '134155', '134156', '134157', '134158', '134159']</t>
  </si>
  <si>
    <t>['134137', '134138', '134139', '134140', '134141', '134142', '134143', '134144', '134145', '134146', '134147', '134148', '134149', '134150']</t>
  </si>
  <si>
    <t>PJ1058</t>
  </si>
  <si>
    <t>['134133']</t>
  </si>
  <si>
    <t>RX5135</t>
  </si>
  <si>
    <t>['134169']</t>
  </si>
  <si>
    <t>['134135']</t>
  </si>
  <si>
    <t>['134136']</t>
  </si>
  <si>
    <t>13-09-2022</t>
  </si>
  <si>
    <t>['134194']</t>
  </si>
  <si>
    <t>['134206']</t>
  </si>
  <si>
    <t>['134184', '134185', '134186']</t>
  </si>
  <si>
    <t>['134176', '134177', '134178', '134179', '134181', '134182', '134183']</t>
  </si>
  <si>
    <t>['134187', '134188', '134189', '134190', '134191', '134192', '134193']</t>
  </si>
  <si>
    <t>['134195', '134196', '134197', '134198', '134199', '134200', '134201', '134202', '134203', '134204', '134205']</t>
  </si>
  <si>
    <t>['134207']</t>
  </si>
  <si>
    <t>14-09-2022</t>
  </si>
  <si>
    <t>['134230', '134231']</t>
  </si>
  <si>
    <t>['134222', '134223', '134224', '134225', '134226', '134227', '134228']</t>
  </si>
  <si>
    <t>['134211', '134212', '134213', '134214', '134215', '134216', '134217', '134218', '134219', '134220', '134221']</t>
  </si>
  <si>
    <t>20-09-2022</t>
  </si>
  <si>
    <t>['134234']</t>
  </si>
  <si>
    <t>['134262']</t>
  </si>
  <si>
    <t>['134260']</t>
  </si>
  <si>
    <t>['134236']</t>
  </si>
  <si>
    <t>['134263', '134264']</t>
  </si>
  <si>
    <t>['134240', '134241', '134242', '134243', '134244', '134245', '134246']</t>
  </si>
  <si>
    <t>['134258', '134259']</t>
  </si>
  <si>
    <t>['134256']</t>
  </si>
  <si>
    <t>['134238', '134239']['134237']</t>
  </si>
  <si>
    <t>['134248', '134249', '134250', '134251', '134252', '134253', '134254', '134255']['134247']</t>
  </si>
  <si>
    <t>['134266']['134267']</t>
  </si>
  <si>
    <t>['134261']['134235']</t>
  </si>
  <si>
    <t>Transportista</t>
  </si>
  <si>
    <t xml:space="preserve">Kg transportados </t>
  </si>
  <si>
    <t>% Ocupación</t>
  </si>
  <si>
    <t>-</t>
  </si>
  <si>
    <t>21-09-2022</t>
  </si>
  <si>
    <t>['134277']</t>
  </si>
  <si>
    <t>['134278']</t>
  </si>
  <si>
    <t>['134279', '134280', '134281', '134282']</t>
  </si>
  <si>
    <t>['134284', '134285', '134286', '134287', '134288', '134289', '134290', '134291', '134292', '134293', '134294']</t>
  </si>
  <si>
    <t>['134268', '134269', '134270', '134271', '134272', '134273', '134274']</t>
  </si>
  <si>
    <t>LA CRUZ</t>
  </si>
  <si>
    <t>['134297']</t>
  </si>
  <si>
    <t>['134283']</t>
  </si>
  <si>
    <t>['134295']</t>
  </si>
  <si>
    <t>['134296']</t>
  </si>
  <si>
    <t>22-09-2022</t>
  </si>
  <si>
    <t>['134298', '134299', '134300', '134301', '134302', '134303', '134304', '134305', '134306', '134307', '134308', '134309', '134310', '134311']</t>
  </si>
  <si>
    <t>['134329']</t>
  </si>
  <si>
    <t>['134333']</t>
  </si>
  <si>
    <t>['134347']</t>
  </si>
  <si>
    <t>['134346']</t>
  </si>
  <si>
    <t>['134334', '134335', '134336', '134337', '134338', '134339', '134340', '134341']</t>
  </si>
  <si>
    <t>['134348']['134349']</t>
  </si>
  <si>
    <t>['134312']['134342']</t>
  </si>
  <si>
    <t>['134318', '134319', '134321', '134323', '134324', '134325', '134326', '134327', '134328']['134330', '134331', '134332']</t>
  </si>
  <si>
    <t>['134345']['134344']</t>
  </si>
  <si>
    <t>23-09-2022</t>
  </si>
  <si>
    <t>['134351']</t>
  </si>
  <si>
    <t>['134366']</t>
  </si>
  <si>
    <t>['134353']</t>
  </si>
  <si>
    <t>['134373']</t>
  </si>
  <si>
    <t>['134371', '134372']</t>
  </si>
  <si>
    <t>['134354', '134355', '134356']</t>
  </si>
  <si>
    <t>['134368', '134369']</t>
  </si>
  <si>
    <t>['134370']</t>
  </si>
  <si>
    <t>26-09-2022</t>
  </si>
  <si>
    <t>['134377', '134378']</t>
  </si>
  <si>
    <t>177846392</t>
  </si>
  <si>
    <t>['134380']</t>
  </si>
  <si>
    <t>['134387']</t>
  </si>
  <si>
    <t>['134374', '134381']</t>
  </si>
  <si>
    <t>['134375', '134382']</t>
  </si>
  <si>
    <t>['134379']</t>
  </si>
  <si>
    <t>['134384']</t>
  </si>
  <si>
    <t>['134383']</t>
  </si>
  <si>
    <t>['134386']</t>
  </si>
  <si>
    <t>['134385']</t>
  </si>
  <si>
    <t>27-09-2022</t>
  </si>
  <si>
    <t>['134401', '134402', '134403']</t>
  </si>
  <si>
    <t>['134390']</t>
  </si>
  <si>
    <t>['134389']</t>
  </si>
  <si>
    <t>['134415']</t>
  </si>
  <si>
    <t>['134405', '134406', '134407', '134408', '134410']</t>
  </si>
  <si>
    <t>['134395', '134396', '134397', '134398', '134399', '134400']</t>
  </si>
  <si>
    <t>['134411', '134412', '134413', '134414']</t>
  </si>
  <si>
    <t>['134419']</t>
  </si>
  <si>
    <t>['134418']</t>
  </si>
  <si>
    <t>['134417']</t>
  </si>
  <si>
    <t>28-09-2022</t>
  </si>
  <si>
    <t>['134458']</t>
  </si>
  <si>
    <t>['134421']</t>
  </si>
  <si>
    <t>['134420']</t>
  </si>
  <si>
    <t>['134424', '134426']</t>
  </si>
  <si>
    <t>['134427', '134428', '134429', '134430', '134431', '134432', '134433']</t>
  </si>
  <si>
    <t>['134440', '134441', '134442']</t>
  </si>
  <si>
    <t>FHTK12</t>
  </si>
  <si>
    <t>129166568</t>
  </si>
  <si>
    <t>['134423']</t>
  </si>
  <si>
    <t>['134456', '134457']</t>
  </si>
  <si>
    <t>['134452']</t>
  </si>
  <si>
    <t>['134436', '134437', '134438', '134439']['134435']</t>
  </si>
  <si>
    <t>['134454']['134455']</t>
  </si>
  <si>
    <t>29-09-2022</t>
  </si>
  <si>
    <t>['134461']</t>
  </si>
  <si>
    <t>['134463']</t>
  </si>
  <si>
    <t>['134507']</t>
  </si>
  <si>
    <t>['134508']</t>
  </si>
  <si>
    <t>['134465', '134466', '134467', '134468', '134469', '134470', '134471', '134472', '134473', '134474', '134475', '134476', '134477']</t>
  </si>
  <si>
    <t>['134485']</t>
  </si>
  <si>
    <t>['134495', '134496', '134497', '134498']</t>
  </si>
  <si>
    <t>['134491', '134492', '134493', '134494']</t>
  </si>
  <si>
    <t>['134500']</t>
  </si>
  <si>
    <t>['134486', '134488', '134489']</t>
  </si>
  <si>
    <t>107643202</t>
  </si>
  <si>
    <t>['134478']['134479', '134480', '134481', '134482', '134483', '134484']</t>
  </si>
  <si>
    <t>30-09-2022</t>
  </si>
  <si>
    <t>['134512']</t>
  </si>
  <si>
    <t>CONSTRUCTORA CAMPOS DE CHIX</t>
  </si>
  <si>
    <t>SU3354</t>
  </si>
  <si>
    <t>['134523']</t>
  </si>
  <si>
    <t>['134525', '134526', '134527', '134528', '134529']</t>
  </si>
  <si>
    <t>['134514', '134515', '134516', '134517', '134518', '134519', '134520', '134521', '134522']</t>
  </si>
  <si>
    <t>['134530', '134531', '134532', '134533', '134534', '134535', '134536']</t>
  </si>
  <si>
    <t>['134538']</t>
  </si>
  <si>
    <t>['134539']</t>
  </si>
  <si>
    <t>['134540']</t>
  </si>
  <si>
    <t>03-10-2022</t>
  </si>
  <si>
    <t>['134542']</t>
  </si>
  <si>
    <t>RODRIGO JOGLAR PEREZ</t>
  </si>
  <si>
    <t>['134562']</t>
  </si>
  <si>
    <t>['134548']</t>
  </si>
  <si>
    <t>['134551', '134552', '134553', '134554', '134555', '134556', '134557', '134558', '134559', '134560', '134561']</t>
  </si>
  <si>
    <t>['134545']</t>
  </si>
  <si>
    <t>['134546']</t>
  </si>
  <si>
    <t>['134547']</t>
  </si>
  <si>
    <t>['134549', '134550']</t>
  </si>
  <si>
    <t>Promedio de pesototal</t>
  </si>
  <si>
    <t xml:space="preserve">Transporte </t>
  </si>
  <si>
    <t>04-10-2022</t>
  </si>
  <si>
    <t>['134573']</t>
  </si>
  <si>
    <t>['134568']</t>
  </si>
  <si>
    <t>['134566', '134567']</t>
  </si>
  <si>
    <t>['134565']</t>
  </si>
  <si>
    <t>['134574', '134575']</t>
  </si>
  <si>
    <t>['134572']</t>
  </si>
  <si>
    <t>05-10-2022</t>
  </si>
  <si>
    <t>['134590', '134591']</t>
  </si>
  <si>
    <t>['134580']</t>
  </si>
  <si>
    <t>['134582']</t>
  </si>
  <si>
    <t>['134589']</t>
  </si>
  <si>
    <t>['134592', '134593', '134594']</t>
  </si>
  <si>
    <t>['134577']</t>
  </si>
  <si>
    <t>['134581']</t>
  </si>
  <si>
    <t>['134584', '134585', '134586', '134587']</t>
  </si>
  <si>
    <t>167892741</t>
  </si>
  <si>
    <t>['134583']</t>
  </si>
  <si>
    <t>['134579']['134578']</t>
  </si>
  <si>
    <t>06-10-2022</t>
  </si>
  <si>
    <t>['134598']</t>
  </si>
  <si>
    <t>['134619']</t>
  </si>
  <si>
    <t>['134620']</t>
  </si>
  <si>
    <t>['134600', '134601', '134602', '134603', '134604', '134605', '134606', '134607', '134608', '134609']</t>
  </si>
  <si>
    <t>['134618']</t>
  </si>
  <si>
    <t>SU9358</t>
  </si>
  <si>
    <t>['134617']</t>
  </si>
  <si>
    <t>['134595']</t>
  </si>
  <si>
    <t>['134596']</t>
  </si>
  <si>
    <t>['134610', '134611', '134612', '134613', '134614', '134615']</t>
  </si>
  <si>
    <t>['134616']</t>
  </si>
  <si>
    <t>['134599']['134597']</t>
  </si>
  <si>
    <t>07-10-2022</t>
  </si>
  <si>
    <t>['134622']</t>
  </si>
  <si>
    <t>['134638', '134639', '134640', '134641', '134642', '134643', '134644', '134645', '134646']</t>
  </si>
  <si>
    <t>['134623', '134624', '134625', '134626', '134627', '134628', '134629', '134630', '134631', '134632', '134633', '134634', '134635', '134636', '134637']</t>
  </si>
  <si>
    <t>['134647', '134648', '134649', '134650', '134651', '134652']</t>
  </si>
  <si>
    <t>11-10-2022</t>
  </si>
  <si>
    <t>['134657']</t>
  </si>
  <si>
    <t>['134661']</t>
  </si>
  <si>
    <t>['134660']</t>
  </si>
  <si>
    <t>['134656']</t>
  </si>
  <si>
    <t>['134698', '134699', '134700', '134701', '134702', '134703', '134704']</t>
  </si>
  <si>
    <t>['134677']</t>
  </si>
  <si>
    <t>['134664', '134665', '134666', '134667', '134668', '134669', '134670', '134671', '134672', '134673', '134674', '134675', '134676', '134678', '134679', '134680', '134681', '134682']</t>
  </si>
  <si>
    <t>78951976</t>
  </si>
  <si>
    <t>['134658', '134659']</t>
  </si>
  <si>
    <t>1697832741</t>
  </si>
  <si>
    <t>['134686', '134687', '134688', '134689', '134690', '134691', '134692']</t>
  </si>
  <si>
    <t>['134685']</t>
  </si>
  <si>
    <t>['134693']</t>
  </si>
  <si>
    <t>['134683', '134684']</t>
  </si>
  <si>
    <t>['134695']['134694']</t>
  </si>
  <si>
    <t>['134705', '134706', '134707', '134708', '134709', '134711', '134712', '134713', '134714', '134715', '134716', '134717', '134718', '134719', '134721']['134720']['134710']</t>
  </si>
  <si>
    <t>['134662']['134663']</t>
  </si>
  <si>
    <t>12-10-2022</t>
  </si>
  <si>
    <t>['134734', '134735', '134736', '134737', '134738', '134739']</t>
  </si>
  <si>
    <t>['134723', '134724', '134725']</t>
  </si>
  <si>
    <t>['134726', '134727', '134728', '134729', '134730', '134731', '134732', '134733']</t>
  </si>
  <si>
    <t>['134740', '134741', '134742', '134743']</t>
  </si>
  <si>
    <t>['134756']</t>
  </si>
  <si>
    <t>['134749']</t>
  </si>
  <si>
    <t>['134746']</t>
  </si>
  <si>
    <t>['134745']</t>
  </si>
  <si>
    <t>['134747', '134748']</t>
  </si>
  <si>
    <t>['134750', '134751']['134753']['134752']</t>
  </si>
  <si>
    <t>13-10-2022</t>
  </si>
  <si>
    <t>['134765']</t>
  </si>
  <si>
    <t>['134770', '134771', '134772', '134773', '134774', '134775', '134776', '134777', '134778', '134779', '134780', '134781', '134782', '134783', '134784']</t>
  </si>
  <si>
    <t>['134786']</t>
  </si>
  <si>
    <t>['134788']</t>
  </si>
  <si>
    <t>['134787']</t>
  </si>
  <si>
    <t>['134796']</t>
  </si>
  <si>
    <t>['134758', '134759']</t>
  </si>
  <si>
    <t>['134792']</t>
  </si>
  <si>
    <t>['134789']</t>
  </si>
  <si>
    <t>['134795']</t>
  </si>
  <si>
    <t>['134793']['134794']</t>
  </si>
  <si>
    <t>['134791']['134790']</t>
  </si>
  <si>
    <t>['134760']['134761']</t>
  </si>
  <si>
    <t>['134769']['134768']</t>
  </si>
  <si>
    <t>14-10-2022</t>
  </si>
  <si>
    <t>['134806', '134808', '134809', '134810']</t>
  </si>
  <si>
    <t>['134797']</t>
  </si>
  <si>
    <t>['134804', '134805', '134807']</t>
  </si>
  <si>
    <t>['134812']</t>
  </si>
  <si>
    <t>['134798']</t>
  </si>
  <si>
    <t>['134814']</t>
  </si>
  <si>
    <t>['134811']</t>
  </si>
  <si>
    <t>['134801', '134802']</t>
  </si>
  <si>
    <t>17-10-2022</t>
  </si>
  <si>
    <t>['134815']</t>
  </si>
  <si>
    <t>['134844']</t>
  </si>
  <si>
    <t>['134825', '134826', '134827', '134828', '134829', '134830', '134831']</t>
  </si>
  <si>
    <t>['134847']</t>
  </si>
  <si>
    <t>['134848']</t>
  </si>
  <si>
    <t>['134849']</t>
  </si>
  <si>
    <t>['134819', '134820', '134821', '134822', '134823', '134824']</t>
  </si>
  <si>
    <t>['134833', '134834']</t>
  </si>
  <si>
    <t>['134832']</t>
  </si>
  <si>
    <t>['134843']</t>
  </si>
  <si>
    <t>['134845']['134846']</t>
  </si>
  <si>
    <t>18-10-2022</t>
  </si>
  <si>
    <t>['134877']</t>
  </si>
  <si>
    <t>['134876']</t>
  </si>
  <si>
    <t>GFLB57</t>
  </si>
  <si>
    <t>112438076</t>
  </si>
  <si>
    <t>['134850']</t>
  </si>
  <si>
    <t>['134861']</t>
  </si>
  <si>
    <t>['134862', '134863']</t>
  </si>
  <si>
    <t>['134855', '134856', '134857', '134858', '134859', '134860']</t>
  </si>
  <si>
    <t>['134871']</t>
  </si>
  <si>
    <t>['134853', '134854']</t>
  </si>
  <si>
    <t>['134870']</t>
  </si>
  <si>
    <t>['134875']['134874']</t>
  </si>
  <si>
    <t>19-10-2022</t>
  </si>
  <si>
    <t>['134899']</t>
  </si>
  <si>
    <t>['134897']</t>
  </si>
  <si>
    <t>['134881']</t>
  </si>
  <si>
    <t>['134900', '134901', '134902']</t>
  </si>
  <si>
    <t>['134880']</t>
  </si>
  <si>
    <t>KFDS14</t>
  </si>
  <si>
    <t>11899972K</t>
  </si>
  <si>
    <t>['134879']</t>
  </si>
  <si>
    <t>['134882', '134883', '134884', '134885', '134886', '134887']</t>
  </si>
  <si>
    <t>['134889', '134890', '134891', '134892', '134893', '134894', '134895', '134896']</t>
  </si>
  <si>
    <t>['134898']</t>
  </si>
  <si>
    <t>['134903']</t>
  </si>
  <si>
    <t>['134904', '134905']</t>
  </si>
  <si>
    <t>20-10-2022</t>
  </si>
  <si>
    <t>['134935']</t>
  </si>
  <si>
    <t>['134921', '134922', '134923', '134924', '134925', '134926', '134927', '134928', '134929', '134930', '134931']</t>
  </si>
  <si>
    <t>['134912']</t>
  </si>
  <si>
    <t>['134908', '134909', '134910', '134911']</t>
  </si>
  <si>
    <t>['134933']</t>
  </si>
  <si>
    <t>['134916', '134917', '134918', '134919', '134920']</t>
  </si>
  <si>
    <t>['134934']</t>
  </si>
  <si>
    <t>['134906']['134907']</t>
  </si>
  <si>
    <t>21-10-2022</t>
  </si>
  <si>
    <t>['134955', '134956', '134957', '134958']</t>
  </si>
  <si>
    <t>['134962']</t>
  </si>
  <si>
    <t>['134938']</t>
  </si>
  <si>
    <t>['134939']</t>
  </si>
  <si>
    <t>['134953']</t>
  </si>
  <si>
    <t>['134936']</t>
  </si>
  <si>
    <t>['134954']</t>
  </si>
  <si>
    <t>['134944', '134945', '134946', '134947', '134948', '134949', '134950', '134951', '134952']</t>
  </si>
  <si>
    <t>['134961']</t>
  </si>
  <si>
    <t>24-10-2022</t>
  </si>
  <si>
    <t>CRCG77</t>
  </si>
  <si>
    <t>114717908</t>
  </si>
  <si>
    <t>['134999']</t>
  </si>
  <si>
    <t>DGCC76</t>
  </si>
  <si>
    <t>150356040</t>
  </si>
  <si>
    <t>['135001']</t>
  </si>
  <si>
    <t>PBFH81</t>
  </si>
  <si>
    <t>129210451</t>
  </si>
  <si>
    <t>['134968']</t>
  </si>
  <si>
    <t>PETORCA</t>
  </si>
  <si>
    <t>['135000']</t>
  </si>
  <si>
    <t>['134964']</t>
  </si>
  <si>
    <t>['134985', '134986', '134987', '134988', '134989', '134990', '134991']</t>
  </si>
  <si>
    <t>['134965']</t>
  </si>
  <si>
    <t>['134967']</t>
  </si>
  <si>
    <t>['134992']</t>
  </si>
  <si>
    <t>['134972', '134973', '134974', '134975', '134976', '134977', '134978', '134979', '134980', '134981', '134982', '134983', '134984']</t>
  </si>
  <si>
    <t>['134963']</t>
  </si>
  <si>
    <t>['134998']</t>
  </si>
  <si>
    <t>['134997']</t>
  </si>
  <si>
    <t>['134995']</t>
  </si>
  <si>
    <t>['134994', '134996']</t>
  </si>
  <si>
    <t>['134971']['134970']</t>
  </si>
  <si>
    <t>25-10-2022</t>
  </si>
  <si>
    <t>['135002', '135003']</t>
  </si>
  <si>
    <t>17465087K</t>
  </si>
  <si>
    <t>['135036']</t>
  </si>
  <si>
    <t>177846362</t>
  </si>
  <si>
    <t>['135035']</t>
  </si>
  <si>
    <t>['135012']</t>
  </si>
  <si>
    <t>['135020', '135021', '135022', '135023', '135024', '135025', '135026']</t>
  </si>
  <si>
    <t>['135004']</t>
  </si>
  <si>
    <t>['135005', '135006']</t>
  </si>
  <si>
    <t>['135013', '135014', '135015', '135016', '135017', '135018', '135019']</t>
  </si>
  <si>
    <t>['135027', '135028', '135029', '135030', '135031']</t>
  </si>
  <si>
    <t>92022607</t>
  </si>
  <si>
    <t>['135037']</t>
  </si>
  <si>
    <t>['135008', '135009']['135010']</t>
  </si>
  <si>
    <t>['135034']['135033']</t>
  </si>
  <si>
    <t>['135039']['135038']</t>
  </si>
  <si>
    <t>26-10-2022</t>
  </si>
  <si>
    <t>['135065']</t>
  </si>
  <si>
    <t>['135045']</t>
  </si>
  <si>
    <t>['135046']</t>
  </si>
  <si>
    <t>['135086']</t>
  </si>
  <si>
    <t>['135067', '135068', '135069', '135070']</t>
  </si>
  <si>
    <t>['135044']</t>
  </si>
  <si>
    <t>FTXK27</t>
  </si>
  <si>
    <t>109507547</t>
  </si>
  <si>
    <t>['135049']</t>
  </si>
  <si>
    <t>['135057', '135058', '135059', '135060', '135061', '135062', '135063', '135064']</t>
  </si>
  <si>
    <t>['135051', '135052', '135053', '135054']</t>
  </si>
  <si>
    <t>['135055', '135056']</t>
  </si>
  <si>
    <t>['135072', '135073', '135074', '135075', '135076', '135077']</t>
  </si>
  <si>
    <t>ESTACION CENTRAL</t>
  </si>
  <si>
    <t>['135083']</t>
  </si>
  <si>
    <t>['135080', '135081']</t>
  </si>
  <si>
    <t>['135082']</t>
  </si>
  <si>
    <t>['135040', '135041', '135042']['135043']</t>
  </si>
  <si>
    <t>['135079']['135078']</t>
  </si>
  <si>
    <t>['135047']['135084', '135085']</t>
  </si>
  <si>
    <t>27-10-2022</t>
  </si>
  <si>
    <t>['135097']</t>
  </si>
  <si>
    <t>['135094']</t>
  </si>
  <si>
    <t>['135091']</t>
  </si>
  <si>
    <t>['135118', '135119', '135120', '135121', '135122', '135123', '135124', '135125', '135126', '135127', '135128', '135129', '135130']</t>
  </si>
  <si>
    <t>['135092']</t>
  </si>
  <si>
    <t>['135093']</t>
  </si>
  <si>
    <t>['135115']</t>
  </si>
  <si>
    <t>['135106', '135107', '135108', '135109', '135110', '135111', '135112', '135113', '135114']</t>
  </si>
  <si>
    <t>['135143', '135144', '135145']</t>
  </si>
  <si>
    <t>['135147']</t>
  </si>
  <si>
    <t>['135131', '135132', '135134', '135135', '135136', '135137', '135138', '135139']['135133']</t>
  </si>
  <si>
    <t>['135099', '135100', '135101', '135102', '135103', '135104', '135105']['135098']</t>
  </si>
  <si>
    <t>['135117']['135116']</t>
  </si>
  <si>
    <t>28-10-2022</t>
  </si>
  <si>
    <t>['135154']</t>
  </si>
  <si>
    <t>['135149', '135150']</t>
  </si>
  <si>
    <t>['135151', '135152']</t>
  </si>
  <si>
    <t>['135157']</t>
  </si>
  <si>
    <t>['135153']</t>
  </si>
  <si>
    <t>FATK12</t>
  </si>
  <si>
    <t>126166568</t>
  </si>
  <si>
    <t>['135158']</t>
  </si>
  <si>
    <t>JGYY37</t>
  </si>
  <si>
    <t>127251194</t>
  </si>
  <si>
    <t>['135156']</t>
  </si>
  <si>
    <t>02-11-2022</t>
  </si>
  <si>
    <t>['135160', '135161']</t>
  </si>
  <si>
    <t>['135205', '135206']</t>
  </si>
  <si>
    <t>['135207']</t>
  </si>
  <si>
    <t>['135183', '135184', '135185', '135186', '135187', '135188', '135189', '135191', '135192']</t>
  </si>
  <si>
    <t>['135162', '135163', '135164', '135165', '135166', '135167']</t>
  </si>
  <si>
    <t>['135159']</t>
  </si>
  <si>
    <t>['135214']</t>
  </si>
  <si>
    <t>['135195', '135196', '135197', '135198', '135199', '135200', '135201', '135202', '135203']</t>
  </si>
  <si>
    <t>['135211']</t>
  </si>
  <si>
    <t>['135204']</t>
  </si>
  <si>
    <t>['135213']</t>
  </si>
  <si>
    <t>['135168', '135169', '135170', '135171', '135172', '135173', '135174', '135175', '135176', '135178', '135179', '135180', '135181']['135177']['135190']</t>
  </si>
  <si>
    <t>03-11-2022</t>
  </si>
  <si>
    <t>['135249']</t>
  </si>
  <si>
    <t>['135217']</t>
  </si>
  <si>
    <t>['135219', '135220']</t>
  </si>
  <si>
    <t>['135256']</t>
  </si>
  <si>
    <t>['135231', '135232', '135233', '135234', '135235', '135236', '135237', '135238', '135239', '135240', '135241', '135242']</t>
  </si>
  <si>
    <t>['135243', '135244', '135245', '135246', '135247', '135248']</t>
  </si>
  <si>
    <t>['135221', '135222', '135223', '135224', '135225', '135226', '135227', '135228', '135229', '135230']</t>
  </si>
  <si>
    <t>['135255']</t>
  </si>
  <si>
    <t>['135252', '135253']</t>
  </si>
  <si>
    <t>['135254']</t>
  </si>
  <si>
    <t>['135258', '135260']['135257']['135259']</t>
  </si>
  <si>
    <t>04-11-2022</t>
  </si>
  <si>
    <t>['135271']</t>
  </si>
  <si>
    <t>['135289', '135290', '135291', '135292', '135293', '135294', '135295', '135296', '135297', '135298', '135299', '135300', '135301']</t>
  </si>
  <si>
    <t>['135263', '135264', '135265']</t>
  </si>
  <si>
    <t>['135302', '135303', '135304', '135305', '135306']</t>
  </si>
  <si>
    <t>['135272', '135273', '135274', '135275', '135276', '135277', '135278', '135279', '135280', '135281', '135282', '135283', '135284', '135285']</t>
  </si>
  <si>
    <t>['135266', '135267', '135268', '135269', '135270']</t>
  </si>
  <si>
    <t>['135327']</t>
  </si>
  <si>
    <t>['135317', '135318']</t>
  </si>
  <si>
    <t>['135307', '135308', '135309', '135310', '135311', '135312', '135313']</t>
  </si>
  <si>
    <t>RGBE51</t>
  </si>
  <si>
    <t>['135286', '135287', '135288']</t>
  </si>
  <si>
    <t>['135314', '135315']['135316']</t>
  </si>
  <si>
    <t>['135320']['135321']</t>
  </si>
  <si>
    <t>07-11-2022</t>
  </si>
  <si>
    <t>['135387']</t>
  </si>
  <si>
    <t>['135382']</t>
  </si>
  <si>
    <t>['135353', '135354', '135355', '135356']</t>
  </si>
  <si>
    <t>['135385']</t>
  </si>
  <si>
    <t>['135381']</t>
  </si>
  <si>
    <t>['135383']</t>
  </si>
  <si>
    <t>['135380']</t>
  </si>
  <si>
    <t>['135384']</t>
  </si>
  <si>
    <t>['135328']</t>
  </si>
  <si>
    <t>['135357', '135359', '135360', '135362', '135363', '135364', '135365', '135366', '135367', '135368', '135369', '135370', '135371', '135372', '135374', '135375', '135376', '135377', '135378', '135379']['135373']['135361']['135358']</t>
  </si>
  <si>
    <t>['135329', '135330', '135332', '135333']['135331']</t>
  </si>
  <si>
    <t>09-11-2022</t>
  </si>
  <si>
    <t>['135423']</t>
  </si>
  <si>
    <t>['135443', '135444', '135445', '135446', '135447', '135448', '135449', '135450', '135451', '135452', '135453', '135454', '135455', '135456', '135457', '135458', '135459', '135460', '135461', '135462', '135463', '135464', '135465', '135466', '135467', '135468', '135469', '135470']</t>
  </si>
  <si>
    <t>['135480']</t>
  </si>
  <si>
    <t>['135424', '135425', '135426', '135427', '135428', '135429']</t>
  </si>
  <si>
    <t>['135408', '135409', '135410', '135411', '135412', '135413', '135414', '135415', '135416', '135417', '135418', '135419', '135420', '135421', '135422']</t>
  </si>
  <si>
    <t>['135405', '135406']</t>
  </si>
  <si>
    <t>['135472', '135473', '135474', '135475', '135476', '135477', '135478']</t>
  </si>
  <si>
    <t>['135481', '135484']</t>
  </si>
  <si>
    <t>['135441']['135440']</t>
  </si>
  <si>
    <t>['135482']['135483']</t>
  </si>
  <si>
    <t>['135430', '135431', '135433', '135434', '135435', '135436', '135437', '135438', '135439']['135432']</t>
  </si>
  <si>
    <t>10-11-2022</t>
  </si>
  <si>
    <t>['135488']</t>
  </si>
  <si>
    <t>['135491']</t>
  </si>
  <si>
    <t>['135514', '135515', '135516', '135517', '135518', '135519', '135520', '135521', '135522', '135523', '135524', '135525', '135526', '135527', '135528']</t>
  </si>
  <si>
    <t>['135494', '135495', '135496', '135497', '135498', '135499', '135500', '135501', '135502', '135503', '135504', '135505', '135506', '135507', '135508', '135509', '135510', '135511', '135512']</t>
  </si>
  <si>
    <t>['135529', '135530', '135531', '135532']</t>
  </si>
  <si>
    <t>['135540']</t>
  </si>
  <si>
    <t>['135538']</t>
  </si>
  <si>
    <t>['135539']</t>
  </si>
  <si>
    <t>TECHMIN LTDA</t>
  </si>
  <si>
    <t>['135487']</t>
  </si>
  <si>
    <t>['135533', '135534']['135535']</t>
  </si>
  <si>
    <t>11-11-2022</t>
  </si>
  <si>
    <t>['135586']</t>
  </si>
  <si>
    <t>['135581']</t>
  </si>
  <si>
    <t>163915707</t>
  </si>
  <si>
    <t>['135585']</t>
  </si>
  <si>
    <t>['135551']</t>
  </si>
  <si>
    <t>['135544', '135545', '135546', '135547']</t>
  </si>
  <si>
    <t>['135541', '135542', '135543']</t>
  </si>
  <si>
    <t>['135553', '135554', '135555', '135556', '135557', '135558', '135559', '135560', '135561', '135562', '135563', '135564', '135565', '135566']</t>
  </si>
  <si>
    <t>['135582']</t>
  </si>
  <si>
    <t>['135583']['135584']</t>
  </si>
  <si>
    <t>['135580']['135549']</t>
  </si>
  <si>
    <t>['135567', '135568', '135569', '135570', '135572', '135573', '135574', '135575', '135576', '135577', '135578']['135571']</t>
  </si>
  <si>
    <t>['135587']['135588']</t>
  </si>
  <si>
    <t>14-11-2022</t>
  </si>
  <si>
    <t>HLBX</t>
  </si>
  <si>
    <t>['135640']</t>
  </si>
  <si>
    <t>PVCL28</t>
  </si>
  <si>
    <t>160374632</t>
  </si>
  <si>
    <t>['135639']</t>
  </si>
  <si>
    <t>PYCL27</t>
  </si>
  <si>
    <t>104840078</t>
  </si>
  <si>
    <t>['135608']</t>
  </si>
  <si>
    <t>['135644']</t>
  </si>
  <si>
    <t>['135662']</t>
  </si>
  <si>
    <t>['135664']</t>
  </si>
  <si>
    <t>['135609', '135610']</t>
  </si>
  <si>
    <t>['135611', '135612', '135613', '135614', '135615', '135616', '135617', '135618', '135619', '135620', '135621']</t>
  </si>
  <si>
    <t>['135591', '135592', '135593', '135594', '135595', '135596', '135597', '135598', '135599', '135600', '135601', '135602', '135603', '135604', '135605']</t>
  </si>
  <si>
    <t>DBPX36</t>
  </si>
  <si>
    <t>101327930</t>
  </si>
  <si>
    <t>['135606', '135607']</t>
  </si>
  <si>
    <t>['135654', '135655', '135656', '135657', '135658', '135659', '135660', '135663']</t>
  </si>
  <si>
    <t>996269232</t>
  </si>
  <si>
    <t>['135661']</t>
  </si>
  <si>
    <t>['135645', '135646', '135647', '135648', '135649', '135650', '135651', '135652', '135653']</t>
  </si>
  <si>
    <t>['135622', '135623', '135625', '135626', '135627', '135628', '135629', '135630', '135631', '135632', '135633', '135634', '135635', '135636', '135637', '135638']['135624']</t>
  </si>
  <si>
    <t>15-11-2022</t>
  </si>
  <si>
    <t>['135671', '135672', '135673']</t>
  </si>
  <si>
    <t>['135675', '135676', '135677', '135678', '135679', '135680', '135681', '135682', '135683', '135684', '135685', '135686', '135687', '135688', '135689', '135690', '135691', '135692', '135693', '135694', '135695', '135696', '135697', '135698']</t>
  </si>
  <si>
    <t>FYTP84</t>
  </si>
  <si>
    <t>['135714']</t>
  </si>
  <si>
    <t>['135712']</t>
  </si>
  <si>
    <t>['135713']</t>
  </si>
  <si>
    <t>['135701', '135702', '135703', '135704', '135705', '135706', '135707', '135708', '135709', '135710', '135711']['135700']</t>
  </si>
  <si>
    <t>['135665', '135667', '135668', '135669']['135666']</t>
  </si>
  <si>
    <t>16-11-2022</t>
  </si>
  <si>
    <t>98911472</t>
  </si>
  <si>
    <t>['135755']</t>
  </si>
  <si>
    <t>VICTORIA</t>
  </si>
  <si>
    <t>['135747']</t>
  </si>
  <si>
    <t>['135720']</t>
  </si>
  <si>
    <t>1548/37728</t>
  </si>
  <si>
    <t>['135742']</t>
  </si>
  <si>
    <t>127271194</t>
  </si>
  <si>
    <t>['135741']</t>
  </si>
  <si>
    <t>RKRH77</t>
  </si>
  <si>
    <t>94590507</t>
  </si>
  <si>
    <t>['135754']</t>
  </si>
  <si>
    <t>['135749']</t>
  </si>
  <si>
    <t>['135743', '135744', '135745']</t>
  </si>
  <si>
    <t>['135723', '135724', '135725', '135726', '135727', '135728', '135729', '135730', '135731']</t>
  </si>
  <si>
    <t>['135732', '135733', '135734', '135735']</t>
  </si>
  <si>
    <t>RFDS14</t>
  </si>
  <si>
    <t>['135748']</t>
  </si>
  <si>
    <t>['135751']</t>
  </si>
  <si>
    <t>['135750']</t>
  </si>
  <si>
    <t>['135737', '135738', '135739', '135740']['135736']</t>
  </si>
  <si>
    <t>['135753']['135752']</t>
  </si>
  <si>
    <t>['135721']['135722']</t>
  </si>
  <si>
    <t>17-11-2022</t>
  </si>
  <si>
    <t>['135760']</t>
  </si>
  <si>
    <t>['135757']</t>
  </si>
  <si>
    <t>['135756']</t>
  </si>
  <si>
    <t>['135765']</t>
  </si>
  <si>
    <t>['135766']</t>
  </si>
  <si>
    <t>['135767']</t>
  </si>
  <si>
    <t>['135761', '135762', '135763', '135764']</t>
  </si>
  <si>
    <t>BPGY86</t>
  </si>
  <si>
    <t>98478647</t>
  </si>
  <si>
    <t>['135759']['135758']</t>
  </si>
  <si>
    <t>18-11-2022</t>
  </si>
  <si>
    <t>['135783']</t>
  </si>
  <si>
    <t>['135785', '135786', '135788', '135789']</t>
  </si>
  <si>
    <t>['135769', '135770', '135771', '135772']</t>
  </si>
  <si>
    <t>['135782']</t>
  </si>
  <si>
    <t>['135773', '135774', '135775', '135776', '135777', '135778', '135779', '135780', '135781']</t>
  </si>
  <si>
    <t>['135784']</t>
  </si>
  <si>
    <t>['135790', '135791']['135792']</t>
  </si>
  <si>
    <t>21-11-2022</t>
  </si>
  <si>
    <t>['135801']</t>
  </si>
  <si>
    <t>['135794']</t>
  </si>
  <si>
    <t>['135799']</t>
  </si>
  <si>
    <t>['135804']</t>
  </si>
  <si>
    <t>['135803']</t>
  </si>
  <si>
    <t>['135800']</t>
  </si>
  <si>
    <t>['135802']</t>
  </si>
  <si>
    <t>22-11-2022</t>
  </si>
  <si>
    <t>['135833']</t>
  </si>
  <si>
    <t>['135822']</t>
  </si>
  <si>
    <t>['135840', '135841']</t>
  </si>
  <si>
    <t>HLBX787</t>
  </si>
  <si>
    <t>['135831']</t>
  </si>
  <si>
    <t>['135808', '135809', '135810', '135811', '135812', '135813', '135814', '135815', '135816', '135817', '135819', '135820', '135821', '135823']</t>
  </si>
  <si>
    <t>['135844']</t>
  </si>
  <si>
    <t>['135845']</t>
  </si>
  <si>
    <t>['135836', '135837']</t>
  </si>
  <si>
    <t>['135830']</t>
  </si>
  <si>
    <t>['135824', '135825', '135827', '135828', '135829']['135826']</t>
  </si>
  <si>
    <t>['135838']['135839']</t>
  </si>
  <si>
    <t>['135842']['135843']</t>
  </si>
  <si>
    <t>24-11-2022</t>
  </si>
  <si>
    <t>120510860</t>
  </si>
  <si>
    <t>['135883']</t>
  </si>
  <si>
    <t>['135888', '135889', '135890', '135891', '135892', '135893', '135894', '135895', '135896', '135897', '135898', '135899', '135900']</t>
  </si>
  <si>
    <t>['135901', '135902', '135903', '135904', '135905', '135906', '135907', '135908', '135909', '135910', '135911', '135912', '135913', '135914', '135915', '135916']</t>
  </si>
  <si>
    <t>DETECO IC SA</t>
  </si>
  <si>
    <t>['135881']</t>
  </si>
  <si>
    <t>['135932', '135933', '135934', '135935', '135936', '135937', '135938', '135939', '135940']</t>
  </si>
  <si>
    <t>['135917', '135918', '135919', '135920', '135921', '135922', '135923', '135924', '135925', '135926', '135927', '135928', '135929', '135930', '135931']</t>
  </si>
  <si>
    <t>['135947']</t>
  </si>
  <si>
    <t>['135884']['135948']</t>
  </si>
  <si>
    <t>25-11-2022</t>
  </si>
  <si>
    <t>EMPRESA CONSTRUCTORA TORRAX</t>
  </si>
  <si>
    <t>['135974']</t>
  </si>
  <si>
    <t>3173292</t>
  </si>
  <si>
    <t>RKYY82</t>
  </si>
  <si>
    <t>101495566</t>
  </si>
  <si>
    <t>['135971']</t>
  </si>
  <si>
    <t>['135950', '135951', '135952', '135953', '135954', '135955', '135956', '135957', '135958']</t>
  </si>
  <si>
    <t>['135961', '135962', '135963', '135964', '135965', '135966', '135967', '135968']</t>
  </si>
  <si>
    <t>['135976']</t>
  </si>
  <si>
    <t>['135975']</t>
  </si>
  <si>
    <t>['135978', '135979', '135980', '135981']['135977']</t>
  </si>
  <si>
    <t>['135959']['135960']</t>
  </si>
  <si>
    <t>28-11-2022</t>
  </si>
  <si>
    <t>['136014']</t>
  </si>
  <si>
    <t>PPPW97</t>
  </si>
  <si>
    <t>116995093</t>
  </si>
  <si>
    <t>['136035', '136036']</t>
  </si>
  <si>
    <t>PYCL28</t>
  </si>
  <si>
    <t>['136034']</t>
  </si>
  <si>
    <t>['136027', '136028', '136029']</t>
  </si>
  <si>
    <t>['135982', '135983', '135984', '135985', '135986', '135987', '135988', '135989', '135990', '135991', '135992', '135993', '135994', '135995', '135996', '135997', '135998', '135999', '136000', '136001', '136002', '136003', '136004', '136005', '136006', '136007', '136008', '136009', '136010', '136011', '136012', '136013']</t>
  </si>
  <si>
    <t>['136030']</t>
  </si>
  <si>
    <t>['136033']</t>
  </si>
  <si>
    <t>['136031']</t>
  </si>
  <si>
    <t>['136015', '136016', '136017', '136018', '136020', '136022', '136023', '136024', '136025']['136019']['136021']</t>
  </si>
  <si>
    <t>29-11-2022</t>
  </si>
  <si>
    <t>['136083', '136084']</t>
  </si>
  <si>
    <t>['136073']</t>
  </si>
  <si>
    <t>170846392</t>
  </si>
  <si>
    <t>['136075']</t>
  </si>
  <si>
    <t>['136067']</t>
  </si>
  <si>
    <t>['136065', '136066']</t>
  </si>
  <si>
    <t>['136040']</t>
  </si>
  <si>
    <t>['136038']</t>
  </si>
  <si>
    <t>['136081', '136082']</t>
  </si>
  <si>
    <t>['136068', '136069', '136070', '136071', '136072']['136080']</t>
  </si>
  <si>
    <t>01-12-2022</t>
  </si>
  <si>
    <t>['136107', '136108', '136109', '136110', '136111', '136112', '136113', '136114', '136115', '136116', '136117', '136118', '136119', '136120', '136121', '136122', '136123', '136124']</t>
  </si>
  <si>
    <t>['136103', '136104', '136105', '136106']</t>
  </si>
  <si>
    <t>['136125']</t>
  </si>
  <si>
    <t>HDDB11</t>
  </si>
  <si>
    <t>['136129']</t>
  </si>
  <si>
    <t>['136154', '136155', '136156', '136157', '136158', '136159', '136160', '136161', '136162', '136163', '136164', '136165', '136166', '136167', '136168']</t>
  </si>
  <si>
    <t>['136130', '136131', '136132', '136133', '136134', '136135', '136136', '136137', '136138', '136139', '136140', '136141', '136142', '136143', '136144', '136145', '136146', '136147', '136148', '136149', '136150', '136151', '136152', '136153']</t>
  </si>
  <si>
    <t>['136171']</t>
  </si>
  <si>
    <t>['136172']</t>
  </si>
  <si>
    <t>['136126', '136127']['136128']</t>
  </si>
  <si>
    <t>02-12-2022</t>
  </si>
  <si>
    <t>['136178']</t>
  </si>
  <si>
    <t>['136215']</t>
  </si>
  <si>
    <t>['136176']</t>
  </si>
  <si>
    <t>['136177']</t>
  </si>
  <si>
    <t>['136202', '136203', '136204', '136205', '136206', '136207', '136208']</t>
  </si>
  <si>
    <t>['136179', '136180', '136181', '136182', '136183', '136184', '136185', '136186', '136187', '136188', '136189', '136190', '136191', '136192', '136193', '136194', '136195', '136196', '136197', '136198', '136199', '136200', '136201']</t>
  </si>
  <si>
    <t>['136216']</t>
  </si>
  <si>
    <t>['136209', '136210', '136211', '136212', '136213', '136214']</t>
  </si>
  <si>
    <t>06-12-2022</t>
  </si>
  <si>
    <t>['136297']</t>
  </si>
  <si>
    <t>['136239']</t>
  </si>
  <si>
    <t>['136260', '136261', '136262', '136263', '136264', '136265', '136266', '136267', '136268', '136269', '136270', '136271', '136272', '136273', '136274', '136275', '136276']</t>
  </si>
  <si>
    <t>['136237']</t>
  </si>
  <si>
    <t>['136296']</t>
  </si>
  <si>
    <t>PYCP22</t>
  </si>
  <si>
    <t>114163848</t>
  </si>
  <si>
    <t>['136294']</t>
  </si>
  <si>
    <t>['136282', '136283', '136284', '136285']</t>
  </si>
  <si>
    <t>['136286', '136287', '136288', '136289', '136291']</t>
  </si>
  <si>
    <t>['136241', '136242', '136243', '136244', '136245', '136246', '136247', '136248', '136249', '136250', '136251', '136252', '136253', '136254', '136255', '136256', '136257', '136258', '136259']</t>
  </si>
  <si>
    <t>['136277', '136278', '136279']</t>
  </si>
  <si>
    <t>['136280', '136281']</t>
  </si>
  <si>
    <t>['136298']</t>
  </si>
  <si>
    <t>72564361</t>
  </si>
  <si>
    <t>['136292']</t>
  </si>
  <si>
    <t>['136293']</t>
  </si>
  <si>
    <t>['136295']</t>
  </si>
  <si>
    <t>07-12-2022</t>
  </si>
  <si>
    <t>FCC CONSTRUCCION SA AGENCIX</t>
  </si>
  <si>
    <t>CGZX13</t>
  </si>
  <si>
    <t>137998513</t>
  </si>
  <si>
    <t>['136343']</t>
  </si>
  <si>
    <t>['136334']</t>
  </si>
  <si>
    <t>['136342']</t>
  </si>
  <si>
    <t>['136340']</t>
  </si>
  <si>
    <t>['136337']</t>
  </si>
  <si>
    <t>['136336']</t>
  </si>
  <si>
    <t>['136339']</t>
  </si>
  <si>
    <t>['136333']</t>
  </si>
  <si>
    <t>['136305', '136306', '136307', '136308', '136309', '136310', '136311', '136312', '136313', '136314', '136315', '136316', '136317', '136318', '136319', '136320', '136321', '136322']</t>
  </si>
  <si>
    <t>['136323', '136324']</t>
  </si>
  <si>
    <t>['136325', '136326', '136327', '136328', '136329', '136330', '136331']</t>
  </si>
  <si>
    <t>['136335']</t>
  </si>
  <si>
    <t>12-12-2022</t>
  </si>
  <si>
    <t>['136397']</t>
  </si>
  <si>
    <t>['136393']</t>
  </si>
  <si>
    <t>['136394']</t>
  </si>
  <si>
    <t>['136365', '136366', '136367', '136368', '136369', '136370', '136371', '136372', '136373', '136374', '136375', '136376', '136377', '136378', '136379', '136380', '136381']</t>
  </si>
  <si>
    <t>['136344', '136345', '136346', '136347', '136348', '136349', '136350', '136351', '136352', '136353', '136354', '136355', '136356', '136357', '136358', '136359', '136360', '136361', '136362', '136363', '136364']</t>
  </si>
  <si>
    <t>['136399']</t>
  </si>
  <si>
    <t>['136382', '136383', '136384', '136385', '136386', '136387', '136389', '136390', '136391', '136392']</t>
  </si>
  <si>
    <t>['136395']</t>
  </si>
  <si>
    <t>13-12-2022</t>
  </si>
  <si>
    <t>['136444']</t>
  </si>
  <si>
    <t>ZJ6833</t>
  </si>
  <si>
    <t>334895416</t>
  </si>
  <si>
    <t>['136472']</t>
  </si>
  <si>
    <t>90316327</t>
  </si>
  <si>
    <t>['136464']</t>
  </si>
  <si>
    <t>['136465']</t>
  </si>
  <si>
    <t>['136451']</t>
  </si>
  <si>
    <t>GDFG14</t>
  </si>
  <si>
    <t>133069453</t>
  </si>
  <si>
    <t>['136406']</t>
  </si>
  <si>
    <t>['136445']</t>
  </si>
  <si>
    <t>['136450']</t>
  </si>
  <si>
    <t>['136452', '136453', '136454', '136455', '136456', '136457', '136458', '136459', '136460', '136461', '136462', '136463']</t>
  </si>
  <si>
    <t>['136404', '136405']</t>
  </si>
  <si>
    <t>['136466']</t>
  </si>
  <si>
    <t>7256439</t>
  </si>
  <si>
    <t>['136469']</t>
  </si>
  <si>
    <t>['136468']</t>
  </si>
  <si>
    <t>['136467']</t>
  </si>
  <si>
    <t>['136471']['136470']</t>
  </si>
  <si>
    <t>['136407', '136408', '136409', '136410', '136411', '136412', '136413', '136414', '136415', '136416', '136417', '136418', '136419', '136420']['136421']</t>
  </si>
  <si>
    <t>['136422', '136423', '136424', '136425', '136426', '136427', '136428', '136429', '136430', '136431', '136432', '136433', '136434', '136435', '136436', '136437', '136438', '136439', '136441', '136442', '136443']['136440']</t>
  </si>
  <si>
    <t>14-12-2022</t>
  </si>
  <si>
    <t>['136474', '136475']</t>
  </si>
  <si>
    <t>78778595</t>
  </si>
  <si>
    <t>['136510']</t>
  </si>
  <si>
    <t>CASAPIEDRA700</t>
  </si>
  <si>
    <t>['136473']</t>
  </si>
  <si>
    <t>['136518']</t>
  </si>
  <si>
    <t>GYXS96</t>
  </si>
  <si>
    <t>165132386</t>
  </si>
  <si>
    <t>['136509']</t>
  </si>
  <si>
    <t>['136517']</t>
  </si>
  <si>
    <t>['136514']</t>
  </si>
  <si>
    <t>['136500', '136501', '136502', '136503', '136504', '136505', '136506', '136507', '136508']</t>
  </si>
  <si>
    <t>15483778</t>
  </si>
  <si>
    <t>['136480']</t>
  </si>
  <si>
    <t>['136481', '136482', '136483', '136484', '136485', '136486', '136487', '136488', '136489', '136490', '136491', '136492', '136493', '136494', '136495', '136496', '136497', '136498', '136499']</t>
  </si>
  <si>
    <t>['136515', '136516']</t>
  </si>
  <si>
    <t>['136476', '136478']['136477']</t>
  </si>
  <si>
    <t>15-12-2022</t>
  </si>
  <si>
    <t>['136563']</t>
  </si>
  <si>
    <t>['136568']</t>
  </si>
  <si>
    <t>['136565']</t>
  </si>
  <si>
    <t>['136545', '136546', '136547', '136548', '136549', '136550', '136551', '136552', '136553', '136554', '136555', '136556', '136557', '136558', '136559', '136560', '136561', '136562']</t>
  </si>
  <si>
    <t>['136525', '136535', '136539']</t>
  </si>
  <si>
    <t>['136524', '136526', '136527', '136528', '136529', '136530', '136531', '136532', '136533', '136534', '136536', '136537', '136538', '136540', '136541', '136542', '136543']</t>
  </si>
  <si>
    <t>['136567']['136566']</t>
  </si>
  <si>
    <t>16-12-2022</t>
  </si>
  <si>
    <t>['136619']</t>
  </si>
  <si>
    <t>125897252</t>
  </si>
  <si>
    <t>['136625', '136626']</t>
  </si>
  <si>
    <t>['136623', '136624']</t>
  </si>
  <si>
    <t>['136618']</t>
  </si>
  <si>
    <t>Ingenieria y Construcción X</t>
  </si>
  <si>
    <t>['136622']</t>
  </si>
  <si>
    <t>['136582', '136583', '136584', '136585', '136586', '136587', '136588', '136589', '136590', '136591']</t>
  </si>
  <si>
    <t>['136576']</t>
  </si>
  <si>
    <t>['136569', '136570', '136571', '136572', '136573', '136574', '136575', '136577', '136578', '136579', '136580', '136581', '136592', '136593', '136594', '136595', '136596']</t>
  </si>
  <si>
    <t>['136608', '136609', '136610', '136611', '136612', '136613', '136614']</t>
  </si>
  <si>
    <t>['136621']</t>
  </si>
  <si>
    <t>['136597', '136598', '136599', '136600', '136601', '136602', '136603', '136604', '136605', '136606', '136607']</t>
  </si>
  <si>
    <t>['136620']</t>
  </si>
  <si>
    <t>19-12-2022</t>
  </si>
  <si>
    <t>['136662']</t>
  </si>
  <si>
    <t>['136628']</t>
  </si>
  <si>
    <t>['136627']</t>
  </si>
  <si>
    <t>['136647', '136649', '136650', '136651', '136652', '136653', '136654', '136655']</t>
  </si>
  <si>
    <t>['136629', '136630', '136631', '136632', '136633', '136634', '136635', '136636', '136637', '136638', '136639', '136640', '136641', '136642', '136643', '136644', '136645']</t>
  </si>
  <si>
    <t>['136663']</t>
  </si>
  <si>
    <t>['136659']</t>
  </si>
  <si>
    <t>['136660', '136661']</t>
  </si>
  <si>
    <t>20-12-2022</t>
  </si>
  <si>
    <t>['136667']</t>
  </si>
  <si>
    <t>['136709']</t>
  </si>
  <si>
    <t>['136666']</t>
  </si>
  <si>
    <t>['136705']</t>
  </si>
  <si>
    <t>['136665']</t>
  </si>
  <si>
    <t>['136697', '136698']</t>
  </si>
  <si>
    <t>['136682', '136683', '136684', '136685', '136686', '136687', '136688', '136689', '136690', '136691', '136692', '136693', '136694', '136695']</t>
  </si>
  <si>
    <t>['136708']</t>
  </si>
  <si>
    <t>['136668', '136670', '136671', '136672', '136673', '136674', '136676', '136677', '136678', '136679', '136680', '136681']['136669']['136675']</t>
  </si>
  <si>
    <t>['136702']['136703']</t>
  </si>
  <si>
    <t>['136699']['136700']</t>
  </si>
  <si>
    <t>['136707']['136706']</t>
  </si>
  <si>
    <t xml:space="preserve">Despachos menores a 5 Tn dentro de RM </t>
  </si>
  <si>
    <t xml:space="preserve">Valor flete minimo </t>
  </si>
  <si>
    <t xml:space="preserve">Valor Flete con camión propio </t>
  </si>
  <si>
    <t>Transportistas</t>
  </si>
  <si>
    <t xml:space="preserve">Total despachos </t>
  </si>
  <si>
    <t>%</t>
  </si>
  <si>
    <t xml:space="preserve">Despachos entre 5 y 7 Tn </t>
  </si>
  <si>
    <t>21-12-2022</t>
  </si>
  <si>
    <t>['136761']</t>
  </si>
  <si>
    <t>['136762']</t>
  </si>
  <si>
    <t>['136731', '136732', '136733', '136734', '136735', '136736', '136737', '136738', '136739', '136740', '136741', '136742', '136743']</t>
  </si>
  <si>
    <t>['136714', '136715', '136716', '136717', '136718', '136719', '136720', '136721', '136722', '136723', '136724', '136725', '136726', '136727', '136728', '136729']</t>
  </si>
  <si>
    <t>['136711']</t>
  </si>
  <si>
    <t>['136756', '136757', '136758', '136759', '136760']</t>
  </si>
  <si>
    <t>['136712']</t>
  </si>
  <si>
    <t>['136745']['136744']</t>
  </si>
  <si>
    <t>['136763']['136764']</t>
  </si>
  <si>
    <t>['136746', '136747', '136748']['136749']</t>
  </si>
  <si>
    <t>['136750', '136751', '136752', '136753', '136754']['136755']</t>
  </si>
  <si>
    <t>22-12-2022</t>
  </si>
  <si>
    <t>['136765']</t>
  </si>
  <si>
    <t>COVEPA SPA</t>
  </si>
  <si>
    <t>DKLD88</t>
  </si>
  <si>
    <t>FRUTILLAR</t>
  </si>
  <si>
    <t>['136773', '136774', '136775']</t>
  </si>
  <si>
    <t>['136786']</t>
  </si>
  <si>
    <t>['136785']</t>
  </si>
  <si>
    <t>['136781', '136782']['136780']['136783']['136784']</t>
  </si>
  <si>
    <t>['136768']['136769']['136771']['136766']['136767']['136770']</t>
  </si>
  <si>
    <t>['136777']['136778']</t>
  </si>
  <si>
    <t>23-12-2022</t>
  </si>
  <si>
    <t>['136805']</t>
  </si>
  <si>
    <t>['136793']</t>
  </si>
  <si>
    <t>QUELLON</t>
  </si>
  <si>
    <t>['136807']</t>
  </si>
  <si>
    <t>['136794', '136795', '136796', '136797', '136798', '136799', '136800', '136801', '136802']</t>
  </si>
  <si>
    <t>['136804']</t>
  </si>
  <si>
    <t>['136806']</t>
  </si>
  <si>
    <t>['136792']['136790']['136791']</t>
  </si>
  <si>
    <t>26-12-2022</t>
  </si>
  <si>
    <t>['136809']</t>
  </si>
  <si>
    <t>['136812']</t>
  </si>
  <si>
    <t>Inmy const</t>
  </si>
  <si>
    <t xml:space="preserve">Esto es la estadistica de fletes a inmob y constructoras las cuyales se les puede cobrar flete. </t>
  </si>
  <si>
    <t>27-12-2022</t>
  </si>
  <si>
    <t>['136849']</t>
  </si>
  <si>
    <t>['136850', '136851']</t>
  </si>
  <si>
    <t>['136854', '136855', '136856', '136857', '136858']</t>
  </si>
  <si>
    <t>['136815', '136816', '136817', '136818', '136819', '136820', '136821', '136822', '136823', '136824', '136825', '136826', '136827', '136828', '136829', '136830', '136831', '136832', '136833', '136834']</t>
  </si>
  <si>
    <t>PROSSIMPORT SPA</t>
  </si>
  <si>
    <t>['136813']</t>
  </si>
  <si>
    <t>['136814']</t>
  </si>
  <si>
    <t>['136860']</t>
  </si>
  <si>
    <t>['136859']</t>
  </si>
  <si>
    <t>['136835']</t>
  </si>
  <si>
    <t>['136853']['136852']</t>
  </si>
  <si>
    <t>['136836', '136837', '136838', '136839', '136840', '136841', '136842', '136843', '136845', '136846', '136847', '136848']['136844']</t>
  </si>
  <si>
    <t>28-12-2022</t>
  </si>
  <si>
    <t>['136894', '136895', '136896', '136897', '136898', '136899', '136900', '136901', '136902', '136903', '136904', '136905', '136906', '136907', '136908', '136909', '136910', '136911', '136912']</t>
  </si>
  <si>
    <t>['136888', '136889', '136890', '136891', '136892', '136893']</t>
  </si>
  <si>
    <t>['136942']</t>
  </si>
  <si>
    <t>['136915', '136916', '136917', '136918', '136919', '136920', '136921', '136922', '136923', '136924', '136926', '136927']</t>
  </si>
  <si>
    <t>['136862', '136863', '136864', '136865', '136866', '136867', '136868', '136869', '136870', '136871', '136872', '136873', '136874', '136875', '136876', '136877', '136878', '136879']</t>
  </si>
  <si>
    <t>['136930', '136931', '136932']</t>
  </si>
  <si>
    <t>['136933']</t>
  </si>
  <si>
    <t>['136935', '136936', '136937', '136938', '136939', '136940', '136941']</t>
  </si>
  <si>
    <t>['136880', '136881', '136883', '136884', '136885', '136886', '136887']['136882']</t>
  </si>
  <si>
    <t>29-12-2022</t>
  </si>
  <si>
    <t>['136989']</t>
  </si>
  <si>
    <t>DBPL36</t>
  </si>
  <si>
    <t>['136959', '136960', '136961', '136962', '136963', '136964', '136965']</t>
  </si>
  <si>
    <t>['136966', '136967', '136968', '136969', '136970', '136971', '136972', '136973', '136974', '136975', '136976', '136977', '136978', '136979', '136980', '136981', '136982', '136983']</t>
  </si>
  <si>
    <t>['136947', '136948', '136949', '136950', '136951', '136952', '136953', '136954', '136955', '136956', '136957', '136958']</t>
  </si>
  <si>
    <t>['136944', '136945', '136946']</t>
  </si>
  <si>
    <t>['136984']</t>
  </si>
  <si>
    <t>['136987']['136988']</t>
  </si>
  <si>
    <t>03-01-2023</t>
  </si>
  <si>
    <t>['137006']</t>
  </si>
  <si>
    <t>['136990']</t>
  </si>
  <si>
    <t>['136992']</t>
  </si>
  <si>
    <t>['136997']</t>
  </si>
  <si>
    <t>['136996']</t>
  </si>
  <si>
    <t>['136998', '136999', '137000', '137001', '137002', '137003', '137004']</t>
  </si>
  <si>
    <t>04-01-2023</t>
  </si>
  <si>
    <t>['137012']</t>
  </si>
  <si>
    <t>['137013']</t>
  </si>
  <si>
    <t>['137020']</t>
  </si>
  <si>
    <t>05-01-2023</t>
  </si>
  <si>
    <t>['137022']</t>
  </si>
  <si>
    <t>['137023']</t>
  </si>
  <si>
    <t>['137050']</t>
  </si>
  <si>
    <t>['137049']</t>
  </si>
  <si>
    <t>['137067', '137068', '137069', '137070', '137071', '137072', '137073', '137074', '137075', '137076', '137077', '137078', '137079', '137080', '137081', '137082', '137083', '137084', '137085', '137086', '137087']</t>
  </si>
  <si>
    <t>['137051', '137052', '137053', '137054', '137055', '137056', '137057', '137058']</t>
  </si>
  <si>
    <t>['137025', '137026', '137027', '137028', '137029', '137030']</t>
  </si>
  <si>
    <t>['137031', '137032', '137033', '137034', '137035', '137036', '137037', '137038', '137039']</t>
  </si>
  <si>
    <t>['137044', '137045', '137046']</t>
  </si>
  <si>
    <t>['137047', '137048']</t>
  </si>
  <si>
    <t>['137060', '137061', '137062', '137063', '137064', '137065', '137066']</t>
  </si>
  <si>
    <t>06-01-2023</t>
  </si>
  <si>
    <t>['137124', '137125']</t>
  </si>
  <si>
    <t>['137122', '137123']</t>
  </si>
  <si>
    <t>['137119', '137120', '137121']</t>
  </si>
  <si>
    <t>['137116', '137117']</t>
  </si>
  <si>
    <t>['137101', '137102', '137103', '137104', '137105', '137106', '137107', '137108', '137109', '137110', '137111', '137112', '137113', '137114']</t>
  </si>
  <si>
    <t>['137100']</t>
  </si>
  <si>
    <t>['137115']</t>
  </si>
  <si>
    <t>['137088', '137089', '137090', '137091', '137092', '137093', '137094', '137095', '137096', '137098', '137099']['137097']</t>
  </si>
  <si>
    <t>09-01-2023</t>
  </si>
  <si>
    <t>JWCG39</t>
  </si>
  <si>
    <t>67019571</t>
  </si>
  <si>
    <t>['137144', '137145']</t>
  </si>
  <si>
    <t>['137137']</t>
  </si>
  <si>
    <t>DPHY91</t>
  </si>
  <si>
    <t>['137141', '137142', '137143']</t>
  </si>
  <si>
    <t>['137136']</t>
  </si>
  <si>
    <t>['137134']</t>
  </si>
  <si>
    <t>['137140']</t>
  </si>
  <si>
    <t>['137146']['137147', '137148']</t>
  </si>
  <si>
    <t>['137132']['137133']</t>
  </si>
  <si>
    <t>['137126']['137127']</t>
  </si>
  <si>
    <t>['137130', '137131']['137128']</t>
  </si>
  <si>
    <t>10-01-2023</t>
  </si>
  <si>
    <t>YP9271</t>
  </si>
  <si>
    <t>127652716</t>
  </si>
  <si>
    <t>['137154']</t>
  </si>
  <si>
    <t>['137170']</t>
  </si>
  <si>
    <t>['137189']</t>
  </si>
  <si>
    <t>['137149']</t>
  </si>
  <si>
    <t>['137171', '137172', '137173', '137174', '137175', '137176', '137177', '137178', '137179', '137180', '137181', '137182', '137183', '137184', '137185', '137186', '137187']</t>
  </si>
  <si>
    <t>['137160', '137161', '137162', '137163', '137164', '137165', '137166', '137167', '137168']</t>
  </si>
  <si>
    <t>['137188']</t>
  </si>
  <si>
    <t>['137155', '137156', '137157', '137158', '137159']</t>
  </si>
  <si>
    <t>['137151', '137153']['137152']</t>
  </si>
  <si>
    <t>11-01-2023</t>
  </si>
  <si>
    <t>['137217']</t>
  </si>
  <si>
    <t>['137194', '137195', '137196', '137197', '137198', '137199', '137200', '137201', '137202', '137203', '137204', '137205', '137215']</t>
  </si>
  <si>
    <t>['137206', '137207', '137208', '137209', '137210', '137211', '137212', '137213', '137214']</t>
  </si>
  <si>
    <t>['137190']['137191']</t>
  </si>
  <si>
    <t>12-01-2023</t>
  </si>
  <si>
    <t>['137240', '137241']</t>
  </si>
  <si>
    <t>EBCO S.A.</t>
  </si>
  <si>
    <t>['137230']</t>
  </si>
  <si>
    <t>['137226', '137227', '137228', '137229']</t>
  </si>
  <si>
    <t>['137218', '137219', '137220', '137221', '137222', '137223', '137224', '137225']</t>
  </si>
  <si>
    <t>['137239']</t>
  </si>
  <si>
    <t>['137231']</t>
  </si>
  <si>
    <t>XR339</t>
  </si>
  <si>
    <t>['137232']</t>
  </si>
  <si>
    <t>13-01-2023</t>
  </si>
  <si>
    <t>['137261']</t>
  </si>
  <si>
    <t>['137247', '137248', '137249', '137250', '137251']</t>
  </si>
  <si>
    <t>['137252', '137253', '137254', '137255']</t>
  </si>
  <si>
    <t>['137257']</t>
  </si>
  <si>
    <t>['137256']</t>
  </si>
  <si>
    <t>['137266']['137265']['137264']</t>
  </si>
  <si>
    <t>16-01-2023</t>
  </si>
  <si>
    <t>['137282', '137283']</t>
  </si>
  <si>
    <t>['137268']</t>
  </si>
  <si>
    <t>['137278']</t>
  </si>
  <si>
    <t>['137281']</t>
  </si>
  <si>
    <t>['137284']</t>
  </si>
  <si>
    <t>['137267']</t>
  </si>
  <si>
    <t>['137272', '137273']</t>
  </si>
  <si>
    <t>HYFL62</t>
  </si>
  <si>
    <t>['137269', '137270', '137271']</t>
  </si>
  <si>
    <t>['137275']</t>
  </si>
  <si>
    <t>['137279']['137280']</t>
  </si>
  <si>
    <t>17-01-2023</t>
  </si>
  <si>
    <t>['137286']</t>
  </si>
  <si>
    <t>['137313', '137314', '137315', '137316', '137317', '137318', '137319', '137320', '137321', '137322', '137323', '137324', '137326', '137327', '137328', '137329', '137330', '137331', '137333']</t>
  </si>
  <si>
    <t>['137312']</t>
  </si>
  <si>
    <t>['137334']</t>
  </si>
  <si>
    <t>['137306', '137307', '137308', '137309']</t>
  </si>
  <si>
    <t>['137289', '137290', '137291', '137292', '137293', '137294', '137295', '137296', '137297', '137298', '137299', '137300', '137301', '137302', '137303', '137304', '137305']</t>
  </si>
  <si>
    <t>['137342']['137287']['137288']</t>
  </si>
  <si>
    <t>['137336']['137335']['137337']</t>
  </si>
  <si>
    <t>['137310']['137311']</t>
  </si>
  <si>
    <t>19-01-2023</t>
  </si>
  <si>
    <t>['137370', '137371']</t>
  </si>
  <si>
    <t>['137368']</t>
  </si>
  <si>
    <t>['137366']</t>
  </si>
  <si>
    <t>['137381']</t>
  </si>
  <si>
    <t>['137376', '137377', '137378', '137379', '137380']</t>
  </si>
  <si>
    <t>['137372', '137373', '137374', '137375']</t>
  </si>
  <si>
    <t>['137382', '137383']</t>
  </si>
  <si>
    <t>['137384']['137367']</t>
  </si>
  <si>
    <t>20-01-2023</t>
  </si>
  <si>
    <t>['137427']</t>
  </si>
  <si>
    <t>['137411', '137412', '137413', '137414', '137415', '137416', '137417', '137418']</t>
  </si>
  <si>
    <t>['137401', '137402', '137403', '137404', '137405', '137406', '137407', '137408', '137409', '137410']</t>
  </si>
  <si>
    <t>['137385']</t>
  </si>
  <si>
    <t>['137425', '137426']</t>
  </si>
  <si>
    <t>['137424']</t>
  </si>
  <si>
    <t>['137392', '137393', '137394', '137395', '137396', '137397', '137398', '137399', '137400']</t>
  </si>
  <si>
    <t>['137386', '137387', '137388', '137389']['137421']['137422', '137423']</t>
  </si>
  <si>
    <t>['137420']['137419']</t>
  </si>
  <si>
    <t>23-01-2023</t>
  </si>
  <si>
    <t>['137434', '137435']</t>
  </si>
  <si>
    <t>['137439']</t>
  </si>
  <si>
    <t>['137438']</t>
  </si>
  <si>
    <t>GYXS99</t>
  </si>
  <si>
    <t>109995630</t>
  </si>
  <si>
    <t>['137441']</t>
  </si>
  <si>
    <t>['137440']</t>
  </si>
  <si>
    <t>['137433']</t>
  </si>
  <si>
    <t>['137432']</t>
  </si>
  <si>
    <t>24-01-2023</t>
  </si>
  <si>
    <t>['137467']</t>
  </si>
  <si>
    <t>['137469']</t>
  </si>
  <si>
    <t>['137468']</t>
  </si>
  <si>
    <t>['137470']</t>
  </si>
  <si>
    <t>['137443']</t>
  </si>
  <si>
    <t>TORRES OCARANZA LTDA</t>
  </si>
  <si>
    <t>KKPF85</t>
  </si>
  <si>
    <t>['137442']</t>
  </si>
  <si>
    <t>['137450', '137451', '137452', '137453', '137455', '137456', '137457', '137458', '137459', '137460', '137461', '137462', '137464', '137465']['137454']</t>
  </si>
  <si>
    <t>['137471']['137472']</t>
  </si>
  <si>
    <t>25-01-2023</t>
  </si>
  <si>
    <t>Constructora Gonzalo RamírX</t>
  </si>
  <si>
    <t>['137480']</t>
  </si>
  <si>
    <t>['137477']</t>
  </si>
  <si>
    <t>['137487']</t>
  </si>
  <si>
    <t>['137479']</t>
  </si>
  <si>
    <t>CIFJUANMORA</t>
  </si>
  <si>
    <t>['137484']</t>
  </si>
  <si>
    <t>['137488', '137489', '137490', '137491']</t>
  </si>
  <si>
    <t>['137494']</t>
  </si>
  <si>
    <t>26-01-2023</t>
  </si>
  <si>
    <t>['137530']</t>
  </si>
  <si>
    <t>['137496']</t>
  </si>
  <si>
    <t>['137514', '137515', '137516', '137517', '137518', '137519', '137520', '137521', '137522']</t>
  </si>
  <si>
    <t>PYCP18</t>
  </si>
  <si>
    <t>190829758</t>
  </si>
  <si>
    <t>['137529']</t>
  </si>
  <si>
    <t>STCY42</t>
  </si>
  <si>
    <t>['137525']</t>
  </si>
  <si>
    <t>['137500', '137501', '137502', '137503', '137504', '137505', '137506', '137507', '137508', '137509', '137510', '137511', '137512', '137513']</t>
  </si>
  <si>
    <t>['137526', '137527', '137528']</t>
  </si>
  <si>
    <t>['137524']</t>
  </si>
  <si>
    <t>['137498']['137497']</t>
  </si>
  <si>
    <t>27-01-2023</t>
  </si>
  <si>
    <t>['137573']</t>
  </si>
  <si>
    <t>['137533']</t>
  </si>
  <si>
    <t>['137572']</t>
  </si>
  <si>
    <t>['137557', '137558', '137559', '137560', '137561', '137562', '137563', '137564', '137565', '137566', '137568']</t>
  </si>
  <si>
    <t>['137549', '137550', '137551', '137552', '137553', '137554', '137555', '137556']</t>
  </si>
  <si>
    <t>['137574']</t>
  </si>
  <si>
    <t>['137537', '137538', '137539', '137540', '137541', '137542', '137543', '137544', '137545', '137546']</t>
  </si>
  <si>
    <t>['137575']</t>
  </si>
  <si>
    <t>['137535']['137534']</t>
  </si>
  <si>
    <t>['137567']['137576']</t>
  </si>
  <si>
    <t>30-01-2023</t>
  </si>
  <si>
    <t>['137580', '137581', '137582', '137583']</t>
  </si>
  <si>
    <t>['137591', '137592']</t>
  </si>
  <si>
    <t>95199256</t>
  </si>
  <si>
    <t>['137584']</t>
  </si>
  <si>
    <t>['137589']</t>
  </si>
  <si>
    <t>['137588']</t>
  </si>
  <si>
    <t>['137585']</t>
  </si>
  <si>
    <t>['137590']['137577']</t>
  </si>
  <si>
    <t>31-01-2023</t>
  </si>
  <si>
    <t>['137647']</t>
  </si>
  <si>
    <t>['137648', '137649']</t>
  </si>
  <si>
    <t>['137645', '137646']</t>
  </si>
  <si>
    <t>['137611', '137612', '137613', '137614', '137615', '137616', '137617', '137618', '137619', '137620', '137621', '137622', '137623', '137624', '137625']</t>
  </si>
  <si>
    <t>['137626', '137627', '137628', '137629', '137630', '137631', '137632', '137634', '137635', '137636', '137637', '137638', '137639']</t>
  </si>
  <si>
    <t>['137644']</t>
  </si>
  <si>
    <t>['137610']</t>
  </si>
  <si>
    <t>['137597']</t>
  </si>
  <si>
    <t>['137594']</t>
  </si>
  <si>
    <t>LWYB23</t>
  </si>
  <si>
    <t>19331337K</t>
  </si>
  <si>
    <t>['137641', '137642', '137643']</t>
  </si>
  <si>
    <t>['137604', '137605', '137606', '137607', '137608', '137609']</t>
  </si>
  <si>
    <t>['137598', '137599', '137600', '137601', '137602', '137603']</t>
  </si>
  <si>
    <t>['137654']</t>
  </si>
  <si>
    <t>['137640']</t>
  </si>
  <si>
    <t>['137595']['137596']</t>
  </si>
  <si>
    <t>['137652']['137653']</t>
  </si>
  <si>
    <t>02-02-2023</t>
  </si>
  <si>
    <t>['137699', '137700', '137701']</t>
  </si>
  <si>
    <t>['137690']</t>
  </si>
  <si>
    <t>['137697']</t>
  </si>
  <si>
    <t>['137696']</t>
  </si>
  <si>
    <t>['137698']</t>
  </si>
  <si>
    <t>LZPP69</t>
  </si>
  <si>
    <t>98944117</t>
  </si>
  <si>
    <t>['137705']</t>
  </si>
  <si>
    <t>['137695']</t>
  </si>
  <si>
    <t>['137702']['137694']</t>
  </si>
  <si>
    <t>03-02-2023</t>
  </si>
  <si>
    <t>['137716']</t>
  </si>
  <si>
    <t>['137707']</t>
  </si>
  <si>
    <t>['137708', '137709', '137710', '137711', '137712', '137713', '137714', '137715']</t>
  </si>
  <si>
    <t>['137718']['137719']</t>
  </si>
  <si>
    <t>06-02-2023</t>
  </si>
  <si>
    <t>CJJK10</t>
  </si>
  <si>
    <t>135416678</t>
  </si>
  <si>
    <t>['137748']</t>
  </si>
  <si>
    <t>['137746']</t>
  </si>
  <si>
    <t>['137721']</t>
  </si>
  <si>
    <t>['137734', '137735', '137736', '137737', '137738', '137739', '137740', '137741', '137742', '137743', '137744']</t>
  </si>
  <si>
    <t>['137724', '137725', '137726', '137727', '137728', '137729', '137730', '137731', '137732', '137733']</t>
  </si>
  <si>
    <t>['137750']</t>
  </si>
  <si>
    <t>['137749']</t>
  </si>
  <si>
    <t>['137752']</t>
  </si>
  <si>
    <t>['137751']</t>
  </si>
  <si>
    <t>07-02-2023</t>
  </si>
  <si>
    <t>['137756']</t>
  </si>
  <si>
    <t>['137787']</t>
  </si>
  <si>
    <t>['137789']</t>
  </si>
  <si>
    <t>['137754', '137755']</t>
  </si>
  <si>
    <t>['137790']</t>
  </si>
  <si>
    <t>['137788']</t>
  </si>
  <si>
    <t>['137757', '137758', '137759', '137760', '137761', '137762', '137763', '137764', '137765', '137766', '137767', '137768', '137770', '137771', '137772', '137773', '137774', '137775', '137776', '137777', '137778', '137779', '137780', '137781', '137782', '137783', '137784', '137785']['137769']</t>
  </si>
  <si>
    <t>08-02-2023</t>
  </si>
  <si>
    <t>['137799', '137800', '137801']</t>
  </si>
  <si>
    <t>['137792', '137793', '137794', '137795']</t>
  </si>
  <si>
    <t>['137791']</t>
  </si>
  <si>
    <t>['137821']</t>
  </si>
  <si>
    <t>['137808', '137809', '137810']</t>
  </si>
  <si>
    <t>['137805', '137806', '137807']</t>
  </si>
  <si>
    <t>['137798']</t>
  </si>
  <si>
    <t>['137803', '137804']</t>
  </si>
  <si>
    <t>['137814', '137815', '137816', '137817', '137818', '137819']</t>
  </si>
  <si>
    <t>['137820']</t>
  </si>
  <si>
    <t>09-02-2023</t>
  </si>
  <si>
    <t>['137823', '137824']</t>
  </si>
  <si>
    <t>['137826']</t>
  </si>
  <si>
    <t>['137830', '137831', '137832']</t>
  </si>
  <si>
    <t>['137833']</t>
  </si>
  <si>
    <t>['137822']</t>
  </si>
  <si>
    <t>10-02-2023</t>
  </si>
  <si>
    <t>165897258</t>
  </si>
  <si>
    <t>['137838']</t>
  </si>
  <si>
    <t>['137839', '137840', '137841', '137842', '137843']</t>
  </si>
  <si>
    <t>CONSTRUCTORA CERRO APOQUINX</t>
  </si>
  <si>
    <t>['137845']</t>
  </si>
  <si>
    <t>['137844']</t>
  </si>
  <si>
    <t>['137846', '137847', '137848', '137849', '137850', '137851', '137852', '137853', '137854']</t>
  </si>
  <si>
    <t>13-02-2023</t>
  </si>
  <si>
    <t>['137884', '137885', '137886', '137887']</t>
  </si>
  <si>
    <t>['137893']</t>
  </si>
  <si>
    <t>['137889']</t>
  </si>
  <si>
    <t>['137860', '137861', '137862', '137863', '137864', '137865', '137866', '137867', '137868', '137869', '137870', '137871', '137872', '137873', '137874', '137875', '137876', '137877']</t>
  </si>
  <si>
    <t>['137878', '137879', '137880', '137881', '137882']</t>
  </si>
  <si>
    <t>['137892']</t>
  </si>
  <si>
    <t>['137891']</t>
  </si>
  <si>
    <t>14-02-2023</t>
  </si>
  <si>
    <t>['137919', '137920']</t>
  </si>
  <si>
    <t>['137914', '137916', '137917']</t>
  </si>
  <si>
    <t>['137918']</t>
  </si>
  <si>
    <t>['137898', '137899', '137900', '137901', '137902', '137903', '137904', '137905', '137906', '137907', '137908', '137909', '137910', '137911']</t>
  </si>
  <si>
    <t>['137922']</t>
  </si>
  <si>
    <t>['137921']</t>
  </si>
  <si>
    <t>GHLW16</t>
  </si>
  <si>
    <t>180683275</t>
  </si>
  <si>
    <t>['137912', '137913']</t>
  </si>
  <si>
    <t>['137895', '137896', '137897']</t>
  </si>
  <si>
    <t>SUMMIT CONSTRUCTORA LTDA</t>
  </si>
  <si>
    <t>['137923']</t>
  </si>
  <si>
    <t>15-02-2023</t>
  </si>
  <si>
    <t>['137925', '137926']</t>
  </si>
  <si>
    <t>['137960']</t>
  </si>
  <si>
    <t>['137959']</t>
  </si>
  <si>
    <t>['137958']</t>
  </si>
  <si>
    <t>['137950']</t>
  </si>
  <si>
    <t>['137927']</t>
  </si>
  <si>
    <t>['137924']</t>
  </si>
  <si>
    <t>['137944', '137945', '137946', '137947', '137948', '137949']</t>
  </si>
  <si>
    <t>['137928', '137929', '137930', '137931', '137932', '137933', '137934', '137935', '137936', '137937', '137938', '137939', '137940', '137941', '137942', '137943']</t>
  </si>
  <si>
    <t>['137952', '137953', '137954', '137955', '137956']</t>
  </si>
  <si>
    <t>['137957']</t>
  </si>
  <si>
    <t>['137951']</t>
  </si>
  <si>
    <t>16-02-2023</t>
  </si>
  <si>
    <t>['137961']</t>
  </si>
  <si>
    <t>['137974', '137975', '137976', '137977', '137978', '137979', '137980', '137981', '137982', '137983', '137984', '137986', '137987', '137988']</t>
  </si>
  <si>
    <t>['137966']</t>
  </si>
  <si>
    <t>['137993']</t>
  </si>
  <si>
    <t>['137968', '137969', '137970', '137971', '137972', '137973']</t>
  </si>
  <si>
    <t>['137964', '137967']</t>
  </si>
  <si>
    <t>['137992']</t>
  </si>
  <si>
    <t>['137991']</t>
  </si>
  <si>
    <t>17-02-2023</t>
  </si>
  <si>
    <t>['137994']</t>
  </si>
  <si>
    <t>['137995']</t>
  </si>
  <si>
    <t>62704391</t>
  </si>
  <si>
    <t>['138003', '138004', '138005']</t>
  </si>
  <si>
    <t>['137999', '138000', '138001', '138002']</t>
  </si>
  <si>
    <t>['137858']['137856', '137857']</t>
  </si>
  <si>
    <t>['137990']['137989']</t>
  </si>
  <si>
    <t>20-02-2023</t>
  </si>
  <si>
    <t>['138016']</t>
  </si>
  <si>
    <t>['138047', '138048', '138049']</t>
  </si>
  <si>
    <t>['138014', '138015']</t>
  </si>
  <si>
    <t>['138028', '138029', '138030', '138031', '138032', '138033', '138034', '138035', '138036', '138037']</t>
  </si>
  <si>
    <t>['138038', '138039', '138040', '138041', '138042', '138043', '138044', '138045', '138046']</t>
  </si>
  <si>
    <t>['138050', '138051', '138052', '138053', '138054', '138055', '138056', '138057', '138058', '138059', '138060', '138061', '138062', '138063', '138064']</t>
  </si>
  <si>
    <t>RGTZ39</t>
  </si>
  <si>
    <t>152508697</t>
  </si>
  <si>
    <t>['138022', '138023', '138024', '138025']</t>
  </si>
  <si>
    <t>['138019']</t>
  </si>
  <si>
    <t>['138017']['138018']</t>
  </si>
  <si>
    <t>21-02-2023</t>
  </si>
  <si>
    <t>['138083', '138084', '138085', '138086', '138087', '138088', '138089', '138090', '138091', '138092', '138093', '138094', '138095', '138096', '138097', '138098', '138099', '138100']</t>
  </si>
  <si>
    <t>['138105', '138106', '138107']</t>
  </si>
  <si>
    <t>['138079', '138080', '138081']</t>
  </si>
  <si>
    <t>['138075', '138076', '138077', '138078', '138082']</t>
  </si>
  <si>
    <t>['138069']</t>
  </si>
  <si>
    <t>['138068']</t>
  </si>
  <si>
    <t>['138074']</t>
  </si>
  <si>
    <t>['138065', '138066']['138067']</t>
  </si>
  <si>
    <t>['138072', '138073']['138071']</t>
  </si>
  <si>
    <t>['138102']['138101']</t>
  </si>
  <si>
    <t>22-02-2023</t>
  </si>
  <si>
    <t>['138114']</t>
  </si>
  <si>
    <t>['138147']</t>
  </si>
  <si>
    <t>['138146']</t>
  </si>
  <si>
    <t>['138132', '138133', '138134', '138135']</t>
  </si>
  <si>
    <t>['138118', '138119', '138120', '138121', '138122', '138123', '138124', '138125', '138126', '138127', '138128', '138129', '138130', '138131']</t>
  </si>
  <si>
    <t>['138145']</t>
  </si>
  <si>
    <t>['138136', '138137', '138138', '138139']</t>
  </si>
  <si>
    <t>['138143', '138144']</t>
  </si>
  <si>
    <t>['138148']</t>
  </si>
  <si>
    <t>['138142']['138141']</t>
  </si>
  <si>
    <t>24-02-2023</t>
  </si>
  <si>
    <t>Constructora Aitue SpA</t>
  </si>
  <si>
    <t>['138204']</t>
  </si>
  <si>
    <t>['138171']</t>
  </si>
  <si>
    <t>['138186', '138187', '138188', '138189', '138190', '138191', '138192']</t>
  </si>
  <si>
    <t>['138181', '138182', '138183', '138184', '138185', '138203']</t>
  </si>
  <si>
    <t>['138177', '138178', '138179', '138180']</t>
  </si>
  <si>
    <t>['138194']</t>
  </si>
  <si>
    <t>['138195', '138196', '138197', '138199', '138200', '138201', '138202']['138168', '138169']['138198']</t>
  </si>
  <si>
    <t>27-02-2023</t>
  </si>
  <si>
    <t>['138245']</t>
  </si>
  <si>
    <t>['138240', '138241']</t>
  </si>
  <si>
    <t>['138222', '138223', '138224', '138225', '138226', '138227', '138228', '138229', '138230', '138231']</t>
  </si>
  <si>
    <t>['138209', '138210', '138211', '138212', '138213', '138214', '138215', '138216', '138217', '138219', '138220']</t>
  </si>
  <si>
    <t>['138238', '138239']</t>
  </si>
  <si>
    <t>['138232']</t>
  </si>
  <si>
    <t>['138237']</t>
  </si>
  <si>
    <t>['138236']</t>
  </si>
  <si>
    <t>28-02-2023</t>
  </si>
  <si>
    <t>['138272', '138273']</t>
  </si>
  <si>
    <t>['138299']</t>
  </si>
  <si>
    <t>['138295']</t>
  </si>
  <si>
    <t>['138294']</t>
  </si>
  <si>
    <t>['138249']</t>
  </si>
  <si>
    <t>['138288']</t>
  </si>
  <si>
    <t>['138281', '138282', '138283', '138284', '138285', '138286', '138287']</t>
  </si>
  <si>
    <t>PBFY95</t>
  </si>
  <si>
    <t>17510674K</t>
  </si>
  <si>
    <t>['138289', '138290', '138291', '138292', '138293']</t>
  </si>
  <si>
    <t>['138274', '138275', '138276', '138277', '138278', '138279', '138280']</t>
  </si>
  <si>
    <t>['138253', '138254', '138255', '138256', '138257', '138258', '138259', '138260', '138262', '138263', '138264', '138265', '138266', '138267', '138268', '138269']</t>
  </si>
  <si>
    <t>RY1139</t>
  </si>
  <si>
    <t>['138301']</t>
  </si>
  <si>
    <t>['138251', '138252']['138250']</t>
  </si>
  <si>
    <t>['138246', '138247']['138248']</t>
  </si>
  <si>
    <t>01-03-2023</t>
  </si>
  <si>
    <t>['138325']</t>
  </si>
  <si>
    <t>['138308']</t>
  </si>
  <si>
    <t>['138315']</t>
  </si>
  <si>
    <t>RN8625</t>
  </si>
  <si>
    <t>141449192</t>
  </si>
  <si>
    <t>['138302']</t>
  </si>
  <si>
    <t>['138316']</t>
  </si>
  <si>
    <t>['138309', '138310', '138311', '138312', '138313', '138314']</t>
  </si>
  <si>
    <t>['138306']['138305']</t>
  </si>
  <si>
    <t>['138320', '138321']['138319']</t>
  </si>
  <si>
    <t>['138323', '138324']['138322']</t>
  </si>
  <si>
    <t>02-03-2023</t>
  </si>
  <si>
    <t>['138364']</t>
  </si>
  <si>
    <t>['138336']</t>
  </si>
  <si>
    <t>['138348', '138349', '138351', '138352', '138353', '138354', '138355', '138356', '138357', '138358']</t>
  </si>
  <si>
    <t>['138337', '138339', '138340', '138341', '138342', '138343', '138344', '138345', '138346', '138347']</t>
  </si>
  <si>
    <t>['138329', '138330', '138331', '138332', '138333']</t>
  </si>
  <si>
    <t>['138365']</t>
  </si>
  <si>
    <t>['138359', '138362', '138363']['138361']</t>
  </si>
  <si>
    <t>['138335']['138334']</t>
  </si>
  <si>
    <t>03-03-2023</t>
  </si>
  <si>
    <t>['138366', '138367', '138368', '138369']</t>
  </si>
  <si>
    <t>['138405']</t>
  </si>
  <si>
    <t>['138411']</t>
  </si>
  <si>
    <t>['138386', '138387', '138388', '138389', '138390', '138391', '138392', '138393']</t>
  </si>
  <si>
    <t>['138370', '138371', '138372', '138373', '138374', '138375', '138376', '138377', '138378', '138379', '138380', '138381', '138382', '138383', '138384', '138385']</t>
  </si>
  <si>
    <t>['138394', '138395', '138396', '138397', '138398', '138399', '138400', '138401', '138402', '138403', '138404']</t>
  </si>
  <si>
    <t>['138413']</t>
  </si>
  <si>
    <t>['138414']['138406', '138407', '138408']</t>
  </si>
  <si>
    <t>06-03-2023</t>
  </si>
  <si>
    <t>['138425']</t>
  </si>
  <si>
    <t>CONSTRUCTORA NUEVOS AIRES X</t>
  </si>
  <si>
    <t>['138424']</t>
  </si>
  <si>
    <t>['138426', '138427', '138428']</t>
  </si>
  <si>
    <t>['138421', '138422', '138423']</t>
  </si>
  <si>
    <t>['138429']</t>
  </si>
  <si>
    <t>['138418']</t>
  </si>
  <si>
    <t>['138431']</t>
  </si>
  <si>
    <t>['138432']</t>
  </si>
  <si>
    <t>08-03-2023</t>
  </si>
  <si>
    <t>['138491']</t>
  </si>
  <si>
    <t>['138487', '138488', '138489', '138490']</t>
  </si>
  <si>
    <t>['138493', '138494']</t>
  </si>
  <si>
    <t>['138495', '138496', '138497', '138498', '138499', '138500']</t>
  </si>
  <si>
    <t>['138504', '138505']['138503']</t>
  </si>
  <si>
    <t>09-03-2023</t>
  </si>
  <si>
    <t>['138511', '138512', '138513', '138514', '138515', '138516']</t>
  </si>
  <si>
    <t>['138517', '138518', '138519', '138520', '138521', '138522', '138523', '138524', '138525', '138526']</t>
  </si>
  <si>
    <t>['138539', '138540']</t>
  </si>
  <si>
    <t>CKGX35</t>
  </si>
  <si>
    <t>178705210</t>
  </si>
  <si>
    <t>['138538']</t>
  </si>
  <si>
    <t>['138541']</t>
  </si>
  <si>
    <t>['138534']['138527', '138528', '138529', '138530', '138531', '138532', '138533', '138535', '138536', '138537']['138510']</t>
  </si>
  <si>
    <t>15-03-2023</t>
  </si>
  <si>
    <t>107642306</t>
  </si>
  <si>
    <t>['138661']</t>
  </si>
  <si>
    <t>['138662']</t>
  </si>
  <si>
    <t>DJKG97</t>
  </si>
  <si>
    <t>['138698', '138699']</t>
  </si>
  <si>
    <t>['138679', '138680', '138681', '138682', '138683', '138684', '138685', '138686', '138687', '138688', '138689', '138690', '138691']</t>
  </si>
  <si>
    <t>['138709', '138710', '138711', '138712']</t>
  </si>
  <si>
    <t>['138664', '138665', '138666', '138667', '138668', '138669', '138670', '138671', '138672', '138673', '138674', '138675', '138676', '138677', '138678']</t>
  </si>
  <si>
    <t>['138701', '138702', '138703']</t>
  </si>
  <si>
    <t>['138708']</t>
  </si>
  <si>
    <t>['138706', '138707']</t>
  </si>
  <si>
    <t>['138692', '138693', '138694', '138695', '138696', '138697']</t>
  </si>
  <si>
    <t>['138704']['138705']</t>
  </si>
  <si>
    <t>16-03-2023</t>
  </si>
  <si>
    <t>['138727']</t>
  </si>
  <si>
    <t>['138716']</t>
  </si>
  <si>
    <t>['138717', '138718']</t>
  </si>
  <si>
    <t>124860342</t>
  </si>
  <si>
    <t>['138722']</t>
  </si>
  <si>
    <t>['138723']</t>
  </si>
  <si>
    <t>['138724']</t>
  </si>
  <si>
    <t>['138715']['138725']['138726']</t>
  </si>
  <si>
    <t>17-03-2023</t>
  </si>
  <si>
    <t>['138751']</t>
  </si>
  <si>
    <t>['138729']</t>
  </si>
  <si>
    <t>['138782']</t>
  </si>
  <si>
    <t>PUERTO VARAS</t>
  </si>
  <si>
    <t>['138747', '138748', '138749', '138750']</t>
  </si>
  <si>
    <t>['138752', '138753', '138754', '138755', '138756']</t>
  </si>
  <si>
    <t>['138757', '138758', '138759', '138760', '138761', '138762', '138763', '138764']</t>
  </si>
  <si>
    <t>['138772']</t>
  </si>
  <si>
    <t>['138771']</t>
  </si>
  <si>
    <t>['138775', '138776', '138777', '138778', '138779', '138780', '138781']['138774']['138773']</t>
  </si>
  <si>
    <t>['138730', '138731', '138732', '138733', '138734', '138735', '138736', '138737', '138738', '138739', '138740', '138741', '138742', '138743', '138744', '138745']['138746']</t>
  </si>
  <si>
    <t>20-03-2023</t>
  </si>
  <si>
    <t>['138809']</t>
  </si>
  <si>
    <t>['138811']</t>
  </si>
  <si>
    <t>['138785', '138786']</t>
  </si>
  <si>
    <t>PYZP23</t>
  </si>
  <si>
    <t>121384531</t>
  </si>
  <si>
    <t>['138799', '138800', '138801', '138802', '138803', '138804']</t>
  </si>
  <si>
    <t>['138805', '138806', '138807', '138808']</t>
  </si>
  <si>
    <t>['138812']</t>
  </si>
  <si>
    <t>GGZX14</t>
  </si>
  <si>
    <t>1573966544</t>
  </si>
  <si>
    <t>['138784']</t>
  </si>
  <si>
    <t>['138810']</t>
  </si>
  <si>
    <t>['138790']['138791']</t>
  </si>
  <si>
    <t>21-03-2023</t>
  </si>
  <si>
    <t>['138847']</t>
  </si>
  <si>
    <t>['138879']</t>
  </si>
  <si>
    <t>['138877']</t>
  </si>
  <si>
    <t>['138865']</t>
  </si>
  <si>
    <t>['138874']</t>
  </si>
  <si>
    <t>['138822', '138823', '138824', '138825', '138826', '138827', '138828', '138829', '138830', '138831', '138832', '138833', '138834', '138835', '138836', '138837', '138838', '138839', '138840', '138841', '138842', '138843', '138844', '138845', '138846']</t>
  </si>
  <si>
    <t>GGZX13</t>
  </si>
  <si>
    <t>['138873']</t>
  </si>
  <si>
    <t>['138849', '138850', '138851', '138852', '138853', '138854', '138855', '138856', '138857', '138858', '138859', '138860', '138861', '138862', '138863', '138864']</t>
  </si>
  <si>
    <t>['138866', '138868', '138869', '138870', '138871', '138872']['138867']</t>
  </si>
  <si>
    <t>['138878']['138818']</t>
  </si>
  <si>
    <t>22-03-2023</t>
  </si>
  <si>
    <t>['138880']</t>
  </si>
  <si>
    <t>['138881']</t>
  </si>
  <si>
    <t>['138886']</t>
  </si>
  <si>
    <t>['138896', '138897', '138898']</t>
  </si>
  <si>
    <t>PBGD49</t>
  </si>
  <si>
    <t>['138883']</t>
  </si>
  <si>
    <t>['138890', '138892', '138893', '138894', '138895', '138900']</t>
  </si>
  <si>
    <t>['138888', '138889']['138887']</t>
  </si>
  <si>
    <t>24-03-2023</t>
  </si>
  <si>
    <t>['138941']</t>
  </si>
  <si>
    <t>['138954']</t>
  </si>
  <si>
    <t>['138943', '138945', '138946', '138947', '138948', '138949', '138950', '138952', '138953']</t>
  </si>
  <si>
    <t>['138973']</t>
  </si>
  <si>
    <t>['138965', '138966', '138967', '138968', '138969', '138970', '138971', '138972']</t>
  </si>
  <si>
    <t>['138958']['138959', '138960']</t>
  </si>
  <si>
    <t>['138963']['138962']</t>
  </si>
  <si>
    <t>['138957']['138956']</t>
  </si>
  <si>
    <t>27-03-2023</t>
  </si>
  <si>
    <t>HBRG39</t>
  </si>
  <si>
    <t>120202251</t>
  </si>
  <si>
    <t>['138975']</t>
  </si>
  <si>
    <t>['138989']</t>
  </si>
  <si>
    <t>['139004', '139005', '139006', '139007']</t>
  </si>
  <si>
    <t>['138978', '138979', '138980', '138981', '138982', '138983', '138984', '138985', '138986', '138987', '138988']</t>
  </si>
  <si>
    <t>['138990', '138991', '138992', '138993', '138994', '138995']</t>
  </si>
  <si>
    <t>['138976']</t>
  </si>
  <si>
    <t>DKDJ88</t>
  </si>
  <si>
    <t>['139002']</t>
  </si>
  <si>
    <t>['139003']</t>
  </si>
  <si>
    <t>['139008']</t>
  </si>
  <si>
    <t>29-03-2023</t>
  </si>
  <si>
    <t>['139097']</t>
  </si>
  <si>
    <t>['139063']</t>
  </si>
  <si>
    <t>120208002</t>
  </si>
  <si>
    <t>['139060']</t>
  </si>
  <si>
    <t>90636327</t>
  </si>
  <si>
    <t>['139058']</t>
  </si>
  <si>
    <t>['139062']</t>
  </si>
  <si>
    <t>100652750</t>
  </si>
  <si>
    <t>['139088']</t>
  </si>
  <si>
    <t>['139087']</t>
  </si>
  <si>
    <t>['139067', '139068', '139069', '139070', '139071', '139072', '139073', '139074', '139075', '139076', '139077', '139078']</t>
  </si>
  <si>
    <t>['139091', '139092', '139093', '139094']</t>
  </si>
  <si>
    <t>['139095']</t>
  </si>
  <si>
    <t>789087355</t>
  </si>
  <si>
    <t>['139090']</t>
  </si>
  <si>
    <t>['139080', '139081', '139082', '139083', '139084', '139086']['139085']</t>
  </si>
  <si>
    <t>['139064']['139065']</t>
  </si>
  <si>
    <t>['139096']['139059']</t>
  </si>
  <si>
    <t>30-03-2023</t>
  </si>
  <si>
    <t>['139099']</t>
  </si>
  <si>
    <t>['139102']</t>
  </si>
  <si>
    <t>['139104', '139105', '139106']</t>
  </si>
  <si>
    <t>['139115']</t>
  </si>
  <si>
    <t>['139107']</t>
  </si>
  <si>
    <t>['139116']</t>
  </si>
  <si>
    <t>['139100']['139101']</t>
  </si>
  <si>
    <t>31-03-2023</t>
  </si>
  <si>
    <t>['139168']</t>
  </si>
  <si>
    <t>['139139']</t>
  </si>
  <si>
    <t>['139169']</t>
  </si>
  <si>
    <t>['139120', '139121']</t>
  </si>
  <si>
    <t>['139165', '139166']</t>
  </si>
  <si>
    <t>['139163', '139164']</t>
  </si>
  <si>
    <t>['139170']</t>
  </si>
  <si>
    <t>['139161']</t>
  </si>
  <si>
    <t>['139167']</t>
  </si>
  <si>
    <t>116995095</t>
  </si>
  <si>
    <t>['139155', '139156', '139158']</t>
  </si>
  <si>
    <t>['139126', '139127', '139128', '139129', '139130', '139131', '139132', '139133', '139134', '139135', '139136', '139137', '139138']</t>
  </si>
  <si>
    <t>['139147', '139148', '139149', '139150', '139151', '139152']</t>
  </si>
  <si>
    <t>['139140', '139141', '139142', '139143', '139144', '139145', '139146']</t>
  </si>
  <si>
    <t>HYFL63</t>
  </si>
  <si>
    <t>['139122', '139123', '139124', '139125']</t>
  </si>
  <si>
    <t>['139154']</t>
  </si>
  <si>
    <t>['139159', '139160']</t>
  </si>
  <si>
    <t>03-04-2023</t>
  </si>
  <si>
    <t>['139174']</t>
  </si>
  <si>
    <t>['139172']</t>
  </si>
  <si>
    <t>['139175', '139176', '139177', '139179']</t>
  </si>
  <si>
    <t>RFV76</t>
  </si>
  <si>
    <t>['139178']</t>
  </si>
  <si>
    <t>['139185', '139186']</t>
  </si>
  <si>
    <t>['139184']</t>
  </si>
  <si>
    <t>['139171']['139183']</t>
  </si>
  <si>
    <t>04-04-2023</t>
  </si>
  <si>
    <t>CONSTRUCTORA JOMAR SPA</t>
  </si>
  <si>
    <t>['139240']</t>
  </si>
  <si>
    <t>['139187']</t>
  </si>
  <si>
    <t>['139190', '139191', '139192', '139193', '139194', '139195', '139196', '139197', '139198', '139199', '139200', '139201', '139202', '139203', '139204', '139205']</t>
  </si>
  <si>
    <t>['139232']</t>
  </si>
  <si>
    <t>['139227', '139228', '139229', '139230', '139231']</t>
  </si>
  <si>
    <t>['139206', '139207', '139208', '139209', '139210', '139211', '139212', '139213', '139214', '139215', '139216', '139217', '139218', '139219', '139220', '139221', '139222', '139223']</t>
  </si>
  <si>
    <t>['139233']</t>
  </si>
  <si>
    <t>['139234']</t>
  </si>
  <si>
    <t>['139236']</t>
  </si>
  <si>
    <t>['139235']</t>
  </si>
  <si>
    <t>['139238']['139237']</t>
  </si>
  <si>
    <t>['139224']['139225']</t>
  </si>
  <si>
    <t>05-04-2023</t>
  </si>
  <si>
    <t>['139242', '139244']</t>
  </si>
  <si>
    <t>139528778</t>
  </si>
  <si>
    <t>['139253', '139254']</t>
  </si>
  <si>
    <t>['139245']</t>
  </si>
  <si>
    <t>EMPRESACONSTRUCTORA</t>
  </si>
  <si>
    <t>['139246']</t>
  </si>
  <si>
    <t>['139247', '139248', '139249', '139250', '139251']</t>
  </si>
  <si>
    <t>06-04-2023</t>
  </si>
  <si>
    <t>['139260', '139261']</t>
  </si>
  <si>
    <t>['139258']['139257']</t>
  </si>
  <si>
    <t>11-04-2023</t>
  </si>
  <si>
    <t>['139325', '139326']</t>
  </si>
  <si>
    <t>['139299', '139300', '139301', '139302', '139303', '139304', '139305', '139306', '139307', '139308', '139309', '139310', '139311', '139312', '139313', '139314', '139315', '139316', '139317', '139318', '139319']</t>
  </si>
  <si>
    <t>['139324']</t>
  </si>
  <si>
    <t>['139322']</t>
  </si>
  <si>
    <t>['139290', '139291', '139292', '139293', '139294', '139295', '139296', '139297', '139298']</t>
  </si>
  <si>
    <t>['139323']</t>
  </si>
  <si>
    <t>['139284', '139285', '139286', '139287', '139288', '139289']</t>
  </si>
  <si>
    <t>12-04-2023</t>
  </si>
  <si>
    <t>['139353', '139354']</t>
  </si>
  <si>
    <t>['139329']</t>
  </si>
  <si>
    <t>SF9624</t>
  </si>
  <si>
    <t>['139330']</t>
  </si>
  <si>
    <t>['139327']</t>
  </si>
  <si>
    <t>['139333', '139334', '139335', '139336', '139337', '139338', '139339', '139340']</t>
  </si>
  <si>
    <t>['139331', '139332']</t>
  </si>
  <si>
    <t>['139328']</t>
  </si>
  <si>
    <t>['139341', '139342', '139343', '139344', '139345', '139346', '139347', '139348', '139349', '139352']['139350']['139351']</t>
  </si>
  <si>
    <t>13-04-2023</t>
  </si>
  <si>
    <t>['139379', '139380']</t>
  </si>
  <si>
    <t>['139355']</t>
  </si>
  <si>
    <t>['139376']</t>
  </si>
  <si>
    <t>['139363']</t>
  </si>
  <si>
    <t>['139378']</t>
  </si>
  <si>
    <t>['139356']</t>
  </si>
  <si>
    <t>['139364', '139365', '139366', '139367', '139368', '139369']</t>
  </si>
  <si>
    <t>['139370', '139371', '139372', '139373', '139375']</t>
  </si>
  <si>
    <t>['139357', '139358', '139359', '139360', '139361', '139362']</t>
  </si>
  <si>
    <t>14-04-2023</t>
  </si>
  <si>
    <t>['139407', '139408']</t>
  </si>
  <si>
    <t>['139409', '139410']</t>
  </si>
  <si>
    <t>['139404', '139405']</t>
  </si>
  <si>
    <t>['139382']</t>
  </si>
  <si>
    <t>['139383']</t>
  </si>
  <si>
    <t>['139403']</t>
  </si>
  <si>
    <t>HORNOR</t>
  </si>
  <si>
    <t>['139381']</t>
  </si>
  <si>
    <t>KUPFER HERMANOS S A</t>
  </si>
  <si>
    <t>['139385', '139386', '139387', '139388', '139389', '139390', '139391', '139392', '139393', '139394', '139395']</t>
  </si>
  <si>
    <t>['139397', '139398', '139399', '139400']</t>
  </si>
  <si>
    <t>['139396']</t>
  </si>
  <si>
    <t>['139402']['139401']</t>
  </si>
  <si>
    <t>17-04-2023</t>
  </si>
  <si>
    <t>CYWH42</t>
  </si>
  <si>
    <t>151873413</t>
  </si>
  <si>
    <t>['139414']</t>
  </si>
  <si>
    <t>['139415', '139416']</t>
  </si>
  <si>
    <t>['139413']</t>
  </si>
  <si>
    <t>['139424']</t>
  </si>
  <si>
    <t>['139425']</t>
  </si>
  <si>
    <t>['139418', '139419', '139420']</t>
  </si>
  <si>
    <t>PBKY95</t>
  </si>
  <si>
    <t>['139426']</t>
  </si>
  <si>
    <t>['139421', '139422', '139423']</t>
  </si>
  <si>
    <t>['139417']</t>
  </si>
  <si>
    <t>18-04-2023</t>
  </si>
  <si>
    <t>['139429', '139430']</t>
  </si>
  <si>
    <t>['139431', '139432', '139433', '139434', '139435', '139436', '139437', '139438', '139439', '139440', '139441', '139442', '139443', '139444']</t>
  </si>
  <si>
    <t>['139461']</t>
  </si>
  <si>
    <t>['139445', '139446', '139447', '139448', '139449', '139450', '139451', '139452', '139453']</t>
  </si>
  <si>
    <t>169093509K</t>
  </si>
  <si>
    <t>['139464']</t>
  </si>
  <si>
    <t>['139465']</t>
  </si>
  <si>
    <t>['139463']</t>
  </si>
  <si>
    <t>['139457', '139458', '139459', '139460']['139454', '139455', '139456']</t>
  </si>
  <si>
    <t>19-04-2023</t>
  </si>
  <si>
    <t>['139467', '139468']</t>
  </si>
  <si>
    <t>['139470']</t>
  </si>
  <si>
    <t>['139471']</t>
  </si>
  <si>
    <t>ARMACERO MATCO S.A.</t>
  </si>
  <si>
    <t>['139474']</t>
  </si>
  <si>
    <t>['139507']</t>
  </si>
  <si>
    <t>531732962</t>
  </si>
  <si>
    <t>['139509']</t>
  </si>
  <si>
    <t>['139510']</t>
  </si>
  <si>
    <t>['139508']</t>
  </si>
  <si>
    <t>['139466']</t>
  </si>
  <si>
    <t>['139469']</t>
  </si>
  <si>
    <t>157396544</t>
  </si>
  <si>
    <t>['139501']</t>
  </si>
  <si>
    <t>['139473']</t>
  </si>
  <si>
    <t>['139494', '139495', '139496', '139497', '139498', '139499', '139500']</t>
  </si>
  <si>
    <t>['139476', '139477', '139478', '139479', '139480', '139481', '139482', '139483', '139484', '139485', '139486', '139487', '139488', '139489', '139490', '139491', '139492', '139493']</t>
  </si>
  <si>
    <t>['139503', '139504']</t>
  </si>
  <si>
    <t>['139511', '139514']</t>
  </si>
  <si>
    <t>['139512']['139513']</t>
  </si>
  <si>
    <t>20-04-2023</t>
  </si>
  <si>
    <t>['139562', '139563']</t>
  </si>
  <si>
    <t>['139559']</t>
  </si>
  <si>
    <t>['139517']</t>
  </si>
  <si>
    <t>['139516']</t>
  </si>
  <si>
    <t>['139532', '139533', '139534', '139536', '139537', '139538', '139539', '139540', '139541', '139542', '139543', '139544', '139545']</t>
  </si>
  <si>
    <t>PBFY96</t>
  </si>
  <si>
    <t>17751067K</t>
  </si>
  <si>
    <t>['139549']</t>
  </si>
  <si>
    <t>['139548']</t>
  </si>
  <si>
    <t>['139560']</t>
  </si>
  <si>
    <t>['139521', '139522', '139523', '139524', '139525', '139526', '139527', '139528', '139529', '139530', '139531']</t>
  </si>
  <si>
    <t>['139561']</t>
  </si>
  <si>
    <t>['139550', '139551', '139552', '139553', '139554', '139555', '139556', '139557', '139558']</t>
  </si>
  <si>
    <t>21-04-2023</t>
  </si>
  <si>
    <t>['139597']</t>
  </si>
  <si>
    <t>['139568']</t>
  </si>
  <si>
    <t>['139593']</t>
  </si>
  <si>
    <t>['139595', '139596']</t>
  </si>
  <si>
    <t>['139588']</t>
  </si>
  <si>
    <t>['139589']</t>
  </si>
  <si>
    <t>['139569', '139570', '139571', '139572', '139573', '139574', '139575', '139576', '139577', '139578', '139579', '139580', '139581', '139582', '139583', '139584', '139585']</t>
  </si>
  <si>
    <t>['139564', '139565', '139566', '139567']</t>
  </si>
  <si>
    <t>JPLL73</t>
  </si>
  <si>
    <t>['139586', '139587']</t>
  </si>
  <si>
    <t>['139590']</t>
  </si>
  <si>
    <t>['139591']['139592']</t>
  </si>
  <si>
    <t>24-04-2023</t>
  </si>
  <si>
    <t>['139618']</t>
  </si>
  <si>
    <t>['139623']</t>
  </si>
  <si>
    <t>['139624']</t>
  </si>
  <si>
    <t>['139601', '139602']</t>
  </si>
  <si>
    <t>['139600']</t>
  </si>
  <si>
    <t>['139630']</t>
  </si>
  <si>
    <t>JL4605</t>
  </si>
  <si>
    <t>['139619', '139620']</t>
  </si>
  <si>
    <t>['139625']</t>
  </si>
  <si>
    <t>['139603', '139604', '139605', '139606', '139607', '139608', '139609']</t>
  </si>
  <si>
    <t>['139631']</t>
  </si>
  <si>
    <t>['139634']</t>
  </si>
  <si>
    <t>['139632', '139633']</t>
  </si>
  <si>
    <t>['139629']</t>
  </si>
  <si>
    <t>['139627', '139628']['139626']</t>
  </si>
  <si>
    <t>['139621']['139622']</t>
  </si>
  <si>
    <t>['139610', '139611', '139612', '139613', '139614', '139615', '139617']['139616']</t>
  </si>
  <si>
    <t>25-04-2023</t>
  </si>
  <si>
    <t>['139669']</t>
  </si>
  <si>
    <t>['139641']</t>
  </si>
  <si>
    <t>['139639', '139640']</t>
  </si>
  <si>
    <t>['139644']</t>
  </si>
  <si>
    <t>['139635']</t>
  </si>
  <si>
    <t>['139645', '139646', '139647', '139648', '139649', '139650', '139651', '139652', '139653', '139654', '139655', '139656', '139657', '139658', '139659', '139660', '139661', '139662', '139663']</t>
  </si>
  <si>
    <t>['139664']</t>
  </si>
  <si>
    <t>['139636', '139666']</t>
  </si>
  <si>
    <t>['139665']</t>
  </si>
  <si>
    <t>['139637']</t>
  </si>
  <si>
    <t>['139643']['139642']</t>
  </si>
  <si>
    <t>['139668']['139667']</t>
  </si>
  <si>
    <t>26-04-2023</t>
  </si>
  <si>
    <t>['139717']</t>
  </si>
  <si>
    <t>['139671']</t>
  </si>
  <si>
    <t>['139707']</t>
  </si>
  <si>
    <t>['139718']</t>
  </si>
  <si>
    <t>['139701', '139702', '139703', '139704', '139705', '139706']</t>
  </si>
  <si>
    <t>['139714']</t>
  </si>
  <si>
    <t>['139675']</t>
  </si>
  <si>
    <t>LITUECHE</t>
  </si>
  <si>
    <t>['139716']</t>
  </si>
  <si>
    <t>['139698', '139699']</t>
  </si>
  <si>
    <t>['139676', '139677', '139678', '139679', '139680', '139681', '139682', '139683', '139684', '139685']</t>
  </si>
  <si>
    <t>['139686', '139687', '139688', '139689', '139690', '139691', '139692', '139693', '139694', '139695', '139696']</t>
  </si>
  <si>
    <t>['139708', '139709', '139710', '139711', '139712']</t>
  </si>
  <si>
    <t>28-04-2023</t>
  </si>
  <si>
    <t>['139762']</t>
  </si>
  <si>
    <t>['139772']</t>
  </si>
  <si>
    <t>['139758']</t>
  </si>
  <si>
    <t>['139759']</t>
  </si>
  <si>
    <t>['139770']</t>
  </si>
  <si>
    <t>['139761']</t>
  </si>
  <si>
    <t>['139768']</t>
  </si>
  <si>
    <t>['139773', '139774', '139775', '139776']</t>
  </si>
  <si>
    <t>['139765', '139766', '139767']</t>
  </si>
  <si>
    <t>02-05-2023</t>
  </si>
  <si>
    <t>['139780']</t>
  </si>
  <si>
    <t>190683275</t>
  </si>
  <si>
    <t>['139783', '139784', '139785', '139786', '139787', '139788']</t>
  </si>
  <si>
    <t>['139789']</t>
  </si>
  <si>
    <t>['139790']['139791']</t>
  </si>
  <si>
    <t>['139792', '139793']['139794']</t>
  </si>
  <si>
    <t>04-05-2023</t>
  </si>
  <si>
    <t>['139891']</t>
  </si>
  <si>
    <t>['139913']</t>
  </si>
  <si>
    <t>['139864']</t>
  </si>
  <si>
    <t>['139892', '139893', '139894', '139895', '139896', '139897', '139898', '139899', '139900']</t>
  </si>
  <si>
    <t>['139865', '139866']</t>
  </si>
  <si>
    <t>['139877', '139878', '139879', '139880', '139881', '139882', '139883', '139884', '139885', '139886', '139887', '139888', '139889', '139890']</t>
  </si>
  <si>
    <t>['139869', '139870', '139871', '139872', '139873', '139874', '139875', '139876']</t>
  </si>
  <si>
    <t>['139908', '139909', '139910', '139911', '139912']</t>
  </si>
  <si>
    <t>['139901', '139902', '139903', '139904', '139905', '139906', '139907']</t>
  </si>
  <si>
    <t>['139915', '139916']</t>
  </si>
  <si>
    <t>05-05-2023</t>
  </si>
  <si>
    <t>['139938', '139939']</t>
  </si>
  <si>
    <t>['139918']</t>
  </si>
  <si>
    <t>['139935']</t>
  </si>
  <si>
    <t>RKWZ13</t>
  </si>
  <si>
    <t>264148421</t>
  </si>
  <si>
    <t>['139924']</t>
  </si>
  <si>
    <t>UT5439</t>
  </si>
  <si>
    <t>165285395</t>
  </si>
  <si>
    <t>['139923']</t>
  </si>
  <si>
    <t>['139932', '139933', '139934']</t>
  </si>
  <si>
    <t>['139930']</t>
  </si>
  <si>
    <t>124860341</t>
  </si>
  <si>
    <t>['139931']</t>
  </si>
  <si>
    <t>['139920']['139919']</t>
  </si>
  <si>
    <t>['139925', '139926', '139927']['139928']</t>
  </si>
  <si>
    <t>08-05-2023</t>
  </si>
  <si>
    <t>['139949']</t>
  </si>
  <si>
    <t>['139942']</t>
  </si>
  <si>
    <t>['139955']</t>
  </si>
  <si>
    <t>ELECNOR CHILE S.A.</t>
  </si>
  <si>
    <t>531736292</t>
  </si>
  <si>
    <t>['139957']</t>
  </si>
  <si>
    <t>['139940', '139941']</t>
  </si>
  <si>
    <t>['139943', '139944', '139945', '139946', '139947']</t>
  </si>
  <si>
    <t>['139950', '139951', '139952']</t>
  </si>
  <si>
    <t>['139954']</t>
  </si>
  <si>
    <t>09-05-2023</t>
  </si>
  <si>
    <t>['140001', '140002']</t>
  </si>
  <si>
    <t>['139998', '139999']</t>
  </si>
  <si>
    <t>['139960']</t>
  </si>
  <si>
    <t>['139977', '139978']</t>
  </si>
  <si>
    <t>['139980']</t>
  </si>
  <si>
    <t>['139981', '139982', '139983', '139984', '139985', '139986', '139987', '139988', '139989', '139990', '139991', '139992', '139993', '139994', '139995', '139996']</t>
  </si>
  <si>
    <t>['139979']</t>
  </si>
  <si>
    <t>['139959', '139961', '139962', '139963', '139964', '139965', '139966', '139967', '139968', '139969', '139970', '139971', '139972', '139973', '139974', '139976']</t>
  </si>
  <si>
    <t>['139997']</t>
  </si>
  <si>
    <t>10-05-2023</t>
  </si>
  <si>
    <t>['140043']</t>
  </si>
  <si>
    <t>['140050']</t>
  </si>
  <si>
    <t>['140012']</t>
  </si>
  <si>
    <t>['140004', '140005']</t>
  </si>
  <si>
    <t>['140044', '140045', '140046']</t>
  </si>
  <si>
    <t>['140047', '140048']</t>
  </si>
  <si>
    <t>['140031', '140032', '140033', '140034', '140035', '140036', '140037', '140038', '140039', '140040', '140041', '140042']</t>
  </si>
  <si>
    <t>['140013', '140014', '140015', '140016', '140017', '140018', '140019', '140020', '140021', '140022', '140024', '140025', '140026', '140027', '140028', '140029', '140030']</t>
  </si>
  <si>
    <t>11-05-2023</t>
  </si>
  <si>
    <t>['140066']</t>
  </si>
  <si>
    <t>177832741</t>
  </si>
  <si>
    <t>['140064', '140065']</t>
  </si>
  <si>
    <t>CONST.INMOBIL.E INVERSIONEX</t>
  </si>
  <si>
    <t>['140054', '140055']</t>
  </si>
  <si>
    <t>REQUINOA</t>
  </si>
  <si>
    <t>['140063']</t>
  </si>
  <si>
    <t>INGAL INGENIERIA Y CONSTRUX</t>
  </si>
  <si>
    <t>99199296</t>
  </si>
  <si>
    <t>['140062']</t>
  </si>
  <si>
    <t>['140051', '140052', '140053']</t>
  </si>
  <si>
    <t>16-05-2023</t>
  </si>
  <si>
    <t>['140183', '140184', '140185', '140186', '140187', '140188', '140189', '140190', '140191', '140192', '140193', '140194', '140195', '140196', '140197', '140198', '140199', '140200', '140201', '140202', '140203', '140204', '140205', '140206', '140207', '140208', '140209', '140210', '140211', '140212', '140213', '140214', '140215']</t>
  </si>
  <si>
    <t>INGENIERIA Y PREFABRICADOSX</t>
  </si>
  <si>
    <t>['140179']</t>
  </si>
  <si>
    <t>['140216', '140217', '140218', '140219']</t>
  </si>
  <si>
    <t>['140171', '140172']</t>
  </si>
  <si>
    <t>RKLM77</t>
  </si>
  <si>
    <t>['140167', '140168', '140169', '140170']</t>
  </si>
  <si>
    <t>['140223']</t>
  </si>
  <si>
    <t>SOCIEDAD INGAL GESTION SPA</t>
  </si>
  <si>
    <t>['140222']</t>
  </si>
  <si>
    <t>RGTZ38</t>
  </si>
  <si>
    <t>115738402</t>
  </si>
  <si>
    <t>['140221']</t>
  </si>
  <si>
    <t>['140181']['140182']</t>
  </si>
  <si>
    <t>['140173']['140174']</t>
  </si>
  <si>
    <t>17-05-2023</t>
  </si>
  <si>
    <t>['140226']</t>
  </si>
  <si>
    <t>PICHIDEGUA</t>
  </si>
  <si>
    <t>['140252']</t>
  </si>
  <si>
    <t>['140256']</t>
  </si>
  <si>
    <t>['140227']</t>
  </si>
  <si>
    <t>['140231', '140232', '140233', '140234', '140235', '140236', '140237', '140238', '140239']</t>
  </si>
  <si>
    <t>['140240', '140241', '140242', '140243', '140244', '140245', '140246', '140247', '140248', '140249', '140250', '140251']</t>
  </si>
  <si>
    <t>['140253', '140254']</t>
  </si>
  <si>
    <t>['140229']</t>
  </si>
  <si>
    <t>['140228']['140224']</t>
  </si>
  <si>
    <t>18-05-2023</t>
  </si>
  <si>
    <t>WD7700</t>
  </si>
  <si>
    <t>73835526</t>
  </si>
  <si>
    <t>['140260']</t>
  </si>
  <si>
    <t>ACEROS COX COMERCIAL S A</t>
  </si>
  <si>
    <t>['140261']</t>
  </si>
  <si>
    <t>['140262']</t>
  </si>
  <si>
    <t>['140258']</t>
  </si>
  <si>
    <t>['140257']</t>
  </si>
  <si>
    <t>LLANQUIHUE</t>
  </si>
  <si>
    <t>['140280', '140281']</t>
  </si>
  <si>
    <t>PIQUES Y TUNELES METRO S.A.</t>
  </si>
  <si>
    <t>['140282']</t>
  </si>
  <si>
    <t>['140268', '140269', '140270', '140271', '140272']</t>
  </si>
  <si>
    <t>['140275', '140276', '140277', '140278']</t>
  </si>
  <si>
    <t>['140273']['140274']</t>
  </si>
  <si>
    <t>19-05-2023</t>
  </si>
  <si>
    <t>['140315']</t>
  </si>
  <si>
    <t>['140284']</t>
  </si>
  <si>
    <t>INVERSIONES CYMTEK SPA</t>
  </si>
  <si>
    <t>['140287', '140288']</t>
  </si>
  <si>
    <t>['140283']</t>
  </si>
  <si>
    <t>['140304', '140305', '140306', '140307', '140308', '140309', '140310', '140311', '140312']</t>
  </si>
  <si>
    <t>['140289', '140290', '140291', '140292', '140293', '140294', '140295', '140296', '140297', '140298', '140299', '140300', '140301', '140302', '140303']</t>
  </si>
  <si>
    <t>['140313']['140314']</t>
  </si>
  <si>
    <t>['140285']['140286']</t>
  </si>
  <si>
    <t>22-05-2023</t>
  </si>
  <si>
    <t>RBBL48</t>
  </si>
  <si>
    <t>191651650</t>
  </si>
  <si>
    <t>['140319']</t>
  </si>
  <si>
    <t>['140317', '140318']</t>
  </si>
  <si>
    <t>['140348']</t>
  </si>
  <si>
    <t>['140324', '140325', '140326', '140327', '140328', '140329', '140330', '140331', '140332', '140333', '140334', '140335', '140336', '140337', '140338']</t>
  </si>
  <si>
    <t>['140339', '140340', '140341', '140342', '140343', '140344', '140345']</t>
  </si>
  <si>
    <t>['140351']</t>
  </si>
  <si>
    <t>['140347']</t>
  </si>
  <si>
    <t>['140353']['140352']</t>
  </si>
  <si>
    <t>['140320', '140322']['140321']</t>
  </si>
  <si>
    <t>['140349']['140350']</t>
  </si>
  <si>
    <t>24-05-2023</t>
  </si>
  <si>
    <t>['140417', '140418']</t>
  </si>
  <si>
    <t>['140416']</t>
  </si>
  <si>
    <t>['140411']</t>
  </si>
  <si>
    <t>['140425']</t>
  </si>
  <si>
    <t>['140407', '140408']</t>
  </si>
  <si>
    <t>['140404', '140405', '140406']</t>
  </si>
  <si>
    <t>['140419', '140420', '140421', '140422', '140423', '140424']</t>
  </si>
  <si>
    <t>['140413']</t>
  </si>
  <si>
    <t>['140414', '140415']</t>
  </si>
  <si>
    <t>25-05-2023</t>
  </si>
  <si>
    <t>['140428', '140429']</t>
  </si>
  <si>
    <t>['140426']</t>
  </si>
  <si>
    <t>['140434']</t>
  </si>
  <si>
    <t>['140442']</t>
  </si>
  <si>
    <t>['140445']</t>
  </si>
  <si>
    <t>['140432', '140433']</t>
  </si>
  <si>
    <t>['140435']</t>
  </si>
  <si>
    <t>['140439']</t>
  </si>
  <si>
    <t>['140437', '140438']</t>
  </si>
  <si>
    <t>['140440', '140441']</t>
  </si>
  <si>
    <t>26-05-2023</t>
  </si>
  <si>
    <t>['140447', '140448', '140449', '140450', '140451']</t>
  </si>
  <si>
    <t>['140454', '140455']</t>
  </si>
  <si>
    <t>['140446']</t>
  </si>
  <si>
    <t>['140496', '140497']</t>
  </si>
  <si>
    <t>DLVX56</t>
  </si>
  <si>
    <t>1071779094</t>
  </si>
  <si>
    <t>['140453']</t>
  </si>
  <si>
    <t>['140495']</t>
  </si>
  <si>
    <t>['140456', '140457', '140458', '140459', '140460', '140461', '140462', '140463', '140464', '140465', '140466', '140467', '140468', '140469', '140470']</t>
  </si>
  <si>
    <t>['140476', '140477', '140478', '140479', '140480', '140481', '140482', '140483', '140484', '140485']</t>
  </si>
  <si>
    <t>['140486', '140487', '140488', '140489', '140490', '140491', '140492', '140493']</t>
  </si>
  <si>
    <t>30-05-2023</t>
  </si>
  <si>
    <t>['140536', '140537', '140538', '140539', '140540']</t>
  </si>
  <si>
    <t>['140566', '140567']</t>
  </si>
  <si>
    <t>['140572', '140573', '140574']</t>
  </si>
  <si>
    <t>['140569', '140570']</t>
  </si>
  <si>
    <t>['140541']</t>
  </si>
  <si>
    <t>['140543', '140544', '140545', '140546', '140547', '140548', '140549', '140550', '140551', '140552', '140553', '140554', '140555', '140556', '140557', '140558', '140559', '140561', '140562', '140563', '140564']</t>
  </si>
  <si>
    <t>['140580']</t>
  </si>
  <si>
    <t>['140575', '140576', '140577', '140578', '140579']</t>
  </si>
  <si>
    <t>108287489</t>
  </si>
  <si>
    <t>['140542']</t>
  </si>
  <si>
    <t>['140568']['140532', '140533']</t>
  </si>
  <si>
    <t>31-05-2023</t>
  </si>
  <si>
    <t>['140586']</t>
  </si>
  <si>
    <t>['140635']</t>
  </si>
  <si>
    <t>['140634']</t>
  </si>
  <si>
    <t>['140629']</t>
  </si>
  <si>
    <t>['140626', '140627']</t>
  </si>
  <si>
    <t>['140614']</t>
  </si>
  <si>
    <t>['140630']</t>
  </si>
  <si>
    <t>['140600', '140601', '140602', '140603', '140604', '140605', '140606', '140607', '140608', '140609', '140610', '140611']</t>
  </si>
  <si>
    <t>['140582', '140583']</t>
  </si>
  <si>
    <t>['140621', '140622']</t>
  </si>
  <si>
    <t>['140587', '140588', '140589', '140590', '140591', '140592', '140593', '140594', '140595', '140596', '140597', '140598', '140599']</t>
  </si>
  <si>
    <t>RKYY85</t>
  </si>
  <si>
    <t>123000153</t>
  </si>
  <si>
    <t>['140633']</t>
  </si>
  <si>
    <t>['140584']</t>
  </si>
  <si>
    <t>['140632']</t>
  </si>
  <si>
    <t>['140624']</t>
  </si>
  <si>
    <t>['140631']</t>
  </si>
  <si>
    <t>['140615', '140616', '140617', '140618', '140619', '140620']</t>
  </si>
  <si>
    <t>01-06-2023</t>
  </si>
  <si>
    <t>['140638']</t>
  </si>
  <si>
    <t>['140637']</t>
  </si>
  <si>
    <t>['140639']</t>
  </si>
  <si>
    <t>['140641']</t>
  </si>
  <si>
    <t>02-06-2023</t>
  </si>
  <si>
    <t>['140643', '140644']</t>
  </si>
  <si>
    <t>['140642']</t>
  </si>
  <si>
    <t>['140672', '140673', '140674', '140675', '140676', '140677', '140679', '140680', '140681', '140682', '140683', '140684']</t>
  </si>
  <si>
    <t>['140654', '140655', '140656', '140657', '140658', '140659', '140660', '140661', '140662', '140663', '140664', '140665', '140666', '140667', '140668', '140669', '140670', '140671']</t>
  </si>
  <si>
    <t>['140685', '140686', '140687']</t>
  </si>
  <si>
    <t>['140649', '140650']</t>
  </si>
  <si>
    <t>['140697', '140698']</t>
  </si>
  <si>
    <t>UK7153</t>
  </si>
  <si>
    <t>['140690', '140691', '140692', '140693', '140694', '140695', '140696']</t>
  </si>
  <si>
    <t>['140699']</t>
  </si>
  <si>
    <t>['140688']['140689']</t>
  </si>
  <si>
    <t>06-06-2023</t>
  </si>
  <si>
    <t>['140724', '140725']</t>
  </si>
  <si>
    <t>['140732', '140733']</t>
  </si>
  <si>
    <t>['140734', '140735', '140736', '140737', '140738', '140739', '140740', '140741', '140742', '140743', '140744', '140745', '140746', '140747', '140748', '140749', '140750', '140751', '140752', '140753']</t>
  </si>
  <si>
    <t>['140754', '140755', '140756', '140757']</t>
  </si>
  <si>
    <t>['140730']['140729']</t>
  </si>
  <si>
    <t>['140758', '140760']['140759']</t>
  </si>
  <si>
    <t>07-06-2023</t>
  </si>
  <si>
    <t>['140762', '140763']</t>
  </si>
  <si>
    <t>CONST. BAQUEDANO LTDA.</t>
  </si>
  <si>
    <t>107643209</t>
  </si>
  <si>
    <t>['140791', '140792', '140793', '140794', '140795', '140796', '140797', '140798', '140799']</t>
  </si>
  <si>
    <t>['140767', '140768', '140769', '140770', '140771', '140772', '140773', '140774', '140775', '140776', '140777', '140778', '140779', '140780', '140781']</t>
  </si>
  <si>
    <t>['140788', '140789', '140790']</t>
  </si>
  <si>
    <t>['140782', '140783', '140784', '140785']</t>
  </si>
  <si>
    <t>['140800']['140761']</t>
  </si>
  <si>
    <t>['140786']['140787']</t>
  </si>
  <si>
    <t>09-06-2023</t>
  </si>
  <si>
    <t>['140847', '140848']</t>
  </si>
  <si>
    <t>GSVC95</t>
  </si>
  <si>
    <t>138885453</t>
  </si>
  <si>
    <t>['140835']</t>
  </si>
  <si>
    <t>['140851']</t>
  </si>
  <si>
    <t>['140849']</t>
  </si>
  <si>
    <t>['140837', '140838', '140839', '140840', '140841', '140842', '140843', '140844', '140845', '140846']</t>
  </si>
  <si>
    <t>['140818', '140819', '140820', '140821', '140822', '140823', '140824', '140825', '140826', '140827', '140828', '140829', '140830', '140831', '140832', '140833']</t>
  </si>
  <si>
    <t>['140852']</t>
  </si>
  <si>
    <t>12-06-2023</t>
  </si>
  <si>
    <t>['140853']</t>
  </si>
  <si>
    <t>['140855']</t>
  </si>
  <si>
    <t>['140856']</t>
  </si>
  <si>
    <t>['140858']</t>
  </si>
  <si>
    <t>['140859']</t>
  </si>
  <si>
    <t>13-06-2023</t>
  </si>
  <si>
    <t>['140877']</t>
  </si>
  <si>
    <t>['140878']</t>
  </si>
  <si>
    <t>['140876']</t>
  </si>
  <si>
    <t>['140861', '140862', '140863', '140864', '140865', '140866', '140867', '140868', '140869', '140870', '140871', '140872', '140873', '140874', '140875']</t>
  </si>
  <si>
    <t>['140901']</t>
  </si>
  <si>
    <t>['140899']</t>
  </si>
  <si>
    <t>['140900']</t>
  </si>
  <si>
    <t>['140892', '140893', '140894', '140895', '140896', '140897', '140898']</t>
  </si>
  <si>
    <t>['140903']</t>
  </si>
  <si>
    <t>['140881', '140882', '140883', '140884', '140885', '140886', '140887', '140888', '140889', '140890', '140891']</t>
  </si>
  <si>
    <t>['140902']</t>
  </si>
  <si>
    <t>14-06-2023</t>
  </si>
  <si>
    <t>['140931']</t>
  </si>
  <si>
    <t>['140924', '140925']</t>
  </si>
  <si>
    <t>['140914', '140915', '140916', '140917', '140918']</t>
  </si>
  <si>
    <t>['140927', '140928']</t>
  </si>
  <si>
    <t>['140919', '140920', '140921', '140922', '140923']</t>
  </si>
  <si>
    <t>['140908']</t>
  </si>
  <si>
    <t>['140910']['140909']</t>
  </si>
  <si>
    <t>['140911']['140913']</t>
  </si>
  <si>
    <t>['140904']['140905']['140912']</t>
  </si>
  <si>
    <t>15-06-2023</t>
  </si>
  <si>
    <t>['140941', '140942']</t>
  </si>
  <si>
    <t>['140965', '140966', '140967']</t>
  </si>
  <si>
    <t>['140932', '140933', '140934', '140935', '140936']</t>
  </si>
  <si>
    <t>['140943', '140944', '140945', '140946', '140947', '140948', '140949', '140950', '140951', '140952', '140953', '140954']</t>
  </si>
  <si>
    <t>['140955', '140956', '140957', '140958', '140959', '140960', '140961', '140962', '140963']</t>
  </si>
  <si>
    <t>['140964']</t>
  </si>
  <si>
    <t>19-06-2023</t>
  </si>
  <si>
    <t>['141012']</t>
  </si>
  <si>
    <t>['141013']</t>
  </si>
  <si>
    <t>['141010', '141011']</t>
  </si>
  <si>
    <t>['141015', '141016', '141017', '141018', '141019', '141020']</t>
  </si>
  <si>
    <t>['141009']</t>
  </si>
  <si>
    <t>['141023', '141024', '141025', '141026', '141027', '141028', '141029', '141030', '141031', '141032', '141033', '141034']</t>
  </si>
  <si>
    <t>['141035']</t>
  </si>
  <si>
    <t>['141036']</t>
  </si>
  <si>
    <t>YB5040</t>
  </si>
  <si>
    <t>119629756</t>
  </si>
  <si>
    <t>['141037']</t>
  </si>
  <si>
    <t>['141038', '141039']['141040', '141041']</t>
  </si>
  <si>
    <t>20-06-2023</t>
  </si>
  <si>
    <t>['141078', '141079']</t>
  </si>
  <si>
    <t>['141081']</t>
  </si>
  <si>
    <t>['141046']</t>
  </si>
  <si>
    <t>['141043']</t>
  </si>
  <si>
    <t>['141074']</t>
  </si>
  <si>
    <t>RKYY83</t>
  </si>
  <si>
    <t>69588204</t>
  </si>
  <si>
    <t>['141075', '141076', '141077']</t>
  </si>
  <si>
    <t>['141083', '141084', '141085']</t>
  </si>
  <si>
    <t>['141082']</t>
  </si>
  <si>
    <t>['141045', '141048', '141049', '141050', '141051', '141052', '141053', '141054', '141056', '141057', '141058', '141059', '141060', '141061', '141064', '141065', '141066', '141067', '141068']['141063']['141062']['141055']</t>
  </si>
  <si>
    <t>['141069', '141070', '141071', '141072']['141073']</t>
  </si>
  <si>
    <t>22-06-2023</t>
  </si>
  <si>
    <t>['141089', '141090', '141091', '141092', '141093']</t>
  </si>
  <si>
    <t>['141095']</t>
  </si>
  <si>
    <t>['141096', '141097', '141098']</t>
  </si>
  <si>
    <t>['141102', '141103', '141104', '141105', '141106', '141107']</t>
  </si>
  <si>
    <t>['141100']['141099']</t>
  </si>
  <si>
    <t>23-06-2023</t>
  </si>
  <si>
    <t>['141147']</t>
  </si>
  <si>
    <t>['141146']</t>
  </si>
  <si>
    <t>['141133', '141134', '141135', '141136', '141137', '141138', '141139', '141140', '141141', '141142']</t>
  </si>
  <si>
    <t>['141144', '141145']</t>
  </si>
  <si>
    <t>['141112', '141113']</t>
  </si>
  <si>
    <t>['141110']</t>
  </si>
  <si>
    <t>['141114', '141115', '141116', '141118', '141119', '141120', '141121', '141122', '141123', '141124', '141125', '141126', '141127', '141128', '141129', '141130', '141131', '141132']</t>
  </si>
  <si>
    <t>['141150']</t>
  </si>
  <si>
    <t>28-06-2023</t>
  </si>
  <si>
    <t>['141208']</t>
  </si>
  <si>
    <t>['141209', '141210', '141211', '141212', '141214', '141215', '141216', '141217', '141218', '141219', '141220', '141221', '141222', '141223', '141224', '141225', '141226', '141227', '141228']</t>
  </si>
  <si>
    <t>['141233']</t>
  </si>
  <si>
    <t>['141236']</t>
  </si>
  <si>
    <t>['141200']</t>
  </si>
  <si>
    <t>PYCP23</t>
  </si>
  <si>
    <t>['141198']</t>
  </si>
  <si>
    <t>['141207']</t>
  </si>
  <si>
    <t>['141234']</t>
  </si>
  <si>
    <t>['141235']</t>
  </si>
  <si>
    <t>['141231', '141232']</t>
  </si>
  <si>
    <t>['141205']['141206']['141203', '141204']</t>
  </si>
  <si>
    <t>['141237']['141202']</t>
  </si>
  <si>
    <t>29-06-2023</t>
  </si>
  <si>
    <t>['141256']</t>
  </si>
  <si>
    <t>['141272', '141273']</t>
  </si>
  <si>
    <t>['141255']</t>
  </si>
  <si>
    <t>['141257', '141258']</t>
  </si>
  <si>
    <t>ALGARROBO</t>
  </si>
  <si>
    <t>['141274']</t>
  </si>
  <si>
    <t>['141276']</t>
  </si>
  <si>
    <t>['141277']</t>
  </si>
  <si>
    <t>['141271']</t>
  </si>
  <si>
    <t>['141279']</t>
  </si>
  <si>
    <t>['141266', '141267']</t>
  </si>
  <si>
    <t>['141259', '141260']</t>
  </si>
  <si>
    <t>['141268', '141269', '141270']</t>
  </si>
  <si>
    <t>['141240', '141241', '141242', '141243', '141244', '141245', '141246', '141247', '141248', '141249', '141250', '141251', '141252', '141253', '141254']</t>
  </si>
  <si>
    <t>['141261', '141262', '141263', '141264', '141265']</t>
  </si>
  <si>
    <t>['141238']</t>
  </si>
  <si>
    <t>30-06-2023</t>
  </si>
  <si>
    <t>['141283']</t>
  </si>
  <si>
    <t>['141316']</t>
  </si>
  <si>
    <t>['141282']</t>
  </si>
  <si>
    <t>['141306']</t>
  </si>
  <si>
    <t>['141284']</t>
  </si>
  <si>
    <t>KKPF81</t>
  </si>
  <si>
    <t>['141312']</t>
  </si>
  <si>
    <t>['141315']</t>
  </si>
  <si>
    <t>['141309', '141310']</t>
  </si>
  <si>
    <t>['141296', '141297', '141298', '141299', '141300', '141301', '141302', '141303', '141304', '141305']</t>
  </si>
  <si>
    <t>['141288', '141289', '141290', '141291', '141292', '141293', '141294', '141295']</t>
  </si>
  <si>
    <t>['141308']</t>
  </si>
  <si>
    <t>['141307']</t>
  </si>
  <si>
    <t>['141313']</t>
  </si>
  <si>
    <t>03-07-2023</t>
  </si>
  <si>
    <t>['141328', '141329']</t>
  </si>
  <si>
    <t>['141325']</t>
  </si>
  <si>
    <t>CHINA RAILWAY TUNNEL GROUP</t>
  </si>
  <si>
    <t>['141324']</t>
  </si>
  <si>
    <t>['141327']</t>
  </si>
  <si>
    <t>['141326']</t>
  </si>
  <si>
    <t>['141319', '141320', '141321', '141323']['141322']</t>
  </si>
  <si>
    <t>04-07-2023</t>
  </si>
  <si>
    <t>['141334']</t>
  </si>
  <si>
    <t>['141330', '141331']</t>
  </si>
  <si>
    <t>PBFT95</t>
  </si>
  <si>
    <t>['141364']</t>
  </si>
  <si>
    <t>['141346', '141347']</t>
  </si>
  <si>
    <t>CONSORCIO BAPA GRAMATEC SPA</t>
  </si>
  <si>
    <t>['141339']</t>
  </si>
  <si>
    <t>['141333']</t>
  </si>
  <si>
    <t>['141354', '141355', '141356', '141357', '141358', '141359', '141360', '141361', '141362', '141363']</t>
  </si>
  <si>
    <t>['141345']</t>
  </si>
  <si>
    <t>['141348']</t>
  </si>
  <si>
    <t>['141352']</t>
  </si>
  <si>
    <t>['141332']</t>
  </si>
  <si>
    <t>['141349']</t>
  </si>
  <si>
    <t>['141351']</t>
  </si>
  <si>
    <t>['141350']</t>
  </si>
  <si>
    <t>['141335']</t>
  </si>
  <si>
    <t>['141342']</t>
  </si>
  <si>
    <t>['141340']['141341']</t>
  </si>
  <si>
    <t>05-07-2023</t>
  </si>
  <si>
    <t>I-427 LOS NOGALES</t>
  </si>
  <si>
    <t>['141365']</t>
  </si>
  <si>
    <t>['141372', '141373']</t>
  </si>
  <si>
    <t>AGRIC Y COMERC AGUA DE LOSX</t>
  </si>
  <si>
    <t>['141392']</t>
  </si>
  <si>
    <t>['141410', '141411']</t>
  </si>
  <si>
    <t>['141369', '141370']</t>
  </si>
  <si>
    <t>['141376', '141377', '141378', '141379', '141380', '141381', '141382', '141383']</t>
  </si>
  <si>
    <t>['141398', '141399', '141400', '141401', '141402', '141403', '141404', '141405', '141406', '141407', '141408']</t>
  </si>
  <si>
    <t>['141409']</t>
  </si>
  <si>
    <t>['141384', '141385', '141386', '141387', '141388', '141389', '141390']</t>
  </si>
  <si>
    <t>['141367']['141366']</t>
  </si>
  <si>
    <t>['141396', '141397']['141393', '141394']</t>
  </si>
  <si>
    <t>06-07-2023</t>
  </si>
  <si>
    <t>['141436']</t>
  </si>
  <si>
    <t>['141442']</t>
  </si>
  <si>
    <t>['141437']</t>
  </si>
  <si>
    <t>['141443']</t>
  </si>
  <si>
    <t>['141413', '141414', '141415', '141416', '141417', '141418', '141419', '141420', '141421', '141422', '141423', '141425', '141426', '141427', '141428', '141429', '141430', '141431', '141433', '141434', '141435']</t>
  </si>
  <si>
    <t>['141448']</t>
  </si>
  <si>
    <t>['141445', '141446']['141447']</t>
  </si>
  <si>
    <t>07-07-2023</t>
  </si>
  <si>
    <t>['141453', '141454']</t>
  </si>
  <si>
    <t>['141476', '141477']</t>
  </si>
  <si>
    <t>['141459']</t>
  </si>
  <si>
    <t>['141451']</t>
  </si>
  <si>
    <t>['141470', '141471', '141472', '141473', '141474', '141475']</t>
  </si>
  <si>
    <t>['141449', '141450']</t>
  </si>
  <si>
    <t>['141462', '141463']</t>
  </si>
  <si>
    <t>['141469']</t>
  </si>
  <si>
    <t>['141464', '141465', '141466', '141467', '141468']</t>
  </si>
  <si>
    <t>['141456', '141457', '141458']['141455']</t>
  </si>
  <si>
    <t>10-07-2023</t>
  </si>
  <si>
    <t>['141480', '141481']</t>
  </si>
  <si>
    <t>['141479']</t>
  </si>
  <si>
    <t>['141485']</t>
  </si>
  <si>
    <t>['141478']</t>
  </si>
  <si>
    <t>['141499', '141500', '141501', '141502', '141503', '141504']</t>
  </si>
  <si>
    <t>['141486', '141487', '141488', '141489', '141490', '141491', '141492', '141493', '141494', '141495', '141496', '141497', '141498']</t>
  </si>
  <si>
    <t>['141482']</t>
  </si>
  <si>
    <t>['141506']</t>
  </si>
  <si>
    <t>11-07-2023</t>
  </si>
  <si>
    <t>['141538']</t>
  </si>
  <si>
    <t>['141545']</t>
  </si>
  <si>
    <t>['141544']</t>
  </si>
  <si>
    <t>['141508']</t>
  </si>
  <si>
    <t>['141543']</t>
  </si>
  <si>
    <t>['141537']</t>
  </si>
  <si>
    <t>['141541']</t>
  </si>
  <si>
    <t>['141510', '141511', '141512', '141513', '141514', '141515', '141516', '141517', '141518', '141519', '141520', '141521', '141522', '141523', '141524', '141525', '141526', '141527', '141530', '141531']['141529']['141528']</t>
  </si>
  <si>
    <t>12-07-2023</t>
  </si>
  <si>
    <t>['141581', '141582']</t>
  </si>
  <si>
    <t>['141546']</t>
  </si>
  <si>
    <t>['141579']</t>
  </si>
  <si>
    <t>['141580']</t>
  </si>
  <si>
    <t>['141577']</t>
  </si>
  <si>
    <t>['141550', '141551', '141552', '141553', '141554', '141555', '141556', '141558', '141559', '141560', '141561', '141562', '141563', '141564']</t>
  </si>
  <si>
    <t>['141575']</t>
  </si>
  <si>
    <t>['141578']</t>
  </si>
  <si>
    <t>['141576']</t>
  </si>
  <si>
    <t>['141565', '141566', '141567', '141568', '141569', '141570', '141571']['141572', '141573', '141574']</t>
  </si>
  <si>
    <t>13-07-2023</t>
  </si>
  <si>
    <t>['141585']</t>
  </si>
  <si>
    <t>RWTG52</t>
  </si>
  <si>
    <t>['141584']</t>
  </si>
  <si>
    <t>['141595', '141596', '141597', '141598', '141599']</t>
  </si>
  <si>
    <t>['141590']</t>
  </si>
  <si>
    <t>['141594']</t>
  </si>
  <si>
    <t>['141591', '141592']['141593']</t>
  </si>
  <si>
    <t>['141588']['141589']</t>
  </si>
  <si>
    <t>17-07-2023</t>
  </si>
  <si>
    <t>['141620']</t>
  </si>
  <si>
    <t>['141619']</t>
  </si>
  <si>
    <t>['141621']</t>
  </si>
  <si>
    <t>['141639', '141640', '141641', '141642', '141643', '141644', '141645', '141646', '141647', '141648', '141649', '141650']</t>
  </si>
  <si>
    <t>['141622', '141623', '141624', '141625', '141626', '141627', '141628', '141629', '141630', '141631', '141632', '141633', '141634', '141635', '141636', '141637', '141638']</t>
  </si>
  <si>
    <t>['141654', '141655', '141656', '141657', '141658', '141659']</t>
  </si>
  <si>
    <t>['141653']</t>
  </si>
  <si>
    <t>['141652']</t>
  </si>
  <si>
    <t>['141651']</t>
  </si>
  <si>
    <t>18-07-2023</t>
  </si>
  <si>
    <t>['141662']</t>
  </si>
  <si>
    <t>['141700', '141701', '141702']</t>
  </si>
  <si>
    <t>MAULE</t>
  </si>
  <si>
    <t>['141709', '141710']</t>
  </si>
  <si>
    <t>['141706']</t>
  </si>
  <si>
    <t>['141694']</t>
  </si>
  <si>
    <t>['141689']</t>
  </si>
  <si>
    <t>['141664', '141665', '141666', '141667', '141668', '141669', '141671', '141672', '141673', '141674', '141675', '141676', '141677', '141678', '141679']</t>
  </si>
  <si>
    <t>['141704', '141705']</t>
  </si>
  <si>
    <t>['141690', '141691', '141692']</t>
  </si>
  <si>
    <t>['141680', '141681', '141682']</t>
  </si>
  <si>
    <t>['141695']</t>
  </si>
  <si>
    <t>['141697']</t>
  </si>
  <si>
    <t>['141696']</t>
  </si>
  <si>
    <t>19-07-2023</t>
  </si>
  <si>
    <t>['141713']</t>
  </si>
  <si>
    <t>['141712']</t>
  </si>
  <si>
    <t>['141727']</t>
  </si>
  <si>
    <t>['141711']</t>
  </si>
  <si>
    <t>['141714']</t>
  </si>
  <si>
    <t>['141715', '141716', '141717', '141718', '141719', '141720', '141721', '141722', '141723', '141724', '141725', '141726']</t>
  </si>
  <si>
    <t>276547747</t>
  </si>
  <si>
    <t>['141738']</t>
  </si>
  <si>
    <t>['141728', '141729', '141730', '141731', '141732', '141733']</t>
  </si>
  <si>
    <t>['141739']['141740']</t>
  </si>
  <si>
    <t>['141743']['141741', '141742']</t>
  </si>
  <si>
    <t>21-07-2023</t>
  </si>
  <si>
    <t>['141762']</t>
  </si>
  <si>
    <t>['141769', '141770', '141771', '141772']</t>
  </si>
  <si>
    <t>['141776', '141777', '141778', '141779', '141780']</t>
  </si>
  <si>
    <t>['141763', '141764', '141765', '141766', '141767']</t>
  </si>
  <si>
    <t>['141774']</t>
  </si>
  <si>
    <t>['141773']['141761']['141781']</t>
  </si>
  <si>
    <t>['141783']['141782']</t>
  </si>
  <si>
    <t>24-07-2023</t>
  </si>
  <si>
    <t>['141802', '141803', '141804', '141805', '141806', '141807', '141808', '141809', '141810', '141811', '141812']</t>
  </si>
  <si>
    <t>['141786', '141787', '141788', '141789', '141790', '141791', '141792', '141793', '141794', '141795', '141796', '141798', '141799', '141800', '141801']</t>
  </si>
  <si>
    <t>['141816']</t>
  </si>
  <si>
    <t>['141814']['141815']</t>
  </si>
  <si>
    <t>25-07-2023</t>
  </si>
  <si>
    <t>['141817']</t>
  </si>
  <si>
    <t>['141818', '141819']</t>
  </si>
  <si>
    <t>['141870']</t>
  </si>
  <si>
    <t>['141820']</t>
  </si>
  <si>
    <t>['141856', '141857', '141858', '141859', '141860', '141861', '141862', '141863', '141864', '141865', '141866', '141867']</t>
  </si>
  <si>
    <t>['141822', '141823', '141824', '141825', '141826', '141827', '141828', '141829', '141830', '141831', '141832', '141833', '141834', '141835', '141836', '141837', '141838', '141839']</t>
  </si>
  <si>
    <t>['141869']</t>
  </si>
  <si>
    <t>['141871', '141872', '141873', '141874', '141875']</t>
  </si>
  <si>
    <t>['141883', '141884', '141885', '141886']</t>
  </si>
  <si>
    <t>['141840', '141841', '141842', '141843', '141844', '141845', '141846', '141847', '141849', '141850', '141851', '141852', '141853', '141854', '141855']</t>
  </si>
  <si>
    <t>['141887']</t>
  </si>
  <si>
    <t>['141868']</t>
  </si>
  <si>
    <t>['141879']</t>
  </si>
  <si>
    <t>['141880']</t>
  </si>
  <si>
    <t>['141881', '141882']</t>
  </si>
  <si>
    <t>28-07-2023</t>
  </si>
  <si>
    <t>['141953', '141954', '141955', '141956', '141957']</t>
  </si>
  <si>
    <t>['141944', '141945', '141946', '141947', '141948']</t>
  </si>
  <si>
    <t>['141951']['141950']</t>
  </si>
  <si>
    <t>01-08-2023</t>
  </si>
  <si>
    <t>['142034', '142035', '142036', '142037', '142038']</t>
  </si>
  <si>
    <t>['142032', '142033']</t>
  </si>
  <si>
    <t>['142009', '142010', '142011', '142012', '142013', '142014', '142015', '142016', '142017', '142018', '142019', '142020', '142021', '142022', '142023', '142024', '142025', '142026', '142027', '142028', '142029', '142030', '142031']</t>
  </si>
  <si>
    <t>['142040']</t>
  </si>
  <si>
    <t>['142041']</t>
  </si>
  <si>
    <t>['142039']</t>
  </si>
  <si>
    <t>['142042']</t>
  </si>
  <si>
    <t>['142043', '142044', '142045']['142046']</t>
  </si>
  <si>
    <t>02-08-2023</t>
  </si>
  <si>
    <t>['142094']</t>
  </si>
  <si>
    <t>['142047']</t>
  </si>
  <si>
    <t>['142048']</t>
  </si>
  <si>
    <t>INGENIERIA Y CONST.SIGDO KX</t>
  </si>
  <si>
    <t>['142093']</t>
  </si>
  <si>
    <t>['142066', '142067', '142068', '142069', '142070', '142071', '142072', '142073', '142074', '142075', '142077', '142078', '142079', '142080', '142081']</t>
  </si>
  <si>
    <t>['142050', '142051', '142052', '142053', '142054', '142055', '142056', '142057', '142058', '142059', '142060', '142061', '142062', '142063', '142064', '142065']</t>
  </si>
  <si>
    <t>['142087', '142088']</t>
  </si>
  <si>
    <t>['142090']</t>
  </si>
  <si>
    <t>['142091']</t>
  </si>
  <si>
    <t>['142092']</t>
  </si>
  <si>
    <t>['142076']</t>
  </si>
  <si>
    <t>04-08-2023</t>
  </si>
  <si>
    <t>['142130']</t>
  </si>
  <si>
    <t>['142126']</t>
  </si>
  <si>
    <t>['142124']</t>
  </si>
  <si>
    <t>['142140']</t>
  </si>
  <si>
    <t>['142132']</t>
  </si>
  <si>
    <t>['142131']</t>
  </si>
  <si>
    <t>['142141', '142142']</t>
  </si>
  <si>
    <t>['142133', '142134', '142135', '142136', '142137', '142138', '142139']</t>
  </si>
  <si>
    <t>['142127']['142128']</t>
  </si>
  <si>
    <t>07-08-2023</t>
  </si>
  <si>
    <t>['142175']</t>
  </si>
  <si>
    <t>['142159']</t>
  </si>
  <si>
    <t>['142167', '142168', '142169', '142171']</t>
  </si>
  <si>
    <t>['142161', '142162', '142163', '142164', '142165']</t>
  </si>
  <si>
    <t>['142147', '142148', '142149', '142150', '142151', '142152', '142153', '142154', '142155', '142156', '142157', '142158']</t>
  </si>
  <si>
    <t>['142166']</t>
  </si>
  <si>
    <t>08-08-2023</t>
  </si>
  <si>
    <t>['142177']</t>
  </si>
  <si>
    <t>['142178']</t>
  </si>
  <si>
    <t>['142184', '142185']</t>
  </si>
  <si>
    <t>['142181']</t>
  </si>
  <si>
    <t>['142186']</t>
  </si>
  <si>
    <t>['142183']</t>
  </si>
  <si>
    <t>['142179']['142180']</t>
  </si>
  <si>
    <t>09-08-2023</t>
  </si>
  <si>
    <t>['142231']</t>
  </si>
  <si>
    <t>['142187']</t>
  </si>
  <si>
    <t>['142239']</t>
  </si>
  <si>
    <t>['142188']</t>
  </si>
  <si>
    <t>['142240']</t>
  </si>
  <si>
    <t>['142232', '142233', '142234', '142235', '142236', '142237', '142238']</t>
  </si>
  <si>
    <t>['142189']</t>
  </si>
  <si>
    <t>['142215', '142216', '142217', '142218', '142219', '142220', '142221', '142222', '142223', '142224', '142225', '142226', '142227', '142228', '142229', '142230']</t>
  </si>
  <si>
    <t>['142242']</t>
  </si>
  <si>
    <t>['142243', '142244', '142245', '142246', '142247', '142248']</t>
  </si>
  <si>
    <t>['142249']</t>
  </si>
  <si>
    <t>['142190', '142191', '142192', '142193', '142194', '142195', '142196', '142197', '142198', '142199', '142201', '142202', '142203', '142204', '142205', '142206', '142207', '142208', '142209', '142210', '142211', '142213']['142212']['142200']</t>
  </si>
  <si>
    <t>10-08-2023</t>
  </si>
  <si>
    <t>['142263', '142264']</t>
  </si>
  <si>
    <t>['142251']</t>
  </si>
  <si>
    <t>['142257']</t>
  </si>
  <si>
    <t>['142258']</t>
  </si>
  <si>
    <t>['142253', '142254']</t>
  </si>
  <si>
    <t>['142267']</t>
  </si>
  <si>
    <t>RKLH77</t>
  </si>
  <si>
    <t>['142255']</t>
  </si>
  <si>
    <t>['142256']</t>
  </si>
  <si>
    <t>['142266']</t>
  </si>
  <si>
    <t>['142265']</t>
  </si>
  <si>
    <t>['142260']['142261']</t>
  </si>
  <si>
    <t>11-08-2023</t>
  </si>
  <si>
    <t>['142314']</t>
  </si>
  <si>
    <t>['142268']</t>
  </si>
  <si>
    <t>ENERGIA EOLICA CJR WIND CHX</t>
  </si>
  <si>
    <t>['142310']</t>
  </si>
  <si>
    <t>['142303']</t>
  </si>
  <si>
    <t>['142270']</t>
  </si>
  <si>
    <t>['142292', '142293', '142294', '142295', '142296', '142297', '142298', '142299', '142300', '142301', '142302']</t>
  </si>
  <si>
    <t>['142290']</t>
  </si>
  <si>
    <t>['142274', '142275', '142276', '142277', '142278', '142279', '142280', '142281', '142282', '142283', '142284', '142285', '142286', '142287', '142288', '142289']</t>
  </si>
  <si>
    <t>['142311']</t>
  </si>
  <si>
    <t>['142305', '142306', '142307', '142308', '142309']</t>
  </si>
  <si>
    <t>['142271']</t>
  </si>
  <si>
    <t>['142313']['142312']</t>
  </si>
  <si>
    <t>18-08-2023</t>
  </si>
  <si>
    <t>['142403', '142404']</t>
  </si>
  <si>
    <t>['142391']</t>
  </si>
  <si>
    <t>['142402']</t>
  </si>
  <si>
    <t>['142427', '142428', '142429', '142430', '142431', '142432', '142433', '142434', '142435', '142436', '142437', '142438']</t>
  </si>
  <si>
    <t>['142389']</t>
  </si>
  <si>
    <t>['142406', '142407', '142408', '142409', '142410', '142411', '142412', '142413', '142414', '142415', '142416', '142417', '142418', '142419', '142420', '142421', '142422', '142423', '142424', '142425', '142426']</t>
  </si>
  <si>
    <t>['142443']</t>
  </si>
  <si>
    <t>['142441']</t>
  </si>
  <si>
    <t>['142442']</t>
  </si>
  <si>
    <t>['142444']</t>
  </si>
  <si>
    <t>['142398', '142400']['142399']</t>
  </si>
  <si>
    <t>21-08-2023</t>
  </si>
  <si>
    <t>['142445']</t>
  </si>
  <si>
    <t>['142447']</t>
  </si>
  <si>
    <t>['142449']</t>
  </si>
  <si>
    <t>['142446']</t>
  </si>
  <si>
    <t>['142452']</t>
  </si>
  <si>
    <t>['142450', '142451']</t>
  </si>
  <si>
    <t>['142370']</t>
  </si>
  <si>
    <t>['142448']</t>
  </si>
  <si>
    <t>22-08-2023</t>
  </si>
  <si>
    <t>['142479']</t>
  </si>
  <si>
    <t>['142480']</t>
  </si>
  <si>
    <t>['142482']</t>
  </si>
  <si>
    <t>['142475']</t>
  </si>
  <si>
    <t>ICAFAL INGENIERIA Y CONSTRX</t>
  </si>
  <si>
    <t>['142456', '142457', '142458', '142459', '142460', '142461', '142462', '142463', '142464', '142465', '142466', '142467', '142468', '142469', '142470', '142471', '142472', '142473', '142474']</t>
  </si>
  <si>
    <t>['142476']['142477', '142478']</t>
  </si>
  <si>
    <t>['142454']['142483']</t>
  </si>
  <si>
    <t>24-08-2023</t>
  </si>
  <si>
    <t>['142498']</t>
  </si>
  <si>
    <t>['142509']</t>
  </si>
  <si>
    <t>['142497']</t>
  </si>
  <si>
    <t>['142502']</t>
  </si>
  <si>
    <t>['142511']</t>
  </si>
  <si>
    <t>['142505', '142506', '142507', '142508']</t>
  </si>
  <si>
    <t>['142512']</t>
  </si>
  <si>
    <t>['142513']</t>
  </si>
  <si>
    <t>['142510']</t>
  </si>
  <si>
    <t>25-08-2023</t>
  </si>
  <si>
    <t>['142514']</t>
  </si>
  <si>
    <t>['142521']</t>
  </si>
  <si>
    <t>['142517']</t>
  </si>
  <si>
    <t>['142515', '142516']</t>
  </si>
  <si>
    <t>['142518', '142519', '142520']</t>
  </si>
  <si>
    <t>106168342</t>
  </si>
  <si>
    <t>['142529', '142530', '142531', '142532', '142533', '142534']</t>
  </si>
  <si>
    <t>['142528']</t>
  </si>
  <si>
    <t>WT7724</t>
  </si>
  <si>
    <t>['142525', '142526']['142524']</t>
  </si>
  <si>
    <t>28-08-2023</t>
  </si>
  <si>
    <t>['142551']</t>
  </si>
  <si>
    <t>['142574']</t>
  </si>
  <si>
    <t>['142552', '142553', '142554', '142555', '142556', '142557', '142558', '142559', '142560', '142561', '142562', '142563', '142564', '142565']</t>
  </si>
  <si>
    <t>['142539', '142540', '142541', '142542', '142543', '142544', '142545', '142546', '142547', '142548', '142549']</t>
  </si>
  <si>
    <t>['142550']</t>
  </si>
  <si>
    <t>['142572']</t>
  </si>
  <si>
    <t>['142570']['142571']</t>
  </si>
  <si>
    <t>['142567']['142568']</t>
  </si>
  <si>
    <t>29-08-2023</t>
  </si>
  <si>
    <t>['142636']</t>
  </si>
  <si>
    <t>['142579']</t>
  </si>
  <si>
    <t>['142578']</t>
  </si>
  <si>
    <t>VG8997</t>
  </si>
  <si>
    <t>['142589', '142590', '142591', '142592', '142593', '142594', '142595', '142596', '142597', '142598', '142599', '142600', '142601', '142602', '142603', '142604', '142605', '142606', '142607', '142608', '142609', '142610', '142611', '142612', '142613', '142614']</t>
  </si>
  <si>
    <t>['142622']</t>
  </si>
  <si>
    <t>['142615', '142616', '142617', '142618', '142619', '142620', '142621']</t>
  </si>
  <si>
    <t>['142580', '142581', '142582', '142583', '142584', '142585', '142586', '142587', '142588']</t>
  </si>
  <si>
    <t>['142635']['142634']</t>
  </si>
  <si>
    <t>['142630', '142631']['142633']['142628', '142629', '142632']</t>
  </si>
  <si>
    <t>['142623']['142624']</t>
  </si>
  <si>
    <t>30-08-2023</t>
  </si>
  <si>
    <t>['142642']</t>
  </si>
  <si>
    <t>['142637']</t>
  </si>
  <si>
    <t>['142675', '142676']</t>
  </si>
  <si>
    <t>['142639']</t>
  </si>
  <si>
    <t>['142643', '142644']</t>
  </si>
  <si>
    <t>['142658', '142659', '142660', '142661', '142662', '142663']</t>
  </si>
  <si>
    <t>['142645', '142646', '142647', '142648', '142649', '142650', '142651', '142652', '142653', '142654', '142655', '142656', '142657']</t>
  </si>
  <si>
    <t>['142667', '142668', '142669', '142670', '142671', '142672', '142673']</t>
  </si>
  <si>
    <t>['142674']</t>
  </si>
  <si>
    <t>31-08-2023</t>
  </si>
  <si>
    <t>['142734']</t>
  </si>
  <si>
    <t>['142726']</t>
  </si>
  <si>
    <t>['142681', '142725', '142731', '142733']</t>
  </si>
  <si>
    <t>['142680', '142724', '142730', '142732']</t>
  </si>
  <si>
    <t>ALCOP CONSTRUCTORA E INMOBX</t>
  </si>
  <si>
    <t>['142720', '142721']</t>
  </si>
  <si>
    <t>['142722', '142723']</t>
  </si>
  <si>
    <t>['142702', '142703', '142704', '142705', '142706', '142707', '142708', '142709', '142710', '142711', '142712', '142713', '142714', '142715', '142716', '142717']</t>
  </si>
  <si>
    <t>['142729']</t>
  </si>
  <si>
    <t>['142683']</t>
  </si>
  <si>
    <t>['142698', '142699', '142700', '142701']</t>
  </si>
  <si>
    <t>['142686', '142687', '142688', '142689', '142690', '142691', '142692', '142693', '142694', '142695', '142696', '142697']</t>
  </si>
  <si>
    <t>01-09-2023</t>
  </si>
  <si>
    <t>['142748']</t>
  </si>
  <si>
    <t>['142756']</t>
  </si>
  <si>
    <t>['142739', '142740', '142741']</t>
  </si>
  <si>
    <t>['142755']</t>
  </si>
  <si>
    <t>['142743', '142744', '142745', '142746']</t>
  </si>
  <si>
    <t>RWTG62</t>
  </si>
  <si>
    <t>['142747']</t>
  </si>
  <si>
    <t>['142749', '142750', '142751', '142752', '142753', '142754']</t>
  </si>
  <si>
    <t>04-09-2023</t>
  </si>
  <si>
    <t>['142795']</t>
  </si>
  <si>
    <t>['142798']</t>
  </si>
  <si>
    <t>['142792', '142793']</t>
  </si>
  <si>
    <t>['142759', '142760', '142761', '142762', '142763', '142764', '142765', '142766', '142767', '142769', '142770', '142771', '142772', '142773', '142774', '142775', '142776', '142777', '142778', '142779']</t>
  </si>
  <si>
    <t>['142781', '142782', '142783', '142784', '142785', '142786', '142787', '142788']</t>
  </si>
  <si>
    <t>['142797']</t>
  </si>
  <si>
    <t>['142796']</t>
  </si>
  <si>
    <t>['142757']['142758']</t>
  </si>
  <si>
    <t>['142790']['142791']</t>
  </si>
  <si>
    <t>05-09-2023</t>
  </si>
  <si>
    <t>['142818']</t>
  </si>
  <si>
    <t>OLMUE</t>
  </si>
  <si>
    <t>['142805']</t>
  </si>
  <si>
    <t>['142801']</t>
  </si>
  <si>
    <t>['142807', '142808', '142809', '142810', '142811', '142812', '142813']</t>
  </si>
  <si>
    <t>['142817']</t>
  </si>
  <si>
    <t>['142816']</t>
  </si>
  <si>
    <t>['142799']['142815']['142814']</t>
  </si>
  <si>
    <t>['142803']['142802']</t>
  </si>
  <si>
    <t>06-09-2023</t>
  </si>
  <si>
    <t>['142824', '142825']</t>
  </si>
  <si>
    <t>['142845']</t>
  </si>
  <si>
    <t>['142827']</t>
  </si>
  <si>
    <t>['142862', '142863']</t>
  </si>
  <si>
    <t>['142860', '142861']</t>
  </si>
  <si>
    <t>['142828', '142829', '142830', '142831', '142832', '142833', '142834', '142835', '142836', '142837', '142838', '142839', '142840', '142841', '142842', '142843']</t>
  </si>
  <si>
    <t>['142848', '142849', '142850', '142851', '142852', '142853', '142854', '142856', '142857', '142858', '142859']</t>
  </si>
  <si>
    <t>109576032</t>
  </si>
  <si>
    <t>['142819']</t>
  </si>
  <si>
    <t>PBPY95</t>
  </si>
  <si>
    <t>['142866', '142867', '142868']</t>
  </si>
  <si>
    <t>['142864', '142865']</t>
  </si>
  <si>
    <t>['142869', '142871']['142870']</t>
  </si>
  <si>
    <t>['142847']['142846']</t>
  </si>
  <si>
    <t>08-09-2023</t>
  </si>
  <si>
    <t>['142938', '142939']</t>
  </si>
  <si>
    <t>['142942']</t>
  </si>
  <si>
    <t>['142943', '142944']</t>
  </si>
  <si>
    <t>['142946']</t>
  </si>
  <si>
    <t>12-09-2023</t>
  </si>
  <si>
    <t>['143027', '143028']</t>
  </si>
  <si>
    <t>['142983', '142984']</t>
  </si>
  <si>
    <t>['143026']</t>
  </si>
  <si>
    <t>['142964', '142965', '142966', '142967', '142968', '142969', '142970', '142971', '142972']</t>
  </si>
  <si>
    <t>['142981']['142982']</t>
  </si>
  <si>
    <t>['142990', '142991', '142992', '142993', '142994', '142995', '142996', '142997', '142998', '142999', '143000', '143001', '143002', '143003', '143004', '143005']['143006']</t>
  </si>
  <si>
    <t>['143017', '143019', '143020', '143021', '143022']['143018']</t>
  </si>
  <si>
    <t>['142987', '142988']['142989']</t>
  </si>
  <si>
    <t>13-09-2023</t>
  </si>
  <si>
    <t>['143072', '143073']</t>
  </si>
  <si>
    <t>['143062']</t>
  </si>
  <si>
    <t>['143061']</t>
  </si>
  <si>
    <t>['143068']</t>
  </si>
  <si>
    <t>['143039', '143040', '143041', '143042', '143043', '143044', '143045', '143046', '143047', '143048', '143049', '143050', '143051', '143052', '143053', '143054', '143055', '143056', '143057', '143058', '143059', '143060']</t>
  </si>
  <si>
    <t>RKHL77</t>
  </si>
  <si>
    <t>['143033', '143034', '143035', '143036', '143037']</t>
  </si>
  <si>
    <t>['143064', '143065', '143066', '143067']</t>
  </si>
  <si>
    <t>['143069']</t>
  </si>
  <si>
    <t>['143071']</t>
  </si>
  <si>
    <t>['143030', '143031']['143032']</t>
  </si>
  <si>
    <t>20-09-2023</t>
  </si>
  <si>
    <t>['143100']</t>
  </si>
  <si>
    <t>['143116', '143117']</t>
  </si>
  <si>
    <t>['143110', '143111', '143112', '143113', '143114', '143115']</t>
  </si>
  <si>
    <t>['143104', '143105']['143103']</t>
  </si>
  <si>
    <t>['143108', '143109']['143106', '143107']</t>
  </si>
  <si>
    <t>21-09-2023</t>
  </si>
  <si>
    <t>['143162', '143163']</t>
  </si>
  <si>
    <t>['143118']</t>
  </si>
  <si>
    <t>['143165', '143166']</t>
  </si>
  <si>
    <t>['143154', '143155']</t>
  </si>
  <si>
    <t>['143142', '143143', '143144', '143145', '143147', '143148', '143149', '143150', '143151', '143152', '143153']</t>
  </si>
  <si>
    <t>['143121', '143122', '143123', '143124', '143125', '143126', '143127', '143128', '143129', '143130', '143131', '143132', '143133', '143134', '143135', '143136']</t>
  </si>
  <si>
    <t>['143138', '143139', '143140', '143141']</t>
  </si>
  <si>
    <t>['143156']</t>
  </si>
  <si>
    <t>['143157']</t>
  </si>
  <si>
    <t>['143159', '143160', '143161']</t>
  </si>
  <si>
    <t>22-09-2023</t>
  </si>
  <si>
    <t>['143172']</t>
  </si>
  <si>
    <t>['143188']</t>
  </si>
  <si>
    <t>['143174']</t>
  </si>
  <si>
    <t>['143197']</t>
  </si>
  <si>
    <t>['143182', '143183', '143184', '143185', '143186', '143187']</t>
  </si>
  <si>
    <t>['143168', '143169', '143170', '143171']</t>
  </si>
  <si>
    <t>['143175', '143176', '143177', '143178', '143179', '143180']</t>
  </si>
  <si>
    <t>['143189', '143190', '143191', '143192']</t>
  </si>
  <si>
    <t>['143193']['143194']</t>
  </si>
  <si>
    <t>25-09-2023</t>
  </si>
  <si>
    <t>['143201', '143202']</t>
  </si>
  <si>
    <t>['143204']</t>
  </si>
  <si>
    <t>['143198']</t>
  </si>
  <si>
    <t>['143210']</t>
  </si>
  <si>
    <t>['143217']</t>
  </si>
  <si>
    <t>['143208', '143209']</t>
  </si>
  <si>
    <t>['143213', '143214', '143215', '143216']</t>
  </si>
  <si>
    <t>['143219']['143218']</t>
  </si>
  <si>
    <t>27-09-2023</t>
  </si>
  <si>
    <t>['143322']</t>
  </si>
  <si>
    <t>['143319']</t>
  </si>
  <si>
    <t>['143320']</t>
  </si>
  <si>
    <t>['143323']</t>
  </si>
  <si>
    <t>['143296', '143297', '143298', '143299', '143300', '143301', '143302', '143303', '143304', '143305', '143306', '143307', '143308', '143309', '143310', '143311', '143312', '143313', '143314', '143315', '143316', '143317', '143318']</t>
  </si>
  <si>
    <t>['143294']</t>
  </si>
  <si>
    <t>['143295']</t>
  </si>
  <si>
    <t>['143338']</t>
  </si>
  <si>
    <t>['143326', '143327', '143328', '143329']</t>
  </si>
  <si>
    <t>['143321']</t>
  </si>
  <si>
    <t>['143336']</t>
  </si>
  <si>
    <t>['143324', '143325']</t>
  </si>
  <si>
    <t>['143330', '143331', '143332', '143333', '143334']</t>
  </si>
  <si>
    <t>['143337']</t>
  </si>
  <si>
    <t>28-09-2023</t>
  </si>
  <si>
    <t>['143340']</t>
  </si>
  <si>
    <t>FFPF51</t>
  </si>
  <si>
    <t>['143388']</t>
  </si>
  <si>
    <t>['143394']</t>
  </si>
  <si>
    <t>['143362']</t>
  </si>
  <si>
    <t>['143392']</t>
  </si>
  <si>
    <t>['143389', '143390', '143391']</t>
  </si>
  <si>
    <t>['143366']</t>
  </si>
  <si>
    <t>['143386']</t>
  </si>
  <si>
    <t>['143381', '143382', '143383']</t>
  </si>
  <si>
    <t>['143378', '143379', '143380']</t>
  </si>
  <si>
    <t>['143341', '143342', '143343', '143344', '143345', '143346', '143347', '143348', '143349', '143350', '143351', '143352', '143353', '143354', '143355', '143356', '143357', '143358', '143359']</t>
  </si>
  <si>
    <t>['143367', '143368', '143369', '143370', '143371', '143372', '143373', '143374', '143375', '143376']</t>
  </si>
  <si>
    <t>['143387']</t>
  </si>
  <si>
    <t>LIMACHE</t>
  </si>
  <si>
    <t>['143361']</t>
  </si>
  <si>
    <t>29-09-2023</t>
  </si>
  <si>
    <t>CONSTRUCTORA ALM S.A.</t>
  </si>
  <si>
    <t>['143421']</t>
  </si>
  <si>
    <t>['143424', '143425']</t>
  </si>
  <si>
    <t>KKPF</t>
  </si>
  <si>
    <t>['143432']</t>
  </si>
  <si>
    <t>['143426']</t>
  </si>
  <si>
    <t>['143430']</t>
  </si>
  <si>
    <t>['143427', '143428']</t>
  </si>
  <si>
    <t>['143396']</t>
  </si>
  <si>
    <t>['143395']</t>
  </si>
  <si>
    <t>RKYY81</t>
  </si>
  <si>
    <t>['143412']</t>
  </si>
  <si>
    <t>['143397', '143398', '143399', '143400', '143401', '143402', '143403', '143404', '143405', '143406', '143407', '143408', '143409', '143410', '143411']</t>
  </si>
  <si>
    <t>['143433']</t>
  </si>
  <si>
    <t>['143415']['143416']</t>
  </si>
  <si>
    <t>['143419', '143420']['143417', '143418']</t>
  </si>
  <si>
    <t>02-10-2023</t>
  </si>
  <si>
    <t>['143439']</t>
  </si>
  <si>
    <t>['143437']</t>
  </si>
  <si>
    <t>['143443']</t>
  </si>
  <si>
    <t>['143442']</t>
  </si>
  <si>
    <t>['143435']</t>
  </si>
  <si>
    <t>['143440']</t>
  </si>
  <si>
    <t>['143441']</t>
  </si>
  <si>
    <t>03-10-2023</t>
  </si>
  <si>
    <t>['143453']</t>
  </si>
  <si>
    <t>['143455']</t>
  </si>
  <si>
    <t>DRRV76</t>
  </si>
  <si>
    <t>['143448']</t>
  </si>
  <si>
    <t>['143444']</t>
  </si>
  <si>
    <t>['143447']</t>
  </si>
  <si>
    <t>['143451']</t>
  </si>
  <si>
    <t>['143449']</t>
  </si>
  <si>
    <t>['143450']</t>
  </si>
  <si>
    <t>04-10-2023</t>
  </si>
  <si>
    <t>['143495']</t>
  </si>
  <si>
    <t>['143498']</t>
  </si>
  <si>
    <t>['143518', '143519', '143520', '143521', '143522', '143523', '143524', '143525', '143526', '143527', '143528', '143529', '143530', '143531', '143532', '143533', '143534', '143535', '143536', '143537', '143538', '143539', '143540', '143541', '143542', '143543', '143544', '143545']</t>
  </si>
  <si>
    <t>['143485', '143486', '143487', '143488', '143489', '143490', '143491', '143492', '143493', '143494']</t>
  </si>
  <si>
    <t>['143471', '143472']</t>
  </si>
  <si>
    <t>['143505', '143506', '143507', '143508', '143509', '143510']</t>
  </si>
  <si>
    <t>['143467', '143468']</t>
  </si>
  <si>
    <t>['143473', '143474', '143475', '143476', '143477', '143478', '143479', '143480', '143481', '143482', '143483', '143484']</t>
  </si>
  <si>
    <t>['143511', '143512', '143513', '143514', '143515', '143516']</t>
  </si>
  <si>
    <t>['143456']</t>
  </si>
  <si>
    <t>['143500']</t>
  </si>
  <si>
    <t>['143499']</t>
  </si>
  <si>
    <t>['143503', '143504']</t>
  </si>
  <si>
    <t>['143469']</t>
  </si>
  <si>
    <t>06-10-2023</t>
  </si>
  <si>
    <t>['143586', '143587']</t>
  </si>
  <si>
    <t>['143584']</t>
  </si>
  <si>
    <t>['143613']</t>
  </si>
  <si>
    <t>['143614', '143615', '143616', '143617', '143618', '143619']</t>
  </si>
  <si>
    <t>['143620']</t>
  </si>
  <si>
    <t>['143602', '143603', '143604', '143605', '143606', '143607']</t>
  </si>
  <si>
    <t>10-10-2023</t>
  </si>
  <si>
    <t>['143656', '143657']</t>
  </si>
  <si>
    <t>['143642', '143643', '143644', '143645', '143646', '143647', '143649', '143650']</t>
  </si>
  <si>
    <t>['143622', '143623', '143624', '143625', '143626', '143627', '143628', '143629', '143630', '143632', '143633', '143634', '143635', '143636', '143637', '143638', '143639', '143640', '143641']</t>
  </si>
  <si>
    <t>EWTG52</t>
  </si>
  <si>
    <t>['143665']</t>
  </si>
  <si>
    <t>['143660']</t>
  </si>
  <si>
    <t>['143666', '143667']</t>
  </si>
  <si>
    <t>['143659']['143658']</t>
  </si>
  <si>
    <t>13-10-2023</t>
  </si>
  <si>
    <t>['143785']</t>
  </si>
  <si>
    <t>['143772']</t>
  </si>
  <si>
    <t>['143768', '143769']</t>
  </si>
  <si>
    <t>['143766', '143767']</t>
  </si>
  <si>
    <t>WT7700</t>
  </si>
  <si>
    <t>['143771']</t>
  </si>
  <si>
    <t>['143778', '143779']</t>
  </si>
  <si>
    <t>['143777']</t>
  </si>
  <si>
    <t>['143781', '143782', '143783']['143784']</t>
  </si>
  <si>
    <t>16-10-2023</t>
  </si>
  <si>
    <t>['143794']</t>
  </si>
  <si>
    <t>['143860']</t>
  </si>
  <si>
    <t>['143820', '143821']</t>
  </si>
  <si>
    <t>['143788']</t>
  </si>
  <si>
    <t>['143849']</t>
  </si>
  <si>
    <t>['143786', '143787']</t>
  </si>
  <si>
    <t>['143822', '143823', '143824', '143825', '143826', '143827', '143828', '143829', '143830', '143831', '143832', '143833', '143834', '143835', '143836']</t>
  </si>
  <si>
    <t>['143841', '143842', '143843', '143844']</t>
  </si>
  <si>
    <t>['143801', '143802', '143803', '143804', '143805', '143806', '143807', '143808', '143809', '143810', '143811', '143812', '143813', '143814', '143815', '143816', '143817', '143818', '143819']</t>
  </si>
  <si>
    <t>1800683275</t>
  </si>
  <si>
    <t>['143840']</t>
  </si>
  <si>
    <t>103484007</t>
  </si>
  <si>
    <t>['143858', '143859']</t>
  </si>
  <si>
    <t>['143846']</t>
  </si>
  <si>
    <t>['143850', '143851', '143852', '143853', '143854', '143855']</t>
  </si>
  <si>
    <t>['143848']</t>
  </si>
  <si>
    <t>['143847']</t>
  </si>
  <si>
    <t>['143837']['143838']</t>
  </si>
  <si>
    <t>['143790', '143791', '143792', '143793']['143789']</t>
  </si>
  <si>
    <t>17-10-2023</t>
  </si>
  <si>
    <t>60688508</t>
  </si>
  <si>
    <t>['143893']</t>
  </si>
  <si>
    <t>['143906']</t>
  </si>
  <si>
    <t>['143869', '143870', '143871', '143872', '143873', '143874', '143875', '143876', '143877', '143878', '143879', '143880', '143881', '143882', '143883', '143884', '143885', '143886', '143887', '143888', '143889', '143890']</t>
  </si>
  <si>
    <t>['143864']</t>
  </si>
  <si>
    <t>HYSL62</t>
  </si>
  <si>
    <t>['143865', '143866']</t>
  </si>
  <si>
    <t>['143891', '143892']</t>
  </si>
  <si>
    <t>['143901']</t>
  </si>
  <si>
    <t>['143903']</t>
  </si>
  <si>
    <t>SCWL85</t>
  </si>
  <si>
    <t>256738929</t>
  </si>
  <si>
    <t>['143907', '143908']</t>
  </si>
  <si>
    <t>['143904']</t>
  </si>
  <si>
    <t>['143905']</t>
  </si>
  <si>
    <t>['143897', '143898']['143900']['143899']</t>
  </si>
  <si>
    <t>18-10-2023</t>
  </si>
  <si>
    <t>['143933']</t>
  </si>
  <si>
    <t>['143948']</t>
  </si>
  <si>
    <t>['143923']</t>
  </si>
  <si>
    <t>['143915']</t>
  </si>
  <si>
    <t>['143945']</t>
  </si>
  <si>
    <t>['143910']</t>
  </si>
  <si>
    <t>['143934', '143935']</t>
  </si>
  <si>
    <t>['143924', '143925']</t>
  </si>
  <si>
    <t>['143911', '143912']</t>
  </si>
  <si>
    <t>['143913', '143914']</t>
  </si>
  <si>
    <t>['143926']</t>
  </si>
  <si>
    <t>['143938']</t>
  </si>
  <si>
    <t>['143936', '143937']</t>
  </si>
  <si>
    <t>['143946']</t>
  </si>
  <si>
    <t>['143947']</t>
  </si>
  <si>
    <t>['143939', '143940', '143942', '143943', '143944']</t>
  </si>
  <si>
    <t>['143950']['143951']</t>
  </si>
  <si>
    <t>['143927']['143928']</t>
  </si>
  <si>
    <t>19-10-2023</t>
  </si>
  <si>
    <t>CGHR82</t>
  </si>
  <si>
    <t>['143996', '143997', '143998']</t>
  </si>
  <si>
    <t>['143993']</t>
  </si>
  <si>
    <t>['143992']</t>
  </si>
  <si>
    <t>['143953']</t>
  </si>
  <si>
    <t>['143994']</t>
  </si>
  <si>
    <t>['143970']</t>
  </si>
  <si>
    <t>['143957', '143958', '143959', '143960', '143961', '143962', '143963', '143964', '143965', '143966', '143967', '143968']</t>
  </si>
  <si>
    <t>['143954', '143955', '143956']</t>
  </si>
  <si>
    <t>['143971', '143972', '143973', '143974', '143975', '143976', '143977', '143978', '143979', '143980', '143981', '143983', '143984', '143985', '143986', '143987', '143988', '143989']</t>
  </si>
  <si>
    <t>['143995']</t>
  </si>
  <si>
    <t>['143990']['143991']</t>
  </si>
  <si>
    <t>20-10-2023</t>
  </si>
  <si>
    <t>['144042']</t>
  </si>
  <si>
    <t>162861164</t>
  </si>
  <si>
    <t>['144006']</t>
  </si>
  <si>
    <t>['144046']</t>
  </si>
  <si>
    <t>['144005']</t>
  </si>
  <si>
    <t>['144009']</t>
  </si>
  <si>
    <t>['144004']</t>
  </si>
  <si>
    <t>['144016', '144017', '144018', '144019', '144020', '144021', '144022', '144023', '144024', '144025', '144026', '144027', '144028', '144029', '144030', '144031', '144032', '144033', '144034', '144035']</t>
  </si>
  <si>
    <t>['144010', '144011', '144012', '144013', '144014', '144015']</t>
  </si>
  <si>
    <t>['144036']</t>
  </si>
  <si>
    <t>['144043']</t>
  </si>
  <si>
    <t>100823236</t>
  </si>
  <si>
    <t>RXYY82</t>
  </si>
  <si>
    <t>['144047']</t>
  </si>
  <si>
    <t>['144037', '144038', '144039', '144040', '144041']</t>
  </si>
  <si>
    <t>['144044', '144045']</t>
  </si>
  <si>
    <t>['144008']['144007']</t>
  </si>
  <si>
    <t>['144001']['144002', '144003']</t>
  </si>
  <si>
    <t>['144048']['144049', '144050']</t>
  </si>
  <si>
    <t>25-10-2023</t>
  </si>
  <si>
    <t>['144190']</t>
  </si>
  <si>
    <t>['144178', '144179', '144180', '144181', '144182', '144183', '144184', '144185']</t>
  </si>
  <si>
    <t>['144155', '144156', '144158', '144159', '144160', '144161', '144162', '144163', '144164', '144165', '144166', '144167', '144168', '144169', '144170', '144171', '144172', '144173', '144174', '144175', '144176', '144177', '144189']</t>
  </si>
  <si>
    <t>['144188']</t>
  </si>
  <si>
    <t>['144193']</t>
  </si>
  <si>
    <t>['144196']</t>
  </si>
  <si>
    <t>['144141']</t>
  </si>
  <si>
    <t>['144151', '144152', '144153', '144154']</t>
  </si>
  <si>
    <t>100822328</t>
  </si>
  <si>
    <t>['144142', '144143', '144144', '144145', '144146']</t>
  </si>
  <si>
    <t>['144140']</t>
  </si>
  <si>
    <t>['144149']</t>
  </si>
  <si>
    <t>276547741</t>
  </si>
  <si>
    <t>['144191', '144192']</t>
  </si>
  <si>
    <t>['144195']</t>
  </si>
  <si>
    <t>['144194']</t>
  </si>
  <si>
    <t>['144148']</t>
  </si>
  <si>
    <t>26-10-2023</t>
  </si>
  <si>
    <t>['144199']</t>
  </si>
  <si>
    <t>['144245', '144246']</t>
  </si>
  <si>
    <t>['144200']</t>
  </si>
  <si>
    <t>['144210']</t>
  </si>
  <si>
    <t>['144237']</t>
  </si>
  <si>
    <t>['144197', '144198']</t>
  </si>
  <si>
    <t>['144207', '144208', '144209']</t>
  </si>
  <si>
    <t>['144224', '144225', '144226', '144227', '144228', '144229', '144230', '144231', '144232', '144233', '144235']</t>
  </si>
  <si>
    <t>['144238', '144239', '144240', '144241']</t>
  </si>
  <si>
    <t>['144242', '144243', '144244']</t>
  </si>
  <si>
    <t>['144211', '144212', '144213', '144214', '144215', '144217', '144218', '144219', '144220', '144221', '144222', '144223']</t>
  </si>
  <si>
    <t>['144204', '144205']</t>
  </si>
  <si>
    <t>03-11-2023</t>
  </si>
  <si>
    <t>['144444']</t>
  </si>
  <si>
    <t>CONSTRUCTORA GPR SA</t>
  </si>
  <si>
    <t>['144443']</t>
  </si>
  <si>
    <t>['144439', '144440', '144441', '144442']</t>
  </si>
  <si>
    <t>['144402', '144403', '144404', '144405', '144406', '144407', '144408', '144409', '144410', '144411', '144412', '144413', '144414', '144415', '144416', '144417', '144418', '144419', '144420', '144421', '144422', '144423', '144424', '144425', '144426']</t>
  </si>
  <si>
    <t>['144431', '144432', '144433', '144434', '144435', '144436', '144437', '144438']</t>
  </si>
  <si>
    <t>INDEPENDENCIA</t>
  </si>
  <si>
    <t>['144445']</t>
  </si>
  <si>
    <t>08-11-2023</t>
  </si>
  <si>
    <t>['144519']</t>
  </si>
  <si>
    <t>['144538', '144539']</t>
  </si>
  <si>
    <t>['144518']</t>
  </si>
  <si>
    <t>['144520', '144521', '144522', '144523']</t>
  </si>
  <si>
    <t>['144529', '144530', '144531', '144532', '144533', '144534', '144535']</t>
  </si>
  <si>
    <t>['144524', '144525']</t>
  </si>
  <si>
    <t>['144526', '144527']</t>
  </si>
  <si>
    <t>['144536']</t>
  </si>
  <si>
    <t>13-11-2023</t>
  </si>
  <si>
    <t>['144652']</t>
  </si>
  <si>
    <t>['144709']</t>
  </si>
  <si>
    <t>['144710']</t>
  </si>
  <si>
    <t>['144655']</t>
  </si>
  <si>
    <t>['144707']</t>
  </si>
  <si>
    <t>['144708']</t>
  </si>
  <si>
    <t>PISCINAS AQUASOL LTDA</t>
  </si>
  <si>
    <t>['144653']</t>
  </si>
  <si>
    <t>['144699', '144700', '144701', '144702', '144703', '144704']</t>
  </si>
  <si>
    <t>['144666', '144667', '144668', '144669', '144670', '144671', '144672', '144673', '144674', '144675', '144676', '144677', '144678']</t>
  </si>
  <si>
    <t>['144679', '144680', '144681', '144682', '144683', '144684', '144685', '144686', '144687', '144688']</t>
  </si>
  <si>
    <t>['144705']</t>
  </si>
  <si>
    <t>HYZP62</t>
  </si>
  <si>
    <t>['144664', '144665']</t>
  </si>
  <si>
    <t>['144689', '144690', '144691', '144692', '144693', '144694', '144695', '144696', '144697', '144698']</t>
  </si>
  <si>
    <t>['144706']</t>
  </si>
  <si>
    <t>14-11-2023</t>
  </si>
  <si>
    <t>['144742']</t>
  </si>
  <si>
    <t>['144718']</t>
  </si>
  <si>
    <t>['144730']</t>
  </si>
  <si>
    <t>['144728']</t>
  </si>
  <si>
    <t>['144731', '144732', '144733']</t>
  </si>
  <si>
    <t>SLXY60</t>
  </si>
  <si>
    <t>['144722']</t>
  </si>
  <si>
    <t>ZY1079</t>
  </si>
  <si>
    <t>['144723', '144724', '144725']</t>
  </si>
  <si>
    <t>['144737', '144738', '144739', '144740', '144741']</t>
  </si>
  <si>
    <t>['144720', '144721']</t>
  </si>
  <si>
    <t>['144736']</t>
  </si>
  <si>
    <t>['144734', '144735']</t>
  </si>
  <si>
    <t>['144712', '144713']['144711']</t>
  </si>
  <si>
    <t>['144715']['144716', '144717']</t>
  </si>
  <si>
    <t>20-11-2023</t>
  </si>
  <si>
    <t>['144922']</t>
  </si>
  <si>
    <t>['144905', '144906', '144907', '144908', '144909', '144910', '144911', '144912', '144913', '144914', '144915', '144916', '144917', '144918', '144919', '144920', '144921']</t>
  </si>
  <si>
    <t>['144887', '144888', '144889', '144890', '144891', '144892', '144893', '144894', '144895', '144896', '144897', '144898', '144899', '144900', '144901', '144902', '144903', '144904']</t>
  </si>
  <si>
    <t>['144923']</t>
  </si>
  <si>
    <t>['144925']</t>
  </si>
  <si>
    <t>['144926']</t>
  </si>
  <si>
    <t>21-11-2023</t>
  </si>
  <si>
    <t>['144951']</t>
  </si>
  <si>
    <t>['144929']</t>
  </si>
  <si>
    <t>['144930', '144931', '144932', '144933', '144934', '144935', '144936', '144937', '144938', '144939', '144940']</t>
  </si>
  <si>
    <t>['144941', '144942', '144943', '144944', '144945', '144946', '144947', '144948', '144949', '144950']</t>
  </si>
  <si>
    <t>['144967']</t>
  </si>
  <si>
    <t>['144966']</t>
  </si>
  <si>
    <t>['144953', '144954', '144955', '144956', '144957']</t>
  </si>
  <si>
    <t>YU4848</t>
  </si>
  <si>
    <t>['144961', '144962']</t>
  </si>
  <si>
    <t>['144927']['144963']</t>
  </si>
  <si>
    <t>24-11-2023</t>
  </si>
  <si>
    <t>['145038']</t>
  </si>
  <si>
    <t>['145094', '145095', '145096']</t>
  </si>
  <si>
    <t>['145088']</t>
  </si>
  <si>
    <t>['145040']</t>
  </si>
  <si>
    <t>['145043', '145044', '145045', '145046', '145047', '145048', '145049', '145050', '145051', '145052', '145053', '145055', '145056', '145057', '145059', '145060', '145061', '145062', '145063', '145064', '145065', '145066', '145067', '145068', '145069', '145070', '145071', '145072']</t>
  </si>
  <si>
    <t>['145039']</t>
  </si>
  <si>
    <t>['145092']</t>
  </si>
  <si>
    <t>['145073']</t>
  </si>
  <si>
    <t>['145080', '145081', '145082', '145083', '145084', '145085', '145086', '145087']</t>
  </si>
  <si>
    <t>['145093']</t>
  </si>
  <si>
    <t>['145074', '145075', '145076', '145077', '145078', '145079']</t>
  </si>
  <si>
    <t>27-11-2023</t>
  </si>
  <si>
    <t>['145124']</t>
  </si>
  <si>
    <t>['145123']</t>
  </si>
  <si>
    <t>['145100']</t>
  </si>
  <si>
    <t>['145112', '145113', '145114', '145115', '145116', '145117', '145118']</t>
  </si>
  <si>
    <t>['145101', '145102', '145103', '145104']</t>
  </si>
  <si>
    <t>['145106', '145107', '145108', '145109', '145110', '145111']</t>
  </si>
  <si>
    <t>['145125']</t>
  </si>
  <si>
    <t>['145121', '145122']</t>
  </si>
  <si>
    <t>['145119', '145120']</t>
  </si>
  <si>
    <t>['145037']['145091']</t>
  </si>
  <si>
    <t>28-11-2023</t>
  </si>
  <si>
    <t>['145129']</t>
  </si>
  <si>
    <t>['145179']</t>
  </si>
  <si>
    <t>['145163']</t>
  </si>
  <si>
    <t>['145126']</t>
  </si>
  <si>
    <t>1076463206</t>
  </si>
  <si>
    <t>['145128']</t>
  </si>
  <si>
    <t>['145180']</t>
  </si>
  <si>
    <t>['145174', '145175', '145176']</t>
  </si>
  <si>
    <t>['145133']</t>
  </si>
  <si>
    <t>['145161']</t>
  </si>
  <si>
    <t>70866846</t>
  </si>
  <si>
    <t>['145135', '145136', '145137']</t>
  </si>
  <si>
    <t>['145147', '145148', '145149', '145150', '145151', '145152', '145153', '145154', '145155', '145156', '145157', '145158', '145159', '145160']</t>
  </si>
  <si>
    <t>DHZF61</t>
  </si>
  <si>
    <t>168566727</t>
  </si>
  <si>
    <t>['145169', '145170', '145171', '145172', '145173']</t>
  </si>
  <si>
    <t>['145165', '145166']</t>
  </si>
  <si>
    <t>['145167']</t>
  </si>
  <si>
    <t>['145168']</t>
  </si>
  <si>
    <t>['145164']</t>
  </si>
  <si>
    <t>['145181']</t>
  </si>
  <si>
    <t>['145139', '145140']['145138']</t>
  </si>
  <si>
    <t>29-11-2023</t>
  </si>
  <si>
    <t>['145208']</t>
  </si>
  <si>
    <t>['145186']</t>
  </si>
  <si>
    <t>['145182', '145183']</t>
  </si>
  <si>
    <t>['145190', '145191', '145192', '145193', '145194', '145195', '145196', '145197', '145198', '145199']</t>
  </si>
  <si>
    <t>['145184', '145185']</t>
  </si>
  <si>
    <t>['145189']</t>
  </si>
  <si>
    <t>['145202']</t>
  </si>
  <si>
    <t>['145210']</t>
  </si>
  <si>
    <t>['145209']</t>
  </si>
  <si>
    <t>['145203', '145204', '145205']</t>
  </si>
  <si>
    <t>['145206']</t>
  </si>
  <si>
    <t>30-11-2023</t>
  </si>
  <si>
    <t>XR6639</t>
  </si>
  <si>
    <t>['145211']</t>
  </si>
  <si>
    <t>['145259']</t>
  </si>
  <si>
    <t>['145257']</t>
  </si>
  <si>
    <t>ALSANEO L7 SPA</t>
  </si>
  <si>
    <t>['145231']</t>
  </si>
  <si>
    <t>['145251']</t>
  </si>
  <si>
    <t>['145256']</t>
  </si>
  <si>
    <t>['145241', '145242', '145243', '145244', '145245', '145246', '145247', '145248', '145249']</t>
  </si>
  <si>
    <t>['145232', '145233', '145234', '145235', '145236', '145237', '145238', '145239', '145240']</t>
  </si>
  <si>
    <t>['145212']</t>
  </si>
  <si>
    <t>['145219', '145220', '145221', '145222', '145223']</t>
  </si>
  <si>
    <t>['145187']['145188']</t>
  </si>
  <si>
    <t>['145258']['145250']</t>
  </si>
  <si>
    <t>['145224', '145225', '145226', '145227', '145228', '145230']['145229']</t>
  </si>
  <si>
    <t>01-12-2023</t>
  </si>
  <si>
    <t>['145262']</t>
  </si>
  <si>
    <t>['145283']</t>
  </si>
  <si>
    <t>['145284']</t>
  </si>
  <si>
    <t>['145287']</t>
  </si>
  <si>
    <t>['145260']</t>
  </si>
  <si>
    <t>['145264', '145265']</t>
  </si>
  <si>
    <t>['145270', '145271', '145272', '145273', '145274', '145275']</t>
  </si>
  <si>
    <t>['145286']</t>
  </si>
  <si>
    <t>['145277', '145278', '145279', '145280', '145281', '145282']</t>
  </si>
  <si>
    <t>['145285']</t>
  </si>
  <si>
    <t>05-12-2023</t>
  </si>
  <si>
    <t>['145329', '145330', '145331']</t>
  </si>
  <si>
    <t>['145333']</t>
  </si>
  <si>
    <t>['145359', '145360', '145361', '145362', '145363', '145365', '145366', '145367', '145368', '145369', '145370', '145371', '145372', '145373', '145374', '145375', '145376', '145377', '145378', '145379', '145380', '145381']</t>
  </si>
  <si>
    <t>['145332']</t>
  </si>
  <si>
    <t>['145336']</t>
  </si>
  <si>
    <t>['145342']</t>
  </si>
  <si>
    <t>['145343', '145344', '145345', '145346', '145347', '145348', '145349', '145350', '145351', '145352', '145353', '145357']</t>
  </si>
  <si>
    <t>['145334', '145335']</t>
  </si>
  <si>
    <t>['145383']</t>
  </si>
  <si>
    <t>['145382']</t>
  </si>
  <si>
    <t>['145388', '145389']</t>
  </si>
  <si>
    <t>['145386', '145387']</t>
  </si>
  <si>
    <t>06-12-2023</t>
  </si>
  <si>
    <t>['145406']</t>
  </si>
  <si>
    <t>['145390']</t>
  </si>
  <si>
    <t>['145395']</t>
  </si>
  <si>
    <t>['145408', '145409']</t>
  </si>
  <si>
    <t>['145420']</t>
  </si>
  <si>
    <t>['145407']</t>
  </si>
  <si>
    <t>['145391', '145392', '145393', '145394']</t>
  </si>
  <si>
    <t>['145405']</t>
  </si>
  <si>
    <t>GPPY98</t>
  </si>
  <si>
    <t>['145410']</t>
  </si>
  <si>
    <t>['145411']</t>
  </si>
  <si>
    <t>['145412', '145413']</t>
  </si>
  <si>
    <t>['145414', '145415', '145417', '145418']['145416']</t>
  </si>
  <si>
    <t>07-12-2023</t>
  </si>
  <si>
    <t>['145448', '145449', '145450', '145451', '145452', '145453', '145454', '145455', '145456', '145457', '145458', '145459', '145460', '145461', '145462', '145463', '145464', '145465', '145466', '145468', '145469', '145470']</t>
  </si>
  <si>
    <t>['145424', '145425', '145426', '145427', '145428', '145429', '145430', '145431', '145432', '145433', '145434', '145435', '145436', '145437', '145438', '145439', '145440', '145441', '145442', '145443']</t>
  </si>
  <si>
    <t>['145485', '145486', '145487', '145488', '145489', '145490', '145491', '145492', '145493', '145494']</t>
  </si>
  <si>
    <t>['145495', '145496', '145497', '145498', '145499', '145500', '145501']</t>
  </si>
  <si>
    <t>['145471', '145472', '145473', '145474', '145475', '145476', '145477', '145478', '145479', '145480', '145481', '145482', '145483']</t>
  </si>
  <si>
    <t>['145506']</t>
  </si>
  <si>
    <t>11-12-2023</t>
  </si>
  <si>
    <t>['145526']</t>
  </si>
  <si>
    <t>['145534']</t>
  </si>
  <si>
    <t>COELEMU</t>
  </si>
  <si>
    <t>['145535']</t>
  </si>
  <si>
    <t>CASABLANCA</t>
  </si>
  <si>
    <t>['145508']</t>
  </si>
  <si>
    <t>['145507']</t>
  </si>
  <si>
    <t>['145513']</t>
  </si>
  <si>
    <t>['145529']</t>
  </si>
  <si>
    <t>['145514', '145515', '145516', '145517', '145518']</t>
  </si>
  <si>
    <t>['145528']</t>
  </si>
  <si>
    <t>['145524']</t>
  </si>
  <si>
    <t>['145444', '145445', '145446']['145505']</t>
  </si>
  <si>
    <t>['145503']['145504']</t>
  </si>
  <si>
    <t>['145510', '145511', '145512']['145531']</t>
  </si>
  <si>
    <t>['145532']['145533']</t>
  </si>
  <si>
    <t>['145519', '145520', '145521', '145522']['145523']</t>
  </si>
  <si>
    <t>12-12-2023</t>
  </si>
  <si>
    <t>['145553']</t>
  </si>
  <si>
    <t>['145545']</t>
  </si>
  <si>
    <t>['145547']</t>
  </si>
  <si>
    <t>['145536']</t>
  </si>
  <si>
    <t>['145540']</t>
  </si>
  <si>
    <t>['145554']</t>
  </si>
  <si>
    <t>OBRASCON HUARTE LAIN S.A.-X</t>
  </si>
  <si>
    <t>['145546']</t>
  </si>
  <si>
    <t>['145541', '145542', '145543', '145544']</t>
  </si>
  <si>
    <t>SANTA BARBARA</t>
  </si>
  <si>
    <t>['145555']</t>
  </si>
  <si>
    <t>['145551']</t>
  </si>
  <si>
    <t>13-12-2023</t>
  </si>
  <si>
    <t>['145609', '145610']</t>
  </si>
  <si>
    <t>['145607', '145608']</t>
  </si>
  <si>
    <t>['145614']</t>
  </si>
  <si>
    <t>CFHP57</t>
  </si>
  <si>
    <t>['145597', '145598', '145599']</t>
  </si>
  <si>
    <t>['145587', '145588', '145589', '145590', '145591', '145592', '145593']</t>
  </si>
  <si>
    <t>['145572', '145573', '145574', '145575', '145576', '145577', '145578', '145579', '145580', '145581', '145582', '145583', '145584', '145585', '145586']</t>
  </si>
  <si>
    <t>GPGJ41</t>
  </si>
  <si>
    <t>['145612', '145613']</t>
  </si>
  <si>
    <t>['145538']['145537']</t>
  </si>
  <si>
    <t>['145594']['145595', '145596']</t>
  </si>
  <si>
    <t>['145605', '145606']['145603', '145604']</t>
  </si>
  <si>
    <t>['145600']['145601', '145602']</t>
  </si>
  <si>
    <t>14-12-2023</t>
  </si>
  <si>
    <t>['145660']</t>
  </si>
  <si>
    <t>['145630', '145631', '145632', '145633', '145634', '145635', '145636', '145637', '145638', '145640', '145641', '145642', '145643', '145644', '145645', '145646']</t>
  </si>
  <si>
    <t>['145654']</t>
  </si>
  <si>
    <t>['145656']</t>
  </si>
  <si>
    <t>['145648']</t>
  </si>
  <si>
    <t>DKDL81</t>
  </si>
  <si>
    <t>['145655']</t>
  </si>
  <si>
    <t>['145617', '145618', '145619', '145620', '145621', '145622', '145623', '145624', '145625', '145626', '145627', '145628', '145629']</t>
  </si>
  <si>
    <t>['145649', '145650', '145651', '145652', '145653']</t>
  </si>
  <si>
    <t>['145657']['145659']['145658']</t>
  </si>
  <si>
    <t>20-12-2023</t>
  </si>
  <si>
    <t>['145769']</t>
  </si>
  <si>
    <t>['145774']</t>
  </si>
  <si>
    <t>['145803']</t>
  </si>
  <si>
    <t>['145806', '145807', '145808', '145809', '145810', '145811', '145812', '145813', '145814', '145815', '145816', '145817', '145818', '145819', '145820', '145821']</t>
  </si>
  <si>
    <t>['145823']</t>
  </si>
  <si>
    <t>['145782']</t>
  </si>
  <si>
    <t>['145802']</t>
  </si>
  <si>
    <t>PYZP22</t>
  </si>
  <si>
    <t>['145822']</t>
  </si>
  <si>
    <t>['145824']</t>
  </si>
  <si>
    <t>['145804', '145805']</t>
  </si>
  <si>
    <t>['145793']</t>
  </si>
  <si>
    <t>['145791', '145792']</t>
  </si>
  <si>
    <t>['145794']</t>
  </si>
  <si>
    <t>['145795', '145796']</t>
  </si>
  <si>
    <t>['145797', '145798', '145799', '145800', '145801']</t>
  </si>
  <si>
    <t>['145780']['145781']</t>
  </si>
  <si>
    <t>['145776', '145778']['145777']</t>
  </si>
  <si>
    <t>['145770', '145771', '145772']['145773']</t>
  </si>
  <si>
    <t>['145789']['145788']['145790']</t>
  </si>
  <si>
    <t>21-12-2023</t>
  </si>
  <si>
    <t>['145825']</t>
  </si>
  <si>
    <t>['145863']</t>
  </si>
  <si>
    <t>['145864']</t>
  </si>
  <si>
    <t>['145858', '145859']</t>
  </si>
  <si>
    <t>['145829', '145830', '145831', '145832', '145833', '145834', '145835']</t>
  </si>
  <si>
    <t>['145862']</t>
  </si>
  <si>
    <t>['145860']</t>
  </si>
  <si>
    <t>['145861']</t>
  </si>
  <si>
    <t>['145836', '145837', '145840', '145842', '145843', '145844', '145845', '145846', '145847', '145848', '145850', '145851', '145852', '145853']['145849']['145841']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</si>
</sst>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164" formatCode="_-&quot;$&quot;* #,##0_-;\-&quot;$&quot;* #,##0_-;_-&quot;$&quot;* &quot;-&quot;_-;_-@_-"/>
    <numFmt numFmtId="165" formatCode="_-* #,##0_-;\-* #,##0_-;_-* &quot;-&quot;_-;_-@_-"/>
    <numFmt numFmtId="166" formatCode="_(&quot;$&quot;* #,##0.00_);_(&quot;$&quot;* \(#,##0.00\);_(&quot;$&quot;* &quot;-&quot;??_);_(@_)"/>
    <numFmt numFmtId="167" formatCode="_(* #,##0.00_);_(* \(#,##0.00\);_(* &quot;-&quot;??_);_(@_)"/>
    <numFmt numFmtId="168" formatCode="_(&quot;$&quot;* #,##0_);_(&quot;$&quot;* \(#,##0\);_(&quot;$&quot;* &quot;-&quot;??_);_(@_)"/>
    <numFmt numFmtId="169" formatCode="_(* #,##0.0_);_(* \(#,##0.0\);_(* &quot;-&quot;??_);_(@_)"/>
    <numFmt numFmtId="170" formatCode="_(* #,##0_);_(* \(#,##0\);_(* &quot;-&quot;??_);_(@_)"/>
    <numFmt numFmtId="171" formatCode="0.0%"/>
    <numFmt numFmtId="172" formatCode="#,##0;[Red]#,##0"/>
    <numFmt numFmtId="173" formatCode="&quot;$&quot;#,##0;[Red]&quot;$&quot;#,##0"/>
  </numFmts>
  <fonts count="13" x14ac:knownFonts="1">
    <font>
      <sz val="11"/>
      <color theme="1"/>
      <name val="Calibri"/>
      <family val="2"/>
      <scheme val="minor"/>
    </font>
    <font>
      <sz val="11"/>
      <color theme="1"/>
      <name val="Calibri"/>
      <family val="2"/>
      <scheme val="minor"/>
    </font>
    <font>
      <sz val="8"/>
      <color theme="1"/>
      <name val="Calibri"/>
      <family val="2"/>
      <scheme val="minor"/>
    </font>
    <font>
      <b/>
      <sz val="8"/>
      <name val="Calibri"/>
      <family val="2"/>
    </font>
    <font>
      <b/>
      <sz val="8"/>
      <color theme="1"/>
      <name val="Calibri"/>
      <family val="2"/>
      <scheme val="minor"/>
    </font>
    <font>
      <sz val="8"/>
      <color rgb="FF000000"/>
      <name val="Calibri"/>
      <family val="2"/>
      <scheme val="minor"/>
    </font>
    <font>
      <sz val="9"/>
      <color indexed="81"/>
      <name val="Tahoma"/>
      <family val="2"/>
    </font>
    <font>
      <b/>
      <sz val="9"/>
      <color indexed="81"/>
      <name val="Tahoma"/>
      <family val="2"/>
    </font>
    <font>
      <sz val="8"/>
      <color rgb="FFFF0000"/>
      <name val="Calibri"/>
      <family val="2"/>
      <scheme val="minor"/>
    </font>
    <font>
      <sz val="8"/>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rgb="FFFDE9D9"/>
        <bgColor rgb="FF000000"/>
      </patternFill>
    </fill>
    <fill>
      <patternFill patternType="solid">
        <fgColor rgb="FF92D050"/>
        <bgColor indexed="64"/>
      </patternFill>
    </fill>
    <fill>
      <patternFill patternType="solid">
        <fgColor rgb="FFFFC000"/>
        <bgColor indexed="64"/>
      </patternFill>
    </fill>
    <fill>
      <patternFill patternType="solid">
        <fgColor rgb="FFFFA3A3"/>
        <bgColor indexed="64"/>
      </patternFill>
    </fill>
    <fill>
      <patternFill patternType="solid">
        <fgColor theme="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3" tint="0.59999389629810485"/>
        <bgColor indexed="64"/>
      </patternFill>
    </fill>
    <fill>
      <patternFill patternType="solid">
        <fgColor theme="2" tint="-0.249977111117893"/>
        <bgColor indexed="64"/>
      </patternFill>
    </fill>
    <fill>
      <patternFill patternType="solid">
        <fgColor theme="3" tint="0.79998168889431442"/>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s>
  <cellStyleXfs count="6">
    <xf numFmtId="0" fontId="0" fillId="0" borderId="0"/>
    <xf numFmtId="167" fontId="1" fillId="0" borderId="0" applyFont="0" applyFill="0" applyBorder="0" applyAlignment="0" applyProtection="0"/>
    <xf numFmtId="166"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cellStyleXfs>
  <cellXfs count="154">
    <xf numFmtId="0" fontId="0" fillId="0" borderId="0" xfId="0"/>
    <xf numFmtId="168" fontId="0" fillId="0" borderId="0" xfId="2" applyNumberFormat="1" applyFont="1"/>
    <xf numFmtId="169" fontId="0" fillId="0" borderId="0" xfId="1" applyNumberFormat="1" applyFont="1"/>
    <xf numFmtId="170" fontId="0" fillId="0" borderId="0" xfId="1" applyNumberFormat="1" applyFont="1"/>
    <xf numFmtId="0" fontId="0" fillId="0" borderId="0" xfId="0" pivotButton="1"/>
    <xf numFmtId="0" fontId="0" fillId="0" borderId="0" xfId="0" applyAlignment="1">
      <alignment horizontal="left"/>
    </xf>
    <xf numFmtId="168" fontId="0" fillId="0" borderId="0" xfId="0" applyNumberFormat="1"/>
    <xf numFmtId="170" fontId="0" fillId="0" borderId="0" xfId="0" applyNumberFormat="1"/>
    <xf numFmtId="169" fontId="0" fillId="0" borderId="0" xfId="0" applyNumberFormat="1"/>
    <xf numFmtId="9" fontId="0" fillId="0" borderId="0" xfId="3" applyFont="1"/>
    <xf numFmtId="167" fontId="0" fillId="0" borderId="0" xfId="1" applyFont="1"/>
    <xf numFmtId="14" fontId="2" fillId="3" borderId="0" xfId="0" applyNumberFormat="1" applyFont="1" applyFill="1"/>
    <xf numFmtId="0" fontId="2" fillId="3" borderId="0" xfId="0" applyFont="1" applyFill="1"/>
    <xf numFmtId="49" fontId="2" fillId="3" borderId="0" xfId="0" applyNumberFormat="1" applyFont="1" applyFill="1"/>
    <xf numFmtId="170" fontId="2" fillId="3" borderId="0" xfId="1" applyNumberFormat="1" applyFont="1" applyFill="1"/>
    <xf numFmtId="168" fontId="2" fillId="3" borderId="0" xfId="2" applyNumberFormat="1" applyFont="1" applyFill="1"/>
    <xf numFmtId="14" fontId="3" fillId="2" borderId="1" xfId="0" applyNumberFormat="1" applyFont="1" applyFill="1" applyBorder="1" applyAlignment="1">
      <alignment horizontal="center" vertical="top"/>
    </xf>
    <xf numFmtId="0" fontId="3" fillId="2" borderId="1" xfId="0" applyFont="1" applyFill="1" applyBorder="1" applyAlignment="1">
      <alignment horizontal="center" vertical="top"/>
    </xf>
    <xf numFmtId="49" fontId="3" fillId="2" borderId="1" xfId="0" applyNumberFormat="1" applyFont="1" applyFill="1" applyBorder="1" applyAlignment="1">
      <alignment horizontal="center" vertical="top"/>
    </xf>
    <xf numFmtId="170" fontId="3" fillId="2" borderId="1" xfId="1" applyNumberFormat="1" applyFont="1" applyFill="1" applyBorder="1" applyAlignment="1">
      <alignment horizontal="center" vertical="top"/>
    </xf>
    <xf numFmtId="168" fontId="3" fillId="2" borderId="1" xfId="2" applyNumberFormat="1" applyFont="1" applyFill="1" applyBorder="1" applyAlignment="1">
      <alignment horizontal="center" vertical="top"/>
    </xf>
    <xf numFmtId="0" fontId="4" fillId="2" borderId="0" xfId="0" applyFont="1" applyFill="1"/>
    <xf numFmtId="0" fontId="2" fillId="0" borderId="0" xfId="0" applyFont="1"/>
    <xf numFmtId="14" fontId="2" fillId="0" borderId="0" xfId="0" applyNumberFormat="1" applyFont="1"/>
    <xf numFmtId="49" fontId="2" fillId="0" borderId="0" xfId="0" applyNumberFormat="1" applyFont="1"/>
    <xf numFmtId="170" fontId="2" fillId="0" borderId="0" xfId="1" applyNumberFormat="1" applyFont="1"/>
    <xf numFmtId="168" fontId="2" fillId="0" borderId="0" xfId="2" applyNumberFormat="1" applyFont="1"/>
    <xf numFmtId="168" fontId="2" fillId="0" borderId="0" xfId="2" applyNumberFormat="1" applyFont="1" applyFill="1"/>
    <xf numFmtId="1" fontId="2" fillId="3" borderId="0" xfId="0" applyNumberFormat="1" applyFont="1" applyFill="1"/>
    <xf numFmtId="165" fontId="2" fillId="3" borderId="0" xfId="4" applyFont="1" applyFill="1"/>
    <xf numFmtId="164" fontId="2" fillId="3" borderId="0" xfId="5" applyFont="1" applyFill="1"/>
    <xf numFmtId="168" fontId="5" fillId="4" borderId="0" xfId="0" applyNumberFormat="1" applyFont="1" applyFill="1"/>
    <xf numFmtId="165" fontId="2" fillId="0" borderId="0" xfId="4" applyFont="1"/>
    <xf numFmtId="164" fontId="2" fillId="0" borderId="0" xfId="5" applyFont="1"/>
    <xf numFmtId="0" fontId="2" fillId="5" borderId="0" xfId="0" applyFont="1" applyFill="1"/>
    <xf numFmtId="14" fontId="2" fillId="7" borderId="0" xfId="0" applyNumberFormat="1" applyFont="1" applyFill="1"/>
    <xf numFmtId="0" fontId="2" fillId="7" borderId="0" xfId="0" applyFont="1" applyFill="1"/>
    <xf numFmtId="49" fontId="2" fillId="7" borderId="0" xfId="0" applyNumberFormat="1" applyFont="1" applyFill="1"/>
    <xf numFmtId="170" fontId="2" fillId="7" borderId="0" xfId="1" applyNumberFormat="1" applyFont="1" applyFill="1"/>
    <xf numFmtId="168" fontId="2" fillId="7" borderId="0" xfId="2" applyNumberFormat="1" applyFont="1" applyFill="1"/>
    <xf numFmtId="14" fontId="2" fillId="8" borderId="0" xfId="0" applyNumberFormat="1" applyFont="1" applyFill="1"/>
    <xf numFmtId="0" fontId="2" fillId="8" borderId="0" xfId="0" applyFont="1" applyFill="1"/>
    <xf numFmtId="49" fontId="2" fillId="8" borderId="0" xfId="0" applyNumberFormat="1" applyFont="1" applyFill="1"/>
    <xf numFmtId="170" fontId="2" fillId="8" borderId="0" xfId="1" applyNumberFormat="1" applyFont="1" applyFill="1"/>
    <xf numFmtId="168" fontId="2" fillId="8" borderId="0" xfId="2" applyNumberFormat="1" applyFont="1" applyFill="1"/>
    <xf numFmtId="14" fontId="2" fillId="9" borderId="0" xfId="0" applyNumberFormat="1" applyFont="1" applyFill="1"/>
    <xf numFmtId="0" fontId="2" fillId="9" borderId="0" xfId="0" applyFont="1" applyFill="1"/>
    <xf numFmtId="49" fontId="2" fillId="9" borderId="0" xfId="0" applyNumberFormat="1" applyFont="1" applyFill="1"/>
    <xf numFmtId="170" fontId="2" fillId="9" borderId="0" xfId="1" applyNumberFormat="1" applyFont="1" applyFill="1"/>
    <xf numFmtId="168" fontId="2" fillId="9" borderId="0" xfId="2" applyNumberFormat="1" applyFont="1" applyFill="1"/>
    <xf numFmtId="14" fontId="2" fillId="2" borderId="0" xfId="0" applyNumberFormat="1" applyFont="1" applyFill="1"/>
    <xf numFmtId="0" fontId="2" fillId="2" borderId="0" xfId="0" applyFont="1" applyFill="1"/>
    <xf numFmtId="49" fontId="2" fillId="2" borderId="0" xfId="0" applyNumberFormat="1" applyFont="1" applyFill="1"/>
    <xf numFmtId="170" fontId="2" fillId="2" borderId="0" xfId="1" applyNumberFormat="1" applyFont="1" applyFill="1"/>
    <xf numFmtId="168" fontId="2" fillId="2" borderId="0" xfId="2" applyNumberFormat="1" applyFont="1" applyFill="1"/>
    <xf numFmtId="168" fontId="8" fillId="3" borderId="0" xfId="2" applyNumberFormat="1" applyFont="1" applyFill="1"/>
    <xf numFmtId="0" fontId="0" fillId="8" borderId="0" xfId="0" applyFill="1"/>
    <xf numFmtId="167" fontId="0" fillId="8" borderId="0" xfId="1" applyFont="1" applyFill="1"/>
    <xf numFmtId="170" fontId="2" fillId="5" borderId="0" xfId="1" applyNumberFormat="1" applyFont="1" applyFill="1"/>
    <xf numFmtId="170" fontId="8" fillId="3" borderId="0" xfId="1" applyNumberFormat="1" applyFont="1" applyFill="1"/>
    <xf numFmtId="0" fontId="0" fillId="2" borderId="0" xfId="0" applyFill="1"/>
    <xf numFmtId="14" fontId="2" fillId="5" borderId="0" xfId="0" applyNumberFormat="1" applyFont="1" applyFill="1"/>
    <xf numFmtId="49" fontId="2" fillId="5" borderId="0" xfId="0" applyNumberFormat="1" applyFont="1" applyFill="1"/>
    <xf numFmtId="168" fontId="2" fillId="5" borderId="0" xfId="2" applyNumberFormat="1" applyFont="1" applyFill="1"/>
    <xf numFmtId="0" fontId="0" fillId="10" borderId="0" xfId="0" applyFill="1"/>
    <xf numFmtId="14" fontId="2" fillId="11" borderId="0" xfId="0" applyNumberFormat="1" applyFont="1" applyFill="1"/>
    <xf numFmtId="0" fontId="2" fillId="11" borderId="0" xfId="0" applyFont="1" applyFill="1"/>
    <xf numFmtId="49" fontId="2" fillId="11" borderId="0" xfId="0" applyNumberFormat="1" applyFont="1" applyFill="1"/>
    <xf numFmtId="170" fontId="2" fillId="11" borderId="0" xfId="1" applyNumberFormat="1" applyFont="1" applyFill="1"/>
    <xf numFmtId="168" fontId="2" fillId="11" borderId="0" xfId="2" applyNumberFormat="1" applyFont="1" applyFill="1"/>
    <xf numFmtId="170" fontId="0" fillId="8" borderId="0" xfId="0" applyNumberFormat="1" applyFill="1"/>
    <xf numFmtId="0" fontId="10" fillId="13" borderId="2" xfId="0" applyFont="1" applyFill="1" applyBorder="1"/>
    <xf numFmtId="170" fontId="10" fillId="13" borderId="3" xfId="0" applyNumberFormat="1" applyFont="1" applyFill="1" applyBorder="1"/>
    <xf numFmtId="0" fontId="0" fillId="6" borderId="1" xfId="0" applyFill="1" applyBorder="1"/>
    <xf numFmtId="170" fontId="10" fillId="12" borderId="1" xfId="0" applyNumberFormat="1" applyFont="1" applyFill="1" applyBorder="1"/>
    <xf numFmtId="168" fontId="10" fillId="12" borderId="1" xfId="0" applyNumberFormat="1" applyFont="1" applyFill="1" applyBorder="1"/>
    <xf numFmtId="169" fontId="10" fillId="12" borderId="1" xfId="0" applyNumberFormat="1" applyFont="1" applyFill="1" applyBorder="1"/>
    <xf numFmtId="0" fontId="10" fillId="12" borderId="1" xfId="0" applyFont="1" applyFill="1" applyBorder="1"/>
    <xf numFmtId="0" fontId="0" fillId="2" borderId="1" xfId="0" applyFill="1" applyBorder="1" applyAlignment="1">
      <alignment horizontal="left"/>
    </xf>
    <xf numFmtId="170" fontId="0" fillId="2" borderId="1" xfId="0" applyNumberFormat="1" applyFill="1" applyBorder="1"/>
    <xf numFmtId="168" fontId="0" fillId="2" borderId="1" xfId="0" applyNumberFormat="1" applyFill="1" applyBorder="1"/>
    <xf numFmtId="169" fontId="0" fillId="2" borderId="1" xfId="0" applyNumberFormat="1" applyFill="1" applyBorder="1"/>
    <xf numFmtId="170" fontId="0" fillId="0" borderId="1" xfId="0" applyNumberFormat="1" applyBorder="1"/>
    <xf numFmtId="168" fontId="0" fillId="0" borderId="1" xfId="0" applyNumberFormat="1" applyBorder="1"/>
    <xf numFmtId="169" fontId="0" fillId="0" borderId="1" xfId="0" applyNumberFormat="1" applyBorder="1"/>
    <xf numFmtId="0" fontId="0" fillId="0" borderId="1" xfId="0" applyBorder="1" applyAlignment="1">
      <alignment horizontal="left"/>
    </xf>
    <xf numFmtId="0" fontId="0" fillId="8" borderId="1" xfId="0" applyFill="1" applyBorder="1"/>
    <xf numFmtId="170" fontId="0" fillId="8" borderId="1" xfId="0" applyNumberFormat="1" applyFill="1" applyBorder="1"/>
    <xf numFmtId="168" fontId="0" fillId="8" borderId="1" xfId="0" applyNumberFormat="1" applyFill="1" applyBorder="1"/>
    <xf numFmtId="169" fontId="0" fillId="8" borderId="1" xfId="0" applyNumberFormat="1" applyFill="1" applyBorder="1"/>
    <xf numFmtId="0" fontId="0" fillId="5" borderId="1" xfId="0" applyFill="1" applyBorder="1" applyAlignment="1">
      <alignment horizontal="left"/>
    </xf>
    <xf numFmtId="0" fontId="0" fillId="5" borderId="0" xfId="0" applyFill="1"/>
    <xf numFmtId="0" fontId="0" fillId="0" borderId="0" xfId="0" applyAlignment="1">
      <alignment horizontal="left" indent="1"/>
    </xf>
    <xf numFmtId="0" fontId="0" fillId="0" borderId="0" xfId="0" applyAlignment="1">
      <alignment horizontal="left" indent="2"/>
    </xf>
    <xf numFmtId="0" fontId="0" fillId="2" borderId="0" xfId="0" applyFill="1" applyAlignment="1">
      <alignment horizontal="left" indent="1"/>
    </xf>
    <xf numFmtId="170" fontId="0" fillId="2" borderId="0" xfId="0" applyNumberFormat="1" applyFill="1"/>
    <xf numFmtId="168" fontId="0" fillId="2" borderId="0" xfId="0" applyNumberFormat="1" applyFill="1"/>
    <xf numFmtId="169" fontId="0" fillId="2" borderId="0" xfId="0" applyNumberFormat="1" applyFill="1"/>
    <xf numFmtId="0" fontId="2" fillId="0" borderId="0" xfId="0" pivotButton="1" applyFont="1"/>
    <xf numFmtId="0" fontId="2" fillId="0" borderId="0" xfId="0" applyFont="1" applyAlignment="1">
      <alignment horizontal="left"/>
    </xf>
    <xf numFmtId="172" fontId="2" fillId="0" borderId="0" xfId="0" applyNumberFormat="1" applyFont="1"/>
    <xf numFmtId="171" fontId="2" fillId="0" borderId="0" xfId="0" applyNumberFormat="1" applyFont="1"/>
    <xf numFmtId="0" fontId="4" fillId="12" borderId="1" xfId="0" applyFont="1" applyFill="1" applyBorder="1"/>
    <xf numFmtId="172" fontId="2" fillId="0" borderId="1" xfId="0" applyNumberFormat="1" applyFont="1" applyBorder="1"/>
    <xf numFmtId="0" fontId="2" fillId="0" borderId="4" xfId="0" applyFont="1" applyBorder="1"/>
    <xf numFmtId="0" fontId="4" fillId="12" borderId="7" xfId="0" applyFont="1" applyFill="1" applyBorder="1"/>
    <xf numFmtId="0" fontId="4" fillId="12" borderId="8" xfId="0" applyFont="1" applyFill="1" applyBorder="1"/>
    <xf numFmtId="0" fontId="2" fillId="0" borderId="7" xfId="0" applyFont="1" applyBorder="1" applyAlignment="1">
      <alignment horizontal="left"/>
    </xf>
    <xf numFmtId="171" fontId="2" fillId="0" borderId="8" xfId="0" applyNumberFormat="1" applyFont="1" applyBorder="1"/>
    <xf numFmtId="0" fontId="4" fillId="12" borderId="9" xfId="0" applyFont="1" applyFill="1" applyBorder="1" applyAlignment="1">
      <alignment horizontal="left"/>
    </xf>
    <xf numFmtId="172" fontId="4" fillId="12" borderId="10" xfId="0" applyNumberFormat="1" applyFont="1" applyFill="1" applyBorder="1"/>
    <xf numFmtId="171" fontId="4" fillId="12" borderId="11" xfId="0" applyNumberFormat="1" applyFont="1" applyFill="1" applyBorder="1"/>
    <xf numFmtId="0" fontId="4" fillId="12" borderId="13" xfId="0" applyFont="1" applyFill="1" applyBorder="1"/>
    <xf numFmtId="171" fontId="2" fillId="0" borderId="13" xfId="0" applyNumberFormat="1" applyFont="1" applyBorder="1"/>
    <xf numFmtId="171" fontId="4" fillId="12" borderId="14" xfId="0" applyNumberFormat="1" applyFont="1" applyFill="1" applyBorder="1"/>
    <xf numFmtId="172" fontId="2" fillId="0" borderId="7" xfId="0" applyNumberFormat="1" applyFont="1" applyBorder="1"/>
    <xf numFmtId="172" fontId="4" fillId="12" borderId="9" xfId="0" applyNumberFormat="1" applyFont="1" applyFill="1" applyBorder="1"/>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7" xfId="0" applyFont="1" applyBorder="1"/>
    <xf numFmtId="0" fontId="2" fillId="0" borderId="8" xfId="0" applyFont="1" applyBorder="1"/>
    <xf numFmtId="3" fontId="0" fillId="0" borderId="1" xfId="0" applyNumberFormat="1" applyBorder="1"/>
    <xf numFmtId="0" fontId="10" fillId="2" borderId="1" xfId="0" applyFont="1" applyFill="1" applyBorder="1"/>
    <xf numFmtId="0" fontId="11" fillId="0" borderId="0" xfId="0" applyFont="1"/>
    <xf numFmtId="0" fontId="11" fillId="2" borderId="1" xfId="0" applyFont="1" applyFill="1" applyBorder="1" applyAlignment="1">
      <alignment horizontal="center"/>
    </xf>
    <xf numFmtId="0" fontId="11" fillId="0" borderId="0" xfId="0" applyFont="1" applyAlignment="1">
      <alignment horizontal="center"/>
    </xf>
    <xf numFmtId="6" fontId="11" fillId="2" borderId="1" xfId="0" applyNumberFormat="1" applyFont="1" applyFill="1" applyBorder="1" applyAlignment="1">
      <alignment horizontal="center"/>
    </xf>
    <xf numFmtId="0" fontId="11" fillId="14" borderId="1" xfId="0" applyFont="1" applyFill="1" applyBorder="1" applyAlignment="1">
      <alignment horizontal="center"/>
    </xf>
    <xf numFmtId="6" fontId="11" fillId="14" borderId="0" xfId="0" applyNumberFormat="1" applyFont="1" applyFill="1" applyAlignment="1">
      <alignment horizontal="center"/>
    </xf>
    <xf numFmtId="0" fontId="11" fillId="6" borderId="0" xfId="0" applyFont="1" applyFill="1" applyAlignment="1">
      <alignment horizontal="center"/>
    </xf>
    <xf numFmtId="0" fontId="11" fillId="16" borderId="1" xfId="0" applyFont="1" applyFill="1" applyBorder="1" applyAlignment="1">
      <alignment horizontal="center" vertical="center"/>
    </xf>
    <xf numFmtId="0" fontId="12" fillId="16" borderId="1" xfId="0" applyFont="1" applyFill="1" applyBorder="1" applyAlignment="1">
      <alignment horizontal="center" vertical="center"/>
    </xf>
    <xf numFmtId="0" fontId="11" fillId="6" borderId="0" xfId="0" applyFont="1" applyFill="1"/>
    <xf numFmtId="0" fontId="11" fillId="0" borderId="0" xfId="0" applyFont="1" applyAlignment="1">
      <alignment horizontal="left"/>
    </xf>
    <xf numFmtId="9" fontId="11" fillId="0" borderId="0" xfId="0" applyNumberFormat="1" applyFont="1" applyAlignment="1">
      <alignment horizontal="center"/>
    </xf>
    <xf numFmtId="0" fontId="11" fillId="15" borderId="0" xfId="0" applyFont="1" applyFill="1" applyAlignment="1">
      <alignment horizontal="left"/>
    </xf>
    <xf numFmtId="0" fontId="11" fillId="15" borderId="0" xfId="0" applyFont="1" applyFill="1" applyAlignment="1">
      <alignment horizontal="center"/>
    </xf>
    <xf numFmtId="9" fontId="11" fillId="15" borderId="0" xfId="0" applyNumberFormat="1" applyFont="1" applyFill="1" applyAlignment="1">
      <alignment horizontal="center"/>
    </xf>
    <xf numFmtId="173" fontId="11" fillId="2" borderId="13" xfId="0" applyNumberFormat="1" applyFont="1" applyFill="1" applyBorder="1" applyAlignment="1">
      <alignment horizontal="center"/>
    </xf>
    <xf numFmtId="173" fontId="11" fillId="8" borderId="1" xfId="0" applyNumberFormat="1" applyFont="1" applyFill="1" applyBorder="1" applyAlignment="1">
      <alignment horizontal="center"/>
    </xf>
    <xf numFmtId="6" fontId="11" fillId="14" borderId="13" xfId="0" applyNumberFormat="1" applyFont="1" applyFill="1" applyBorder="1" applyAlignment="1">
      <alignment horizontal="center"/>
    </xf>
    <xf numFmtId="6" fontId="11" fillId="8" borderId="1" xfId="0" applyNumberFormat="1" applyFont="1" applyFill="1" applyBorder="1" applyAlignment="1">
      <alignment horizontal="center"/>
    </xf>
    <xf numFmtId="6" fontId="11" fillId="6" borderId="0" xfId="0" applyNumberFormat="1" applyFont="1" applyFill="1"/>
    <xf numFmtId="173" fontId="12" fillId="5" borderId="13" xfId="0" applyNumberFormat="1" applyFont="1" applyFill="1" applyBorder="1" applyAlignment="1">
      <alignment horizontal="center"/>
    </xf>
    <xf numFmtId="173" fontId="12" fillId="8" borderId="1" xfId="0" applyNumberFormat="1" applyFont="1" applyFill="1" applyBorder="1" applyAlignment="1">
      <alignment horizontal="center"/>
    </xf>
    <xf numFmtId="0" fontId="11" fillId="8" borderId="1" xfId="0" applyFont="1" applyFill="1" applyBorder="1"/>
    <xf numFmtId="0" fontId="11" fillId="8" borderId="1" xfId="0" applyFont="1" applyFill="1" applyBorder="1" applyAlignment="1">
      <alignment horizontal="center"/>
    </xf>
    <xf numFmtId="0" fontId="0" fillId="3" borderId="0" xfId="0" applyFill="1"/>
    <xf numFmtId="17" fontId="2" fillId="0" borderId="4" xfId="0" applyNumberFormat="1" applyFont="1" applyBorder="1" applyAlignment="1">
      <alignment horizontal="center" wrapText="1"/>
    </xf>
    <xf numFmtId="0" fontId="2" fillId="0" borderId="6" xfId="0" applyFont="1" applyBorder="1" applyAlignment="1">
      <alignment horizontal="center" wrapText="1"/>
    </xf>
    <xf numFmtId="17" fontId="2" fillId="0" borderId="5" xfId="0" applyNumberFormat="1" applyFont="1" applyBorder="1" applyAlignment="1">
      <alignment horizontal="center" wrapText="1"/>
    </xf>
    <xf numFmtId="0" fontId="2" fillId="0" borderId="12" xfId="0" applyFont="1" applyBorder="1" applyAlignment="1">
      <alignment horizontal="center" wrapText="1"/>
    </xf>
    <xf numFmtId="0" fontId="11" fillId="0" borderId="0" xfId="0" pivotButton="1" applyFont="1" applyAlignment="1"/>
    <xf numFmtId="0" fontId="11" fillId="0" borderId="0" xfId="0" applyFont="1" applyAlignment="1"/>
  </cellXfs>
  <cellStyles count="6">
    <cellStyle name="Millares" xfId="1" builtinId="3"/>
    <cellStyle name="Millares [0]" xfId="4" builtinId="6"/>
    <cellStyle name="Moneda" xfId="2" builtinId="4"/>
    <cellStyle name="Moneda [0]" xfId="5" builtinId="7"/>
    <cellStyle name="Normal" xfId="0" builtinId="0"/>
    <cellStyle name="Porcentaje" xfId="3" builtinId="5"/>
  </cellStyles>
  <dxfs count="4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9" formatCode="_(* #,##0.0_);_(* \(#,##0.0\);_(* &quot;-&quot;??_);_(@_)"/>
    </dxf>
    <dxf>
      <numFmt numFmtId="169" formatCode="_(* #,##0.0_);_(* \(#,##0.0\);_(* &quot;-&quot;??_);_(@_)"/>
    </dxf>
    <dxf>
      <numFmt numFmtId="168" formatCode="_(&quot;$&quot;* #,##0_);_(&quot;$&quot;* \(#,##0\);_(&quot;$&quot;* &quot;-&quot;??_);_(@_)"/>
    </dxf>
    <dxf>
      <numFmt numFmtId="168" formatCode="_(&quot;$&quot;* #,##0_);_(&quot;$&quot;* \(#,##0\);_(&quot;$&quot;* &quot;-&quot;??_);_(@_)"/>
    </dxf>
    <dxf>
      <numFmt numFmtId="170" formatCode="_(* #,##0_);_(* \(#,##0\);_(* &quot;-&quot;??_);_(@_)"/>
    </dxf>
    <dxf>
      <numFmt numFmtId="170" formatCode="_(* #,##0_);_(* \(#,##0\);_(*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numFmt numFmtId="169" formatCode="_(* #,##0.0_);_(* \(#,##0.0\);_(* &quot;-&quot;??_);_(@_)"/>
    </dxf>
    <dxf>
      <numFmt numFmtId="169" formatCode="_(* #,##0.0_);_(* \(#,##0.0\);_(* &quot;-&quot;??_);_(@_)"/>
    </dxf>
    <dxf>
      <numFmt numFmtId="168" formatCode="_(&quot;$&quot;* #,##0_);_(&quot;$&quot;* \(#,##0\);_(&quot;$&quot;* &quot;-&quot;??_);_(@_)"/>
    </dxf>
    <dxf>
      <numFmt numFmtId="168" formatCode="_(&quot;$&quot;* #,##0_);_(&quot;$&quot;* \(#,##0\);_(&quot;$&quot;* &quot;-&quot;??_);_(@_)"/>
    </dxf>
    <dxf>
      <numFmt numFmtId="170" formatCode="_(* #,##0_);_(* \(#,##0\);_(* &quot;-&quot;??_);_(@_)"/>
    </dxf>
    <dxf>
      <numFmt numFmtId="170" formatCode="_(* #,##0_);_(* \(#,##0\);_(* &quot;-&quot;??_);_(@_)"/>
    </dxf>
    <dxf>
      <font>
        <sz val="8"/>
      </font>
    </dxf>
    <dxf>
      <font>
        <sz val="8"/>
      </font>
    </dxf>
    <dxf>
      <font>
        <sz val="8"/>
      </font>
    </dxf>
    <dxf>
      <font>
        <sz val="8"/>
      </font>
    </dxf>
    <dxf>
      <font>
        <sz val="8"/>
      </font>
    </dxf>
    <dxf>
      <font>
        <sz val="8"/>
      </font>
    </dxf>
    <dxf>
      <numFmt numFmtId="171" formatCode="0.0%"/>
    </dxf>
    <dxf>
      <numFmt numFmtId="172" formatCode="#,##0;[Red]#,##0"/>
    </dxf>
    <dxf>
      <alignment wrapText="0"/>
    </dxf>
    <dxf>
      <alignment wrapText="0"/>
    </dxf>
    <dxf>
      <alignment wrapText="0"/>
    </dxf>
    <dxf>
      <alignment wrapText="0"/>
    </dxf>
    <dxf>
      <alignment vertical="center"/>
    </dxf>
    <dxf>
      <fill>
        <patternFill>
          <bgColor theme="2"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alignment horizontal="center"/>
    </dxf>
    <dxf>
      <fill>
        <patternFill patternType="solid">
          <bgColor theme="2" tint="-0.249977111117893"/>
        </patternFill>
      </fill>
    </dxf>
    <dxf>
      <font>
        <sz val="9"/>
      </font>
    </dxf>
    <dxf>
      <font>
        <sz val="9"/>
      </font>
    </dxf>
    <dxf>
      <font>
        <sz val="9"/>
      </font>
    </dxf>
    <dxf>
      <font>
        <sz val="9"/>
      </font>
    </dxf>
    <dxf>
      <alignment wrapText="1"/>
    </dxf>
    <dxf>
      <alignment wrapText="1"/>
    </dxf>
    <dxf>
      <alignment wrapText="1"/>
    </dxf>
    <dxf>
      <alignment wrapText="1"/>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editAs="oneCell">
    <xdr:from>
      <xdr:col>6</xdr:col>
      <xdr:colOff>327025</xdr:colOff>
      <xdr:row>4</xdr:row>
      <xdr:rowOff>177800</xdr:rowOff>
    </xdr:from>
    <xdr:to>
      <xdr:col>10</xdr:col>
      <xdr:colOff>339725</xdr:colOff>
      <xdr:row>20</xdr:row>
      <xdr:rowOff>111125</xdr:rowOff>
    </xdr:to>
    <mc:AlternateContent xmlns:mc="http://schemas.openxmlformats.org/markup-compatibility/2006" xmlns:a14="http://schemas.microsoft.com/office/drawing/2010/main">
      <mc:Choice Requires="a14">
        <xdr:graphicFrame macro="">
          <xdr:nvGraphicFramePr>
            <xdr:cNvPr id="3" name="transporte 1">
              <a:extLst>
                <a:ext uri="{FF2B5EF4-FFF2-40B4-BE49-F238E27FC236}">
                  <a16:creationId xmlns:a16="http://schemas.microsoft.com/office/drawing/2014/main" id="{F6C94FE0-F277-EA44-AC26-CA39AD8EEB2A}"/>
                </a:ext>
              </a:extLst>
            </xdr:cNvPr>
            <xdr:cNvGraphicFramePr/>
          </xdr:nvGraphicFramePr>
          <xdr:xfrm>
            <a:off x="0" y="0"/>
            <a:ext cx="0" cy="0"/>
          </xdr:xfrm>
          <a:graphic>
            <a:graphicData uri="http://schemas.microsoft.com/office/drawing/2010/slicer">
              <sle:slicer xmlns:sle="http://schemas.microsoft.com/office/drawing/2010/slicer" name="transporte 1"/>
            </a:graphicData>
          </a:graphic>
        </xdr:graphicFrame>
      </mc:Choice>
      <mc:Fallback xmlns="">
        <xdr:sp macro="" textlink="">
          <xdr:nvSpPr>
            <xdr:cNvPr id="0" name=""/>
            <xdr:cNvSpPr>
              <a:spLocks noTextEdit="1"/>
            </xdr:cNvSpPr>
          </xdr:nvSpPr>
          <xdr:spPr>
            <a:xfrm>
              <a:off x="6042025" y="939800"/>
              <a:ext cx="2413000" cy="2971800"/>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238125</xdr:colOff>
      <xdr:row>2</xdr:row>
      <xdr:rowOff>104776</xdr:rowOff>
    </xdr:from>
    <xdr:to>
      <xdr:col>10</xdr:col>
      <xdr:colOff>9525</xdr:colOff>
      <xdr:row>8</xdr:row>
      <xdr:rowOff>142876</xdr:rowOff>
    </xdr:to>
    <mc:AlternateContent xmlns:mc="http://schemas.openxmlformats.org/markup-compatibility/2006" xmlns:a14="http://schemas.microsoft.com/office/drawing/2010/main">
      <mc:Choice Requires="a14">
        <xdr:graphicFrame macro="">
          <xdr:nvGraphicFramePr>
            <xdr:cNvPr id="2" name="Region2">
              <a:extLst>
                <a:ext uri="{FF2B5EF4-FFF2-40B4-BE49-F238E27FC236}">
                  <a16:creationId xmlns:a16="http://schemas.microsoft.com/office/drawing/2014/main" id="{44328ABA-E407-CA4A-9BF0-20438D223590}"/>
                </a:ext>
              </a:extLst>
            </xdr:cNvPr>
            <xdr:cNvGraphicFramePr/>
          </xdr:nvGraphicFramePr>
          <xdr:xfrm>
            <a:off x="0" y="0"/>
            <a:ext cx="0" cy="0"/>
          </xdr:xfrm>
          <a:graphic>
            <a:graphicData uri="http://schemas.microsoft.com/office/drawing/2010/slicer">
              <sle:slicer xmlns:sle="http://schemas.microsoft.com/office/drawing/2010/slicer" name="Region2"/>
            </a:graphicData>
          </a:graphic>
        </xdr:graphicFrame>
      </mc:Choice>
      <mc:Fallback xmlns="">
        <xdr:sp macro="" textlink="">
          <xdr:nvSpPr>
            <xdr:cNvPr id="0" name=""/>
            <xdr:cNvSpPr>
              <a:spLocks noTextEdit="1"/>
            </xdr:cNvSpPr>
          </xdr:nvSpPr>
          <xdr:spPr>
            <a:xfrm>
              <a:off x="5124450" y="485776"/>
              <a:ext cx="1571625" cy="1181100"/>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330200</xdr:colOff>
      <xdr:row>2</xdr:row>
      <xdr:rowOff>88900</xdr:rowOff>
    </xdr:from>
    <xdr:to>
      <xdr:col>14</xdr:col>
      <xdr:colOff>342900</xdr:colOff>
      <xdr:row>18</xdr:row>
      <xdr:rowOff>15875</xdr:rowOff>
    </xdr:to>
    <mc:AlternateContent xmlns:mc="http://schemas.openxmlformats.org/markup-compatibility/2006" xmlns:a14="http://schemas.microsoft.com/office/drawing/2010/main">
      <mc:Choice Requires="a14">
        <xdr:graphicFrame macro="">
          <xdr:nvGraphicFramePr>
            <xdr:cNvPr id="3" name="transporte">
              <a:extLst>
                <a:ext uri="{FF2B5EF4-FFF2-40B4-BE49-F238E27FC236}">
                  <a16:creationId xmlns:a16="http://schemas.microsoft.com/office/drawing/2014/main" id="{AA9FE36A-5078-C441-B03B-1F1F699A1F5D}"/>
                </a:ext>
              </a:extLst>
            </xdr:cNvPr>
            <xdr:cNvGraphicFramePr/>
          </xdr:nvGraphicFramePr>
          <xdr:xfrm>
            <a:off x="0" y="0"/>
            <a:ext cx="0" cy="0"/>
          </xdr:xfrm>
          <a:graphic>
            <a:graphicData uri="http://schemas.microsoft.com/office/drawing/2010/slicer">
              <sle:slicer xmlns:sle="http://schemas.microsoft.com/office/drawing/2010/slicer" name="transporte"/>
            </a:graphicData>
          </a:graphic>
        </xdr:graphicFrame>
      </mc:Choice>
      <mc:Fallback xmlns="">
        <xdr:sp macro="" textlink="">
          <xdr:nvSpPr>
            <xdr:cNvPr id="0" name=""/>
            <xdr:cNvSpPr>
              <a:spLocks noTextEdit="1"/>
            </xdr:cNvSpPr>
          </xdr:nvSpPr>
          <xdr:spPr>
            <a:xfrm>
              <a:off x="7378700" y="469900"/>
              <a:ext cx="2755900"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uricio Arévalo" id="{7A058970-50BC-4D0A-A1BF-9847FF064075}" userId="S::marevalo@acma.cl::40e2f2c5-70a9-4e60-9f2b-b5b9f9e6e1f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icio Arevalo Moran" refreshedDate="45282.421573032407" createdVersion="7" refreshedVersion="8" minRefreshableVersion="3" recordCount="9005" xr:uid="{48438B40-9CE4-4C4B-980A-6531C33045EA}">
  <cacheSource type="worksheet">
    <worksheetSource ref="A1:V1048576" sheet="DB"/>
  </cacheSource>
  <cacheFields count="24">
    <cacheField name="f_despreal" numFmtId="0">
      <sharedItems containsDate="1" containsBlank="1" containsMixedTypes="1" minDate="2021-09-29T00:00:00" maxDate="2021-12-10T00:00:00" count="734">
        <s v="01-10-2020"/>
        <s v="02-10-2020"/>
        <s v="03-10-2020"/>
        <s v="05-10-2020"/>
        <s v="06-10-2020"/>
        <s v="07-10-2020"/>
        <s v="08-10-2020"/>
        <s v="09-10-2020"/>
        <s v="13-10-2020"/>
        <s v="14-10-2020"/>
        <s v="15-10-2020"/>
        <s v="16-10-2020"/>
        <s v="19-10-2020"/>
        <s v="20-10-2020"/>
        <s v="21-10-2020"/>
        <s v="22-10-2020"/>
        <s v="23-10-2020"/>
        <s v="26-10-2020"/>
        <s v="27-10-2020"/>
        <s v="28-10-2020"/>
        <s v="29-10-2020"/>
        <s v="30-10-2020"/>
        <s v="02-11-2020"/>
        <s v="03-11-2020"/>
        <s v="04-11-2020"/>
        <s v="05-11-2020"/>
        <s v="06-11-2020"/>
        <s v="09-11-2020"/>
        <s v="10-11-2020"/>
        <s v="11-11-2020"/>
        <s v="12-11-2020"/>
        <s v="13-11-2020"/>
        <s v="16-11-2020"/>
        <s v="17-11-2020"/>
        <s v="18-11-2020"/>
        <s v="19-11-2020"/>
        <s v="20-11-2020"/>
        <s v="23-11-2020"/>
        <s v="24-11-2020"/>
        <s v="25-11-2020"/>
        <s v="26-11-2020"/>
        <s v="27-11-2020"/>
        <s v="30-11-2020"/>
        <s v="01-12-2020"/>
        <s v="02-12-2020"/>
        <s v="03-12-2020"/>
        <s v="04-12-2020"/>
        <s v="07-12-2020"/>
        <s v="09-12-2020"/>
        <s v="10-12-2020"/>
        <s v="11-12-2020"/>
        <s v="14-12-2020"/>
        <s v="15-12-2020"/>
        <s v="16-12-2020"/>
        <s v="17-12-2020"/>
        <s v="18-12-2020"/>
        <s v="19-12-2020"/>
        <s v="21-12-2020"/>
        <s v="22-12-2020"/>
        <s v="23-12-2020"/>
        <s v="24-12-2020"/>
        <s v="28-12-2020"/>
        <s v="29-12-2020"/>
        <s v="30-12-2020"/>
        <s v="31-12-2020"/>
        <s v="04-01-2021"/>
        <s v="05-01-2021"/>
        <s v="06-01-2021"/>
        <s v="07-01-2021"/>
        <s v="08-01-2021"/>
        <s v="09-01-2021"/>
        <s v="11-01-2021"/>
        <s v="12-01-2021"/>
        <s v="13-01-2021"/>
        <s v="14-01-2021"/>
        <s v="15-01-2021"/>
        <s v="16-01-2021"/>
        <s v="18-01-2021"/>
        <s v="19-01-2021"/>
        <s v="20-01-2021"/>
        <s v="21-01-2021"/>
        <s v="22-01-2021"/>
        <s v="25-01-2021"/>
        <s v="26-01-2021"/>
        <s v="27-01-2021"/>
        <s v="28-01-2021"/>
        <s v="29-01-2021"/>
        <s v="01-02-2021"/>
        <s v="02-02-2021"/>
        <s v="03-02-2021"/>
        <s v="04-02-2021"/>
        <s v="05-02-2021"/>
        <s v="08-02-2021"/>
        <s v="09-02-2021"/>
        <s v="10-02-2021"/>
        <s v="11-02-2021"/>
        <s v="12-02-2021"/>
        <s v="15-02-2021"/>
        <s v="16-02-2021"/>
        <s v="17-02-2021"/>
        <s v="18-02-2021"/>
        <s v="19-02-2021"/>
        <s v="22-02-2021"/>
        <s v="23-02-2021"/>
        <s v="24-02-2021"/>
        <s v="25-02-2021"/>
        <s v="26-02-2021"/>
        <s v="01-03-2021"/>
        <s v="02-03-2021"/>
        <s v="03-03-2021"/>
        <s v="04-03-2021"/>
        <s v="05-03-2021"/>
        <s v="08-03-2021"/>
        <s v="09-03-2021"/>
        <s v="10-03-2021"/>
        <s v="11-03-2021"/>
        <s v="12-03-2021"/>
        <s v="15-03-2021"/>
        <s v="16-03-2021"/>
        <s v="17-03-2021"/>
        <s v="18-03-2021"/>
        <s v="19-03-2021"/>
        <s v="22-03-2021"/>
        <s v="23-03-2021"/>
        <s v="24-03-2021"/>
        <s v="25-03-2021"/>
        <s v="26-03-2021"/>
        <s v="29-03-2021"/>
        <s v="30-03-2021"/>
        <s v="31-03-2021"/>
        <s v="01-04-2021"/>
        <s v="05-04-2021"/>
        <s v="06-04-2021"/>
        <s v="07-04-2021"/>
        <s v="08-04-2021"/>
        <s v="09-04-2021"/>
        <s v="12-04-2021"/>
        <s v="13-04-2021"/>
        <s v="14-04-2021"/>
        <s v="15-04-2021"/>
        <s v="16-04-2021"/>
        <s v="19-04-2021"/>
        <s v="20-04-2021"/>
        <s v="21-04-2021"/>
        <s v="22-04-2021"/>
        <s v="23-04-2021"/>
        <s v="26-04-2021"/>
        <s v="27-04-2021"/>
        <s v="28-04-2021"/>
        <s v="29-04-2021"/>
        <s v="30-04-2021"/>
        <s v="03-05-2021"/>
        <s v="04-05-2021"/>
        <s v="05-05-2021"/>
        <s v="06-05-2021"/>
        <s v="07-05-2021"/>
        <s v="10-05-2021"/>
        <s v="11-05-2021"/>
        <s v="12-05-2021"/>
        <s v="13-05-2021"/>
        <s v="14-05-2021"/>
        <s v="17-05-2021"/>
        <s v="18-05-2021"/>
        <s v="19-05-2021"/>
        <s v="20-05-2021"/>
        <s v="24-05-2021"/>
        <s v="25-05-2021"/>
        <s v="26-05-2021"/>
        <s v="27-05-2021"/>
        <s v="28-05-2021"/>
        <s v="31-05-2021"/>
        <s v="01-06-2021"/>
        <s v="02-06-2021"/>
        <s v="03-06-2021"/>
        <s v="04-06-2021"/>
        <s v="07-06-2021"/>
        <s v="08-06-2021"/>
        <s v="09-06-2021"/>
        <s v="10-06-2021"/>
        <s v="11-06-2021"/>
        <s v="14-06-2021"/>
        <s v="15-06-2021"/>
        <s v="16-06-2021"/>
        <s v="17-06-2021"/>
        <s v="18-06-2021"/>
        <s v="22-06-2021"/>
        <s v="23-06-2021"/>
        <s v="24-06-2021"/>
        <s v="25-06-2021"/>
        <s v="29-06-2021"/>
        <s v="30-06-2021"/>
        <s v="01-07-2021"/>
        <s v="02-07-2021"/>
        <s v="05-07-2021"/>
        <s v="06-07-2021"/>
        <s v="07-07-2021"/>
        <s v="08-07-2021"/>
        <s v="09-07-2021"/>
        <s v="12-07-2021"/>
        <s v="13-07-2021"/>
        <s v="14-07-2021"/>
        <s v="15-07-2021"/>
        <s v="19-07-2021"/>
        <s v="20-07-2021"/>
        <s v="21-07-2021"/>
        <s v="22-07-2021"/>
        <s v="23-07-2021"/>
        <s v="26-07-2021"/>
        <s v="27-07-2021"/>
        <s v="28-07-2021"/>
        <s v="29-07-2021"/>
        <s v="30-07-2021"/>
        <s v="02-08-2021"/>
        <s v="03-08-2021"/>
        <s v="04-08-2021"/>
        <s v="05-08-2021"/>
        <s v="09-08-2021"/>
        <s v="10-08-2021"/>
        <s v="11-08-2021"/>
        <s v="12-08-2021"/>
        <s v="13-08-2021"/>
        <s v="16-08-2021"/>
        <s v="17-08-2021"/>
        <s v="18-08-2021"/>
        <s v="19-08-2021"/>
        <s v="20-08-2021"/>
        <s v="23-08-2021"/>
        <s v="24-08-2021"/>
        <s v="25-08-2021"/>
        <s v="26-08-2021"/>
        <s v="27-08-2021"/>
        <s v="28-08-2021"/>
        <s v="30-08-2021"/>
        <s v="31-08-2021"/>
        <s v="01-09-2021"/>
        <s v="02-09-2021"/>
        <s v="03-09-2021"/>
        <s v="06-09-2021"/>
        <s v="07-09-2021"/>
        <s v="08-09-2021"/>
        <s v="09-09-2021"/>
        <s v="10-09-2021"/>
        <s v="13-09-2021"/>
        <s v="14-09-2021"/>
        <s v="15-09-2021"/>
        <s v="16-09-2021"/>
        <s v="21-09-2021"/>
        <s v="22-09-2021"/>
        <s v="23-09-2021"/>
        <s v="24-09-2021"/>
        <s v="27-09-2021"/>
        <s v="28-09-2021"/>
        <s v="29-09-2021"/>
        <d v="2021-09-29T00:00:00"/>
        <s v="30-09-2021"/>
        <s v="04-10-2021"/>
        <s v="06-10-2021"/>
        <s v="07-10-2021"/>
        <s v="08-10-2021"/>
        <s v="12-10-2021"/>
        <s v="13-10-2021"/>
        <s v="14-10-2021"/>
        <s v="15-10-2021"/>
        <s v="18-10-2021"/>
        <s v="19-10-2021"/>
        <s v="20-10-2021"/>
        <s v="21-10-2021"/>
        <s v="22-10-2021"/>
        <s v="25-10-2021"/>
        <s v="26-10-2021"/>
        <s v="27-10-2021"/>
        <s v="28-10-2021"/>
        <s v="05-10-2021"/>
        <s v="01-10-2021"/>
        <s v="29-10-2021"/>
        <s v="02-11-2021"/>
        <s v="03-11-2021"/>
        <s v="04-11-2021"/>
        <s v="05-11-2021"/>
        <s v="10-11-2021"/>
        <s v="11-11-2021"/>
        <s v="12-11-2021"/>
        <s v="08-11-2021"/>
        <s v="09-11-2021"/>
        <s v="15-11-2021"/>
        <s v="17-11-2021"/>
        <s v="18-11-2021"/>
        <s v="19-11-2021"/>
        <s v="22-11-2021"/>
        <s v="23-11-2021"/>
        <s v="24-11-2021"/>
        <s v="25-11-2021"/>
        <s v="26-11-2021"/>
        <s v="29-11-2021"/>
        <s v="30-11-2021"/>
        <s v="01-12-2021"/>
        <s v="02-12-2021"/>
        <s v="03-12-2021"/>
        <s v="06-12-2021"/>
        <s v="09-12-2021"/>
        <s v="10-12-2021"/>
        <s v="13-12-2021"/>
        <s v="14-12-2021"/>
        <s v="15-12-2021"/>
        <s v="16-12-2021"/>
        <s v="17-12-2021"/>
        <s v="21-12-2021"/>
        <s v="22-12-2021"/>
        <s v="23-12-2021"/>
        <s v="27-12-2021"/>
        <s v="28-12-2021"/>
        <s v="29-12-2021"/>
        <s v="30-12-2021"/>
        <s v="03-01-2022"/>
        <s v="04-01-2022"/>
        <s v="05-01-2022"/>
        <s v="06-01-2022"/>
        <s v="07-01-2022"/>
        <s v="10-01-2022"/>
        <s v="11-01-2022"/>
        <s v="12-01-2022"/>
        <s v="13-01-2022"/>
        <s v="14-01-2022"/>
        <s v="17-01-2022"/>
        <s v="18-01-2022"/>
        <s v="19-01-2022"/>
        <s v="20-01-2022"/>
        <s v="21-01-2022"/>
        <s v="24-01-2022"/>
        <s v="25-01-2022"/>
        <s v="26-01-2022"/>
        <s v="27-01-2022"/>
        <s v="28-01-2022"/>
        <s v="31-01-2022"/>
        <s v="01-02-2022"/>
        <s v="02-02-2022"/>
        <s v="03-02-2022"/>
        <s v="04-02-2022"/>
        <s v="07-02-2022"/>
        <s v="08-02-2022"/>
        <s v="09-02-2022"/>
        <s v="10-02-2022"/>
        <s v="11-02-2022"/>
        <s v="15-02-2022"/>
        <s v="16-02-2022"/>
        <s v="17-02-2022"/>
        <s v="18-02-2022"/>
        <s v="21-02-2022"/>
        <s v="22-02-2022"/>
        <s v="23-02-2022"/>
        <s v="24-02-2022"/>
        <s v="25-02-2022"/>
        <s v="28-02-2022"/>
        <s v="01-03-2022"/>
        <s v="02-03-2022"/>
        <s v="03-03-2022"/>
        <s v="04-03-2022"/>
        <s v="07-03-2022"/>
        <s v="08-03-2022"/>
        <s v="09-03-2022"/>
        <s v="10-03-2022"/>
        <s v="11-03-2022"/>
        <s v="14-03-2022"/>
        <s v="15-03-2022"/>
        <s v="16-03-2022"/>
        <s v="17-03-2022"/>
        <s v="18-03-2022"/>
        <s v="22-03-2022"/>
        <s v="23-03-2022"/>
        <s v="24-03-2022"/>
        <s v="25-03-2022"/>
        <s v="28-03-2022"/>
        <s v="29-03-2022"/>
        <s v="30-03-2022"/>
        <s v="31-03-2022"/>
        <s v="01-04-2022"/>
        <s v="04-04-2022"/>
        <s v="05-04-2022"/>
        <s v="06-04-2022"/>
        <s v="07-04-2022"/>
        <s v="08-04-2022"/>
        <s v="11-04-2022"/>
        <s v="12-04-2022"/>
        <s v="13-04-2022"/>
        <s v="18-04-2022"/>
        <s v="19-04-2022"/>
        <s v="20-04-2022"/>
        <s v="21-04-2022"/>
        <s v="22-04-2022"/>
        <s v="25-04-2022"/>
        <s v="27-04-2022"/>
        <s v="28-04-2022"/>
        <s v="29-04-2022"/>
        <s v="02-05-2022"/>
        <s v="03-05-2022"/>
        <s v="04-05-2022"/>
        <s v="05-05-2022"/>
        <s v="06-05-2022"/>
        <s v="09-05-2022"/>
        <s v="10-05-2022"/>
        <s v="11-05-2022"/>
        <s v="12-05-2022"/>
        <s v="16-05-2022"/>
        <s v="17-05-2022"/>
        <s v="18-05-2022"/>
        <s v="19-05-2022"/>
        <s v="20-05-2022"/>
        <s v="23-05-2022"/>
        <s v="24-05-2022"/>
        <s v="25-05-2022"/>
        <s v="26-05-2022"/>
        <s v="27-05-2022"/>
        <s v="30-05-2022"/>
        <s v="31-05-2022"/>
        <s v="01-06-2022"/>
        <s v="02-06-2022"/>
        <s v="03-06-2022"/>
        <s v="06-06-2022"/>
        <s v="07-06-2022"/>
        <s v="08-06-2022"/>
        <s v="10-06-2022"/>
        <s v="13-06-2022"/>
        <s v="14-06-2022"/>
        <s v="15-06-2022"/>
        <s v="16-06-2022"/>
        <s v="17-06-2022"/>
        <s v="23-06-2022"/>
        <s v="24-06-2022"/>
        <s v="28-06-2022"/>
        <s v="29-06-2022"/>
        <s v="30-06-2022"/>
        <s v="01-07-2022"/>
        <s v="04-07-2022"/>
        <s v="05-07-2022"/>
        <s v="06-07-2022"/>
        <s v="07-07-2022"/>
        <s v="11-07-2022"/>
        <s v="12-07-2022"/>
        <s v="13-07-2022"/>
        <s v="14-07-2022"/>
        <s v="15-07-2022"/>
        <s v="18-07-2022"/>
        <s v="19-07-2022"/>
        <s v="20-07-2022"/>
        <s v="21-07-2022"/>
        <s v="25-07-2022"/>
        <s v="26-07-2022"/>
        <s v="27-07-2022"/>
        <s v="28-07-2022"/>
        <s v="29-07-2022"/>
        <s v="01-08-2022"/>
        <s v="02-08-2022"/>
        <s v="03-08-2022"/>
        <s v="04-08-2022"/>
        <s v="05-08-2022"/>
        <s v="08-08-2022"/>
        <s v="09-08-2022"/>
        <s v="10-08-2022"/>
        <s v="11-08-2022"/>
        <s v="12-08-2022"/>
        <s v="16-08-2022"/>
        <s v="17-08-2022"/>
        <s v="18-08-2022"/>
        <s v="19-08-2022"/>
        <s v="22-08-2022"/>
        <s v="23-08-2022"/>
        <s v="24-08-2022"/>
        <s v="25-08-2022"/>
        <s v="26-08-2022"/>
        <s v="29-08-2022"/>
        <s v="30-08-2022"/>
        <s v="31-08-2022"/>
        <s v="01-09-2022"/>
        <s v="02-09-2022"/>
        <s v="05-09-2022"/>
        <s v="06-09-2022"/>
        <s v="07-09-2022"/>
        <s v="08-09-2022"/>
        <s v="09-09-2022"/>
        <s v="12-09-2022"/>
        <s v="13-09-2022"/>
        <s v="14-09-2022"/>
        <s v="20-09-2022"/>
        <s v="21-09-2022"/>
        <s v="22-09-2022"/>
        <s v="23-09-2022"/>
        <s v="26-09-2022"/>
        <s v="27-09-2022"/>
        <s v="28-09-2022"/>
        <s v="29-09-2022"/>
        <s v="30-09-2022"/>
        <s v="03-10-2022"/>
        <s v="04-10-2022"/>
        <s v="05-10-2022"/>
        <s v="06-10-2022"/>
        <s v="07-10-2022"/>
        <s v="11-10-2022"/>
        <s v="12-10-2022"/>
        <s v="13-10-2022"/>
        <s v="14-10-2022"/>
        <s v="17-10-2022"/>
        <s v="18-10-2022"/>
        <s v="19-10-2022"/>
        <s v="20-10-2022"/>
        <s v="21-10-2022"/>
        <s v="24-10-2022"/>
        <s v="25-10-2022"/>
        <s v="26-10-2022"/>
        <s v="27-10-2022"/>
        <s v="28-10-2022"/>
        <s v="02-11-2022"/>
        <s v="03-11-2022"/>
        <s v="04-11-2022"/>
        <s v="07-11-2022"/>
        <s v="09-11-2022"/>
        <s v="10-11-2022"/>
        <s v="11-11-2022"/>
        <s v="14-11-2022"/>
        <s v="15-11-2022"/>
        <s v="16-11-2022"/>
        <s v="17-11-2022"/>
        <s v="18-11-2022"/>
        <s v="21-11-2022"/>
        <s v="22-11-2022"/>
        <s v="24-11-2022"/>
        <s v="25-11-2022"/>
        <s v="28-11-2022"/>
        <s v="29-11-2022"/>
        <s v="01-12-2022"/>
        <s v="02-12-2022"/>
        <s v="06-12-2022"/>
        <s v="07-12-2022"/>
        <s v="12-12-2022"/>
        <s v="13-12-2022"/>
        <s v="14-12-2022"/>
        <s v="15-12-2022"/>
        <s v="16-12-2022"/>
        <s v="19-12-2022"/>
        <s v="20-12-2022"/>
        <s v="21-12-2022"/>
        <s v="22-12-2022"/>
        <s v="23-12-2022"/>
        <s v="26-12-2022"/>
        <s v="27-12-2022"/>
        <s v="28-12-2022"/>
        <s v="29-12-2022"/>
        <s v="03-01-2023"/>
        <s v="04-01-2023"/>
        <s v="05-01-2023"/>
        <s v="06-01-2023"/>
        <s v="09-01-2023"/>
        <s v="10-01-2023"/>
        <s v="11-01-2023"/>
        <s v="12-01-2023"/>
        <s v="13-01-2023"/>
        <s v="16-01-2023"/>
        <s v="17-01-2023"/>
        <s v="19-01-2023"/>
        <s v="20-01-2023"/>
        <s v="23-01-2023"/>
        <s v="24-01-2023"/>
        <s v="25-01-2023"/>
        <s v="26-01-2023"/>
        <s v="27-01-2023"/>
        <s v="30-01-2023"/>
        <s v="31-01-2023"/>
        <s v="02-02-2023"/>
        <s v="03-02-2023"/>
        <s v="06-02-2023"/>
        <s v="07-02-2023"/>
        <s v="08-02-2023"/>
        <s v="09-02-2023"/>
        <s v="10-02-2023"/>
        <s v="13-02-2023"/>
        <s v="14-02-2023"/>
        <s v="15-02-2023"/>
        <s v="16-02-2023"/>
        <s v="17-02-2023"/>
        <s v="20-02-2023"/>
        <s v="21-02-2023"/>
        <s v="22-02-2023"/>
        <s v="24-02-2023"/>
        <s v="27-02-2023"/>
        <s v="28-02-2023"/>
        <s v="01-03-2023"/>
        <s v="02-03-2023"/>
        <s v="03-03-2023"/>
        <s v="06-03-2023"/>
        <s v="08-03-2023"/>
        <s v="09-03-2023"/>
        <s v="15-03-2023"/>
        <s v="16-03-2023"/>
        <s v="17-03-2023"/>
        <s v="20-03-2023"/>
        <s v="21-03-2023"/>
        <s v="22-03-2023"/>
        <s v="24-03-2023"/>
        <s v="27-03-2023"/>
        <s v="29-03-2023"/>
        <s v="30-03-2023"/>
        <s v="31-03-2023"/>
        <s v="03-04-2023"/>
        <s v="04-04-2023"/>
        <s v="05-04-2023"/>
        <s v="06-04-2023"/>
        <s v="11-04-2023"/>
        <s v="12-04-2023"/>
        <s v="13-04-2023"/>
        <s v="14-04-2023"/>
        <s v="17-04-2023"/>
        <s v="18-04-2023"/>
        <s v="19-04-2023"/>
        <s v="20-04-2023"/>
        <s v="21-04-2023"/>
        <s v="24-04-2023"/>
        <s v="25-04-2023"/>
        <s v="26-04-2023"/>
        <s v="28-04-2023"/>
        <s v="02-05-2023"/>
        <s v="04-05-2023"/>
        <s v="05-05-2023"/>
        <s v="08-05-2023"/>
        <s v="09-05-2023"/>
        <s v="10-05-2023"/>
        <s v="11-05-2023"/>
        <s v="16-05-2023"/>
        <s v="17-05-2023"/>
        <s v="18-05-2023"/>
        <s v="19-05-2023"/>
        <s v="22-05-2023"/>
        <s v="24-05-2023"/>
        <s v="25-05-2023"/>
        <s v="26-05-2023"/>
        <s v="30-05-2023"/>
        <s v="31-05-2023"/>
        <s v="01-06-2023"/>
        <s v="02-06-2023"/>
        <s v="06-06-2023"/>
        <s v="07-06-2023"/>
        <s v="09-06-2023"/>
        <s v="12-06-2023"/>
        <s v="13-06-2023"/>
        <s v="14-06-2023"/>
        <s v="15-06-2023"/>
        <s v="19-06-2023"/>
        <s v="20-06-2023"/>
        <s v="22-06-2023"/>
        <s v="23-06-2023"/>
        <s v="28-06-2023"/>
        <s v="29-06-2023"/>
        <s v="30-06-2023"/>
        <s v="03-07-2023"/>
        <s v="04-07-2023"/>
        <s v="05-07-2023"/>
        <s v="06-07-2023"/>
        <s v="07-07-2023"/>
        <s v="10-07-2023"/>
        <s v="11-07-2023"/>
        <s v="12-07-2023"/>
        <s v="13-07-2023"/>
        <s v="17-07-2023"/>
        <s v="18-07-2023"/>
        <s v="19-07-2023"/>
        <s v="21-07-2023"/>
        <s v="24-07-2023"/>
        <s v="25-07-2023"/>
        <s v="28-07-2023"/>
        <s v="01-08-2023"/>
        <s v="02-08-2023"/>
        <s v="04-08-2023"/>
        <s v="07-08-2023"/>
        <s v="08-08-2023"/>
        <s v="09-08-2023"/>
        <s v="10-08-2023"/>
        <s v="11-08-2023"/>
        <s v="18-08-2023"/>
        <s v="21-08-2023"/>
        <s v="22-08-2023"/>
        <s v="24-08-2023"/>
        <s v="25-08-2023"/>
        <s v="28-08-2023"/>
        <s v="29-08-2023"/>
        <s v="30-08-2023"/>
        <s v="31-08-2023"/>
        <s v="01-09-2023"/>
        <s v="04-09-2023"/>
        <s v="05-09-2023"/>
        <s v="06-09-2023"/>
        <s v="08-09-2023"/>
        <s v="12-09-2023"/>
        <s v="13-09-2023"/>
        <s v="20-09-2023"/>
        <s v="21-09-2023"/>
        <s v="22-09-2023"/>
        <s v="25-09-2023"/>
        <s v="27-09-2023"/>
        <s v="28-09-2023"/>
        <s v="29-09-2023"/>
        <s v="02-10-2023"/>
        <s v="03-10-2023"/>
        <s v="04-10-2023"/>
        <s v="06-10-2023"/>
        <s v="10-10-2023"/>
        <s v="13-10-2023"/>
        <s v="16-10-2023"/>
        <s v="17-10-2023"/>
        <s v="18-10-2023"/>
        <s v="19-10-2023"/>
        <s v="20-10-2023"/>
        <s v="25-10-2023"/>
        <s v="26-10-2023"/>
        <s v="03-11-2023"/>
        <s v="08-11-2023"/>
        <s v="13-11-2023"/>
        <s v="14-11-2023"/>
        <s v="20-11-2023"/>
        <s v="21-11-2023"/>
        <s v="24-11-2023"/>
        <s v="27-11-2023"/>
        <s v="28-11-2023"/>
        <s v="29-11-2023"/>
        <s v="30-11-2023"/>
        <s v="01-12-2023"/>
        <s v="05-12-2023"/>
        <s v="06-12-2023"/>
        <s v="07-12-2023"/>
        <s v="11-12-2023"/>
        <s v="12-12-2023"/>
        <s v="13-12-2023"/>
        <s v="14-12-2023"/>
        <s v="20-12-2023"/>
        <s v="21-12-2023"/>
        <m/>
        <d v="2021-12-09T00:00:00" u="1"/>
      </sharedItems>
    </cacheField>
    <cacheField name="clent" numFmtId="0">
      <sharedItems containsBlank="1"/>
    </cacheField>
    <cacheField name="nombredelsolicitante" numFmtId="0">
      <sharedItems containsBlank="1" count="155">
        <s v="ACMA CORONEL"/>
        <s v="CONST. CONCRETA S.A."/>
        <s v="CONSTRUCTORA POCURO SPA."/>
        <s v="BESALCO DRAGADOS S.A."/>
        <s v="CHILEMAT SPA."/>
        <s v="CONSTRUCTORA CARRAN S.A."/>
        <s v="EASY RETAIL S.A."/>
        <s v="PRODALAM S.A."/>
        <s v="SODIMAC S.A."/>
        <s v="PREFABRICADOS DE HORMIGON X"/>
        <s v="CONSTRUMART S.A"/>
        <s v="CONSTRUCTORA LONDRES LTDA."/>
        <s v="CONSTRUCTORA VESPUCIO ORIEX"/>
        <s v="BALDOSAS Y MOBILIARIO ATRIX"/>
        <s v="IND.DE TUBOS Y PREFAB.DE HX"/>
        <s v="ASESORIAS, PROYECTOS Y CONX"/>
        <s v="ELECTROCOM S.A."/>
        <s v="BAUMAX SPA"/>
        <s v="CONSTRUCTORA VALENCIA SPA"/>
        <s v="CONSTRUCTORA JCA S.A"/>
        <s v="FRANCISCO PETRICIO LIMITADA"/>
        <s v="COMER.MATIAS C.RAMIREZ OLAX"/>
        <s v="GRAU SA AGLOMERADOS DE HORX"/>
        <s v="VCGP - ASTALDI INGEN.Y CONX"/>
        <s v="DISTRIBUIDORA DE MATERIALEX"/>
        <s v="INMOBILIARIA Y CONST. ECOMX"/>
        <s v="CONSTRUCTORA C.B.L SPA"/>
        <s v="CONSTRUCTORA JOSE M. GARCIX"/>
        <s v="ZUBLIN INTERNATIONAL GMBH X"/>
        <s v="CONSTRUCTORA AITUE S.A."/>
        <s v="CONSTRUCTORA CENTAURO LTDA."/>
        <s v="CONSTRUCTORA MANITOBA SPA."/>
        <s v="CONSTRUCTORA LAMPA ORIENTEX"/>
        <s v="URBANIZA CONSTRUCTORA S.A."/>
        <s v="CNT PROYECTOS LTDA."/>
        <s v="CONST. HUNEEUS ALLIENDE IIX"/>
        <s v="INMOBILIARIA SUR TREINTA SX"/>
        <s v="CONST. HUNEEUS-ALLIENDE LTX"/>
        <s v="CONSTRUCTORA JULIO PALMA FX"/>
        <s v="CONSTRUCTORA METROPOLITANAX"/>
        <s v="CONSTRUCTORA BAQUEDANO SURX"/>
        <s v="FERRETERIA OVIEDO S A"/>
        <s v="EMIN SISTEMAS GEOTECNICOS X"/>
        <s v="PASCUAL ATENAS Y COMPANIA X"/>
        <s v="INMOBILIARIA ISIETE LIBERTX"/>
        <s v="STRABAG SPA"/>
        <s v="CONSTRUCTORA CBI SPA"/>
        <s v="CONCRETOS E INGENIERIA VIPX"/>
        <s v="RESORTES Y ESPIRALES DE ACX"/>
        <s v="CARLOS HERRERA ARREDONDO LX"/>
        <s v="CONSTRUCTORA E INMOBILIARIX"/>
        <s v="ACENOR ACEROS DEL NORTE S.A"/>
        <s v="DESARROLLOS CONSTRUCTIVOS X"/>
        <s v="VSL SISTEMAS ESPECIALES DEX"/>
        <s v="ARRIGONI INGENIERIA Y CONSX"/>
        <s v="FERRARA INGENIERIA Y CONSTX"/>
        <s v="INMOB. Y CONSTRUCTORA RIO X"/>
        <s v="URTVALMETAL SPA"/>
        <s v="CONSTRUCTORA AYRES ORIENTEX"/>
        <s v="CONSTRUCTORA CERUTTI S A"/>
        <s v="GERVACRIS LTDA"/>
        <s v="CONSTRUCTORA SALAS Y JARAMX"/>
        <s v="CONSTRUCTORA PEDERNALES LTX"/>
        <s v="ACMANET S.A."/>
        <s v="SBH SPA"/>
        <s v="CONSTRUCTORA JOSE Y JOSE LX"/>
        <s v="EBEMA S.A."/>
        <s v="BARRACA DE FIERRO SIMON SPA"/>
        <s v="SALOMON SACK S.A"/>
        <s v="OFC SPA"/>
        <s v="MATERIALES Y SOLUCIONES S A"/>
        <s v="GUZMAN Y LARRAIN VIVIENDASX"/>
        <s v="CONSTRUCTORA PARQUE CHICURX"/>
        <s v="CONSTRUCTORA CERRO CASTILLX"/>
        <s v="MOLLER Y PEREZ COTAPOS CONX"/>
        <s v="LO CAMPINO CONSTRUCTORA LIX"/>
        <s v="CONST. GARDILCIC LTDA."/>
        <s v="CONSTRUCTORA CONVET LTDA."/>
        <s v="CONSTRUFACE SPA"/>
        <s v="COM. Y SERVICIOS ATENAS IRX"/>
        <s v="INMOBILIARIA QUINTA VALLE X"/>
        <s v="PROYECTOS Y CONSTRUCCIONESX"/>
        <s v="CONSTRUC.MANQUEHUE-BROTEC-X"/>
        <s v="Yolito Balar Hrnos Ltda"/>
        <s v="PREFABRICADOS ANDINOS S.A."/>
        <s v="CONSTRUCTORA NOVATEC S.A."/>
        <s v="CONSTRUCTORA ALFREDO JARA X"/>
        <s v="CONSTRUCTORA E INVERSIONESX"/>
        <s v="CONSTRUCTORA LAVAL SPA"/>
        <s v="CONSTRUCTORA SANTA HERMINIX"/>
        <s v="ROBERTO SAN MARTIN V."/>
        <s v="INMOBILIARIA GAMERO SPA"/>
        <s v="TECHINT CHILE S.A."/>
        <s v="CONSTRUCTORA PACAL S.A."/>
        <s v="Sociedad Hormigones y BaldX"/>
        <s v="BOTTAI S.A."/>
        <s v="Constructora Mauricio GutiX"/>
        <s v="CONSTRUCTORA NOVATEC EDIFIX"/>
        <s v="SOC. ING Y CONST CUMBRES LX"/>
        <s v="SACYR CHILE S.A."/>
        <s v="SOC DE CONSTRUCTORES TENSAX"/>
        <s v="PREFAST SPA."/>
        <s v="COMERCIAL COSTA SUR SPA"/>
        <s v="FACORO SPA"/>
        <s v="CONSTRUCTORA BRISAS DE BATX"/>
        <s v="DIMASA S.A."/>
        <s v="SALCAB SPA"/>
        <s v="CID CONSTRUCCIONES SPA"/>
        <s v="EURO CONSTRUCTORA SPA"/>
        <s v="CONSTRUCTORA ROBLE S.A"/>
        <s v="INMOBILIARIA Y CONSTRUCTORX"/>
        <s v="CONSTRUCTORA CAMPOS DE CHIX"/>
        <s v="RODRIGO JOGLAR PEREZ"/>
        <s v="TECHMIN LTDA"/>
        <s v="DETECO IC SA"/>
        <s v="EMPRESA CONSTRUCTORA TORRAX"/>
        <s v="FCC CONSTRUCCION SA AGENCIX"/>
        <s v="Ingenieria y Construcción X"/>
        <s v="COVEPA SPA"/>
        <s v="PROSSIMPORT SPA"/>
        <s v="EBCO S.A."/>
        <s v="TORRES OCARANZA LTDA"/>
        <s v="Constructora Gonzalo RamírX"/>
        <s v="CONSTRUCTORA CERRO APOQUINX"/>
        <s v="SUMMIT CONSTRUCTORA LTDA"/>
        <s v="Constructora Aitue SpA"/>
        <s v="CONSTRUCTORA NUEVOS AIRES X"/>
        <s v="CONSTRUCTORA JOMAR SPA"/>
        <s v="HORNOR"/>
        <s v="KUPFER HERMANOS S A"/>
        <s v="ARMACERO MATCO S.A."/>
        <s v="ELECNOR CHILE S.A."/>
        <s v="CONST.INMOBIL.E INVERSIONEX"/>
        <s v="INGAL INGENIERIA Y CONSTRUX"/>
        <s v="INGENIERIA Y PREFABRICADOSX"/>
        <s v="SOCIEDAD INGAL GESTION SPA"/>
        <s v="ACEROS COX COMERCIAL S A"/>
        <s v="PIQUES Y TUNELES METRO S.A."/>
        <s v="INVERSIONES CYMTEK SPA"/>
        <s v="CONST. BAQUEDANO LTDA."/>
        <s v="CHINA RAILWAY TUNNEL GROUP"/>
        <s v="CONSORCIO BAPA GRAMATEC SPA"/>
        <s v="I-427 LOS NOGALES"/>
        <s v="AGRIC Y COMERC AGUA DE LOSX"/>
        <s v="INGENIERIA Y CONST.SIGDO KX"/>
        <s v="ENERGIA EOLICA CJR WIND CHX"/>
        <s v="ICAFAL INGENIERIA Y CONSTRX"/>
        <s v="ALCOP CONSTRUCTORA E INMOBX"/>
        <s v="CONSTRUCTORA ALM S.A."/>
        <s v="CONSTRUCTORA GPR SA"/>
        <s v="PISCINAS AQUASOL LTDA"/>
        <s v="ALSANEO L7 SPA"/>
        <s v="OBRASCON HUARTE LAIN S.A.-X"/>
        <m/>
        <s v="CHRISTOPHER OSVALDO MENDEZX" u="1"/>
      </sharedItems>
    </cacheField>
    <cacheField name="matriccamion" numFmtId="0">
      <sharedItems containsBlank="1"/>
    </cacheField>
    <cacheField name="nidentfis1" numFmtId="0">
      <sharedItems containsBlank="1" containsMixedTypes="1" containsNumber="1" containsInteger="1" minValue="129897" maxValue="1292210451"/>
    </cacheField>
    <cacheField name="destino" numFmtId="0">
      <sharedItems containsBlank="1"/>
    </cacheField>
    <cacheField name="pesototal" numFmtId="0">
      <sharedItems containsString="0" containsBlank="1" containsNumber="1" minValue="209.572" maxValue="39020.800000000039" count="6231">
        <n v="15007.999999999991"/>
        <n v="9927.69"/>
        <n v="14456.16"/>
        <n v="19822.32"/>
        <n v="3570.1799999999989"/>
        <n v="3618.55"/>
        <n v="7705.6999999999989"/>
        <n v="6079.2000000000016"/>
        <n v="5340.5999999999995"/>
        <n v="8034.3999999999978"/>
        <n v="2617.02"/>
        <n v="2740.6"/>
        <n v="3178.4"/>
        <n v="5712.880000000001"/>
        <n v="5667.62"/>
        <n v="9876.0000000000091"/>
        <n v="10929.08"/>
        <n v="3691.73"/>
        <n v="6219.0700000000024"/>
        <n v="3196.47"/>
        <n v="4518.8"/>
        <n v="15860"/>
        <n v="5101.2"/>
        <n v="6388.8"/>
        <n v="8309.9"/>
        <n v="4316.72"/>
        <n v="5541.26"/>
        <n v="3561.24"/>
        <n v="2241.6"/>
        <n v="1469.22"/>
        <n v="15383.99"/>
        <n v="8769.619999999999"/>
        <n v="10844"/>
        <n v="15947.25"/>
        <n v="13071.4"/>
        <n v="7823.0000000000009"/>
        <n v="13179.19999999999"/>
        <n v="7982.4000000000024"/>
        <n v="6962.1399999999994"/>
        <n v="5590.5"/>
        <n v="15017.899999999991"/>
        <n v="10588.8"/>
        <n v="3427.3199999999988"/>
        <n v="2876.54"/>
        <n v="8742.7200000000012"/>
        <n v="2198.4"/>
        <n v="2495.1"/>
        <n v="2488.8000000000002"/>
        <n v="2601.02"/>
        <n v="1818.22"/>
        <n v="2302.3000000000002"/>
        <n v="7351.2199999999984"/>
        <n v="4517.5"/>
        <n v="17262"/>
        <n v="8235.1999999999989"/>
        <n v="4492.8999999999996"/>
        <n v="18104.599999999991"/>
        <n v="19748.72"/>
        <n v="15231.01999999999"/>
        <n v="9585.0400000000009"/>
        <n v="9118.9"/>
        <n v="4254.62"/>
        <n v="6046.56"/>
        <n v="2219.1"/>
        <n v="8375.2799999999988"/>
        <n v="2396.4"/>
        <n v="3320.42"/>
        <n v="21253.599999999999"/>
        <n v="690"/>
        <n v="9104.81"/>
        <n v="27077.95"/>
        <n v="8673.5400000000009"/>
        <n v="24868"/>
        <n v="2500.4"/>
        <n v="6903.9999999999991"/>
        <n v="2003.2"/>
        <n v="9795.0999999999967"/>
        <n v="20286.599999999991"/>
        <n v="7092.15"/>
        <n v="2717.8"/>
        <n v="4149.0000000000009"/>
        <n v="3474.7000000000012"/>
        <n v="2054.5"/>
        <n v="2953.7000000000012"/>
        <n v="21811.200000000001"/>
        <n v="8982.8200000000033"/>
        <n v="14342.46"/>
        <n v="2648.5"/>
        <n v="16151.52"/>
        <n v="18354"/>
        <n v="7577.9999999999991"/>
        <n v="9007.3999999999978"/>
        <n v="16808.150000000001"/>
        <n v="2226.52"/>
        <n v="3311.04"/>
        <n v="2600"/>
        <n v="3435.8"/>
        <n v="3951.6"/>
        <n v="16816.8"/>
        <n v="8706.34"/>
        <n v="13169.67"/>
        <n v="17910.900000000001"/>
        <n v="10025.48"/>
        <n v="4321.8"/>
        <n v="19510.400000000001"/>
        <n v="6397.5000000000009"/>
        <n v="5139.2"/>
        <n v="1875.4"/>
        <n v="2148.4"/>
        <n v="4359.0000000000009"/>
        <n v="2868.2000000000012"/>
        <n v="11853.37"/>
        <n v="19332.270000000011"/>
        <n v="12799.199999999999"/>
        <n v="4635.7"/>
        <n v="7066.2000000000025"/>
        <n v="7756.7999999999975"/>
        <n v="3133.8"/>
        <n v="2723"/>
        <n v="1932.4"/>
        <n v="7119.4100000000017"/>
        <n v="2018.31"/>
        <n v="1889.21"/>
        <n v="1947.82"/>
        <n v="9216.4"/>
        <n v="13272.500000000009"/>
        <n v="8442"/>
        <n v="7102.3999999999987"/>
        <n v="4813.1099999999997"/>
        <n v="5085.5999999999995"/>
        <n v="3164.4300000000012"/>
        <n v="2012.62"/>
        <n v="2694.5"/>
        <n v="8648.4"/>
        <n v="2008.9"/>
        <n v="2283.6"/>
        <n v="2161.7199999999998"/>
        <n v="15516.76"/>
        <n v="12297.71"/>
        <n v="4009"/>
        <n v="3172.5"/>
        <n v="8075.4600000000009"/>
        <n v="2277.62"/>
        <n v="7760"/>
        <n v="3359.63"/>
        <n v="5455.5399999999991"/>
        <n v="5100.6599999999989"/>
        <n v="6225.1400000000012"/>
        <n v="1966.74"/>
        <n v="3260.84"/>
        <n v="2191.42"/>
        <n v="16854.660000000011"/>
        <n v="17417.25"/>
        <n v="6056.6399999999994"/>
        <n v="9105.7999999999993"/>
        <n v="10485.52"/>
        <n v="6594.9000000000024"/>
        <n v="15888.800000000001"/>
        <n v="6338.9999999999991"/>
        <n v="3821.51"/>
        <n v="2944.71"/>
        <n v="7523.4100000000017"/>
        <n v="1645.299999999999"/>
        <n v="19477.200000000012"/>
        <n v="18355.2"/>
        <n v="18336.36"/>
        <n v="9957.2599999999984"/>
        <n v="12026.61"/>
        <n v="10352.549999999999"/>
        <n v="14683.2"/>
        <n v="13420"/>
        <n v="209.572"/>
        <n v="9544.08"/>
        <n v="8809.92"/>
        <n v="2777.6"/>
        <n v="4338.6000000000004"/>
        <n v="3380.7"/>
        <n v="2826.3"/>
        <n v="3198.3"/>
        <n v="1840.8"/>
        <n v="25160.20000000003"/>
        <n v="10597.73"/>
        <n v="8374.43"/>
        <n v="12144.73"/>
        <n v="10854.96"/>
        <n v="14168.7"/>
        <n v="25627.200000000001"/>
        <n v="22508.200000000012"/>
        <n v="2970"/>
        <n v="8332.7999999999975"/>
        <n v="4472"/>
        <n v="19956.400000000009"/>
        <n v="6986.2399999999989"/>
        <n v="2067.2199999999998"/>
        <n v="8021.7000000000016"/>
        <n v="6407.5999999999995"/>
        <n v="11311.58"/>
        <n v="7156.78"/>
        <n v="5720.3799999999974"/>
        <n v="10202.4"/>
        <n v="21458.400000000009"/>
        <n v="10202.400000000001"/>
        <n v="7437.6000000000013"/>
        <n v="8802.7999999999975"/>
        <n v="7001.199999999998"/>
        <n v="11043.2"/>
        <n v="7625.199999999998"/>
        <n v="2140.6"/>
        <n v="2890.4"/>
        <n v="1935.4"/>
        <n v="8010.0000000000027"/>
        <n v="9634.3000000000029"/>
        <n v="9829.98"/>
        <n v="8481"/>
        <n v="9526.1999999999971"/>
        <n v="3478.2"/>
        <n v="25570.679999999989"/>
        <n v="6952.4"/>
        <n v="3652.0000000000009"/>
        <n v="7558.4"/>
        <n v="6953.5999999999995"/>
        <n v="11654.8"/>
        <n v="9825.6000000000022"/>
        <n v="4282.3999999999996"/>
        <n v="10883.6"/>
        <n v="3266.8"/>
        <n v="1976"/>
        <n v="11902.8"/>
        <n v="5928.8000000000011"/>
        <n v="14005.99"/>
        <n v="5269.5"/>
        <n v="4527"/>
        <n v="15442.44"/>
        <n v="7132.7999999999975"/>
        <n v="9004.7999999999975"/>
        <n v="5451.5999999999995"/>
        <n v="3256.8"/>
        <n v="4977.6000000000004"/>
        <n v="2865.2"/>
        <n v="19689.600000000009"/>
        <n v="19477.21000000001"/>
        <n v="8957.66"/>
        <n v="7052.4499999999989"/>
        <n v="22290.65"/>
        <n v="4841.1000000000004"/>
        <n v="11540.48"/>
        <n v="12568.320000000011"/>
        <n v="10599.03"/>
        <n v="3001.6"/>
        <n v="6337.5999999999995"/>
        <n v="16019.2"/>
        <n v="1764.4"/>
        <n v="3752"/>
        <n v="9286.6"/>
        <n v="1600.6"/>
        <n v="16582.399999999991"/>
        <n v="7415.9999999999973"/>
        <n v="11234.56"/>
        <n v="11788.33"/>
        <n v="5661.07"/>
        <n v="6627.24"/>
        <n v="9777.6"/>
        <n v="2919.9500000000012"/>
        <n v="7320"/>
        <n v="11748.2"/>
        <n v="9256.7999999999993"/>
        <n v="8548.4000000000015"/>
        <n v="5926.7999999999984"/>
        <n v="2669.2"/>
        <n v="1898.4"/>
        <n v="6325.4000000000005"/>
        <n v="4066.400000000001"/>
        <n v="14872.39"/>
        <n v="3338.37"/>
        <n v="9948.91"/>
        <n v="22712.029999999992"/>
        <n v="14149.300000000001"/>
        <n v="8972.06"/>
        <n v="21468"/>
        <n v="6974.52"/>
        <n v="8663"/>
        <n v="13613.599999999989"/>
        <n v="3162.8"/>
        <n v="674"/>
        <n v="3594.8"/>
        <n v="1186.8"/>
        <n v="1755"/>
        <n v="3408.6000000000008"/>
        <n v="11570.59"/>
        <n v="7799.7599999999966"/>
        <n v="5389.92"/>
        <n v="1475.89"/>
        <n v="8590.5500000000011"/>
        <n v="3087.420000000001"/>
        <n v="6156.2800000000016"/>
        <n v="7106.0100000000011"/>
        <n v="2482.5"/>
        <n v="21494"/>
        <n v="1862"/>
        <n v="6258.4000000000005"/>
        <n v="836"/>
        <n v="11733.400000000011"/>
        <n v="10000.80000000001"/>
        <n v="596.4000000000002"/>
        <n v="1203.2"/>
        <n v="566"/>
        <n v="10484.67"/>
        <n v="5229.03"/>
        <n v="4035.99"/>
        <n v="7172.9400000000014"/>
        <n v="18943.560000000001"/>
        <n v="3694.42"/>
        <n v="3088.7999999999988"/>
        <n v="1425.6"/>
        <n v="1900.8"/>
        <n v="9504.0000000000091"/>
        <n v="436.4"/>
        <n v="706.4"/>
        <n v="868.4"/>
        <n v="5200"/>
        <n v="18562.69000000001"/>
        <n v="5264.52"/>
        <n v="15700.94"/>
        <n v="1363.06"/>
        <n v="13114.4"/>
        <n v="8926.6999999999989"/>
        <n v="3045"/>
        <n v="5792.6499999999987"/>
        <n v="2669.01"/>
        <n v="4566.18"/>
        <n v="4276.7999999999993"/>
        <n v="3560.4"/>
        <n v="2174.8000000000002"/>
        <n v="911.6"/>
        <n v="1015.2"/>
        <n v="2000"/>
        <n v="7066.1100000000006"/>
        <n v="12657.31"/>
        <n v="9586.64"/>
        <n v="11283.4"/>
        <n v="9462"/>
        <n v="8178.800000000002"/>
        <n v="11255.999999999991"/>
        <n v="4231.5999999999995"/>
        <n v="16498.400000000009"/>
        <n v="14203.2"/>
        <n v="4073.2000000000012"/>
        <n v="2964"/>
        <n v="5451.9999999999991"/>
        <n v="3913.2"/>
        <n v="7041.4800000000014"/>
        <n v="8984.7500000000018"/>
        <n v="12058.84"/>
        <n v="8907.36"/>
        <n v="6538.48"/>
        <n v="5654.6"/>
        <n v="17134.089999999989"/>
        <n v="2930.6000000000008"/>
        <n v="6528.0000000000027"/>
        <n v="4502.3999999999996"/>
        <n v="3714.4"/>
        <n v="3989.6"/>
        <n v="1262.8"/>
        <n v="1699.6"/>
        <n v="1738.4"/>
        <n v="9333.39"/>
        <n v="12706.11"/>
        <n v="17880.72"/>
        <n v="6751.2000000000016"/>
        <n v="18051.62000000001"/>
        <n v="21236"/>
        <n v="10505.6"/>
        <n v="5252.7999999999984"/>
        <n v="7852.7999999999975"/>
        <n v="5496.0000000000018"/>
        <n v="4718"/>
        <n v="2724.4"/>
        <n v="2037"/>
        <n v="1937.2"/>
        <n v="4537.6000000000004"/>
        <n v="3639.79"/>
        <n v="7413.73"/>
        <n v="9854.2199999999993"/>
        <n v="11116.53"/>
        <n v="17818.2"/>
        <n v="7503.9999999999973"/>
        <n v="8176.7999999999984"/>
        <n v="4100.8"/>
        <n v="1975.2"/>
        <n v="17481.19999999999"/>
        <n v="3720.12"/>
        <n v="8389.14"/>
        <n v="7098.9600000000009"/>
        <n v="4588.6400000000003"/>
        <n v="12191.4"/>
        <n v="7314.8400000000011"/>
        <n v="4154.13"/>
        <n v="18760"/>
        <n v="9577.7999999999956"/>
        <n v="6827.5999999999995"/>
        <n v="8254.3999999999978"/>
        <n v="16656.8"/>
        <n v="5950.4000000000005"/>
        <n v="2724.8"/>
        <n v="3200.4"/>
        <n v="2450.8000000000002"/>
        <n v="4701.2"/>
        <n v="11773.999999999991"/>
        <n v="3942.24"/>
        <n v="6943.17"/>
        <n v="18373.990000000002"/>
        <n v="7696.9299999999976"/>
        <n v="16137.000000000009"/>
        <n v="9854.9999999999982"/>
        <n v="9755.1999999999971"/>
        <n v="2561.610000000001"/>
        <n v="9163"/>
        <n v="22717.399999999991"/>
        <n v="15304"/>
        <n v="8244.0000000000036"/>
        <n v="6299.2000000000025"/>
        <n v="16542.299999999988"/>
        <n v="1138.81"/>
        <n v="7150"/>
        <n v="8801.6"/>
        <n v="2707.7"/>
        <n v="4875.0200000000004"/>
        <n v="2608.7200000000012"/>
        <n v="9299.2900000000009"/>
        <n v="4712.7"/>
        <n v="9849.8199999999961"/>
        <n v="16490.75"/>
        <n v="7377.2"/>
        <n v="7303.1999999999989"/>
        <n v="9952.1999999999971"/>
        <n v="1500.8"/>
        <n v="1224"/>
        <n v="8126.54"/>
        <n v="10622"/>
        <n v="4456.7999999999984"/>
        <n v="19206.46000000001"/>
        <n v="3126.93"/>
        <n v="11295.900000000011"/>
        <n v="4226.95"/>
        <n v="17519.7"/>
        <n v="11483"/>
        <n v="5309"/>
        <n v="1374"/>
        <n v="6003.1999999999989"/>
        <n v="3400"/>
        <n v="5326.8"/>
        <n v="14627.599999999989"/>
        <n v="12969.999999999991"/>
        <n v="3121.2"/>
        <n v="10994.029999999999"/>
        <n v="17049.000000000011"/>
        <n v="6477.35"/>
        <n v="14909.92"/>
        <n v="4004"/>
        <n v="4602.2"/>
        <n v="16102.399999999991"/>
        <n v="1799.4"/>
        <n v="4661.01"/>
        <n v="2074.2000000000012"/>
        <n v="15174.9"/>
        <n v="11802.7"/>
        <n v="6411.5"/>
        <n v="11907.409999999991"/>
        <n v="7224.5599999999995"/>
        <n v="2526"/>
        <n v="3939.610000000001"/>
        <n v="2251.1999999999998"/>
        <n v="1025.2"/>
        <n v="3588"/>
        <n v="3887"/>
        <n v="12596.499999999991"/>
        <n v="13366.8"/>
        <n v="14394.319999999991"/>
        <n v="16885.68"/>
        <n v="9379.9999999999982"/>
        <n v="750.4"/>
        <n v="1775.6"/>
        <n v="11412.94"/>
        <n v="10820.06"/>
        <n v="6306.3"/>
        <n v="6791.6900000000014"/>
        <n v="4491.5600000000004"/>
        <n v="10449.459999999999"/>
        <n v="4009.48"/>
        <n v="11709.000000000009"/>
        <n v="9433.2000000000044"/>
        <n v="823"/>
        <n v="9554.4"/>
        <n v="17473.489999999998"/>
        <n v="9499.98"/>
        <n v="7652.79"/>
        <n v="4840.32"/>
        <n v="6998.4000000000024"/>
        <n v="7656"/>
        <n v="2762.4"/>
        <n v="13096.8"/>
        <n v="9581.9999999999982"/>
        <n v="6138.74"/>
        <n v="3556.65"/>
        <n v="3022.8000000000011"/>
        <n v="2525.6"/>
        <n v="17881.19999999999"/>
        <n v="4266.4000000000005"/>
        <n v="6165.2000000000025"/>
        <n v="1443.22"/>
        <n v="3759.2399999999989"/>
        <n v="8148"/>
        <n v="11017.57"/>
        <n v="2861.16"/>
        <n v="19364.400000000001"/>
        <n v="1736.5"/>
        <n v="19112.400000000001"/>
        <n v="7161.9399999999987"/>
        <n v="15509.3"/>
        <n v="15953.600000000002"/>
        <n v="8129.2000000000025"/>
        <n v="3207"/>
        <n v="4326.4999999999991"/>
        <n v="2726.4"/>
        <n v="3276"/>
        <n v="22257"/>
        <n v="5340.6"/>
        <n v="7377.5"/>
        <n v="9582.1599999999962"/>
        <n v="2349.5"/>
        <n v="4625.5"/>
        <n v="6381.5000000000009"/>
        <n v="5243.7999999999984"/>
        <n v="11556.2"/>
        <n v="8353.5000000000036"/>
        <n v="8491.5999999999985"/>
        <n v="8512.6999999999989"/>
        <n v="4264"/>
        <n v="7456.4"/>
        <n v="3191.599999999999"/>
        <n v="15257.6"/>
        <n v="7948.3200000000024"/>
        <n v="18183.87000000001"/>
        <n v="2587.16"/>
        <n v="2278.4"/>
        <n v="8386.4000000000015"/>
        <n v="2744"/>
        <n v="3989.2"/>
        <n v="3788.4"/>
        <n v="1766"/>
        <n v="1280.8"/>
        <n v="5139.12"/>
        <n v="10573.3"/>
        <n v="16596"/>
        <n v="6410.8"/>
        <n v="2347.1"/>
        <n v="4482.3999999999996"/>
        <n v="4227.2"/>
        <n v="4825.8999999999996"/>
        <n v="15612.000000000009"/>
        <n v="16951.599999999999"/>
        <n v="10526.88"/>
        <n v="12480.72"/>
        <n v="15544"/>
        <n v="10421.84"/>
        <n v="6828.8000000000011"/>
        <n v="3486.9"/>
        <n v="3069.9"/>
        <n v="6829.5199999999986"/>
        <n v="7603.1599999999989"/>
        <n v="1331.5"/>
        <n v="1480.42"/>
        <n v="4778.4399999999996"/>
        <n v="21555.14"/>
        <n v="20570.350000000009"/>
        <n v="12181.16"/>
        <n v="9717.1200000000008"/>
        <n v="11012.4"/>
        <n v="4217.04"/>
        <n v="4977.5999999999995"/>
        <n v="1765.6"/>
        <n v="3751.72"/>
        <n v="2241.1999999999998"/>
        <n v="2754"/>
        <n v="3209.34"/>
        <n v="17669.919999999991"/>
        <n v="10535.36"/>
        <n v="7454.89"/>
        <n v="13214.88"/>
        <n v="11746.56"/>
        <n v="8328.3999999999978"/>
        <n v="4482.8999999999996"/>
        <n v="10429.6"/>
        <n v="12254"/>
        <n v="6102.3599999999988"/>
        <n v="3531.2999999999988"/>
        <n v="4036.1"/>
        <n v="3638.4"/>
        <n v="4227.5200000000004"/>
        <n v="12838.46"/>
        <n v="6898.06"/>
        <n v="25649.899999999991"/>
        <n v="9239.6200000000008"/>
        <n v="4353.2"/>
        <n v="5124.0000000000009"/>
        <n v="6401.6000000000022"/>
        <n v="9763"/>
        <n v="5489.1999999999989"/>
        <n v="2525.6000000000008"/>
        <n v="6553.05"/>
        <n v="4867.9800000000014"/>
        <n v="11286.28"/>
        <n v="17105.37"/>
        <n v="1700.4"/>
        <n v="10002.799999999999"/>
        <n v="5988.6"/>
        <n v="8467.1500000000015"/>
        <n v="6047.2500000000027"/>
        <n v="2175.6"/>
        <n v="7499.9999999999991"/>
        <n v="2708.099999999999"/>
        <n v="2962.8"/>
        <n v="18057.000000000011"/>
        <n v="8874.0000000000073"/>
        <n v="15554.73"/>
        <n v="18479.34"/>
        <n v="1517.24"/>
        <n v="2013.9"/>
        <n v="8988.6"/>
        <n v="6701.4"/>
        <n v="11977.2"/>
        <n v="7462.8000000000011"/>
        <n v="9531.5999999999967"/>
        <n v="8211.4000000000015"/>
        <n v="4963.7999999999984"/>
        <n v="6924.6000000000022"/>
        <n v="850.2"/>
        <n v="1087.8"/>
        <n v="11946.48"/>
        <n v="7551.5999999999995"/>
        <n v="3876"/>
        <n v="6612.5999999999995"/>
        <n v="4388.4000000000005"/>
        <n v="18418.579999999998"/>
        <n v="13485.38"/>
        <n v="4027.8000000000011"/>
        <n v="11650.15"/>
        <n v="10915.2"/>
        <n v="10278.24"/>
        <n v="10737.6"/>
        <n v="3850.2"/>
        <n v="2725.2"/>
        <n v="2799.6000000000008"/>
        <n v="6463.8"/>
        <n v="3300.599999999999"/>
        <n v="16024.79999999999"/>
        <n v="9743.74"/>
        <n v="4978.08"/>
        <n v="7777.69"/>
        <n v="9330.41"/>
        <n v="5994"/>
        <n v="8736.5700000000033"/>
        <n v="8788.1999999999989"/>
        <n v="8888.3999999999978"/>
        <n v="9277.7999999999993"/>
        <n v="4251"/>
        <n v="4325.3999999999996"/>
        <n v="3501"/>
        <n v="2075.4"/>
        <n v="1125"/>
        <n v="7419.6000000000022"/>
        <n v="12968.8"/>
        <n v="10127.25"/>
        <n v="6414.4000000000005"/>
        <n v="9646.3700000000044"/>
        <n v="4034.17"/>
        <n v="7449.37"/>
        <n v="8550.600000000004"/>
        <n v="8550.5999999999985"/>
        <n v="8524.8000000000029"/>
        <n v="7176.5999999999995"/>
        <n v="2888.4"/>
        <n v="2212.8000000000002"/>
        <n v="14371.999999999991"/>
        <n v="5766.6900000000014"/>
        <n v="4675.21"/>
        <n v="14062.38"/>
        <n v="9153.36"/>
        <n v="8248.7499999999982"/>
        <n v="7262.3500000000013"/>
        <n v="2999.98"/>
        <n v="5338.7999999999984"/>
        <n v="6400.8000000000011"/>
        <n v="8427.5999999999985"/>
        <n v="7113.6000000000022"/>
        <n v="2450.4"/>
        <n v="3375"/>
        <n v="4072.17"/>
        <n v="6575"/>
        <n v="8028.8500000000022"/>
        <n v="3548.3000000000011"/>
        <n v="2640.37"/>
        <n v="11195.94"/>
        <n v="10828.86"/>
        <n v="18021.799999999988"/>
        <n v="10249.200000000001"/>
        <n v="4050.6"/>
        <n v="6640"/>
        <n v="5123"/>
        <n v="2274.6"/>
        <n v="5613.5999999999995"/>
        <n v="17005.099999999999"/>
        <n v="6308.0499999999984"/>
        <n v="9080.64"/>
        <n v="5845.3600000000006"/>
        <n v="6113.9700000000012"/>
        <n v="1601.86"/>
        <n v="4345.8900000000003"/>
        <n v="5499.24"/>
        <n v="2113"/>
        <n v="10242.219999999999"/>
        <n v="15629.599999999989"/>
        <n v="3489.8"/>
        <n v="1627.8"/>
        <n v="7655.6"/>
        <n v="1789.4"/>
        <n v="2402"/>
        <n v="8739.0899999999983"/>
        <n v="14231.32"/>
        <n v="10488.26"/>
        <n v="4177.3100000000004"/>
        <n v="4969.55"/>
        <n v="9999.3599999999969"/>
        <n v="7979.199999999998"/>
        <n v="5124.0000000000018"/>
        <n v="6314.8"/>
        <n v="4464.8"/>
        <n v="5482.4000000000005"/>
        <n v="15790.79999999999"/>
        <n v="4225.6000000000004"/>
        <n v="4339.2"/>
        <n v="7016.2"/>
        <n v="6155.1999999999989"/>
        <n v="7683.74"/>
        <n v="8876.73"/>
        <n v="3611.88"/>
        <n v="2345"/>
        <n v="20740.2"/>
        <n v="7852.7999999999984"/>
        <n v="3038"/>
        <n v="1546.799999999999"/>
        <n v="4579.1999999999989"/>
        <n v="8987.0400000000009"/>
        <n v="8924.630000000001"/>
        <n v="6735.1200000000008"/>
        <n v="2800.24"/>
        <n v="9177"/>
        <n v="15835.7"/>
        <n v="2338.3000000000002"/>
        <n v="2642.7000000000012"/>
        <n v="5605.0000000000009"/>
        <n v="4817.5000000000009"/>
        <n v="2517.5"/>
        <n v="3717.5"/>
        <n v="5051.1400000000003"/>
        <n v="17840.170000000009"/>
        <n v="6834.3"/>
        <n v="7488.0000000000009"/>
        <n v="27256"/>
        <n v="6100"/>
        <n v="4066.4"/>
        <n v="7265.199999999998"/>
        <n v="1060.4000000000001"/>
        <n v="4747.2"/>
        <n v="1257.6600000000001"/>
        <n v="4632.42"/>
        <n v="3499.440000000001"/>
        <n v="6051.9000000000005"/>
        <n v="9760"/>
        <n v="8540"/>
        <n v="1171.5999999999999"/>
        <n v="2212"/>
        <n v="2486.8000000000002"/>
        <n v="1548.799999999999"/>
        <n v="20249.05"/>
        <n v="13130"/>
        <n v="8080"/>
        <n v="3205.3"/>
        <n v="8070.6"/>
        <n v="6710"/>
        <n v="2267.1999999999998"/>
        <n v="1044.44"/>
        <n v="1470.08"/>
        <n v="1795.22"/>
        <n v="4040"/>
        <n v="9952.5"/>
        <n v="10565.14"/>
        <n v="9570.6"/>
        <n v="5653.7400000000016"/>
        <n v="9721.5999999999967"/>
        <n v="11110.4"/>
        <n v="15920"/>
        <n v="1074.8"/>
        <n v="984.84"/>
        <n v="1369.24"/>
        <n v="18956"/>
        <n v="15050.28"/>
        <n v="15417.36"/>
        <n v="2201.2399999999998"/>
        <n v="2686.44"/>
        <n v="16508.8"/>
        <n v="9999.36"/>
        <n v="11665.92"/>
        <n v="22831.000000000011"/>
        <n v="2930.48"/>
        <n v="6464.8599999999988"/>
        <n v="3662.43"/>
        <n v="3678.5"/>
        <n v="4261.24"/>
        <n v="2468.8200000000002"/>
        <n v="12758.929999999989"/>
        <n v="1380"/>
        <n v="6093.68"/>
        <n v="22111.659999999989"/>
        <n v="4831.1399999999994"/>
        <n v="2050.4"/>
        <n v="3349.65"/>
        <n v="5494.4599999999991"/>
        <n v="7965.6599999999971"/>
        <n v="1404.01"/>
        <n v="1718.42"/>
        <n v="19515"/>
        <n v="7831.19"/>
        <n v="17993.18"/>
        <n v="11572.86"/>
        <n v="13887.999999999991"/>
        <n v="9150"/>
        <n v="15276.8"/>
        <n v="13126.79999999999"/>
        <n v="9674.4"/>
        <n v="2324.4499999999998"/>
        <n v="4140.41"/>
        <n v="1242.82"/>
        <n v="9744.7999999999993"/>
        <n v="4785.68"/>
        <n v="6711.9699999999984"/>
        <n v="20677.399999999991"/>
        <n v="1334.4"/>
        <n v="15516.05999999999"/>
        <n v="16096.099999999989"/>
        <n v="2153.84"/>
        <n v="3551.2000000000012"/>
        <n v="9248"/>
        <n v="6865.78"/>
        <n v="15927.000000000009"/>
        <n v="13673.73"/>
        <n v="14500.799999999979"/>
        <n v="2542.0700000000002"/>
        <n v="4270.84"/>
        <n v="6418.0299999999988"/>
        <n v="3436.84"/>
        <n v="4977.9399999999996"/>
        <n v="5703.67"/>
        <n v="6585.6299999999992"/>
        <n v="2081.9"/>
        <n v="3259.3"/>
        <n v="3565.3200000000011"/>
        <n v="4351.25"/>
        <n v="6626.7999999999984"/>
        <n v="11401.94"/>
        <n v="10244.209999999999"/>
        <n v="3395.25"/>
        <n v="10169.9"/>
        <n v="2430"/>
        <n v="9166.0799999999963"/>
        <n v="9691.7999999999956"/>
        <n v="9393.2099999999955"/>
        <n v="16688.599999999991"/>
        <n v="7217.4999999999991"/>
        <n v="7470.0000000000027"/>
        <n v="6832.9"/>
        <n v="21076.2"/>
        <n v="2852.4"/>
        <n v="2909.3"/>
        <n v="3382.12"/>
        <n v="4831.62"/>
        <n v="14014.79999999999"/>
        <n v="9782.52"/>
        <n v="10626.08"/>
        <n v="3990"/>
        <n v="6480"/>
        <n v="4478.7999999999984"/>
        <n v="3602.8"/>
        <n v="4049.5"/>
        <n v="3195.9"/>
        <n v="2634.5"/>
        <n v="3110.1"/>
        <n v="1282.9000000000001"/>
        <n v="5344.56"/>
        <n v="6943.9999999999973"/>
        <n v="11409"/>
        <n v="4174.8"/>
        <n v="9634.7999999999956"/>
        <n v="21708.799999999999"/>
        <n v="6884.4999999999991"/>
        <n v="2508.9"/>
        <n v="3041.4"/>
        <n v="5017.7999999999984"/>
        <n v="4784"/>
        <n v="4891.26"/>
        <n v="25646.75"/>
        <n v="3903"/>
        <n v="1951.5"/>
        <n v="10125.200000000001"/>
        <n v="1758.5"/>
        <n v="3517"/>
        <n v="9665.25"/>
        <n v="6392.2899999999991"/>
        <n v="22779.599999999999"/>
        <n v="7102.4"/>
        <n v="6425.9999999999991"/>
        <n v="5886"/>
        <n v="5601.6"/>
        <n v="13765.5"/>
        <n v="4588.5"/>
        <n v="3075.6000000000008"/>
        <n v="1574.8"/>
        <n v="2800.8"/>
        <n v="4026.8"/>
        <n v="11085.02"/>
        <n v="10930.82"/>
        <n v="7849.4400000000014"/>
        <n v="20951.2"/>
        <n v="8847.7799999999988"/>
        <n v="4537.68"/>
        <n v="6583.83"/>
        <n v="6077.2"/>
        <n v="7400.4"/>
        <n v="10468"/>
        <n v="6719.2200000000012"/>
        <n v="5378.4"/>
        <n v="8328.4"/>
        <n v="3974.0000000000009"/>
        <n v="15296.769999999999"/>
        <n v="4683.6000000000004"/>
        <n v="10928.4"/>
        <n v="11076.4"/>
        <n v="7252.5999999999995"/>
        <n v="4801.8"/>
        <n v="8001.7999999999984"/>
        <n v="7703.5999999999976"/>
        <n v="4702"/>
        <n v="5352.5999999999995"/>
        <n v="6402.3999999999987"/>
        <n v="5450.68"/>
        <n v="4800.7199999999993"/>
        <n v="16426.830000000002"/>
        <n v="11615.599999999989"/>
        <n v="10147.799999999999"/>
        <n v="3101.4"/>
        <n v="4301.6000000000004"/>
        <n v="3826.0000000000009"/>
        <n v="4326.2"/>
        <n v="9027.1999999999971"/>
        <n v="12450.4"/>
        <n v="11945.250000000009"/>
        <n v="19908.75"/>
        <n v="5740.56"/>
        <n v="9703.3999999999978"/>
        <n v="7191.1999999999989"/>
        <n v="13727.19999999999"/>
        <n v="13203.84"/>
        <n v="6191.5"/>
        <n v="18417.5"/>
        <n v="4977.2"/>
        <n v="8877.9999999999964"/>
        <n v="4538.0000000000009"/>
        <n v="6441.17"/>
        <n v="12939.57"/>
        <n v="8236.7999999999993"/>
        <n v="3514"/>
        <n v="9457.6300000000028"/>
        <n v="3608.32"/>
        <n v="14446.76"/>
        <n v="3296.28"/>
        <n v="11858.43"/>
        <n v="4864.88"/>
        <n v="3490.6000000000008"/>
        <n v="3513.2"/>
        <n v="5690.4000000000024"/>
        <n v="2524.8000000000002"/>
        <n v="1299.5999999999999"/>
        <n v="4062.8"/>
        <n v="1362.6"/>
        <n v="4740"/>
        <n v="3004.2"/>
        <n v="1971.2"/>
        <n v="10100.200000000001"/>
        <n v="541.4"/>
        <n v="16721.600000000009"/>
        <n v="6753.5999999999995"/>
        <n v="4781.3999999999996"/>
        <n v="6161.9999999999991"/>
        <n v="4086.6"/>
        <n v="6246.9999999999991"/>
        <n v="3201.2"/>
        <n v="1865.8"/>
        <n v="14484.000000000009"/>
        <n v="14990.14000000001"/>
        <n v="9099.43"/>
        <n v="9452.5400000000009"/>
        <n v="3609.01"/>
        <n v="17409.75"/>
        <n v="10952.2"/>
        <n v="2962.7999999999988"/>
        <n v="12489.6"/>
        <n v="14579.599999999989"/>
        <n v="9678.4400000000023"/>
        <n v="9643.6799999999967"/>
        <n v="1338.19"/>
        <n v="18284"/>
        <n v="7903.1999999999989"/>
        <n v="7500.3999999999978"/>
        <n v="1890"/>
        <n v="2516.4"/>
        <n v="3336"/>
        <n v="8667"/>
        <n v="2365.6"/>
        <n v="2351"/>
        <n v="9168.48"/>
        <n v="7681.7500000000027"/>
        <n v="8326.99"/>
        <n v="1995"/>
        <n v="12756.8"/>
        <n v="8302.4"/>
        <n v="3941.6"/>
        <n v="3725.2"/>
        <n v="1225.5999999999999"/>
        <n v="3185.2000000000012"/>
        <n v="4216.8"/>
        <n v="6285.9999999999973"/>
        <n v="1645.8"/>
        <n v="3215.8"/>
        <n v="19689.599999999999"/>
        <n v="9271.7999999999993"/>
        <n v="6746.4999999999991"/>
        <n v="3801.599999999999"/>
        <n v="3326.3999999999992"/>
        <n v="4048.8"/>
        <n v="4402.2"/>
        <n v="4248.7999999999984"/>
        <n v="8377.2000000000007"/>
        <n v="2506.4"/>
        <n v="7590.7999999999975"/>
        <n v="1931.1"/>
        <n v="6264.4400000000014"/>
        <n v="10547.59"/>
        <n v="19203.75"/>
        <n v="3978"/>
        <n v="2163.8000000000002"/>
        <n v="2788.2"/>
        <n v="6168.2000000000016"/>
        <n v="7031.2000000000025"/>
        <n v="4588.8"/>
        <n v="6521.68"/>
        <n v="14237.86"/>
        <n v="17873.310000000001"/>
        <n v="8502"/>
        <n v="5951.4"/>
        <n v="23403.20000000003"/>
        <n v="4351.2000000000016"/>
        <n v="5228.9999999999991"/>
        <n v="2496"/>
        <n v="8922.6"/>
        <n v="1270.8"/>
        <n v="16142.400000000011"/>
        <n v="4870.32"/>
        <n v="6151.800000000002"/>
        <n v="11745.87"/>
        <n v="2568.6"/>
        <n v="3556.2"/>
        <n v="4597.1999999999989"/>
        <n v="1453.2"/>
        <n v="9423.4699999999993"/>
        <n v="14226.240000000011"/>
        <n v="12680.85"/>
        <n v="3528.599999999999"/>
        <n v="5146.7999999999984"/>
        <n v="3976.2"/>
        <n v="1938"/>
        <n v="2203.1999999999998"/>
        <n v="10056"/>
        <n v="10952.76"/>
        <n v="14428.97"/>
        <n v="14504.4"/>
        <n v="9061.75"/>
        <n v="7952.4000000000033"/>
        <n v="4899.5999999999995"/>
        <n v="3666"/>
        <n v="1298.4000000000001"/>
        <n v="1243.2"/>
        <n v="1718.4"/>
        <n v="8759.8500000000022"/>
        <n v="16915.900000000009"/>
        <n v="9236.68"/>
        <n v="7480.54"/>
        <n v="11324.04"/>
        <n v="12892.8"/>
        <n v="6574.76"/>
        <n v="4925.5499999999984"/>
        <n v="5672.32"/>
        <n v="5574.4500000000016"/>
        <n v="6372.5"/>
        <n v="2906.4"/>
        <n v="2221.1999999999998"/>
        <n v="5020.3700000000008"/>
        <n v="6403.3000000000011"/>
        <n v="4039.1999999999989"/>
        <n v="4397.6499999999996"/>
        <n v="10144.68"/>
        <n v="8423.89"/>
        <n v="7694.76"/>
        <n v="10480.799999999999"/>
        <n v="3169.05"/>
        <n v="6244.8000000000011"/>
        <n v="1293.9000000000001"/>
        <n v="2658.8"/>
        <n v="1865.9"/>
        <n v="13332"/>
        <n v="11496.1"/>
        <n v="13162.5"/>
        <n v="13053.3"/>
        <n v="1021.4"/>
        <n v="1153.0999999999999"/>
        <n v="1708.4"/>
        <n v="11918"/>
        <n v="7825.18"/>
        <n v="5601.83"/>
        <n v="5189.0600000000004"/>
        <n v="1173.45"/>
        <n v="10106"/>
        <n v="1086.2"/>
        <n v="1946"/>
        <n v="1215.8"/>
        <n v="10305"/>
        <n v="6293.8400000000011"/>
        <n v="2390"/>
        <n v="5552.2"/>
        <n v="1346.7"/>
        <n v="15237.16"/>
        <n v="5672.380000000001"/>
        <n v="18303.439999999999"/>
        <n v="7035.62"/>
        <n v="6816.619999999999"/>
        <n v="1409.8"/>
        <n v="4822.8"/>
        <n v="23931.19999999999"/>
        <n v="4309.1000000000004"/>
        <n v="7068.4999999999991"/>
        <n v="2319.62"/>
        <n v="4299.9399999999996"/>
        <n v="1302.42"/>
        <n v="2880.74"/>
        <n v="2016.41"/>
        <n v="4306.12"/>
        <n v="6258.4"/>
        <n v="1342.5"/>
        <n v="1637.64"/>
        <n v="2102"/>
        <n v="13901.35"/>
        <n v="1852.5"/>
        <n v="4859.3999999999996"/>
        <n v="10733.25"/>
        <n v="2130.84"/>
        <n v="1508.12"/>
        <n v="4071.64"/>
        <n v="1370.839999999999"/>
        <n v="8998.1400000000012"/>
        <n v="10166"/>
        <n v="5624.8"/>
        <n v="1773.9"/>
        <n v="1015.44"/>
        <n v="4200.66"/>
        <n v="1294.1400000000001"/>
        <n v="2851.619999999999"/>
        <n v="2240.52"/>
        <n v="6528.5999999999976"/>
        <n v="7163.7300000000014"/>
        <n v="2035.71"/>
        <n v="2834.06"/>
        <n v="11379.56"/>
        <n v="2103.75"/>
        <n v="3221.48"/>
        <n v="3985.4"/>
        <n v="2801.64"/>
        <n v="3510.14"/>
        <n v="2833.02"/>
        <n v="3298.400000000001"/>
        <n v="8600.2400000000016"/>
        <n v="4314.6000000000004"/>
        <n v="9574.32"/>
        <n v="4223.6799999999976"/>
        <n v="4038.3"/>
        <n v="2379.34"/>
        <n v="2794.3"/>
        <n v="5689.3799999999992"/>
        <n v="3355.42"/>
        <n v="11232.63"/>
        <n v="8564.48"/>
        <n v="5687.86"/>
        <n v="8633.840000000002"/>
        <n v="1686.12"/>
        <n v="1812"/>
        <n v="1683.359999999999"/>
        <n v="1889.46"/>
        <n v="7408.5000000000027"/>
        <n v="9623.5"/>
        <n v="11734.5"/>
        <n v="23027.69999999999"/>
        <n v="2748"/>
        <n v="7386.3000000000011"/>
        <n v="4034.400000000001"/>
        <n v="10400"/>
        <n v="1397.04"/>
        <n v="1560.24"/>
        <n v="12598.7"/>
        <n v="5298.8799999999992"/>
        <n v="6814.4999999999991"/>
        <n v="6355.3800000000028"/>
        <n v="7025.4000000000024"/>
        <n v="2353.2600000000002"/>
        <n v="26745.250000000018"/>
        <n v="1958.16"/>
        <n v="1846.56"/>
        <n v="11857.6"/>
        <n v="5385.91"/>
        <n v="5110.3999999999996"/>
        <n v="2685.24"/>
        <n v="2550.6000000000008"/>
        <n v="3587.099999999999"/>
        <n v="19450.73"/>
        <n v="2250"/>
        <n v="3837.1800000000012"/>
        <n v="2505.2399999999998"/>
        <n v="7509.24"/>
        <n v="8467.9999999999982"/>
        <n v="8352"/>
        <n v="4698"/>
        <n v="8488.7000000000007"/>
        <n v="2119.6800000000012"/>
        <n v="652.86"/>
        <n v="2908.44"/>
        <n v="1327.5"/>
        <n v="1887.78"/>
        <n v="19734"/>
        <n v="11061.82"/>
        <n v="7292.32"/>
        <n v="4987.87"/>
        <n v="8105.75"/>
        <n v="3138.3000000000011"/>
        <n v="1602.3"/>
        <n v="1670.16"/>
        <n v="2722.86"/>
        <n v="2162.58"/>
        <n v="8772"/>
        <n v="10611.13"/>
        <n v="7860.1599999999989"/>
        <n v="3721.83"/>
        <n v="10874.04"/>
        <n v="3318.9600000000009"/>
        <n v="10705.71"/>
        <n v="1551.66"/>
        <n v="10939.29"/>
        <n v="4092.42"/>
        <n v="7932.0000000000027"/>
        <n v="8665.3500000000022"/>
        <n v="7310"/>
        <n v="10197.06"/>
        <n v="13396.79999999999"/>
        <n v="6550.4000000000005"/>
        <n v="5715.19"/>
        <n v="10334.82"/>
        <n v="7285.1999999999989"/>
        <n v="16849.19999999999"/>
        <n v="3900.0000000000009"/>
        <n v="6151.2"/>
        <n v="4800"/>
        <n v="16479.37999999999"/>
        <n v="8531.2799999999988"/>
        <n v="22843.8"/>
        <n v="2665.34"/>
        <n v="2834"/>
        <n v="7826.1700000000028"/>
        <n v="4989.6000000000004"/>
        <n v="2451.1999999999998"/>
        <n v="5562.0000000000027"/>
        <n v="2588.6"/>
        <n v="12928"/>
        <n v="5983.6"/>
        <n v="13351.8"/>
        <n v="1099.2"/>
        <n v="1880.2"/>
        <n v="9826.0000000000036"/>
        <n v="10737.2"/>
        <n v="8008.0000000000009"/>
        <n v="3239.2000000000012"/>
        <n v="2562.8000000000002"/>
        <n v="4681.6200000000008"/>
        <n v="5577.2000000000016"/>
        <n v="4936.8399999999983"/>
        <n v="17331.2"/>
        <n v="15352"/>
        <n v="14544"/>
        <n v="18271.28"/>
        <n v="2041.2"/>
        <n v="2171.9"/>
        <n v="6948.4500000000016"/>
        <n v="9601.8999999999978"/>
        <n v="4026.4"/>
        <n v="15153.999999999991"/>
        <n v="7976.55"/>
        <n v="7503.9999999999982"/>
        <n v="3642.4"/>
        <n v="15573.4"/>
        <n v="9225.0300000000007"/>
        <n v="5490"/>
        <n v="988"/>
        <n v="5727.2"/>
        <n v="6953.6"/>
        <n v="5848"/>
        <n v="1718.86"/>
        <n v="7233.6"/>
        <n v="4596.2"/>
        <n v="4098.12"/>
        <n v="5627.9999999999991"/>
        <n v="9060.0000000000036"/>
        <n v="7065.4600000000019"/>
        <n v="13950.4"/>
        <n v="4401.3999999999996"/>
        <n v="7264.8000000000011"/>
        <n v="5220.1000000000022"/>
        <n v="16245.54000000001"/>
        <n v="9360.5400000000009"/>
        <n v="8425.6"/>
        <n v="8052.0000000000027"/>
        <n v="10704.4"/>
        <n v="7400.0000000000009"/>
        <n v="6356"/>
        <n v="2963.6"/>
        <n v="2937.8"/>
        <n v="13590.1"/>
        <n v="9679.6"/>
        <n v="1606.3"/>
        <n v="2250.8000000000002"/>
        <n v="10004.799999999999"/>
        <n v="9127.48"/>
        <n v="4783.7400000000007"/>
        <n v="8511.090000000002"/>
        <n v="11930.1"/>
        <n v="13519.2"/>
        <n v="2688.8"/>
        <n v="6874.3999999999987"/>
        <n v="2319.5"/>
        <n v="3037.2"/>
        <n v="12124.5"/>
        <n v="19326.16"/>
        <n v="12200"/>
        <n v="8694.4499999999989"/>
        <n v="11336.64"/>
        <n v="18454.98"/>
        <n v="7484.4"/>
        <n v="13804"/>
        <n v="6692.7000000000007"/>
        <n v="21271.35"/>
        <n v="2187.8000000000002"/>
        <n v="1844.3"/>
        <n v="8097.6000000000013"/>
        <n v="10931.76"/>
        <n v="11010.03"/>
        <n v="9781.6"/>
        <n v="10353"/>
        <n v="3451"/>
        <n v="6901.9999999999991"/>
        <n v="2921"/>
        <n v="4587"/>
        <n v="2281.5"/>
        <n v="16139"/>
        <n v="3800.5"/>
        <n v="3987.6"/>
        <n v="4986.8"/>
        <n v="12381.599999999989"/>
        <n v="677.62"/>
        <n v="4478.7"/>
        <n v="4782.5"/>
        <n v="2594.6999999999998"/>
        <n v="3345.1"/>
        <n v="4523.6000000000004"/>
        <n v="1643.5"/>
        <n v="13670.3"/>
        <n v="2869.5"/>
        <n v="874"/>
        <n v="2800"/>
        <n v="4603.2"/>
        <n v="3130"/>
        <n v="1417"/>
        <n v="7625.2000000000007"/>
        <n v="15303.999999999991"/>
        <n v="2938.2"/>
        <n v="17360"/>
        <n v="12915.84"/>
        <n v="10348.92"/>
        <n v="5861.4400000000014"/>
        <n v="5668"/>
        <n v="11685.7"/>
        <n v="8603.1999999999971"/>
        <n v="4503.6000000000004"/>
        <n v="11039.500000000009"/>
        <n v="3308.8"/>
        <n v="13854.8"/>
        <n v="1191.0999999999999"/>
        <n v="1236.5999999999999"/>
        <n v="2216.3000000000002"/>
        <n v="1923.6"/>
        <n v="13888"/>
        <n v="9582.7199999999993"/>
        <n v="9166.08"/>
        <n v="4835.8000000000011"/>
        <n v="4556.6400000000003"/>
        <n v="14013.3"/>
        <n v="15692.79999999999"/>
        <n v="2898"/>
        <n v="4647.8999999999996"/>
        <n v="21160"/>
        <n v="3749.04"/>
        <n v="2527.1999999999998"/>
        <n v="4513"/>
        <n v="5274"/>
        <n v="6652.8"/>
        <n v="15578.8"/>
        <n v="5417.5999999999995"/>
        <n v="3816.8"/>
        <n v="2724.3"/>
        <n v="5136.6000000000004"/>
        <n v="2410.6999999999998"/>
        <n v="10156.799999999999"/>
        <n v="6085.2599999999993"/>
        <n v="2801.4"/>
        <n v="6943.9999999999982"/>
        <n v="3743.08"/>
        <n v="3896.2"/>
        <n v="4720.3999999999996"/>
        <n v="4160.3"/>
        <n v="1468.5"/>
        <n v="2986.1"/>
        <n v="9362.2199999999993"/>
        <n v="9310.57"/>
        <n v="11003.2"/>
        <n v="10416"/>
        <n v="6801.5999999999995"/>
        <n v="17325.999999999989"/>
        <n v="5033.7999999999993"/>
        <n v="1633"/>
        <n v="14500.8"/>
        <n v="14673.78"/>
        <n v="10185.86"/>
        <n v="9333.02"/>
        <n v="16179.6"/>
        <n v="2725.6"/>
        <n v="3400.8"/>
        <n v="15118.44"/>
        <n v="7763.5499999999993"/>
        <n v="8065.6600000000017"/>
        <n v="14584.63999999999"/>
        <n v="4701.6000000000004"/>
        <n v="4016.400000000001"/>
        <n v="14627.6"/>
        <n v="5452.4"/>
        <n v="5138.8"/>
        <n v="4540.2000000000007"/>
        <n v="12499.2"/>
        <n v="13067.82"/>
        <n v="6963.95"/>
        <n v="6626.8"/>
        <n v="5400.8000000000011"/>
        <n v="5527.5999999999995"/>
        <n v="18950.399999999991"/>
        <n v="10806.6"/>
        <n v="3473.8"/>
        <n v="29088"/>
        <n v="2339.4"/>
        <n v="9755.1999999999953"/>
        <n v="4880.2"/>
        <n v="3707.85"/>
        <n v="8053.5999999999995"/>
        <n v="9387.6"/>
        <n v="8501.9999999999982"/>
        <n v="8844.8000000000011"/>
        <n v="3036.8"/>
        <n v="13877.2"/>
        <n v="11297.2"/>
        <n v="2966.7"/>
        <n v="2382.1999999999998"/>
        <n v="4875.7999999999993"/>
        <n v="6315.84"/>
        <n v="18270.86"/>
        <n v="7638.8299999999981"/>
        <n v="9822.0499999999993"/>
        <n v="11239.19"/>
        <n v="2900.6"/>
        <n v="3275.2000000000012"/>
        <n v="13110.9"/>
        <n v="7577.6"/>
        <n v="14081.4"/>
        <n v="13143.3"/>
        <n v="3151.8"/>
        <n v="6476.7"/>
        <n v="2608.6999999999998"/>
        <n v="15366.55"/>
        <n v="10618"/>
        <n v="11148.9"/>
        <n v="4599.9000000000005"/>
        <n v="1726.2"/>
        <n v="1858.3"/>
        <n v="8337.3999999999978"/>
        <n v="15966"/>
        <n v="13725.920000000009"/>
        <n v="9008.7200000000048"/>
        <n v="2341.8000000000002"/>
        <n v="16879.999999999989"/>
        <n v="15853.599999999989"/>
        <n v="18001.89999999998"/>
        <n v="14519.7"/>
        <n v="6613.7999999999993"/>
        <n v="3459.3"/>
        <n v="5486.1"/>
        <n v="4125.8"/>
        <n v="4182.3999999999996"/>
        <n v="6140.4000000000005"/>
        <n v="12614.17"/>
        <n v="10378.89"/>
        <n v="7126"/>
        <n v="10001"/>
        <n v="6701.7999999999993"/>
        <n v="8553.7999999999993"/>
        <n v="9034.9999999999982"/>
        <n v="6302.5999999999995"/>
        <n v="6592.7999999999993"/>
        <n v="2548.12"/>
        <n v="7436"/>
        <n v="3991.34"/>
        <n v="6464.2000000000007"/>
        <n v="3245.68"/>
        <n v="14342"/>
        <n v="5042.1000000000004"/>
        <n v="10428"/>
        <n v="5669.2999999999993"/>
        <n v="7592.1999999999989"/>
        <n v="8282.4"/>
        <n v="14596.70000000001"/>
        <n v="13927.32"/>
        <n v="2590.62"/>
        <n v="3622.04"/>
        <n v="2396.3200000000002"/>
        <n v="2939.24"/>
        <n v="4604.9600000000009"/>
        <n v="7271.24"/>
        <n v="16382.600000000009"/>
        <n v="3455.1"/>
        <n v="12605.1"/>
        <n v="12893.3"/>
        <n v="8597.8999999999978"/>
        <n v="7698.2999999999984"/>
        <n v="8782.1"/>
        <n v="8426.8000000000011"/>
        <n v="907.2"/>
        <n v="13747.36"/>
        <n v="16861.260000000009"/>
        <n v="7829.73"/>
        <n v="8482.4999999999982"/>
        <n v="8075.9700000000012"/>
        <n v="1266"/>
        <n v="4141.2"/>
        <n v="5525.52"/>
        <n v="6686.68"/>
        <n v="6406.4000000000005"/>
        <n v="9906.44"/>
        <n v="4883.43"/>
        <n v="12675.18"/>
        <n v="9468.23"/>
        <n v="3297.6000000000008"/>
        <n v="9352.2000000000007"/>
        <n v="15980.399999999991"/>
        <n v="9844.3800000000047"/>
        <n v="6855"/>
        <n v="8359.24"/>
        <n v="9225.01"/>
        <n v="14562.7"/>
        <n v="7025.4000000000005"/>
        <n v="16067.08"/>
        <n v="6563"/>
        <n v="5054"/>
        <n v="4860.7999999999993"/>
        <n v="8933.43"/>
        <n v="12479.2"/>
        <n v="4818"/>
        <n v="2894.1"/>
        <n v="14322.79999999999"/>
        <n v="24979.19999999999"/>
        <n v="3348.18"/>
        <n v="6891.33"/>
        <n v="12466.29999999999"/>
        <n v="12846.7"/>
        <n v="8534.4999999999982"/>
        <n v="12439.79999999999"/>
        <n v="12295.30000000001"/>
        <n v="4390.28"/>
        <n v="5073.1000000000004"/>
        <n v="9290.7500000000018"/>
        <n v="8494.4000000000015"/>
        <n v="14019.89999999998"/>
        <n v="8465.7999999999993"/>
        <n v="15916.099999999989"/>
        <n v="13597.1"/>
        <n v="3157.92"/>
        <n v="6735.42"/>
        <n v="3892.7"/>
        <n v="3750.8"/>
        <n v="2462.6"/>
        <n v="13949.04"/>
        <n v="9133.68"/>
        <n v="6980.54"/>
        <n v="14363.4"/>
        <n v="5199.1000000000004"/>
        <n v="4299.3599999999997"/>
        <n v="3420.72"/>
        <n v="15990.999999999991"/>
        <n v="5043.55"/>
        <n v="8576.0499999999993"/>
        <n v="5902.9000000000005"/>
        <n v="11350.67"/>
        <n v="13081.8"/>
        <n v="4662"/>
        <n v="12385.79999999999"/>
        <n v="4781.2999999999993"/>
        <n v="5464.2000000000007"/>
        <n v="5985.78"/>
        <n v="9484.92"/>
        <n v="13126.8"/>
        <n v="14776.6"/>
        <n v="8877.9999999999982"/>
        <n v="6352"/>
        <n v="5876.4"/>
        <n v="15155.999999999991"/>
        <n v="7309.4000000000005"/>
        <n v="14575.79999999999"/>
        <n v="4295.1000000000004"/>
        <n v="12096.3"/>
        <n v="5056.1000000000004"/>
        <n v="3693.900000000001"/>
        <n v="15642"/>
        <n v="5046"/>
        <n v="4913.3999999999996"/>
        <n v="6202.7999999999993"/>
        <n v="7990.1999999999989"/>
        <n v="3476"/>
        <n v="5876.3999999999987"/>
        <n v="5131.3000000000011"/>
        <n v="4639.34"/>
        <n v="8603.1999999999989"/>
        <n v="8482.0999999999985"/>
        <n v="16564.80000000001"/>
        <n v="8328"/>
        <n v="16723.350000000009"/>
        <n v="6814.1999999999989"/>
        <n v="7202.9999999999982"/>
        <n v="4724.4000000000005"/>
        <n v="14299.999999999991"/>
        <n v="7520.8000000000011"/>
        <n v="8569.5399999999991"/>
        <n v="3389.1"/>
        <n v="13755.69999999999"/>
        <n v="2536.6"/>
        <n v="7252.2000000000007"/>
        <n v="7207.2000000000007"/>
        <n v="4804.8"/>
        <n v="5596.2999999999993"/>
        <n v="14479.6"/>
        <n v="7893.7499999999991"/>
        <n v="6715.0000000000009"/>
        <n v="5197.91"/>
        <n v="3796.1"/>
        <n v="16939.19999999999"/>
        <n v="5660.85"/>
        <n v="4576.4000000000005"/>
        <n v="14553.599999999989"/>
        <n v="7982.4999999999991"/>
        <n v="7018.4000000000005"/>
        <n v="7872.0000000000045"/>
        <n v="4449.6000000000013"/>
        <n v="9219.5"/>
        <n v="9025.3000000000047"/>
        <n v="6176.6"/>
        <n v="7159.8"/>
        <n v="5326.4"/>
        <n v="5601.2"/>
        <n v="5866.5999999999995"/>
        <n v="8586.6000000000022"/>
        <n v="8571.1000000000058"/>
        <n v="7875.7000000000016"/>
        <n v="6191"/>
        <n v="7097.0999999999995"/>
        <n v="11275.2"/>
        <n v="3948"/>
        <n v="7369.91"/>
        <n v="12621.179999999989"/>
        <n v="9765.9"/>
        <n v="9025.3000000000029"/>
        <n v="9556.2000000000044"/>
        <n v="8684.6000000000022"/>
        <n v="9842.4000000000033"/>
        <n v="3520.7999999999988"/>
        <n v="13281.6"/>
        <n v="6603.1999999999989"/>
        <n v="20385.600000000009"/>
        <n v="9919"/>
        <n v="8992.5499999999993"/>
        <n v="18906.999999999982"/>
        <n v="9917"/>
        <n v="9490.7999999999956"/>
        <n v="7202.9999999999973"/>
        <n v="13207.599999999989"/>
        <n v="14308.999999999991"/>
        <n v="4492.7000000000016"/>
        <n v="17004"/>
        <n v="12805.26"/>
        <n v="14304.88"/>
        <n v="3654"/>
        <n v="12953.96"/>
        <n v="9367.1999999999971"/>
        <n v="19084.80000000001"/>
        <n v="7750.5999999999995"/>
        <n v="9129.6000000000022"/>
        <n v="8018.9000000000024"/>
        <n v="4200.3999999999996"/>
        <n v="3093.6"/>
        <n v="3455.6"/>
        <n v="4684.87"/>
        <n v="12158.4"/>
        <n v="9889.2000000000044"/>
        <n v="6730.91"/>
        <n v="19522.400000000009"/>
        <n v="18772"/>
        <n v="5475.5999999999995"/>
        <n v="10653.6"/>
        <n v="5600.8000000000011"/>
        <n v="5252.4"/>
        <n v="5964.4000000000024"/>
        <n v="7440.869999999999"/>
        <n v="15875.099999999989"/>
        <n v="6151.2000000000016"/>
        <n v="8051"/>
        <n v="8051.600000000004"/>
        <n v="7117.9999999999973"/>
        <n v="10079"/>
        <n v="6370.8000000000011"/>
        <n v="12903.599999999989"/>
        <n v="12437"/>
        <n v="14241.8"/>
        <n v="11678"/>
        <n v="23507.94"/>
        <n v="22586.06"/>
        <n v="11336.000000000009"/>
        <n v="10090"/>
        <n v="11474.7"/>
        <n v="22292.1"/>
        <n v="8002.9999999999991"/>
        <n v="14944.8"/>
        <n v="4089.4"/>
        <n v="6265"/>
        <n v="5251.2"/>
        <n v="4939.5999999999995"/>
        <n v="4290"/>
        <n v="11052.000000000009"/>
        <n v="7879.199999999998"/>
        <n v="14890.8"/>
        <n v="3313.2000000000012"/>
        <n v="5150.2"/>
        <n v="4188.7999999999984"/>
        <n v="8058"/>
        <n v="8808.69"/>
        <n v="16580.799999999988"/>
        <n v="15608"/>
        <n v="11189.3"/>
        <n v="5176.5"/>
        <n v="6591.5999999999995"/>
        <n v="4977"/>
        <n v="4526.5999999999995"/>
        <n v="5258"/>
        <n v="4908.0999999999995"/>
        <n v="12468.33"/>
        <n v="3794.4"/>
        <n v="7806.0000000000027"/>
        <n v="15759"/>
        <n v="8691.4"/>
        <n v="8691.3999999999978"/>
        <n v="18910"/>
        <n v="19038.000000000011"/>
        <n v="7291"/>
        <n v="4539.2"/>
        <n v="4860"/>
        <n v="9115.5199999999968"/>
        <n v="22279"/>
        <n v="22297.8"/>
        <n v="8628.9999999999982"/>
        <n v="7821.0000000000027"/>
        <n v="11942.13"/>
        <n v="18756.849999999999"/>
        <n v="13302"/>
        <n v="7883.8999999999978"/>
        <n v="15235.2"/>
        <n v="8145"/>
        <n v="3688.6"/>
        <n v="18996.39"/>
        <n v="1944"/>
        <n v="13168.4"/>
        <n v="10119.52"/>
        <n v="6627"/>
        <n v="15103.2"/>
        <n v="4040.49"/>
        <n v="11849.599999999989"/>
        <n v="5832"/>
        <n v="6895.6"/>
        <n v="5498.9"/>
        <n v="6440.9999999999991"/>
        <n v="5906"/>
        <n v="11391.6"/>
        <n v="10412.15"/>
        <n v="4072.5"/>
        <n v="15218.414000000001"/>
        <n v="16663"/>
        <n v="5506.2"/>
        <n v="7121.5999999999995"/>
        <n v="7075.1999999999989"/>
        <n v="6875.6"/>
        <n v="10448"/>
        <n v="7615.4000000000005"/>
        <n v="5837.9999999999991"/>
        <n v="7113.0000000000027"/>
        <n v="8919.9000000000015"/>
        <n v="6500"/>
        <n v="8177.78"/>
        <n v="8265.2099999999991"/>
        <n v="4149.6499999999996"/>
        <n v="10967.53"/>
        <n v="9579.6"/>
        <n v="11840.41"/>
        <n v="13745.099999999989"/>
        <n v="6989.2"/>
        <n v="11232.6"/>
        <n v="8267.4199999999983"/>
        <n v="14209.04"/>
        <n v="5750.3"/>
        <n v="7930.9599999999973"/>
        <n v="23277.47"/>
        <n v="11136"/>
        <n v="7685.9999999999973"/>
        <n v="8000.28"/>
        <n v="13776.6"/>
        <n v="3815.6"/>
        <n v="3848.0000000000009"/>
        <n v="18009.599999999999"/>
        <n v="15937.3"/>
        <n v="5122.8399999999983"/>
        <n v="5216.4199999999992"/>
        <n v="4348.3"/>
        <n v="3598.2000000000012"/>
        <n v="6581.1399999999994"/>
        <n v="4879.04"/>
        <n v="11474.22"/>
        <n v="22816.53"/>
        <n v="5754.0000000000009"/>
        <n v="3836"/>
        <n v="4421.32"/>
        <n v="3261.6000000000008"/>
        <n v="4323.2"/>
        <n v="18399.2"/>
        <n v="5024.0999999999995"/>
        <n v="6771.2799999999988"/>
        <n v="19440.09999999998"/>
        <n v="3604.42"/>
        <n v="13563.98"/>
        <n v="4548.4399999999996"/>
        <n v="4392.42"/>
        <n v="9494.2999999999993"/>
        <n v="5065.1399999999994"/>
        <n v="5062.6000000000004"/>
        <n v="7428.45"/>
        <n v="10778.84"/>
        <n v="17383.999999999989"/>
        <n v="4927.4599999999991"/>
        <n v="10949.7"/>
        <n v="11151.5"/>
        <n v="4360"/>
        <n v="9167.34"/>
        <n v="6067.94"/>
        <n v="12147.51"/>
        <n v="4470.4000000000005"/>
        <n v="13134"/>
        <n v="7628.800000000002"/>
        <n v="10630.2"/>
        <n v="7153.6000000000022"/>
        <n v="7923.0000000000027"/>
        <n v="7324.9"/>
        <n v="10117.6"/>
        <n v="8587.8000000000029"/>
        <n v="5641.9999999999991"/>
        <n v="17939.299999999988"/>
        <n v="9106.3999999999978"/>
        <n v="8854.7999999999993"/>
        <n v="4354.9399999999996"/>
        <n v="13756.8"/>
        <n v="7629.2"/>
        <n v="8154.4"/>
        <n v="8305.8000000000011"/>
        <n v="21051"/>
        <n v="6368.1600000000017"/>
        <n v="8188.949999999998"/>
        <n v="6996.78"/>
        <n v="7185.56"/>
        <n v="7404.8000000000011"/>
        <n v="17429.100000000009"/>
        <n v="17004.000000000011"/>
        <n v="7764"/>
        <n v="9247.9999999999982"/>
        <n v="21632.46"/>
        <n v="7231.5"/>
        <n v="6259.8"/>
        <n v="8966.1999999999989"/>
        <n v="4473.34"/>
        <n v="12083.12"/>
        <n v="5257.8600000000006"/>
        <n v="3581.55"/>
        <n v="4506.93"/>
        <n v="8456.4"/>
        <n v="16179.29999999999"/>
        <n v="9192.0000000000018"/>
        <n v="22212.799999999988"/>
        <n v="10402.799999999999"/>
        <n v="7637.8"/>
        <n v="4392.12"/>
        <n v="10363.98"/>
        <n v="4995.3799999999992"/>
        <n v="15615.2"/>
        <n v="20404.80000000001"/>
        <n v="8263.7999999999956"/>
        <n v="7102.2000000000025"/>
        <n v="11562.400000000011"/>
        <n v="5941.2200000000039"/>
        <n v="5496.92"/>
        <n v="5636.2399999999989"/>
        <n v="13739.819999999991"/>
        <n v="8514.2500000000018"/>
        <n v="10059.33"/>
        <n v="5905.06"/>
        <n v="10711.8"/>
        <n v="12535.6"/>
        <n v="8321.1999999999989"/>
        <n v="5899.8000000000011"/>
        <n v="7050.6000000000022"/>
        <n v="15132.500000000009"/>
        <n v="5547.1999999999989"/>
        <n v="8744.2000000000025"/>
        <n v="3512.4"/>
        <n v="10597.09"/>
        <n v="8964.4499999999971"/>
        <n v="5819.48"/>
        <n v="7240.3200000000024"/>
        <n v="14807"/>
        <n v="6612.9"/>
        <n v="13999.05"/>
        <n v="15148.79999999999"/>
        <n v="4241.9000000000005"/>
        <n v="15210.8"/>
        <n v="5899.8"/>
        <n v="6698.81"/>
        <n v="6861.52"/>
        <n v="6722.5800000000008"/>
        <n v="9590.4900000000016"/>
        <n v="15691.91"/>
        <n v="8417.7699999999986"/>
        <n v="21894.65"/>
        <n v="5192.3000000000011"/>
        <n v="3008"/>
        <n v="6750.0000000000009"/>
        <n v="19852.199999999979"/>
        <n v="6749.9999999999991"/>
        <n v="7125"/>
        <n v="21945.75"/>
        <n v="4205.5"/>
        <n v="7000.2"/>
        <n v="13423.429999999989"/>
        <n v="10036.56"/>
        <n v="23540.820000000011"/>
        <n v="26345.47"/>
        <n v="23047"/>
        <n v="11945.1"/>
        <n v="9874.7400000000034"/>
        <n v="4408.5"/>
        <n v="5951.9400000000005"/>
        <n v="15378.000000000009"/>
        <n v="3655.62"/>
        <n v="5602.7999999999984"/>
        <n v="11775.22"/>
        <n v="8024.47"/>
        <n v="9538.56"/>
        <n v="13550.97"/>
        <n v="10780.02"/>
        <n v="6000.24"/>
        <n v="11011"/>
        <n v="9558.5000000000036"/>
        <n v="4425.8"/>
        <n v="17531.19999999999"/>
        <n v="8248.4000000000015"/>
        <n v="4731.0000000000009"/>
        <n v="5809.0999999999995"/>
        <n v="5195.7000000000016"/>
        <n v="8177.9999999999991"/>
        <n v="5101.7199999999984"/>
        <n v="7031.48"/>
        <n v="6714.58"/>
        <n v="9199.56"/>
        <n v="8068.5000000000027"/>
        <n v="7153.94"/>
        <n v="7190.0000000000009"/>
        <n v="15154.2"/>
        <n v="7399.0000000000027"/>
        <n v="7298"/>
        <n v="12782.4"/>
        <n v="15805.099999999989"/>
        <n v="3201.6"/>
        <n v="4382.1499999999996"/>
        <n v="21496.29"/>
        <n v="3503.38"/>
        <n v="7888.7999999999975"/>
        <n v="7757.3199999999988"/>
        <n v="21159.599999999999"/>
        <n v="15732.8"/>
        <n v="14050.8"/>
        <n v="13625.999999999991"/>
        <n v="4208.8999999999996"/>
        <n v="6167.3999999999987"/>
        <n v="15780.6"/>
        <n v="4929.4900000000016"/>
        <n v="5214"/>
        <n v="21570"/>
        <n v="18291"/>
        <n v="4976.4000000000005"/>
        <n v="8035"/>
        <n v="2963.2000000000012"/>
        <n v="1998"/>
        <n v="8326"/>
        <n v="3237"/>
        <n v="3836.8"/>
        <n v="15139.1"/>
        <n v="5118.04"/>
        <n v="7239"/>
        <n v="16670.2"/>
        <n v="10160.64"/>
        <n v="10091.52"/>
        <n v="14249.39999999998"/>
        <n v="7128.0000000000036"/>
        <n v="9129.6"/>
        <n v="7228.7999999999984"/>
        <n v="11946.000000000009"/>
        <n v="5296.5"/>
        <n v="13971.5"/>
        <n v="8852.68"/>
        <n v="6333.4099999999989"/>
        <n v="8002.9999999999973"/>
        <n v="15678.8"/>
        <n v="9753.6000000000022"/>
        <n v="9753.6"/>
        <n v="7649.2999999999975"/>
        <n v="13880.8"/>
        <n v="4215.8"/>
        <n v="8118.6"/>
        <n v="3886.8"/>
        <n v="8990.1999999999989"/>
        <n v="23399.78"/>
        <n v="10425.6"/>
        <n v="10333.44"/>
        <n v="28949.120000000003"/>
        <n v="5408"/>
        <n v="15302.8"/>
        <n v="14020.999999999991"/>
        <n v="5520.4"/>
        <n v="6024.3999999999987"/>
        <n v="4948.7299999999996"/>
        <n v="8965.25"/>
        <n v="25228.749999999989"/>
        <n v="26500.03999999999"/>
        <n v="6246.78"/>
        <n v="14793.8"/>
        <n v="11204.4"/>
        <n v="2963.2"/>
        <n v="7999.95"/>
        <n v="9701.68"/>
        <n v="8479.6000000000022"/>
        <n v="7915.6"/>
        <n v="4185.2000000000016"/>
        <n v="5362.29"/>
        <n v="18105.93"/>
        <n v="8003"/>
        <n v="5607.9999999999973"/>
        <n v="9003.9999999999982"/>
        <n v="12174.4"/>
        <n v="6174.9000000000005"/>
        <n v="9790.7999999999993"/>
        <n v="4553.8599999999997"/>
        <n v="5667.5"/>
        <n v="11427.42"/>
        <n v="5287.24"/>
        <n v="17943.220000000008"/>
        <n v="12954.4"/>
        <n v="19854.799999999988"/>
        <n v="13841.2"/>
        <n v="15658.9"/>
        <n v="6948.5999999999995"/>
        <n v="10593"/>
        <n v="14264.94"/>
        <n v="3192"/>
        <n v="22027.000000000011"/>
        <n v="12203.6"/>
        <n v="3375.8"/>
        <n v="13597.099999999989"/>
        <n v="7075.5000000000009"/>
        <n v="8783.9999999999982"/>
        <n v="9155.7999999999993"/>
        <n v="5728.9000000000005"/>
        <n v="8813.3000000000011"/>
        <n v="7385.5"/>
        <n v="26794.62999999999"/>
        <n v="10331.26"/>
        <n v="6252"/>
        <n v="5853"/>
        <n v="8402.4"/>
        <n v="18707.8"/>
        <n v="6101.8"/>
        <n v="3438.8"/>
        <n v="8811.7999999999975"/>
        <n v="4169.6000000000004"/>
        <n v="6522.6999999999989"/>
        <n v="9356.35"/>
        <n v="22978.62000000001"/>
        <n v="25687.64"/>
        <n v="2994.6"/>
        <n v="18161.599999999999"/>
        <n v="6901.2000000000016"/>
        <n v="3918.4"/>
        <n v="4809.6000000000013"/>
        <n v="6759.06"/>
        <n v="3495.3000000000011"/>
        <n v="4966.4000000000005"/>
        <n v="26300.51"/>
        <n v="12487.5"/>
        <n v="4225.7999999999984"/>
        <n v="4204.8"/>
        <n v="5110.8999999999996"/>
        <n v="23672.720000000001"/>
        <n v="16818.080000000002"/>
        <n v="16384.599999999991"/>
        <n v="5185.9999999999991"/>
        <n v="3494.6"/>
        <n v="3817.8000000000011"/>
        <n v="3814.9"/>
        <n v="6884.3"/>
        <n v="10236.459999999999"/>
        <n v="15541.01"/>
        <n v="2417.4"/>
        <n v="18997.3"/>
        <n v="29221"/>
        <n v="18760.599999999999"/>
        <n v="5423.5"/>
        <n v="3995.9"/>
        <n v="3593.5"/>
        <n v="5188.2000000000016"/>
        <n v="3100.8"/>
        <n v="4989.3999999999996"/>
        <n v="15181.35"/>
        <n v="7602.8000000000011"/>
        <n v="11044.32"/>
        <n v="7488.3"/>
        <n v="13346.3"/>
        <n v="4419.9000000000005"/>
        <n v="14024.9"/>
        <n v="4285.8"/>
        <n v="4572.4000000000005"/>
        <n v="3184.1"/>
        <n v="11398.3"/>
        <n v="4602.83"/>
        <n v="10179"/>
        <n v="6211.7999999999984"/>
        <n v="8243.7999999999993"/>
        <n v="8518.8000000000029"/>
        <n v="4017.6"/>
        <n v="13531.099999999989"/>
        <n v="24847.200000000012"/>
        <n v="12423.6"/>
        <n v="9721"/>
        <n v="8698.4"/>
        <n v="13430.46"/>
        <n v="8999.52"/>
        <n v="7969.2000000000025"/>
        <n v="11499.2"/>
        <n v="10650.3"/>
        <n v="11112.6"/>
        <n v="24604.000000000011"/>
        <n v="18865.399999999991"/>
        <n v="17387.47"/>
        <n v="12512.9"/>
        <n v="4699.4000000000005"/>
        <n v="14016"/>
        <n v="7096.4400000000023"/>
        <n v="10692.81"/>
        <n v="6505.78"/>
        <n v="9434"/>
        <n v="8553.6000000000058"/>
        <n v="9590.4"/>
        <n v="7802.9999999999991"/>
        <n v="8463.1999999999989"/>
        <n v="3735.6"/>
        <n v="6304.8"/>
        <n v="13177.6"/>
        <n v="12903.75"/>
        <n v="20306.700000000012"/>
        <n v="7095.6"/>
        <n v="14701.59999999998"/>
        <n v="7151.7000000000016"/>
        <n v="4778.1000000000004"/>
        <n v="8177.7999999999975"/>
        <n v="3368"/>
        <n v="3531.2"/>
        <n v="6799.9999999999991"/>
        <n v="5874.4000000000024"/>
        <n v="4120.3"/>
        <n v="19177.63"/>
        <n v="6566"/>
        <n v="4693.8"/>
        <n v="7488.7999999999984"/>
        <n v="11286.999999999991"/>
        <n v="14017.000000000009"/>
        <n v="10548"/>
        <n v="3034"/>
        <n v="5780.3999999999987"/>
        <n v="3240.8"/>
        <n v="7189.2000000000025"/>
        <n v="28768.400000000009"/>
        <n v="14099.8"/>
        <n v="21697.200000000001"/>
        <n v="8977.56"/>
        <n v="14002"/>
        <n v="4447.9999999999991"/>
        <n v="3610.4"/>
        <n v="6590.4000000000005"/>
        <n v="5309.0000000000009"/>
        <n v="12173"/>
        <n v="9037.6"/>
        <n v="4145.6000000000004"/>
        <n v="3804.4"/>
        <n v="6713"/>
        <n v="27536.600000000009"/>
        <n v="14380.56"/>
        <n v="10908.80000000001"/>
        <n v="4048.4"/>
        <n v="4151.2"/>
        <n v="6889.4"/>
        <n v="13517.13"/>
        <n v="13651.000000000009"/>
        <n v="11656.2"/>
        <n v="12131.2"/>
        <n v="9091.9999999999982"/>
        <n v="15408.2"/>
        <n v="14331.599999999989"/>
        <n v="4723.6000000000004"/>
        <n v="9500.6"/>
        <n v="11040"/>
        <n v="9833.52"/>
        <n v="17493.18"/>
        <n v="9753.2000000000007"/>
        <n v="9753.2000000000044"/>
        <n v="21886.399999999991"/>
        <n v="6756.4"/>
        <n v="4764.2"/>
        <n v="4107.6000000000004"/>
        <n v="5631.66"/>
        <n v="21520.84"/>
        <n v="12148.499999999991"/>
        <n v="16105.19999999999"/>
        <n v="10450"/>
        <n v="8921.1"/>
        <n v="3873"/>
        <n v="4894.7999999999984"/>
        <n v="5652"/>
        <n v="8216.7999999999993"/>
        <n v="4601.2"/>
        <n v="5904.7999999999984"/>
        <n v="24275.520000000011"/>
        <n v="7584.24"/>
        <n v="16891.439999999991"/>
        <n v="2999.88"/>
        <n v="4463.6000000000004"/>
        <n v="7502.4"/>
        <n v="12396.4"/>
        <n v="11439.8"/>
        <n v="9715.2000000000007"/>
        <n v="7503.2"/>
        <n v="12428.48"/>
        <n v="19508.39999999998"/>
        <n v="7302.4"/>
        <n v="4226"/>
        <n v="7565.0000000000009"/>
        <n v="4738.4000000000005"/>
        <n v="7089.4000000000024"/>
        <n v="14879.19999999999"/>
        <n v="13467.999999999991"/>
        <n v="9195.6000000000022"/>
        <n v="6282.2"/>
        <n v="18155.990000000002"/>
        <n v="8458.32"/>
        <n v="16929.900000000001"/>
        <n v="3293"/>
        <n v="4710"/>
        <n v="10941.2"/>
        <n v="7839.8000000000011"/>
        <n v="7475"/>
        <n v="14001.999999999991"/>
        <n v="4207.4000000000005"/>
        <n v="3203.2"/>
        <n v="5288.7999999999984"/>
        <n v="13766.2"/>
        <n v="11747.999999999991"/>
        <n v="7777.5999999999976"/>
        <n v="12992.66"/>
        <n v="6573.9999999999991"/>
        <n v="6174.6000000000013"/>
        <n v="6815"/>
        <n v="4959.2000000000016"/>
        <n v="9012.7000000000007"/>
        <n v="18480.8"/>
        <n v="4363.8"/>
        <n v="10090.6"/>
        <n v="10344.24"/>
        <n v="13964"/>
        <n v="13915.5"/>
        <n v="12592.4"/>
        <n v="8590.1999999999989"/>
        <n v="15226.399999999991"/>
        <n v="3200.8"/>
        <n v="9065"/>
        <n v="4626.3999999999996"/>
        <n v="6588.7999999999975"/>
        <n v="3613.8"/>
        <n v="8264.25"/>
        <n v="15929.24"/>
        <n v="11728.2"/>
        <n v="9277.4"/>
        <n v="10026.700000000001"/>
        <n v="9970.1999999999971"/>
        <n v="8419.44"/>
        <n v="6388.0000000000009"/>
        <n v="9901.6"/>
        <n v="4051.4"/>
        <n v="7776.7999999999975"/>
        <n v="7776.8000000000047"/>
        <n v="6181.4000000000024"/>
        <n v="13177.599999999989"/>
        <n v="14065"/>
        <n v="3201.2000000000012"/>
        <n v="9954.7999999999993"/>
        <n v="12263.8"/>
        <n v="15890.28"/>
        <n v="24903.8"/>
        <n v="17096.87999999999"/>
        <n v="16377.34"/>
        <n v="6574.0800000000008"/>
        <n v="2851.1999999999989"/>
        <n v="6652.800000000002"/>
        <n v="9952.6"/>
        <n v="3952"/>
        <n v="4189.2"/>
        <n v="3401.2"/>
        <n v="14129.239999999991"/>
        <n v="3744.77"/>
        <n v="3543.84"/>
        <n v="15148.56000000001"/>
        <n v="2083.1999999999998"/>
        <n v="4843.6000000000004"/>
        <n v="14865.2"/>
        <n v="2157.4"/>
        <n v="3713.4"/>
        <n v="4563.7999999999984"/>
        <n v="4289"/>
        <n v="11988.8"/>
        <n v="17774.400000000001"/>
        <n v="22555.68"/>
        <n v="19430.400000000001"/>
        <n v="22466.509999999991"/>
        <n v="5746.7999999999984"/>
        <n v="5774.2000000000025"/>
        <n v="14249.399999999991"/>
        <n v="5324.4000000000005"/>
        <n v="6892.6"/>
        <n v="14635.75"/>
        <n v="23654.55999999999"/>
        <n v="7445.9999999999973"/>
        <n v="14257.599999999989"/>
        <n v="4191.3999999999996"/>
        <n v="4601"/>
        <n v="4177.6000000000004"/>
        <n v="3683.4"/>
        <n v="7700.6099999999988"/>
        <n v="2651.04"/>
        <n v="8284.5000000000018"/>
        <n v="3240"/>
        <n v="7332.7999999999984"/>
        <n v="12000.599999999989"/>
        <n v="13518.72"/>
        <n v="8100"/>
        <n v="14060.999999999991"/>
        <n v="5255.5999999999995"/>
        <n v="8449.1999999999989"/>
        <n v="19835.2"/>
        <n v="8103.3500000000022"/>
        <n v="8600.85"/>
        <n v="24315.689999999991"/>
        <n v="6383.4"/>
        <n v="6706.8"/>
        <n v="5184"/>
        <n v="10658.7"/>
        <n v="7198.36"/>
        <n v="10476.5"/>
        <n v="12417.43"/>
        <n v="8409.2300000000014"/>
        <n v="14099"/>
        <n v="5221.2000000000016"/>
        <n v="6870.4"/>
        <n v="16309.8"/>
        <n v="5843.06"/>
        <n v="16520.599999999999"/>
        <n v="8838.4900000000016"/>
        <n v="2346.9"/>
        <n v="2947.36"/>
        <n v="3508.4"/>
        <n v="8815.7400000000016"/>
        <n v="15719.08"/>
        <n v="22457.389999999989"/>
        <n v="6595.2000000000025"/>
        <n v="14828.399999999991"/>
        <n v="16488"/>
        <n v="6086.4000000000024"/>
        <n v="6086.4"/>
        <n v="5200.0000000000009"/>
        <n v="17477.34"/>
        <n v="14128.4"/>
        <n v="4687.3999999999996"/>
        <n v="3751.2"/>
        <n v="5399.2000000000016"/>
        <n v="13626.000000000009"/>
        <n v="15584.16"/>
        <n v="18817.12"/>
        <n v="12580.6"/>
        <n v="6052.0000000000027"/>
        <n v="4752"/>
        <n v="7772.7999999999984"/>
        <n v="7228.3999999999987"/>
        <n v="19267.439999999999"/>
        <n v="10286.040000000001"/>
        <n v="30553.60000000002"/>
        <n v="8554.0000000000091"/>
        <n v="6709.8"/>
        <n v="8244"/>
        <n v="4901.9999999999991"/>
        <n v="4110.0000000000009"/>
        <n v="14693.53"/>
        <n v="25231.19999999999"/>
        <n v="6020.2"/>
        <n v="6574.800000000002"/>
        <n v="7078.5999999999995"/>
        <n v="15830.8"/>
        <n v="5206.2"/>
        <n v="4361.5999999999995"/>
        <n v="10363.4"/>
        <n v="18691.2"/>
        <n v="10928.6"/>
        <n v="712.8"/>
        <n v="10293.4"/>
        <n v="8172.3599999999979"/>
        <n v="24594.239999999991"/>
        <n v="2110"/>
        <n v="25338.899999999991"/>
        <n v="25698.599999999991"/>
        <n v="25642.46999999999"/>
        <n v="18357"/>
        <n v="5513.4"/>
        <n v="16579.19999999999"/>
        <n v="8964.8199999999979"/>
        <n v="18477.55"/>
        <n v="9246"/>
        <n v="9493.2000000000007"/>
        <n v="14428.2"/>
        <n v="8667.1199999999972"/>
        <n v="7041.9"/>
        <n v="15307.45"/>
        <n v="9927.9999999999964"/>
        <n v="11064.76"/>
        <n v="3960.0000000000009"/>
        <n v="10160.799999999999"/>
        <n v="25459.529999999992"/>
        <n v="15115.9"/>
        <n v="21283.48"/>
        <n v="9918"/>
        <n v="8244.4"/>
        <n v="3813.0000000000009"/>
        <n v="3450.2000000000012"/>
        <n v="4549.4000000000005"/>
        <n v="8780.8700000000008"/>
        <n v="5782.54"/>
        <n v="15429.56"/>
        <n v="13537.95"/>
        <n v="5100.8"/>
        <n v="7479.4"/>
        <n v="4695.6000000000004"/>
        <n v="8425.5999999999985"/>
        <n v="25177.349999999991"/>
        <n v="12342.22"/>
        <n v="15694.24"/>
        <n v="26523.19999999999"/>
        <n v="8254.2000000000007"/>
        <n v="11052.6"/>
        <n v="6402.4"/>
        <n v="5499.4000000000005"/>
        <n v="9450.7999999999956"/>
        <n v="13172"/>
        <n v="7651.4"/>
        <n v="16692.260000000009"/>
        <n v="5734.8"/>
        <n v="2473.2000000000012"/>
        <n v="19226"/>
        <n v="6510"/>
        <n v="16596.159999999989"/>
        <n v="7572.4899999999989"/>
        <n v="6930.82"/>
        <n v="2830.11"/>
        <n v="13650.3"/>
        <n v="17875"/>
        <n v="13000"/>
        <n v="5203.3999999999996"/>
        <n v="4928.2"/>
        <n v="5523.2999999999984"/>
        <n v="4383.5"/>
        <n v="8346.4999999999982"/>
        <n v="13290.87"/>
        <n v="13709.599999999989"/>
        <n v="9771.7199999999975"/>
        <n v="8102.7999999999984"/>
        <n v="17692.3"/>
        <n v="4820.7"/>
        <n v="6722.7999999999984"/>
        <n v="14321.05"/>
        <n v="26919.340000000011"/>
        <n v="12799.2"/>
        <n v="10237.040000000001"/>
        <n v="14234"/>
        <n v="8697.2000000000007"/>
        <n v="4131.8999999999996"/>
        <n v="5392.2999999999984"/>
        <n v="6221.9999999999991"/>
        <n v="16424.649999999991"/>
        <n v="25695.25"/>
        <n v="24211.30000000001"/>
        <n v="13414.4"/>
        <n v="9324.0400000000009"/>
        <n v="8753.3999999999978"/>
        <n v="11194"/>
        <n v="3414"/>
        <n v="6054.1"/>
        <n v="10395.84"/>
        <n v="11195.52"/>
        <n v="2771.96"/>
        <n v="10613.3"/>
        <n v="22013.94"/>
        <n v="10327.9"/>
        <n v="12305.600000000009"/>
        <n v="3201.599999999999"/>
        <n v="3129.2"/>
        <n v="2376"/>
        <n v="8853.1999999999989"/>
        <n v="6944.32"/>
        <n v="17436.310000000001"/>
        <n v="19015.53999999999"/>
        <n v="20605.399999999991"/>
        <n v="9278.85"/>
        <n v="5850"/>
        <n v="14172.9"/>
        <n v="10534.500000000009"/>
        <n v="11467"/>
        <n v="6658.5999999999995"/>
        <n v="5993.9599999999991"/>
        <n v="4830.8600000000006"/>
        <n v="22272.509999999991"/>
        <n v="15279"/>
        <n v="15426.2"/>
        <n v="11842.000000000009"/>
        <n v="6289.74"/>
        <n v="5118.1200000000008"/>
        <n v="9141.84"/>
        <n v="5985.8600000000006"/>
        <n v="17195.14"/>
        <n v="13507.2"/>
        <n v="6045.6000000000022"/>
        <n v="18382.299999999988"/>
        <n v="4237"/>
        <n v="8241.64"/>
        <n v="5812.3"/>
        <n v="10523.39"/>
        <n v="13714.84"/>
        <n v="7649.6"/>
        <n v="6881.8"/>
        <n v="14632.8"/>
        <n v="14164.41"/>
        <n v="7781.3400000000011"/>
        <n v="7326.44"/>
        <n v="21498.04"/>
        <n v="24247.73"/>
        <n v="24271.1"/>
        <n v="5327.92"/>
        <n v="15080.000000000009"/>
        <n v="12201.8"/>
        <n v="3005.7000000000012"/>
        <n v="13877.19999999999"/>
        <n v="4922.16"/>
        <n v="7357.7999999999975"/>
        <n v="5912.8"/>
        <n v="9910.2000000000007"/>
        <n v="22610.84"/>
        <n v="13985.42"/>
        <n v="11051.349999999989"/>
        <n v="9896"/>
        <n v="13932.150000000011"/>
        <n v="7233.2999999999984"/>
        <n v="12119.5"/>
        <n v="6450.5999999999995"/>
        <n v="10804.2"/>
        <n v="8289"/>
        <n v="3947.2199999999989"/>
        <n v="15934.14"/>
        <n v="16562"/>
        <n v="8957.409999999998"/>
        <n v="7464.9500000000025"/>
        <n v="5433.3"/>
        <n v="23773.439999999999"/>
        <n v="8971.7199999999993"/>
        <n v="14244.66"/>
        <n v="10840.74"/>
        <n v="19418.97"/>
        <n v="23033.999999999989"/>
        <n v="7963.5000000000027"/>
        <n v="9626.399999999996"/>
        <n v="7450.4000000000024"/>
        <n v="16509"/>
        <n v="5675.6000000000013"/>
        <n v="17553.400000000001"/>
        <n v="4010.400000000001"/>
        <n v="6330.96"/>
        <n v="11673.900000000011"/>
        <n v="5049.07"/>
        <n v="22217.19"/>
        <n v="16878.400000000001"/>
        <n v="9065.0300000000007"/>
        <n v="9122.6"/>
        <n v="5645.2"/>
        <n v="7686.0000000000027"/>
        <n v="5522.6"/>
        <n v="5981.4999999999991"/>
        <n v="3976.54"/>
        <n v="19051.470000000008"/>
        <n v="8090.5200000000023"/>
        <n v="7913.3199999999979"/>
        <n v="7686.0000000000045"/>
        <n v="14851.8"/>
        <n v="5389.4"/>
        <n v="15167.000000000009"/>
        <n v="4300.8"/>
        <n v="10022.85"/>
        <n v="7945.25"/>
        <n v="14503.4"/>
        <n v="8626.9999999999982"/>
        <n v="9746.7000000000007"/>
        <n v="13856"/>
        <n v="6040.93"/>
        <n v="24401.42"/>
        <n v="19112.560000000001"/>
        <n v="5738.8"/>
        <n v="11388.3"/>
        <n v="6595.6"/>
        <n v="15377.999999999991"/>
        <n v="5468.3"/>
        <n v="12173.84"/>
        <n v="8354.1999999999989"/>
        <n v="7651.7999999999984"/>
        <n v="6933.6"/>
        <n v="7226.7999999999975"/>
        <n v="3459.5"/>
        <n v="7551.9999999999991"/>
        <n v="14963.1"/>
        <n v="13799.599999999989"/>
        <n v="11194.7"/>
        <n v="9522"/>
        <n v="10580"/>
        <n v="4947.9500000000016"/>
        <n v="3851.8"/>
        <n v="15492.7"/>
        <n v="5875.24"/>
        <n v="5278.02"/>
        <n v="5651.9999999999991"/>
        <n v="10374"/>
        <n v="10358.6"/>
        <n v="13452"/>
        <n v="15755.999999999991"/>
        <n v="7483.35"/>
        <n v="8244.2000000000007"/>
        <n v="14800.2"/>
        <n v="5721.24"/>
        <n v="4067.04"/>
        <n v="3651"/>
        <n v="3216.84"/>
        <n v="22848"/>
        <n v="14467.2"/>
        <n v="4076.84"/>
        <n v="6349.9999999999991"/>
        <n v="10417"/>
        <n v="4078.44"/>
        <n v="5076.5999999999995"/>
        <n v="7894.7999999999984"/>
        <n v="13828.2"/>
        <n v="10183"/>
        <n v="12975.19999999999"/>
        <n v="4609.7"/>
        <n v="4059.7"/>
        <n v="8607.5999999999985"/>
        <n v="4320.8999999999996"/>
        <n v="8388.5200000000023"/>
        <n v="18437.599999999999"/>
        <n v="4042.2"/>
        <n v="5343.2200000000012"/>
        <n v="5573.2000000000025"/>
        <n v="16169.2"/>
        <n v="12180.6"/>
        <n v="7954.7999999999975"/>
        <n v="4931.42"/>
        <n v="18305"/>
        <n v="19359.599999999999"/>
        <n v="4163.7999999999984"/>
        <n v="4301.1999999999989"/>
        <n v="5942.9999999999991"/>
        <n v="6375.3000000000011"/>
        <n v="13453.2"/>
        <n v="14780"/>
        <n v="12802.599999999989"/>
        <n v="5567.24"/>
        <n v="5059.5"/>
        <n v="3960.3"/>
        <n v="11966.04"/>
        <n v="14872.26"/>
        <n v="7103.3999999999987"/>
        <n v="14929.52"/>
        <n v="11760.16"/>
        <n v="19727.2"/>
        <n v="27461.799999999941"/>
        <n v="5360.4"/>
        <n v="9271.1000000000058"/>
        <n v="15672.8"/>
        <n v="17048.2"/>
        <n v="22852.43"/>
        <n v="9288.7199999999993"/>
        <n v="8853.35"/>
        <n v="7981.2000000000062"/>
        <n v="3602.4"/>
        <n v="5028"/>
        <n v="7263.4999999999991"/>
        <n v="19023.36"/>
        <n v="28116.26"/>
        <n v="26688.14"/>
        <n v="12914.23"/>
        <n v="8274"/>
        <n v="11174.2"/>
        <n v="5811"/>
        <n v="9614.360000000006"/>
        <n v="8551.8000000000011"/>
        <n v="24843.679999999989"/>
        <n v="23579.350000000009"/>
        <n v="23790.85"/>
        <n v="6956.0000000000009"/>
        <n v="12302.399999999991"/>
        <n v="19393.400000000009"/>
        <n v="8192.1999999999989"/>
        <n v="5181.2"/>
        <n v="20454.639999999989"/>
        <n v="15082.420000000009"/>
        <n v="13996.48"/>
        <n v="10123.049999999999"/>
        <n v="10700.42"/>
        <n v="9551.1000000000022"/>
        <n v="4669.7"/>
        <n v="5585.9000000000005"/>
        <n v="14182.26999999999"/>
        <n v="16188.01999999999"/>
        <n v="15734.88"/>
        <n v="3235.2"/>
        <n v="11908.4"/>
        <n v="18734.400000000001"/>
        <n v="6635.1000000000013"/>
        <n v="4298.2800000000016"/>
        <n v="11056.95"/>
        <n v="12598.079999999991"/>
        <n v="14029.679999999989"/>
        <n v="3594.5"/>
        <n v="14494.2"/>
        <n v="8833.3999999999978"/>
        <n v="4976.7999999999984"/>
        <n v="4083.7000000000012"/>
        <n v="8591.1699999999983"/>
        <n v="14669.240000000011"/>
        <n v="10297.799999999999"/>
        <n v="5097.16"/>
        <n v="4644.7999999999984"/>
        <n v="6676.7999999999984"/>
        <n v="20027.849999999999"/>
        <n v="10886.65"/>
        <n v="9277.26"/>
        <n v="5572.48"/>
        <n v="19435.919999999998"/>
        <n v="12511.739999999991"/>
        <n v="25354.51999999999"/>
        <n v="9911.16"/>
        <n v="11169.24"/>
        <n v="9415.68"/>
        <n v="6163.1999999999989"/>
        <n v="5566.1100000000006"/>
        <n v="18178.169999999998"/>
        <n v="25926"/>
        <n v="2457.4"/>
        <n v="6592.8199999999988"/>
        <n v="6935.73"/>
        <n v="7962.1200000000026"/>
        <n v="4671.2"/>
        <n v="3280"/>
        <n v="10015"/>
        <n v="7666.2199999999993"/>
        <n v="5263.62"/>
        <n v="8142.04"/>
        <n v="16793.900000000009"/>
        <n v="9022.7999999999993"/>
        <n v="9503.8000000000102"/>
        <n v="17294.19999999999"/>
        <n v="17815.64"/>
        <n v="12340.8"/>
        <n v="5039.3999999999996"/>
        <n v="3793.2600000000011"/>
        <n v="5037.7499999999991"/>
        <n v="8321.59"/>
        <n v="14640.249999999991"/>
        <n v="4529.6000000000004"/>
        <n v="14879.2"/>
        <n v="8627"/>
        <n v="4635.5"/>
        <n v="7052.5999999999995"/>
        <n v="13069.28"/>
        <n v="25956.14"/>
        <n v="14560.400000000011"/>
        <n v="9543.3999999999978"/>
        <n v="21191.75"/>
        <n v="5514.5999999999995"/>
        <n v="5689.5999999999995"/>
        <n v="5837.6000000000022"/>
        <n v="16045.12"/>
        <n v="9501.6"/>
        <n v="11877"/>
        <n v="12442.41"/>
        <n v="5839.9"/>
        <n v="12036.6"/>
        <n v="8906.6"/>
        <n v="4759.3999999999996"/>
        <n v="5900.2000000000025"/>
        <n v="10432.36"/>
        <n v="10657.9"/>
        <n v="11717.6"/>
        <n v="16737.919999999998"/>
        <n v="10372.75"/>
        <n v="8280.67"/>
        <n v="16261"/>
        <n v="6508.2599999999984"/>
        <n v="3596.4"/>
        <n v="6650"/>
        <n v="14002.79999999999"/>
        <n v="4200.6000000000004"/>
        <n v="10280.450000000001"/>
        <n v="5066.25"/>
        <n v="6923.7"/>
        <n v="8453.9"/>
        <n v="7246.2"/>
        <n v="17259.19999999999"/>
        <n v="7733.3999999999987"/>
        <n v="15156.42"/>
        <n v="8753.48"/>
        <n v="16191.82"/>
        <n v="3167.420000000001"/>
        <n v="7128"/>
        <n v="8096.0000000000027"/>
        <n v="4946.4000000000005"/>
        <n v="8544.6000000000022"/>
        <n v="5789.5"/>
        <n v="4852.32"/>
        <n v="9979.61"/>
        <n v="18943.32"/>
        <n v="15063"/>
        <n v="4764.170000000001"/>
        <n v="11212.38"/>
        <n v="16505.19999999999"/>
        <n v="17130"/>
        <n v="4223.84"/>
        <n v="8753.58"/>
        <n v="9143.83"/>
        <n v="3902.04"/>
        <n v="10717.74"/>
        <n v="7016.0000000000009"/>
        <n v="10193.549999999999"/>
        <n v="3979.94"/>
        <n v="6802.7399999999989"/>
        <n v="4876.1000000000004"/>
        <n v="3611.2"/>
        <n v="5382"/>
        <n v="9150.3799999999992"/>
        <n v="27601.600000000009"/>
        <n v="25549.68"/>
        <n v="18288.2"/>
        <n v="6771.6"/>
        <n v="10443.98"/>
        <n v="4145.68"/>
        <n v="5921.5999999999995"/>
        <n v="12735.3"/>
        <n v="9948.16"/>
        <n v="9467.19"/>
        <n v="11847.999999999991"/>
        <n v="7197.1200000000008"/>
        <n v="14969.44"/>
        <n v="6787.9499999999989"/>
        <n v="7155.9500000000016"/>
        <n v="7191.699999999998"/>
        <n v="21793"/>
        <n v="8052.0000000000036"/>
        <n v="13322.6"/>
        <n v="5463.82"/>
        <n v="5801.25"/>
        <n v="5284.4"/>
        <n v="5998.12"/>
        <n v="8227.6"/>
        <n v="16365"/>
        <n v="20799.8"/>
        <n v="3325.6000000000008"/>
        <n v="4602.8"/>
        <n v="4968.5999999999995"/>
        <n v="7501.5999999999976"/>
        <n v="14202.399999999991"/>
        <n v="5885.7599999999984"/>
        <n v="16641.2"/>
        <n v="5693.3199999999988"/>
        <n v="7437.46"/>
        <n v="15693.829999999991"/>
        <n v="5990.82"/>
        <n v="13145.6"/>
        <n v="11496.46"/>
        <n v="6116.0399999999991"/>
        <n v="5049.5999999999995"/>
        <n v="16608.599999999991"/>
        <n v="18502.350000000009"/>
        <n v="5801.2"/>
        <n v="5825.6399999999994"/>
        <n v="7128.88"/>
        <n v="2268"/>
        <n v="12529.400000000011"/>
        <n v="11919.64"/>
        <n v="10125.75"/>
        <n v="6313.2"/>
        <n v="4412.92"/>
        <n v="6944.7800000000016"/>
        <n v="4659.6900000000005"/>
        <n v="10167.6"/>
        <n v="10030.200000000001"/>
        <n v="5640.04"/>
        <n v="6692.44"/>
        <n v="11747.36"/>
        <n v="5641.46"/>
        <n v="11970.04"/>
        <n v="8931.0000000000018"/>
        <n v="12503.2"/>
        <n v="11133.6"/>
        <n v="9195.1999999999971"/>
        <n v="9532.2000000000007"/>
        <n v="13586.659999999991"/>
        <n v="13278.2"/>
        <n v="5437.8399999999983"/>
        <n v="5119.8599999999997"/>
        <n v="11748.91"/>
        <n v="19017.420000000009"/>
        <n v="15645.599999999989"/>
        <n v="11268.8"/>
        <n v="6722.44"/>
        <n v="11133.999999999991"/>
        <n v="6718.54"/>
        <n v="7591.8199999999979"/>
        <n v="6226.4999999999991"/>
        <n v="2760.8"/>
        <n v="9295.279999999997"/>
        <n v="8884.4800000000014"/>
        <n v="6703.66"/>
        <n v="10356.08"/>
        <n v="9197.5"/>
        <n v="3765.4900000000011"/>
        <n v="5845.5499999999984"/>
        <n v="5793.98"/>
        <n v="24589.25"/>
        <n v="5961.6399999999994"/>
        <n v="6004.26"/>
        <n v="4145.1500000000005"/>
        <n v="10753.23"/>
        <n v="12768"/>
        <n v="13667.7"/>
        <n v="7112.4399999999987"/>
        <n v="11204.44"/>
        <n v="5552.9599999999991"/>
        <n v="5457.7000000000016"/>
        <n v="16548.400000000001"/>
        <n v="7786.1399999999976"/>
        <n v="6300.4999999999991"/>
        <n v="5189.7999999999984"/>
        <n v="6130.3"/>
        <n v="4280.42"/>
        <n v="13677.8"/>
        <n v="4885.8"/>
        <n v="3439.2000000000012"/>
        <n v="5152.3999999999996"/>
        <n v="9136.7999999999993"/>
        <n v="17995.55"/>
        <n v="13460.5"/>
        <n v="7058.2599999999984"/>
        <n v="10568.46"/>
        <n v="3643.6"/>
        <n v="4112.92"/>
        <n v="6219.9"/>
        <n v="4293.8600000000006"/>
        <n v="6256.44"/>
        <n v="7646.3399999999983"/>
        <n v="18477.2"/>
        <n v="9847.1"/>
        <n v="14582"/>
        <n v="8194.0599999999977"/>
        <n v="13409.400000000011"/>
        <n v="5183.5199999999986"/>
        <n v="7459.3499999999976"/>
        <n v="10322.290000000001"/>
        <n v="18490.080000000002"/>
        <n v="7250"/>
        <n v="11050"/>
        <n v="16728.61"/>
        <n v="4233.0899999999983"/>
        <n v="6631.6399999999994"/>
        <n v="6823.9400000000014"/>
        <n v="8942.4000000000015"/>
        <n v="10519.996999999999"/>
        <n v="14711.250000000009"/>
        <n v="12666.04000000001"/>
        <n v="3559.01"/>
        <n v="11775.4"/>
        <n v="8487.7000000000025"/>
        <n v="7855.9599999999973"/>
        <n v="8526.6699999999983"/>
        <n v="5999.63"/>
        <n v="2176.1999999999989"/>
        <n v="21323.049999999988"/>
        <n v="11018.5"/>
        <n v="4806.6400000000003"/>
        <n v="6753.6299999999992"/>
        <n v="3595.04"/>
        <n v="16983.36"/>
        <n v="9975.5700000000033"/>
        <n v="9229.7800000000025"/>
        <n v="8215"/>
        <n v="22482.5"/>
        <n v="11067.84"/>
        <n v="5016"/>
        <n v="24101"/>
        <n v="5858.5399999999991"/>
        <n v="6270.06"/>
        <n v="8611.14"/>
        <n v="5164.6600000000017"/>
        <n v="29113.569999999971"/>
        <n v="6687.9999999999973"/>
        <n v="3344"/>
        <n v="9801.4800000000032"/>
        <n v="12369.5"/>
        <n v="6265.1399999999994"/>
        <n v="4729.9399999999996"/>
        <n v="4550.9199999999992"/>
        <n v="4027.2399999999989"/>
        <n v="14210.64"/>
        <n v="5039.5499999999984"/>
        <n v="14152.48"/>
        <n v="5032.3200000000024"/>
        <n v="11282"/>
        <n v="8561.0299999999952"/>
        <n v="9521.2000000000007"/>
        <n v="5245.2000000000016"/>
        <n v="15846.83"/>
        <n v="16196"/>
        <n v="8793.6000000000022"/>
        <n v="4205.3"/>
        <n v="15635.14"/>
        <n v="11346.5"/>
        <n v="7917.7999999999975"/>
        <n v="6566.94"/>
        <n v="11902"/>
        <n v="16857.599999999999"/>
        <n v="16608.650000000001"/>
        <n v="8328.9"/>
        <n v="2330.46"/>
        <n v="10214"/>
        <n v="6552.7"/>
        <n v="6388.5999999999976"/>
        <n v="7286.1199999999972"/>
        <n v="9645.0499999999993"/>
        <n v="10449.600000000009"/>
        <n v="8386.5"/>
        <n v="4751.6000000000004"/>
        <n v="4524.3"/>
        <n v="10052.4"/>
        <n v="6872.1999999999989"/>
        <n v="12652.900000000011"/>
        <n v="5653.1100000000006"/>
        <n v="4417.62"/>
        <n v="4022.8799999999992"/>
        <n v="21236.53000000001"/>
        <n v="6717"/>
        <n v="15191.319999999991"/>
        <n v="3363.8"/>
        <n v="4626.2399999999989"/>
        <n v="4775.3999999999987"/>
        <n v="8316.0000000000055"/>
        <n v="5500.5200000000013"/>
        <n v="22140.610000000011"/>
        <n v="7458.0000000000009"/>
        <n v="3827.2199999999989"/>
        <n v="19133.68"/>
        <n v="15252.4"/>
        <n v="14117.56"/>
        <n v="2871.8"/>
        <n v="30819.599999999969"/>
        <n v="13308.900000000011"/>
        <n v="15083"/>
        <n v="11585"/>
        <n v="11752.8"/>
        <n v="7567.4199999999973"/>
        <n v="5370.0999999999995"/>
        <n v="21515.279999999992"/>
        <n v="3172.38"/>
        <n v="14934"/>
        <n v="9750"/>
        <n v="8979.7999999999975"/>
        <n v="8498.1999999999989"/>
        <n v="2748.4"/>
        <n v="4401.8"/>
        <n v="7872.0000000000036"/>
        <n v="2532.4"/>
        <n v="3731.110000000001"/>
        <n v="3586.1200000000008"/>
        <n v="18645.36"/>
        <n v="16820.98000000001"/>
        <n v="11955.37"/>
        <n v="4093.2000000000012"/>
        <n v="4600.3999999999996"/>
        <n v="6871.0199999999986"/>
        <n v="1734"/>
        <n v="11694.5"/>
        <n v="13131.72"/>
        <n v="8411.64"/>
        <n v="2975.2200000000012"/>
        <n v="8072.4600000000028"/>
        <n v="10903.16"/>
        <n v="5209.7999999999984"/>
        <n v="6607.4"/>
        <n v="6625.4199999999992"/>
        <n v="10392"/>
        <n v="9985"/>
        <n v="14400.04"/>
        <n v="8428.1999999999989"/>
        <n v="9195"/>
        <n v="3794.64"/>
        <n v="5470.5999999999995"/>
        <n v="7640.2699999999986"/>
        <n v="6882.55"/>
        <n v="26830.860000000011"/>
        <n v="19095.5"/>
        <n v="11794.9"/>
        <n v="5697.19"/>
        <n v="6014.3999999999987"/>
        <n v="10695.63"/>
        <n v="12267.680000000009"/>
        <n v="14372.28"/>
        <n v="19510"/>
        <n v="7948"/>
        <n v="9833.4"/>
        <n v="7452.7"/>
        <n v="4811.1399999999994"/>
        <n v="8486.68"/>
        <n v="10783.68"/>
        <n v="1719.9"/>
        <n v="5526.4"/>
        <n v="6208.7"/>
        <n v="8289.77"/>
        <n v="12799.49"/>
        <n v="16692.060000000001"/>
        <n v="14552.8"/>
        <n v="16804.580000000002"/>
        <n v="6311.6"/>
        <n v="4944.3999999999996"/>
        <n v="13292.8"/>
        <n v="6736.4599999999991"/>
        <n v="9315"/>
        <n v="8935.8000000000011"/>
        <n v="7327.4000000000005"/>
        <n v="3721.6799999999989"/>
        <n v="6473.6000000000013"/>
        <n v="12843.8"/>
        <n v="5690"/>
        <n v="3498.2200000000003"/>
        <n v="6128.0000000000027"/>
        <n v="9094.48"/>
        <n v="8889.56"/>
        <n v="2561.25"/>
        <n v="9668.9999999999964"/>
        <n v="8583.7999999999993"/>
        <n v="5769.2"/>
        <n v="20494.600000000009"/>
        <n v="8788"/>
        <n v="6702.9999999999991"/>
        <n v="5067.8799999999992"/>
        <n v="4617.07"/>
        <n v="4908"/>
        <n v="9028.8000000000084"/>
        <n v="10550.7"/>
        <n v="5682.7999999999984"/>
        <n v="11375"/>
        <n v="3911"/>
        <n v="4193.1000000000004"/>
        <n v="2953.4"/>
        <n v="4342"/>
        <n v="6027.1200000000008"/>
        <n v="2721.6"/>
        <n v="5877.2000000000016"/>
        <n v="7515.6"/>
        <n v="4975.1100000000006"/>
        <n v="10032"/>
        <n v="12921.380000000001"/>
        <n v="9887.1999999999971"/>
        <n v="9757.7999999999956"/>
        <n v="9743.2000000000044"/>
        <n v="5633"/>
        <n v="6639.9999999999973"/>
        <n v="16942.8"/>
        <n v="4604.46"/>
        <n v="8063.4000000000024"/>
        <n v="9003.74"/>
        <n v="22330.420000000009"/>
        <n v="10054.469999999999"/>
        <n v="3525.6000000000008"/>
        <n v="28164"/>
        <n v="4211.2"/>
        <n v="2763.34"/>
        <n v="3576.6000000000008"/>
        <n v="5925"/>
        <n v="19853.400000000001"/>
        <n v="7497.6"/>
        <n v="11222.220000000001"/>
        <n v="14075"/>
        <n v="5488.800000000002"/>
        <n v="5563.6"/>
        <n v="18793.2"/>
        <n v="8791.6"/>
        <n v="6901.7000000000016"/>
        <n v="5699.2000000000025"/>
        <n v="6050"/>
        <n v="10324"/>
        <n v="3762.0000000000009"/>
        <n v="5974.800000000002"/>
        <n v="4131.62"/>
        <n v="9088.84"/>
        <n v="5032.83"/>
        <n v="6696.23"/>
        <n v="11155.6"/>
        <n v="9626.7999999999993"/>
        <n v="7239.6000000000022"/>
        <n v="5328"/>
        <n v="9712.6700000000055"/>
        <n v="8016.44"/>
        <n v="12101.25"/>
        <n v="11662"/>
        <n v="14642.4"/>
        <n v="7504.1999999999989"/>
        <n v="8156.6099999999979"/>
        <n v="16462.420000000009"/>
        <n v="10535.92"/>
        <n v="14059"/>
        <n v="8956.739999999998"/>
        <n v="5700.2"/>
        <n v="5368.6200000000008"/>
        <n v="6421.2"/>
        <n v="3916.2"/>
        <n v="16145"/>
        <n v="13088"/>
        <n v="3190.7000000000012"/>
        <n v="9409.56"/>
        <n v="15007.6"/>
        <n v="12350"/>
        <n v="12814"/>
        <n v="3864.01"/>
        <n v="6878.619999999999"/>
        <n v="8811.4399999999987"/>
        <n v="25429.659999999989"/>
        <n v="14305.6"/>
        <n v="5496.2"/>
        <n v="13740.22"/>
        <n v="3865.71"/>
        <n v="4394.8999999999996"/>
        <n v="13653.23"/>
        <n v="11124.2"/>
        <n v="21815"/>
        <n v="7623.0000000000027"/>
        <n v="6889.7999999999984"/>
        <n v="28934.959999999999"/>
        <n v="15732.4"/>
        <n v="7890.6799999999976"/>
        <n v="281.39999999999998"/>
        <n v="375.2"/>
        <n v="12093"/>
        <n v="5257.8"/>
        <n v="9171.6"/>
        <n v="2473.1999999999998"/>
        <n v="4744.8999999999996"/>
        <n v="6251"/>
        <n v="8340.24"/>
        <n v="16487.999999999982"/>
        <n v="7278.2200000000012"/>
        <n v="5667.9999999999991"/>
        <n v="14703.000000000009"/>
        <n v="20496.59999999998"/>
        <n v="3323.400000000001"/>
        <n v="8339.7599999999984"/>
        <n v="10327.950000000001"/>
        <n v="4606.6000000000004"/>
        <n v="3925.81"/>
        <n v="8240.4"/>
        <n v="6642.2399999999989"/>
        <n v="9286.6499999999978"/>
        <n v="10407.5"/>
        <n v="4302.6499999999996"/>
        <n v="12164.81"/>
        <n v="8844.5400000000009"/>
        <n v="13948.02"/>
        <n v="9961.4999999999964"/>
        <n v="11584.07"/>
        <n v="6668.7999999999984"/>
        <n v="6867"/>
        <n v="6353.96"/>
        <n v="9420.2999999999956"/>
        <n v="10469.959999999999"/>
        <n v="9839"/>
        <n v="4373"/>
        <n v="15758.4"/>
        <n v="20436"/>
        <n v="8928.3999999999978"/>
        <n v="5407.7199999999984"/>
        <n v="7733.22"/>
        <n v="4354.42"/>
        <n v="12510"/>
        <n v="7423.6799999999976"/>
        <n v="8779.32"/>
        <n v="18632.759999999998"/>
        <n v="14044.45"/>
        <n v="10452.48"/>
        <n v="14399.919999999989"/>
        <n v="10737.65"/>
        <n v="15014.38"/>
        <n v="10375.56"/>
        <n v="12328.2"/>
        <n v="5351.4000000000005"/>
        <n v="9209.51"/>
        <n v="8466.3100000000013"/>
        <n v="13649.39999999998"/>
        <n v="24306.80000000001"/>
        <n v="6296.2"/>
        <n v="4231.8499999999995"/>
        <n v="3020.62"/>
        <n v="5126"/>
        <n v="5126.0000000000009"/>
        <n v="3459.079999999999"/>
        <n v="8646.2999999999993"/>
        <n v="7527.1"/>
        <n v="9060.0000000000091"/>
        <n v="3111.6000000000008"/>
        <n v="15148.4"/>
        <n v="2748.2"/>
        <n v="5153.2299999999996"/>
        <n v="12925.9"/>
        <n v="4015.65"/>
        <n v="6513.5999999999995"/>
        <n v="8317.6"/>
        <n v="15668.400000000011"/>
        <n v="10390.200000000001"/>
        <n v="12637.64"/>
        <n v="8946.9800000000014"/>
        <n v="7328.0000000000036"/>
        <n v="10027.02"/>
        <n v="3401.33"/>
        <n v="3139.5"/>
        <n v="14012.160000000011"/>
        <n v="5008.3"/>
        <n v="9510"/>
        <n v="9893.9500000000007"/>
        <n v="11148.900000000011"/>
        <n v="6739.2"/>
        <n v="10257.9"/>
        <n v="6370.84"/>
        <n v="15167.399999999991"/>
        <n v="9046.2999999999993"/>
        <n v="15008.4"/>
        <n v="4474.2"/>
        <n v="6325.1599999999989"/>
        <n v="11069.9"/>
        <n v="3509.2"/>
        <n v="6679.7399999999989"/>
        <n v="7828.2600000000011"/>
        <n v="9214.4500000000007"/>
        <n v="9284.0000000000036"/>
        <n v="9760.7999999999993"/>
        <n v="6234.36"/>
        <n v="16036.85"/>
        <n v="4752.3999999999996"/>
        <n v="10982.57"/>
        <n v="6376.85"/>
        <n v="12130.88"/>
        <n v="8495"/>
        <n v="18158.002000000011"/>
        <n v="9752.7999999999993"/>
        <n v="6266.3999999999978"/>
        <n v="8624.8000000000011"/>
        <n v="7107"/>
        <n v="4584.5999999999995"/>
        <n v="9550.9999999999964"/>
        <n v="13536.48"/>
        <n v="11084.6"/>
        <n v="7322.4000000000005"/>
        <n v="11584.999999999991"/>
        <n v="5005"/>
        <n v="7955.9999999999964"/>
        <n v="9490.81"/>
        <n v="8239.6"/>
        <n v="3378.8"/>
        <n v="6027.7999999999984"/>
        <n v="9099.1999999999971"/>
        <n v="9036.8100000000031"/>
        <n v="8890.1"/>
        <n v="13054.000000000009"/>
        <n v="6836.4"/>
        <n v="20150"/>
        <n v="19542.80000000001"/>
        <n v="11076.26"/>
        <n v="12905.24"/>
        <n v="7873.2"/>
        <n v="2995.16"/>
        <n v="16084.4"/>
        <n v="10221.879999999999"/>
        <n v="10648.22"/>
        <n v="8499"/>
        <n v="9136.6099999999969"/>
        <n v="6177.5999999999995"/>
        <n v="14934.099999999989"/>
        <n v="14106.73"/>
        <n v="14498.98"/>
        <n v="10929.84"/>
        <n v="9845.0400000000009"/>
        <n v="9240"/>
        <n v="8703.2000000000007"/>
        <n v="3718.04"/>
        <n v="19641.599999999999"/>
        <n v="2747.8"/>
        <n v="11536.86000000001"/>
        <n v="3981.91"/>
        <n v="5106.0099999999984"/>
        <n v="4888.04"/>
        <n v="10230.450000000001"/>
        <n v="8453.9999999999982"/>
        <n v="7953"/>
        <n v="3579.2000000000012"/>
        <n v="3666.1"/>
        <n v="8537.0399999999991"/>
        <n v="6127.8499999999995"/>
        <n v="11935.72"/>
        <n v="5222.84"/>
        <n v="8049.8"/>
        <n v="14775.9"/>
        <n v="10294.998"/>
        <n v="6195.84"/>
        <n v="6983.1999999999989"/>
        <n v="11297.62"/>
        <n v="8555.4000000000015"/>
        <n v="7504"/>
        <n v="15751.19999999999"/>
        <n v="9070"/>
        <n v="12025.1"/>
        <n v="6724.1999999999989"/>
        <n v="5998"/>
        <n v="6761.0999999999995"/>
        <n v="9459.2999999999993"/>
        <n v="11875.999999999991"/>
        <n v="3911.6"/>
        <n v="11173.3"/>
        <n v="12935.92"/>
        <n v="9340.6"/>
        <n v="3435"/>
        <n v="13035.3"/>
        <n v="10263.98"/>
        <n v="4013.8"/>
        <n v="11011.18"/>
        <n v="12122.4"/>
        <n v="9406.75"/>
        <n v="13063.77"/>
        <n v="18475"/>
        <n v="6156"/>
        <n v="9326.4"/>
        <n v="6754.8"/>
        <n v="7134.02"/>
        <n v="3674.400000000001"/>
        <n v="3887.62"/>
        <n v="12659.490000000011"/>
        <n v="6908.48"/>
        <n v="6844.5400000000009"/>
        <n v="8523.8799999999992"/>
        <n v="7814.07"/>
        <n v="24476.28000000001"/>
        <n v="11162.64"/>
        <n v="11336"/>
        <n v="4745.7"/>
        <n v="9929.7000000000044"/>
        <n v="13933.44"/>
        <n v="8425.43"/>
        <n v="4998.54"/>
        <n v="28698.000000000011"/>
        <n v="3249.389999999999"/>
        <n v="5240.82"/>
        <n v="5845.58"/>
        <n v="4340.6599999999989"/>
        <n v="18314.5"/>
        <n v="1656"/>
        <n v="7896.18"/>
        <n v="4892.3999999999996"/>
        <n v="7776"/>
        <n v="8935.4600000000009"/>
        <n v="2735.6200000000008"/>
        <n v="3219.2200000000012"/>
        <n v="11013.85"/>
        <n v="9290.7999999999993"/>
        <n v="13056.72"/>
        <n v="9474.5000000000018"/>
        <n v="12840.18"/>
        <n v="20527.44999999999"/>
        <n v="9373.5600000000031"/>
        <n v="11095.92"/>
        <n v="15802"/>
        <n v="8029.7"/>
        <n v="10162.83"/>
        <n v="5912.6099999999988"/>
        <n v="8255.41"/>
        <n v="3932.43"/>
        <n v="1239.33"/>
        <n v="26803.799999999988"/>
        <n v="4556.0600000000004"/>
        <n v="7498.0800000000008"/>
        <n v="4030.04"/>
        <n v="8740.4"/>
        <n v="13364.62"/>
        <n v="10691.85"/>
        <n v="10412.040000000001"/>
        <n v="6353.4"/>
        <n v="4418.54"/>
        <n v="4916.8199999999988"/>
        <n v="10138.040000000001"/>
        <n v="9414.9"/>
        <n v="13304"/>
        <n v="9807.86"/>
        <n v="10074"/>
        <n v="4243.1999999999989"/>
        <n v="2718.87"/>
        <n v="4585.4399999999996"/>
        <n v="3080.34"/>
        <n v="9768.4"/>
        <n v="17875.28"/>
        <n v="9183.44"/>
        <n v="8020.32"/>
        <n v="3664.4999999999991"/>
        <n v="8275.4"/>
        <n v="7613.9399999999978"/>
        <n v="7354.8"/>
        <n v="6168.9000000000024"/>
        <n v="8351.6"/>
        <n v="13437.58"/>
        <n v="3179.73"/>
        <n v="21140.400000000001"/>
        <n v="8772.0000000000018"/>
        <n v="7087.51"/>
        <n v="10321.36"/>
        <n v="20354.000000000011"/>
        <n v="11211.2"/>
        <n v="11062.24"/>
        <n v="10617.990000000011"/>
        <n v="2780.3"/>
        <n v="5296.76"/>
        <n v="9132.14"/>
        <n v="10040"/>
        <n v="14201.9"/>
        <n v="7202.06"/>
        <n v="4309.2"/>
        <n v="4860.7999999999984"/>
        <n v="17854.200000000012"/>
        <n v="6588.4399999999987"/>
        <n v="7542.0799999999972"/>
        <n v="4477.2000000000016"/>
        <n v="11976.34"/>
        <n v="19259"/>
        <n v="11653.4"/>
        <n v="5694.6"/>
        <n v="8587.5000000000018"/>
        <n v="9862.86"/>
        <n v="8697.0400000000009"/>
        <n v="1401.1"/>
        <n v="2000.2"/>
        <n v="1196"/>
        <n v="23554.19999999999"/>
        <n v="8651.6"/>
        <n v="22211.499999999989"/>
        <n v="22488.399999999991"/>
        <n v="14895.36"/>
        <n v="5068"/>
        <n v="7672.2000000000025"/>
        <n v="4079.1"/>
        <n v="5603.4599999999973"/>
        <n v="3016.04"/>
        <n v="3177.6600000000012"/>
        <n v="4751.8"/>
        <n v="15739.4"/>
        <n v="4455.16"/>
        <n v="9031.7000000000007"/>
        <n v="12298.2"/>
        <n v="6469.7"/>
        <n v="7095.5999999999995"/>
        <n v="12394.08"/>
        <n v="3020.860000000001"/>
        <n v="4752.2"/>
        <n v="9503.6000000000095"/>
        <n v="3852.22"/>
        <n v="8798.4"/>
        <n v="3337.1999999999989"/>
        <n v="9899.880000000001"/>
        <n v="7050.8000000000011"/>
        <n v="7728.2800000000016"/>
        <n v="7711"/>
        <n v="4649"/>
        <n v="10502.9"/>
        <n v="8566.2999999999993"/>
        <n v="7076.4"/>
        <n v="5770.36"/>
        <n v="8081.07"/>
        <n v="9802.7999999999956"/>
        <n v="15419"/>
        <n v="4681.1799999999976"/>
        <n v="7479.36"/>
        <n v="6629.8600000000006"/>
        <n v="6825.6200000000008"/>
        <n v="4552.1999999999989"/>
        <n v="4820.24"/>
        <n v="7609.7400000000016"/>
        <n v="7932.08"/>
        <n v="6704.6999999999989"/>
        <n v="8674.16"/>
        <n v="5267.8200000000024"/>
        <n v="11749.16"/>
        <n v="11089.2"/>
        <n v="13702.37"/>
        <n v="7804"/>
        <n v="4441.8"/>
        <n v="4153.9000000000005"/>
        <n v="3431.6000000000008"/>
        <n v="2629.82"/>
        <n v="4829.96"/>
        <n v="2669.52"/>
        <n v="18611.419999999991"/>
        <n v="9519.9999999999909"/>
        <n v="12781.2"/>
        <n v="11842.44"/>
        <n v="5649.4"/>
        <n v="12675"/>
        <n v="16748"/>
        <n v="20633.2"/>
        <n v="7284.7499999999973"/>
        <n v="19713.19999999999"/>
        <n v="5412.94"/>
        <n v="9049.25"/>
        <n v="6007.7999999999975"/>
        <n v="15530.8"/>
        <n v="22178.80000000001"/>
        <n v="17157.400000000001"/>
        <n v="9811.36"/>
        <n v="7074.4399999999987"/>
        <n v="8454.630000000001"/>
        <n v="9032.3399999999983"/>
        <n v="3200.68"/>
        <n v="14733.95"/>
        <n v="11746.9"/>
        <n v="22808.80000000001"/>
        <n v="4050"/>
        <n v="9724.8000000000084"/>
        <n v="17883.379999999997"/>
        <n v="18631"/>
        <n v="10085"/>
        <n v="6503.6400000000021"/>
        <n v="6021.0399999999991"/>
        <n v="7320.3599999999988"/>
        <n v="11250.659999999991"/>
        <n v="11477.28"/>
        <n v="5347.2000000000025"/>
        <n v="2673.6000000000008"/>
        <n v="6123.6000000000022"/>
        <n v="5601.5999999999995"/>
        <n v="7614.24"/>
        <n v="24596.240000000009"/>
        <n v="7702.9999999999973"/>
        <n v="25600.05000000001"/>
        <n v="4193.9400000000014"/>
        <n v="3262.6"/>
        <n v="7643.53"/>
        <n v="21954.39000000001"/>
        <n v="7451"/>
        <n v="11699.68"/>
        <n v="6983.4"/>
        <n v="19009.009999999998"/>
        <n v="3116.6000000000008"/>
        <n v="7202.6"/>
        <n v="4858.3"/>
        <n v="13776.86"/>
        <n v="11154"/>
        <n v="2374.4"/>
        <n v="10505.8"/>
        <n v="6557.2599999999984"/>
        <n v="6606.82"/>
        <n v="15127"/>
        <n v="7598"/>
        <n v="4498.3"/>
        <n v="6088.48"/>
        <n v="2017.420000000001"/>
        <n v="10562.93"/>
        <n v="10222.48"/>
        <n v="12156.52"/>
        <n v="7398.1000000000022"/>
        <n v="16450.21000000001"/>
        <n v="9019.9500000000007"/>
        <n v="6074.3600000000024"/>
        <n v="10472"/>
        <n v="7872.560000000004"/>
        <n v="4112.46"/>
        <n v="8019.5599999999977"/>
        <n v="16336.31"/>
        <n v="3487.84"/>
        <n v="3125.76"/>
        <n v="7421.2999999999975"/>
        <n v="13664.47"/>
        <n v="5684.7999999999984"/>
        <n v="5918.4"/>
        <n v="12960.48"/>
        <n v="20855.849999999999"/>
        <n v="18194.400000000001"/>
        <n v="1561.2"/>
        <n v="1005.6"/>
        <n v="4933"/>
        <n v="21164.15"/>
        <n v="7442.5000000000027"/>
        <n v="8762.3000000000029"/>
        <n v="6520.3999999999987"/>
        <n v="7875.7999999999975"/>
        <n v="9682.89"/>
        <n v="5038.67"/>
        <n v="3330.32"/>
        <n v="9905.7000000000007"/>
        <n v="9185.7999999999956"/>
        <n v="10800.61"/>
        <n v="4127.28"/>
        <n v="4036.84"/>
        <n v="4991.04"/>
        <n v="4578.119999999999"/>
        <n v="4021.84"/>
        <n v="8983.16"/>
        <n v="8414.4"/>
        <n v="3967.92"/>
        <n v="8650.8000000000011"/>
        <n v="5779.6"/>
        <n v="9791.11"/>
        <n v="24346"/>
        <n v="4825.6000000000004"/>
        <n v="5426.8799999999992"/>
        <n v="6845.66"/>
        <n v="11121.6"/>
        <n v="18188"/>
        <n v="7516.7300000000014"/>
        <n v="13322.44"/>
        <n v="8340.8599999999988"/>
        <n v="4992.66"/>
        <n v="8420.0000000000036"/>
        <n v="8798.0999999999985"/>
        <n v="5143.66"/>
        <n v="6018.9600000000009"/>
        <n v="4037.67"/>
        <n v="7852.199999999998"/>
        <n v="7641.5"/>
        <n v="3009.6000000000008"/>
        <n v="12637.48"/>
        <n v="8181.6600000000026"/>
        <n v="3098.8"/>
        <n v="9178.02"/>
        <n v="6722.4"/>
        <n v="4410.7"/>
        <n v="14465.12"/>
        <n v="6180.8"/>
        <n v="6254.3"/>
        <n v="4555.12"/>
        <n v="8833.7800000000007"/>
        <n v="1727.6"/>
        <n v="22216.95"/>
        <n v="6585.12"/>
        <n v="3939.26"/>
        <n v="4002.9"/>
        <n v="11399.6"/>
        <n v="5854.5"/>
        <n v="8424"/>
        <n v="5483.2"/>
        <n v="5114.8"/>
        <n v="2176.1999999999998"/>
        <n v="6972.8400000000038"/>
        <n v="5092.1399999999994"/>
        <n v="4381.76"/>
        <n v="6378.72"/>
        <n v="11081.3"/>
        <n v="2820"/>
        <n v="15054.96"/>
        <n v="15509.099999999989"/>
        <n v="8111.4"/>
        <n v="6528.5999999999995"/>
        <n v="8146.6999999999989"/>
        <n v="12735.9"/>
        <n v="6778"/>
        <n v="2210"/>
        <n v="11272.8"/>
        <n v="3183.7250000000008"/>
        <n v="23813.95"/>
        <n v="16144.3"/>
        <n v="2885.4"/>
        <n v="8099.800000000002"/>
        <n v="11400.74"/>
        <n v="9152.9"/>
        <n v="9028.75"/>
        <n v="3785.2"/>
        <n v="12113.64"/>
        <n v="4373.0000000000009"/>
        <n v="18589"/>
        <n v="5079.92"/>
        <n v="5487.9999999999991"/>
        <n v="15690.920000000009"/>
        <n v="8429.4900000000016"/>
        <n v="17620.099999999999"/>
        <n v="3682.5"/>
        <n v="4039.2"/>
        <n v="3779.24"/>
        <n v="4457.5200000000004"/>
        <n v="10006.4"/>
        <n v="3296.2999999999988"/>
        <n v="14857.599999999989"/>
        <n v="7532.4000000000024"/>
        <n v="2641.74"/>
        <n v="15028.4"/>
        <n v="5684.74"/>
        <n v="7292.6199999999972"/>
        <n v="11812.48"/>
        <n v="6164.3300000000008"/>
        <n v="9376.279999999997"/>
        <n v="10473.4"/>
        <n v="16070.55"/>
        <n v="12652"/>
        <n v="14552.5"/>
        <n v="3887.8"/>
        <n v="11893.61"/>
        <n v="8112.699999999998"/>
        <n v="5037.0599999999986"/>
        <n v="9440.7999999999993"/>
        <n v="14881.43"/>
        <n v="5238.84"/>
        <n v="19198.68"/>
        <n v="16434.899999999991"/>
        <n v="7234.85"/>
        <n v="7002.47"/>
        <n v="15209.08"/>
        <n v="11557.22"/>
        <n v="12129.6"/>
        <n v="19957"/>
        <n v="22673.18"/>
        <n v="6693.3999999999987"/>
        <n v="8903.86"/>
        <n v="6180"/>
        <n v="12329.44"/>
        <n v="4825.8"/>
        <n v="13973"/>
        <n v="15706.6"/>
        <n v="8800.0700000000033"/>
        <n v="7702.4000000000024"/>
        <n v="8937.5799999999981"/>
        <n v="11619.8"/>
        <n v="11407.65"/>
        <n v="8203.26"/>
        <n v="4585.6399999999994"/>
        <n v="7510.3199999999979"/>
        <n v="2239.6"/>
        <n v="4145.5999999999995"/>
        <n v="7082.6199999999972"/>
        <n v="11626.67"/>
        <n v="1458"/>
        <n v="5595.2"/>
        <n v="7233.32"/>
        <n v="13219.410000000011"/>
        <n v="14099.320000000011"/>
        <n v="5390.4000000000005"/>
        <n v="3327.72"/>
        <n v="7457.9399999999987"/>
        <n v="4235.3399999999983"/>
        <n v="2348.4"/>
        <n v="4658.3999999999996"/>
        <n v="8496.82"/>
        <n v="7336.6600000000017"/>
        <n v="15040.1"/>
        <n v="4448.7400000000016"/>
        <n v="2424"/>
        <n v="7493.4"/>
        <n v="4360.7"/>
        <n v="18157.239999999991"/>
        <n v="7260.3399999999974"/>
        <n v="3305.2"/>
        <n v="9592.9000000000033"/>
        <n v="9915.9100000000035"/>
        <n v="11155.63"/>
        <n v="7659"/>
        <n v="20000"/>
        <n v="4970.0000000000018"/>
        <n v="2000.7"/>
        <n v="3580.079999999999"/>
        <n v="3749.4"/>
        <n v="6392.8599999999988"/>
        <n v="8083.1600000000026"/>
        <n v="14887"/>
        <n v="3517.8"/>
        <n v="2314.8200000000002"/>
        <n v="19802.59"/>
        <n v="6896.6399999999994"/>
        <n v="16024.680000000009"/>
        <n v="2657.5"/>
        <n v="10685.76"/>
        <n v="9040.68"/>
        <n v="9847.32"/>
        <n v="15867"/>
        <n v="5524.06"/>
        <n v="6517.3600000000006"/>
        <n v="10510.4"/>
        <n v="6801.26"/>
        <n v="9956.8000000000029"/>
        <n v="9594.15"/>
        <n v="9473.5400000000009"/>
        <n v="2613.1999999999998"/>
        <n v="11905.34"/>
        <n v="6098.4"/>
        <n v="18500.459999999988"/>
        <n v="4305.2999999999984"/>
        <n v="4099.2000000000016"/>
        <n v="8291.989999999998"/>
        <n v="11198.5"/>
        <n v="17908.850000000009"/>
        <n v="6609.6000000000013"/>
        <n v="26220.46000000001"/>
        <n v="8856.0099999999984"/>
        <n v="7925.64"/>
        <n v="10099.6"/>
        <n v="12052.5"/>
        <n v="19760.64000000001"/>
        <n v="11049.64"/>
        <n v="8763.0600000000013"/>
        <n v="8364"/>
        <n v="14845.2"/>
        <n v="23994.600000000009"/>
        <n v="20153.650000000001"/>
        <n v="4764.1599999999989"/>
        <n v="3097.5"/>
        <n v="11724.88"/>
        <n v="9911.6499999999978"/>
        <n v="5901.15"/>
        <n v="5288"/>
        <n v="12231.4"/>
        <n v="11640.4"/>
        <n v="21413.21000000001"/>
        <n v="7437.4299999999976"/>
        <n v="7826.8000000000011"/>
        <n v="23111.089999999989"/>
        <n v="1134"/>
        <n v="10672.4"/>
        <n v="3646.36"/>
        <n v="3638.2399999999989"/>
        <n v="26057.600000000009"/>
        <n v="25731.880000000008"/>
        <n v="6934.2"/>
        <n v="7306.02"/>
        <n v="25204.740000000009"/>
        <n v="9589.0300000000007"/>
        <n v="9910.94"/>
        <n v="12054.24"/>
        <n v="4101.46"/>
        <n v="6775.0499999999984"/>
        <n v="25464.98000000001"/>
        <n v="6843.6100000000006"/>
        <n v="6050.4599999999991"/>
        <n v="26279.549999999988"/>
        <n v="12702.23"/>
        <n v="7767.6"/>
        <n v="5739.6099999999988"/>
        <n v="4079.94"/>
        <n v="3622.400000000001"/>
        <n v="11580.38"/>
        <n v="2148.9"/>
        <n v="12351.259999999989"/>
        <n v="9865.369999999999"/>
        <n v="5148.3799999999992"/>
        <n v="4359.9399999999996"/>
        <n v="3168.8"/>
        <n v="4413.4000000000005"/>
        <n v="21081.100000000009"/>
        <n v="5209.2"/>
        <n v="15066.599999999989"/>
        <n v="8239.98"/>
        <n v="8722.0800000000017"/>
        <n v="16371.44"/>
        <n v="19124.840000000011"/>
        <n v="14368.24"/>
        <n v="4970.3999999999996"/>
        <n v="13891.86"/>
        <n v="4829.8"/>
        <n v="4379.7199999999984"/>
        <n v="8112.119999999999"/>
        <n v="5009.5999999999995"/>
        <n v="5209.1499999999996"/>
        <n v="8627.65"/>
        <n v="7800"/>
        <n v="7451.9999999999991"/>
        <n v="3149.28"/>
        <n v="9530.26"/>
        <n v="3765.22"/>
        <n v="13512.599999999989"/>
        <n v="3316.639999999999"/>
        <n v="3401.6"/>
        <n v="4066.8200000000011"/>
        <n v="9933.600000000004"/>
        <n v="12336.4"/>
        <n v="18167.18"/>
        <n v="8793.8100000000013"/>
        <n v="10943.96"/>
        <n v="4748.54"/>
        <n v="6635.7999999999984"/>
        <n v="6833.4"/>
        <n v="10367.32"/>
        <n v="5414.48"/>
        <n v="5851.5"/>
        <n v="7692.800000000002"/>
        <n v="14270.12"/>
        <n v="4206.0200000000004"/>
        <n v="11473.52"/>
        <n v="5726.76"/>
        <n v="4741"/>
        <n v="4468.8599999999997"/>
        <n v="5003.3200000000024"/>
        <n v="8880.9"/>
        <n v="23466.80000000001"/>
        <n v="3323.0500000000011"/>
        <n v="3878.24"/>
        <n v="13757.400000000011"/>
        <n v="18064.240000000002"/>
        <n v="2310.12"/>
        <n v="4702.75"/>
        <n v="11554.14"/>
        <n v="5731.6399999999994"/>
        <n v="4383.2"/>
        <n v="10349.6"/>
        <n v="15988.54"/>
        <n v="10011.35"/>
        <n v="7710.44"/>
        <n v="21762.099999999991"/>
        <n v="8391.5999999999985"/>
        <n v="7973.68"/>
        <n v="23152.37999999999"/>
        <n v="6048.06"/>
        <n v="7541.9999999999991"/>
        <n v="5546.55"/>
        <n v="3440.6"/>
        <n v="12359.09"/>
        <n v="25894.740000000009"/>
        <n v="1876"/>
        <n v="14269.500000000009"/>
        <n v="15832.8"/>
        <n v="5029.3"/>
        <n v="4140.5399999999991"/>
        <n v="6743.1399999999994"/>
        <n v="20042.11"/>
        <n v="11118.52"/>
        <n v="8187.88"/>
        <n v="8663.9"/>
        <n v="20774.759999999991"/>
        <n v="2481"/>
        <n v="5097.5999999999995"/>
        <n v="16960.60999999999"/>
        <n v="24456.04"/>
        <n v="15964"/>
        <n v="5693.0000000000009"/>
        <n v="3437.6"/>
        <n v="14550.85"/>
        <n v="8995.24"/>
        <n v="4825.0200000000004"/>
        <n v="8272.8000000000011"/>
        <n v="7032.6799999999976"/>
        <n v="17093.19999999999"/>
        <n v="6369"/>
        <n v="3185.4"/>
        <n v="13021.44"/>
        <n v="3482.86"/>
        <n v="12231.52"/>
        <n v="9651.2000000000007"/>
        <n v="11985.1"/>
        <n v="9407.32"/>
        <n v="5520.27"/>
        <n v="4085.61"/>
        <n v="7953.1999999999989"/>
        <n v="2514.2000000000012"/>
        <n v="24878.400000000009"/>
        <n v="8450.100000000004"/>
        <n v="5306.8999999999987"/>
        <n v="3649.6"/>
        <n v="3180.8"/>
        <n v="6427.5399999999991"/>
        <n v="11351.920000000009"/>
        <n v="10433.64"/>
        <n v="4586.9999999999991"/>
        <n v="9427.9100000000017"/>
        <n v="15067.8"/>
        <n v="4411.2000000000016"/>
        <n v="15098.8"/>
        <n v="16209.02"/>
        <n v="15846.87"/>
        <n v="4049.2"/>
        <n v="4468.03"/>
        <n v="5962.84"/>
        <n v="8143.2"/>
        <n v="13268.74"/>
        <n v="6076.4000000000024"/>
        <n v="9005.2999999999993"/>
        <n v="6251.4"/>
        <n v="14137"/>
        <n v="6302.7000000000016"/>
        <n v="3639.12"/>
        <n v="3781.41"/>
        <n v="5746.4"/>
        <n v="12615.22"/>
        <n v="5372.8799999999992"/>
        <n v="14509.96"/>
        <n v="1686.48"/>
        <n v="3901.0000000000009"/>
        <n v="3725.44"/>
        <n v="4921.0200000000004"/>
        <n v="14465.13"/>
        <n v="3485.64"/>
        <n v="8838.0399999999991"/>
        <n v="20431.80000000001"/>
        <n v="7416.9"/>
        <n v="8745.0999999999985"/>
        <n v="10734"/>
        <n v="12798.5"/>
        <n v="7197.6999999999989"/>
        <n v="10838.46"/>
        <n v="7631.72"/>
        <n v="4827.41"/>
        <n v="11094.5"/>
        <n v="11324.4"/>
        <n v="6816.86"/>
        <n v="5300.0000000000009"/>
        <n v="5878.56"/>
        <n v="5251.6"/>
        <n v="11224.999999999991"/>
        <n v="11599.11"/>
        <n v="9787.3600000000042"/>
        <n v="8784.8000000000047"/>
        <n v="15184.400000000011"/>
        <n v="5297.8800000000028"/>
        <n v="11152.22"/>
        <n v="14428.1"/>
        <n v="11590"/>
        <n v="2706.42"/>
        <n v="3300.53"/>
        <n v="6161"/>
        <n v="6407.37"/>
        <n v="5566.4000000000024"/>
        <n v="6737.24"/>
        <n v="5422.8"/>
        <n v="15441.999999999991"/>
        <n v="1835.2"/>
        <n v="5400.9600000000019"/>
        <n v="3285.1"/>
        <n v="4065.44"/>
        <n v="4345.7"/>
        <n v="20355.68"/>
        <n v="5448"/>
        <n v="6804"/>
        <n v="6970.2999999999975"/>
        <n v="4665.2"/>
        <n v="3046.36"/>
        <n v="4372.83"/>
        <n v="3757.02"/>
        <n v="33469.540000000023"/>
        <n v="11926.8"/>
        <n v="3264.2000000000012"/>
        <n v="4639.45"/>
        <n v="3627.64"/>
        <n v="3861.8"/>
        <n v="8791.7000000000007"/>
        <n v="5138"/>
        <n v="4213.25"/>
        <n v="8873.5200000000041"/>
        <n v="6663.6500000000005"/>
        <n v="3873.52"/>
        <n v="2515.2199999999998"/>
        <n v="3011.6000000000008"/>
        <n v="19015.55"/>
        <n v="3716.3"/>
        <n v="3614.2"/>
        <n v="7732.72"/>
        <n v="6224.7999999999984"/>
        <n v="12235.74"/>
        <n v="8186.26"/>
        <n v="8618.0799999999981"/>
        <n v="7803.0000000000009"/>
        <n v="2498.8000000000002"/>
        <n v="14546.82"/>
        <n v="4429.7"/>
        <n v="3987.3999999999992"/>
        <n v="6161.8000000000011"/>
        <n v="6250.6000000000013"/>
        <n v="9425.7999999999993"/>
        <n v="6118.0200000000013"/>
        <n v="7430.5199999999977"/>
        <n v="15847.61"/>
        <n v="7484.949999999998"/>
        <n v="5910.5"/>
        <n v="4188.82"/>
        <n v="3143.9"/>
        <n v="10568.75"/>
        <n v="1901.96"/>
        <n v="2572.7199999999998"/>
        <n v="9418.3299999999981"/>
        <n v="4285.92"/>
        <n v="3563.7200000000012"/>
        <n v="3832.32"/>
        <n v="19539.71000000001"/>
        <n v="12897.08"/>
        <n v="9453.9999999999982"/>
        <n v="7387.3999999999987"/>
        <n v="2513.8200000000002"/>
        <n v="5442.4"/>
        <n v="24321.299999999981"/>
        <n v="23540.78"/>
        <n v="4786.66"/>
        <n v="8915"/>
        <n v="4669.0199999999986"/>
        <n v="7386.4699999999984"/>
        <n v="9863.9599999999991"/>
        <n v="3436.2000000000012"/>
        <n v="5863.0000000000009"/>
        <n v="7840.8"/>
        <n v="10368"/>
        <n v="9074.42"/>
        <n v="4571.4399999999996"/>
        <n v="7966.1999999999989"/>
        <n v="3937.6600000000012"/>
        <n v="5826.52"/>
        <n v="3222.64"/>
        <n v="8598"/>
        <n v="12954.920000000009"/>
        <n v="7142.4000000000024"/>
        <n v="12477.21"/>
        <n v="16039.849999999989"/>
        <n v="13877.82"/>
        <n v="7700.2000000000025"/>
        <n v="11977.32"/>
        <n v="21946.80000000001"/>
        <n v="10548.01"/>
        <n v="3712.2"/>
        <n v="10798.42"/>
        <n v="8893.9999999999982"/>
        <n v="2926.12"/>
        <n v="5137.21"/>
        <n v="4148.1855999999998"/>
        <n v="6220.9600000000009"/>
        <n v="7534.7000000000016"/>
        <n v="15397.2"/>
        <n v="6151.1999999999989"/>
        <n v="2677.7200000000012"/>
        <n v="2524.41"/>
        <n v="2960.6000000000008"/>
        <n v="8682.89"/>
        <n v="9091.2000000000007"/>
        <n v="11444.5"/>
        <n v="6376.68"/>
        <n v="3288"/>
        <n v="5338.4000000000005"/>
        <n v="3800.8"/>
        <n v="4203.75"/>
        <n v="10473.200000000001"/>
        <n v="2787.72"/>
        <n v="7420.4"/>
        <n v="3037.42"/>
        <n v="2633.42"/>
        <n v="4256.3"/>
        <n v="5935.9399999999987"/>
        <n v="10561.6"/>
        <n v="3530.8200000000011"/>
        <n v="6723.199999999998"/>
        <n v="3413.41"/>
        <n v="5089.6099999999997"/>
        <n v="4396.9799999999996"/>
        <n v="15916"/>
        <n v="10338"/>
        <n v="6792.6399999999994"/>
        <n v="3968.65"/>
        <n v="6338.880000000001"/>
        <n v="7878.300000000002"/>
        <n v="6137.119999999999"/>
        <n v="7224.3999999999987"/>
        <n v="2643.03"/>
        <n v="15866.04"/>
        <n v="18097.080000000002"/>
        <n v="8435.1"/>
        <n v="6376.5"/>
        <n v="18756.91"/>
        <n v="3314.4"/>
        <n v="4107.38"/>
        <n v="3208.21"/>
        <n v="8887.92"/>
        <n v="10773.93"/>
        <n v="8409.5199999999986"/>
        <n v="11176.4"/>
        <n v="10256.5"/>
        <n v="14327.8"/>
        <n v="2674.32"/>
        <n v="2675.34"/>
        <n v="2534.0300000000002"/>
        <n v="19411.639999999989"/>
        <n v="8082.22"/>
        <n v="10128.6"/>
        <n v="4971.28"/>
        <n v="8507.4"/>
        <n v="12409.05"/>
        <n v="10904.8"/>
        <n v="9564.8700000000008"/>
        <n v="4685.09"/>
        <n v="10007.9"/>
        <n v="15552"/>
        <n v="8828.81"/>
        <n v="2912.44"/>
        <n v="26043.94000000001"/>
        <n v="24766.01999999999"/>
        <n v="7117.4899999999989"/>
        <n v="7473.9999999999991"/>
        <n v="7125.4399999999987"/>
        <n v="4959.5"/>
        <n v="13898.21"/>
        <n v="17833.55000000001"/>
        <n v="2600.8000000000002"/>
        <n v="7170.74"/>
        <n v="3346.8"/>
        <n v="2789.61"/>
        <n v="6938.5999999999995"/>
        <n v="8485.4"/>
        <n v="6069"/>
        <n v="15882"/>
        <n v="8067.2299999999987"/>
        <n v="7253.1000000000013"/>
        <n v="4258.4100000000017"/>
        <n v="10467.719999999999"/>
        <n v="7262.5999999999995"/>
        <n v="9111.4599999999991"/>
        <n v="8238.48"/>
        <n v="2500.599999999999"/>
        <n v="15797.95"/>
        <n v="9295.44"/>
        <n v="9047.93"/>
        <n v="14334.32"/>
        <n v="12944.43"/>
        <n v="6550.4"/>
        <n v="27629.200000000001"/>
        <n v="15703.6"/>
        <n v="21973"/>
        <n v="6189.4"/>
        <n v="7512.5999999999995"/>
        <n v="9854.32"/>
        <n v="3282.64"/>
        <n v="7044.52"/>
        <n v="2631.3"/>
        <n v="8935"/>
        <n v="4214.2099999999991"/>
        <n v="11117.67"/>
        <n v="7777.6"/>
        <n v="9711.6100000000024"/>
        <n v="8254.8000000000011"/>
        <n v="7931.46"/>
        <n v="15758"/>
        <n v="2846.4"/>
        <n v="2501.64"/>
        <n v="7982.869999999999"/>
        <n v="10808.9"/>
        <n v="9232.6"/>
        <n v="2814"/>
        <n v="7642.4399999999978"/>
        <n v="14516.82"/>
        <n v="7944.3200000000024"/>
        <n v="4849.4800000000014"/>
        <n v="8581.4000000000033"/>
        <n v="9519.9500000000007"/>
        <n v="7872.0000000000027"/>
        <n v="10413"/>
        <n v="3188.2000000000012"/>
        <n v="10270.200000000001"/>
        <n v="2500.8000000000002"/>
        <n v="3749.01"/>
        <n v="2630.14"/>
        <n v="11657.36"/>
        <n v="6404.8"/>
        <n v="20519.52"/>
        <n v="7901.8799999999974"/>
        <n v="6785"/>
        <n v="12326.2"/>
        <n v="2608.7000000000012"/>
        <n v="2512.3200000000002"/>
        <n v="4964"/>
        <n v="6315.94"/>
        <n v="6409.66"/>
        <n v="8834.14"/>
        <n v="7893.6000000000022"/>
        <n v="4137.6000000000004"/>
        <n v="6161.5999999999995"/>
        <n v="6971.46"/>
        <n v="3972.7300000000009"/>
        <n v="10337.030000000001"/>
        <n v="16854.669999999998"/>
        <n v="11529.53"/>
        <n v="7660.8500000000022"/>
        <n v="4449.8"/>
        <n v="2918.6000000000008"/>
        <n v="2630.42"/>
        <n v="3097.82"/>
        <n v="2914.4"/>
        <n v="2686.2200000000012"/>
        <n v="7670.54"/>
        <n v="4544"/>
        <n v="8875.489999999998"/>
        <n v="4702.8"/>
        <n v="2574.8000000000002"/>
        <n v="9923.7999999999993"/>
        <n v="6123.14"/>
        <n v="10365.92"/>
        <n v="7019.06"/>
        <n v="6541.85"/>
        <n v="3228.74"/>
        <n v="7284.3099999999977"/>
        <n v="11390.46"/>
        <n v="7291.760000000002"/>
        <n v="13569.499999999991"/>
        <n v="11977.22"/>
        <n v="8901.5199999999986"/>
        <n v="6862.9199999999973"/>
        <n v="2585.2600000000002"/>
        <n v="5971.8399999999983"/>
        <n v="18802.45"/>
        <n v="12769.15"/>
        <n v="1950"/>
        <n v="8585.4599999999991"/>
        <n v="3481.7178899999999"/>
        <n v="3598"/>
        <n v="8935.84"/>
        <n v="7907.2"/>
        <n v="6366.4900000000016"/>
        <n v="6494.5"/>
        <n v="15575.400000000011"/>
        <n v="2935.82"/>
        <n v="10819.46"/>
        <n v="7263.62"/>
        <n v="11498.08"/>
        <n v="5463.6000000000022"/>
        <n v="7253.66"/>
        <n v="4802.8600000000006"/>
        <n v="8447.5999999999985"/>
        <n v="3649.8"/>
        <n v="9438"/>
        <n v="21694.21000000001"/>
        <n v="9548.7999999999993"/>
        <n v="7868.1600000000017"/>
        <n v="8567.7199999999993"/>
        <n v="7514.2"/>
        <n v="2566.0299999999997"/>
        <n v="21502.06"/>
        <n v="20569.5"/>
        <n v="2572.0300000000002"/>
        <n v="2955.8"/>
        <n v="18082.97"/>
        <n v="18492.900000000001"/>
        <n v="8139.6000000000022"/>
        <n v="14854"/>
        <n v="7723.5000000000045"/>
        <n v="11960.8"/>
        <n v="11861.099999999989"/>
        <n v="3959.6000000000008"/>
        <n v="5399.6000000000022"/>
        <n v="8253.3000000000011"/>
        <n v="2851.8"/>
        <n v="9427.36"/>
        <n v="3122.56"/>
        <n v="2450"/>
        <n v="2968.2200000000012"/>
        <n v="13919.97"/>
        <n v="11587.38"/>
        <n v="5695.2000000000016"/>
        <n v="8527.93"/>
        <n v="11024.96"/>
        <n v="2877.6"/>
        <n v="3768.08"/>
        <n v="2618.4"/>
        <n v="10271.82"/>
        <n v="2520.0100000000002"/>
        <n v="8275.6999999999989"/>
        <n v="2758.8"/>
        <n v="2580.52"/>
        <n v="4251.42"/>
        <n v="2674.4300000000012"/>
        <n v="2653.4"/>
        <n v="4424.2299999999996"/>
        <n v="20460.400000000001"/>
        <n v="9842.1"/>
        <n v="3826"/>
        <n v="16326.8"/>
        <n v="3511.2"/>
        <n v="3484.31"/>
        <n v="7485.34"/>
        <n v="6307.8799999999974"/>
        <n v="7409.3000000000011"/>
        <n v="14459.099999999989"/>
        <n v="6448"/>
        <n v="2621"/>
        <n v="6905.5999999999995"/>
        <n v="7102.2"/>
        <n v="23762.400000000001"/>
        <n v="3940.3874999999998"/>
        <n v="7786.5999999999976"/>
        <n v="2658.21"/>
        <n v="2742.4"/>
        <n v="2707.85"/>
        <n v="9373.61"/>
        <n v="16010.69"/>
        <n v="23059"/>
        <n v="5083.5"/>
        <n v="19879.30000000001"/>
        <n v="2946.2799999999988"/>
        <n v="2606.23"/>
        <n v="2536.63"/>
        <n v="12518.41"/>
        <n v="14074.64"/>
        <n v="15010.11"/>
        <n v="14137.009999999989"/>
        <n v="7626"/>
        <n v="12398.5"/>
        <n v="10595.92"/>
        <n v="7973.79"/>
        <n v="3504.4"/>
        <n v="10701.6"/>
        <n v="13922.7"/>
        <n v="3266"/>
        <n v="3331.62"/>
        <n v="6071.86"/>
        <n v="7987.1999999999989"/>
        <n v="8702.7000000000025"/>
        <n v="6748.4"/>
        <n v="17507.599999999999"/>
        <n v="3802.66"/>
        <n v="4209.2199999999984"/>
        <n v="20038.36"/>
        <n v="2971.52"/>
        <n v="11499.69"/>
        <n v="13716.999999999991"/>
        <n v="8953"/>
        <n v="4591.8"/>
        <n v="5335.15"/>
        <n v="18057.2"/>
        <n v="7776.0799999999972"/>
        <n v="5042.62"/>
        <n v="2683.2000000000012"/>
        <n v="3094.09"/>
        <n v="4798.05"/>
        <n v="5071.2"/>
        <n v="3438.4"/>
        <n v="4902.26"/>
        <n v="5773.6400000000012"/>
        <n v="23434"/>
        <n v="6826.2999999999975"/>
        <n v="10218.879999999999"/>
        <n v="6592.4099999999989"/>
        <n v="7670.3199999999988"/>
        <n v="3148.52"/>
        <n v="2296.4"/>
        <n v="4762.1000000000004"/>
        <n v="9606.4"/>
        <n v="11223.32"/>
        <n v="11099.099999999989"/>
        <n v="22825.759999999998"/>
        <n v="25283.07999999998"/>
        <n v="9752"/>
        <n v="8952.6"/>
        <n v="8211"/>
        <n v="16317.54"/>
        <n v="8049.5999999999976"/>
        <n v="4061.8"/>
        <n v="2745.2"/>
        <n v="3085"/>
        <n v="12665.12"/>
        <n v="26666.639999999981"/>
        <n v="3325"/>
        <n v="3575.8"/>
        <n v="3150.2"/>
        <n v="2440.4"/>
        <n v="7828.8600000000006"/>
        <n v="1188"/>
        <n v="18137.8"/>
        <n v="12600.8"/>
        <n v="4037.2"/>
        <n v="4142.1000000000004"/>
        <n v="18539.400000000001"/>
        <n v="4738.8"/>
        <n v="8507.8000000000011"/>
        <n v="16462.209999999988"/>
        <n v="17441.41"/>
        <n v="10241.94"/>
        <n v="9619.2800000000007"/>
        <n v="7432.6000000000013"/>
        <n v="3560.51"/>
        <n v="22314.7"/>
        <n v="2549.8000000000002"/>
        <n v="8245.5"/>
        <n v="2816.8"/>
        <n v="7629.0399999999972"/>
        <n v="13535.5"/>
        <n v="2823.2000000000012"/>
        <n v="2618.8200000000002"/>
        <n v="3701.64"/>
        <n v="10987.23"/>
        <n v="10016.200000000001"/>
        <n v="4301.32"/>
        <n v="7110.2"/>
        <n v="6568.5599999999986"/>
        <n v="2714.22"/>
        <n v="10095"/>
        <n v="9440.0399999999972"/>
        <n v="9481"/>
        <n v="4060.04"/>
        <n v="8457.8000000000011"/>
        <n v="11782.37"/>
        <n v="6853"/>
        <n v="8081.12"/>
        <n v="13719.4"/>
        <n v="3924.880000000001"/>
        <n v="7930"/>
        <n v="5170.1699999999992"/>
        <n v="10132"/>
        <n v="9921.6"/>
        <n v="15455.12"/>
        <n v="7714.45"/>
        <n v="5239.24"/>
        <n v="4691.4800000000014"/>
        <n v="3439.4500000000012"/>
        <n v="11582.25"/>
        <n v="2739.4100000000012"/>
        <n v="5793.13"/>
        <n v="2618.36"/>
        <n v="4074.7500000000009"/>
        <n v="3440.49"/>
        <n v="2470.3000000000002"/>
        <n v="12828.34"/>
        <n v="13004.400000000011"/>
        <n v="10802"/>
        <n v="17436.839999999989"/>
        <n v="11403.8"/>
        <n v="11306.9"/>
        <n v="3283.18"/>
        <n v="17680"/>
        <n v="8690.4200000000019"/>
        <n v="5126.92"/>
        <n v="8391"/>
        <n v="13223.79"/>
        <n v="6030.27"/>
        <n v="3190.6800000000012"/>
        <n v="6719.4999999999991"/>
        <n v="20903.80000000001"/>
        <n v="5723.46"/>
        <n v="9771.93"/>
        <n v="11186.04"/>
        <n v="6771.2"/>
        <n v="6831.5399999999991"/>
        <n v="4364.3599999999997"/>
        <n v="3431.84"/>
        <n v="2905.28"/>
        <n v="4035.78"/>
        <n v="5769.7400000000016"/>
        <n v="10490.71"/>
        <n v="11492.239999999991"/>
        <n v="5339.0999999999995"/>
        <n v="12265.99"/>
        <n v="11892"/>
        <n v="12827.96"/>
        <n v="13336.74"/>
        <n v="3351"/>
        <n v="6853.3999999999987"/>
        <n v="3464.6"/>
        <n v="4586.6200000000008"/>
        <n v="22716.720000000001"/>
        <n v="5131.4400000000014"/>
        <n v="22162.400000000009"/>
        <n v="4472.6400000000003"/>
        <n v="13964.81"/>
        <n v="8594.18"/>
        <n v="3236.38"/>
        <n v="21094.92"/>
        <n v="7846.3399999999974"/>
        <n v="10684.6"/>
        <n v="6205.88"/>
        <n v="4127.22"/>
        <n v="10781.25"/>
        <n v="2518.56"/>
        <n v="3188.12"/>
        <n v="1078.74"/>
        <n v="4745.3999999999996"/>
        <n v="1625.4"/>
        <n v="27360.48000000001"/>
        <n v="3752.0000000000009"/>
        <n v="23183.87999999999"/>
        <n v="7306.3899999999994"/>
        <n v="6740.47"/>
        <n v="3227.2"/>
        <n v="7502.3700000000026"/>
        <n v="23044"/>
        <n v="23010.600000000009"/>
        <n v="9622.32"/>
        <n v="9659.7999999999993"/>
        <n v="10872.4"/>
        <n v="19767.580000000002"/>
        <n v="9096.100000000004"/>
        <n v="10177"/>
        <n v="2583.17"/>
        <n v="5610.7199999999984"/>
        <n v="2568.42"/>
        <n v="16495.18"/>
        <n v="8927.48"/>
        <n v="6923.6600000000017"/>
        <n v="3846.93"/>
        <n v="3825.25"/>
        <n v="6855.8799999999992"/>
        <n v="27878.75999999998"/>
        <n v="10631.08"/>
        <n v="4690"/>
        <n v="3368.8"/>
        <n v="8681.9999999999982"/>
        <n v="3932.76"/>
        <n v="4964.0000000000018"/>
        <n v="7287.3200000000024"/>
        <n v="10442.68"/>
        <n v="9331.2000000000007"/>
        <n v="2548.8000000000002"/>
        <n v="2948.2000000000012"/>
        <n v="7048.88"/>
        <n v="3476.1000000000008"/>
        <n v="8859.2799999999988"/>
        <n v="6987.95"/>
        <n v="7023.3600000000024"/>
        <n v="14894.28"/>
        <n v="6159.3"/>
        <n v="15108.1"/>
        <n v="13404.2"/>
        <n v="5831.42"/>
        <n v="7286.7200000000012"/>
        <n v="15870.24"/>
        <n v="18621.419999999998"/>
        <n v="9141.9999999999964"/>
        <n v="8273.9700000000012"/>
        <n v="3128.02"/>
        <n v="3556.6200000000008"/>
        <n v="8219.340000000002"/>
        <n v="6794.5700000000024"/>
        <n v="4744.0600000000004"/>
        <n v="22857.80000000001"/>
        <n v="16840.2"/>
        <n v="2667.62"/>
        <n v="3268.96"/>
        <n v="25454.51999999999"/>
        <n v="4571.76"/>
        <n v="9541.27"/>
        <n v="8708.4"/>
        <n v="27889"/>
        <n v="2070.6000000000008"/>
        <n v="12101.2"/>
        <n v="4003.26"/>
        <n v="11413.2"/>
        <n v="3761.36"/>
        <n v="4019.36"/>
        <n v="6953.9999999999973"/>
        <n v="8641.6999999999989"/>
        <n v="3606.6"/>
        <n v="7220.75"/>
        <n v="10189.92"/>
        <n v="15961.599999999989"/>
        <n v="15170.64"/>
        <n v="11241.840000000009"/>
        <n v="3816.2"/>
        <n v="2936.73"/>
        <n v="4878.75"/>
        <n v="5009.6000000000004"/>
        <n v="5700.1299999999992"/>
        <n v="23387.200000000001"/>
        <n v="2504.17"/>
        <n v="6915.24"/>
        <n v="9027.6400000000031"/>
        <n v="11395.98"/>
        <n v="10664"/>
        <n v="7137.0899999999983"/>
        <n v="2804.08"/>
        <n v="3029.96"/>
        <n v="3873.24"/>
        <n v="5460"/>
        <n v="17235.16"/>
        <n v="18409.37"/>
        <n v="4134.6399999999994"/>
        <n v="11060.02"/>
        <n v="5891.06"/>
        <n v="7805.4000000000024"/>
        <n v="8661.3799999999992"/>
        <n v="10693.8"/>
        <n v="5784.9999999999991"/>
        <n v="12983.72"/>
        <n v="13095.14"/>
        <n v="7310.2099999999991"/>
        <n v="5843.119999999999"/>
        <n v="7369.46"/>
        <n v="2938.62"/>
        <n v="7046.26"/>
        <n v="5656.5"/>
        <n v="19038"/>
        <n v="21011.200000000001"/>
        <n v="23301.5"/>
        <n v="6563.5999999999995"/>
        <n v="6970.94"/>
        <n v="9805.32"/>
        <n v="4095"/>
        <n v="9100"/>
        <n v="8080.91"/>
        <n v="6227.5"/>
        <n v="13111.18"/>
        <n v="2860.4"/>
        <n v="2492.6999999999998"/>
        <n v="2648.87"/>
        <n v="2488.1999999999998"/>
        <n v="3727.08"/>
        <n v="12417.03"/>
        <n v="4274.88"/>
        <n v="6490.21"/>
        <n v="1866.54"/>
        <n v="8339.3599999999988"/>
        <n v="3094.83"/>
        <n v="13293.06"/>
        <n v="3889.95"/>
        <n v="3685.5"/>
        <n v="5838.0000000000009"/>
        <n v="6973.2000000000025"/>
        <n v="15846.070000000011"/>
        <n v="9862.2199999999993"/>
        <n v="3211.13"/>
        <n v="2548.2399999999998"/>
        <n v="9061.94"/>
        <n v="7640.2"/>
        <n v="2917.97"/>
        <n v="27973"/>
        <n v="7380.6"/>
        <n v="4420.16"/>
        <n v="1725.5"/>
        <n v="22151.520000000011"/>
        <n v="13704.52"/>
        <n v="8208.7200000000012"/>
        <n v="3313.85"/>
        <n v="8440.0200000000023"/>
        <n v="12192.820000000011"/>
        <n v="22417.599999999991"/>
        <n v="10202.41"/>
        <n v="4119.5"/>
        <n v="2607.84"/>
        <n v="8472.5300000000007"/>
        <n v="10124.39"/>
        <n v="10756.85"/>
        <n v="3643.2"/>
        <n v="3848.8000000000011"/>
        <n v="17683.8"/>
        <n v="15214.999999999991"/>
        <n v="4108"/>
        <n v="6735.57"/>
        <n v="17454.96"/>
        <n v="8612.4000000000015"/>
        <n v="5199.66"/>
        <n v="5787.2000000000025"/>
        <n v="9722.8399999999965"/>
        <n v="8609.2800000000007"/>
        <n v="12475.8"/>
        <n v="18553.650000000001"/>
        <n v="4986.68"/>
        <n v="2774.1"/>
        <n v="2498.58"/>
        <n v="11247.400000000011"/>
        <n v="3335.6000000000008"/>
        <n v="8671.8999999999978"/>
        <n v="5540.42"/>
        <n v="14460.29999999999"/>
        <n v="2600.7399999999998"/>
        <n v="18200"/>
        <n v="12074.96"/>
        <n v="6525.7999999999984"/>
        <n v="17745"/>
        <n v="3469.5"/>
        <n v="13668.67"/>
        <n v="8121"/>
        <n v="11398.999999999991"/>
        <n v="9574.590000000002"/>
        <n v="11156.93"/>
        <n v="10831.87"/>
        <n v="3456.82"/>
        <n v="15039.71"/>
        <n v="11827.01"/>
        <n v="8374.44"/>
        <n v="2894.4"/>
        <n v="12942.8"/>
        <n v="15917.64"/>
        <n v="4990.16"/>
        <n v="3476.61"/>
        <n v="8313.9199999999983"/>
        <n v="18086.3"/>
        <n v="11595.36"/>
        <n v="9404.3599999999969"/>
        <n v="2340.48"/>
        <n v="3917.94"/>
        <n v="2636.18"/>
        <n v="15405.000000000009"/>
        <n v="17227.27"/>
        <n v="4761.6000000000004"/>
        <n v="7690.2999999999975"/>
        <n v="2974.32"/>
        <n v="11770.86"/>
        <n v="3150.44"/>
        <n v="6453.2599999999966"/>
        <n v="12437.1"/>
        <n v="7185.5999999999995"/>
        <n v="11471.9"/>
        <n v="4985.5999999999995"/>
        <n v="3826.42"/>
        <n v="3074.48"/>
        <n v="2737.12"/>
        <n v="4128.28"/>
        <n v="11454.43"/>
        <n v="26452.84"/>
        <n v="6305.2499999999991"/>
        <n v="2874.8"/>
        <n v="17968.80000000001"/>
        <n v="8553.2000000000007"/>
        <n v="14150.91"/>
        <n v="3854.24"/>
        <n v="8372.0300000000007"/>
        <n v="7088"/>
        <n v="10069.280000000001"/>
        <n v="5550.4"/>
        <n v="8065.4199999999973"/>
        <n v="6248.86"/>
        <n v="2578.3000000000002"/>
        <n v="4212.18"/>
        <n v="11400.52"/>
        <n v="13488.900000000011"/>
        <n v="13212.000000000009"/>
        <n v="9423.5000000000018"/>
        <n v="15121.679999999989"/>
        <n v="4166.8"/>
        <n v="7064.6443230000004"/>
        <n v="2559.3200000000002"/>
        <n v="12610.660000000011"/>
        <n v="2574.5500000000002"/>
        <n v="20705.099999999999"/>
        <n v="7369.8"/>
        <n v="7187.2000000000025"/>
        <n v="9413.8299999999981"/>
        <n v="8585.090000000002"/>
        <n v="3209.3700000000008"/>
        <n v="27408.840000000029"/>
        <n v="17839.30000000001"/>
        <n v="8324.279999999997"/>
        <n v="5928.3799999999992"/>
        <n v="8634.59"/>
        <n v="2832.3"/>
        <n v="2655.3"/>
        <n v="8920.4000000000033"/>
        <n v="12833.2"/>
        <n v="25222.400000000001"/>
        <n v="2885.64"/>
        <n v="4537.0400000000009"/>
        <n v="17461.22"/>
        <n v="21465.000000000011"/>
        <n v="13384"/>
        <n v="10102.959999999999"/>
        <n v="2548.3200000000002"/>
        <n v="6519.15"/>
        <n v="6993.6000000000022"/>
        <n v="8481.9999999999982"/>
        <n v="18739"/>
        <n v="11806.159999999991"/>
        <n v="12200.8"/>
        <n v="21632.48"/>
        <n v="7273.86"/>
        <n v="2618.52"/>
        <n v="3166.8"/>
        <n v="3405.6000000000008"/>
        <n v="4133.4400000000014"/>
        <n v="16552.28"/>
        <n v="23967.000000000011"/>
        <n v="8298.9699999999993"/>
        <n v="3010.1200000000008"/>
        <n v="2520.79"/>
        <n v="26105"/>
        <n v="12360.3"/>
        <n v="9849.0499999999956"/>
        <n v="26544.24000000002"/>
        <n v="12408.15"/>
        <n v="4922.0200000000004"/>
        <n v="2482.92"/>
        <n v="4175.2"/>
        <n v="14048.62"/>
        <n v="3546.2000000000012"/>
        <n v="2667.36"/>
        <n v="8871.9399999999987"/>
        <n v="4452.0000000000009"/>
        <n v="2895.34"/>
        <n v="19378.579999999991"/>
        <n v="17137.819999999989"/>
        <n v="9140.81"/>
        <n v="4082.400000000001"/>
        <n v="6824.4600000000028"/>
        <n v="10895.18"/>
        <n v="8328.8000000000011"/>
        <n v="5471.8"/>
        <n v="12748.94"/>
        <n v="19931.2"/>
        <n v="3477.6000000000008"/>
        <n v="16909.499999999989"/>
        <n v="2071.92"/>
        <n v="8257.49"/>
        <n v="3736.62"/>
        <n v="8717.4700000000012"/>
        <n v="6701.24"/>
        <n v="14831.400000000011"/>
        <n v="17071.21999999999"/>
        <n v="6353.82"/>
        <n v="4565.6000000000004"/>
        <n v="4738.74"/>
        <n v="2298.7800000000002"/>
        <n v="22738.799999999999"/>
        <n v="4375.2"/>
        <n v="9080.9999999999982"/>
        <n v="10090.209999999999"/>
        <n v="27776.000000000018"/>
        <n v="4070.77"/>
        <n v="4813.2"/>
        <n v="2953.8"/>
        <n v="18177.3"/>
        <n v="12191.31"/>
        <n v="23835"/>
        <n v="22700"/>
        <n v="7958.1000000000022"/>
        <n v="8529"/>
        <n v="14429.28"/>
        <n v="2847"/>
        <n v="10329.14"/>
        <n v="3903.34"/>
        <n v="2541.2599999999989"/>
        <n v="2451.8000000000002"/>
        <n v="9551.52"/>
        <n v="18372.940000000002"/>
        <n v="3439.8"/>
        <n v="5335.06"/>
        <n v="2828.47"/>
        <n v="23037.999999999989"/>
        <n v="11375.1"/>
        <n v="7210.71"/>
        <n v="10452"/>
        <n v="6577.2000000000025"/>
        <n v="13903.06"/>
        <n v="18813.21999999999"/>
        <n v="11874"/>
        <n v="14629.8"/>
        <n v="17972.12000000001"/>
        <n v="7757.35"/>
        <n v="10568"/>
        <n v="9478.5000000000036"/>
        <n v="8174.9999999999973"/>
        <n v="3133.1"/>
        <n v="13543.77"/>
        <n v="10161.799999999999"/>
        <n v="14629.34"/>
        <n v="11042.02"/>
        <n v="6249.0000000000009"/>
        <n v="5281.9"/>
        <n v="2926.32"/>
        <n v="13781.499999999991"/>
        <n v="3993.599999999999"/>
        <n v="23857.599999999999"/>
        <n v="20989.98"/>
        <n v="9053.15"/>
        <n v="6401.0700000000024"/>
        <n v="3854.04"/>
        <n v="18126.07"/>
        <n v="3127.82"/>
        <n v="4813.6000000000004"/>
        <n v="3051.2000000000012"/>
        <n v="3545.44"/>
        <n v="14877.97"/>
        <n v="13081.98"/>
        <n v="2174.4"/>
        <n v="7368.4"/>
        <n v="5850.84"/>
        <n v="5397.4400000000014"/>
        <n v="9545"/>
        <n v="23893.100000000009"/>
        <n v="9979.89"/>
        <n v="16351.68"/>
        <n v="16761.080000000002"/>
        <n v="13629.1"/>
        <n v="11842.759999999989"/>
        <n v="16476.35999999999"/>
        <n v="23063.599999999999"/>
        <n v="13048.44"/>
        <n v="4597.5600000000004"/>
        <n v="26914.85999999999"/>
        <n v="12933"/>
        <n v="10029.26"/>
        <n v="7782.6799999999976"/>
        <n v="4837.78"/>
        <n v="22658.07"/>
        <n v="10080.08"/>
        <n v="7448.7999999999984"/>
        <n v="8972.6"/>
        <n v="26501.499999999982"/>
        <n v="15372.4"/>
        <n v="13970.35"/>
        <n v="6934.3199999999979"/>
        <n v="4640.2800000000016"/>
        <n v="20401.64000000001"/>
        <n v="20652.75"/>
        <n v="9955.9500000000007"/>
        <n v="8004.51"/>
        <n v="11124"/>
        <n v="24543.8"/>
        <n v="17438.830000000002"/>
        <n v="4053.38"/>
        <n v="4233.71"/>
        <n v="15514.099999999989"/>
        <n v="17706.599999999991"/>
        <n v="26023.30000000001"/>
        <n v="20585.84"/>
        <n v="2603.9700000000012"/>
        <n v="9195.1200000000008"/>
        <n v="5105.7999999999984"/>
        <n v="9950.4"/>
        <n v="11976.6"/>
        <n v="18234.400000000001"/>
        <n v="2815"/>
        <n v="3044.3"/>
        <n v="3071.42"/>
        <n v="15421.97"/>
        <n v="25682"/>
        <n v="3466.4"/>
        <n v="8652.279999999997"/>
        <n v="7925.2800000000016"/>
        <n v="4897.28"/>
        <n v="18158"/>
        <n v="10773.68"/>
        <n v="18683.37000000001"/>
        <n v="7137.2599999999966"/>
        <n v="2706.84"/>
        <n v="9447"/>
        <n v="14142.77"/>
        <n v="12294.399999999991"/>
        <n v="22489.420000000009"/>
        <n v="4261.4500000000016"/>
        <n v="17424.599999999999"/>
        <n v="4684.4599999999991"/>
        <n v="4243.6399999999994"/>
        <n v="20819.25"/>
        <n v="4400"/>
        <n v="3035.7"/>
        <n v="5146.9399999999987"/>
        <n v="15980.4"/>
        <n v="16532.19999999999"/>
        <n v="9243.0000000000018"/>
        <n v="9782.6200000000008"/>
        <n v="4814.34"/>
        <n v="1932.85"/>
        <n v="3239.42"/>
        <n v="23358.400000000009"/>
        <n v="14453.400000000011"/>
        <n v="14700"/>
        <n v="8644.39"/>
        <n v="14241.6"/>
        <n v="22642"/>
        <n v="12967.6"/>
        <n v="11764.1"/>
        <n v="17306.38"/>
        <n v="7839.14"/>
        <n v="3441.28"/>
        <n v="6698.2799999999988"/>
        <n v="26978.16"/>
        <n v="13721.04"/>
        <n v="11538.69"/>
        <n v="8971.850000000004"/>
        <n v="6283.66"/>
        <n v="2568.6200000000008"/>
        <n v="39020.800000000039"/>
        <n v="20321.2"/>
        <n v="11612.779999999999"/>
        <n v="13373.13"/>
        <n v="21067.439999999999"/>
        <n v="3228.48"/>
        <n v="5314"/>
        <n v="11951.96"/>
        <n v="6247.2399999999989"/>
        <n v="4819.32"/>
        <n v="11078.36"/>
        <n v="16573.28"/>
        <n v="9945.9400000000023"/>
        <n v="2307.38"/>
        <n v="15267.06"/>
        <n v="4192.3999999999996"/>
        <n v="4451.6000000000004"/>
        <n v="5338"/>
        <n v="5485.2"/>
        <n v="20994.25"/>
        <n v="18378.400000000009"/>
        <n v="19780.68"/>
        <n v="9776.8999999999978"/>
        <n v="4404.8613779999996"/>
        <n v="7896.16"/>
        <n v="7114.64"/>
        <n v="7764.7499999999991"/>
        <n v="3013.56"/>
        <n v="4049.6"/>
        <n v="9442.0000000000018"/>
        <n v="3811.44"/>
        <n v="10596.58"/>
        <n v="17082.14"/>
        <n v="8314.7199999999993"/>
        <n v="4287.3400000000011"/>
        <n v="3339"/>
        <n v="19671.2"/>
        <n v="1718.28"/>
        <n v="3888.2"/>
        <n v="7237.3600000000006"/>
        <n v="9380"/>
        <n v="9715.5400000000009"/>
        <n v="5176.4100000000017"/>
        <n v="4084.73"/>
        <n v="12500.05"/>
        <n v="8963.4299999999967"/>
        <n v="5547.66"/>
        <n v="5702.1999999999989"/>
        <n v="7164.8199999999988"/>
        <n v="10642.67"/>
        <n v="21398.30000000001"/>
        <n v="4496.9599999999991"/>
        <n v="10647.12"/>
        <n v="6528.7700000000013"/>
        <n v="13647.740000000011"/>
        <n v="19287.049999999988"/>
        <n v="2640.76"/>
        <n v="7005"/>
        <n v="4228.32"/>
        <n v="1957"/>
        <n v="5802.4"/>
        <n v="6147.5999999999995"/>
        <n v="8805.3999999999978"/>
        <n v="19310.34"/>
        <n v="14477.86"/>
        <n v="19804.659999999989"/>
        <n v="5251.28"/>
        <n v="3376.2000000000012"/>
        <n v="19071"/>
        <n v="15394.660000000011"/>
        <n v="11243.000000000009"/>
        <n v="13462.19999999999"/>
        <n v="12444.48"/>
        <n v="3656.88"/>
        <n v="20685.900000000001"/>
        <n v="15960.38"/>
        <n v="21082.53"/>
        <n v="10725"/>
        <n v="25155"/>
        <n v="5172.2"/>
        <n v="6436.0599999999986"/>
        <n v="4166.3999999999996"/>
        <n v="16729.599999999991"/>
        <n v="6668.62"/>
        <n v="2743.5"/>
        <n v="4109.12"/>
        <n v="3503.42"/>
        <n v="2440"/>
        <n v="10684.400000000011"/>
        <n v="10840"/>
        <n v="19527.629999999979"/>
        <n v="5802.8"/>
        <n v="7559.6399999999976"/>
        <n v="4413.87"/>
        <n v="5350.0199999999986"/>
        <n v="20516.760000000009"/>
        <n v="7310.82"/>
        <n v="13874.6"/>
        <n v="6006"/>
        <n v="8936.0000000000018"/>
        <n v="13058.88000000001"/>
        <n v="9227.24"/>
        <n v="7323.8"/>
        <n v="10830.36"/>
        <n v="11824.96"/>
        <n v="17130.580000000002"/>
        <n v="20025.669999999998"/>
        <n v="11826.63"/>
        <n v="19517.5"/>
        <n v="4512.9399999999996"/>
        <n v="6577.8799999999992"/>
        <n v="4464"/>
        <n v="12711.05"/>
        <n v="15904.599999999989"/>
        <n v="18758.760000000009"/>
        <n v="17485.720000000008"/>
        <n v="20272.41999999998"/>
        <n v="16768.2"/>
        <n v="3185.44"/>
        <n v="6620.3999999999978"/>
        <n v="20991.599999999999"/>
        <n v="13433.44"/>
        <n v="15706.599999999989"/>
        <n v="2902.6"/>
        <n v="2726.88"/>
        <n v="2471.3000000000002"/>
        <n v="5341.8199999999988"/>
        <n v="6087.29"/>
        <n v="5762.27"/>
        <n v="13705.54000000001"/>
        <n v="8264.0399999999991"/>
        <n v="16289.410000000011"/>
        <n v="8590.8000000000011"/>
        <n v="7384.16"/>
        <n v="3515.65"/>
        <n v="6726.06"/>
        <n v="7817.2699999999986"/>
        <n v="8061.5999999999976"/>
        <n v="10325.629999999999"/>
        <n v="20417.34"/>
        <n v="7325.4399999999987"/>
        <n v="11120.8"/>
        <n v="14170.000000000009"/>
        <n v="3565"/>
        <n v="2145.2600000000002"/>
        <n v="9661.2000000000007"/>
        <n v="17563.5"/>
        <n v="12003.95"/>
        <n v="10447.4"/>
        <n v="11744.2"/>
        <n v="4831.75"/>
        <n v="16587.189999999999"/>
        <n v="16470"/>
        <n v="3122.4"/>
        <n v="4219.8399999999983"/>
        <n v="2562.0500000000002"/>
        <n v="3230.96"/>
        <n v="4717.25"/>
        <n v="11910.38"/>
        <n v="14137.4"/>
        <n v="4044.42"/>
        <n v="7991.7599999999966"/>
        <n v="10241.200000000001"/>
        <n v="3040.2"/>
        <n v="20521.570000000011"/>
        <n v="9973.2900000000045"/>
        <n v="5020.8999999999996"/>
        <n v="3400.52"/>
        <n v="9368.6799999999967"/>
        <n v="8885.9999999999964"/>
        <n v="2976"/>
        <n v="5806.3"/>
        <n v="8957.6800000000021"/>
        <n v="22007"/>
        <n v="3189.1799999999989"/>
        <n v="9705.6"/>
        <n v="3261.7200000000003"/>
        <n v="7167.4"/>
        <n v="13654.64"/>
        <n v="16876.62"/>
        <n v="10630.62"/>
        <n v="2729.84"/>
        <n v="10716.8"/>
        <n v="11788.28"/>
        <n v="8874.7400000000016"/>
        <n v="13234.22"/>
        <n v="9791"/>
        <n v="18341.48"/>
        <n v="3302.3999999999992"/>
        <n v="20088.55"/>
        <n v="1767"/>
        <n v="6624.3399999999974"/>
        <n v="6489.170000000001"/>
        <n v="14227.44"/>
        <n v="18841.87"/>
        <n v="6586"/>
        <n v="20210.069999999989"/>
        <n v="11519.42"/>
        <n v="4903.760000000002"/>
        <n v="3126"/>
        <n v="7102.5599999999995"/>
        <n v="11581.75"/>
        <n v="2964.12"/>
        <n v="2971.59"/>
        <n v="7239.84"/>
        <n v="6183.3"/>
        <n v="3146.2199999999989"/>
        <n v="15035.96"/>
        <n v="8188.7099999999991"/>
        <n v="3986"/>
        <n v="3538"/>
        <n v="3707.4900000000011"/>
        <n v="6425.1200000000008"/>
        <n v="7040.8000000000011"/>
        <n v="5688.0399999999991"/>
        <n v="16700.73"/>
        <n v="2487.86"/>
        <n v="10533.74"/>
        <n v="4831.3999999999996"/>
        <n v="8523.65"/>
        <n v="6655.5800000000008"/>
        <n v="7159"/>
        <n v="7369.7715010000002"/>
        <n v="10094.700000000001"/>
        <n v="19134.599999999999"/>
        <n v="3144.73"/>
        <n v="2826.52"/>
        <n v="10475.83"/>
        <n v="9902.36"/>
        <n v="3182"/>
        <n v="9339.52"/>
        <n v="3516.98"/>
        <n v="5955.4000000000005"/>
        <n v="9156.7000000000044"/>
        <n v="18629.34"/>
        <n v="19778.48"/>
        <n v="4968.6000000000004"/>
        <n v="23612.64000000001"/>
        <n v="3210.44"/>
        <n v="4410.3599999999997"/>
        <n v="1404.3"/>
        <n v="10072.08"/>
        <n v="8723.4"/>
        <n v="9662.7999999999993"/>
        <n v="6068.4000000000024"/>
        <n v="7442.1000000000022"/>
        <n v="5073.3599999999997"/>
        <n v="3363.41"/>
        <n v="5127.09"/>
        <n v="23705.939999999981"/>
        <n v="5527"/>
        <n v="14601.099999999989"/>
        <n v="4612.8"/>
        <n v="14784.499999999991"/>
        <n v="4156.0300000000016"/>
        <n v="5736.5200000000013"/>
        <n v="18802.79"/>
        <n v="2684.9"/>
        <n v="2668.8900000000008"/>
        <n v="20589.84"/>
        <n v="10778"/>
        <n v="2187.87"/>
        <n v="16272.8"/>
        <n v="5628"/>
        <n v="8762.4"/>
        <n v="13929.5"/>
        <n v="2505.5"/>
        <n v="2587.54"/>
        <n v="7571.75"/>
        <n v="12627.66"/>
        <n v="14085.48000000001"/>
        <n v="2500"/>
        <n v="2511.52"/>
        <n v="2408.42"/>
        <n v="14925.32"/>
        <n v="16494.329999999991"/>
        <n v="6870.0800000000008"/>
        <n v="3911.52"/>
        <n v="7279.6599999999971"/>
        <n v="7522.800000000002"/>
        <n v="13155.999999999991"/>
        <n v="6790.32"/>
        <n v="2853.8"/>
        <n v="2787.4"/>
        <n v="3303.72"/>
        <n v="2578.6800000000012"/>
        <n v="1035.25"/>
        <n v="3782.88"/>
        <n v="3512.400000000001"/>
        <n v="2148.3797500000001"/>
        <n v="4043.56"/>
        <n v="21904.5"/>
        <n v="12421.49"/>
        <n v="18775.55"/>
        <n v="9915.4599999999991"/>
        <n v="2628.1400000000008"/>
        <n v="2949.72"/>
        <n v="8566.2300000000014"/>
        <n v="7229.79"/>
        <n v="4045.6"/>
        <n v="24954.59"/>
        <n v="4015.8"/>
        <n v="13109.819999999991"/>
        <n v="17635.29"/>
        <n v="10574.46"/>
        <n v="5178.4399999999996"/>
        <n v="3127.46"/>
        <n v="10056.35"/>
        <n v="6727.16"/>
        <n v="2626.26"/>
        <n v="2711.59"/>
        <n v="2587.5100000000002"/>
        <n v="2737.4"/>
        <n v="5526.9999999999991"/>
        <n v="7295"/>
        <n v="3911.5"/>
        <n v="12747.63"/>
        <n v="20394.419999999991"/>
        <n v="3340"/>
        <n v="21297.25"/>
        <n v="5902.24"/>
        <n v="8848.2799999999988"/>
        <n v="6369.72"/>
        <n v="8742"/>
        <n v="10029.84"/>
        <n v="5118.72"/>
        <n v="2681.42"/>
        <n v="16357.54"/>
        <n v="7850.2200000000012"/>
        <n v="7680.1399999999994"/>
        <n v="1708"/>
        <n v="18346.060000000001"/>
        <n v="9917.7999999999993"/>
        <n v="2619.42"/>
        <n v="3250"/>
        <n v="11777.23"/>
        <n v="11640.66"/>
        <n v="5065.1999999999989"/>
        <n v="3266.07"/>
        <n v="4028.2399999999989"/>
        <n v="5315.83"/>
        <n v="7534.4900000000034"/>
        <n v="1196.97"/>
        <n v="2482"/>
        <n v="14033.06"/>
        <n v="19862.2"/>
        <n v="3223.4"/>
        <n v="2818.36"/>
        <n v="2489.8000000000002"/>
        <n v="3560.04"/>
        <n v="5996.0000000000009"/>
        <n v="2962.56"/>
        <n v="25204.48"/>
        <n v="24534.290000000012"/>
        <n v="22363"/>
        <n v="12020.95"/>
        <n v="5195.6399999999994"/>
        <n v="4548.6000000000004"/>
        <n v="2945.3"/>
        <n v="2877.21"/>
        <n v="2648.12"/>
        <n v="1385"/>
        <n v="2441.52"/>
        <n v="12607.08"/>
        <n v="5234.5"/>
        <n v="8018.08"/>
        <n v="11760"/>
        <n v="14548.32"/>
        <n v="15137.66"/>
        <n v="3635.38"/>
        <n v="3688.7999999999988"/>
        <n v="6377"/>
        <n v="8341.2000000000007"/>
        <n v="4221.5999999999995"/>
        <n v="3040.26"/>
        <n v="2664.28"/>
        <n v="2827.2"/>
        <n v="3012.4"/>
        <n v="11806.8"/>
        <n v="20248.490000000002"/>
        <n v="3079.6800000000012"/>
        <n v="4016.81"/>
        <n v="3326.1800000000012"/>
        <n v="18249.900000000001"/>
        <n v="5024.800000000002"/>
        <n v="7275.66"/>
        <n v="19672.799999999988"/>
        <n v="7618.8599999999979"/>
        <n v="9461.0000000000018"/>
        <n v="2968.91"/>
        <n v="17651.19999999999"/>
        <n v="19642"/>
        <n v="6648.3199999999988"/>
        <n v="2608.48"/>
        <n v="2499.8000000000002"/>
        <n v="3108.48"/>
        <n v="5423.4799999999987"/>
        <n v="6310.01"/>
        <n v="4448"/>
        <n v="3786.95"/>
        <n v="4696.7999999999975"/>
        <n v="8732.1999999999989"/>
        <n v="5055.82"/>
        <n v="3088.4"/>
        <n v="2561.92"/>
        <n v="2663.76"/>
        <n v="6378.2"/>
        <n v="6881.0699999999988"/>
        <n v="6936.5099999999984"/>
        <n v="2499.84"/>
        <n v="12465.250000000009"/>
        <n v="18988.80000000001"/>
        <n v="18160.2"/>
        <n v="4226.7299999999996"/>
        <n v="2895.28"/>
        <n v="3097.84"/>
        <n v="325"/>
        <n v="9612"/>
        <n v="3730"/>
        <n v="4612.7999999999984"/>
        <n v="3699.5399999999991"/>
        <n v="12742"/>
        <n v="3052"/>
        <n v="6843.36"/>
        <n v="5861.48"/>
        <n v="4680.7400000000016"/>
        <n v="8939.5500000000011"/>
        <n v="19388.22"/>
        <n v="2656.1600000000012"/>
        <n v="10146"/>
        <n v="6219.8400000000029"/>
        <n v="8077.6800000000012"/>
        <n v="9448.7999999999993"/>
        <n v="3991.6"/>
        <n v="3182.84"/>
        <n v="2496.46"/>
        <n v="5568.48"/>
        <n v="9058.4"/>
        <n v="1592.7"/>
        <n v="11705.94"/>
        <n v="5952.0000000000027"/>
        <n v="13118.1"/>
        <n v="4253.55"/>
        <n v="21794.39000000001"/>
        <n v="2763.6"/>
        <n v="3199.6600000000012"/>
        <n v="8428.4000000000033"/>
        <n v="10744"/>
        <n v="8912"/>
        <n v="5569.03"/>
        <n v="7231.6800000000021"/>
        <n v="16547.599999999991"/>
        <n v="6037.8600000000006"/>
        <n v="4609.5"/>
        <n v="9428.399999999996"/>
        <n v="4025.3799999999992"/>
        <n v="5951.23"/>
        <n v="12947.499999999991"/>
        <n v="8207.340000000002"/>
        <n v="18562.60999999999"/>
        <n v="2606.099999999999"/>
        <n v="8656.36"/>
        <n v="4904.46"/>
        <n v="4761.5999999999995"/>
        <n v="1858.15"/>
        <n v="5464.2000000000016"/>
        <n v="12123.499999999991"/>
        <n v="2066.0100000000002"/>
        <n v="19132.409999999982"/>
        <n v="6760.59"/>
        <n v="2527.86"/>
        <n v="2972.9"/>
        <n v="2571.7800000000002"/>
        <n v="3900.5"/>
        <n v="2616.2000000000012"/>
        <n v="21649.040000000001"/>
        <n v="3463.610000000001"/>
        <n v="2470.579999999999"/>
        <n v="2623.619999999999"/>
        <n v="8462"/>
        <n v="2541.2999999999988"/>
        <n v="5795.6000000000013"/>
        <n v="5106.3999999999996"/>
        <n v="17477.62999999999"/>
        <n v="5487.7199999999993"/>
        <n v="11802.77"/>
        <n v="24927.14"/>
        <n v="4774.62"/>
        <n v="12503.19999999999"/>
        <n v="3547.8"/>
        <n v="4119.4399999999996"/>
        <n v="9905.6200000000008"/>
        <n v="10301"/>
        <n v="5910.54"/>
        <n v="20154.68"/>
        <n v="22603.400000000009"/>
        <n v="3865.14"/>
        <n v="2634.119999999999"/>
        <n v="7666.6"/>
        <n v="6230.2999999999984"/>
        <n v="2429.7600000000002"/>
        <n v="10741.02"/>
        <n v="16893.599999999991"/>
        <n v="7044.8"/>
        <n v="9214.0600000000013"/>
        <n v="2721.7"/>
        <n v="19785.020000000011"/>
        <n v="14424.78"/>
        <n v="26936"/>
        <n v="8208.2000000000007"/>
        <n v="10629.9"/>
        <n v="10754.4"/>
        <n v="10283.06"/>
        <n v="8939.6"/>
        <n v="14984.46"/>
        <n v="5077.83"/>
        <n v="18060.96000000001"/>
        <n v="9108.6"/>
        <n v="10790.75"/>
        <n v="23312.260000000009"/>
        <n v="6334.02"/>
        <n v="2744.84"/>
        <n v="25027.06"/>
        <n v="8425.8000000000011"/>
        <n v="15000"/>
        <n v="2138.98"/>
        <n v="4557.4400000000014"/>
        <n v="8526.3399999999983"/>
        <n v="4644.8"/>
        <n v="4828.8799999999992"/>
        <n v="10811.85"/>
        <n v="15753.2"/>
        <n v="26874.900000000009"/>
        <n v="16747.100000000009"/>
        <n v="2679.93"/>
        <n v="13579.28"/>
        <n v="5290.34"/>
        <n v="2015.2750000000001"/>
        <n v="6588.800000000002"/>
        <n v="3639"/>
        <n v="4077.0000000000009"/>
        <n v="20766.41"/>
        <n v="9014.2999999999993"/>
        <n v="6412.02"/>
        <n v="2802.82"/>
        <n v="2855.2200000000012"/>
        <n v="26156.799999999999"/>
        <n v="6863.6000000000013"/>
        <n v="12230.87"/>
        <n v="4625.12"/>
        <n v="2885.17"/>
        <n v="3001.2000000000012"/>
        <n v="8949.17"/>
        <n v="8894.9999999999982"/>
        <n v="4269.6750000000002"/>
        <n v="9296.67"/>
        <n v="19095.419999999998"/>
        <n v="16517.34"/>
        <n v="10236.41"/>
        <n v="4449.82"/>
        <n v="3121.28"/>
        <n v="4011.84"/>
        <n v="6691.08"/>
        <n v="16690.560000000001"/>
        <n v="6006.8600000000006"/>
        <n v="2705.2799999999988"/>
        <n v="5099.08"/>
        <n v="17521"/>
        <n v="2898.63"/>
        <n v="7128.7999999999975"/>
        <n v="18877.919999999998"/>
        <n v="8953.9599999999991"/>
        <n v="12456.12"/>
        <n v="9175.48"/>
        <n v="5953.3600000000006"/>
        <n v="7536.41"/>
        <n v="5570.0000000000027"/>
        <n v="3490.08"/>
        <n v="9785.7300000000032"/>
        <n v="26065.8"/>
        <n v="14692.7"/>
        <n v="3335.7"/>
        <n v="7080.0000000000045"/>
        <n v="12494.2"/>
        <n v="5101.5200000000004"/>
        <n v="5162.1000000000004"/>
        <n v="4486.2000000000016"/>
        <n v="9879"/>
        <n v="4679.2600000000011"/>
        <n v="6927.3999999999987"/>
        <n v="20802.82"/>
        <n v="11159.090000000009"/>
        <n v="2851.9"/>
        <n v="3088.32"/>
        <n v="3097.9"/>
        <n v="9226.1"/>
        <n v="9359.9999999999964"/>
        <n v="7773.9"/>
        <n v="5134.5"/>
        <n v="7353.6399999999976"/>
        <n v="12073.3"/>
        <n v="19855.36"/>
        <n v="2529.96"/>
        <n v="4884.66"/>
        <n v="9049.1200000000008"/>
        <n v="9540.0000000000036"/>
        <n v="3797.3"/>
        <n v="4235.68"/>
        <n v="3123.8"/>
        <n v="4850.8000000000011"/>
        <n v="2773.1800000000012"/>
        <n v="5236.68"/>
        <n v="7396.6399999999994"/>
        <n v="794.2600000000001"/>
        <n v="1488"/>
        <n v="11479.06"/>
        <n v="5135.4000000000005"/>
        <n v="20397.09"/>
        <n v="16807.59"/>
        <n v="5405.6399999999994"/>
        <n v="3349.57"/>
        <n v="2625.8"/>
        <n v="2784.51"/>
        <n v="24118.66"/>
        <n v="22597.60999999999"/>
        <n v="11775"/>
        <n v="26519.80000000001"/>
        <n v="1786.88"/>
        <n v="24156.45"/>
        <n v="5928.75"/>
        <n v="3791.6"/>
        <n v="16948.35999999999"/>
        <n v="7786.5499999999984"/>
        <n v="3019.2200000000012"/>
        <n v="6790.4"/>
        <n v="5568.9"/>
        <n v="3707.91"/>
        <n v="5653.2726640000001"/>
        <n v="22020.23"/>
        <n v="3517.29"/>
        <n v="11774"/>
        <n v="16580.8"/>
        <n v="18029.80000000001"/>
        <n v="16542.12000000001"/>
        <n v="9709.48"/>
        <n v="3439.1999999999989"/>
        <n v="10238.85"/>
        <n v="8128.550000000002"/>
        <n v="11470"/>
        <n v="3273.599999999999"/>
        <n v="8388.0400000000045"/>
        <n v="2596.4"/>
        <n v="3454.44"/>
        <n v="19267.05"/>
        <n v="8193.65"/>
        <n v="6908.6599999999989"/>
        <n v="16599.310000000009"/>
        <n v="2588.94"/>
        <n v="3229.2000000000012"/>
        <n v="4358.51"/>
        <n v="3307.02"/>
        <n v="11126.02"/>
        <n v="7483.579999999999"/>
        <n v="20533.820000000011"/>
        <n v="2933.4"/>
        <n v="13807.3"/>
        <n v="17806.400000000001"/>
        <n v="4012.1099999999992"/>
        <n v="18300"/>
        <n v="2506.88"/>
        <n v="7477"/>
        <n v="1393.95"/>
        <n v="10553.6"/>
        <n v="2965.4499999999989"/>
        <n v="8911.7000000000007"/>
        <n v="8000"/>
        <n v="13077.7"/>
        <n v="19208.060000000001"/>
        <n v="6000"/>
        <n v="10537.94"/>
        <n v="26801.319999999989"/>
        <n v="5352.079999999999"/>
        <n v="22245.80000000001"/>
        <n v="9900.7099999999991"/>
        <n v="2293.42"/>
        <n v="4481.6000000000004"/>
        <n v="18160.78"/>
        <n v="20260.80000000001"/>
        <n v="9650.5399999999972"/>
        <n v="15509.1"/>
        <n v="6870.0000000000027"/>
        <n v="12851.11"/>
        <n v="6397.9999999999991"/>
        <n v="23405.700000000012"/>
        <n v="4123.3999999999996"/>
        <n v="7393.21"/>
        <n v="11618.160000000011"/>
        <n v="3289.22"/>
        <n v="3125.52"/>
        <n v="2649.52"/>
        <n v="2637.4"/>
        <n v="10520.32"/>
        <n v="19609.2"/>
        <n v="15430.79999999999"/>
        <n v="15169.000000000009"/>
        <n v="2749.51"/>
        <n v="2595.54"/>
        <n v="2509.1799999999989"/>
        <n v="3438.52"/>
        <n v="19538.55"/>
        <n v="12071.87"/>
        <n v="8282.3000000000029"/>
        <n v="3654.6"/>
        <n v="4888.800000000002"/>
        <n v="19271.669999999998"/>
        <n v="11175.26"/>
        <n v="15822.399999999991"/>
        <n v="8993.9000000000015"/>
        <n v="24608.87000000001"/>
        <n v="18677.360000000011"/>
        <n v="9146.2000000000007"/>
        <n v="2831.98"/>
        <n v="3189.8"/>
        <n v="2913.32"/>
        <n v="8891.9700000000012"/>
        <n v="4213.66"/>
        <n v="2662.9"/>
        <n v="7359.3099999999986"/>
        <n v="11569.69"/>
        <n v="9392.9599999999955"/>
        <n v="9850.2000000000007"/>
        <n v="18376.2"/>
        <n v="7103.94"/>
        <n v="14130.410000000011"/>
        <n v="13185.4"/>
        <n v="17873.82"/>
        <n v="7544.4699999999984"/>
        <n v="8844.84"/>
        <n v="2723.24"/>
        <n v="2590.69"/>
        <n v="7421.72"/>
        <n v="6405.9699999999984"/>
        <n v="2836.85"/>
        <n v="11019.2"/>
        <n v="11119.670000000009"/>
        <n v="6387.4000000000005"/>
        <n v="8310.5199999999968"/>
        <n v="4026.400000000001"/>
        <n v="14210.20000000001"/>
        <n v="19446"/>
        <n v="6966.0199999999986"/>
        <n v="2459.52"/>
        <n v="2588.3200000000002"/>
        <n v="2538.64"/>
        <n v="26397.96"/>
        <n v="10320"/>
        <n v="4974"/>
        <n v="3910.92"/>
        <n v="3422.3999999999992"/>
        <n v="2923.53"/>
        <n v="9013.0099999999984"/>
        <n v="2628.4"/>
        <n v="20662.599999999999"/>
        <n v="7073.0700000000024"/>
        <n v="3818.53"/>
        <n v="4221"/>
        <n v="3496.8"/>
        <n v="19151.97"/>
        <n v="8808"/>
        <n v="3536.85"/>
        <n v="19872.689999999999"/>
        <n v="5405.66"/>
        <n v="7751.7999999999975"/>
        <n v="7355.84"/>
        <n v="5027"/>
        <n v="3113.12"/>
        <n v="8533.8000000000011"/>
        <n v="24108.48000000001"/>
        <n v="6603.8000000000011"/>
        <n v="11135.259999999989"/>
        <n v="10112"/>
        <n v="12390.9"/>
        <n v="8608.11"/>
        <n v="5121.2900000000009"/>
        <n v="4590.12"/>
        <n v="10349.56"/>
        <n v="23915.19000000001"/>
        <n v="5792.800000000002"/>
        <n v="9879.9999999999982"/>
        <n v="9222"/>
        <n v="16241.5"/>
        <n v="15643.2"/>
        <n v="14795.55000000001"/>
        <n v="2885.72"/>
        <n v="8820.82"/>
        <n v="2808.17"/>
        <n v="3199.46"/>
        <n v="8652.7199999999993"/>
        <n v="13822.82"/>
        <n v="2561.06"/>
        <n v="2615.2800000000002"/>
        <n v="6722.1299999999974"/>
        <n v="14082"/>
        <n v="18206.8"/>
        <n v="9069.31"/>
        <n v="2934.7200000000012"/>
        <n v="2732.3"/>
        <n v="4013.54"/>
        <n v="4603.8900000000003"/>
        <n v="10893.3"/>
        <n v="15541"/>
        <n v="13587.4"/>
        <n v="14819.340000000009"/>
        <n v="6464.94"/>
        <n v="12316.6"/>
        <n v="2608.9"/>
        <n v="6340"/>
        <n v="7498.53"/>
        <n v="3706.7999999999988"/>
        <n v="9866.4"/>
        <n v="22847.360000000011"/>
        <n v="21886.25"/>
        <n v="3734.6"/>
        <n v="2905.2200000000012"/>
        <n v="4453.4799999999996"/>
        <n v="9760.0800000000017"/>
        <n v="11764.8"/>
        <n v="9998.0400000000009"/>
        <n v="7370.24"/>
        <n v="6900.4000000000024"/>
        <n v="4000.1"/>
        <n v="11171.6"/>
        <n v="15888.7"/>
        <n v="14736.07"/>
        <n v="5305.7800000000007"/>
        <n v="2838.16"/>
        <n v="7893.5199999999986"/>
        <n v="2704.6"/>
        <n v="2752.6000000000008"/>
        <n v="3030.97"/>
        <n v="2545.7800000000002"/>
        <n v="14163.89"/>
        <n v="4106.8799999999992"/>
        <n v="11704.400000000011"/>
        <n v="13743.599999999989"/>
        <n v="12151.8"/>
        <n v="4799.6000000000004"/>
        <n v="2495.62"/>
        <n v="2672.02"/>
        <n v="2340.08"/>
        <n v="5577.28"/>
        <n v="1845.22"/>
        <n v="3766.52"/>
        <n v="10433.450000000001"/>
        <n v="10978.24"/>
        <n v="5346.88"/>
        <n v="16950"/>
        <n v="15487.6"/>
        <n v="9368.84"/>
        <n v="23554.22"/>
        <n v="23296.500000000011"/>
        <n v="9781.9399999999969"/>
        <n v="6535.3799999999992"/>
        <n v="6833.47"/>
        <n v="6355.5999999999995"/>
        <n v="2502.84"/>
        <n v="13106.94"/>
        <n v="15200.64"/>
        <n v="10712.32"/>
        <n v="18083.599999999999"/>
        <n v="18170.399999999991"/>
        <n v="14702.599999999989"/>
        <n v="9239.7800000000007"/>
        <n v="8578.58"/>
        <n v="2574.5"/>
        <n v="2672.32"/>
        <n v="3583.829999999999"/>
        <n v="2815.68"/>
        <n v="5381.02"/>
        <n v="13919.419999999989"/>
        <n v="12193.28"/>
        <n v="10036.200000000001"/>
        <n v="2518.3000000000002"/>
        <n v="2812.4"/>
        <n v="3109"/>
        <n v="12281.86"/>
        <n v="12320.070000000011"/>
        <n v="11818.990000000011"/>
        <n v="13814.28"/>
        <n v="3852.84"/>
        <n v="13718.11"/>
        <n v="11206.42"/>
        <n v="3081.02"/>
        <n v="9825.85"/>
        <n v="21656.61"/>
        <n v="18067"/>
        <n v="12485"/>
        <n v="6155.7200000000012"/>
        <n v="6676.119999999999"/>
        <n v="6802.32"/>
        <n v="2558.77"/>
        <n v="4671.62"/>
        <n v="3196.56"/>
        <n v="6677.2"/>
        <n v="6632.4000000000005"/>
        <n v="6978.3999999999987"/>
        <n v="9066"/>
        <n v="7454.1599999999989"/>
        <n v="19542.599999999999"/>
        <n v="25092.209999999988"/>
        <n v="13418.84"/>
        <n v="3576.6"/>
        <n v="8310.68"/>
        <n v="22943.599999999999"/>
        <n v="6370.7999999999975"/>
        <n v="23463.720000000008"/>
        <n v="7625.5999999999995"/>
        <n v="11237.68"/>
        <n v="4500"/>
        <n v="5144.2799999999988"/>
        <n v="10070.08"/>
        <n v="9316.5499999999993"/>
        <n v="8500.81"/>
        <n v="2737.92"/>
        <n v="19190.48"/>
        <n v="19130.28"/>
        <n v="19923.240000000009"/>
        <n v="3479.059999999999"/>
        <n v="9728.68"/>
        <n v="9907.2000000000007"/>
        <n v="6170.1600000000017"/>
        <n v="15896.38"/>
        <n v="6932.5399999999991"/>
        <n v="5377.3200000000024"/>
        <n v="9855"/>
        <n v="8825.1999999999989"/>
        <n v="10960.779999999999"/>
        <n v="7432.5000000000009"/>
        <n v="6690.2700000000013"/>
        <n v="5995.3275000000003"/>
        <n v="2737.62"/>
        <n v="7947.79"/>
        <n v="4073.16"/>
        <n v="2863"/>
        <n v="4681.62"/>
        <n v="4852.72"/>
        <n v="3370.28"/>
        <n v="7052.83"/>
        <n v="6200.3999999999987"/>
        <n v="16067.47"/>
        <n v="2379.62"/>
        <n v="2791"/>
        <n v="2501.41"/>
        <m/>
        <n v="21212.22" u="1"/>
        <n v="3157.84" u="1"/>
        <n v="4910.62" u="1"/>
      </sharedItems>
    </cacheField>
    <cacheField name="transporte" numFmtId="0">
      <sharedItems containsBlank="1" count="10">
        <s v="OTRO"/>
        <s v="MORA"/>
        <s v="MATUS"/>
        <s v="VELÁSQUEZ"/>
        <s v="ARNAIZ"/>
        <s v="ARIAS"/>
        <s v="RMORA"/>
        <s v="RIVERA"/>
        <s v="ORTIZ"/>
        <m/>
      </sharedItems>
    </cacheField>
    <cacheField name="rampla" numFmtId="0">
      <sharedItems containsString="0" containsBlank="1" containsNumber="1" containsInteger="1" minValue="0" maxValue="1" count="3">
        <n v="1"/>
        <n v="0"/>
        <m/>
      </sharedItems>
    </cacheField>
    <cacheField name="ciudad" numFmtId="0">
      <sharedItems containsBlank="1" count="125">
        <s v="TALCAHUANO"/>
        <s v="ISLA DE MAIPO"/>
        <s v="MAIPU"/>
        <s v="LAS CONDES"/>
        <s v="SAN BERNARDO"/>
        <s v="COLINA"/>
        <s v="VIÑA DEL MAR"/>
        <s v="RENCA"/>
        <s v="QUILICURA"/>
        <s v="CERRILLOS"/>
        <s v="PUDAHUEL"/>
        <s v="LA REINA"/>
        <s v="TALCA"/>
        <s v="PAINE"/>
        <s v="TEMUCO"/>
        <s v="ÑUÑOA"/>
        <s v="CORONEL"/>
        <s v="LAMPA"/>
        <s v="QUILLON"/>
        <s v="QUILLOTA"/>
        <s v="SANTIAGO"/>
        <s v="CHILLAN"/>
        <s v="LA LIGUA"/>
        <s v="SAN MIGUEL"/>
        <s v="HUECHURABA"/>
        <s v="EL BOSQUE"/>
        <s v="PADRE HURTADO"/>
        <s v="VITACURA"/>
        <s v="RANCAGUA"/>
        <s v="MELIPILLA"/>
        <s v="PUENTE ALTO"/>
        <s v="LA PINTANA"/>
        <s v="SAN CARLOS"/>
        <s v="LA FLORIDA"/>
        <s v="PEÑALOLEN"/>
        <s v="SAN FELIPE"/>
        <s v="VALPARAISO"/>
        <s v="CALAMA"/>
        <s v="LOS ANDES"/>
        <s v="CABRERO"/>
        <s v="CARTAGENA"/>
        <s v="LO BARNECHEA"/>
        <s v="COQUIMBO"/>
        <s v="MACHALI"/>
        <s v="HUALPEN"/>
        <s v="VALLENAR"/>
        <s v="GRANEROS"/>
        <s v="SAN PEDRO DE LA PAZ"/>
        <s v="PUCON"/>
        <s v="ANTOFAGASTA"/>
        <s v="TALAGANTE"/>
        <s v="MOSTAZAL"/>
        <s v="PADRE LAS CASAS"/>
        <s v="PUERTO MONTT"/>
        <s v="PROVIDENCIA"/>
        <s v="SAN ANTONIO"/>
        <s v="BUIN"/>
        <s v="LOS ANGELES"/>
        <s v="QUILPUE"/>
        <s v="LINARES"/>
        <s v="COPIAPO"/>
        <s v="LAS CABRAS"/>
        <s v="QUINTA NORMAL"/>
        <s v="LA SERENA"/>
        <s v="OSORNO"/>
        <s v="YUNGAY"/>
        <s v="SAN JOSE DE MAIPO"/>
        <s v="SAN JOAQUIN"/>
        <s v="LO ESPEJO"/>
        <s v="QUINTERO"/>
        <s v="TILTIL"/>
        <s v="CALERA DE TANGO"/>
        <s v="CAUQUENES"/>
        <s v="CURICO"/>
        <s v="ARAUCO"/>
        <s v="SANTA CRUZ"/>
        <s v="LA CISTERNA"/>
        <s v="VALDIVIA"/>
        <s v="PARRAL"/>
        <s v="CODEGUA"/>
        <s v="PEÑAFLOR"/>
        <s v="CONCEPCION"/>
        <s v="CHIGUAYANTE"/>
        <s v="PEDRO AGUIRRE CERDA"/>
        <s v="ANGOL"/>
        <s v="OVALLE"/>
        <s v="NACIMIENTO"/>
        <s v="ARICA"/>
        <s v="VILLARRICA"/>
        <s v="CONCHALI"/>
        <s v="SAN VICENTE"/>
        <s v="RENGO"/>
        <s v="SAN FERNANDO"/>
        <s v="TRAIGUEN"/>
        <s v="FREIRINA"/>
        <s v="GORBEA"/>
        <s v="VILLA ALEMANA"/>
        <s v="HUALAÑE"/>
        <s v="CURACAUTIN"/>
        <s v="FLORIDA"/>
        <s v="PERALILLO"/>
        <s v="CONCON"/>
        <s v="FREIRE"/>
        <s v="LA UNION"/>
        <s v="HUASCO"/>
        <s v="LA CRUZ"/>
        <s v="PETORCA"/>
        <s v="ESTACION CENTRAL"/>
        <s v="VICTORIA"/>
        <s v="FRUTILLAR"/>
        <s v="QUELLON"/>
        <s v="PUERTO VARAS"/>
        <s v="LITUECHE"/>
        <s v="REQUINOA"/>
        <s v="PICHIDEGUA"/>
        <s v="LLANQUIHUE"/>
        <s v="ALGARROBO"/>
        <s v="MAULE"/>
        <s v="OLMUE"/>
        <s v="LIMACHE"/>
        <s v="INDEPENDENCIA"/>
        <s v="COELEMU"/>
        <s v="CASABLANCA"/>
        <s v="SANTA BARBARA"/>
        <m/>
      </sharedItems>
    </cacheField>
    <cacheField name="region" numFmtId="0">
      <sharedItems containsBlank="1" count="15">
        <s v="DEL BIOBIO"/>
        <s v="METROPOLITANA DE SANTIAGO"/>
        <s v="DE VALPARAISO"/>
        <s v="DEL MAULE"/>
        <s v="DE LA ARAUCANIA"/>
        <s v="DE ÑUBLE"/>
        <s v="DEL LIBERTADOR GENERAL BERNARDO O'HIGGINS"/>
        <s v="DE ANTOFAGASTA"/>
        <s v="DE COQUIMBO"/>
        <s v="DE ATACAMA"/>
        <s v="DE LOS LAGOS"/>
        <s v="DE LOS RIOS"/>
        <s v="DE PAINE"/>
        <s v="DE ARICA Y PARINACOTA"/>
        <m/>
      </sharedItems>
    </cacheField>
    <cacheField name="radio" numFmtId="0">
      <sharedItems containsString="0" containsBlank="1" containsNumber="1" containsInteger="1" minValue="0" maxValue="5"/>
    </cacheField>
    <cacheField name="base" numFmtId="0">
      <sharedItems containsString="0" containsBlank="1" containsNumber="1" minValue="1" maxValue="2550000"/>
    </cacheField>
    <cacheField name="servicio" numFmtId="0">
      <sharedItems containsString="0" containsBlank="1" containsNumber="1" minValue="0" maxValue="120000"/>
    </cacheField>
    <cacheField name="total" numFmtId="168">
      <sharedItems containsString="0" containsBlank="1" containsNumber="1" minValue="0" maxValue="2550000"/>
    </cacheField>
    <cacheField name="pesoskg" numFmtId="168">
      <sharedItems containsString="0" containsBlank="1" containsNumber="1" minValue="0" maxValue="296.32024136630571"/>
    </cacheField>
    <cacheField name="kgmin" numFmtId="0">
      <sharedItems containsString="0" containsBlank="1" containsNumber="1" containsInteger="1" minValue="0" maxValue="25000"/>
    </cacheField>
    <cacheField name="ocupacion" numFmtId="0">
      <sharedItems containsString="0" containsBlank="1" containsNumber="1" minValue="4" maxValue="95000"/>
    </cacheField>
    <cacheField name="guías" numFmtId="0">
      <sharedItems containsBlank="1" count="7792" longText="1">
        <m/>
        <s v="['116676']"/>
        <s v="['116666']"/>
        <s v="['116677', '116678']"/>
        <s v="['116664', '116665']"/>
        <s v="['116667']"/>
        <s v="['116659', '116660']"/>
        <s v="['116675']"/>
        <s v="['116671']"/>
        <s v="['116679']"/>
        <s v="['116672', '116673']"/>
        <s v="['116658', '116661', '116662', '116663']"/>
        <s v="['116685', '116686']"/>
        <s v="['116683', '116684']"/>
        <s v="['116682']"/>
        <s v="['116687']"/>
        <s v="['116688']"/>
        <s v="['116689', '116690', '116691', '116692', '116693', '116694', '116695', '116696', '116697', '116698', '116699']"/>
        <s v="['116718']"/>
        <s v="['116712']"/>
        <s v="['116720']"/>
        <s v="['116721']"/>
        <s v="['116719']"/>
        <s v="['116717']"/>
        <s v="['116729', '116730', '116731', '116732', '116733', '116734', '116735']"/>
        <s v="['116713']"/>
        <s v="['116722', '116723', '116724', '116725', '116726', '116727']"/>
        <s v="['116701', '116702', '116703', '116704', '116705']"/>
        <s v="['116700']"/>
        <s v="['116706', '116707', '116708', '116709', '116710']"/>
        <s v="['116711']"/>
        <s v="['116714']"/>
        <s v="['116739']"/>
        <s v="['116737']"/>
        <s v="['116738']"/>
        <s v="['116736']"/>
        <s v="['116740', '116741', '116742', '116743', '116744', '116746', '116747']"/>
        <s v="['116772']"/>
        <s v="['116769, 116770']"/>
        <s v="['116768']"/>
        <s v="['116778']"/>
        <s v="['116779', '116780', '116781', '116782', '116783']"/>
        <s v="['116775', '116776', '116777']"/>
        <s v="['116773', '116774']"/>
        <s v="['116759', '116760', '116761', '116762', '116763', '116764', '116765', '116766', '116767']"/>
        <s v="['116800', '116801', '116802', '116803', '116804', '116805', '116806', '116807', '116808', '116809']"/>
        <s v="['116750', '116751', '116752', '116753', '116754', '116755', '116756', '116757', '116758']"/>
        <s v="['116787', '116788']"/>
        <s v="['116789', '116790', '116791']"/>
        <s v="['116786']"/>
        <s v="['116792', '116793', '116794', '116795', '116796', '116797', '116798', '116799']"/>
        <s v="['116784']"/>
        <s v="['116785', 116749]"/>
        <s v="['116837']"/>
        <s v="['116815']"/>
        <s v="['116811']"/>
        <s v="['116862']"/>
        <s v="['116829']"/>
        <s v="['116813']"/>
        <s v="['116814', '116816']"/>
        <s v="['116830', '116831', '116832', '116833', '116834', '116835', '116836']"/>
        <s v="['116818']"/>
        <s v="['116825', '116826']"/>
        <s v="['116819', '116820', '116821']"/>
        <s v="['116844', '116845', '116847', '116848', '116849', '116850', '116846']"/>
        <s v="['116851', '116852']"/>
        <s v="['116853', '116854']"/>
        <s v="['116839', '116840', '116841', '116842', '116843']"/>
        <s v="['116838']"/>
        <s v="['116855']"/>
        <s v="['116903']"/>
        <s v="['116868']"/>
        <s v="['116866', '116867']"/>
        <s v="['116864']"/>
        <s v="['116874']"/>
        <s v="['116875']"/>
        <s v="['116863']"/>
        <s v="['116904', '116905', '116906', '116907', '116908', '116909', '116910']"/>
        <s v="['116870', '116871', '116872']"/>
        <s v="['116896', '116902']"/>
        <s v="['116897']"/>
        <s v="['116899', '116900']"/>
        <s v="['116898']"/>
        <s v="['116883', '116884']"/>
        <s v="['116934']"/>
        <s v="['116924']"/>
        <s v="['116927']"/>
        <s v="['116926']"/>
        <s v="['116921']"/>
        <s v="['116922']"/>
        <s v="['116937']"/>
        <s v="['116923']"/>
        <s v="['116948', '116960']"/>
        <s v="['116950']"/>
        <s v="['116951']"/>
        <s v="['116952', '116961']"/>
        <s v="['116954', '116955', '116956', '116957', '116958', '116959']"/>
        <s v="['116964']"/>
        <s v="['116970', '116971']"/>
        <s v="['116967']"/>
        <s v="['116972', '116973', '116974', '116975', '116976', '116977', '116978']"/>
        <s v="['116963']"/>
        <s v="['116962']"/>
        <s v="['116988']"/>
        <s v="['116993']"/>
        <s v="['116990', '116995']"/>
        <s v="['116966']"/>
        <s v="['116996', '116997', '116998', '116999', '117000', '117001']"/>
        <s v="['116989']"/>
        <s v="['116992']"/>
        <s v="['117020']"/>
        <s v="['117021']"/>
        <s v="['117017']"/>
        <s v="['117024']"/>
        <s v="['117035']"/>
        <s v="['117034']"/>
        <s v="['117025']"/>
        <s v="['117018']"/>
        <s v="['117044', '117045', '117046', '117047', '117048']"/>
        <s v="['117032']"/>
        <s v="['117054']"/>
        <s v="['117049', '117050', '117051', '117052']"/>
        <s v="['117053']"/>
        <s v="['117055']"/>
        <s v="['117033']"/>
        <s v="['117072']"/>
        <s v="['117062']"/>
        <s v="['117071']"/>
        <s v="['117063']"/>
        <s v="['117070']"/>
        <s v="['117097']"/>
        <s v="['117076']"/>
        <s v="['117098', '117099']"/>
        <s v="['117094']"/>
        <s v="['117095', '117096']"/>
        <s v="['117103', '117104', '117105', '117106', '117107']"/>
        <s v="['117100', '117101', '117102']"/>
        <s v="['117120']"/>
        <s v="['117112']"/>
        <s v="['117138', '117139']"/>
        <s v="['117115']"/>
        <s v="['117151', '117152', '117153', '117154', '117155', '117162']"/>
        <s v="['117124', '117125']"/>
        <s v="['117113', '117114']"/>
        <s v="['117118', '117119', '117121']"/>
        <s v="['117123']"/>
        <s v="['117116', '117117']"/>
        <s v="['117141', '117142', '117143']"/>
        <s v="['117159', '117160', '117161']"/>
        <s v="['117144', '117145', '117146', '117147', '117148', '117149', '117150']"/>
        <s v="['117140']"/>
        <s v="['117205']"/>
        <s v="['117206']"/>
        <s v="['117212', '117213', '117214', '117215']"/>
        <s v="['117164']"/>
        <s v="['117167']"/>
        <s v="['117193']"/>
        <s v="['117179']"/>
        <s v="['117173']"/>
        <s v="['117169']"/>
        <s v="['117166']"/>
        <s v="['117163']"/>
        <s v="['117165']"/>
        <s v="['117207', '117208']"/>
        <s v="['117209']"/>
        <s v="['117200', '117201', '117202', '117203', '117204']"/>
        <s v="['117180', '117181', '117182']"/>
        <s v="['117210', '117211']"/>
        <s v="['117228']"/>
        <s v="['117221']"/>
        <s v="['117227']"/>
        <s v="['117219', '117220']"/>
        <s v="['117218']"/>
        <s v="['117252']"/>
        <s v="['117226']"/>
        <s v="['117222', '117223']"/>
        <s v="['117224']"/>
        <s v="['117225']"/>
        <s v="['117216']"/>
        <s v="['117235', '117236', '117237']"/>
        <s v="['117250', '117251']"/>
        <s v="['117246']"/>
        <s v="['117238', '117239', '117240', '117241', '117242', '117243', '117244', '117245']"/>
        <s v="['117247', '117248', '117249']"/>
        <s v="['117266']"/>
        <s v="['117273']"/>
        <s v="['117265']"/>
        <s v="['117263', '117264']"/>
        <s v="['117291']"/>
        <s v="['117268', '117269']"/>
        <s v="['117267']"/>
        <s v="['117276']"/>
        <s v="['117262']"/>
        <s v="['117271']"/>
        <s v="['117292', '117293', '117294']"/>
        <s v="['117289']"/>
        <s v="['117295', '117296', '117297', '117298', '117299']"/>
        <s v="['117290']"/>
        <s v="['117329']"/>
        <s v="['117319']"/>
        <s v="['117305']"/>
        <s v="['117300']"/>
        <s v="['117311']"/>
        <s v="['117320']"/>
        <s v="['117326']"/>
        <s v="['117321', '117322', '117323', '117324', '117325']"/>
        <s v="['117339']"/>
        <s v="['117309', '117310']"/>
        <s v="['117307', '117308']"/>
        <s v="['117315']"/>
        <s v="['117301', '117302', '117303', '117304']"/>
        <s v="['117333']"/>
        <s v="['117334', '117335', '117336', '117337', '117338']"/>
        <s v="['117332']"/>
        <s v="['117331']"/>
        <s v="['117316']"/>
        <s v="['117342']"/>
        <s v="['117348', '117349']"/>
        <s v="['117341']"/>
        <s v="['117347']"/>
        <s v="['117361']"/>
        <s v="['117344']"/>
        <s v="['117346']"/>
        <s v="['117343']"/>
        <s v="['117368']"/>
        <s v="['117370', '117371', '117372']"/>
        <s v="['117366', '117367']"/>
        <s v="['117369']"/>
        <s v="['117385']"/>
        <s v="['117388', '117389']"/>
        <s v="['117381']"/>
        <s v="['117383']"/>
        <s v="['117400']"/>
        <s v="['117382']"/>
        <s v="['117378']"/>
        <s v="['117374']"/>
        <s v="['117379', '117380']"/>
        <s v="['117375']"/>
        <s v="['117386']"/>
        <s v="['117376', '117377']"/>
        <s v="['117397', '117398', '117399']"/>
        <s v="['117395']"/>
        <s v="['117393', '117394']"/>
        <s v="['117390', '117391']"/>
        <s v="['117392']"/>
        <s v="['117409']"/>
        <s v="['117401']"/>
        <s v="['117410', '117411']"/>
        <s v="['117403']"/>
        <s v="['117406']"/>
        <s v="['117419']"/>
        <s v="['117402']"/>
        <s v="['117405']"/>
        <s v="['117449']"/>
        <s v="['117420', '117421', '117422', '117423', '117424', '117425', '117426']"/>
        <s v="['117427', '117428', '117429', '117430', '117431', '117432', '117433', '117434', '117435', '117436']"/>
        <s v="['117408']"/>
        <s v="['117404']"/>
        <s v="['117446', '117447']"/>
        <s v="['117444', '117445']"/>
        <s v="['117448']"/>
        <s v="['117437', '117438', '117439', '117440', '117441', '117442']"/>
        <s v="['117443']"/>
        <s v="['117456']"/>
        <s v="['117485', '117486', '117487']"/>
        <s v="['117454']"/>
        <s v="['117453']"/>
        <s v="['117455']"/>
        <s v="['117460']"/>
        <s v="['117473']"/>
        <s v="['117464', '117465', '117466']"/>
        <s v="['117452']"/>
        <s v="['117457', '117458', '117471']"/>
        <s v="['117484']"/>
        <s v="['117481', '117482']"/>
        <s v="['117480']"/>
        <s v="['117474', '117475', '117476', '117477', '117478', '117479']"/>
        <s v="['117483']"/>
        <s v="['117472']"/>
        <s v="['117495']"/>
        <s v="['117488']"/>
        <s v="['117526']"/>
        <s v="['117489', '117490', '117491', '117492', '117493', '117494']"/>
        <s v="['117520', '117521', '117522', '117523', '117524', '117525']"/>
        <s v="['117500']"/>
        <s v="['117498', '117499', '117501', '117502', '117503']"/>
        <s v="['117527']"/>
        <s v="['117505']"/>
        <s v="['117497']"/>
        <s v="['117496']"/>
        <s v="['117538', '117539', '117540']"/>
        <s v="['117528']"/>
        <s v="['117504']"/>
        <s v="['117533']"/>
        <s v="['117529']"/>
        <s v="['117517', '117518', '117519']"/>
        <s v="['117530', '117531']"/>
        <s v="['117534', '117535', '117536', '117537']"/>
        <s v="['117532']"/>
        <s v="['117546']"/>
        <s v="['117543', '117544']"/>
        <s v="['117549', '117550', '117551', '117552', '117553', '117554']"/>
        <s v="['117555']"/>
        <s v="['117557']"/>
        <s v="['117542']"/>
        <s v="['117548']"/>
        <s v="['117541']"/>
        <s v="['117569', '117570']"/>
        <s v="['117547']"/>
        <s v="['117556']"/>
        <s v="['117568']"/>
        <s v="['117579']"/>
        <s v="['117567']"/>
        <s v="['117576', '117577', '117578']"/>
        <s v="['117593']"/>
        <s v="['117614', '117615', '117616']"/>
        <s v="['117612']"/>
        <s v="['117592']"/>
        <s v="['117582']"/>
        <s v="['117591']"/>
        <s v="['117608']"/>
        <s v="['117583']"/>
        <s v="['117584', '117585']"/>
        <s v="['117580', '117581']"/>
        <s v="['117586', '117587']"/>
        <s v="['117588', '117590']"/>
        <s v="['117598']"/>
        <s v="['117609', '117610']"/>
        <s v="['117601', '117602']"/>
        <s v="['117603', '117604']"/>
        <s v="['117599', '117600']"/>
        <s v="['117635']"/>
        <s v="['117624', '117625']"/>
        <s v="['117626']"/>
        <s v="['117634']"/>
        <s v="['117628']"/>
        <s v="['117636', '117637', '117638', '117639']"/>
        <s v="['117629', '117630', '117631']"/>
        <s v="['117664']"/>
        <s v="['117665', '117666']"/>
        <s v="['117621', '117622', '117623', '117641']"/>
        <s v="['117617', '117618', '117619', '117620']"/>
        <s v="['117660']"/>
        <s v="['117658', '117659']"/>
        <s v="['117651', '117652', '117653', '117654', '117655', '117656', '117657']"/>
        <s v="['117661']"/>
        <s v="['117678']"/>
        <s v="['117700', '117701']"/>
        <s v="['117674', '117675', '117676']"/>
        <s v="['117690', '117691', '117692', '117693', '117694', '117695', '117696', '117697', '117698', '117699']"/>
        <s v="['117682']"/>
        <s v="['117725', '117726']"/>
        <s v="['117679', '117680']"/>
        <s v="['117673']"/>
        <s v="['117681']"/>
        <s v="['117667', '117668', '117669']"/>
        <s v="['117670', '117671', '117672']"/>
        <s v="['117719', '117720']"/>
        <s v="['117715', '117716', '117717', '117718']"/>
        <s v="['117722']"/>
        <s v="['117723', '117724']"/>
        <s v="['117721']"/>
        <s v="['117728', '117729', '117730', '117731', '117732', '117733']"/>
        <s v="['117750']"/>
        <s v="['117749']"/>
        <s v="['117739', '117740', '117741']"/>
        <s v="['117755']"/>
        <s v="['117737']"/>
        <s v="['117754']"/>
        <s v="['117751', '117752']"/>
        <s v="['117747']"/>
        <s v="['117748']"/>
        <s v="['117735', '117736']"/>
        <s v="['117734']"/>
        <s v="['117738']"/>
        <s v="['117756', '117757']"/>
        <s v="['117763']"/>
        <s v="['117764']"/>
        <s v="['117761', '117762', '117768']"/>
        <s v="['117759', '117760']"/>
        <s v="['117790', '117791']"/>
        <s v="['117787', '117788']"/>
        <s v="['117781', '117782', '117783', '117784', '117785', '117786']"/>
        <s v="['117769', '117770', '117771', '117772', '117773', '117774']"/>
        <s v="['117798']"/>
        <s v="['117780']"/>
        <s v="['117777', '117778']"/>
        <s v="['117775', '117776']"/>
        <s v="['117809', '117810', '117811', '117812', '117813']"/>
        <s v="['117808']"/>
        <s v="['117807']"/>
        <s v="['117844']"/>
        <s v="['117838']"/>
        <s v="['117815']"/>
        <s v="['117825', '117826', '117827', '117828', '117829', '117830']"/>
        <s v="['117831']"/>
        <s v="['117835']"/>
        <s v="['117846']"/>
        <s v="['117847']"/>
        <s v="['117840']"/>
        <s v="['117824']"/>
        <s v="['117823']"/>
        <s v="['117839']"/>
        <s v="['117832', '117833', '117834']"/>
        <s v="['117816']"/>
        <s v="['117814']"/>
        <s v="['117819', '117820', '117821', '117822']"/>
        <s v="['117817', '117818']"/>
        <s v="['117852']"/>
        <s v="['117854', '117855', '117856']"/>
        <s v="['117848']"/>
        <s v="['117850', '117851']"/>
        <s v="['117849']"/>
        <s v="['117889']"/>
        <s v="['117866', '117867']"/>
        <s v="['117864', '117865']"/>
        <s v="['117891']"/>
        <s v="['117878', '117879', '117880', '117881', '117882', '117883', '117884', '117885', '117886', '117888']"/>
        <s v="['117861']"/>
        <s v="['117859']"/>
        <s v="['117860']"/>
        <s v="['117905']"/>
        <s v="['117899']"/>
        <s v="['117862']"/>
        <s v="['117876', '117877']"/>
        <s v="['117904']"/>
        <s v="['117892']"/>
        <s v="['117857']"/>
        <s v="['117858']"/>
        <s v="['117869', '117870', '117871', '117872', '117873', '117874']"/>
        <s v="['117898']"/>
        <s v="['117890']"/>
        <s v="['117893', '117894', '117895', '117896']"/>
        <s v="['117897']"/>
        <s v="['117900', '117901', '117902']"/>
        <s v="['117926', '117927', '117928']"/>
        <s v="['117915', '117916']"/>
        <s v="['117910']"/>
        <s v="['117914']"/>
        <s v="['117911', '117912', '117913']"/>
        <s v="['117917']"/>
        <s v="['117929', '117930', '117931']"/>
        <s v="['117906']"/>
        <s v="['117909']"/>
        <s v="['117908']"/>
        <s v="['117907']"/>
        <s v="['117920', '117921', '117922', '117923', '117924', '117925']"/>
        <s v="['117919']"/>
        <s v="['117937', '117938']"/>
        <s v="['117939']"/>
        <s v="['117983']"/>
        <s v="['117965', '117966', '117967', '117968']"/>
        <s v="['117947']"/>
        <s v="['117982']"/>
        <s v="['117948']"/>
        <s v="['117941']"/>
        <s v="['117951']"/>
        <s v="['117959']"/>
        <s v="['117949', '117950']"/>
        <s v="['117952']"/>
        <s v="['117942']"/>
        <s v="['117945', '117946']"/>
        <s v="['117943', '117944']"/>
        <s v="['117981']"/>
        <s v="['117979', '117980']"/>
        <s v="['117977', '117978']"/>
        <s v="['117975', '117976']"/>
        <s v="['117969', '117970', '117971', '117972', '117973', '117974']"/>
        <s v="['117998']"/>
        <s v="['117997']"/>
        <s v="['117995']"/>
        <s v="['118015']"/>
        <s v="['117994']"/>
        <s v="['117993']"/>
        <s v="['118001']"/>
        <s v="['117999']"/>
        <s v="['118009']"/>
        <s v="['117992', '117996']"/>
        <s v="['118006', '118007', '118008']"/>
        <s v="['117987', '117988', '117989', '117990', '117991']"/>
        <s v="['117984', '117985', '117986']"/>
        <s v="['118010']"/>
        <s v="['118012', '118013', '118014']"/>
        <s v="['118011']"/>
        <s v="['118022']"/>
        <s v="['118049']"/>
        <s v="['118048']"/>
        <s v="['118023', '118024', '118026']"/>
        <s v="['118018']"/>
        <s v="['118019']"/>
        <s v="['118028']"/>
        <s v="['118042']"/>
        <s v="['118040', '118041']"/>
        <s v="['118035', '118036', '118037', '118038', '118039']"/>
        <s v="['118043']"/>
        <s v="['118044']"/>
        <s v="['118055']"/>
        <s v="['118060']"/>
        <s v="['118059']"/>
        <s v="['118071', '118072']"/>
        <s v="['118070']"/>
        <s v="['118061']"/>
        <s v="['118056']"/>
        <s v="['118052', '118053', '118054']"/>
        <s v="['118068']"/>
        <s v="['118065']"/>
        <s v="['118062', '118063', '118064']"/>
        <s v="['118066', '118067']"/>
        <s v="['118080']"/>
        <s v="['118081']"/>
        <s v="['118085']"/>
        <s v="['118076', '118077', '118078', '118079']"/>
        <s v="['118075']"/>
        <s v="['118087', '118088']"/>
        <s v="['118089']"/>
        <s v="['118074']"/>
        <s v="['118082', '118083', '118084']"/>
        <s v="['118114']"/>
        <s v="['118098']"/>
        <s v="['118113']"/>
        <s v="['118128']"/>
        <s v="['118101', '118102', '118103', '118104', '118105', '118106', '118107']"/>
        <s v="['118121', '118122', '118123', '118124', '118125', '118126']"/>
        <s v="['118112']"/>
        <s v="['118110']"/>
        <s v="['118111']"/>
        <s v="['118108', '118109']"/>
        <s v="['118099', '118100']"/>
        <s v="['118134', '118135', '118136', '118137']"/>
        <s v="['118148']"/>
        <s v="['118142']"/>
        <s v="['118147']"/>
        <s v="['118149']"/>
        <s v="['118150', '118151', '118152', '118153', '118154', '118155', '118156', '118157', '118158']"/>
        <s v="['118186', '118187']"/>
        <s v="['118159', '118160', '118161', '118162', '118163']"/>
        <s v="['118140', '118141']"/>
        <s v="['118138', '118139']"/>
        <s v="['118184', '118185']"/>
        <s v="['118188']"/>
        <s v="['118183']"/>
        <s v="['118174']"/>
        <s v="['118176']"/>
        <s v="['118169', '118170', '118171', '118172', '118173', '118175']"/>
        <s v="['118222']"/>
        <s v="['118195', '118196']"/>
        <s v="['118190']"/>
        <s v="['118189']"/>
        <s v="['118216', '118217']"/>
        <s v="['118210']"/>
        <s v="['118192', '118193']"/>
        <s v="['118191']"/>
        <s v="['118194']"/>
        <s v="['118205', '118206', '118207']"/>
        <s v="['118214', '118215']"/>
        <s v="['118199', '118200', '118201', '118202', '118203']"/>
        <s v="['118219']"/>
        <s v="['118223', '118224']"/>
        <s v="['118225', '118226', '118227', '118228']"/>
        <s v="['118218']"/>
        <s v="['118220', '118221']"/>
        <s v="['118268']"/>
        <s v="['118230']"/>
        <s v="['118269', '118270']"/>
        <s v="['118242', '118243', '118244', '118245', '118246', '118247']"/>
        <s v="['118229']"/>
        <s v="['118237']"/>
        <s v="['118263']"/>
        <s v="['118234']"/>
        <s v="['118264']"/>
        <s v="['118239', '118240', '118241']"/>
        <s v="['118248']"/>
        <s v="['118249', '118250', '118260']"/>
        <s v="['118252', '118253', '118254', '118255', '118256', '118257', '118258', '118259']"/>
        <s v="['118265']"/>
        <s v="['118261', '118262']"/>
        <s v="['118266', '118267']"/>
        <s v="['118285']"/>
        <s v="['118271']"/>
        <s v="['118282']"/>
        <s v="['118286']"/>
        <s v="['118272', '118273', '118274']"/>
        <s v="['118276']"/>
        <s v="['118277']"/>
        <s v="['118275']"/>
        <s v="['118290']"/>
        <s v="['118297', '118298', '118299', '118300', '118301']"/>
        <s v="['118291', '118292', '118293']"/>
        <s v="['118294', '118295', '118296']"/>
        <s v="['118287']"/>
        <s v="['118289']"/>
        <s v="['118288']"/>
        <s v="['118325']"/>
        <s v="['118304', '118305']"/>
        <s v="['118307']"/>
        <s v="['118357']"/>
        <s v="['118312', '118313', '118314', '118315']"/>
        <s v="['118340', '118341', '118342', '118343', '118344', '118345', '118346']"/>
        <s v="['118350']"/>
        <s v="['118354', '118355', '118356']"/>
        <s v="['118349']"/>
        <s v="['118351', '118352', '118353']"/>
        <s v="['118347', '118348']"/>
        <s v="['118316']"/>
        <s v="['118306']"/>
        <s v="['118391']"/>
        <s v="['118359']"/>
        <s v="['118358']"/>
        <s v="['118362', '118363', '118364', '118365', '118366', '118367', '118368', '118369', '118370', '118371', '118372', '118373']"/>
        <s v="['118382']"/>
        <s v="['118374']"/>
        <s v="['118375', '118376', '118377', '118378', '118379']"/>
        <s v="['118404']"/>
        <s v="['118400', '118401']"/>
        <s v="['118402']"/>
        <s v="['118403']"/>
        <s v="['118392', '118393', '118394', '118395', '118396', '118397', '118398', '118399']"/>
        <s v="['118406']"/>
        <s v="['118405']"/>
        <s v="['118407', '118408', '118409']"/>
        <s v="['118414']"/>
        <s v="['118416']"/>
        <s v="['118410']"/>
        <s v="['118413']"/>
        <s v="['118411']"/>
        <s v="['118417', '118418']"/>
        <s v="['118423', '118424', '118425']"/>
        <s v="['118426', '118427']"/>
        <s v="['118419', '118420', '118421']"/>
        <s v="['118422']"/>
        <s v="['118428', '118429']"/>
        <s v="['118430', '118431']"/>
        <s v="['118445']"/>
        <s v="['118447']"/>
        <s v="['118439', '118440', '118443']"/>
        <s v="['118457']"/>
        <s v="['118446']"/>
        <s v="['118448']"/>
        <s v="['118432', '118433']"/>
        <s v="['118449', '118450', '118451', '118452', '118453', '118454']"/>
        <s v="['118434', '118435']"/>
        <s v="['118436', '118437']"/>
        <s v="['118464', '118465']"/>
        <s v="['118468', '118469']"/>
        <s v="['118455', '118456']"/>
        <s v="['118458', '118459']"/>
        <s v="['118460', '118461', '118462', '118463']"/>
        <s v="['118466', '118467']"/>
        <s v="['118479']"/>
        <s v="['118486']"/>
        <s v="['118477']"/>
        <s v="['118489', '118490', '118491']"/>
        <s v="['118475', '118476']"/>
        <s v="['118474']"/>
        <s v="['118487']"/>
        <s v="['118488']"/>
        <s v="['118471']"/>
        <s v="['118482']"/>
        <s v="['118483', '118484', '118485']"/>
        <s v="['118480', '118481']"/>
        <s v="['118500']"/>
        <s v="['118501']"/>
        <s v="['118499']"/>
        <s v="['118493']"/>
        <s v="['118523']"/>
        <s v="['118492']"/>
        <s v="['118497']"/>
        <s v="['118503']"/>
        <s v="['118498']"/>
        <s v="['118494', '118495', '118496']"/>
        <s v="['118521', '118522']"/>
        <s v="['118518', '118519', '118520']"/>
        <s v="['118524']"/>
        <s v="['118525', '118526']"/>
        <s v="['118529', '118530']"/>
        <s v="['118527', '118528']"/>
        <s v="['118539']"/>
        <s v="['118542']"/>
        <s v="['118532']"/>
        <s v="['118580']"/>
        <s v="['118540']"/>
        <s v="['118541']"/>
        <s v="['118538']"/>
        <s v="['118552', '118553', '118554', '118555', '118556']"/>
        <s v="['118557', '118558', '118559', '118560', '118562', '118563', '118565', '118566', '118567']"/>
        <s v="['118533']"/>
        <s v="['118543', '118544', '118545', '118546', '118547', '118549', '118550', '118551']"/>
        <s v="['118534', '118535', '118536']"/>
        <s v="['118531']"/>
        <s v="['118571', '118572', '118573']"/>
        <s v="['118569']"/>
        <s v="['118574', '118575', '118576', '118577', '118578']"/>
        <s v="['118568']"/>
        <s v="['118570']"/>
        <s v="['118581']"/>
        <s v="['118592', '118593', '118594']"/>
        <s v="['118583', '118584', '118585']"/>
        <s v="['118586', '118587', '118588', '118589', '118591']"/>
        <s v="['118590']"/>
        <s v="['118582']"/>
        <s v="['118595', '118596']"/>
        <s v="['118610', '118613']"/>
        <s v="['118612']"/>
        <s v="['118601']"/>
        <s v="['118600']"/>
        <s v="['118598', '118599']"/>
        <s v="['118602']"/>
        <s v="['118597']"/>
        <s v="['118606', '118607', '118608']"/>
        <s v="['118603', '118604', '118605']"/>
        <s v="['118615', '118616']"/>
        <s v="['118614']"/>
        <s v="['118625']"/>
        <s v="['118623']"/>
        <s v="['118620', '118621', '118622', '118624']"/>
        <s v="['118619']"/>
        <s v="['118617', '118618']"/>
        <s v="['118641']"/>
        <s v="['118627']"/>
        <s v="['118640']"/>
        <s v="['118642', '118643']"/>
        <s v="['118636', '118637']"/>
        <s v="['118638']"/>
        <s v="['118639']"/>
        <s v="['118632']"/>
        <s v="['118633']"/>
        <s v="['118631']"/>
        <s v="['118628']"/>
        <s v="['118647', '118648', '118649']"/>
        <s v="['118645', '118646']"/>
        <s v="['118653', '118654', '118655']"/>
        <s v="['118650', '118651', '118652']"/>
        <s v="['118644']"/>
        <s v="['118668']"/>
        <s v="['118669']"/>
        <s v="['118677']"/>
        <s v="['118667']"/>
        <s v="['118663']"/>
        <s v="['118661']"/>
        <s v="['118664']"/>
        <s v="['118657', '118658']"/>
        <s v="['118659', '118660']"/>
        <s v="['118665']"/>
        <s v="['118662']"/>
        <s v="['118672', '118673', '118674', '118678']"/>
        <s v="['118675', '118676']"/>
        <s v="['118670', '118671']"/>
        <s v="['118711']"/>
        <s v="['118680']"/>
        <s v="['118712']"/>
        <s v="['118691']"/>
        <s v="['118692', '118693']"/>
        <s v="['118689', '118690']"/>
        <s v="['118679']"/>
        <s v="['118684', '118685']"/>
        <s v="['118686', '118687']"/>
        <s v="['118682']"/>
        <s v="['118694', '118695', '118696', '118698', '118699', '118700', '118701']"/>
        <s v="['118702', '118703', '118704']"/>
        <s v="['118681']"/>
        <s v="['118683']"/>
        <s v="['118705', '118706', '118707', '118708']"/>
        <s v="['118726', '118727']"/>
        <s v="['118718', '118719', '118720']"/>
        <s v="['118725']"/>
        <s v="['118724']"/>
        <s v="['118713', '118714', '118715', '118716', '118717']"/>
        <s v="['118721', '118722', '118723']"/>
        <s v="['118737']"/>
        <s v="['118733']"/>
        <s v="['118732']"/>
        <s v="['118735']"/>
        <s v="['118728', '118729']"/>
        <s v="['118742']"/>
        <s v="['118736']"/>
        <s v="['118760', '118761', '118762', '118763']"/>
        <s v="['118740', '118741']"/>
        <s v="['118747', '118748']"/>
        <s v="['118744']"/>
        <s v="['118750', '118751', '118752', '118753', '118754']"/>
        <s v="['118755', '118756']"/>
        <s v="['118746']"/>
        <s v="['118757', '118758', '118759']"/>
        <s v="['118745']"/>
        <s v="['118743']"/>
        <s v="['118784']"/>
        <s v="['118777', '118778']"/>
        <s v="['118788']"/>
        <s v="['118772']"/>
        <s v="['118771']"/>
        <s v="['118766', '118767']"/>
        <s v="['118773']"/>
        <s v="['118781']"/>
        <s v="['118783']"/>
        <s v="['118775', '118776']"/>
        <s v="['118791', '118792', '118793']"/>
        <s v="['118785']"/>
        <s v="['118768', '118769', '118770']"/>
        <s v="['118795', '118796']"/>
        <s v="['118801', '118802']"/>
        <s v="['118799']"/>
        <s v="['118803', '118804', '118805', '118806', '118807']"/>
        <s v="['118797', '118798']"/>
        <s v="['118800']"/>
        <s v="['118814']"/>
        <s v="['118811']"/>
        <s v="['118812', '118813']"/>
        <s v="['118810']"/>
        <s v="['118820']"/>
        <s v="['118817']"/>
        <s v="['118816']"/>
        <s v="['118829', '118830', '118831']"/>
        <s v="['118825']"/>
        <s v="['118826', '118827', '118828']"/>
        <s v="['118832', '118833', '118834', '118835', '118836']"/>
        <s v="['118839']"/>
        <s v="['118838']"/>
        <s v="['118809']"/>
        <s v="['118847', '118848', '118849', '118850', '118851', '118852']"/>
        <s v="['118842', '118843']"/>
        <s v="['118844', '118845', '118846']"/>
        <s v="['118840', '118841']"/>
        <s v="['118837']"/>
        <s v="['118853']"/>
        <s v="['118875', '118876']"/>
        <s v="['118877']"/>
        <s v="['118855']"/>
        <s v="['118857']"/>
        <s v="['118856']"/>
        <s v="['118878', '118879']"/>
        <s v="['118883', '118884']"/>
        <s v="['118880', '118881', '118882']"/>
        <s v="['118885', '118886', '118887']"/>
        <s v="['118902']"/>
        <s v="['118891']"/>
        <s v="['118890']"/>
        <s v="['118888']"/>
        <s v="['118892']"/>
        <s v="['118889']"/>
        <s v="['118900']"/>
        <s v="['118895', '118896', '118897', '118898', '118899']"/>
        <s v="['118912', '118913']"/>
        <s v="['118904']"/>
        <s v="['118905', '118906', '118907']"/>
        <s v="['118910', '118911']"/>
        <s v="['118908', '118909']"/>
        <s v="['118914', '118915']"/>
        <s v="['118924']"/>
        <s v="['118931']"/>
        <s v="['118928']"/>
        <s v="['118917']"/>
        <s v="['118922', '118923']"/>
        <s v="['118921']"/>
        <s v="['118918']"/>
        <s v="['118920']"/>
        <s v="['118940']"/>
        <s v="['118943', '118944']"/>
        <s v="['118939']"/>
        <s v="['118937', '118938']"/>
        <s v="['118941', '118942']"/>
        <s v="['118956']"/>
        <s v="['118962']"/>
        <s v="['118952']"/>
        <s v="['118957']"/>
        <s v="['118970']"/>
        <s v="['118953']"/>
        <s v="['118954']"/>
        <s v="['118988', '118989']"/>
        <s v="['118985']"/>
        <s v="['118990', '118991', '118992', '118993']"/>
        <s v="['118986', '118987']"/>
        <s v="['119021']"/>
        <s v="['118994']"/>
        <s v="['118995']"/>
        <s v="['118997']"/>
        <s v="['118999', '119000', '119001', '119002']"/>
        <s v="['118996']"/>
        <s v="['119004']"/>
        <s v="['119015']"/>
        <s v="['119016', '119017', '119018', '119019']"/>
        <s v="['119013', '119014']"/>
        <s v="['119023']"/>
        <s v="['119027']"/>
        <s v="['119022']"/>
        <s v="['119034']"/>
        <s v="['119033']"/>
        <s v="['119030', '119031']"/>
        <s v="['119026']"/>
        <s v="['119025']"/>
        <s v="['119024']"/>
        <s v="['119029']"/>
        <s v="['119035']"/>
        <s v="['119038', '119039', '119040', '119041']"/>
        <s v="['119036', '119037']"/>
        <s v="['119046']"/>
        <s v="['119071']"/>
        <s v="['119045']"/>
        <s v="['119042']"/>
        <s v="['119044']"/>
        <s v="['119043']"/>
        <s v="['119073', '119074']"/>
        <s v="['119075']"/>
        <s v="['119076', '119077']"/>
        <s v="['119078']"/>
        <s v="['119096']"/>
        <s v="['119102']"/>
        <s v="['119097', '119099']"/>
        <s v="['119095']"/>
        <s v="['119121']"/>
        <s v="['119106']"/>
        <s v="['119105']"/>
        <s v="['119109', '119110', '119111']"/>
        <s v="['119113', '119114', '119115']"/>
        <s v="['119116', '119117', '119118', '119119', '119120']"/>
        <s v="['119107', '119108', '119112']"/>
        <s v="['119104']"/>
        <s v="['119128']"/>
        <s v="['119129', '119130']"/>
        <s v="['119125']"/>
        <s v="['119133', '119149']"/>
        <s v="['119132']"/>
        <s v="['119139', '119140']"/>
        <s v="['119137']"/>
        <s v="['119123', '119124']"/>
        <s v="['119136']"/>
        <s v="['119134', '119135']"/>
        <s v="['119142', '119143', '119144']"/>
        <s v="['119145', '119146', '119147', '119148']"/>
        <s v="['119141']"/>
        <s v="['119138']"/>
        <s v="['119131']"/>
        <s v="['119153', '119154', '119155']"/>
        <s v="['119175', '119176']"/>
        <s v="['119164']"/>
        <s v="['119150']"/>
        <s v="['119152']"/>
        <s v="['119160']"/>
        <s v="['119161']"/>
        <s v="['119156']"/>
        <s v="['119157', '119158', '119159']"/>
        <s v="['119162']"/>
        <s v="['119167', '119168', '119169']"/>
        <s v="['119170', '119171']"/>
        <s v="['119172']"/>
        <s v="['119165', '119166']"/>
        <s v="['119173']"/>
        <s v="['119174']"/>
        <s v="['119151']"/>
        <s v="['119193']"/>
        <s v="['119183']"/>
        <s v="['119184']"/>
        <s v="['119181']"/>
        <s v="['119187']"/>
        <s v="['119188', '119189', '119190', '119191']"/>
        <s v="['119185', '119186']"/>
        <s v="['119182']"/>
        <s v="['119210', '119211', '119212']"/>
        <s v="['119213', '119214']"/>
        <s v="['119222', '119223']"/>
        <s v="['119224']"/>
        <s v="['119209']"/>
        <s v="['119215', '119216']"/>
        <s v="['119247', '119248']"/>
        <s v="['119242', '119243', '119244']"/>
        <s v="['119241']"/>
        <s v="['119233']"/>
        <s v="['119225']"/>
        <s v="['119238']"/>
        <s v="['119246']"/>
        <s v="['119226', '119227']"/>
        <s v="['119256', '119257', '119258']"/>
        <s v="['119252']"/>
        <s v="['119250']"/>
        <s v="['119259', '119260']"/>
        <s v="['119261', '119262', '119263']"/>
        <s v="['119251']"/>
        <s v="['119253', '119254', '119255']"/>
        <s v="['119264']"/>
        <s v="['119265', '119266']"/>
        <s v="['119275', '119276']"/>
        <s v="['119281']"/>
        <s v="['119279', '119280']"/>
        <s v="['119277', '119278']"/>
        <s v="['119285', '119286', '119287']"/>
        <s v="['119282', '119283', '119284', '119288']"/>
        <s v="['119327']"/>
        <s v="['119299']"/>
        <s v="['119333', '119334']"/>
        <s v="['119319']"/>
        <s v="['119298']"/>
        <s v="['119296', '119297']"/>
        <s v="['119317']"/>
        <s v="['119323']"/>
        <s v="['119293', '119294']"/>
        <s v="['119295']"/>
        <s v="['119321', '119322', '119324']"/>
        <s v="['119307', '119308', '119309']"/>
        <s v="['119301']"/>
        <s v="['119302', '119303', '119304', '119305', '119306']"/>
        <s v="['119332']"/>
        <s v="['119328', '119329']"/>
        <s v="['119330', '119331']"/>
        <s v="['119337', '119338', '119339']"/>
        <s v="['119335', '119336']"/>
        <s v="['119318']"/>
        <s v="['119375']"/>
        <s v="['119374']"/>
        <s v="['119346']"/>
        <s v="['119362', '119363', '119364']"/>
        <s v="['119348', '119349']"/>
        <s v="['119347']"/>
        <s v="['119381', '119382', '119383']"/>
        <s v="['119391', '119392']"/>
        <s v="['119387', '119388', '119389', '119390']"/>
        <s v="['119379', '119380']"/>
        <s v="['119376', '119377']"/>
        <s v="['119384', '119385', '119386']"/>
        <s v="['119378']"/>
        <s v="['119406']"/>
        <s v="['119396']"/>
        <s v="['119400']"/>
        <s v="['119398']"/>
        <s v="['119397']"/>
        <s v="['119402']"/>
        <s v="['119401']"/>
        <s v="['119394', '119395']"/>
        <s v="['119393']"/>
        <s v="['119424', '119425']"/>
        <s v="['119421']"/>
        <s v="['119428']"/>
        <s v="['119426', '119427']"/>
        <s v="['119422', '119423']"/>
        <s v="['119429', '119430', '119431']"/>
        <s v="['119438']"/>
        <s v="['119435']"/>
        <s v="['119434']"/>
        <s v="['119436']"/>
        <s v="['119450']"/>
        <s v="['119437']"/>
        <s v="['119445']"/>
        <s v="['119456', '119457']"/>
        <s v="['119433']"/>
        <s v="['119464', '119465']"/>
        <s v="['119462']"/>
        <s v="['119459', '119460']"/>
        <s v="['119463']"/>
        <s v="['119461']"/>
        <s v="['119466', '119467']"/>
        <s v="['119512', '119513']"/>
        <s v="['119487', '119488']"/>
        <s v="['119477']"/>
        <s v="['119471', '119472', '119473']"/>
        <s v="['119474', '119475', '119476']"/>
        <s v="['119468', '119469', '119470']"/>
        <s v="['119498']"/>
        <s v="['119482', '119483']"/>
        <s v="['119478']"/>
        <s v="['119481']"/>
        <s v="['119485']"/>
        <s v="['119480']"/>
        <s v="['119484', '119486']"/>
        <s v="['119503', '119504']"/>
        <s v="['119505']"/>
        <s v="['119499', '119500']"/>
        <s v="['119506', '119507']"/>
        <s v="['119501', '119502']"/>
        <s v="['119508', '119509', '119510']"/>
        <s v="['119541', '119542']"/>
        <s v="['119534', '119535']"/>
        <s v="['119533', '119536']"/>
        <s v="['119514']"/>
        <s v="['119543']"/>
        <s v="['119530']"/>
        <s v="['119531', '119532']"/>
        <s v="['119557', '119558', '119559', '119560']"/>
        <s v="['119546', '119547']"/>
        <s v="['119553', '119554', '119555', '119556']"/>
        <s v="['119517']"/>
        <s v="['119544', '119545']"/>
        <s v="['119548', '119549', '119550', '119551', '119552']"/>
        <s v="['119597', '119598']"/>
        <s v="['119583', '119584']"/>
        <s v="['119596']"/>
        <s v="['119599']"/>
        <s v="['119562']"/>
        <s v="['119574', '119575', '119576', '119577', '119578', '119579', '119580', '119581']"/>
        <s v="['119593']"/>
        <s v="['119592']"/>
        <s v="['119563', '119564', '119565', '119566', '119567', '119568', '119569', '119570']"/>
        <s v="['119611']"/>
        <s v="['119561']"/>
        <s v="['119585']"/>
        <s v="['119595']"/>
        <s v="['119622']"/>
        <s v="['119619', '119620', '119621']"/>
        <s v="['119612', '119613']"/>
        <s v="['119606', '119607', '119608', '119609', '119610']"/>
        <s v="['119614', '119615', '119616']"/>
        <s v="['119603', '119604', '119605']"/>
        <s v="['119617', '119618']"/>
        <s v="['119602']"/>
        <s v="['119623', '119624']"/>
        <s v="['119646', '119647']"/>
        <s v="['119636']"/>
        <s v="['119631', '119632']"/>
        <s v="['119638', '119639']"/>
        <s v="['119627']"/>
        <s v="['119629']"/>
        <s v="['119625']"/>
        <s v="['119653']"/>
        <s v="['119650', '119651', '119652']"/>
        <s v="['119630']"/>
        <s v="['119654', '119655', '119656', '119657']"/>
        <s v="['119660', '119661', '119662']"/>
        <s v="['119648', '119649']"/>
        <s v="['119658', '119659']"/>
        <s v="['119626']"/>
        <s v="['119678']"/>
        <s v="['119676']"/>
        <s v="['119679']"/>
        <s v="['119673']"/>
        <s v="['119672']"/>
        <s v="['119663', '119664', '119665', '119666', '119667']"/>
        <s v="['119670']"/>
        <s v="['119668']"/>
        <s v="['119674']"/>
        <s v="['119675']"/>
        <s v="['119709']"/>
        <s v="['119707', '119708']"/>
        <s v="['119722']"/>
        <s v="['119713']"/>
        <s v="['119723', '119724']"/>
        <s v="['119712']"/>
        <s v="['119757']"/>
        <s v="['119725']"/>
        <s v="['119747', '119748', '119749']"/>
        <s v="['119742', '119743', '119744']"/>
        <s v="['119753']"/>
        <s v="['119752']"/>
        <s v="['119754', '119755', '119756']"/>
        <s v="['119750', '119751']"/>
        <s v="['119745', '119746']"/>
        <s v="['119782', '119783']"/>
        <s v="['119762']"/>
        <s v="['119761']"/>
        <s v="['119764', '119765']"/>
        <s v="['119789', '119790']"/>
        <s v="['119760']"/>
        <s v="['119791', '119792']"/>
        <s v="['119793', '119794']"/>
        <s v="['119800']"/>
        <s v="['119808', '119809']"/>
        <s v="['119806']"/>
        <s v="['119802', '119803', '119804']"/>
        <s v="['119801']"/>
        <s v="['119815']"/>
        <s v="['119814', '119816']"/>
        <s v="['119795', '119796', '119797', '119798', '119799']"/>
        <s v="['119805']"/>
        <s v="['119827', '119828', '119829']"/>
        <s v="['119844', '119845']"/>
        <s v="['119838', '119839', '119840', '119841', '119842']"/>
        <s v="['119837']"/>
        <s v="['119835', '119836', '119843']"/>
        <s v="['119830']"/>
        <s v="['119833', '119834']"/>
        <s v="['119850']"/>
        <s v="['119846', '119847']"/>
        <s v="['119863']"/>
        <s v="['119852']"/>
        <s v="['119855', '119856', '119857']"/>
        <s v="['119859']"/>
        <s v="['119849']"/>
        <s v="['119861']"/>
        <s v="['119853']"/>
        <s v="['119854']"/>
        <s v="['119848']"/>
        <s v="['119869']"/>
        <s v="['119870']"/>
        <s v="['119872', '119873', '119874']"/>
        <s v="['119875', '119876', '119877']"/>
        <s v="['119864', '119865', '119866', '119867', '119868']"/>
        <s v="['119878', '119879']"/>
        <s v="['119871']"/>
        <s v="['119916']"/>
        <s v="['119899']"/>
        <s v="['119917', '119918']"/>
        <s v="['119895', '119896', '119897', '119898']"/>
        <s v="['119908']"/>
        <s v="['119907']"/>
        <s v="['119909']"/>
        <s v="['119887', '119888', '119889', '119890', '119891', '119892', '119893']"/>
        <s v="['119880', '119881', '119882', '119883', '119884', '119885', '119886']"/>
        <s v="['119894']"/>
        <s v="['119900']"/>
        <s v="['119943']"/>
        <s v="['119928', '119929']"/>
        <s v="['119926', '119927']"/>
        <s v="['119932']"/>
        <s v="['119935']"/>
        <s v="['119923']"/>
        <s v="['119933', '119934']"/>
        <s v="['119930', '119931']"/>
        <s v="['119937']"/>
        <s v="['119925']"/>
        <s v="['119919', '119920']"/>
        <s v="['119924']"/>
        <s v="['119936']"/>
        <s v="['119941', '119942']"/>
        <s v="['119921', '119922']"/>
        <s v="['119939', '119940']"/>
        <s v="['119938']"/>
        <s v="['119944']"/>
        <s v="['119959']"/>
        <s v="['119951']"/>
        <s v="['119952']"/>
        <s v="['119953']"/>
        <s v="['119962', '119965']"/>
        <s v="['119946', '119947', '119948']"/>
        <s v="['119945']"/>
        <s v="['119976', '119977']"/>
        <s v="['119971', '119972', '119973']"/>
        <s v="['119974']"/>
        <s v="['119975']"/>
        <s v="['119978', '119979']"/>
        <s v="['119969', '119970']"/>
        <s v="['119957']"/>
        <s v="['119966']"/>
        <s v="['119967', '119968']"/>
        <s v="['119991']"/>
        <s v="['119986', '119987']"/>
        <s v="['119988']"/>
        <s v="['119980']"/>
        <s v="['119981']"/>
        <s v="['119982', '119983']"/>
        <s v="['119984', '119985']"/>
        <s v="['119999', '120000']"/>
        <s v="['120337', '120338']"/>
        <s v="['120332', '120333']"/>
        <s v="['120334', '120335', '120336']"/>
        <s v="['119992', '119993', '119994']"/>
        <s v="['119997', '119998']"/>
        <s v="['119996']"/>
        <s v="['119995']"/>
        <s v="['120340']"/>
        <s v="['120354']"/>
        <s v="['120353']"/>
        <s v="['120346']"/>
        <s v="['120341']"/>
        <s v="['120364']"/>
        <s v="['120357', '120358']"/>
        <s v="['120360', '120361', '120362', '120363']"/>
        <s v="['120359']"/>
        <s v="['120378']"/>
        <s v="['120383', '120384', '120394']"/>
        <s v="['120377']"/>
        <s v="['120365', '120366', '120367', '120368', '120369', '120370', '120371', '120372', '120373', '120374']"/>
        <s v="['120379']"/>
        <s v="['120380', '120381', '120382']"/>
        <s v="['120395', '120396', '120397', '120398']"/>
        <s v="['120399', '120400']"/>
        <s v="['120391', '120392', '120393']"/>
        <s v="['120388', '120389', '120390']"/>
        <s v="['120386', '120387']"/>
        <s v="['120406']"/>
        <s v="['120403']"/>
        <s v="['120404']"/>
        <s v="['120407']"/>
        <s v="['120401', '120402']"/>
        <s v="['120405']"/>
        <s v="['120412', '120413']"/>
        <s v="['120417', '120418']"/>
        <s v="['120415', '120416']"/>
        <s v="['120414']"/>
        <s v="['120419']"/>
        <s v="['120420', '120421']"/>
        <s v="['120441']"/>
        <s v="['120423']"/>
        <s v="['120422']"/>
        <s v="['120440']"/>
        <s v="['120424']"/>
        <s v="['120425']"/>
        <s v="['120431', '120432']"/>
        <s v="['120433', '120434']"/>
        <s v="['120437', '120438', '120439']"/>
        <s v="['120435', '120436']"/>
        <s v="['120429', '120430']"/>
        <s v="['120450']"/>
        <s v="['120449']"/>
        <s v="['120451', '120452', '120453']"/>
        <s v="['120455']"/>
        <s v="['120456']"/>
        <s v="['120445', '120446']"/>
        <s v="['120444']"/>
        <s v="['120442', '120443']"/>
        <s v="['120464', '120465', '120466']"/>
        <s v="['120462', '120463']"/>
        <s v="['120461']"/>
        <s v="['120448']"/>
        <s v="['120488']"/>
        <s v="['120470']"/>
        <s v="['120472', '120473']"/>
        <s v="['120478']"/>
        <s v="['120474']"/>
        <s v="['120475']"/>
        <s v="['120479']"/>
        <s v="['120480']"/>
        <s v="['120477']"/>
        <s v="['120476']"/>
        <s v="['120481', '120482', '120483']"/>
        <s v="['120484', '120485', '120486', '120487']"/>
        <s v="['120497', '120498', '120499']"/>
        <s v="['120492', '120493', '120494', '120495', '120496']"/>
        <s v="['120508', '120509', '120510']"/>
        <s v="['120500', '120501', '120502', '120503']"/>
        <s v="['120519', '120520']"/>
        <s v="['120490', '120491']"/>
        <s v="['120531']"/>
        <s v="['120532']"/>
        <s v="['120534']"/>
        <s v="['120529', '120530']"/>
        <s v="['120543']"/>
        <s v="['120542']"/>
        <s v="['120545']"/>
        <s v="['120562', '120563', '120564']"/>
        <s v="['120556', '120557', '120558', '120559']"/>
        <s v="['120560', '120561']"/>
        <s v="['120579']"/>
        <s v="['120584']"/>
        <s v="['120587']"/>
        <s v="['120585', '120586']"/>
        <s v="['120580', '120581', '120582', '120583']"/>
        <s v="['120589']"/>
        <s v="['120590']"/>
        <s v="['120588']"/>
        <s v="['120591', '120592']"/>
        <s v="['120598']"/>
        <s v="['120601']"/>
        <s v="['120595', '120596', '120597']"/>
        <s v="['120594']"/>
        <s v="['120600']"/>
        <s v="['120603']"/>
        <s v="['120599']"/>
        <s v="['120604']"/>
        <s v="['120607', '120608', '120609', '120610']"/>
        <s v="['120605', '120606']"/>
        <s v="['120614']"/>
        <s v="['120611']"/>
        <s v="['120612']"/>
        <s v="['120613']"/>
        <s v="['120615', '120616', '120617', '120618']"/>
        <s v="['120632']"/>
        <s v="['120624', '120625']"/>
        <s v="['120649', '120650']"/>
        <s v="['120623']"/>
        <s v="['120621']"/>
        <s v="['120620']"/>
        <s v="['120627']"/>
        <s v="['120633']"/>
        <s v="['120619']"/>
        <s v="['120636']"/>
        <s v="['120634']"/>
        <s v="['120645', '120646', '120647', '120648']"/>
        <s v="['120642', '120643']"/>
        <s v="['120637', '120638', '120639']"/>
        <s v="['120635']"/>
        <s v="['120640', '120641', '120644']"/>
        <s v="['120656']"/>
        <s v="['120657']"/>
        <s v="['120654']"/>
        <s v="['120666', '120667']"/>
        <s v="['120668', '120669']"/>
        <s v="['120663', '120664', '120665']"/>
        <s v="['120673', '120674']"/>
        <s v="['120675', '120676']"/>
        <s v="['120684']"/>
        <s v="['120672']"/>
        <s v="['120688', '120689']"/>
        <s v="['120690']"/>
        <s v="['120685', '120687', '120691']"/>
        <s v="['120686']"/>
        <s v="['120717']"/>
        <s v="['120692', '120693']"/>
        <s v="['120695', '120696']"/>
        <s v="['120718', '120719', '120720']"/>
        <s v="['120709']"/>
        <s v="['120721', '120722']"/>
        <s v="['120715']"/>
        <s v="['120710', '120711', '120712', '120713', '120714', '120716']"/>
        <s v="['120723', '120724']"/>
        <s v="['120752']"/>
        <s v="['120743']"/>
        <s v="['120735', '120736', '120737']"/>
        <s v="['120751']"/>
        <s v="['120769']"/>
        <s v="['120732', '120733']"/>
        <s v="['120749']"/>
        <s v="['120754']"/>
        <s v="['120755']"/>
        <s v="['120760']"/>
        <s v="['120761', '120762', '120763', '120764', '120765', '120766', '120767', '120768']"/>
        <s v="['120756', '120757']"/>
        <s v="['120758', '120759']"/>
        <s v="['120734']"/>
        <s v="['120770', '120771', '120772']"/>
        <s v="['120778']"/>
        <s v="['120773']"/>
        <s v="['120777']"/>
        <s v="['120782']"/>
        <s v="['120779', '120780']"/>
        <s v="['120784', '120785']"/>
        <s v="['120788', '120789', '120790', '120791', '120792']"/>
        <s v="['120786', '120787']"/>
        <s v="['120812']"/>
        <s v="['120806', '120807']"/>
        <s v="['120828', '120829']"/>
        <s v="['120809', '120810', '120813', '120814']"/>
        <s v="['120841', '120842']"/>
        <s v="['120839', '120840']"/>
        <s v="['120834', '120835', '120836']"/>
        <s v="['120837', '120838']"/>
        <s v="['120872']"/>
        <s v="['120844']"/>
        <s v="['120846']"/>
        <s v="['120847']"/>
        <s v="['120855']"/>
        <s v="['120862']"/>
        <s v="['120868']"/>
        <s v="['120863', '120864']"/>
        <s v="['120865', '120866', '120867']"/>
        <s v="['120871']"/>
        <s v="['120875', '120876', '120877']"/>
        <s v="['120873', '120874']"/>
        <s v="['120885']"/>
        <s v="['120912']"/>
        <s v="['120917']"/>
        <s v="['120888']"/>
        <s v="['120886']"/>
        <s v="['120884']"/>
        <s v="['120919', '120920', '120921']"/>
        <s v="['120879', '120880', '120881', '120882', '120883']"/>
        <s v="['120899', '120900', '120901']"/>
        <s v="['120887']"/>
        <s v="['120922', '120923']"/>
        <s v="['120918']"/>
        <s v="['120924', '120925', '120926', '120927']"/>
        <s v="['120928', '120929']"/>
        <s v="['120930']"/>
        <s v="['120934', '120935']"/>
        <s v="['120931', '120932']"/>
        <s v="['120937']"/>
        <s v="['120936']"/>
        <s v="['120940', '120941']"/>
        <s v="['120944']"/>
        <s v="['120945']"/>
        <s v="['120946', '120947', '120948']"/>
        <s v="['120942', '120943']"/>
        <s v="['120950', '120951']"/>
        <s v="['120949']"/>
        <s v="['120964', '120965', '120970']"/>
        <s v="['120962']"/>
        <s v="['120961']"/>
        <s v="['120966', '120967', '120968']"/>
        <s v="['120969']"/>
        <s v="['120972']"/>
        <s v="['120983']"/>
        <s v="['120979']"/>
        <s v="['120980']"/>
        <s v="['120977']"/>
        <s v="['120984', '120985']"/>
        <s v="['120995', '120996', '120997']"/>
        <s v="['121001']"/>
        <s v="['120998', '120999', '121000']"/>
        <s v="['120978']"/>
        <s v="['120990', '120991']"/>
        <s v="['120992', '120993']"/>
        <s v="['121029']"/>
        <s v="['121011', '121012']"/>
        <s v="['121014', '121015', '121016']"/>
        <s v="['121013']"/>
        <s v="['121030', '121031', '121032']"/>
        <s v="['121005', '121006', '121007']"/>
        <s v="['121017', '121018']"/>
        <s v="['121010']"/>
        <s v="['121024', '121025']"/>
        <s v="['121026']"/>
        <s v="['121022', '121023']"/>
        <s v="['121020', '121021']"/>
        <s v="['121027']"/>
        <s v="['121034']"/>
        <s v="['121033']"/>
        <s v="['121045']"/>
        <s v="['121047', '121048', '121049', '121050', '121051']"/>
        <s v="['121035', '121036', '121037', '121038', '121039']"/>
        <s v="['121040', '121041', '121042', '121043', '121044']"/>
        <s v="['121054']"/>
        <s v="['121063']"/>
        <s v="['121052', '121053']"/>
        <s v="['121065']"/>
        <s v="['121056', '121057']"/>
        <s v="['121058', '121059', '121060']"/>
        <s v="['121067']"/>
        <s v="['121071']"/>
        <s v="['121072']"/>
        <s v="['121082']"/>
        <s v="['121085', '121086', '121087']"/>
        <s v="['121068', '121069', '121070']"/>
        <s v="['121076', '121077', '121078', '121079']"/>
        <s v="['121073', '121074', '121075']"/>
        <s v="['121080', '121081']"/>
        <s v="['121083', '121084']"/>
        <s v="['121097', '121098', '121099']"/>
        <s v="['121100', '121101']"/>
        <s v="['121102', '121103', '121104']"/>
        <s v="['121109']"/>
        <s v="['121115']"/>
        <s v="['121122', '121123']"/>
        <s v="['121120']"/>
        <s v="['121114']"/>
        <s v="['121112', '121113']"/>
        <s v="['121117']"/>
        <s v="['121110', '121111']"/>
        <s v="['121106', '121107', '121108']"/>
        <s v="['121105']"/>
        <s v="['121136', '121137']"/>
        <s v="['121133']"/>
        <s v="['121134', '121135']"/>
        <s v="['121124', '121125', '121126', '121127', '121128', '121129', '121130']"/>
        <s v="['121131', '121132']"/>
        <s v="['121169']"/>
        <s v="['121153']"/>
        <s v="['121158']"/>
        <s v="['121165']"/>
        <s v="['121147', '121148', '121149', '121150']"/>
        <s v="['121139', '121141']"/>
        <s v="['121155', '121156', '121157']"/>
        <s v="['121161', '121162', '121163', '121164']"/>
        <s v="['121166', '121167', '121168']"/>
        <s v="['121154']"/>
        <s v="['121152']"/>
        <s v="['121173', '121174']"/>
        <s v="['121182', '121183']"/>
        <s v="['121180', '121184']"/>
        <s v="['121175', '121176', '121177', '121178', '121179']"/>
        <s v="['121181', '121185', '121186']"/>
        <s v="['121172']"/>
        <s v="['121170']"/>
        <s v="['121213']"/>
        <s v="['121189']"/>
        <s v="['121187']"/>
        <s v="['121196']"/>
        <s v="['121188']"/>
        <s v="['121212']"/>
        <s v="['121190']"/>
        <s v="['121192']"/>
        <s v="['121193', '121194', '121195']"/>
        <s v="['121191']"/>
        <s v="['121219']"/>
        <s v="['121220', '121221']"/>
        <s v="['121217', '121218']"/>
        <s v="['121198', '121199', '121200', '121201', '121202', '121203']"/>
        <s v="['121214', '121215', '121216']"/>
        <s v="['121234']"/>
        <s v="['121229', '121231']"/>
        <s v="['121228']"/>
        <s v="['121226']"/>
        <s v="['121222']"/>
        <s v="['121236', '121237', '121238', '121239', '121240']"/>
        <s v="['121223', '121224']"/>
        <s v="['121252', '121253', '121254']"/>
        <s v="['121249']"/>
        <s v="['121255', '121256', '121257']"/>
        <s v="['121247', '121248']"/>
        <s v="['121241', '121242', '121243', '121244', '121245', '121246']"/>
        <s v="['121250', '121251']"/>
        <s v="['121265']"/>
        <s v="['121259']"/>
        <s v="['121272']"/>
        <s v="['121277', '121278']"/>
        <s v="['121262']"/>
        <s v="['121273']"/>
        <s v="['121263']"/>
        <s v="['121280', '121281', '121282', '121283', '121284']"/>
        <s v="['121275']"/>
        <s v="['121292']"/>
        <s v="['121285', '121286']"/>
        <s v="['121289', '121290', '121291']"/>
        <s v="['121287', '121288']"/>
        <s v="['121293', '121294']"/>
        <s v="['121264']"/>
        <s v="['121260', '121261']"/>
        <s v="['121311']"/>
        <s v="['121325', '121326', '121327']"/>
        <s v="['121298', '121299', '121300', '121301']"/>
        <s v="['121304', '121305']"/>
        <s v="['121295', '121297', '121302']"/>
        <s v="['121316', '121317', '121318', '121319']"/>
        <s v="['121334', '121335', '121336']"/>
        <s v="['121320', '121321', '121322']"/>
        <s v="['121323', '121324']"/>
        <s v="['121330', '121331']"/>
        <s v="['121312', '121313', '121314']"/>
        <s v="['121308']"/>
        <s v="['121332', '121333']"/>
        <s v="['121328', '121329']"/>
        <s v="['121354']"/>
        <s v="['121351']"/>
        <s v="['121355']"/>
        <s v="['121343', '121344']"/>
        <s v="['121371']"/>
        <s v="['121339', '121340', '121341']"/>
        <s v="['121368', '121369', '121370']"/>
        <s v="['121348']"/>
        <s v="['121366', '121367']"/>
        <s v="['121365']"/>
        <s v="['121363', '121364']"/>
        <s v="['121361', '121362']"/>
        <s v="['121357', '121358', '121359', '121360']"/>
        <s v="['121349']"/>
        <s v="['121338']"/>
        <s v="['121397']"/>
        <s v="['121437']"/>
        <s v="['121413']"/>
        <s v="['121400']"/>
        <s v="['121384', '121385', '121386', '121387', '121388', '121389', '121390', '121391', '121392', '121393']"/>
        <s v="['121372', '121373', '121374', '121375', '121376', '121377', '121378', '121379', '121380', '121381', '121382']"/>
        <s v="['121398']"/>
        <s v="['121441']"/>
        <s v="['121401', '121402', '121403', '121404']"/>
        <s v="['121399']"/>
        <s v="['121435', '121436', '121438']"/>
        <s v="['121416', '121434', '121439']"/>
        <s v="['121414']"/>
        <s v="['121448']"/>
        <s v="['121446']"/>
        <s v="['121452']"/>
        <s v="['121465', '121466']"/>
        <s v="['121449']"/>
        <s v="['121442', '121443']"/>
        <s v="['121444']"/>
        <s v="['121445']"/>
        <s v="['121468']"/>
        <s v="['121467']"/>
        <s v="['121475', '121476']"/>
        <s v="['121472']"/>
        <s v="['121459', '121460', '121461', '121462', '121463']"/>
        <s v="['121470', '121471']"/>
        <s v="['121469']"/>
        <s v="['121473', '121474']"/>
        <s v="['121478']"/>
        <s v="['121489', '121490', '121491', '121492', '121493', '121494']"/>
        <s v="['121481']"/>
        <s v="['121480']"/>
        <s v="['121479']"/>
        <s v="['121501', '121502']"/>
        <s v="['121497']"/>
        <s v="['121500']"/>
        <s v="['121498', '121499']"/>
        <s v="['121503', '121504']"/>
        <s v="['121507', '121510']"/>
        <s v="['121509']"/>
        <s v="['121484', '121488', '121496']"/>
        <s v="['121508']"/>
        <s v="['121523']"/>
        <s v="['121526']"/>
        <s v="['121517']"/>
        <s v="['121531']"/>
        <s v="['121524']"/>
        <s v="['121515', '121516']"/>
        <s v="['121512', '121513', '121514']"/>
        <s v="['121519', '121521']"/>
        <s v="['121532', '121533']"/>
        <s v="['121534', '121535']"/>
        <s v="['121536', '121537']"/>
        <s v="['121530']"/>
        <s v="['121522']"/>
        <s v="['121548', '121549', '121550']"/>
        <s v="['121579', '121580']"/>
        <s v="['121563']"/>
        <s v="['121562']"/>
        <s v="['121546', '121547']"/>
        <s v="['121542', '121543', '121544']"/>
        <s v="['121559']"/>
        <s v="['121552']"/>
        <s v="['121551']"/>
        <s v="['121560']"/>
        <s v="['121590', '121591']"/>
        <s v="['121571', '121572', '121573', '121574', '121575']"/>
        <s v="['121581']"/>
        <s v="['121539', '121540', '121541']"/>
        <s v="['121585', '121586']"/>
        <s v="['121587', '121588', '121589']"/>
        <s v="['121594']"/>
        <s v="['121596']"/>
        <s v="['121602']"/>
        <s v="['121605']"/>
        <s v="['121608', '121609']"/>
        <s v="['121611', '121612']"/>
        <s v="['121622']"/>
        <s v="['121631']"/>
        <s v="['121614', '121615', '121616', '121617', '121618', '121619', '121620', '121621']"/>
        <s v="['121627', '121628', '121629', '121630']"/>
        <s v="['121623', '121624', '121625', '121626']"/>
        <s v="['121633']"/>
        <s v="['121649']"/>
        <s v="['121632']"/>
        <s v="['121634', '121635', '121636']"/>
        <s v="['121637', '121638', '121639', '121640']"/>
        <s v="['121661', '121662', '121663']"/>
        <s v="['121641', '121642', '121643', '121644', '121645', '121646', '121647']"/>
        <s v="['121654', '121655', '121656']"/>
        <s v="['121651']"/>
        <s v="['121664', '121665']"/>
        <s v="['121657', '121658', '121659', '121660']"/>
        <s v="['121652', '121653']"/>
        <s v="['121666']"/>
        <s v="['121713']"/>
        <s v="['121689']"/>
        <s v="['121711']"/>
        <s v="['121667', '121668', '121669', '121670', '121671', '121672', '121673', '121674', '121675', '121676', '121677', '121678']"/>
        <s v="['121680', '121681', '121682', '121684', '121685', '121686', '121687']"/>
        <s v="['121691', '121693', '121694', '121695', '121696', '121697', '121698', '121699', '121700', '121701', '121703', '121704', '121705', '121706', '121710']"/>
        <s v="['121688']"/>
        <s v="['121714']"/>
        <s v="['121708', '121709', '121712']"/>
        <s v="['121716']"/>
        <s v="['121720', '121721']"/>
        <s v="['121715']"/>
        <s v="['121723']"/>
        <s v="['121717', '121718']"/>
        <s v="['121740', '121741', '121742']"/>
        <s v="['121726', '121727']"/>
        <s v="['121724']"/>
        <s v="['121729']"/>
        <s v="['121728']"/>
        <s v="['121725']"/>
        <s v="['121733']"/>
        <s v="['121730', '121731', '121732']"/>
        <s v="['121735', '121736']"/>
        <s v="['121738']"/>
        <s v="['121737']"/>
        <s v="['121756']"/>
        <s v="['121752']"/>
        <s v="['121750']"/>
        <s v="['121745']"/>
        <s v="['121746', '121747']"/>
        <s v="['121749']"/>
        <s v="['121766', '121767', '121768', '121769']"/>
        <s v="['121757', '121759', '121760', '121761', '121762']"/>
        <s v="['121765']"/>
        <s v="['121764']"/>
        <s v="['121770', '121771']"/>
        <s v="['121763']"/>
        <s v="['121776']"/>
        <s v="['121778']"/>
        <s v="['121775']"/>
        <s v="['121797']"/>
        <s v="['121785']"/>
        <s v="['121796']"/>
        <s v="['121788', '121789']"/>
        <s v="['121779', '121780', '121781', '121782']"/>
        <s v="['121793', '121794']"/>
        <s v="['121790', '121791']"/>
        <s v="['121786', '121787']"/>
        <s v="['121777']"/>
        <s v="['121825']"/>
        <s v="['121799']"/>
        <s v="['121800']"/>
        <s v="['121848', '121849']"/>
        <s v="['121826']"/>
        <s v="['121801', '121802', '121803']"/>
        <s v="['121812', '121813', '121814', '121815', '121816', '121817', '121818', '121819']"/>
        <s v="['121808', '121809']"/>
        <s v="['121810']"/>
        <s v="['121804', '121805', '121806', '121807']"/>
        <s v="['121820', '121821', '121822']"/>
        <s v="['121841', '121842', '121843']"/>
        <s v="['121837', '121838']"/>
        <s v="['121827', '121828', '121829', '121830', '121831', '121832', '121833', '121834', '121835']"/>
        <s v="['121845']"/>
        <s v="['121844']"/>
        <s v="['121840']"/>
        <s v="['121836']"/>
        <s v="['121853', '121854']"/>
        <s v="['121852', '121869']"/>
        <s v="['121867']"/>
        <s v="['121864']"/>
        <s v="['121866']"/>
        <s v="['121868']"/>
        <s v="['121860']"/>
        <s v="['121861', '121862', '121863']"/>
        <s v="['121850', '121851']"/>
        <s v="['121870']"/>
        <s v="['121856', '121857', '121858']"/>
        <s v="['121859']"/>
        <s v="['121889']"/>
        <s v="['121865']"/>
        <s v="['121885', '121886', '121890']"/>
        <s v="['121871', '121872']"/>
        <s v="['121855']"/>
        <s v="['121883', '121884']"/>
        <s v="['121887', '121888']"/>
        <s v="['121880', '121881', '121882']"/>
        <s v="['121899']"/>
        <s v="['121907']"/>
        <s v="['121891', '121892']"/>
        <s v="['121903']"/>
        <s v="['121905']"/>
        <s v="['121906']"/>
        <s v="['121915', '121916']"/>
        <s v="['121912']"/>
        <s v="['121917', '121918']"/>
        <s v="['121902']"/>
        <s v="['121894']"/>
        <s v="['121893']"/>
        <s v="['121898']"/>
        <s v="['121896', '121897']"/>
        <s v="['121908', '121909', '121910', '121911']"/>
        <s v="['121914']"/>
        <s v="['121919', '121920', '121921', '121922', '121923']"/>
        <s v="['121913']"/>
        <s v="['121926', '121927']"/>
        <s v="['121946']"/>
        <s v="['121945']"/>
        <s v="['121928']"/>
        <s v="['121931', '121932', '121933', '121934']"/>
        <s v="['121948', '121949', '121950', '121951', '121952', '121953']"/>
        <s v="['121961', '121962']"/>
        <s v="['121960']"/>
        <s v="['121959']"/>
        <s v="['121956', '121957', '121958']"/>
        <s v="['121939', '121940', '121941', '121942', '121943', '121944']"/>
        <s v="['121954', '121955']"/>
        <s v="['121981', '121982']"/>
        <s v="['121968']"/>
        <s v="['121964']"/>
        <s v="['121969']"/>
        <s v="['121970']"/>
        <s v="['121985', '121986', '121987']"/>
        <s v="['121983', '121984']"/>
        <s v="['121965']"/>
        <s v="['121966']"/>
        <s v="['121967']"/>
        <s v="['121976', '121977', '121978', '121979']"/>
        <s v="['122004', '122005']"/>
        <s v="['122006', '122007']"/>
        <s v="['121998', '121999', '122000', '122001']"/>
        <s v="['122002', '122003']"/>
        <s v="['122008', '122009', '122010']"/>
        <s v="['122026']"/>
        <s v="['122019', '122020']"/>
        <s v="['122014', '122015']"/>
        <s v="['122023']"/>
        <s v="['122041', '122043']"/>
        <s v="['122021']"/>
        <s v="['122018']"/>
        <s v="['122011']"/>
        <s v="['122016', '122017']"/>
        <s v="['122024', '122025']"/>
        <s v="['122053', '122054']"/>
        <s v="['122029', '122031', '122032', '122033', '122034']"/>
        <s v="['122035']"/>
        <s v="['122051', '122052']"/>
        <s v="['122042', '122044', '122045', '122046', '122047', '122048']"/>
        <s v="['122049', '122050']"/>
        <s v="['122056']"/>
        <s v="['122055']"/>
        <s v="['122066']"/>
        <s v="['122069']"/>
        <s v="['122067']"/>
        <s v="['122059', '122061', '122062', '122063', '122064']"/>
        <s v="['122057', '122058', '122060']"/>
        <s v="['122068']"/>
        <s v="['122085', '122086']"/>
        <s v="['122071', '122072', '122073']"/>
        <s v="['122080']"/>
        <s v="['122081']"/>
        <s v="['122065']"/>
        <s v="['122083', '122084']"/>
        <s v="['122088']"/>
        <s v="['122087']"/>
        <s v="['122082']"/>
        <s v="['122090']"/>
        <s v="['122089']"/>
        <s v="['122113']"/>
        <s v="['122109', '122110']"/>
        <s v="['122093']"/>
        <s v="['122102']"/>
        <s v="['122114', '122115', '122116']"/>
        <s v="['122119', '122120', '122121', '122122', '122123', '122124', '122125', '122126', '122127', '122128']"/>
        <s v="['122117', '122118']"/>
        <s v="['122101']"/>
        <s v="['122100']"/>
        <s v="['122091', '122092']"/>
        <s v="['122094', '122095']"/>
        <s v="['122096', '122097', '122098']"/>
        <s v="['122099']"/>
        <s v="['122129']"/>
        <s v="['122103', '122104', '122105', '122107', '122108']"/>
        <s v="['122141', '122142']"/>
        <s v="['122134']"/>
        <s v="['122143']"/>
        <s v="['122131']"/>
        <s v="['122149', '122150', '122151']"/>
        <s v="['122155']"/>
        <s v="['122147', '122148']"/>
        <s v="['122144', '122145', '122146']"/>
        <s v="['122152', '122153', '122154']"/>
        <s v="['122132']"/>
        <s v="['122130']"/>
        <s v="['122133']"/>
        <s v="['122138']"/>
        <s v="['122135']"/>
        <s v="['122137']"/>
        <s v="['122140']"/>
        <s v="['122177']"/>
        <s v="['122160', '122161', '122162']"/>
        <s v="['122168']"/>
        <s v="['122185', '122186']"/>
        <s v="['122197']"/>
        <s v="['122189', '122190', '122191']"/>
        <s v="['122192']"/>
        <s v="['122195', '122196', '122198', '122199']"/>
        <s v="['122193', '122194']"/>
        <s v="['122187', '122188']"/>
        <s v="['122165']"/>
        <s v="['122157', '122158']"/>
        <s v="['122166', '122167']"/>
        <s v="['122159']"/>
        <s v="['122163', '122164']"/>
        <s v="['122169', '122170', '122171', '122172', '122173', '122174', '122175']"/>
        <s v="['122179']"/>
        <s v="['122206']"/>
        <s v="['122205']"/>
        <s v="['122209', '122210', '122211']"/>
        <s v="['122200', '122201']"/>
        <s v="['122207']"/>
        <s v="['122203']"/>
        <s v="['122212', '122213']"/>
        <s v="['122214']"/>
        <s v="['122217']"/>
        <s v="['122223', '122224', '122225', '122226', '122227', '122230']"/>
        <s v="['122229']"/>
        <s v="['122233', '122235']"/>
        <s v="['122237', '122238']"/>
        <s v="['122240', '122241']"/>
        <s v="['122242']"/>
        <s v="['122258']"/>
        <s v="['122244']"/>
        <s v="['122248']"/>
        <s v="['122249']"/>
        <s v="['122254', '122255']"/>
        <s v="['122250', '122251', '122252', '122253']"/>
        <s v="['122231', '122262']"/>
        <s v="['122263']"/>
        <s v="['122276']"/>
        <s v="['122289', '122290']"/>
        <s v="['122273']"/>
        <s v="['122274', '122275']"/>
        <s v="['122264', '122265']"/>
        <s v="['122266', '122267']"/>
        <s v="['122277', '122278']"/>
        <s v="['122284', '122285', '122286', '122287']"/>
        <s v="['122279', '122280', '122281', '122282', '122283']"/>
        <s v="['122292']"/>
        <s v="['122297']"/>
        <s v="['122295']"/>
        <s v="['122294']"/>
        <s v="['122293']"/>
        <s v="['122310', '122311']"/>
        <s v="['122298']"/>
        <s v="['122299']"/>
        <s v="['122300', '122301', '122302', '122303']"/>
        <s v="['122305', '122306', '122307', '122308', '122309']"/>
        <s v="['122318']"/>
        <s v="['122319']"/>
        <s v="['122316']"/>
        <s v="['122320']"/>
        <s v="['122323']"/>
        <s v="['122326', '122327']"/>
        <s v="['122321', '122322']"/>
        <s v="['122324', '122330', '122331']"/>
        <s v="['122325', '122328', '122329']"/>
        <s v="['122315']"/>
        <s v="['122314']"/>
        <s v="['122313']"/>
        <s v="['122359']"/>
        <s v="['122350']"/>
        <s v="['122343']"/>
        <s v="['122344']"/>
        <s v="['122342']"/>
        <s v="['122341']"/>
        <s v="['122346', '122347', '122348', '122349']"/>
        <s v="['122354', '122355', '122356', '122357', '122358']"/>
        <s v="['122372', '122373']"/>
        <s v="['122376']"/>
        <s v="['122369']"/>
        <s v="['122370']"/>
        <s v="['122366', '122367', '122368']"/>
        <s v="['122363']"/>
        <s v="['122364']"/>
        <s v="['122374', '122375']"/>
        <s v="['122361', '122362']"/>
        <s v="['122377', '122378', '122379']"/>
        <s v="['122380', '122381', '122382']"/>
        <s v="['122386', '122387', '122388']"/>
        <s v="['122385']"/>
        <s v="['122392']"/>
        <s v="['122393', '122394', '122395', '122396']"/>
        <s v="['122405', '122406', '122407', '122408', '122409', '122410', '122411']"/>
        <s v="['122400', '122401', '122402', '122403', '122404']"/>
        <s v="['122390']"/>
        <s v="['122415']"/>
        <s v="['122419']"/>
        <s v="['122417']"/>
        <s v="['122423', '122424', '122425', '122426']"/>
        <s v="['122422']"/>
        <s v="['122449', '122450']"/>
        <s v="['122443', '122444', '122445']"/>
        <s v="['122440', '122441', '122442']"/>
        <s v="['122446', '122447', '122448']"/>
        <s v="['122452', '122453']"/>
        <s v="['122438', '122439']"/>
        <s v="['122470']"/>
        <s v="['122474', '122475']"/>
        <s v="['122462', '122463']"/>
        <s v="['122471', '122472', '122473']"/>
        <s v="['122459', '122460', '122461']"/>
        <s v="['122482']"/>
        <s v="['122476', '122484']"/>
        <s v="['122485']"/>
        <s v="['122501']"/>
        <s v="['122507', '122508', '122509']"/>
        <s v="['122487', '122488', '122489']"/>
        <s v="['122495']"/>
        <s v="['122510', '122511']"/>
        <s v="['122492', '122493']"/>
        <s v="['122494']"/>
        <s v="['122490', '122491']"/>
        <s v="['122502', '122503', '122504', '122505', '122506']"/>
        <s v="['122521', '122522']"/>
        <s v="['122553', '122554', '122555', '122556', '122557']"/>
        <s v="['122549', '122550', '122551', '122552']"/>
        <s v="['122558', '122559', '122560', '122561', '122562', '122564', '122565']"/>
        <s v="['122535', '122536', '122537', '122538', '122539', '122540', '122541', '122542']"/>
        <s v="['122533']"/>
        <s v="['122544', '122545', '122546', '122547', '122548']"/>
        <s v="['122512']"/>
        <s v="['122514']"/>
        <s v="['122518', '122519', '122520']"/>
        <s v="['122513']"/>
        <s v="['122515', '122516', '122517']"/>
        <s v="['122530', '122531', '122532']"/>
        <s v="['122523', '122524', '122525', '122526', '122529']"/>
        <s v="['122566']"/>
        <s v="['122589']"/>
        <s v="['122568']"/>
        <s v="['122588']"/>
        <s v="['122575', '122576', '122577', '122578', '122579', '122580', '122581']"/>
        <s v="['122583', '122584', '122585', '122586']"/>
        <s v="['122592', '122593']"/>
        <s v="['122594']"/>
        <s v="['122601']"/>
        <s v="['122597']"/>
        <s v="['122606']"/>
        <s v="['122607']"/>
        <s v="['122608', '122609']"/>
        <s v="['122602', '122603']"/>
        <s v="['122618', '122619']"/>
        <s v="['122610', '122611', '122612', '122613', '122614', '122615']"/>
        <s v="['122628', '122629']"/>
        <s v="['122621', '122622']"/>
        <s v="['122631']"/>
        <s v="['122640']"/>
        <s v="['122641', '122642', '122643']"/>
        <s v="['122624']"/>
        <s v="['122636', '122637', '122638', '122639']"/>
        <s v="['122632', '122633', '122634', '122635']"/>
        <s v="['122662']"/>
        <s v="['122661']"/>
        <s v="['122659']"/>
        <s v="['122660']"/>
        <s v="['122663', '122664', '122665', '122666', '122667']"/>
        <s v="['122668', '122669', '122670', '122671', '122672']"/>
        <s v="['122647', '122648', '122649']"/>
        <s v="['122658']"/>
        <s v="['122650', '122651', '122652', '122653', '122654', '122655']"/>
        <s v="['122682']"/>
        <s v="['122700', '122701', '122702', '122703']"/>
        <s v="['122695', '122696', '122697', '122698', '122699']"/>
        <s v="['122704', '122705', '122706', '122707', '122708']"/>
        <s v="['122711', '122712', '122713', '122714', '122715']"/>
        <s v="['122679']"/>
        <s v="['122674']"/>
        <s v="['122675']"/>
        <s v="['122673']"/>
        <s v="['122683', '122684', '122685', '122686', '122687', '122688', '122689']"/>
        <s v="['122718', '122719', '122720']"/>
        <s v="['122727', '122728', '122729']['122725', '122726']"/>
        <s v="['122724']"/>
        <s v="['122737']"/>
        <s v="['122722']"/>
        <s v="['122723']"/>
        <s v="['122733', '122734', '122735']"/>
        <s v="['122743', '122745', '122746', '122747']"/>
        <s v="['122721']"/>
        <s v="['122760', '122761', '122762']"/>
        <s v="['122749']"/>
        <s v="['122750']"/>
        <s v="['122754']"/>
        <s v="['122753']"/>
        <s v="['122779', '122780']"/>
        <s v="['122775', '122776']"/>
        <s v="['122778']"/>
        <s v="['122773', '122774']"/>
        <s v="['122765', '122766', '122767', '122768', '122769', '122770', '122771', '122772']"/>
        <s v="['122755', '122756', '122757', '122758', '122759']"/>
        <s v="['122763']"/>
        <s v="['122752']"/>
        <s v="['122814']"/>
        <s v="['122829', '122830']"/>
        <s v="['122800', '122801', '122802', '122803', '122805', '122806', '122807', '122808', '122809']['122804']"/>
        <s v="['122790', '122791', '122792', '122793', '122794', '122795', '122796', '122797', '122798', '122799']"/>
        <s v="['122811']"/>
        <s v="['122810']"/>
        <s v="['122817', '122818', '122819', '122820']"/>
        <s v="['122821', '122822', '122823', '122824', '122825', '122826']"/>
        <s v="['122833', '122834', '122835', '122836']"/>
        <s v="['122863']['122864']"/>
        <s v="['122843', '122844', '122845']"/>
        <s v="['122839']"/>
        <s v="['122841']"/>
        <s v="['122849']"/>
        <s v="['122847', '122848']"/>
        <s v="['122840']"/>
        <s v="['122859', '122860']"/>
        <s v="['122850', '122851', '122852']"/>
        <s v="['122846']"/>
        <s v="['122861', '122862']"/>
        <s v="['122837']"/>
        <s v="['122866']"/>
        <s v="['122865']"/>
        <s v="['122853', '122854', '122855', '122856', '122857', '122858']"/>
        <s v="['122842']"/>
        <s v="['122867']"/>
        <s v="['122899']"/>
        <s v="['122871']"/>
        <s v="['122868']"/>
        <s v="['122886', '122887']"/>
        <s v="['122894', '122895', '122896', '122897', '122898']"/>
        <s v="['122874', '122875']"/>
        <s v="['122876', '122877']"/>
        <s v="['122879']"/>
        <s v="['122880']"/>
        <s v="['122900', '122901', '122902']"/>
        <s v="['122903', '122904', '122905']"/>
        <s v="['122890', '122891', '122892', '122893']"/>
        <s v="['122928']"/>
        <s v="['122910']"/>
        <s v="['122908']"/>
        <s v="['122907']"/>
        <s v="['122963', '122964', '122965', '122966']"/>
        <s v="['122983', '122984', '122985', '122986', '122987', '122988', '122989', '122990', '122992', '122993']"/>
        <s v="['122944', '122945', '122946', '122947', '122948', '122949', '122950', '122951', '122952', '123005']"/>
        <s v="['122994', '122995', '122996', '122997', '122998', '122999', '123000', '123001', '123002', '123003']"/>
        <s v="['122967', '122968', '122969', '122970', '122971', '122972', '122973', '122974', '122975', '122976', '122977', '122978']"/>
        <s v="['122913']"/>
        <s v="['122909']"/>
        <s v="['122926']"/>
        <s v="['122921', '122922', '122923', '122924']"/>
        <s v="['122929', '122930', '122931', '122932', '122933', '122934', '122935', '122936']"/>
        <s v="['122958']"/>
        <s v="['122942']"/>
        <s v="['123004']"/>
        <s v="['122962']"/>
        <s v="['123025', '123026']"/>
        <s v="['122938', '122939', '122940', '122941']"/>
        <s v="['122956']"/>
        <s v="['123019', '123020', '123021']"/>
        <s v="['122953']"/>
        <s v="['123013', '123014', '123015']"/>
        <s v="['123006', '123007', '123008']"/>
        <s v="['123009', '123010', '123011', '123012']"/>
        <s v="['123016', '123017', '123018']"/>
        <s v="['123022', '123023', '123024']"/>
        <s v="['123057', '123058']"/>
        <s v="['123038']"/>
        <s v="['123031']"/>
        <s v="['123039', '123040', '123041', '123042', '123043', '123044', '123045']"/>
        <s v="['123053', '123054']"/>
        <s v="['123033', '123034', '123035', '123036', '123037']"/>
        <s v="['123051', '123052']"/>
        <s v="['123059', '123060']"/>
        <s v="['123061']"/>
        <s v="['123073']"/>
        <s v="['123074']"/>
        <s v="['123078']"/>
        <s v="['123097']"/>
        <s v="['123096']"/>
        <s v="['123093']"/>
        <s v="['123065']"/>
        <s v="['123069', '123070']"/>
        <s v="['123066', '123067', '123068']"/>
        <s v="['123064']"/>
        <s v="['123062', '123063']"/>
        <s v="['123079']"/>
        <s v="['123094', '123095']"/>
        <s v="['123085']"/>
        <s v="['123081', '123082', '123083']"/>
        <s v="['123106', '123107', '123109']"/>
        <s v="['123127']"/>
        <s v="['123100']"/>
        <s v="['123103']"/>
        <s v="['123098']"/>
        <s v="['123126']"/>
        <s v="['123125']"/>
        <s v="['123101']"/>
        <s v="['123112']"/>
        <s v="['123105']"/>
        <s v="['123123', '123124']"/>
        <s v="['123104']"/>
        <s v="['123099']"/>
        <s v="['123116']"/>
        <s v="['123117', '123118']"/>
        <s v="['123119', '123120']"/>
        <s v="['123143']"/>
        <s v="['123136']"/>
        <s v="['123128']"/>
        <s v="['123129']"/>
        <s v="['123130']"/>
        <s v="['123131', '123139', '123140']"/>
        <s v="['123132']"/>
        <s v="['123137', '123138']"/>
        <s v="['123156']"/>
        <s v="['123147']"/>
        <s v="['123167']"/>
        <s v="['123168', '123170', '123171', '123172', '123173', '123174']"/>
        <s v="['123158', '123159', '123160', '123161', '123162', '123163']"/>
        <s v="['123149', '123150']"/>
        <s v="['123145']"/>
        <s v="['123144']"/>
        <s v="['123148']"/>
        <s v="['123164']"/>
        <s v="['123185']"/>
        <s v="['123177']"/>
        <s v="['123176']"/>
        <s v="['123180']"/>
        <s v="['123179']"/>
        <s v="['123178']"/>
        <s v="['123183', '123184']"/>
        <s v="['123210']"/>
        <s v="['123193']"/>
        <s v="['123211']"/>
        <s v="['123188', '123189']"/>
        <s v="['123192']"/>
        <s v="['123190']"/>
        <s v="['123187']"/>
        <s v="['123198', '123199', '123200', '123201']"/>
        <s v="['123202', '123204', '123205', '123206']"/>
        <s v="['123209']"/>
        <s v="['123213', '123214', '123215', '123216', '123217']"/>
        <s v="['123191']"/>
        <s v="['123228', '123229', '123230']"/>
        <s v="['123251']"/>
        <s v="['123222']"/>
        <s v="['123232']"/>
        <s v="['123220']"/>
        <s v="['123252']"/>
        <s v="['123224']"/>
        <s v="['123246', '123247', '123248', '123249', '123250']"/>
        <s v="['123242', '123243', '123244', '123245']"/>
        <s v="['123237', '123238', '123241']"/>
        <s v="['123239', '123240']"/>
        <s v="['123235', '123236']['123234']"/>
        <s v="['123261']"/>
        <s v="['123303']"/>
        <s v="['123260']"/>
        <s v="['123326', '123327', '123328', '123329']"/>
        <s v="['123325']['123324']"/>
        <s v="['123256']"/>
        <s v="['123267', '123268', '123269', '123270', '123271', '123272', '123273', '123274', '123275', '123276', '123277', '123278', '123279']"/>
        <s v="['123284', '123285', '123286', '123287', '123288', '123289', '123290', '123291', '123292', '123293', '123294']"/>
        <s v="['123264', '123265', '123266']"/>
        <s v="['123280', '123281', '123282', '123283']"/>
        <s v="['123262', '123263']"/>
        <s v="['123305', '123306', '123307', '123308']"/>
        <s v="['123295', '123296']"/>
        <s v="['123314', '123315', '123316', '123317']"/>
        <s v="['123297', '123298', '123299', '123300', '123301']"/>
        <s v="['123309', '123310', '123311', '123312']"/>
        <s v="['123342', '123343', '123344', '123345']"/>
        <s v="['123334']"/>
        <s v="['123335']"/>
        <s v="['123332', '123333']"/>
        <s v="['123338', '123339']"/>
        <s v="['123346']"/>
        <s v="['123369', '123370', '123371', '123372', '123373']['123330', '123331']"/>
        <s v="['123340']"/>
        <s v="['123349', '123350', '123351', '123353']['123352']"/>
        <s v="['123361', '123362', '123363']"/>
        <s v="['123347']"/>
        <s v="['123374', '123375', '123376']"/>
        <s v="['123354', '123355', '123356', '123357', '123359', '123360']['123358']"/>
        <s v="['123364', '123366', '123368']['123367']['123365']"/>
        <s v="['123392', '123393', '123394']"/>
        <s v="['123413']"/>
        <s v="['123390']"/>
        <s v="['123395']"/>
        <s v="['123383']"/>
        <s v="['123407', '123408', '123409']['123410', '123411', '123412']"/>
        <s v="['123377', '123378']"/>
        <s v="['123379', '123380', '123381']"/>
        <s v="['123391']"/>
        <s v="['123382']"/>
        <s v="['123384', '123385', '123386', '123387', '123388', '123389']"/>
        <s v="['123401', '123402']"/>
        <s v="['123396', '123397']"/>
        <s v="['123398', '123399', '123400']"/>
        <s v="['123405', '123406']"/>
        <s v="['123403', '123404']"/>
        <s v="['123432']"/>
        <s v="['123416']"/>
        <s v="['123465']"/>
        <s v="['123418']"/>
        <s v="['123430']"/>
        <s v="['123427']"/>
        <s v="['123425']"/>
        <s v="['123414', '123415']"/>
        <s v="['123469', '123470', '123471']"/>
        <s v="['123428', '123429']"/>
        <s v="['123433', '123434', '123435', '123436']"/>
        <s v="['123426']"/>
        <s v="['123457', '123458']"/>
        <s v="['123445', '123446', '123447', '123448']"/>
        <s v="['123453', '123454', '123455', '123456']"/>
        <s v="['123463', '123464']"/>
        <s v="['123451', '123452']"/>
        <s v="['123449', '123450']"/>
        <s v="['123459']"/>
        <s v="['123501']"/>
        <s v="['123483']"/>
        <s v="['123495']"/>
        <s v="['123472']"/>
        <s v="['123484']"/>
        <s v="['123489']"/>
        <s v="['123486']"/>
        <s v="['123485']"/>
        <s v="['123506', '123507']"/>
        <s v="['123476', '123477', '123478']"/>
        <s v="['123509', '123510', '123511', '123512', '123513', '123514', '123515']"/>
        <s v="['123508']"/>
        <s v="['123504', '123505']"/>
        <s v="['123516', '123517', '123518', '123519']"/>
        <s v="['123531']"/>
        <s v="['123532']"/>
        <s v="['123536']"/>
        <s v="['123549', '123550', '123551', '123552', '123553', '123554', '123555', '123556', '123557']"/>
        <s v="['123558', '123559', '123560', '123561', '123562', '123563', '123564', '123565', '123566', '123567', '123569']"/>
        <s v="['123570', '123571', '123572', '123573', '123574', '123575', '123576', '123578', '123579']"/>
        <s v="['123585', '123586', '123587', '123588', '123589', '123590', '123591', '123592', '123593', '123594', '123595', '123596', '123597']"/>
        <s v="['123581', '123582', '123583', '123584']"/>
        <s v="['123520']"/>
        <s v="['123527', '123528', '123529']"/>
        <s v="['123533', '123534', '123535']"/>
        <s v="['123522']"/>
        <s v="['123524', '123525', '123526']"/>
        <s v="['123537', '123538', '123539', '123540']"/>
        <s v="['123521']"/>
        <s v="['123545', '123546', '123547']"/>
        <s v="['123542', '123543']"/>
        <s v="['123541']"/>
        <s v="['123598']"/>
        <s v="['123599']"/>
        <s v="['123607', '123608', '123609', '123610', '123611', '123612', '123613', '123614', '123615', '123616', '123618']"/>
        <s v="['123605', '123606']"/>
        <s v="['123621', '123622', '123623', '123624', '123626']"/>
        <s v="['123633']"/>
        <s v="['123619', '123620']"/>
        <s v="['123635']"/>
        <s v="['123627', '123628', '123629', '123630', '123631', '123632']"/>
        <s v="['123634']"/>
        <s v="['123644']"/>
        <s v="['123646', '123647', '123648', '123649', '123650']"/>
        <s v="['123665', '123666', '123667', '123668']"/>
        <s v="['123645']"/>
        <s v="['123669', '123670']"/>
        <s v="['123671']"/>
        <s v="['123636']"/>
        <s v="['123684', '123685', '123686']"/>
        <s v="['123654']"/>
        <s v="['123657', '123658', '123659', '123661']"/>
        <s v="['123640', '123641', '123642', '123643']"/>
        <s v="['123664', '123673', '123674', '123675', '123676', '123677', '123678', '123679', '123680', '123681', '123682', '123683']"/>
        <s v="['123688', '123689']"/>
        <s v="['123663']"/>
        <s v="['123696', '123697']"/>
        <s v="['123698', '123699', '123700']"/>
        <s v="['123715']"/>
        <s v="['123708']"/>
        <s v="['123692']"/>
        <s v="['123713', '123714']"/>
        <s v="['123716', '123717']"/>
        <s v="['123693']"/>
        <s v="['123718', '123722']"/>
        <s v="['123702', '123703']"/>
        <s v="['123704', '123705', '123706', '123707']"/>
        <s v="['123710', '123711', '123712']"/>
        <s v="['123750', '123751']"/>
        <s v="['123752', '123753', '123754', '123755']"/>
        <s v="['123744']"/>
        <s v="['123745', '123746']['123747', '123748', '123749']"/>
        <s v="['123732']"/>
        <s v="['123735', '123736', '123737', '123738', '123739']"/>
        <s v="['123733', '123734']"/>
        <s v="['123724', '123725', '123726', '123727', '123728']"/>
        <s v="['123743']"/>
        <s v="['123741']"/>
        <s v="['123742']"/>
        <s v="['123774', '123775']"/>
        <s v="['123758', '123759', '123760', '123761', '123762', '123763', '123764']"/>
        <s v="['123783']"/>
        <s v="['123757']"/>
        <s v="['123781', '123782']"/>
        <s v="['123797', '123798', '123799', '123800', '123801', '123802']"/>
        <s v="['123792', '123793', '123794']"/>
        <s v="['123789', '123790', '123791']"/>
        <s v="['123772', '123773']"/>
        <s v="['123770', '123771']"/>
        <s v="['123778', '123780']"/>
        <s v="['123784', '123785', '123786', '123787', '123788']"/>
        <s v="['123795']"/>
        <s v="['123765', '123766', '123767', '123768', '123769']"/>
        <s v="['123796']"/>
        <s v="['123779']"/>
        <s v="['123805']"/>
        <s v="['123806', '123807', '123808']"/>
        <s v="['123822']"/>
        <s v="['123842']['123803']"/>
        <s v="['123812']"/>
        <s v="['123820']"/>
        <s v="['123804']"/>
        <s v="['123815', '123816']"/>
        <s v="['123821']"/>
        <s v="['123809', '123810', '123811']"/>
        <s v="['123817', '123818', '123819']"/>
        <s v="['123813', '123814']"/>
        <s v="['123837', '123838', '123839']"/>
        <s v="['123823', '123824', '123825', '123826']"/>
        <s v="['123827', '123828', '123829']"/>
        <s v="['123830']"/>
        <s v="['123865', '123866']"/>
        <s v="['123852', '123854', '123855', '123856', '123858', '123859', '123860', '123861', '123862']['123853']"/>
        <s v="['123870']"/>
        <s v="['123843', '123844']"/>
        <s v="['123878']"/>
        <s v="['123846', '123847']"/>
        <s v="['123871']"/>
        <s v="['123845']"/>
        <s v="['123850']"/>
        <s v="['123872', '123873']"/>
        <s v="['123848', '123849']"/>
        <s v="['123874', '123875']"/>
        <s v="['123868']['123867', '123869']"/>
        <s v="['123924']"/>
        <s v="['123893', '123894', '123895', '123896', '123897', '123898', '123899']"/>
        <s v="['123901', '123902', '123903', '123904', '123905']"/>
        <s v="['123882', '123883']"/>
        <s v="['123880', '123881']"/>
        <s v="['123925', '123926', '123927']"/>
        <s v="['123921', '123922', '123923']"/>
        <s v="['123919']"/>
        <s v="['123886']['123884', '123885', '123887', '123888']"/>
        <s v="['123889', '123890', '123892']"/>
        <s v="['123914', '123915']"/>
        <s v="['123908', '123909', '123912', '123913']['123910', '123911']"/>
        <s v="['123918']"/>
        <s v="['123916', '123917']"/>
        <s v="['123937']"/>
        <s v="['123936']"/>
        <s v="['123940', '123941', '123942']"/>
        <s v="['123971']"/>
        <s v="['123931', '123932', '123933']"/>
        <s v="['123928', '123929', '123930']"/>
        <s v="['123957']"/>
        <s v="['123938']"/>
        <s v="['123935']"/>
        <s v="['123934']"/>
        <s v="['123952', '123956']"/>
        <s v="['123958', '123959']"/>
        <s v="['123949', '123951', '123968', '123969', '123970']"/>
        <s v="['123946', '123948', '123967']"/>
        <s v="['123960', '123961']"/>
        <s v="['123964', '123965']"/>
        <s v="['123962', '123963']"/>
        <s v="['123966']"/>
        <s v="['123979', '123980']['123978']"/>
        <s v="['123992', '123993', '123994', '123995', '123996']"/>
        <s v="['123973', '123974']"/>
        <s v="['124016']"/>
        <s v="['123991']"/>
        <s v="['124000']"/>
        <s v="['123975', '123977']['123976']"/>
        <s v="['124002', '124003', '124004', '124005', '124006', '124007', '124008']"/>
        <s v="['123972']"/>
        <s v="['124001']"/>
        <s v="['123987', '123988', '123989', '123990']"/>
        <s v="['124009', '124010', '124011', '124012']"/>
        <s v="['123981', '123982', '123983', '123984', '123985', '123986']"/>
        <s v="['124013', '124014']"/>
        <s v="['123998', '123999']"/>
        <s v="['123997']"/>
        <s v="['124017']"/>
        <s v="['124036', '124037', '124038', '124039']"/>
        <s v="['124031']"/>
        <s v="['124045']"/>
        <s v="['124046']"/>
        <s v="['124027']"/>
        <s v="['124028', '124029', '124030']"/>
        <s v="['124024', '124025']"/>
        <s v="['124047']"/>
        <s v="['124021', '124022']"/>
        <s v="['124018']"/>
        <s v="['124035']"/>
        <s v="['124032', '124033', '124034']"/>
        <s v="['124019']"/>
        <s v="['124063', '124064', '124065']"/>
        <s v="['124092']"/>
        <s v="['124066']"/>
        <s v="['124053']"/>
        <s v="['124052']"/>
        <s v="['124090']"/>
        <s v="['124080', '124081']"/>
        <s v="['124067', '124068', '124069']"/>
        <s v="['124048', '124049']"/>
        <s v="['124050']"/>
        <s v="['124054', '124055', '124057', '124058', '124059', '124060']"/>
        <s v="['124082', '124084']['124083']"/>
        <s v="['124086', '124087']"/>
        <s v="['124088', '124089']"/>
        <s v="['124085']"/>
        <s v="['124071', '124072', '124073', '124074', '124075', '124076', '124077']"/>
        <s v="['124095', '124096', '124097']"/>
        <s v="['124113']"/>
        <s v="['124114']"/>
        <s v="['124094']"/>
        <s v="['124093']"/>
        <s v="['124105']"/>
        <s v="['124106']"/>
        <s v="['124109', '124110']"/>
        <s v="['124111', '124112']"/>
        <s v="['124098', '124099', '124100', '124101', '124102', '124103']"/>
        <s v="['124150', '124151', '124152', '124153']"/>
        <s v="['124145', '124146', '124147', '124148', '124149']"/>
        <s v="['124120', '124121', '124122']"/>
        <s v="['124123']"/>
        <s v="['124124']"/>
        <s v="['124125']"/>
        <s v="['124136', '124137', '124138', '124139', '124140', '124141', '124142', '124143']"/>
        <s v="['124126', '124127', '124128', '124129', '124130', '124131', '124132', '124133', '124134', '124135']"/>
        <s v="['124117']"/>
        <s v="['124116']"/>
        <s v="['124115']"/>
        <s v="['124156', '124157', '124158', '124160']['124155', '124159', '124161', '124162']"/>
        <s v="['124171', '124175']"/>
        <s v="['124172', '124173', '124174']"/>
        <s v="['124167', '124168']"/>
        <s v="['124163', '124164', '124165', '124166']"/>
        <s v="['124189']"/>
        <s v="['124180', '124181']"/>
        <s v="['124179']"/>
        <s v="['124212', '124213', '124214']['124207', '124208']"/>
        <s v="['124182']"/>
        <s v="['124192', '124193', '124194']"/>
        <s v="['124195', '124196', '124197', '124198', '124199']"/>
        <s v="['124200', '124201']"/>
        <s v="['124203', '124204']"/>
        <s v="['124211']"/>
        <s v="['124183', '124184', '124185', '124186', '124187', '124188']"/>
        <s v="['124205', '124206']"/>
        <s v="['124202']"/>
        <s v="['124221', '124222', '124223']"/>
        <s v="['124225']"/>
        <s v="['124258']"/>
        <s v="['124259']"/>
        <s v="['124215', '124216', '124217', '124218', '124219', '124220']"/>
        <s v="['124244', '124245']"/>
        <s v="['124246']['124247']"/>
        <s v="['124248', '124249']"/>
        <s v="['124227']"/>
        <s v="['124231']"/>
        <s v="['124228', '124229']['124230']"/>
        <s v="['124232', '124233', '124234', '124235']"/>
        <s v="['124255', '124257']['124256']"/>
        <s v="['124252', '124254']"/>
        <s v="['124263', '124264', '124265', '124266', '124267', '124268', '124269']"/>
        <s v="['124271']"/>
        <s v="['124289']"/>
        <s v="['124295']['124294']"/>
        <s v="['124262']"/>
        <s v="['124261']"/>
        <s v="['124272']"/>
        <s v="['124290', '124291']"/>
        <s v="['124274', '124275', '124276', '124277']"/>
        <s v="['124282', '124283']"/>
        <s v="['124284', '124285', '124286', '124287', '124288']"/>
        <s v="['124292', '124293']"/>
        <s v="['124301', '124302', '124303']"/>
        <s v="['124307', '124308']['124318']"/>
        <s v="['124306']"/>
        <s v="['124298', '124299', '124300']"/>
        <s v="['124327']"/>
        <s v="['124305']"/>
        <s v="['124309', '124310']"/>
        <s v="['124323', '124324']"/>
        <s v="['124321', '124322']"/>
        <s v="['124325']"/>
        <s v="['124332', '124333', '124334']['124326']"/>
        <s v="['124331']"/>
        <s v="['124311', '124312', '124313', '124314', '124315', '124316', '124317']"/>
        <s v="['124319']['124320']"/>
        <s v="['124352', '124353']"/>
        <s v="['124363']"/>
        <s v="['124335']"/>
        <s v="['124347', '124348']['124345', '124346']"/>
        <s v="['124358', '124359']"/>
        <s v="['124360', '124361']"/>
        <s v="['124364', '124365', '124366', '124367', '124368']"/>
        <s v="['124337']"/>
        <s v="['124342', '124343', '124344']"/>
        <s v="['124336']"/>
        <s v="['124339']"/>
        <s v="['124369', '124370', '124371']"/>
        <s v="['124354', '124355', '124356', '124357']"/>
        <s v="['124373']"/>
        <s v="['124399']"/>
        <s v="['124382']"/>
        <s v="['124384']"/>
        <s v="['124383']"/>
        <s v="['124374', '124375']"/>
        <s v="['124377', '124378']['124376']"/>
        <s v="['124395', '124396']"/>
        <s v="['124394']"/>
        <s v="['124372']"/>
        <s v="['124400', '124402', '124403']"/>
        <s v="['124397', '124398']"/>
        <s v="['124386', '124387', '124388', '124389', '124390', '124391', '124392', '124393']"/>
        <s v="['124447']"/>
        <s v="['124417']"/>
        <s v="['124445', '124446']"/>
        <s v="['124418']"/>
        <s v="['124421', '124422']"/>
        <s v="['124441', '124442']"/>
        <s v="['124412', '124413', '124415', '124416']['124414']"/>
        <s v="['124407', '124408', '124409', '124410', '124411']"/>
        <s v="['124438', '124439', '124440']"/>
        <s v="['124430', '124431', '124432', '124433', '124434']"/>
        <s v="['124435', '124436']"/>
        <s v="['124467', '124468']"/>
        <s v="['124461']"/>
        <s v="['124464', '124465', '124466']"/>
        <s v="['124462', '124463']"/>
        <s v="['124451', '124452']"/>
        <s v="['124449']"/>
        <s v="['124448']"/>
        <s v="['124453', '124454', '124455', '124456', '124457', '124458', '124459', '124460']"/>
        <s v="['124505', '124507']['124506']"/>
        <s v="['124495', '124496', '124497']"/>
        <s v="['124502']"/>
        <s v="['124472', '124473', '124474', '124475', '124476', '124477', '124478', '124479', '124480', '124481', '124482', '124483', '124484', '124485', '124486', '124487']"/>
        <s v="['124490']"/>
        <s v="['124500']"/>
        <s v="['124491', '124492']"/>
        <s v="['124499']['124498']"/>
        <s v="['124523']"/>
        <s v="['124556', '124557', '124558']"/>
        <s v="['124520']"/>
        <s v="['124534']"/>
        <s v="['124524', '124525']"/>
        <s v="['124527']"/>
        <s v="['124554', '124555']"/>
        <s v="['124535', '124536']['124537', '124538']['124539', '124540']"/>
        <s v="['124526']"/>
        <s v="['124518', '124519']"/>
        <s v="['124546', '124547', '124548']"/>
        <s v="['124543', '124544', '124545']"/>
        <s v="['124528', '124529', '124530', '124531', '124532', '124533']"/>
        <s v="['124552', '124553']"/>
        <s v="['124549', '124550', '124551']"/>
        <s v="['124570']"/>
        <s v="['124581', '124582']"/>
        <s v="['124580']"/>
        <s v="['124562']"/>
        <s v="['124561', '124563']"/>
        <s v="['124567']"/>
        <s v="['124571', '124572']"/>
        <s v="['124576', '124577']"/>
        <s v="['124573', '124574', '124575']"/>
        <s v="['124579']"/>
        <s v="['124586', '124587']"/>
        <s v="['124583']"/>
        <s v="['124594']"/>
        <s v="['124596']"/>
        <s v="['124593']"/>
        <s v="['124635', '124636', '124637', '124638', '124639', '124640', '124641', '124642', '124644', '124646', '124647']['124643', '124645', '124649']"/>
        <s v="['124614', '124615', '124616', '124617', '124618', '124619', '124620', '124621', '124622', '124623', '124624', '124625', '124626', '124627', '124628', '124629', '124630', '124631', '124632', '124633', '124634', '124648']"/>
        <s v="['124591']"/>
        <s v="['124588', '124589', '124590']"/>
        <s v="['124610']"/>
        <s v="['124611', '124612', '124613']"/>
        <s v="['124603', '124604', '124605', '124606', '124607']['124600', '124601']"/>
        <s v="['124597', '124598', '124599']"/>
        <s v="['124650']"/>
        <s v="['124697']"/>
        <s v="['124659']"/>
        <s v="['124682']"/>
        <s v="['124661', '124662', '124663', '124664', '124665', '124666', '124667', '124668', '124669', '124670', '124671', '124672', '124673', '124674', '124675', '124676', '124677', '124678', '124679', '124680', '124681']"/>
        <s v="['124693', '124694', '124695']"/>
        <s v="['124696']"/>
        <s v="['124653']"/>
        <s v="['124685', '124687', '124692']"/>
        <s v="['124683', '124684', '124686', '124688', '124689', '124690', '124691']"/>
        <s v="['124702', '124703']"/>
        <s v="['124705']"/>
        <s v="['124704']"/>
        <s v="['124708']"/>
        <s v="['124706', '124707']"/>
        <s v="['124714']"/>
        <s v="['124711']"/>
        <s v="['124750', '124751']"/>
        <s v="['124713']"/>
        <s v="['124715']"/>
        <s v="['124737']"/>
        <s v="['124736']"/>
        <s v="['124731', '124732', '124733', '124734', '124735']"/>
        <s v="['124726', '124727', '124728', '124729', '124730']"/>
        <s v="['124712']"/>
        <s v="['124746', '124747', '124748']"/>
        <s v="['124739', '124740', '124741', '124742', '124743', '124744', '124745']"/>
        <s v="['124749']"/>
        <s v="['124775']"/>
        <s v="['124753']"/>
        <s v="['124752']"/>
        <s v="['124764']"/>
        <s v="['124759', '124760']"/>
        <s v="['124761', '124762', '124763']"/>
        <s v="['124755']"/>
        <s v="['124754']"/>
        <s v="['124770', '124771']"/>
        <s v="['124768', '124769']"/>
        <s v="['124772', '124773', '124774']"/>
        <s v="['124756', '124757']"/>
        <s v="['124795', '124796']"/>
        <s v="['124779']"/>
        <s v="['124776']['124777']"/>
        <s v="['124778']"/>
        <s v="['124780', '124781', '124782']"/>
        <s v="['124788', '124789', '124790', '124791']"/>
        <s v="['124797', '124798']"/>
        <s v="['124803']"/>
        <s v="['124799', '124800']"/>
        <s v="['124801', '124802']"/>
        <s v="['124792', '124793', '124794']"/>
        <s v="['124783', '124784', '124785', '124786', '124787']"/>
        <s v="['124834', '124835', '124836']"/>
        <s v="['124845']"/>
        <s v="['124837', '124838']"/>
        <s v="['124858']"/>
        <s v="['124843']['124844']"/>
        <s v="['124840', '124841']"/>
        <s v="['124833']"/>
        <s v="['124839']"/>
        <s v="['124842']"/>
        <s v="['124855', '124856', '124857']"/>
        <s v="['124850', '124851']"/>
        <s v="['124847', '124848', '124849']"/>
        <s v="['124865']"/>
        <s v="['124867']"/>
        <s v="['124861']"/>
        <s v="['124860']"/>
        <s v="['124862']"/>
        <s v="['124868']['124869']"/>
        <s v="['124870', '124871', '124872', '124873']"/>
        <s v="['124866']"/>
        <s v="['124863']"/>
        <s v="['124874', '124875', '124876']"/>
        <s v="['124878', '124879', '124880', '124881', '124882']"/>
        <s v="['124895']['124899']"/>
        <s v="['124909']"/>
        <s v="['124887']"/>
        <s v="['124890', '124891']['124888', '124889']"/>
        <s v="['124892', '124893', '124894']"/>
        <s v="['124884', '124885', '124886']"/>
        <s v="['124910', '124911', '124912']"/>
        <s v="['124907', '124908']"/>
        <s v="['124900', '124901', '124902', '124903']"/>
        <s v="['124927', '124928']['124929']"/>
        <s v="['124914']"/>
        <s v="['124915']"/>
        <s v="['124918', '124919']"/>
        <s v="['124933']"/>
        <s v="['124934']['124935']"/>
        <s v="['124936', '124937', '124938', '124939']"/>
        <s v="['124920', '124921', '124922']"/>
        <s v="['124916']['124917']"/>
        <s v="['124924', '124925', '124926']"/>
        <s v="['124931', '124932']"/>
        <s v="['124945', '124946', '124948', '124949', '124950', '124951']['124947']"/>
        <s v="['124940', '124941', '124943', '124944']['124942']"/>
        <s v="['124957']"/>
        <s v="['124962']"/>
        <s v="['124958']['124953', '124954']"/>
        <s v="['124959']"/>
        <s v="['124967', '124968', '124969', '124970', '124971']"/>
        <s v="['124978', '124979', '124980', '124981', '124982']"/>
        <s v="['124973', '124974', '124975', '124976', '124977']['124972']"/>
        <s v="['124952']"/>
        <s v="['124956']"/>
        <s v="['124964', '124965']"/>
        <s v="['124955']"/>
        <s v="['124985', '124986']"/>
        <s v="['124983', '124984']"/>
        <s v="['124987']"/>
        <s v="['124999']"/>
        <s v="['124998']"/>
        <s v="['125008']"/>
        <s v="['125009']"/>
        <s v="['124994']"/>
        <s v="['124993']"/>
        <s v="['124989', '124990', '124991', '124992']['124988']"/>
        <s v="['125006']"/>
        <s v="['124996', '124997']"/>
        <s v="['125002', '125003']"/>
        <s v="['125004', '125005']"/>
        <s v="['125000']['125001']"/>
        <s v="['125007']"/>
        <s v="['125044']"/>
        <s v="['125013', '125015']['125014']"/>
        <s v="['125011', '125012']"/>
        <s v="['125010']"/>
        <s v="['125036']"/>
        <s v="['125037', '125038']"/>
        <s v="['125039', '125040']"/>
        <s v="['125019', '125020', '125021', '125022', '125023', '125024']['125018']"/>
        <s v="['125016', '125017']"/>
        <s v="['125025', '125026', '125027', '125028']"/>
        <s v="['125042', '125043']"/>
        <s v="['125029', '125030', '125031', '125032', '125033', '125034', '125035']"/>
        <s v="['125052']"/>
        <s v="['125048']"/>
        <s v="['125073']"/>
        <s v="['125050', '125051']"/>
        <s v="['125068', '125069']"/>
        <s v="['125064', '125065']"/>
        <s v="['125062', '125063']"/>
        <s v="['125066', '125067']"/>
        <s v="['125057', '125058']"/>
        <s v="['125055']"/>
        <s v="['125053', '125054']"/>
        <s v="['125074']"/>
        <s v="['125049']"/>
        <s v="['125070']"/>
        <s v="['125076']"/>
        <s v="['125090']"/>
        <s v="['125088', '125089']"/>
        <s v="['125094', '125095']"/>
        <s v="['125079']"/>
        <s v="['125077']"/>
        <s v="['125086', '125087']"/>
        <s v="['125084', '125085']"/>
        <s v="['125078']"/>
        <s v="['125075']"/>
        <s v="['125083']"/>
        <s v="['125082']"/>
        <s v="['125081']"/>
        <s v="['125080']"/>
        <s v="['125096']"/>
        <s v="['125101']"/>
        <s v="['125107']"/>
        <s v="['125098', '125099']"/>
        <s v="['125133', '125134']"/>
        <s v="['125129', '125130']"/>
        <s v="['125123', '125124', '125125']"/>
        <s v="['125126', '125127', '125128']"/>
        <s v="['125108', '125109']['125110', '125111']"/>
        <s v="['125100']"/>
        <s v="['125131', '125132']"/>
        <s v="['125114']"/>
        <s v="['125113']"/>
        <s v="['125115', '125116', '125117', '125118', '125119', '125120', '125121', '125122']"/>
        <s v="['125159', '125160']"/>
        <s v="['125138']"/>
        <s v="['125151']"/>
        <s v="['125141', '125142', '125143', '125144']"/>
        <s v="['125139', '125140']"/>
        <s v="['125168']['125167']"/>
        <s v="['125150']"/>
        <s v="['125153', '125154', '125155', '125156', '125157', '125158']"/>
        <s v="['125148', '125149']"/>
        <s v="['125145']"/>
        <s v="['125165', '125166']"/>
        <s v="['125161', '125162', '125163', '125164']"/>
        <s v="['125172']"/>
        <s v="['125194']"/>
        <s v="['125196']"/>
        <s v="['125176']['125177']"/>
        <s v="['125170', '125171']"/>
        <s v="['125173', '125174']"/>
        <s v="['125187', '125188']"/>
        <s v="['125180', '125181', '125182', '125183', '125184', '125185', '125186']"/>
        <s v="['125189', '125190', '125191']"/>
        <s v="['125175']"/>
        <s v="['125192', '125193']"/>
        <s v="['125178', '125179']"/>
        <s v="['125239', '125240']['125241', '125242']"/>
        <s v="['125202', '125203']"/>
        <s v="['125216', '125217']['125218', '125219']"/>
        <s v="['125233', '125234']['125235', '125236']"/>
        <s v="['125206', '125207', '125208', '125209']"/>
        <s v="['125220', '125221']"/>
        <s v="['125222', '125223']"/>
        <s v="['125198']"/>
        <s v="['125224', '125225']"/>
        <s v="['125199', '125200']"/>
        <s v="['125226', '125227', '125228', '125229', '125230']"/>
        <s v="['125237']['125238']"/>
        <s v="['125231', '125232']"/>
        <s v="['125285']"/>
        <s v="['125256', '125257', '125258', '125259', '125260', '125261']"/>
        <s v="['125264', '125265', '125266', '125267', '125268', '125269', '125270']"/>
        <s v="['125250', '125251', '125252', '125253', '125254', '125255']"/>
        <s v="['125274']"/>
        <s v="['125276']"/>
        <s v="['125286', '125287']"/>
        <s v="['125283', '125284']"/>
        <s v="['125248', '125249']"/>
        <s v="['125290']['125289']"/>
        <s v="['125291']"/>
        <s v="['125275', '125277', '125278', '125279', '125280', '125281', '125282']"/>
        <s v="['125262']['125263']"/>
        <s v="['125324', '125325', '125327']"/>
        <s v="['125323']"/>
        <s v="['125328']"/>
        <s v="['125297', '125298', '125299']"/>
        <s v="['125303']"/>
        <s v="['125292']"/>
        <s v="['125304']"/>
        <s v="['125293']"/>
        <s v="['125294']"/>
        <s v="['125301']['125302']"/>
        <s v="['125322']['125321']"/>
        <s v="['125300']"/>
        <s v="['125314']"/>
        <s v="['125313']"/>
        <s v="['125319']"/>
        <s v="['125317', '125318']"/>
        <s v="['125305', '125306', '125307', '125308', '125309', '125310', '125311', '125312']"/>
        <s v="['125315', '125316']"/>
        <s v="['125329']"/>
        <s v="['125350', '125351', '125352', '125353']"/>
        <s v="['125336']"/>
        <s v="['125362']"/>
        <s v="['125344']"/>
        <s v="['125335']['125334']"/>
        <s v="['125345']"/>
        <s v="['125346']"/>
        <s v="['125341']"/>
        <s v="['125342']"/>
        <s v="['125343']"/>
        <s v="['125358']['125359']"/>
        <s v="['125355']"/>
        <s v="['125356', '125357']"/>
        <s v="['125361']"/>
        <s v="['125364']"/>
        <s v="['125414']"/>
        <s v="['125416']"/>
        <s v="['125415']"/>
        <s v="['125380']"/>
        <s v="['125384']"/>
        <s v="['125385']"/>
        <s v="['125391', '125392']"/>
        <s v="['125393', '125394', '125395', '125397', '125398', '125400', '125401']['125399']['125396']"/>
        <s v="['125407', '125408', '125409', '125410', '125411', '125412', '125413']"/>
        <s v="['125402', '125403', '125404', '125405', '125406']"/>
        <s v="['125368', '125369', '125370', '125372', '125373']"/>
        <s v="['125381']"/>
        <s v="['125375', '125376', '125377', '125378', '125379']"/>
        <s v="['125382']"/>
        <s v="['125365', '125366', '125367']"/>
        <s v="['125386', '125387', '125388', '125389']['125390']"/>
        <s v="['125419']"/>
        <s v="['125421']"/>
        <s v="['125418']"/>
        <s v="['125420']"/>
        <s v="['125435']"/>
        <s v="['125434']"/>
        <s v="['125433']"/>
        <s v="['125430', '125431']"/>
        <s v="['125422', '125423', '125424', '125426', '125427']"/>
        <s v="['125432']"/>
        <s v="['125447', '125448']"/>
        <s v="['125442', '125443']"/>
        <s v="['125444', '125445', '125446']"/>
        <s v="['125440', '125441']"/>
        <s v="['125449', '125450', '125451', '125452']"/>
        <s v="['125459']"/>
        <s v="['125458']"/>
        <s v="['125471']"/>
        <s v="['125456']"/>
        <s v="['125470']"/>
        <s v="['125453']"/>
        <s v="['125455']"/>
        <s v="['125464', '125465', '125466', '125468']"/>
        <s v="['125460', '125461']"/>
        <s v="['125462']"/>
        <s v="['125472', '125473']"/>
        <s v="['125474', '125475', '125476']"/>
        <s v="['125479', '125480']"/>
        <s v="['125478']"/>
        <s v="['125492']"/>
        <s v="['125488', '125489', '125490', '125491']"/>
        <s v="['125500']"/>
        <s v="['125493', '125494', '125495', '125496', '125497', '125498', '125499']"/>
        <s v="['125501']"/>
        <s v="['125503']"/>
        <s v="['125514']"/>
        <s v="['125517']"/>
        <s v="['125508', '125509', '125510', '125511', '125512', '125513']"/>
        <s v="['125504', '125505']"/>
        <s v="['125506', '125507']"/>
        <s v="['125516']"/>
        <s v="['125518', '125521']['125519', '125520']"/>
        <s v="['125522']"/>
        <s v="['125543']"/>
        <s v="['125534', '125535']"/>
        <s v="['125536']"/>
        <s v="['125544']"/>
        <s v="['125532']"/>
        <s v="['125533']"/>
        <s v="['125524', '125525', '125526', '125527', '125528', '125529', '125530', '125531']['125523']"/>
        <s v="['125555']"/>
        <s v="['125561', '125562']"/>
        <s v="['125565']"/>
        <s v="['125545']"/>
        <s v="['125546']"/>
        <s v="['125577', '125579', '125580', '125581', '125582', '125583', '125584', '125585', '125586', '125587']"/>
        <s v="['125578']"/>
        <s v="['125573', '125574', '125576']['125575']"/>
        <s v="['125552']"/>
        <s v="['125547', '125548']"/>
        <s v="['125553']"/>
        <s v="['125559', '125560']"/>
        <s v="['125549']"/>
        <s v="['125554', '125589']"/>
        <s v="['125550']"/>
        <s v="['125588']"/>
        <s v="['125551']"/>
        <s v="['125607']"/>
        <s v="['125593', '125594']"/>
        <s v="['125595', '125596', '125597', '125598']"/>
        <s v="['125590']"/>
        <s v="['125592']"/>
        <s v="['125591']"/>
        <s v="['125628']"/>
        <s v="['125609', '125610', '125611']"/>
        <s v="['125605', '125606']"/>
        <s v="['125612', '125613', '125615', '125616', '125617', '125618']"/>
        <s v="['125608']"/>
        <s v="['125623', '125624', '125625']"/>
        <s v="['125601', '125602', '125603', '125604']"/>
        <s v="['125620', '125621', '125622']"/>
        <s v="['125644', '125645']"/>
        <s v="['125632', '125633', '125635']['125634']"/>
        <s v="['125636', '125637']"/>
        <s v="['125643']"/>
        <s v="['125649', '125650', '125651', '125652', '125653', '125654', '125655', '125656', '125657', '125658']"/>
        <s v="['125646', '125647', '125648']"/>
        <s v="['125659', '125660', '125661', '125662', '125663', '125664', '125665', '125666', '125667', '125668', '125669', '125670', '125671', '125672', '125673']"/>
        <s v="['125638']"/>
        <s v="['125639', '125640']['125641']"/>
        <s v="['125681', '125682', '125683']"/>
        <s v="['125684', '125685', '125686', '125687']"/>
        <s v="['125678', '125679', '125680']"/>
        <s v="['125631']"/>
        <s v="['125630']"/>
        <s v="['125674', '125675', '125676', '125677']"/>
        <s v="['125698', '125699']"/>
        <s v="['125691']"/>
        <s v="['125716']"/>
        <s v="['125692']"/>
        <s v="['125705', '125706']"/>
        <s v="['125689']"/>
        <s v="['125701', '125702', '125703', '125704']['125700']"/>
        <s v="['125714']"/>
        <s v="['125713']"/>
        <s v="['125710', '125711', '125712']"/>
        <s v="['125693', '125694', '125695', '125696', '125697']"/>
        <s v="['125690']"/>
        <s v="['125723', '125724']"/>
        <s v="['125718', '125719']"/>
        <s v="['125720']"/>
        <s v="['125722']"/>
        <s v="['125717']"/>
        <s v="['125744', '125745', '125746', '125747']"/>
        <s v="['125726', '125727']"/>
        <s v="['125728', '125729', '125730', '125731', '125732']"/>
        <s v="['125734', '125735']"/>
        <s v="['125736', '125737', '125738', '125739', '125740', '125741', '125742', '125743']"/>
        <s v="['125748', '125749', '125750']"/>
        <s v="['125797']"/>
        <s v="['125762', '125763', '125764', '125765']"/>
        <s v="['125766', '125798']"/>
        <s v="['125768', '125769', '125770', '125771', '125772', '125773', '125774', '125775', '125776', '125777', '125778', '125779', '125781', '125782', '125783', '125784', '125785', '125786', '125787', '125788', '125789', '125790', '125791', '125792']['125780']"/>
        <s v="['125756']"/>
        <s v="['125757', '125758']"/>
        <s v="['125793']['125794']"/>
        <s v="['125755']"/>
        <s v="['125760']['125761']"/>
        <s v="['125799', '125800', '125801', '125802', '125803', '125804', '125805']"/>
        <s v="['125827']"/>
        <s v="['125838']['125839']"/>
        <s v="['125840']"/>
        <s v="['125850']"/>
        <s v="['125841']"/>
        <s v="['125848']['125849']"/>
        <s v="['125846', '125847']"/>
        <s v="['125831', '125832', '125833', '125834']"/>
        <s v="['125828', '125829', '125830']"/>
        <s v="['125835']"/>
        <s v="['125836', '125837']"/>
        <s v="['125843', '125844']"/>
        <s v="['125845']"/>
        <s v="['125856', '125857']"/>
        <s v="['125877', '125878']['125879', '125880']"/>
        <s v="['125863']"/>
        <s v="['125861', '125862']"/>
        <s v="['125859', '125860']"/>
        <s v="['125852']"/>
        <s v="['125872']"/>
        <s v="['125881', '125882']"/>
        <s v="['125873', '125874', '125875', '125876']"/>
        <s v="['125864']"/>
        <s v="['125886']"/>
        <s v="['125917', '125918', '125919', '125920', '125921']"/>
        <s v="['125916']"/>
        <s v="['125892']"/>
        <s v="['125883']"/>
        <s v="['125884']"/>
        <s v="['125926']"/>
        <s v="['125924']"/>
        <s v="['125891']"/>
        <s v="['125890']"/>
        <s v="['125927']"/>
        <s v="['125887', '125888']"/>
        <s v="['125931', '125932', '125933', '125934', '125935', '125936', '125937']"/>
        <s v="['125948', '125949']"/>
        <s v="['125943']"/>
        <s v="['125952', '125953']"/>
        <s v="['125950']"/>
        <s v="['125939']['125940']"/>
        <s v="['125938']"/>
        <s v="['125941', '125942']"/>
        <s v="['125958']"/>
        <s v="['125954', '125955', '125956', '125957']"/>
        <s v="['125929']"/>
        <s v="['125975', '125976', '125977', '125978', '125979', '125980']"/>
        <s v="['125960', '125961', '125962', '125963', '125964']"/>
        <s v="['125986']"/>
        <s v="['125968']"/>
        <s v="['125981']"/>
        <s v="['125982']"/>
        <s v="['125966', '125967']"/>
        <s v="['125983', '125984']"/>
        <s v="['125971', '125972']"/>
        <s v="['125969', '125970']"/>
        <s v="['125973', '125974']"/>
        <s v="['125987']"/>
        <s v="['125985']"/>
        <s v="['126003']['126025']"/>
        <s v="['126028', '126029', '126030', '126031']"/>
        <s v="['126005']"/>
        <s v="['125988', '125989', '125990', '125991', '125993', '125994', '125995', '125996', '125997', '125998', '125999', '126000']['125992']"/>
        <s v="['126020']"/>
        <s v="['126016', '126017', '126018', '126026', '126027']"/>
        <s v="['126001']"/>
        <s v="['126002']"/>
        <s v="['126013', '126014', '126015']"/>
        <s v="['126006', '126007', '126008']"/>
        <s v="['126009', '126010']"/>
        <s v="['126021', '126022', '126023', '126024']"/>
        <s v="['126068']"/>
        <s v="['126035', '126036', '126037', '126038', '126039', '126040']"/>
        <s v="['126032', '126033']"/>
        <s v="['126041']"/>
        <s v="['126067']"/>
        <s v="['126059']"/>
        <s v="['126060']"/>
        <s v="['126046', '126047']"/>
        <s v="['126049', '126050', '126051', '126052', '126053']"/>
        <s v="['126043', '126044', '126045']['126042']"/>
        <s v="['126055', '126056']"/>
        <s v="['126062', '126063', '126064', '126065', '126066']"/>
        <s v="['126054']"/>
        <s v="['126057', '126058']"/>
        <s v="['126061']"/>
        <s v="['126073']"/>
        <s v="['126074', '126075']"/>
        <s v="['126072', '126079']"/>
        <s v="['126098']"/>
        <s v="['126093']['126094']"/>
        <s v="['126092']"/>
        <s v="['126091']"/>
        <s v="['126071']"/>
        <s v="['126099', '126100', '126101']"/>
        <s v="['126081', '126082', '126083']"/>
        <s v="['126084', '126085', '126086', '126087', '126088', '126089', '126090']"/>
        <s v="['126076']"/>
        <s v="['126152', '126154']"/>
        <s v="['126151']"/>
        <s v="['126140']"/>
        <s v="['126141']"/>
        <s v="['126133', '126134', '126135', '126136', '126137']"/>
        <s v="['126130', '126131', '126132']"/>
        <s v="['126125', '126126', '126127', '126129']"/>
        <s v="['126138']"/>
        <s v="['126139']['126146']['126148', '126149']['126147']"/>
        <s v="['126156', '126157']"/>
        <s v="['126142']"/>
        <s v="['126143']"/>
        <s v="['126216']"/>
        <s v="['126220', '126221', '126222', '126223', '126224']"/>
        <s v="['126217', '126218']"/>
        <s v="['126240']"/>
        <s v="['126243', '126244', '126245', '126246', '126247', '126248', '126249', '126250', '126251', '126252', '126253', '126254', '126255', '126256', '126257', '126258', '126259', '126260', '126261']"/>
        <s v="['126215']"/>
        <s v="['126262', '126263', '126264', '126265', '126266', '126267']"/>
        <s v="['126225']"/>
        <s v="['126230', '126231', '126232']"/>
        <s v="['126238', '126239']"/>
        <s v="['126235', '126236', '126237']"/>
        <s v="['126233', '126234']"/>
        <s v="['126228', '126229']"/>
        <s v="['126308']"/>
        <s v="['126281']"/>
        <s v="['126291']"/>
        <s v="['126271']"/>
        <s v="['126275', '126276', '126277', '126278', '126279']"/>
        <s v="['126309']"/>
        <s v="['126283', '126284', '126285', '126286']"/>
        <s v="['126287', '126288', '126289']"/>
        <s v="['126290']"/>
        <s v="['126294', '126295', '126296', '126297']"/>
        <s v="['126306']"/>
        <s v="['126292', '126293']"/>
        <s v="['126298', '126299', '126300', '126301', '126302', '126303', '126304', '126305']"/>
        <s v="['126323']"/>
        <s v="['126311']"/>
        <s v="['126319']"/>
        <s v="['126318']"/>
        <s v="['126310']"/>
        <s v="['126314', '126315', '126316', '126317']"/>
        <s v="['126312']"/>
        <s v="['126332', '126333', '126334']"/>
        <s v="['126335', '126336']"/>
        <s v="['126331']"/>
        <s v="['126324', '126325', '126326', '126327', '126328', '126329', '126330']"/>
        <s v="['126337']"/>
        <s v="['126363', '126364', '126365', '126366', '126367', '126368', '126369', '126370', '126371', '126372', '126373', '126374']"/>
        <s v="['126340']"/>
        <s v="['126377']"/>
        <s v="['126342']"/>
        <s v="['126341']"/>
        <s v="['126389']"/>
        <s v="['126351', '126352', '126378']"/>
        <s v="['126379', '126380', '126381']"/>
        <s v="['126349']"/>
        <s v="['126353', '126354', '126355', '126356']"/>
        <s v="['126343', '126344', '126345']['126346', '126347']"/>
        <s v="['126384', '126385', '126386', '126387']"/>
        <s v="['126382']['126383']"/>
        <s v="['126422']"/>
        <s v="['126390']"/>
        <s v="['126394']"/>
        <s v="['126397', '126399', '126400', '126401', '126402']['126398']"/>
        <s v="['126393']"/>
        <s v="['126404']"/>
        <s v="['126405']"/>
        <s v="['126428']"/>
        <s v="['126427']"/>
        <s v="['126396']"/>
        <s v="['126406', '126407']"/>
        <s v="['126395', '126408']"/>
        <s v="['126409', '126410', '126411', '126412', '126413', '126414', '126415', '126416', '126417', '126418', '126419', '126420']"/>
        <s v="['126426']"/>
        <s v="['126435', '126436', '126437']['126434']"/>
        <s v="['126467']"/>
        <s v="['126445', '126446']"/>
        <s v="['126466']"/>
        <s v="['126449']"/>
        <s v="['126450', '126451', '126452']['126453']"/>
        <s v="['126438']"/>
        <s v="['126461']"/>
        <s v="['126457', '126458']"/>
        <s v="['126439', '126440']"/>
        <s v="['126455']['126454']"/>
        <s v="['126460']"/>
        <s v="['126462', '126463', '126464', '126465']"/>
        <s v="['126485', '126486', '126488']['126484', '126487']"/>
        <s v="['126483']"/>
        <s v="['126489', '126490']"/>
        <s v="['126470', '126471', '126472', '126473', '126474', '126475', '126476', '126477', '126478', '126479', '126480', '126481']"/>
        <s v="['126469']"/>
        <s v="['126468']"/>
        <s v="['126492', '126493', '126494', '126496', '126497']['126495']"/>
        <s v="['126491']"/>
        <s v="['126498']"/>
        <s v="['126525']['126526']['126523', '126524', '126527']"/>
        <s v="['126531']"/>
        <s v="['126501']"/>
        <s v="['126511', '126512', '126513', '126514', '126515', '126516', '126517', '126518', '126519', '126520', '126521', '126522']"/>
        <s v="['126532', '126533']"/>
        <s v="['126502', '126503', '126504', '126505', '126506', '126507', '126508', '126509', '126510']"/>
        <s v="['126528', '126530']['126529']"/>
        <s v="['126535', '126536', '126542']['126537']"/>
        <s v="['126539', '126540', '126541']['126538']"/>
        <s v="['126563']['126564']"/>
        <s v="['126550']"/>
        <s v="['126545']"/>
        <s v="['126551', '126552', '126553', '126554', '126555']"/>
        <s v="['126557', '126558', '126559', '126560', '126561', '126562']"/>
        <s v="['126546', '126556']"/>
        <s v="['126571']"/>
        <s v="['126572']"/>
        <s v="['126607']"/>
        <s v="['126605', '126606']"/>
        <s v="['126578']"/>
        <s v="['126565', '126566']"/>
        <s v="['126576']"/>
        <s v="['126575']"/>
        <s v="['126573']"/>
        <s v="['126580', '126581', '126582', '126583', '126584', '126585', '126586', '126587']"/>
        <s v="['126569', '126570']"/>
        <s v="['126588', '126589', '126590', '126591', '126592', '126593']"/>
        <s v="['126595']"/>
        <s v="['126596', '126597']"/>
        <s v="['126600', '126601']"/>
        <s v="['126598', '126599']"/>
        <s v="['126579']"/>
        <s v="['126650']"/>
        <s v="['126611']"/>
        <s v="['126614']"/>
        <s v="['126609']"/>
        <s v="['126634']"/>
        <s v="['126615', '126616', '126617', '126618', '126619', '126620', '126621', '126622']"/>
        <s v="['126637']"/>
        <s v="['126608']"/>
        <s v="['126623', '126624', '126625', '126626', '126627', '126628', '126629']"/>
        <s v="['126638', '126639']"/>
        <s v="['126640']['126641', '126642']"/>
        <s v="['126643']"/>
        <s v="['126644', '126645', '126646', '126647', '126648', '126649']"/>
        <s v="['126676', '126677', '126678']"/>
        <s v="['126651']"/>
        <s v="['126653']"/>
        <s v="['126662']"/>
        <s v="['126652']"/>
        <s v="['126655']"/>
        <s v="['126660', '126661']"/>
        <s v="['126659']"/>
        <s v="['126664', '126665']"/>
        <s v="['126668', '126669']"/>
        <s v="['126663']"/>
        <s v="['126654']"/>
        <s v="['126685']"/>
        <s v="['126692']"/>
        <s v="['126680']"/>
        <s v="['126689', '126690']"/>
        <s v="['126721']"/>
        <s v="['126713']"/>
        <s v="['126679']"/>
        <s v="['126687', '126688']"/>
        <s v="['126719', '126720']"/>
        <s v="['126717', '126718']"/>
        <s v="['126693', '126695', '126696', '126697']['126694']"/>
        <s v="['126698', '126699', '126700']"/>
        <s v="['126701']['126702']"/>
        <s v="['126709', '126710', '126711', '126712']"/>
        <s v="['126746']"/>
        <s v="['126727', '126728']"/>
        <s v="['126731', '126732', '126733', '126734', '126735', '126736', '126737', '126738', '126739', '126740']['126741']"/>
        <s v="['126777', '126778']"/>
        <s v="['126724']"/>
        <s v="['126761', '126762', '126763', '126764', '126765', '126766', '126767', '126768', '126769']"/>
        <s v="['126723']"/>
        <s v="['126722']"/>
        <s v="['126729', '126730']"/>
        <s v="['126747', '126748', '126749', '126750']"/>
        <s v="['126751', '126752', '126753', '126754']"/>
        <s v="['126755', '126756', '126757', '126758', '126759']"/>
        <s v="['126742', '126743']"/>
        <s v="['126776']"/>
        <s v="['126771', '126772', '126773', '126774']"/>
        <s v="['126775']"/>
        <s v="['126770']"/>
        <s v="['126794', '126795', '126796']"/>
        <s v="['126779']"/>
        <s v="['126782', '126783']"/>
        <s v="['126797']"/>
        <s v="['126792']"/>
        <s v="['126785']"/>
        <s v="['126786']"/>
        <s v="['126787']"/>
        <s v="['126788', '126789']"/>
        <s v="['126793']"/>
        <s v="['126798']"/>
        <s v="['126810']"/>
        <s v="['126826', '126827']"/>
        <s v="['126799']"/>
        <s v="['126807']"/>
        <s v="['126806']"/>
        <s v="['126803']"/>
        <s v="['126800']"/>
        <s v="['126812', '126813', '126814']"/>
        <s v="['126825']"/>
        <s v="['126816', '126817', '126818', '126819', '126820', '126821']"/>
        <s v="['126179']"/>
        <s v="['126193']"/>
        <s v="['126212', '126213']"/>
        <s v="['126180']"/>
        <s v="['126195']['126194']"/>
        <s v="['126196', '126197', '126198', '126199', '126200', '126201', '126202', '126203', '126204']"/>
        <s v="['126162', '126163']"/>
        <s v="['126168', '126169', '126170', '126171', '126173', '126174', '126175', '126176', '126177', '126178']['126167']"/>
        <s v="['126164', '126165', '126166']"/>
        <s v="['126159']"/>
        <s v="['126160']"/>
        <s v="['126181', '126182', '126183']"/>
        <s v="['126185', '126186', '126187', '126188', '126189', '126190']"/>
        <s v="['126107', '126108']"/>
        <s v="['126115', '126116', '126117']"/>
        <s v="['126118']"/>
        <s v="['126104']"/>
        <s v="['126105', '126106']"/>
        <s v="['126111', '126112']"/>
        <s v="['126113']"/>
        <s v="['126120', '126121', '126122', '126123']"/>
        <s v="['126114']"/>
        <s v="['126833', '126835', '126836']['126834']"/>
        <s v="['126846']"/>
        <s v="['126830']"/>
        <s v="['126829']"/>
        <s v="['126828']"/>
        <s v="['126842']['126843']"/>
        <s v="['126839', '126840']"/>
        <s v="['126832']"/>
        <s v="['126851']"/>
        <s v="['126852']"/>
        <s v="['126857']"/>
        <s v="['126855']"/>
        <s v="['126849', '126850']"/>
        <s v="['126848']"/>
        <s v="['126853', '126854']"/>
        <s v="['126865']"/>
        <s v="['126880']"/>
        <s v="['126878']"/>
        <s v="['126879']"/>
        <s v="['126877']"/>
        <s v="['126862']"/>
        <s v="['126864']"/>
        <s v="['126875']"/>
        <s v="['126870', '126871', '126872', '126873', '126874']"/>
        <s v="['126863']"/>
        <s v="['126868']"/>
        <s v="['126892']"/>
        <s v="['126895', '126896']"/>
        <s v="['126882', '126883', '126884', '126885', '126886']"/>
        <s v="['126887', '126888', '126890', '126891']['126889']"/>
        <s v="['126881']"/>
        <s v="['126898', '126899']"/>
        <s v="['126897']"/>
        <s v="['126893']"/>
        <s v="['126894']"/>
        <s v="['126901']"/>
        <s v="['126906']"/>
        <s v="['126900']"/>
        <s v="['126902']"/>
        <s v="['126904']"/>
        <s v="['126905']"/>
        <s v="['126907', '126908', '126909', '126910']"/>
        <s v="['126903']"/>
        <s v="['126911']"/>
        <s v="['126970']"/>
        <s v="['126990']"/>
        <s v="['126969']"/>
        <s v="['126971']"/>
        <s v="['126966']"/>
        <s v="['126992', '126993', '126994', '126995', '126996', '126997', '126998', '126999', '127000']"/>
        <s v="['126979', '126980', '126981']"/>
        <s v="['126982', '126983', '126984', '126985', '126986']"/>
        <s v="['127002']"/>
        <s v="['127001']"/>
        <s v="['126974', '126975', '126976']"/>
        <s v="['126973']"/>
        <s v="['126991']"/>
        <s v="['127034']"/>
        <s v="['127035']"/>
        <s v="['127029']"/>
        <s v="['127022']"/>
        <s v="['127012', '127013', '127014', '127015', '127016', '127017', '127018', '127019', '127020', '127021']"/>
        <s v="['127039', '127040']"/>
        <s v="['127037', '127038']"/>
        <s v="['127036']"/>
        <s v="['127042', '127043', '127044', '127045', '127046']"/>
        <s v="['127032']"/>
        <s v="['127056']"/>
        <s v="['127064']"/>
        <s v="['127065']['127048']"/>
        <s v="['127047']"/>
        <s v="['127058', '127059']"/>
        <s v="['127062', '127063']"/>
        <s v="['127053']"/>
        <s v="['127054', '127055']"/>
        <s v="['127073']"/>
        <s v="['127066', '127067', '127068', '127069', '127070', '127071']"/>
        <s v="['126929']['126930']"/>
        <s v="['126932']"/>
        <s v="['126936', '126937']"/>
        <s v="['126933']"/>
        <s v="['126934']"/>
        <s v="['126946']"/>
        <s v="['126964']['126963']"/>
        <s v="['126965']"/>
        <s v="['127089', '127090']['127088']"/>
        <s v="['127095']"/>
        <s v="['127092', '127093']"/>
        <s v="['127101']['127103']"/>
        <s v="['127091']"/>
        <s v="['127074', '127096']"/>
        <s v="['127087']"/>
        <s v="['127083', '127084']"/>
        <s v="['127076', '127077', '127078', '127079', '127080', '127081', '127082']"/>
        <s v="['127097', '127098', '127099', '127100']"/>
        <s v="['127200']"/>
        <s v="['127192']"/>
        <s v="['127198', '127199']"/>
        <s v="['127189']['127190']"/>
        <s v="['127176', '127177']"/>
        <s v="['127187']"/>
        <s v="['127183', '127184', '127185', '127186']"/>
        <s v="['127178', '127179', '127180', '127181', '127182']"/>
        <s v="['127191']"/>
        <s v="['127196']"/>
        <s v="['127202', '127203', '127204']"/>
        <s v="['127197']"/>
        <s v="['127194', '127195']"/>
        <s v="['127232']"/>
        <s v="['127224']['127226']"/>
        <s v="['127230']['127231']"/>
        <s v="['127227']"/>
        <s v="['127218']"/>
        <s v="['127225']"/>
        <s v="['127228', '127229']"/>
        <s v="['127216']"/>
        <s v="['127215']"/>
        <s v="['127210', '127211']"/>
        <s v="['127219', '127220', '127221', '127222']"/>
        <s v="['127264']"/>
        <s v="['127263']"/>
        <s v="['127257', '127258']"/>
        <s v="['127234']"/>
        <s v="['127262']"/>
        <s v="['127256']"/>
        <s v="['127250']"/>
        <s v="['127238', '127239']"/>
        <s v="['127235', '127236', '127237']"/>
        <s v="['127243', '127244', '127245', '127246', '127247', '127248', '127249']"/>
        <s v="['127261']"/>
        <s v="['127251', '127252', '127253', '127254', '127255']"/>
        <s v="['127274']"/>
        <s v="['127290']"/>
        <s v="['127291']"/>
        <s v="['127265']"/>
        <s v="['127273']"/>
        <s v="['127266']"/>
        <s v="['127272']"/>
        <s v="['127269', '127271']"/>
        <s v="['127275']"/>
        <s v="['127278', '127280']"/>
        <s v="['127282', '127284']"/>
        <s v="['127276', '127277', '127279', '127281', '127283']"/>
        <s v="['127288']"/>
        <s v="['127285', '127286', '127287']"/>
        <s v="['127301']"/>
        <s v="['127321']"/>
        <s v="['127302']"/>
        <s v="['127303']"/>
        <s v="['127293']"/>
        <s v="['127299', '127300']"/>
        <s v="['127318', '127319', '127320']"/>
        <s v="['127307', '127308', '127309', '127310', '127311', '127312', '127313', '127314']"/>
        <s v="['127315', '127316', '127322']"/>
        <s v="['127292']"/>
        <s v="['127294']"/>
        <s v="['127335']"/>
        <s v="['127359']"/>
        <s v="['127358']"/>
        <s v="['127323']"/>
        <s v="['127333']"/>
        <s v="['127332']"/>
        <s v="['127336']"/>
        <s v="['127334']"/>
        <s v="['127329']"/>
        <s v="['127347']"/>
        <s v="['127349', '127350']"/>
        <s v="['127348']"/>
        <s v="['127324', '127325']"/>
        <s v="['127326']"/>
        <s v="['127340']"/>
        <s v="['127341', '127342', '127343', '127344']"/>
        <s v="['127361']"/>
        <s v="['127360']"/>
        <s v="['127389']"/>
        <s v="['127376']"/>
        <s v="['127369', '127370', '127371', '127372', '127373', '127374', '127375']"/>
        <s v="['127377', '127378', '127379', '127380', '127381', '127382']"/>
        <s v="['127365', '127366', '127367']"/>
        <s v="['127384', '127385', '127386', '127387']"/>
        <s v="['127398']"/>
        <s v="['127395']"/>
        <s v="['127418', '127419']"/>
        <s v="['127414', '127415', '127416', '127417']"/>
        <s v="['127404', '127405', '127406', '127407', '127408', '127409', '127410', '127411']"/>
        <s v="['127394']"/>
        <s v="['127396']"/>
        <s v="['127400', '127401', '127402', '127403']"/>
        <s v="['127452', '127453']"/>
        <s v="['127427', '127428']"/>
        <s v="['127461']"/>
        <s v="['127455']"/>
        <s v="['127457']"/>
        <s v="['127456']"/>
        <s v="['127430', '127431', '127432']"/>
        <s v="['127424']"/>
        <s v="['127433', '127434', '127435', '127436', '127437', '127438', '127439', '127440', '127441', '127442', '127443', '127444', '127445', '127446', '127447', '127448', '127449']"/>
        <s v="['127422', '127450']"/>
        <s v="['127451']"/>
        <s v="['127423']"/>
        <s v="['127485']"/>
        <s v="['127487']"/>
        <s v="['127466']"/>
        <s v="['127462', '127463']"/>
        <s v="['127467']"/>
        <s v="['127471', '127472', '127473', '127474', '127475', '127476', '127477']"/>
        <s v="['127480', '127481', '127490', '127491', '127492', '127493', '127494', '127495', '127496']"/>
        <s v="['127478', '127479']"/>
        <s v="['127498', '127499']['127468']"/>
        <s v="['127469', '127470']"/>
        <s v="['127484']"/>
        <s v="['127509']"/>
        <s v="['127506']"/>
        <s v="['127508']"/>
        <s v="['127500', '127501', '127502']['127503']"/>
        <s v="['127513']"/>
        <s v="['127510', '127511', '127512']"/>
        <s v="['127515', '127516']"/>
        <s v="['127529']"/>
        <s v="['127541', '127542']['127539', '127540']"/>
        <s v="['127520', '127521']['127518', '127519']"/>
        <s v="['127523', '127524', '127525', '127526', '127527', '127528']"/>
        <s v="['127531', '127532', '127533', '127534', '127535', '127536']"/>
        <s v="['127572', '127573']"/>
        <s v="['127544']"/>
        <s v="['127588', '127590', '127591', '127592', '127593', '127594', '127596', '127597', '127598', '127599', '127600', '127601', '127602', '127603', '127604', '127605', '127606', '127607']['127589', '127595']"/>
        <s v="['127545', '127546', '127547', '127548', '127549', '127550', '127551', '127552', '127553', '127554', '127555', '127556', '127557', '127558', '127559', '127560', '127561', '127562', '127563', '127564']"/>
        <s v="['127543']"/>
        <s v="['127569']"/>
        <s v="['127608', '127609']['127610']"/>
        <s v="['127576']"/>
        <s v="['127575']"/>
        <s v="['127579', '127580', '127581', '127582', '127583']"/>
        <s v="['127566']"/>
        <s v="['127617']"/>
        <s v="['127630', '127631', '127632', '127633', '127634']"/>
        <s v="['127622', '127623', '127624', '127625', '127626', '127627', '127628', '127629']"/>
        <s v="['127618']"/>
        <s v="['127621']"/>
        <s v="['127636']"/>
        <s v="['127639', '127640']"/>
        <s v="['127645', '127646']['127647']"/>
        <s v="['127613', '127614']"/>
        <s v="['127700']"/>
        <s v="['127718']"/>
        <s v="['127699']"/>
        <s v="['127717']"/>
        <s v="['127711', '127712', '127713', '127714', '127715', '127716']"/>
        <s v="['127702', '127703', '127704', '127705', '127706', '127707', '127708', '127709', '127710']"/>
        <s v="['127732', '127733', '127734']"/>
        <s v="['127720']"/>
        <s v="['127719']"/>
        <s v="['127729', '127730', '127731']"/>
        <s v="['127742', '127743']"/>
        <s v="['127741']"/>
        <s v="['127737']"/>
        <s v="['127740']"/>
        <s v="['127738', '127739']"/>
        <s v="['127744']"/>
        <s v="['127755']['127754']"/>
        <s v="['127751', '127752', '127753']"/>
        <s v="['127747', '127748', '127749']"/>
        <s v="['127758']"/>
        <s v="['127759']"/>
        <s v="['127757']"/>
        <s v="['127761']"/>
        <s v="['127767', '127768']['127766']"/>
        <s v="['127796', '127797']"/>
        <s v="['127776']"/>
        <s v="['127775']"/>
        <s v="['127789']"/>
        <s v="['127778']"/>
        <s v="['127792']"/>
        <s v="['127793']"/>
        <s v="['127785']"/>
        <s v="['127777']"/>
        <s v="['127786', '127787', '127788']"/>
        <s v="['127781', '127782', '127783']"/>
        <s v="['127853']"/>
        <s v="['127832']"/>
        <s v="['127857']"/>
        <s v="['127854']"/>
        <s v="['127855']"/>
        <s v="['127833', '127834', '127835', '127836', '127837', '127838', '127839']"/>
        <s v="['127805', '127806', '127807', '127808', '127809', '127810', '127811', '127812', '127813', '127814', '127815', '127816']"/>
        <s v="['127818', '127819', '127820', '127821', '127822', '127823', '127824', '127825', '127826', '127827', '127828', '127829', '127830', '127831']"/>
        <s v="['127841', '127842', '127843', '127844', '127845', '127846']"/>
        <s v="['127847', '127848', '127849', '127850']"/>
        <s v="['127804']"/>
        <s v="['127899', '127937']"/>
        <s v="['127900']"/>
        <s v="['127903']"/>
        <s v="['127935', '127936']"/>
        <s v="['127901']"/>
        <s v="['127911', '127912']"/>
        <s v="['127913']"/>
        <s v="['127921', '127922', '127923', '127924', '127925']"/>
        <s v="['127908']"/>
        <s v="['127904', '127907', '127909', '127910']"/>
        <s v="['127920']"/>
        <s v="['127928', '127929', '127930', '127931', '127932']"/>
        <s v="['127934']"/>
        <s v="['127939']"/>
        <s v="['127960']"/>
        <s v="['127954']"/>
        <s v="['127940']"/>
        <s v="['127950']"/>
        <s v="['127951', '127952']"/>
        <s v="['127946', '127947', '127948', '127949']"/>
        <s v="['127953']"/>
        <s v="['127956', '127957']"/>
        <s v="['127938']"/>
        <s v="['127943', '127944']"/>
        <s v="['127959']['127958']"/>
        <s v="['128008', '128009', '128010', '128011']"/>
        <s v="['127997']"/>
        <s v="['127999']"/>
        <s v="['128024']"/>
        <s v="['128012']"/>
        <s v="['127998']"/>
        <s v="['128000']"/>
        <s v="['128019', '128020', '128021']"/>
        <s v="['128001', '128002', '128003', '128004', '128005', '128006']"/>
        <s v="['128022', '128023']"/>
        <s v="['128013', '128014', '128015', '128016', '128017', '128018']"/>
        <s v="['128027', '128028']"/>
        <s v="['128039', '128040']"/>
        <s v="['128031', '128033', '128034', '128035', '128036', '128037', '128038']['128032']"/>
        <s v="['128029', '128030']"/>
        <s v="['128045']"/>
        <s v="['128048']"/>
        <s v="['128068', '128069']"/>
        <s v="['128063']"/>
        <s v="['128064', '128065', '128066']"/>
        <s v="['128043', '128044']"/>
        <s v="['128047']"/>
        <s v="['128050']"/>
        <s v="['128057', '128058', '128059', '128060', '128061', '128062']"/>
        <s v="['128073']"/>
        <s v="['128076']"/>
        <s v="['128077']"/>
        <s v="['128112']['128113', '128114']"/>
        <s v="['128109', '128110', '128111']"/>
        <s v="['128091', '128092', '128093', '128094', '128095', '128096', '128097', '128098', '128099', '128100', '128101', '128102', '128103', '128104', '128105']"/>
        <s v="['128078', '128079', '128080', '128081', '128082', '128083', '128084', '128085', '128086', '128087', '128088', '128089', '128090']"/>
        <s v="['128107']"/>
        <s v="['128108']"/>
        <s v="['128119']"/>
        <s v="['128124', '128125']['128126']"/>
        <s v="['128136']"/>
        <s v="['128133']"/>
        <s v="['128146']"/>
        <s v="['128121']"/>
        <s v="['128129']"/>
        <s v="['128130']"/>
        <s v="['128132']"/>
        <s v="['128139', '128140']['128137', '128138']"/>
        <s v="['128134', '128135']"/>
        <s v="['128128']['128127']"/>
        <s v="['128141', '128142', '128144', '128145']"/>
        <s v="['128151', '128152']"/>
        <s v="['128149']"/>
        <s v="['128174']"/>
        <s v="['128169', '128170', '128171']"/>
        <s v="['128168']"/>
        <s v="['128154']"/>
        <s v="['128172', '128173']"/>
        <s v="['128166', '128167']"/>
        <s v="['128164', '128165']"/>
        <s v="['128157']"/>
        <s v="['128186']"/>
        <s v="['128187']"/>
        <s v="['128179']"/>
        <s v="['128191']"/>
        <s v="['128216']"/>
        <s v="['128190']"/>
        <s v="['128192']"/>
        <s v="['128215']"/>
        <s v="['128195', '128196', '128197', '128198', '128199', '128203']"/>
        <s v="['128204', '128205']"/>
        <s v="['128206', '128207', '128208', '128209', '128210', '128211', '128212', '128213', '128214']"/>
        <s v="['128225']"/>
        <s v="['128257']"/>
        <s v="['128230']"/>
        <s v="['128218']"/>
        <s v="['128250']"/>
        <s v="['128227', '128228']['128226']"/>
        <s v="['128220']"/>
        <s v="['128219']"/>
        <s v="['128234', '128235', '128236']"/>
        <s v="['128221', '128222', '128223']"/>
        <s v="['128231', '128232', '128233']"/>
        <s v="['128237', '128238', '128239', '128240', '128241', '128242', '128243', '128244', '128245', '128246', '128247', '128248', '128249']"/>
        <s v="['128252']"/>
        <s v="['128254', '128255', '128256']"/>
        <s v="['128273', '128274']"/>
        <s v="['128280']"/>
        <s v="['128275']"/>
        <s v="['128276', '128277']['128278', '128279']"/>
        <s v="['128260']"/>
        <s v="['128271', '128272']"/>
        <s v="['128261']"/>
        <s v="['128262', '128263', '128264', '128265', '128266', '128267', '128268', '128270']"/>
        <s v="['128281', '128282']"/>
        <s v="['128283', '128284']"/>
        <s v="['128285', '128286', '128287', '128288', '128289', '128290', '128291']"/>
        <s v="['128293']['128292']"/>
        <s v="['128336', '128337']"/>
        <s v="['128308', '128309', '128310', '128311', '128312', '128313', '128314', '128315', '128316', '128317', '128318', '128319', '128320', '128321', '128322', '128323', '128324', '128325', '128326', '128327', '128328', '128329', '128330', '128331', '128332', '128333', '128334', '128335']"/>
        <s v="['128351', '128352']"/>
        <s v="['128349', '128350']"/>
        <s v="['128303']"/>
        <s v="['128304']"/>
        <s v="['128300', '128301', '128302']"/>
        <s v="['128338']"/>
        <s v="['128339']"/>
        <s v="['128294', '128295', '128296', '128297', '128298', '128299']"/>
        <s v="['128306', '128307']"/>
        <s v="['128340', '128341', '128342', '128343', '128344']"/>
        <s v="['128346', '128347']['128345']"/>
        <s v="['128357']"/>
        <s v="['128358']"/>
        <s v="['128361', '128362']"/>
        <s v="['128363']"/>
        <s v="['128353', '128354', '128355', '128356']"/>
        <s v="['128371', '128372', '128373']"/>
        <s v="['128359', '128360']"/>
        <s v="['128366', '128367', '128368', '128369', '128370']"/>
        <s v="['128376']"/>
        <s v="['128377']"/>
        <s v="['128397']"/>
        <s v="['128398', '128399', '128400']"/>
        <s v="['128378', '128379', '128380', '128381', '128382', '128383', '128384', '128385', '128386', '128387', '128388', '128389', '128390', '128391', '128392', '128393', '128394', '128395']"/>
        <s v="['128396']"/>
        <s v="['128402']"/>
        <s v="['128404', '128405']"/>
        <s v="['128403']"/>
        <s v="['128411', '128412', '128413', '128414']"/>
        <s v="['128408', '128409']"/>
        <s v="['128422', '128423', '128424']"/>
        <s v="['128416', '128417']['128418', '128419']"/>
        <s v="['128433', '128434']"/>
        <s v="['128410']"/>
        <s v="['128420', '128421']"/>
        <s v="['128427', '128428', '128429', '128430', '128431', '128432']"/>
        <s v="['128435']"/>
        <s v="['128438']"/>
        <s v="['128466', '128467']"/>
        <s v="['128470', '128471']"/>
        <s v="['128457', '128458']"/>
        <s v="['128442', '128443']"/>
        <s v="['128453', '128454', '128455', '128456']"/>
        <s v="['128440', '128441']"/>
        <s v="['128451', '128452']"/>
        <s v="['128468', '128469']"/>
        <s v="['128429', '128446', '128447', '128448', '128449']"/>
        <s v="['128500', '128501']"/>
        <s v="['128473', '128474']"/>
        <s v="['128475', '128476']"/>
        <s v="['128486', '128487', '128488', '128489', '128490', '128491', '128492', '128493', '128494', '128495']"/>
        <s v="['128485']"/>
        <s v="['128477', '128478', '128479', '128480', '128481', '128482', '128483', '128484']"/>
        <s v="['128519']"/>
        <s v="['128502', '128503', '128504']"/>
        <s v="['128515', '128516']"/>
        <s v="['128507', '128508']"/>
        <s v="['128517']"/>
        <s v="['128518']"/>
        <s v="['128505', '128506']"/>
        <s v="['128481', '128511', '128512', '128513', '128514']"/>
        <s v="['128529']"/>
        <s v="['128526', '128527', '128528']"/>
        <s v="['128537']"/>
        <s v="['128533', '128534', '128535', '128536']"/>
        <s v="['128539', '128540']"/>
        <s v="['128541', '128542']"/>
        <s v="['128538']"/>
        <s v="['128543']"/>
        <s v="['128547']"/>
        <s v="['128544']"/>
        <s v="['128549']['128550']"/>
        <s v="['128558', '128559', '128560']"/>
        <s v="['128561', '128562', '128563', '128564', '128565', '128566']"/>
        <s v="['128569']['128567', '128568']"/>
        <s v="['128570', '128578']"/>
        <s v="['128545', '128546']"/>
        <s v="['128575', '128576', '128581']"/>
        <s v="['128574']"/>
        <s v="['128552', '128553', '128554', '128555', '128556', '128557']"/>
        <s v="['128577', '128580']"/>
        <s v="['128589', '128590']"/>
        <s v="['128609', '128610']"/>
        <s v="['128608']"/>
        <s v="['128582']"/>
        <s v="['128584']"/>
        <s v="['128599', '128600']"/>
        <s v="['128597', '128598']"/>
        <s v="['128595', '128596']"/>
        <s v="['128587', '128588']"/>
        <s v="['128602', '128603', '128604', '128605']"/>
        <s v="['128601']"/>
        <s v="['128640']"/>
        <s v="['128617']"/>
        <s v="['128611']"/>
        <s v="['128632', '128634', '128635', '128636', '128637', '128638', '128639']"/>
        <s v="['128618', '128619', '128620', '128621', '128622', '128623', '128624', '128625', '128626', '128627', '128628', '128629', '128630', '128631']"/>
        <s v="['128644', '128645']"/>
        <s v="['128612', '128613', '128614', '128615', '128616']"/>
        <s v="['128671']"/>
        <s v="['128662']"/>
        <s v="['128678']['128677']"/>
        <s v="['128663', '128664', '128665', '128666', '128667', '128668', '128669']"/>
        <s v="['128651', '128652', '128653', '128654', '128655', '128656', '128657', '128658', '128659', '128660', '128661', '128670']"/>
        <s v="['128672']"/>
        <s v="['128673', '128674', '128675', '128676']"/>
        <s v="['128679']"/>
        <s v="['128683']"/>
        <s v="['128684']"/>
        <s v="['128682']"/>
        <s v="['128685']"/>
        <s v="['128700', '128701']"/>
        <s v="['128688', '128689', '128690', '128691', '128692', '128693', '128694', '128695', '128696', '128697', '128698', '128699']"/>
        <s v="['128686']"/>
        <s v="['128702', '128703']"/>
        <s v="['128705']"/>
        <s v="['128704']"/>
        <s v="['128734', '128735']"/>
        <s v="['128709']"/>
        <s v="['128738']"/>
        <s v="['128737']"/>
        <s v="['128736']"/>
        <s v="['128711']"/>
        <s v="['128739', '128740', '128741', '128742', '128743', '128744', '128745', '128746', '128747', '128748', '128749', '128750', '128751', '128752', '128753', '128754', '128755', '128756', '128757', '128758']"/>
        <s v="['128769']['128770', '128771']"/>
        <s v="['128759', '128760', '128761', '128762', '128763']"/>
        <s v="['128712']['128713', '128714', '128715', '128716', '128717', '128718', '128719', '128720', '128721']['128706']['128722', '128723', '128724', '128725', '128726', '128727', '128728', '128729', '128730', '128731', '128732']"/>
        <s v="['128766', '128767']"/>
        <s v="['128772']"/>
        <s v="['128815']"/>
        <s v="['128774']"/>
        <s v="['128814']"/>
        <s v="['128775']"/>
        <s v="['128773']"/>
        <s v="['128795', '128796', '128797', '128798', '128799', '128800', '128801', '128802', '128803', '128804', '128805', '128806', '128807', '128808']"/>
        <s v="['128809', '128810', '128811', '128812', '128813']"/>
        <s v="['128777', '128778', '128779', '128780', '128781', '128782', '128783', '128784', '128785', '128786', '128787', '128788', '128789', '128790', '128791', '128792', '128793', '128794']"/>
        <s v="['128776']"/>
        <s v="['128824', '128825']"/>
        <s v="['128821', '128822', '128823']"/>
        <s v="['128819', '128820']"/>
        <s v="['128826', '128827', '128828']"/>
        <s v="['128829']"/>
        <s v="['128867']"/>
        <s v="['128852']"/>
        <s v="['128841', '128842', '128843', '128844', '128845', '128846']"/>
        <s v="['128835', '128836', '128837', '128838', '128839', '128840']"/>
        <s v="['128848', '128849', '128850']"/>
        <s v="['128830', '128831', '128832', '128833', '128834']"/>
        <s v="['128851']"/>
        <s v="['128861', '128862', '128863', '128864', '128865']"/>
        <s v="['128869']"/>
        <s v="['128881', '128882', '128883', '128884', '128885', '128886', '128887', '128888', '128889']"/>
        <s v="['128870', '128871', '128872', '128873', '128874', '128875', '128876', '128877', '128878', '128879']"/>
        <s v="['128890', '128891']"/>
        <s v="['128892', '128893', '128894', '128895', '128896']"/>
        <s v="['128899']"/>
        <s v="['128902']"/>
        <s v="['128920', '128921']"/>
        <s v="['128905', '128906']"/>
        <s v="['128907', '128908', '128909']"/>
        <s v="['128913', '128914', '128915', '128916']"/>
        <s v="['128912']"/>
        <s v="['128919']['128917', '128918']"/>
        <s v="['128911']"/>
        <s v="['128910']"/>
        <s v="['128947', '128948', '128949']"/>
        <s v="['128933']"/>
        <s v="['128927']['128926']"/>
        <s v="['128934']"/>
        <s v="['128930']"/>
        <s v="['128928', '128929', '128935']"/>
        <s v="['128936', '128937', '128938', '128939']"/>
        <s v="['128940', '128941', '128942', '128943', '128944', '128945']"/>
        <s v="['128956']"/>
        <s v="['128950', '128951', '128952', '128953', '128955']"/>
        <s v="['128957']"/>
        <s v="['128958']"/>
        <s v="['128998']"/>
        <s v="['128963']"/>
        <s v="['128973', '128974', '128977', '128978', '128979']"/>
        <s v="['128980', '128982', '128983', '128984', '128985', '128986', '128987', '128988', '128989', '128990']['128981']"/>
        <s v="['128959']"/>
        <s v="['128964', '128965', '128966', '128967']"/>
        <s v="['128960', '128961']"/>
        <s v="['128968', '128969', '128970', '128971', '128972']"/>
        <s v="['129000', '129001', '129002', '129003']"/>
        <s v="['129004', '129005']"/>
        <s v="['129006']"/>
        <s v="['129048', '129049', '129050']"/>
        <s v="['129043']"/>
        <s v="['129045']"/>
        <s v="['129057', '129058', '129059']"/>
        <s v="['129015']"/>
        <s v="['129041', '129042']"/>
        <s v="['129036', '129037', '129038', '129039', '129040']"/>
        <s v="['129010']"/>
        <s v="['129013', '129014']"/>
        <s v="['129007', '129008']"/>
        <s v="['129023', '129024', '129025', '129026', '129027', '129028', '129029', '129030', '129031', '129032', '129033', '129034']"/>
        <s v="['129051', '129052', '129053', '129054', '129055', '129056']"/>
        <s v="['129080', '129081', '129082']"/>
        <s v="['129065']"/>
        <s v="['129067']"/>
        <s v="['129078']"/>
        <s v="['129069', '129070', '129071', '129072', '129073', '129074', '129075', '129076', '129077']"/>
        <s v="['129079']"/>
        <s v="['129084', '129085']"/>
        <s v="['129086', '129087', '129088', '129089']"/>
        <s v="['129064']"/>
        <s v="['129090', '129098']"/>
        <s v="['129092']"/>
        <s v="['129100']"/>
        <s v="['129099']"/>
        <s v="['129110', '129111']"/>
        <s v="['129093']['129104', '129105', '129106', '129107']"/>
        <s v="['129108', '129109']"/>
        <s v="['129094']"/>
        <s v="['129096', '129097']"/>
        <s v="['129113', '129114', '129115', '129116', '129117']"/>
        <s v="['129091']"/>
        <s v="['129131', '129132', '129133', '129134']"/>
        <s v="['129149']"/>
        <s v="['129138']"/>
        <s v="['129140']"/>
        <s v="['129135']"/>
        <s v="['129124']"/>
        <s v="['129129']['129130']"/>
        <s v="['129122', '129123']['129137']"/>
        <s v="['129125', '129126', '129127']"/>
        <s v="['129136']['129121']"/>
        <s v="['129128']"/>
        <s v="['129142', '129143', '129144', '129145', '129146', '129147']"/>
        <s v="['129141']"/>
        <s v="['129163', '129164', '129165']"/>
        <s v="['129172', '129173']"/>
        <s v="['129155']"/>
        <s v="['129156']"/>
        <s v="['129162']"/>
        <s v="['129153']"/>
        <s v="['129150']"/>
        <s v="['129171']"/>
        <s v="['129158', '129159']"/>
        <s v="['129152']"/>
        <s v="['129160', '129161']"/>
        <s v="['129154']"/>
        <s v="['129157']"/>
        <s v="['129166', '129167', '129168']['129151']"/>
        <s v="['129169', '129170']"/>
        <s v="['129175']"/>
        <s v="['129176', '129177']"/>
        <s v="['129179']"/>
        <s v="['129174']"/>
        <s v="['129188', '129189']"/>
        <s v="['129184', '129185']"/>
        <s v="['129181', '129182', '129183']"/>
        <s v="['129186']"/>
        <s v="['129180']"/>
        <s v="['129193']"/>
        <s v="['129187']"/>
        <s v="['129190', '129191', '129192']"/>
        <s v="['129194', '129195', '129196', '129197', '129198']"/>
        <s v="['129199']"/>
        <s v="['129215']"/>
        <s v="['129216', '129217', '129218']"/>
        <s v="['129219', '129220', '129221']"/>
        <s v="['129211', '129212', '129213', '129214']"/>
        <s v="['129200', '129201', '129202', '129203', '129204', '129205', '129206', '129207', '129208']"/>
        <s v="['129209', '129210']"/>
        <s v="['129227']['129225', '129226']"/>
        <s v="['129224']"/>
        <s v="['129222', '129223']"/>
        <s v="['129281']"/>
        <s v="['129278', '129279']"/>
        <s v="['129308']"/>
        <s v="['129282', '129285']['129284']"/>
        <s v="['129307']"/>
        <s v="['129296', '129298', '129299', '129300', '129301']'129297']"/>
        <s v="['129302', '129303']"/>
        <s v="['129287', '129288', '129289', '129290', '129291', '129292', '129293', '129294', '129295']"/>
        <s v="['129338']"/>
        <s v="['129332']"/>
        <s v="['129349', '129350']"/>
        <s v="['129334']"/>
        <s v="['129309']"/>
        <s v="['129310', '129311', '129312', '129313', '129314', '129315', '129316', '129317', '129319', '129320', '129321', '129322', '129323', '129324', '129325']'129318']"/>
        <s v="['129326', '129327', '129328', '129329', '129330', '129331']"/>
        <s v="['129341', '129342', '129343', '129344']"/>
        <s v="['129339', '129340']"/>
        <s v="['129345', '129346', '129347', '129348']"/>
        <s v="['129335', '129336']"/>
        <s v="['129351']"/>
        <s v="['129359']"/>
        <s v="['129352']"/>
        <s v="['129355', '129356']"/>
        <s v="['129358']"/>
        <s v="['129372', '129373']"/>
        <s v="['129360', '129361', '129362', '129363', '129364', '129365', '129366', '129367', '129368', '129369']"/>
        <s v="['129376', '129377', '129378', '129380', '129381']'129379']"/>
        <s v="['129382']"/>
        <s v="['129383']"/>
        <s v="['129415']"/>
        <s v="['129394', '129395', '129396', '129397', '129398', '129399', '129400', '129401', '129402']"/>
        <s v="['129406']"/>
        <s v="['129385', '129386', '129387', '129388', '129389', '129390', '129391', '129392', '129393']"/>
        <s v="['129403', '129404', '129405']"/>
        <s v="['129407', '129408', '129409', '129410']"/>
        <s v="['129417']['129416']"/>
        <s v="['129411', '129413', '129414']'129412']"/>
        <s v="['129442']"/>
        <s v="['129424']"/>
        <s v="['129421']"/>
        <s v="['129454', '129455']"/>
        <s v="['129452', '129453']"/>
        <s v="['129435', '129436', '129437', '129438']"/>
        <s v="['129439']"/>
        <s v="['129422', '129423']"/>
        <s v="['129420']"/>
        <s v="['129425', '129426', '129427', '129428', '129429', '129431', '129432', '129433', '129434']['129430']"/>
        <s v="['129440']"/>
        <s v="['129443', '129444']"/>
        <s v="['129448', '129449', '129451']['129450']"/>
        <s v="['129445', '129446']"/>
        <s v="['129487', '129488', '129489']"/>
        <s v="['129490']"/>
        <s v="['129472']"/>
        <s v="['129456']"/>
        <s v="['129479']"/>
        <s v="['129473', '129474']"/>
        <s v="['129475']['129476']"/>
        <s v="['129477', '129478']"/>
        <s v="['129460', '129461', '129462', '129463', '129464', '129465', '129466', '129467', '129468', '129469', '129470', '129471']"/>
        <s v="['129459']"/>
        <s v="['129480', '129481', '129482', '129483', '129484', '129485', '129486']"/>
        <s v="['129543']"/>
        <s v="['129491', '129492']"/>
        <s v="['129515']"/>
        <s v="['129544']"/>
        <s v="['129542']"/>
        <s v="['129512']"/>
        <s v="['129547', '129548']"/>
        <s v="['129549', '129550']"/>
        <s v="['129532', '129533', '129534', '129535', '129536', '129537', '129538', '129539', '129540', '129541']"/>
        <s v="['129513', '129514']"/>
        <s v="['129556', '129557']"/>
        <s v="['129553', '129554', '129555']"/>
        <s v="['129567']"/>
        <s v="['129568']"/>
        <s v="['129580']"/>
        <s v="['129559']"/>
        <s v="['129558']"/>
        <s v="['129569', '129570', '129571', '129572', '129573', '129574', '129575', '129576', '129577', '129578', '129579']"/>
        <s v="['129560', '129561', '129562', '129563', '129564', '129565', '129566']"/>
        <s v="['129581']['129582']"/>
        <s v="['129605']"/>
        <s v="['129589']['129587', '129588']"/>
        <s v="['129584', '129585']"/>
        <s v="['129607', '129608']"/>
        <s v="['129591', '129592']"/>
        <s v="['129586']"/>
        <s v="['129606']"/>
        <s v="['129604']"/>
        <s v="['129590']"/>
        <s v="['129601']"/>
        <s v="['129593', '129594', '129595', '129596', '129597', '129598', '129599', '129600']"/>
        <s v="['129609', '129610']"/>
        <s v="['129626']"/>
        <s v="['129641']"/>
        <s v="['129625']"/>
        <s v="['129613', '129614', '129615', '129616', '129617', '129618', '129619', '129620', '129621', '129622', '129623']"/>
        <s v="['129611', '129612']"/>
        <s v="['129627']"/>
        <s v="['129634', '129635']"/>
        <s v="['129629', '129630', '129631', '129632', '129633']"/>
        <s v="['129636', '129637']"/>
        <s v="['129639']"/>
        <s v="['129650', '129651', '129652', '129653', '129654', '129655', '129656', '129657']"/>
        <s v="['129643', '129644', '129645', '129646', '129647', '129648', '129649']"/>
        <s v="['129660']"/>
        <s v="['129664']['129663']"/>
        <s v="['129690']['129691', '129692']"/>
        <s v="['129693']"/>
        <s v="['129686', '129687']"/>
        <s v="['129682', '129683']"/>
        <s v="['129681']"/>
        <s v="['129678', '129679', '129680']"/>
        <s v="['129673', '129674', '129675', '129676', '129677']"/>
        <s v="['129684', '129685']"/>
        <s v="['129671']['129670']"/>
        <s v="['129711']"/>
        <s v="['129717', '129718']"/>
        <s v="['129715']['129716']"/>
        <s v="['129708', '129709', '129710']"/>
        <s v="['129704', '129705']"/>
        <s v="['129697', '129698', '129699', '129700', '129701', '129702', '129703']"/>
        <s v="['129706', '129707']"/>
        <s v="['129695', '129696']"/>
        <s v="['129749', '129750']"/>
        <s v="['129734', '129735']"/>
        <s v="['129736', '129737']"/>
        <s v="['129726', '129727', '129728', '129729', '129730', '129731', '129732', '129733']"/>
        <s v="['129723', '129724']"/>
        <s v="['129742', '129743', '129744', '129745', '129746', '129747']"/>
        <s v="['129748']"/>
        <s v="['129753']"/>
        <s v="['129756']"/>
        <s v="['129758', '129759', '129760', '129763', '129764', '129765', '129766', '129767', '129768']['129761', '129762']"/>
        <s v="['129769', '129770', '129771', '129772', '129773']"/>
        <s v="['129774']"/>
        <s v="['129751', '129752']"/>
        <s v="['129757']"/>
        <s v="['129787']"/>
        <s v="['129802']"/>
        <s v="['129785']"/>
        <s v="['129786']"/>
        <s v="['129790']"/>
        <s v="['129806', '129807']['129804', '129805']"/>
        <s v="['129791']"/>
        <s v="['129793', '129794', '129795', '129796', '129797', '129798', '129799']"/>
        <s v="['129784']"/>
        <s v="['129792']"/>
        <s v="['129800', '129801']"/>
        <s v="['129813', '129814']"/>
        <s v="['129809']"/>
        <s v="['129810']"/>
        <s v="['129829', '129830']"/>
        <s v="['129822', '129823', '129824', '129825', '129826', '129827', '129828']"/>
        <s v="['129820', '129821']"/>
        <s v="['129817', '129818', '129819']"/>
        <s v="['129815', '129816']"/>
        <s v="['129831']['129832']['129837']"/>
        <s v="['129838']"/>
        <s v="['129839', '129840']"/>
        <s v="['129841']"/>
        <s v="['129845', '129846', '129848', '129849', '129850', '129851', '129852', '129853', '129854', '129855', '129856', '129857', '129858', '129859', '129860']['129847']"/>
        <s v="['129876', '129877', '129878']"/>
        <s v="['129868', '129869', '129870']"/>
        <s v="['129863', '129864', '129865', '129866', '129867']"/>
        <s v="['129871', '129872', '129873']"/>
        <s v="['129843']"/>
        <s v="['129879', '129880', '129881']"/>
        <s v="['129883']"/>
        <s v="['129886']"/>
        <s v="['129922']"/>
        <s v="['129887', '129888', '129889', '129890', '129891', '129892', '129893', '129894', '129895', '129896', '129897', '129898', '129899', '129900', '129901', '129902']"/>
        <s v="['129915']['129916']"/>
        <s v="['129917', '129918']"/>
        <s v="['129905', '129906', '129908', '129909', '129910']['129911']"/>
        <s v="['129914']"/>
        <s v="['129924']"/>
        <s v="['129921']"/>
        <s v="['129919', '129920']"/>
        <s v="['129948', '129949']"/>
        <s v="['129954']"/>
        <s v="['129925']"/>
        <s v="['129928', '129929', '129930', '129931', '129932', '129933', '129934', '129935', '129936', '129937', '129938', '129939', '129940', '129941', '129942', '129943', '129944', '129945', '129946', '129947']"/>
        <s v="['129968', '129969', '129970', '129971', '129972']"/>
        <s v="['129955', '129956', '129957', '129958', '129959', '129960', '129961', '129962']"/>
        <s v="['129963', '129964', '129965', '129966', '129967', '129973']"/>
        <s v="['129974', '129975']"/>
        <s v="['129995']['129996']['129997']"/>
        <s v="['130006']"/>
        <s v="['129976']"/>
        <s v="['129977']"/>
        <s v="['130007']"/>
        <s v="['130008']"/>
        <s v="['129988', '129989', '129990', '129991', '129992', '129993', '129994']"/>
        <s v="['129978', '129979']"/>
        <s v="['129980', '129981', '129982', '129983']"/>
        <s v="['129986']['129984', '129985', '129987']"/>
        <s v="['130009']"/>
        <s v="['130001', '130002', '130003', '130004', '130005']"/>
        <s v="['130015']"/>
        <s v="['130016', '130033']"/>
        <s v="['130038', '130039']"/>
        <s v="['130017']"/>
        <s v="['130035', '130036']"/>
        <s v="['130029', '130030']"/>
        <s v="['130020', '130021', '130022', '130023', '130024', '130025', '130026', '130027', '130028']"/>
        <s v="['130012', '130013', '130014']"/>
        <s v="['130031']"/>
        <s v="['130034']"/>
        <s v="['130041']"/>
        <s v="['130043']"/>
        <s v="['130042']"/>
        <s v="['130060', '130061']"/>
        <s v="['130050', '130052', '130053', '130054', '130055', '130056']['130051']"/>
        <s v="['130049']"/>
        <s v="['130085']"/>
        <s v="['130068']"/>
        <s v="['130067']"/>
        <s v="['130082']"/>
        <s v="['130084']"/>
        <s v="['130069']"/>
        <s v="['130090', '130091']['130088', '130089']"/>
        <s v="['130079', '130080']['130078', '130083']"/>
        <s v="['130075', '130076']"/>
        <s v="['130071', '130072', '130073']"/>
        <s v="['130074']"/>
        <s v="['130096', '130097']"/>
        <s v="['130094', '130095']"/>
        <s v="['130125']"/>
        <s v="['130126']['130127']"/>
        <s v="['130098']"/>
        <s v="['130100']"/>
        <s v="['130128']"/>
        <s v="['130119', '130120', '130121', '130122']"/>
        <s v="['130124']"/>
        <s v="['130123']"/>
        <s v="['130107', '130108', '130110', '130111', '130112', '130113', '130114', '130115', '130116', '130117']['130109']"/>
        <s v="['130118']"/>
        <s v="['130131', '130132', '130133', '130134', '130135', '130136', '130137']"/>
        <s v="['130129', '130130']"/>
        <s v="['130140']['130141']"/>
        <s v="['130142', '130143']"/>
        <s v="['130152']"/>
        <s v="['130147']"/>
        <s v="['130144']"/>
        <s v="['130155']"/>
        <s v="['130157']"/>
        <s v="['130156']"/>
        <s v="['130145']"/>
        <s v="['130154']"/>
        <s v="['130160']"/>
        <s v="['130162']"/>
        <s v="['130161']"/>
        <s v="['130186']"/>
        <s v="['130164']"/>
        <s v="['130183', '130184', '130185']"/>
        <s v="['130180']"/>
        <s v="['130181', '130182']"/>
        <s v="['130172', '130174', '130175', '130176', '130177', '130178', '130179']['130173']"/>
        <s v="['130190']"/>
        <s v="['130187']"/>
        <s v="['130188']"/>
        <s v="['130189']"/>
        <s v="['130207', '130208', '130209', '130210']['130211']"/>
        <s v="['130191', '130192', '130193', '130194', '130195', '130196', '130197', '130198', '130199']"/>
        <s v="['130200', '130201', '130202', '130203', '130205', '130206']['130204']"/>
        <s v="['130222']"/>
        <s v="['130219', '130220', '130221']"/>
        <s v="['130213']"/>
        <s v="['130214']"/>
        <s v="['130217']"/>
        <s v="['130223']"/>
        <s v="['130228']['130227']"/>
        <s v="['130224']"/>
        <s v="['130233', '130234']"/>
        <s v="['130226']['130225']"/>
        <s v="['130231']['130230']"/>
        <s v="['130229']"/>
        <s v="['130238']"/>
        <s v="['130236', '130237']"/>
        <s v="['130235']"/>
        <s v="['130239', '130240']"/>
        <s v="['130252', '130269']['130251']"/>
        <s v="['130284', '130285']"/>
        <s v="['130242', '130243']"/>
        <s v="['130244', '130245', '130246']"/>
        <s v="['130248', '130250']['130249']"/>
        <s v="['130266', '130267', '130268']"/>
        <s v="['130262', '130263', '130264', '130265']"/>
        <s v="['130254', '130255', '130256', '130257', '130258', '130259', '130260', '130261']"/>
        <s v="['130279']['130280']"/>
        <s v="['130287']"/>
        <s v="['130283']"/>
        <s v="['130271', '130272', '130273', '130274', '130275', '130276', '130277']"/>
        <s v="['130281', '130282']"/>
        <s v="['130316']"/>
        <s v="['130295']"/>
        <s v="['130294']"/>
        <s v="['130296']"/>
        <s v="['130310']"/>
        <s v="['130317']"/>
        <s v="['130313']"/>
        <s v="['130315']"/>
        <s v="['130288', '130289']"/>
        <s v="['130292', '130293']"/>
        <s v="['130290', '130291']"/>
        <s v="['130307', '130308']"/>
        <s v="['130309']"/>
        <s v="['130299', '130300', '130301', '130302', '130303', '130304', '130305', '130306']"/>
        <s v="['130314']"/>
        <s v="['130339', '130342', '130343', '130344', '130345', '130346', '130347', '130348', '130349']['130340', '130341']"/>
        <s v="['130329', '130330', '130331', '130332', '130333', '130334', '130335', '130336', '130337', '130338']"/>
        <s v="['130318']"/>
        <s v="['130324', '130325']"/>
        <s v="['130326', '130327', '130328']"/>
        <s v="['130319', '130320', '130321', '130322', '130323']"/>
        <s v="['130350']"/>
        <s v="['130360', '130361']"/>
        <s v="['130351', '130352', '130353', '130354', '130355', '130356', '130357', '130358', '130359']"/>
        <s v="['130367']"/>
        <s v="['130366']"/>
        <s v="['130369']"/>
        <s v="['130363']"/>
        <s v="['130395', '130396', '130397', '130398', '130399', '130400', '130401', '130402', '130403', '130405', '130406', '130407', '130408', '130409', '130410', '130411', '130412', '130413', '130414', '130415', '130416', '130417', '130418', '130419']"/>
        <s v="['130420', '130421', '130423', '130424', '130426', '130427', '130428', '130429', '130430', '130431', '130432', '130433', '130434', '130435', '130436', '130437', '130439', '130440', '130441', '130442', '130443', '130444']['130425']['130422']['130438']"/>
        <s v="['130379', '130380', '130381', '130382', '130383', '130384', '130385', '130386', '130387', '130388', '130389', '130390', '130391', '130392', '130393']['130394']"/>
        <s v="['130374', '130375', '130376', '130377', '130378']"/>
        <s v="['130370', '130371']['130372']"/>
        <s v="['130446']"/>
        <s v="['130445']"/>
        <s v="['130447']"/>
        <s v="['130483']['130481', '130482']['130480']"/>
        <s v="['130458', '130459']"/>
        <s v="['130470', '130471', '130472', '130473', '130474', '130475', '130476', '130477']['130478']"/>
        <s v="['130448', '130449', '130450', '130451', '130452', '130453', '130454', '130455', '130456', '130457']"/>
        <s v="['130460', '130461', '130462', '130463', '130464', '130465', '130466', '130467', '130468', '130469']"/>
        <s v="['130485']['130484']"/>
        <s v="['130479']"/>
        <s v="['130486', '130487']"/>
        <s v="['130494']"/>
        <s v="['130493']"/>
        <s v="['130510', '130511', '130512']"/>
        <s v="['130507', '130508']"/>
        <s v="['130489', '130490']"/>
        <s v="['130497', '130498', '130499', '130500', '130501', '130502', '130503', '130504', '130505', '130506']"/>
        <s v="['130513']"/>
        <s v="['130495']['130496']"/>
        <s v="['130509']"/>
        <s v="['130514', '130515', '130516', '130517', '130518', '130519', '130520', '130521']"/>
        <s v="['130524']"/>
        <s v="['130526', '130527']"/>
        <s v="['130525']"/>
        <s v="['130575']"/>
        <s v="['130576', '130577', '130578']"/>
        <s v="['130529', '130530', '130532', '130533', '130534', '130535', '130536', '130537', '130538', '130539', '130541', '130543', '130544', '130545', '130546', '130547', '130548', '130549', '130550', '130551', '130552']['130531', '130542']"/>
        <s v="['130528']"/>
        <s v="['130555', '130556', '130557', '130558', '130559', '130560']"/>
        <s v="['130568', '130569', '130570', '130571', '130572', '130573', '130574']"/>
        <s v="['130561', '130562', '130563', '130564', '130565', '130566', '130567']"/>
        <s v="['130579', '130580']"/>
        <s v="['130587', '130588']"/>
        <s v="['130605']"/>
        <s v="['130581']"/>
        <s v="['130593']"/>
        <s v="['130594', '130595']"/>
        <s v="['130597', '130598', '130599', '130600', '130601', '130602', '130603']"/>
        <s v="['130596']"/>
        <s v="['130647', '130648']"/>
        <s v="['130626', '130627']"/>
        <s v="['130628']"/>
        <s v="['130659']['130660']"/>
        <s v="['130629', '130630', '130631', '130632', '130633', '130634', '130635', '130636', '130637', '130638', '130640', '130641', '130642', '130643', '130644', '130645']"/>
        <s v="['130664']"/>
        <s v="['130667']"/>
        <s v="['130653']"/>
        <s v="['130650', '130651']['130649']"/>
        <s v="['130663']"/>
        <s v="['130661', '130662']"/>
        <s v="['130696']['130699']"/>
        <s v="['130670', '130671']"/>
        <s v="['130672']"/>
        <s v="['130677']"/>
        <s v="['130697', '130698']"/>
        <s v="['130701']['130700', '130702']"/>
        <s v="['130669']"/>
        <s v="['130685']['130686', '130687']"/>
        <s v="['130678', '130679', '130680', '130681', '130682', '130683', '130684']"/>
        <s v="['130688']['130689']"/>
        <s v="['130675', '130676']"/>
        <s v="['130695']"/>
        <s v="['130691', '130692', '130693']"/>
        <s v="['130694']"/>
        <s v="['130721']"/>
        <s v="['130730', '130731']"/>
        <s v="['130704']"/>
        <s v="['130707', '130708']"/>
        <s v="['130714']"/>
        <s v="['130709', '130710', '130711', '130712', '130713']"/>
        <s v="['130715', '130716']"/>
        <s v="['130722', '130723', '130724', '130725', '130726', '130727']['130728']"/>
        <s v="['130729']"/>
        <s v="['130718', '130719']"/>
        <s v="['130736']"/>
        <s v="['130735']"/>
        <s v="['130761']"/>
        <s v="['130776', '130777']"/>
        <s v="['130780', '130781']"/>
        <s v="['130747', '130748', '130749', '130750', '130751', '130752', '130753', '130754', '130755', '130756']['130746']"/>
        <s v="['130757', '130759', '130760']'130758']"/>
        <s v="['130763', '130764', '130765']"/>
        <s v="['130737', '130738', '130739', '130740', '130741', '130742', '130743', '130744', '130745']"/>
        <s v="['130778', '130779']"/>
        <s v="['130766', '130767', '130768', '130769', '130771', '130772', '130773', '130774']['130770']"/>
        <s v="['130814']"/>
        <s v="['130813']"/>
        <s v="['130790']"/>
        <s v="['130788']['130789']"/>
        <s v="['130786']"/>
        <s v="['130822', '130823', '130824', '130825', '130826', '130827', '130828', '130829', '130830', '130831', '130832', '130833', '130834', '130835', '130836', '130837', '130838']['130821']"/>
        <s v="['130791', '130792', '130793', '130794', '130795', '130796', '130797', '130798', '130799', '130800', '130801', '130802', '130803', '130805', '130806', '130807', '130808', '130809', '130810', '130811', '130812']['130804']"/>
        <s v="['130852']"/>
        <s v="['130843', '130844']"/>
        <s v="['130815', '130816', '130817', '130819', '130820']['130818']"/>
        <s v="['130839', '130840', '130841', '130842']"/>
        <s v="['130848', '130849', '130850', '130851']"/>
        <s v="['130858']"/>
        <s v="['130881']"/>
        <s v="['130853']"/>
        <s v="['130886']"/>
        <s v="['130882', '130883']"/>
        <s v="['130855', '130856']['130854']"/>
        <s v="['130864', '130865', '130866', '130867', '130868', '130869', '130870', '130871', '130872']"/>
        <s v="['130876', '130877', '130878', '130879', '130880']"/>
        <s v="['130860', '130861', '130862']['130873', '130874', '130875']['130859']"/>
        <s v="['130887', '130888', '130889', '130890']"/>
        <s v="['130884']"/>
        <s v="['130885']"/>
        <s v="['130908']"/>
        <s v="['130913']"/>
        <s v="['130914']"/>
        <s v="['130891']"/>
        <s v="['130925']"/>
        <s v="['130912']"/>
        <s v="['130893']"/>
        <s v="['130910', '130911']['130909']"/>
        <s v="['130894', '130895', '130896', '130897', '130898', '130899', '130900', '130901', '130902', '130903', '130904', '130905', '130906', '130907']"/>
        <s v="['130917', '130918', '130919', '130920', '130921']"/>
        <s v="['130923']"/>
        <s v="['130915', '130916']"/>
        <s v="['130922']"/>
        <s v="['130937', '130938']"/>
        <s v="['130929']"/>
        <s v="['130928']"/>
        <s v="['130932']"/>
        <s v="['130931']"/>
        <s v="['130953', '130954', '130955']"/>
        <s v="['130941', '130942']['130939', '130940']"/>
        <s v="['130934']"/>
        <s v="['130950', '130951']"/>
        <s v="['130943', '130944', '130945', '130946', '130947', '130948', '130949']"/>
        <s v="['130959']"/>
        <s v="['130958']"/>
        <s v="['130979']['130978']"/>
        <s v="['130960', '130961', '130962', '130963', '130964', '130965', '130966', '130967', '130968', '130969', '130970', '130971', '130972', '130973', '130974', '130975', '130976', '130977']"/>
        <s v="['130982']"/>
        <s v="['130980']"/>
        <s v="['130983', '130984']"/>
        <s v="['130981']"/>
        <s v="['131041']"/>
        <s v="['131038', '131076']"/>
        <s v="['131039']"/>
        <s v="['131059', '131060', '131061', '131062', '131063', '131064', '131065', '131066', '131067', '131068', '131069', '131070', '131071', '131072', '131073', '131074']"/>
        <s v="['131040']"/>
        <s v="['131045']"/>
        <s v="['131042', '131043', '131044']"/>
        <s v="['131047', '131048']"/>
        <s v="['131046']"/>
        <s v="['131049', '131050', '131051', '131052', '131053', '131054', '131055', '131056', '131057', '131058']"/>
        <s v="['131083']"/>
        <s v="['131090']"/>
        <s v="['131080', '131081']"/>
        <s v="['131086', '131087']"/>
        <s v="['131085']['131084']"/>
        <s v="['131088', '131089']"/>
        <s v="['131091']"/>
        <s v="['131099']"/>
        <s v="['131102', '131103', '131104', '131105']"/>
        <s v="['131112']['131109', '131110', '131111']['131106', '131107', '131108']"/>
        <s v="['131098']"/>
        <s v="['131093']['131094']"/>
        <s v="['131128', '131129']"/>
        <s v="['131113', '131114', '131115', '131116', '131117', '131118', '131119', '131120', '131121', '131122']"/>
        <s v="['131126']"/>
        <s v="['131150']"/>
        <s v="['131137']"/>
        <s v="['131134', '131135', '131136']"/>
        <s v="['131132', '131133']"/>
        <s v="['131130', '131131']"/>
        <s v="['131149']"/>
        <s v="['131145', '131146']"/>
        <s v="['131148']"/>
        <s v="['131154', '131155']"/>
        <s v="['131152']"/>
        <s v="['131153']"/>
        <s v="['131180', '131181', '131182', '131183', '131184', '131185', '131186', '131187', '131188', '131189', '131191', '131192', '131193', '131194', '131195']"/>
        <s v="['131177', '131178']"/>
        <s v="['131156', '131158', '131159', '131160', '131161', '131162', '131163', '131164', '131165', '131166', '131167']['131157']"/>
        <s v="['131176']"/>
        <s v="['131168', '131169', '131170', '131171', '131172', '131173', '131174']"/>
        <s v="['131197']"/>
        <s v="['131198', '131199']"/>
        <s v="['131179']"/>
        <s v="['131200']"/>
        <s v="['131201']"/>
        <s v="['131234']['131233']['131251', '131252']"/>
        <s v="['131250']"/>
        <s v="['131231']"/>
        <s v="['131220', '131221', '131222', '131223', '131224', '131225', '131226', '131227', '131228', '131229', '131230']"/>
        <s v="['131216', '131217', '131218', '131219']"/>
        <s v="['131202', '131203', '131204', '131205', '131206', '131207', '131208', '131209', '131210', '131211', '131212', '131213', '131214', '131215']"/>
        <s v="['131248', '131249']"/>
        <s v="['131235']"/>
        <s v="['131236', '131237', '131238', '131239', '131240', '131241', '131242', '131243', '131244', '131245', '131246', '131247']"/>
        <s v="['131278', '131279']"/>
        <s v="['131280']"/>
        <s v="['131282']['131283']"/>
        <s v="['131254']"/>
        <s v="['131255']"/>
        <s v="['131256', '131257']"/>
        <s v="['131269', '131270', '131271', '131272', '131273', '131274', '131275', '131276']"/>
        <s v="['131258', '131259', '131260', '131261', '131262', '131263', '131264', '131265', '131266', '131267']"/>
        <s v="['131268']"/>
        <s v="['131286', '131287', '131288', '131289', '131290', '131291', '131292', '131293', '131294', '131295', '131296', '131297', '131298', '131299', '131300', '131301', '131302', '131303']"/>
        <s v="['131306']"/>
        <s v="['131315', '131316', '131317']"/>
        <s v="['131313']"/>
        <s v="['131307', '131308', '131309', '131310', '131311', '131312']"/>
        <s v="['131327']['131326']"/>
        <s v="['131285']"/>
        <s v="['131328']"/>
        <s v="['131284']['131318', '131319', '131320', '131321', '131322', '131323', '131324', '131325']"/>
        <s v="['131347']"/>
        <s v="['131329']"/>
        <s v="['131346']"/>
        <s v="['131334', '131335', '131336', '131337', '131338', '131339', '131340', '131341', '131342', '131343', '131344', '131345']"/>
        <s v="['131330']"/>
        <s v="['131351']"/>
        <s v="['131332', '131333']"/>
        <s v="['131348']"/>
        <s v="['131349', '131350']"/>
        <s v="['131353']"/>
        <s v="['131395']"/>
        <s v="['131400']"/>
        <s v="['131401', '131402', '131403']"/>
        <s v="['131398', '131399']"/>
        <s v="['131374', '131375', '131376', '131377', '131378', '131379', '131380', '131381', '131382', '131383', '131384', '131385', '131386', '131387', '131388', '131389', '131390', '131392', '131393', '131394']['131391']"/>
        <s v="['131352']"/>
        <s v="['131354']"/>
        <s v="['131357', '131358', '131359']"/>
        <s v="['131360', '131361', '131362', '131363', '131364', '131365', '131366', '131367', '131368', '131369', '131370', '131371', '131372']"/>
        <s v="['131396']"/>
        <s v="['131408']"/>
        <s v="['131355']"/>
        <s v="['131439', '131440']"/>
        <s v="['131417']"/>
        <s v="['131416']"/>
        <s v="['131432', '131433', '131434', '131435', '131436', '131437', '131438']"/>
        <s v="['131410', '131411', '131412', '131413', '131414', '131415']"/>
        <s v="['131418', '131419', '131420', '131421', '131422', '131423', '131424', '131425', '131426', '131427']"/>
        <s v="['131428']"/>
        <s v="['131430', '131431']['131429']"/>
        <s v="['131441', '131442', '131443', '131444', '131445', '131446', '131447', '131449']['131448']"/>
        <s v="['131450']"/>
        <s v="['131451']"/>
        <s v="['131475']"/>
        <s v="['131473', '131474']"/>
        <s v="['131490', '131491']"/>
        <s v="['131492']"/>
        <s v="['131488', '131489']"/>
        <s v="['131470']"/>
        <s v="['131476']"/>
        <s v="['131477']"/>
        <s v="['131471', '131472']"/>
        <s v="['131456', '131457', '131458', '131459', '131460', '131461', '131462', '131463', '131464', '131466', '131467', '131468', '131469']['131465']"/>
        <s v="['131486', '131487']"/>
        <s v="['131524', '131525', '131526', '131527', '131528', '131529', '131530']"/>
        <s v="['131556', '131557']"/>
        <s v="['131558', '131559']"/>
        <s v="['131538', '131539', '131540', '131541', '131542', '131543', '131544', '131545']"/>
        <s v="['131546', '131547', '131549', '131550', '131551', '131552']['131548']"/>
        <s v="['131531', '131532', '131533', '131534', '131536', '131537']"/>
        <s v="['131560']"/>
        <s v="['131566']"/>
        <s v="['131588', '131589', '131590']"/>
        <s v="['131561']"/>
        <s v="['131592', '131593']"/>
        <s v="['131606']"/>
        <s v="['131563']"/>
        <s v="['131605']"/>
        <s v="['131591', '131600']"/>
        <s v="['131577', '131578', '131579', '131580', '131581', '131582', '131583']['131584']"/>
        <s v="['131585', '131586', '131587']"/>
        <s v="['131567', '131568', '131569', '131570', '131571', '131573', '131574', '131575', '131576']['131572']"/>
        <s v="['131562']"/>
        <s v="['131602']"/>
        <s v="['131665', '131666']"/>
        <s v="['131607']"/>
        <s v="['131667']['131668']"/>
        <s v="['131680']"/>
        <s v="['131681']"/>
        <s v="['131652', '131653', '131654', '131655', '131656', '131657', '131658', '131659', '131660', '131661', '131662', '131663', '131664']['131651']"/>
        <s v="['131642', '131643', '131644', '131645', '131646', '131647']['131648', '131649', '131650']"/>
        <s v="['131620', '131621', '131622', '131623', '131624', '131625', '131626', '131627', '131628', '131629', '131630', '131631', '131632', '131633', '131634', '131635', '131636', '131637', '131638', '131639', '131640', '131641']"/>
        <s v="['131608', '131609', '131610', '131611', '131612', '131613']"/>
        <s v="['131669', '131671', '131672', '131673', '131674', '131675', '131682']['131677']"/>
        <s v="['131678', '131679']"/>
        <s v="['131726']"/>
        <s v="['131725']"/>
        <s v="['131686']"/>
        <s v="['131684', '131685']"/>
        <s v="['131720', '131721']"/>
        <s v="['131718', '131719']"/>
        <s v="['131731']"/>
        <s v="['131687', '131688', '131689']"/>
        <s v="['131712', '131713', '131714', '131715', '131716', '131717']"/>
        <s v="['131696', '131697', '131698', '131699', '131700', '131701', '131702', '131703', '131704', '131705', '131706', '131707', '131708', '131709', '131710', '131711']"/>
        <s v="['131727', '131728']"/>
        <s v="['131780', '131781']"/>
        <s v="['131767']['131768']"/>
        <s v="['131739']"/>
        <s v="['131788']"/>
        <s v="['131733', '131734']"/>
        <s v="['131762', '131763', '131764', '131765']"/>
        <s v="['131748', '131749', '131750', '131751', '131752', '131753', '131754', '131755', '131756', '131757', '131758', '131759', '131760', '131761']"/>
        <s v="['131735']"/>
        <s v="['131766']"/>
        <s v="['131778', '131779']"/>
        <s v="['131769', '131770', '131771', '131772', '131773', '131774', '131775', '131776']"/>
        <s v="['131789', '131790', '131791']"/>
        <s v="['131792']"/>
        <s v="['131796']"/>
        <s v="['131793']"/>
        <s v="['131794']"/>
        <s v="['131795']"/>
        <s v="['131802']"/>
        <s v="['131819']"/>
        <s v="['131820']"/>
        <s v="['131821']"/>
        <s v="['131827', '131828']"/>
        <s v="['131826']"/>
        <s v="['131829']"/>
        <s v="['131810', '131811', '131812', '131813', '131814', '131815', '131816', '131817', '131818']"/>
        <s v="['131803', '131804', '131805', '131806', '131807', '131808', '131809']"/>
        <s v="['131823']['131822']"/>
        <s v="['131801']"/>
        <s v="['131835']"/>
        <s v="['131839']"/>
        <s v="['131840', '131841', '131842', '131843', '131844', '131845', '131846', '131847', '131848', '131849', '131850', '131851', '131852', '131853', '131854', '131855', '131856']"/>
        <s v="['131837', '131838']"/>
        <s v="['131874', '131875']"/>
        <s v="['131876']"/>
        <s v="['131857', '131858', '131859', '131860', '131861', '131862']['131863']"/>
        <s v="['131864']"/>
        <s v="['131836']"/>
        <s v="['131877']"/>
        <s v="['131865', '131866', '131867', '131868', '131869', '131870', '131872']['131871']"/>
        <s v="['131881']"/>
        <s v="['131879', '131880']"/>
        <s v="['131900']['131898']"/>
        <s v="['131901']131899']"/>
        <s v="['131882']"/>
        <s v="['131893', '131894', '131895']"/>
        <s v="['131883']"/>
        <s v="['131884', '131885', '131886', '131887', '131888', '131889', '131890', '131891', '131892']"/>
        <s v="['131905']['131906']"/>
        <s v="['131922']"/>
        <s v="['131904']"/>
        <s v="['131903']"/>
        <s v="['131924']"/>
        <s v="['131925']"/>
        <s v="['131913', '131914']"/>
        <s v="['131915', '131916', '131917', '131918', '131919']"/>
        <s v="['131907', '131908', '131909', '131910', '131911', '131912']"/>
        <s v="['131920', '131921']"/>
        <s v="['131933', '131934']"/>
        <s v="['131927']"/>
        <s v="['131938']"/>
        <s v="['131928']"/>
        <s v="['131941']"/>
        <s v="['131926']"/>
        <s v="['131939', '131940']"/>
        <s v="['131935', '131936', '131937']"/>
        <s v="['131929', '131930', '131931']"/>
        <s v="['131950', '131951']"/>
        <s v="['131965']"/>
        <s v="['131963']"/>
        <s v="['131944', '131945', '131947', '131948']"/>
        <s v="['131962']"/>
        <s v="['131954']"/>
        <s v="['131964']"/>
        <s v="['131966']"/>
        <s v="['131985', '131986']"/>
        <s v="['131987']"/>
        <s v="['131992', '131993']['131991']"/>
        <s v="['131989', '131990']"/>
        <s v="['131981', '131982', '131983', '131984']"/>
        <s v="['131994']"/>
        <s v="['131971']"/>
        <s v="['131973', '131974', '131975', '131976', '131977', '131978', '131979', '131980']"/>
        <s v="['131995', '131996', '131997']"/>
        <s v="['132000', '132001', '132003', '132004', '132005']['132002']"/>
        <s v="['131998']['131999']"/>
        <s v="['132021']"/>
        <s v="['132031']"/>
        <s v="['132032', '132033']"/>
        <s v="['132026', '132028', '132029']['132027']"/>
        <s v="['132030']"/>
        <s v="['132006']"/>
        <s v="['132022', '132023']"/>
        <s v="['132020']"/>
        <s v="['132007', '132008', '132009', '132010', '132011', '132012', '132013', '132014', '132015', '132016', '132017']"/>
        <s v="['132024', '132025']"/>
        <s v="['132037']"/>
        <s v="['132040', '132041', '132042', '132043', '132044', '132045', '132047', '132048', '132049', '132050', '132051', '132052', '132053', '132054']['132046']"/>
        <s v="['132038']['132073', '132074', '132075', '132076']['132077']"/>
        <s v="['132055']"/>
        <s v="['132070', '132071']['132072']"/>
        <s v="['132056', '132057', '132058', '132059', '132060', '132061', '132062', '132063', '132064', '132065', '132066', '132067', '132068', '132069']"/>
        <s v="['132090', '132091']"/>
        <s v="['132092']"/>
        <s v="['132078', '132079', '132080', '132081', '132082', '132083', '132084']"/>
        <s v="['132107']"/>
        <s v="['132108', '132109', '132110', '132111', '132112', '132113', '132114', '132115', '132116', '132117', '132118', '132119', '132120', '132121', '132122', '132123', '132124', '132125', '132126']"/>
        <s v="['132096', '132097', '132098', '132099', '132100', '132101', '132102']"/>
        <s v="['132103', '132104', '132105']"/>
        <s v="['132094']"/>
        <s v="['132162']['132163']"/>
        <s v="['132157', '132158']"/>
        <s v="['132159', '132160', '132161']"/>
        <s v="['132145', '132146', '132147', '132148', '132149', '132150', '132151', '132152']"/>
        <s v="['132127', '132128']"/>
        <s v="['132130', '132131', '132132', '132133', '132134', '132135', '132136', '132137', '132138', '132139', '132140', '132141', '132142']"/>
        <s v="['132143', '132144']"/>
        <s v="['132156']"/>
        <s v="['132165', '132166', '132167']"/>
        <s v="['132182', '132183']"/>
        <s v="['132195']"/>
        <s v="['132168', '132169', '132170', '132171', '132172', '132173', '132174', '132175', '132176', '132177', '132178', '132180', '132181']['132179']"/>
        <s v="['132196']"/>
        <s v="['132184']"/>
        <s v="['132197']"/>
        <s v="['132185', '132186', '132187', '132188', '132189', '132190', '132191', '132192', '132193']"/>
        <s v="['132198', '132199']"/>
        <s v="['132246']"/>
        <s v="['132270']"/>
        <s v="['132262', '132263']"/>
        <s v="['132260', '132261']"/>
        <s v="['132228']"/>
        <s v="['132264']"/>
        <s v="['132243', '132244']['132266', '132267', '132268']"/>
        <s v="['132241', '132242']"/>
        <s v="['132229', '132230', '132231', '132232', '132233', '132234', '132235', '132236', '132237', '132238', '132239', '132240']"/>
        <s v="['132250']"/>
        <s v="['132251', '132252', '132253', '132254', '132255', '132256', '132257', '132258', '132259']"/>
        <s v="['132265']"/>
        <s v="['132303']"/>
        <s v="['132289']"/>
        <s v="['132290', '132291']"/>
        <s v="['132292']"/>
        <s v="['132296']"/>
        <s v="['132297']"/>
        <s v="['132271', '132272', '132273', '132274', '132275', '132276', '132277', '132278', '132279', '132280', '132281', '132282', '132283', '132284', '132285', '132286', '132287', '132288']"/>
        <s v="['132305']['132304']"/>
        <s v="['132306']"/>
        <s v="['132307']"/>
        <s v="['132309']"/>
        <s v="['132308']"/>
        <s v="['132315', '132316']"/>
        <s v="['132312']"/>
        <s v="['132313']"/>
        <s v="['132317']"/>
        <s v="['132314']"/>
        <s v="['132311']"/>
        <s v="['132320']"/>
        <s v="['132318']"/>
        <s v="['132319']"/>
        <s v="['132322']"/>
        <s v="['132321']"/>
        <s v="['132326']"/>
        <s v="['132345', '132346']"/>
        <s v="['132360']"/>
        <s v="['132347']"/>
        <s v="['132361']"/>
        <s v="['132343']"/>
        <s v="['132327', '132328', '132330', '132331', '132332', '132333', '132334', '132335', '132336', '132337', '132338']['132329']"/>
        <s v="['132339', '132340', '132341', '132342']"/>
        <s v="['132348', '132349', '132350', '132351', '132352', '132353', '132356', '132357', '132358']"/>
        <s v="['132402']"/>
        <s v="['132370']"/>
        <s v="['132367']"/>
        <s v="['132387', '132388', '132389', '132390', '132391', '132392', '132393', '132394', '132395', '132396', '132397', '132398', '132399', '132400', '132401']"/>
        <s v="['132368', '132369']"/>
        <s v="['132407', '132408']"/>
        <s v="['132414', '132415']"/>
        <s v="['132411']"/>
        <s v="['132412', '132413']"/>
        <s v="['132371', '132372', '132373', '132374', '132375']"/>
        <s v="['132376', '132377', '132378', '132379', '132380', '132381', '132382', '132383', '132384', '132385']"/>
        <s v="['132409', '132410']"/>
        <s v="['132418']"/>
        <s v="['132416', '132417']"/>
        <s v="['132424']"/>
        <s v="['132421', '132422']"/>
        <s v="['132420']"/>
        <s v="['132426', '132428', '132430', '132431', '132432']['132425']['132429']['132427']"/>
        <s v="['132423']"/>
        <s v="['132475', '132476', '132477']"/>
        <s v="['132499']"/>
        <s v="['132479', '132480', '132481', '132482', '132483', '132484']"/>
        <s v="['132478']"/>
        <s v="['132497']"/>
        <s v="['132489', '132490', '132491', '132492', '132493', '132494', '132495', '132496']"/>
        <s v="['132485', '132486', '132487']"/>
        <s v="['132521']"/>
        <s v="['132516', '132522']"/>
        <s v="['132519']['132520']['132518']"/>
        <s v="['132501']"/>
        <s v="['132500']"/>
        <s v="['132502', '132503', '132504', '132505', '132506', '132507', '132508', '132509', '132510', '132511', '132512', '132513', '132514', '132515']"/>
        <s v="['132517']"/>
        <s v="['132561']['132560']"/>
        <s v="['132557']"/>
        <s v="['132529']['132528']"/>
        <s v="['132552']"/>
        <s v="['132550', '132551']"/>
        <s v="['132531', '132532', '132533', '132534', '132535', '132536', '132537', '132538', '132539', '132540', '132541', '132542', '132543', '132544', '132545', '132546', '132547', '132548', '132549']"/>
        <s v="['132556']"/>
        <s v="['132558']"/>
        <s v="['132559']"/>
        <s v="['132553']"/>
        <s v="['132562']"/>
        <s v="['132564']"/>
        <s v="['132565']"/>
        <s v="['132619']"/>
        <s v="['132566']"/>
        <s v="['132567', '132568', '132569', '132570', '132571', '132572', '132573', '132574', '132575', '132576', '132577', '132578', '132579', '132580', '132581', '132582', '132583', '132584', '132585', '132586', '132587', '132588', '132589', '132590', '132591', '132592', '132593', '132594', '132595']"/>
        <s v="['132618']['132616', '132617']"/>
        <s v="['132596', '132597', '132598', '132599', '132600']"/>
        <s v="['132601', '132602', '132603', '132604']"/>
        <s v="['132605', '132606', '132607', '132608', '132609', '132610', '132611', '132612', '132613']"/>
        <s v="['132614', '132615']"/>
        <s v="['132563']"/>
        <s v="['132621', '132622']"/>
        <s v="['132632']"/>
        <s v="['132624']"/>
        <s v="['132623']"/>
        <s v="['132620']"/>
        <s v="['132652', '132654', '132656']"/>
        <s v="['132659']"/>
        <s v="['132633', '132634', '132635']"/>
        <s v="['132636', '132637', '132638', '132639', '132640', '132641']"/>
        <s v="['132625', '132626', '132627', '132628', '132629', '132630', '132631']"/>
        <s v="['132642', '132643', '132644', '132645', '132646', '132647', '132648', '132649', '132650', '132651']"/>
        <s v="['132685']['132684']['132686']"/>
        <s v="['132673', '132674', '132676', '132677', '132678', '132679']"/>
        <s v="['132688', '132689']"/>
        <s v="['132668']"/>
        <s v="['132669', '132670', '132671', '132672']"/>
        <s v="['132660', '132661', '132662', '132663', '132664', '132665', '132666', '132667']"/>
        <s v="['132691']"/>
        <s v="['132687']"/>
        <s v="['132717', '132718']"/>
        <s v="['132719']"/>
        <s v="['132715', '132716']"/>
        <s v="['132692', '132693', '132694', '132696', '132697', '132698', '132699', '132700', '132701', '132702', '132703', '132704', '132705', '132706', '132707', '132708', '132709', '132710', '132711', '132712', '132713']['132725']"/>
        <s v="['132725']"/>
        <s v="['132724']"/>
        <s v="['132726']"/>
        <s v="['132723']"/>
        <s v="['132730', '132731']"/>
        <s v="['132755']"/>
        <s v="['132729']"/>
        <s v="['132756', '132757']"/>
        <s v="['132732']"/>
        <s v="['132758']"/>
        <s v="['132760', '132761', '132762']"/>
        <s v="['132747', '132748', '132749', '132750', '132751', '132752', '132753']"/>
        <s v="['132735', '132736', '132737', '132738', '132739', '132740', '132741']"/>
        <s v="['132742', '132743', '132744', '132745', '132746']"/>
        <s v="['132754']"/>
        <s v="['132789']"/>
        <s v="['132779', '132780', '132781', '132782', '132783', '132784', '132785', '132786', '132787']"/>
        <s v="['132774', '132775', '132776', '132777', '132778']"/>
        <s v="['132788']"/>
        <s v="['132765', '132766', '132767', '132768', '132769', '132770', '132771', '132772', '132773']"/>
        <s v="['132791']"/>
        <s v="['132792']"/>
        <s v="['132798']"/>
        <s v="['132803']"/>
        <s v="['132795', '132796', '132797']"/>
        <s v="['132800']"/>
        <s v="['132793', '132794']"/>
        <s v="['132847']"/>
        <s v="['132848']"/>
        <s v="['132860']"/>
        <s v="['132858', '132859']"/>
        <s v="['132849']"/>
        <s v="['132842', '132843', '132844', '132845', '132846']['132841']"/>
        <s v="['132854', '132855', '132856', '132857']['132853']"/>
        <s v="['132881']"/>
        <s v="['132882']"/>
        <s v="['132865']"/>
        <s v="['132879']['132892']['132893']"/>
        <s v="['132894']"/>
        <s v="['132886', '132887', '132888']"/>
        <s v="['132867', '132868', '132869', '132870', '132871', '132872', '132873', '132874', '132875', '132876', '132877', '132878']"/>
        <s v="['132884', '132885']"/>
        <s v="['132863', '132864']"/>
        <s v="['132897', '132898']"/>
        <s v="['132896']"/>
        <s v="['132917']"/>
        <s v="['132918']"/>
        <s v="['132899', '132900', '132902', '132903', '132904']['132901']"/>
        <s v="['132895']"/>
        <s v="['132905', '132906', '132907', '132908', '132909', '132910', '132911', '132912', '132913', '132914', '132915', '132916']"/>
        <s v="['132932']"/>
        <s v="['132939']"/>
        <s v="['132935']['132936']"/>
        <s v="['132933', '132934']"/>
        <s v="['132930']['132929']"/>
        <s v="['132937']"/>
        <s v="['132940']"/>
        <s v="['132963', '132964', '132965', '132966', '132967', '132968', '132969', '132970', '132971']"/>
        <s v="['132983']"/>
        <s v="['132972', '132973', '132974', '132975', '132976', '132977', '132979', '132980', '132981', '132982']"/>
        <s v="['132945', '132946', '132948', '132949', '132950', '132951', '132952', '132953', '132954', '132956', '132957', '132958']['132959']['132947']"/>
        <s v="['132941']"/>
        <s v="['132995', '132996']"/>
        <s v="['132984']"/>
        <s v="['132986']"/>
        <s v="['132988', '132989']"/>
        <s v="['132992', '132993']"/>
        <s v="['132991']"/>
        <s v="['132997', '132999', '133000', '133001', '133002', '133003', '133004', '133005', '133006', '133007']"/>
        <s v="['132987']"/>
        <s v="['133009']"/>
        <s v="['133014']"/>
        <s v="['133011']"/>
        <s v="['133012']"/>
        <s v="['133015']"/>
        <s v="['133013']"/>
        <s v="['133016']"/>
        <s v="['133021']"/>
        <s v="['133020']['133017', '133018', '133019']"/>
        <s v="['133038', '133039']['133040']"/>
        <s v="['133022', '133023', '133024', '133025', '133026', '133027', '133028', '133029', '133030', '133031']"/>
        <s v="['133034']"/>
        <s v="['133033']"/>
        <s v="['133043', '133044']"/>
        <s v="['133045', '133046', '133047', '133048', '133049', '133050', '133051', '133052', '133053']"/>
        <s v="['133114', '133115']"/>
        <s v="['133133']"/>
        <s v="['133118']"/>
        <s v="['133117']"/>
        <s v="['133116']"/>
        <s v="['133119']"/>
        <s v="['133127', '133128', '133131']"/>
        <s v="['133129', '133130']"/>
        <s v="['133120', '133121', '133122', '133123', '133124', '133125', '133126']"/>
        <s v="['133160']"/>
        <s v="['133162']"/>
        <s v="['133158']"/>
        <s v="['133134']"/>
        <s v="['133168']"/>
        <s v="['133135', '133136', '133138', '133139', '133140', '133141', '133142', '133143', '133144', '133145', '133146', '133147', '133148', '133149', '133150', '133151', '133152', '133153', '133154', '133156', '133157']['133137']['133155']"/>
        <s v="['133166']"/>
        <s v="['133169', '133170']"/>
        <s v="['133173']"/>
        <s v="['133172']['133171']"/>
        <s v="['133183', '133184']"/>
        <s v="['133175']"/>
        <s v="['133176']"/>
        <s v="['133192']"/>
        <s v="['133177']"/>
        <s v="['133182', '133185', '133186', '133187', '133188', '133189', '133190', '133191']"/>
        <s v="['133195']"/>
        <s v="['133194']"/>
        <s v="['133200']"/>
        <s v="['133198']"/>
        <s v="['133197']"/>
        <s v="['133217', '133218', '133219']"/>
        <s v="['133227']['133226']"/>
        <s v="['133208', '133210']['133211']['133209']"/>
        <s v="['133214', '133215', '133216']['133213']['133212']"/>
        <s v="['133201', '133202', '133203', '133204', '133205', '133206', '133207']"/>
        <s v="['133196']"/>
        <s v="['133223']"/>
        <s v="['133224', '133225']"/>
        <s v="['133221']"/>
        <s v="['133285']"/>
        <s v="['133288']"/>
        <s v="['133256']"/>
        <s v="['133281']"/>
        <s v="['133286']"/>
        <s v="['133228', '133229', '133230', '133231', '133232', '133233', '133234', '133235', '133236', '133237', '133238']"/>
        <s v="['133239', '133240', '133241', '133242', '133243', '133244', '133245', '133246', '133247', '133248', '133249', '133250', '133251', '133252', '133253', '133254']"/>
        <s v="['133282']"/>
        <s v="['133257']"/>
        <s v="['133261', '133262', '133263', '133264', '133265', '133266', '133267', '133268', '133269', '133270', '133271']"/>
        <s v="['133258']"/>
        <s v="['133272', '133273', '133274', '133275', '133276', '133277', '133278', '133279', '133280']"/>
        <s v="['133283']"/>
        <s v="['133289']"/>
        <s v="['133292', '133293']"/>
        <s v="['133294']"/>
        <s v="['133298']"/>
        <s v="['133296']"/>
        <s v="['133304', '133305']"/>
        <s v="['133302']"/>
        <s v="['133300', '133301']"/>
        <s v="['133310']"/>
        <s v="['133312', '133313', '133314', '133315', '133316', '133317']"/>
        <s v="['133311']"/>
        <s v="['133320']"/>
        <s v="['133324']"/>
        <s v="['133321']"/>
        <s v="['133358', '133359', '133360', '133361', '133362', '133363', '133364', '133365', '133366', '133367']['133357']"/>
        <s v="['133339', '133340', '133341', '133342', '133343', '133344', '133345', '133346', '133347']"/>
        <s v="['133348', '133349', '133350', '133351', '133352', '133353', '133354', '133355', '133356']"/>
        <s v="['133326', '133327', '133328', '133329', '133330', '133331', '133332', '133333', '133334', '133335', '133336', '133337', '133338']"/>
        <s v="['133368']"/>
        <s v="['133369', '133370', '133371', '133372', '133373', '133374', '133375', '133376', '133377']"/>
        <s v="['133378']"/>
        <s v="['133391']"/>
        <s v="['133388', '133389']"/>
        <s v="['133379', '133380', '133381', '133382', '133383', '133384', '133385']"/>
        <s v="['133390']"/>
        <s v="['133387']"/>
        <s v="['133405']"/>
        <s v="['133419']"/>
        <s v="['133415', '133416', '133417']['133418']"/>
        <s v="['133406', '133408', '133409', '133410', '133411', '133412', '133413']"/>
        <s v="['133394', '133395', '133397', '133398', '133399', '133400', '133401', '133402']['133396']['133393']['133403']"/>
        <s v="['133435']"/>
        <s v="['133437']"/>
        <s v="['133436']"/>
        <s v="['133430']"/>
        <s v="['133427', '133428']['133429']"/>
        <s v="['133431', '133432', '133433', '133434']"/>
        <s v="['133447']"/>
        <s v="['133438']"/>
        <s v="['133439', '133440', '133441', '133442']"/>
        <s v="['133443']"/>
        <s v="['133444']['133445']"/>
        <s v="['133455', '133456', '133457', '133459', '133460', '133461', '133462']['133458']"/>
        <s v="['133452']"/>
        <s v="['133454']"/>
        <s v="['133448']"/>
        <s v="['133464', '133465']"/>
        <s v="['133495']"/>
        <s v="['133492']"/>
        <s v="['133480', '133481', '133482', '133483', '133484', '133485', '133486', '133487', '133488', '133489', '133490']"/>
        <s v="['133470', '133471', '133472', '133473', '133474', '133475', '133476', '133477', '133478', '133479']"/>
        <s v="['133468']['133467']"/>
        <s v="['133496']"/>
        <s v="['133503']"/>
        <s v="['133499']"/>
        <s v="['133504']"/>
        <s v="['133500', '133508']"/>
        <s v="['133512']"/>
        <s v="['133507']"/>
        <s v="['133533']"/>
        <s v="['133529']"/>
        <s v="['133531', '133532']['133530']"/>
        <s v="['133539']"/>
        <s v="['133513', '133514', '133515', '133516', '133517', '133518', '133519', '133520', '133521', '133522', '133523', '133524', '133525', '133526', '133527', '133528']"/>
        <s v="['133535']['133534']"/>
        <s v="['133536', '133537', '133538']"/>
        <s v="['133579']"/>
        <s v="['133580']"/>
        <s v="['133575']['133576']"/>
        <s v="['133574']"/>
        <s v="['133557']['133568', '133569', '133570', '133571', '133572', '133573']"/>
        <s v="['133543', '133544', '133545', '133546', '133547', '133548', '133549', '133550', '133551', '133552', '133553', '133554', '133555', '133556']"/>
        <s v="['133540', '133541']['133542']"/>
        <s v="['133578']"/>
        <s v="['133558', '133559', '133560', '133561', '133562', '133563', '133564', '133565', '133566', '133567']"/>
        <s v="['133577']"/>
        <s v="['133600']"/>
        <s v="['133618']"/>
        <s v="['133581', '133582', '133583', '133584', '133585', '133586', '133587', '133588', '133589', '133590', '133591', '133592', '133593', '133594', '133596', '133597', '133598', '133599']['133595']"/>
        <s v="['133616', '133617']"/>
        <s v="['133601', '133602', '133603', '133604', '133605', '133606', '133608', '133609', '133610', '133611', '133612', '133613', '133614', '133615']"/>
        <s v="['133620']"/>
        <s v="['133622', '133623']"/>
        <s v="['133619']"/>
        <s v="['133671']"/>
        <s v="['133666']"/>
        <s v="['133670']"/>
        <s v="['133665']['133664']"/>
        <s v="['133667']"/>
        <s v="['133668']"/>
        <s v="['133639', '133640', '133641', '133642', '133643', '133644', '133645', '133646', '133647', '133648', '133649', '133650']"/>
        <s v="['133624', '133625', '133626', '133627', '133628', '133629', '133630', '133631', '133632', '133633', '133634', '133635', '133636', '133637', '133638']"/>
        <s v="['133654', '133655', '133656', '133657', '133658', '133659', '133660', '133661', '133662']"/>
        <s v="['133651']['133652']"/>
        <s v="['133663']"/>
        <s v="['133684']"/>
        <s v="['133697']['133699', '133700']['133698']"/>
        <s v="['133685', '133686']"/>
        <s v="['133703', '133704']"/>
        <s v="['133701']['133702']"/>
        <s v="['133687', '133688', '133689', '133690', '133691', '133692']"/>
        <s v="['133674', '133675', '133676', '133677', '133678', '133679', '133680', '133681', '133682', '133683']"/>
        <s v="['133693', '133694', '133695', '133696']"/>
        <s v="['133705']"/>
        <s v="['133714']"/>
        <s v="['133706']"/>
        <s v="['133727']['133728', '133729']"/>
        <s v="['133715', '133716']"/>
        <s v="['133711', '133712']"/>
        <s v="['133709', '133710']"/>
        <s v="['133721']"/>
        <s v="['133724', '133725', '133726']"/>
        <s v="['133722', '133723']"/>
        <s v="['133730']"/>
        <s v="['133790']"/>
        <s v="['133732']"/>
        <s v="['133789']"/>
        <s v="['133748', '133749', '133750', '133751', '133752', '133753', '133754', '133755', '133756', '133757', '133758', '133759', '133760', '133761', '133762', '133763', '133764', '133765', '133766', '133767', '133768']"/>
        <s v="['133769', '133770', '133771', '133772', '133773', '133774', '133775', '133776', '133777', '133778', '133779', '133780', '133781', '133782', '133783', '133784', '133785', '133786', '133787', '133788']"/>
        <s v="['133816']['133817', '133818']"/>
        <s v="['133793', '133794', '133795', '133796', '133797', '133798']"/>
        <s v="['133733', '133734', '133735', '133736', '133737', '133738', '133739', '133740', '133741', '133742', '133743', '133744', '133745', '133746']"/>
        <s v="['133731']"/>
        <s v="['133799', '133800', '133801', '133802', '133803', '133804', '133805']"/>
        <s v="['133806', '133807', '133808', '133809', '133810', '133811', '133812', '133813', '133814', '133815']"/>
        <s v="['133840']"/>
        <s v="['133836']"/>
        <s v="['133821']"/>
        <s v="['133822']"/>
        <s v="['133823', '133824', '133825', '133826', '133827', '133829']['133828']"/>
        <s v="['133820']"/>
        <s v="['133830', '133831', '133832', '133833', '133834']"/>
        <s v="['133835']"/>
        <s v="['133868']"/>
        <s v="['133853']"/>
        <s v="['133852']"/>
        <s v="['133841']"/>
        <s v="['133866', '133867']"/>
        <s v="['133854', '133855', '133856', '133857', '133858', '133859', '133860', '133861', '133862', '133863', '133864', '133865']"/>
        <s v="['133869', '133871', '133872', '133873', '133874', '133875', '133876', '133877', '133878']['133870']"/>
        <s v="['133879']"/>
        <s v="['133881']"/>
        <s v="['133900']"/>
        <s v="['133901', '133902']"/>
        <s v="['133898']"/>
        <s v="['133897']"/>
        <s v="['133885']"/>
        <s v="['133899']"/>
        <s v="['133903']"/>
        <s v="['133886', '133887', '133888', '133889', '133890', '133891', '133892', '133893', '133894', '133895', '133896']"/>
        <s v="['133908']"/>
        <s v="['133955']"/>
        <s v="['133918', '133919', '133920', '133921', '133923', '133924', '133925', '133926', '133927', '133928', '133929']"/>
        <s v="['133948']"/>
        <s v="['133909', '133910', '133911', '133912', '133913', '133914', '133915', '133916', '133917']"/>
        <s v="['133930', '133931', '133932', '133933', '133934', '133935', '133936', '133937', '133938', '133939', '133940']"/>
        <s v="['133906']['133907']"/>
        <s v="['133945']"/>
        <s v="['133944']"/>
        <s v="['133943']"/>
        <s v="['133953']"/>
        <s v="['133956']['133975']"/>
        <s v="['133970']"/>
        <s v="['133958', '133959', '133960', '133961', '133962', '133963', '133964', '133965', '133966', '133967', '133968', '133969']"/>
        <s v="['133972']"/>
        <s v="['133991']"/>
        <s v="['133996']"/>
        <s v="['133992', '133993', '133994']"/>
        <s v="['133980', '133981', '133982', '133984', '133985', '133986', '133987', '133988', '133989', '133990']['133983']"/>
        <s v="['133997']['133998']"/>
        <s v="['133978', '133979']"/>
        <s v="['134000']"/>
        <s v="['134015']"/>
        <s v="['134014']"/>
        <s v="['134016']"/>
        <s v="['134017', '134018']"/>
        <s v="['134019']"/>
        <s v="['134002', '134003', '134004']"/>
        <s v="['134005', '134006', '134007', '134008', '134009']"/>
        <s v="['134012']"/>
        <s v="['134010', '134011']"/>
        <s v="['134051']"/>
        <s v="['134058']"/>
        <s v="['134059']"/>
        <s v="['134052']"/>
        <s v="['134053']"/>
        <s v="['134054', '134055']"/>
        <s v="['134025', '134026', '134027', '134028', '134029', '134030']"/>
        <s v="['134031', '134032', '134033', '134034', '134035']"/>
        <s v="['134056', '134057']"/>
        <s v="['134036', '134037', '134038', '134039', '134040', '134041', '134042', '134044', '134045', '134046', '134047', '134048', '134050']"/>
        <s v="['134064']"/>
        <s v="['134078']"/>
        <s v="['134063']"/>
        <s v="['134061']"/>
        <s v="['134060']"/>
        <s v="['134065', '134066', '134067', '134068', '134069', '134070', '134071', '134072', '134073', '134074', '134075']"/>
        <s v="['134077']"/>
        <s v="['134076']"/>
        <s v="['134112', '134114']"/>
        <s v="['134107', '134108']"/>
        <s v="['134082', '134083', '134084', '134085', '134086', '134087', '134088', '134089', '134090', '134091', '134092', '134093', '134094', '134095', '134096', '134097', '134098']"/>
        <s v="['134109', '134110']"/>
        <s v="['134111']"/>
        <s v="['134099', '134100', '134101', '134102', '134103', '134104', '134105']['134106']"/>
        <s v="['134126', '134127']"/>
        <s v="['134115']"/>
        <s v="['134128']"/>
        <s v="['134116', '134117', '134118', '134119', '134120', '134121', '134122', '134123', '134124', '134125']"/>
        <s v="['134129']"/>
        <s v="['134130']"/>
        <s v="['134132']"/>
        <s v="['134171', '134172']"/>
        <s v="['134170']"/>
        <s v="['134160', '134161', '134162', '134163', '134164', '134165', '134166', '134167', '134168']"/>
        <s v="['134151', '134152', '134153', '134154', '134155', '134156', '134157', '134158', '134159']"/>
        <s v="['134137', '134138', '134139', '134140', '134141', '134142', '134143', '134144', '134145', '134146', '134147', '134148', '134149', '134150']"/>
        <s v="['134133']"/>
        <s v="['134169']"/>
        <s v="['134135']"/>
        <s v="['134136']"/>
        <s v="['134194']"/>
        <s v="['134206']"/>
        <s v="['134184', '134185', '134186']"/>
        <s v="['134176', '134177', '134178', '134179', '134181', '134182', '134183']"/>
        <s v="['134187', '134188', '134189', '134190', '134191', '134192', '134193']"/>
        <s v="['134195', '134196', '134197', '134198', '134199', '134200', '134201', '134202', '134203', '134204', '134205']"/>
        <s v="['134207']"/>
        <s v="['134230', '134231']"/>
        <s v="['134222', '134223', '134224', '134225', '134226', '134227', '134228']"/>
        <s v="['134211', '134212', '134213', '134214', '134215', '134216', '134217', '134218', '134219', '134220', '134221']"/>
        <s v="['134238', '134239']['134237']"/>
        <s v="['134234']"/>
        <s v="['134261']['134235']"/>
        <s v="['134266']['134267']"/>
        <s v="['134262']"/>
        <s v="['134260']"/>
        <s v="['134236']"/>
        <s v="['134263', '134264']"/>
        <s v="['134240', '134241', '134242', '134243', '134244', '134245', '134246']"/>
        <s v="['134248', '134249', '134250', '134251', '134252', '134253', '134254', '134255']['134247']"/>
        <s v="['134258', '134259']"/>
        <s v="['134256']"/>
        <s v="['134277']"/>
        <s v="['134278']"/>
        <s v="['134279', '134280', '134281', '134282']"/>
        <s v="['134284', '134285', '134286', '134287', '134288', '134289', '134290', '134291', '134292', '134293', '134294']"/>
        <s v="['134268', '134269', '134270', '134271', '134272', '134273', '134274']"/>
        <s v="['134297']"/>
        <s v="['134283']"/>
        <s v="['134295']"/>
        <s v="['134296']"/>
        <s v="['134312']['134342']"/>
        <s v="['134298', '134299', '134300', '134301', '134302', '134303', '134304', '134305', '134306', '134307', '134308', '134309', '134310', '134311']"/>
        <s v="['134348']['134349']"/>
        <s v="['134345']['134344']"/>
        <s v="['134329']"/>
        <s v="['134333']"/>
        <s v="['134318', '134319', '134321', '134323', '134324', '134325', '134326', '134327', '134328']['134330', '134331', '134332']"/>
        <s v="['134347']"/>
        <s v="['134346']"/>
        <s v="['134334', '134335', '134336', '134337', '134338', '134339', '134340', '134341']"/>
        <s v="['134351']"/>
        <s v="['134366']"/>
        <s v="['134353']"/>
        <s v="['134373']"/>
        <s v="['134371', '134372']"/>
        <s v="['134354', '134355', '134356']"/>
        <s v="['134368', '134369']"/>
        <s v="['134370']"/>
        <s v="['134377', '134378']"/>
        <s v="['134380']"/>
        <s v="['134387']"/>
        <s v="['134374', '134381']"/>
        <s v="['134375', '134382']"/>
        <s v="['134379']"/>
        <s v="['134384']"/>
        <s v="['134383']"/>
        <s v="['134386']"/>
        <s v="['134385']"/>
        <s v="['134401', '134402', '134403']"/>
        <s v="['134390']"/>
        <s v="['134389']"/>
        <s v="['134415']"/>
        <s v="['134405', '134406', '134407', '134408', '134410']"/>
        <s v="['134395', '134396', '134397', '134398', '134399', '134400']"/>
        <s v="['134411', '134412', '134413', '134414']"/>
        <s v="['134419']"/>
        <s v="['134418']"/>
        <s v="['134417']"/>
        <s v="['134458']"/>
        <s v="['134421']"/>
        <s v="['134420']"/>
        <s v="['134436', '134437', '134438', '134439']['134435']"/>
        <s v="['134424', '134426']"/>
        <s v="['134427', '134428', '134429', '134430', '134431', '134432', '134433']"/>
        <s v="['134440', '134441', '134442']"/>
        <s v="['134454']['134455']"/>
        <s v="['134423']"/>
        <s v="['134456', '134457']"/>
        <s v="['134452']"/>
        <s v="['134461']"/>
        <s v="['134463']"/>
        <s v="['134507']"/>
        <s v="['134508']"/>
        <s v="['134465', '134466', '134467', '134468', '134469', '134470', '134471', '134472', '134473', '134474', '134475', '134476', '134477']"/>
        <s v="['134485']"/>
        <s v="['134495', '134496', '134497', '134498']"/>
        <s v="['134491', '134492', '134493', '134494']"/>
        <s v="['134500']"/>
        <s v="['134486', '134488', '134489']"/>
        <s v="['134478']['134479', '134480', '134481', '134482', '134483', '134484']"/>
        <s v="['134512']"/>
        <s v="['134523']"/>
        <s v="['134525', '134526', '134527', '134528', '134529']"/>
        <s v="['134514', '134515', '134516', '134517', '134518', '134519', '134520', '134521', '134522']"/>
        <s v="['134530', '134531', '134532', '134533', '134534', '134535', '134536']"/>
        <s v="['134538']"/>
        <s v="['134539']"/>
        <s v="['134540']"/>
        <s v="['134542']"/>
        <s v="['134562']"/>
        <s v="['134548']"/>
        <s v="['134551', '134552', '134553', '134554', '134555', '134556', '134557', '134558', '134559', '134560', '134561']"/>
        <s v="['134545']"/>
        <s v="['134546']"/>
        <s v="['134547']"/>
        <s v="['134549', '134550']"/>
        <s v="['134573']"/>
        <s v="['134568']"/>
        <s v="['134566', '134567']"/>
        <s v="['134565']"/>
        <s v="['134574', '134575']"/>
        <s v="['134572']"/>
        <s v="['134590', '134591']"/>
        <s v="['134580']"/>
        <s v="['134582']"/>
        <s v="['134589']"/>
        <s v="['134592', '134593', '134594']"/>
        <s v="['134577']"/>
        <s v="['134581']"/>
        <s v="['134584', '134585', '134586', '134587']"/>
        <s v="['134579']['134578']"/>
        <s v="['134583']"/>
        <s v="['134598']"/>
        <s v="['134619']"/>
        <s v="['134620']"/>
        <s v="['134600', '134601', '134602', '134603', '134604', '134605', '134606', '134607', '134608', '134609']"/>
        <s v="['134618']"/>
        <s v="['134617']"/>
        <s v="['134595']"/>
        <s v="['134596']"/>
        <s v="['134610', '134611', '134612', '134613', '134614', '134615']"/>
        <s v="['134599']['134597']"/>
        <s v="['134616']"/>
        <s v="['134622']"/>
        <s v="['134638', '134639', '134640', '134641', '134642', '134643', '134644', '134645', '134646']"/>
        <s v="['134623', '134624', '134625', '134626', '134627', '134628', '134629', '134630', '134631', '134632', '134633', '134634', '134635', '134636', '134637']"/>
        <s v="['134647', '134648', '134649', '134650', '134651', '134652']"/>
        <s v="['134657']"/>
        <s v="['134661']"/>
        <s v="['134660']"/>
        <s v="['134656']"/>
        <s v="['134698', '134699', '134700', '134701', '134702', '134703', '134704']"/>
        <s v="['134705', '134706', '134707', '134708', '134709', '134711', '134712', '134713', '134714', '134715', '134716', '134717', '134718', '134719', '134721']['134720']['134710']"/>
        <s v="['134677']"/>
        <s v="['134664', '134665', '134666', '134667', '134668', '134669', '134670', '134671', '134672', '134673', '134674', '134675', '134676', '134678', '134679', '134680', '134681', '134682']"/>
        <s v="['134658', '134659']"/>
        <s v="['134695']['134694']"/>
        <s v="['134662']['134663']"/>
        <s v="['134686', '134687', '134688', '134689', '134690', '134691', '134692']"/>
        <s v="['134685']"/>
        <s v="['134693']"/>
        <s v="['134683', '134684']"/>
        <s v="['134750', '134751']['134753']['134752']"/>
        <s v="['134734', '134735', '134736', '134737', '134738', '134739']"/>
        <s v="['134723', '134724', '134725']"/>
        <s v="['134726', '134727', '134728', '134729', '134730', '134731', '134732', '134733']"/>
        <s v="['134740', '134741', '134742', '134743']"/>
        <s v="['134756']"/>
        <s v="['134749']"/>
        <s v="['134746']"/>
        <s v="['134745']"/>
        <s v="['134747', '134748']"/>
        <s v="['134765']"/>
        <s v="['134770', '134771', '134772', '134773', '134774', '134775', '134776', '134777', '134778', '134779', '134780', '134781', '134782', '134783', '134784']"/>
        <s v="['134793']['134794']"/>
        <s v="['134791']['134790']"/>
        <s v="['134786']"/>
        <s v="['134788']"/>
        <s v="['134787']"/>
        <s v="['134796']"/>
        <s v="['134758', '134759']"/>
        <s v="['134769']['134768']"/>
        <s v="['134792']"/>
        <s v="['134760']['134761']"/>
        <s v="['134789']"/>
        <s v="['134795']"/>
        <s v="['134806', '134808', '134809', '134810']"/>
        <s v="['134797']"/>
        <s v="['134804', '134805', '134807']"/>
        <s v="['134812']"/>
        <s v="['134798']"/>
        <s v="['134814']"/>
        <s v="['134811']"/>
        <s v="['134801', '134802']"/>
        <s v="['134815']"/>
        <s v="['134844']"/>
        <s v="['134845']['134846']"/>
        <s v="['134825', '134826', '134827', '134828', '134829', '134830', '134831']"/>
        <s v="['134847']"/>
        <s v="['134848']"/>
        <s v="['134849']"/>
        <s v="['134819', '134820', '134821', '134822', '134823', '134824']"/>
        <s v="['134833', '134834']"/>
        <s v="['134832']"/>
        <s v="['134843']"/>
        <s v="['134877']"/>
        <s v="['134876']"/>
        <s v="['134875']['134874']"/>
        <s v="['134850']"/>
        <s v="['134861']"/>
        <s v="['134862', '134863']"/>
        <s v="['134855', '134856', '134857', '134858', '134859', '134860']"/>
        <s v="['134871']"/>
        <s v="['134853', '134854']"/>
        <s v="['134870']"/>
        <s v="['134899']"/>
        <s v="['134897']"/>
        <s v="['134881']"/>
        <s v="['134900', '134901', '134902']"/>
        <s v="['134880']"/>
        <s v="['134879']"/>
        <s v="['134882', '134883', '134884', '134885', '134886', '134887']"/>
        <s v="['134889', '134890', '134891', '134892', '134893', '134894', '134895', '134896']"/>
        <s v="['134898']"/>
        <s v="['134903']"/>
        <s v="['134904', '134905']"/>
        <s v="['134935']"/>
        <s v="['134921', '134922', '134923', '134924', '134925', '134926', '134927', '134928', '134929', '134930', '134931']"/>
        <s v="['134906']['134907']"/>
        <s v="['134912']"/>
        <s v="['134908', '134909', '134910', '134911']"/>
        <s v="['134933']"/>
        <s v="['134916', '134917', '134918', '134919', '134920']"/>
        <s v="['134934']"/>
        <s v="['134955', '134956', '134957', '134958']"/>
        <s v="['134962']"/>
        <s v="['134938']"/>
        <s v="['134939']"/>
        <s v="['134953']"/>
        <s v="['134936']"/>
        <s v="['134954']"/>
        <s v="['134944', '134945', '134946', '134947', '134948', '134949', '134950', '134951', '134952']"/>
        <s v="['134961']"/>
        <s v="['134999']"/>
        <s v="['135001']"/>
        <s v="['134968']"/>
        <s v="['135000']"/>
        <s v="['134964']"/>
        <s v="['134985', '134986', '134987', '134988', '134989', '134990', '134991']"/>
        <s v="['134965']"/>
        <s v="['134967']"/>
        <s v="['134992']"/>
        <s v="['134972', '134973', '134974', '134975', '134976', '134977', '134978', '134979', '134980', '134981', '134982', '134983', '134984']"/>
        <s v="['134963']"/>
        <s v="['134998']"/>
        <s v="['134971']['134970']"/>
        <s v="['134997']"/>
        <s v="['134995']"/>
        <s v="['134994', '134996']"/>
        <s v="['135008', '135009']['135010']"/>
        <s v="['135002', '135003']"/>
        <s v="['135036']"/>
        <s v="['135035']"/>
        <s v="['135012']"/>
        <s v="['135020', '135021', '135022', '135023', '135024', '135025', '135026']"/>
        <s v="['135004']"/>
        <s v="['135005', '135006']"/>
        <s v="['135013', '135014', '135015', '135016', '135017', '135018', '135019']"/>
        <s v="['135027', '135028', '135029', '135030', '135031']"/>
        <s v="['135039']['135038']"/>
        <s v="['135034']['135033']"/>
        <s v="['135037']"/>
        <s v="['135065']"/>
        <s v="['135045']"/>
        <s v="['135046']"/>
        <s v="['135086']"/>
        <s v="['135040', '135041', '135042']['135043']"/>
        <s v="['135079']['135078']"/>
        <s v="['135067', '135068', '135069', '135070']"/>
        <s v="['135044']"/>
        <s v="['135049']"/>
        <s v="['135047']['135084', '135085']"/>
        <s v="['135057', '135058', '135059', '135060', '135061', '135062', '135063', '135064']"/>
        <s v="['135051', '135052', '135053', '135054']"/>
        <s v="['135055', '135056']"/>
        <s v="['135072', '135073', '135074', '135075', '135076', '135077']"/>
        <s v="['135083']"/>
        <s v="['135080', '135081']"/>
        <s v="['135082']"/>
        <s v="['135097']"/>
        <s v="['135094']"/>
        <s v="['135091']"/>
        <s v="['135131', '135132', '135134', '135135', '135136', '135137', '135138', '135139']['135133']"/>
        <s v="['135118', '135119', '135120', '135121', '135122', '135123', '135124', '135125', '135126', '135127', '135128', '135129', '135130']"/>
        <s v="['135092']"/>
        <s v="['135093']"/>
        <s v="['135117']['135116']"/>
        <s v="['135115']"/>
        <s v="['135099', '135100', '135101', '135102', '135103', '135104', '135105']['135098']"/>
        <s v="['135106', '135107', '135108', '135109', '135110', '135111', '135112', '135113', '135114']"/>
        <s v="['135143', '135144', '135145']"/>
        <s v="['135147']"/>
        <s v="['135154']"/>
        <s v="['135149', '135150']"/>
        <s v="['135151', '135152']"/>
        <s v="['135157']"/>
        <s v="['135153']"/>
        <s v="['135158']"/>
        <s v="['135156']"/>
        <s v="['135160', '135161']"/>
        <s v="['135205', '135206']"/>
        <s v="['135207']"/>
        <s v="['135183', '135184', '135185', '135186', '135187', '135188', '135189', '135191', '135192']"/>
        <s v="['135168', '135169', '135170', '135171', '135172', '135173', '135174', '135175', '135176', '135178', '135179', '135180', '135181']['135177']['135190']"/>
        <s v="['135162', '135163', '135164', '135165', '135166', '135167']"/>
        <s v="['135159']"/>
        <s v="['135214']"/>
        <s v="['135195', '135196', '135197', '135198', '135199', '135200', '135201', '135202', '135203']"/>
        <s v="['135211']"/>
        <s v="['135204']"/>
        <s v="['135213']"/>
        <s v="['135249']"/>
        <s v="['135258', '135260']['135257']['135259']"/>
        <s v="['135217']"/>
        <s v="['135219', '135220']"/>
        <s v="['135256']"/>
        <s v="['135231', '135232', '135233', '135234', '135235', '135236', '135237', '135238', '135239', '135240', '135241', '135242']"/>
        <s v="['135243', '135244', '135245', '135246', '135247', '135248']"/>
        <s v="['135221', '135222', '135223', '135224', '135225', '135226', '135227', '135228', '135229', '135230']"/>
        <s v="['135255']"/>
        <s v="['135252', '135253']"/>
        <s v="['135254']"/>
        <s v="['135271']"/>
        <s v="['135314', '135315']['135316']"/>
        <s v="['135320']['135321']"/>
        <s v="['135289', '135290', '135291', '135292', '135293', '135294', '135295', '135296', '135297', '135298', '135299', '135300', '135301']"/>
        <s v="['135263', '135264', '135265']"/>
        <s v="['135302', '135303', '135304', '135305', '135306']"/>
        <s v="['135272', '135273', '135274', '135275', '135276', '135277', '135278', '135279', '135280', '135281', '135282', '135283', '135284', '135285']"/>
        <s v="['135266', '135267', '135268', '135269', '135270']"/>
        <s v="['135327']"/>
        <s v="['135317', '135318']"/>
        <s v="['135307', '135308', '135309', '135310', '135311', '135312', '135313']"/>
        <s v="['135286', '135287', '135288']"/>
        <s v="['135387']"/>
        <s v="['135382']"/>
        <s v="['135357', '135359', '135360', '135362', '135363', '135364', '135365', '135366', '135367', '135368', '135369', '135370', '135371', '135372', '135374', '135375', '135376', '135377', '135378', '135379']['135373']['135361']['135358']"/>
        <s v="['135353', '135354', '135355', '135356']"/>
        <s v="['135329', '135330', '135332', '135333']['135331']"/>
        <s v="['135385']"/>
        <s v="['135381']"/>
        <s v="['135383']"/>
        <s v="['135380']"/>
        <s v="['135384']"/>
        <s v="['135328']"/>
        <s v="['135423']"/>
        <s v="['135441']['135440']"/>
        <s v="['135443', '135444', '135445', '135446', '135447', '135448', '135449', '135450', '135451', '135452', '135453', '135454', '135455', '135456', '135457', '135458', '135459', '135460', '135461', '135462', '135463', '135464', '135465', '135466', '135467', '135468', '135469', '135470']"/>
        <s v="['135482']['135483']"/>
        <s v="['135480']"/>
        <s v="['135430', '135431', '135433', '135434', '135435', '135436', '135437', '135438', '135439']['135432']"/>
        <s v="['135424', '135425', '135426', '135427', '135428', '135429']"/>
        <s v="['135408', '135409', '135410', '135411', '135412', '135413', '135414', '135415', '135416', '135417', '135418', '135419', '135420', '135421', '135422']"/>
        <s v="['135405', '135406']"/>
        <s v="['135472', '135473', '135474', '135475', '135476', '135477', '135478']"/>
        <s v="['135481', '135484']"/>
        <s v="['135488']"/>
        <s v="['135491']"/>
        <s v="['135514', '135515', '135516', '135517', '135518', '135519', '135520', '135521', '135522', '135523', '135524', '135525', '135526', '135527', '135528']"/>
        <s v="['135494', '135495', '135496', '135497', '135498', '135499', '135500', '135501', '135502', '135503', '135504', '135505', '135506', '135507', '135508', '135509', '135510', '135511', '135512']"/>
        <s v="['135529', '135530', '135531', '135532']"/>
        <s v="['135533', '135534']['135535']"/>
        <s v="['135540']"/>
        <s v="['135538']"/>
        <s v="['135539']"/>
        <s v="['135487']"/>
        <s v="['135586']"/>
        <s v="['135583']['135584']"/>
        <s v="['135581']"/>
        <s v="['135587']['135588']"/>
        <s v="['135580']['135549']"/>
        <s v="['135585']"/>
        <s v="['135551']"/>
        <s v="['135567', '135568', '135569', '135570', '135572', '135573', '135574', '135575', '135576', '135577', '135578']['135571']"/>
        <s v="['135544', '135545', '135546', '135547']"/>
        <s v="['135541', '135542', '135543']"/>
        <s v="['135553', '135554', '135555', '135556', '135557', '135558', '135559', '135560', '135561', '135562', '135563', '135564', '135565', '135566']"/>
        <s v="['135582']"/>
        <s v="['135640']"/>
        <s v="['135622', '135623', '135625', '135626', '135627', '135628', '135629', '135630', '135631', '135632', '135633', '135634', '135635', '135636', '135637', '135638']['135624']"/>
        <s v="['135639']"/>
        <s v="['135608']"/>
        <s v="['135644']"/>
        <s v="['135662']"/>
        <s v="['135664']"/>
        <s v="['135609', '135610']"/>
        <s v="['135611', '135612', '135613', '135614', '135615', '135616', '135617', '135618', '135619', '135620', '135621']"/>
        <s v="['135591', '135592', '135593', '135594', '135595', '135596', '135597', '135598', '135599', '135600', '135601', '135602', '135603', '135604', '135605']"/>
        <s v="['135606', '135607']"/>
        <s v="['135654', '135655', '135656', '135657', '135658', '135659', '135660', '135663']"/>
        <s v="['135661']"/>
        <s v="['135645', '135646', '135647', '135648', '135649', '135650', '135651', '135652', '135653']"/>
        <s v="['135701', '135702', '135703', '135704', '135705', '135706', '135707', '135708', '135709', '135710', '135711']['135700']"/>
        <s v="['135665', '135667', '135668', '135669']['135666']"/>
        <s v="['135671', '135672', '135673']"/>
        <s v="['135675', '135676', '135677', '135678', '135679', '135680', '135681', '135682', '135683', '135684', '135685', '135686', '135687', '135688', '135689', '135690', '135691', '135692', '135693', '135694', '135695', '135696', '135697', '135698']"/>
        <s v="['135714']"/>
        <s v="['135712']"/>
        <s v="['135713']"/>
        <s v="['135755']"/>
        <s v="['135737', '135738', '135739', '135740']['135736']"/>
        <s v="['135747']"/>
        <s v="['135720']"/>
        <s v="['135753']['135752']"/>
        <s v="['135742']"/>
        <s v="['135741']"/>
        <s v="['135754']"/>
        <s v="['135749']"/>
        <s v="['135743', '135744', '135745']"/>
        <s v="['135723', '135724', '135725', '135726', '135727', '135728', '135729', '135730', '135731']"/>
        <s v="['135732', '135733', '135734', '135735']"/>
        <s v="['135721']['135722']"/>
        <s v="['135748']"/>
        <s v="['135751']"/>
        <s v="['135750']"/>
        <s v="['135760']"/>
        <s v="['135757']"/>
        <s v="['135756']"/>
        <s v="['135765']"/>
        <s v="['135766']"/>
        <s v="['135767']"/>
        <s v="['135761', '135762', '135763', '135764']"/>
        <s v="['135759']['135758']"/>
        <s v="['135790', '135791']['135792']"/>
        <s v="['135783']"/>
        <s v="['135785', '135786', '135788', '135789']"/>
        <s v="['135769', '135770', '135771', '135772']"/>
        <s v="['135782']"/>
        <s v="['135773', '135774', '135775', '135776', '135777', '135778', '135779', '135780', '135781']"/>
        <s v="['135784']"/>
        <s v="['135801']"/>
        <s v="['135794']"/>
        <s v="['135799']"/>
        <s v="['135804']"/>
        <s v="['135803']"/>
        <s v="['135800']"/>
        <s v="['135802']"/>
        <s v="['135833']"/>
        <s v="['135822']"/>
        <s v="['135840', '135841']"/>
        <s v="['135824', '135825', '135827', '135828', '135829']['135826']"/>
        <s v="['135838']['135839']"/>
        <s v="['135831']"/>
        <s v="['135808', '135809', '135810', '135811', '135812', '135813', '135814', '135815', '135816', '135817', '135819', '135820', '135821', '135823']"/>
        <s v="['135844']"/>
        <s v="['135845']"/>
        <s v="['135836', '135837']"/>
        <s v="['135842']['135843']"/>
        <s v="['135830']"/>
        <s v="['135883']"/>
        <s v="['135888', '135889', '135890', '135891', '135892', '135893', '135894', '135895', '135896', '135897', '135898', '135899', '135900']"/>
        <s v="['135901', '135902', '135903', '135904', '135905', '135906', '135907', '135908', '135909', '135910', '135911', '135912', '135913', '135914', '135915', '135916']"/>
        <s v="['135881']"/>
        <s v="['135932', '135933', '135934', '135935', '135936', '135937', '135938', '135939', '135940']"/>
        <s v="['135917', '135918', '135919', '135920', '135921', '135922', '135923', '135924', '135925', '135926', '135927', '135928', '135929', '135930', '135931']"/>
        <s v="['135884']['135948']"/>
        <s v="['135947']"/>
        <s v="['135974']"/>
        <s v="['135959']['135960']"/>
        <s v="['135971']"/>
        <s v="['135978', '135979', '135980', '135981']['135977']"/>
        <s v="['135950', '135951', '135952', '135953', '135954', '135955', '135956', '135957', '135958']"/>
        <s v="['135961', '135962', '135963', '135964', '135965', '135966', '135967', '135968']"/>
        <s v="['135976']"/>
        <s v="['135975']"/>
        <s v="['136014']"/>
        <s v="['136015', '136016', '136017', '136018', '136020', '136022', '136023', '136024', '136025']['136019']['136021']"/>
        <s v="['136035', '136036']"/>
        <s v="['136034']"/>
        <s v="['136027', '136028', '136029']"/>
        <s v="['135982', '135983', '135984', '135985', '135986', '135987', '135988', '135989', '135990', '135991', '135992', '135993', '135994', '135995', '135996', '135997', '135998', '135999', '136000', '136001', '136002', '136003', '136004', '136005', '136006', '136007', '136008', '136009', '136010', '136011', '136012', '136013']"/>
        <s v="['136030']"/>
        <s v="['136033']"/>
        <s v="['136031']"/>
        <s v="['136083', '136084']"/>
        <s v="['136073']"/>
        <s v="['136075']"/>
        <s v="['136067']"/>
        <s v="['136065', '136066']"/>
        <s v="['136040']"/>
        <s v="['136038']"/>
        <s v="['136081', '136082']"/>
        <s v="['136068', '136069', '136070', '136071', '136072']['136080']"/>
        <s v="['136126', '136127']['136128']"/>
        <s v="['136107', '136108', '136109', '136110', '136111', '136112', '136113', '136114', '136115', '136116', '136117', '136118', '136119', '136120', '136121', '136122', '136123', '136124']"/>
        <s v="['136103', '136104', '136105', '136106']"/>
        <s v="['136125']"/>
        <s v="['136129']"/>
        <s v="['136154', '136155', '136156', '136157', '136158', '136159', '136160', '136161', '136162', '136163', '136164', '136165', '136166', '136167', '136168']"/>
        <s v="['136130', '136131', '136132', '136133', '136134', '136135', '136136', '136137', '136138', '136139', '136140', '136141', '136142', '136143', '136144', '136145', '136146', '136147', '136148', '136149', '136150', '136151', '136152', '136153']"/>
        <s v="['136171']"/>
        <s v="['136172']"/>
        <s v="['136178']"/>
        <s v="['136215']"/>
        <s v="['136176']"/>
        <s v="['136177']"/>
        <s v="['136202', '136203', '136204', '136205', '136206', '136207', '136208']"/>
        <s v="['136179', '136180', '136181', '136182', '136183', '136184', '136185', '136186', '136187', '136188', '136189', '136190', '136191', '136192', '136193', '136194', '136195', '136196', '136197', '136198', '136199', '136200', '136201']"/>
        <s v="['136216']"/>
        <s v="['136209', '136210', '136211', '136212', '136213', '136214']"/>
        <s v="['136297']"/>
        <s v="['136239']"/>
        <s v="['136260', '136261', '136262', '136263', '136264', '136265', '136266', '136267', '136268', '136269', '136270', '136271', '136272', '136273', '136274', '136275', '136276']"/>
        <s v="['136237']"/>
        <s v="['136296']"/>
        <s v="['136294']"/>
        <s v="['136282', '136283', '136284', '136285']"/>
        <s v="['136286', '136287', '136288', '136289', '136291']"/>
        <s v="['136241', '136242', '136243', '136244', '136245', '136246', '136247', '136248', '136249', '136250', '136251', '136252', '136253', '136254', '136255', '136256', '136257', '136258', '136259']"/>
        <s v="['136277', '136278', '136279']"/>
        <s v="['136280', '136281']"/>
        <s v="['136298']"/>
        <s v="['136292']"/>
        <s v="['136293']"/>
        <s v="['136295']"/>
        <s v="['136343']"/>
        <s v="['136334']"/>
        <s v="['136342']"/>
        <s v="['136340']"/>
        <s v="['136337']"/>
        <s v="['136336']"/>
        <s v="['136339']"/>
        <s v="['136333']"/>
        <s v="['136305', '136306', '136307', '136308', '136309', '136310', '136311', '136312', '136313', '136314', '136315', '136316', '136317', '136318', '136319', '136320', '136321', '136322']"/>
        <s v="['136323', '136324']"/>
        <s v="['136325', '136326', '136327', '136328', '136329', '136330', '136331']"/>
        <s v="['136335']"/>
        <s v="['136397']"/>
        <s v="['136393']"/>
        <s v="['136394']"/>
        <s v="['136365', '136366', '136367', '136368', '136369', '136370', '136371', '136372', '136373', '136374', '136375', '136376', '136377', '136378', '136379', '136380', '136381']"/>
        <s v="['136344', '136345', '136346', '136347', '136348', '136349', '136350', '136351', '136352', '136353', '136354', '136355', '136356', '136357', '136358', '136359', '136360', '136361', '136362', '136363', '136364']"/>
        <s v="['136399']"/>
        <s v="['136382', '136383', '136384', '136385', '136386', '136387', '136389', '136390', '136391', '136392']"/>
        <s v="['136395']"/>
        <s v="['136444']"/>
        <s v="['136472']"/>
        <s v="['136464']"/>
        <s v="['136465']"/>
        <s v="['136471']['136470']"/>
        <s v="['136407', '136408', '136409', '136410', '136411', '136412', '136413', '136414', '136415', '136416', '136417', '136418', '136419', '136420']['136421']"/>
        <s v="['136451']"/>
        <s v="['136406']"/>
        <s v="['136445']"/>
        <s v="['136450']"/>
        <s v="['136452', '136453', '136454', '136455', '136456', '136457', '136458', '136459', '136460', '136461', '136462', '136463']"/>
        <s v="['136422', '136423', '136424', '136425', '136426', '136427', '136428', '136429', '136430', '136431', '136432', '136433', '136434', '136435', '136436', '136437', '136438', '136439', '136441', '136442', '136443']['136440']"/>
        <s v="['136404', '136405']"/>
        <s v="['136466']"/>
        <s v="['136469']"/>
        <s v="['136468']"/>
        <s v="['136467']"/>
        <s v="['136474', '136475']"/>
        <s v="['136510']"/>
        <s v="['136473']"/>
        <s v="['136518']"/>
        <s v="['136509']"/>
        <s v="['136517']"/>
        <s v="['136514']"/>
        <s v="['136500', '136501', '136502', '136503', '136504', '136505', '136506', '136507', '136508']"/>
        <s v="['136480']"/>
        <s v="['136481', '136482', '136483', '136484', '136485', '136486', '136487', '136488', '136489', '136490', '136491', '136492', '136493', '136494', '136495', '136496', '136497', '136498', '136499']"/>
        <s v="['136476', '136478']['136477']"/>
        <s v="['136515', '136516']"/>
        <s v="['136563']"/>
        <s v="['136568']"/>
        <s v="['136565']"/>
        <s v="['136567']['136566']"/>
        <s v="['136545', '136546', '136547', '136548', '136549', '136550', '136551', '136552', '136553', '136554', '136555', '136556', '136557', '136558', '136559', '136560', '136561', '136562']"/>
        <s v="['136525', '136535', '136539']"/>
        <s v="['136524', '136526', '136527', '136528', '136529', '136530', '136531', '136532', '136533', '136534', '136536', '136537', '136538', '136540', '136541', '136542', '136543']"/>
        <s v="['136619']"/>
        <s v="['136625', '136626']"/>
        <s v="['136623', '136624']"/>
        <s v="['136618']"/>
        <s v="['136622']"/>
        <s v="['136582', '136583', '136584', '136585', '136586', '136587', '136588', '136589', '136590', '136591']"/>
        <s v="['136576']"/>
        <s v="['136569', '136570', '136571', '136572', '136573', '136574', '136575', '136577', '136578', '136579', '136580', '136581', '136592', '136593', '136594', '136595', '136596']"/>
        <s v="['136608', '136609', '136610', '136611', '136612', '136613', '136614']"/>
        <s v="['136621']"/>
        <s v="['136597', '136598', '136599', '136600', '136601', '136602', '136603', '136604', '136605', '136606', '136607']"/>
        <s v="['136620']"/>
        <s v="['136662']"/>
        <s v="['136628']"/>
        <s v="['136627']"/>
        <s v="['136647', '136649', '136650', '136651', '136652', '136653', '136654', '136655']"/>
        <s v="['136629', '136630', '136631', '136632', '136633', '136634', '136635', '136636', '136637', '136638', '136639', '136640', '136641', '136642', '136643', '136644', '136645']"/>
        <s v="['136663']"/>
        <s v="['136659']"/>
        <s v="['136660', '136661']"/>
        <s v="['136702']['136703']"/>
        <s v="['136667']"/>
        <s v="['136709']"/>
        <s v="['136668', '136670', '136671', '136672', '136673', '136674', '136676', '136677', '136678', '136679', '136680', '136681']['136669']['136675']"/>
        <s v="['136666']"/>
        <s v="['136705']"/>
        <s v="['136699']['136700']"/>
        <s v="['136665']"/>
        <s v="['136697', '136698']"/>
        <s v="['136682', '136683', '136684', '136685', '136686', '136687', '136688', '136689', '136690', '136691', '136692', '136693', '136694', '136695']"/>
        <s v="['136708']"/>
        <s v="['136707']['136706']"/>
        <s v="['136761']"/>
        <s v="['136762']"/>
        <s v="['136745']['136744']"/>
        <s v="['136746', '136747', '136748']['136749']"/>
        <s v="['136731', '136732', '136733', '136734', '136735', '136736', '136737', '136738', '136739', '136740', '136741', '136742', '136743']"/>
        <s v="['136714', '136715', '136716', '136717', '136718', '136719', '136720', '136721', '136722', '136723', '136724', '136725', '136726', '136727', '136728', '136729']"/>
        <s v="['136750', '136751', '136752', '136753', '136754']['136755']"/>
        <s v="['136763']['136764']"/>
        <s v="['136711']"/>
        <s v="['136756', '136757', '136758', '136759', '136760']"/>
        <s v="['136712']"/>
        <s v="['136765']"/>
        <s v="['136781', '136782']['136780']['136783']['136784']"/>
        <s v="['136768']['136769']['136771']['136766']['136767']['136770']"/>
        <s v="['136773', '136774', '136775']"/>
        <s v="['136777']['136778']"/>
        <s v="['136786']"/>
        <s v="['136785']"/>
        <s v="['136805']"/>
        <s v="['136793']"/>
        <s v="['136792']['136790']['136791']"/>
        <s v="['136807']"/>
        <s v="['136794', '136795', '136796', '136797', '136798', '136799', '136800', '136801', '136802']"/>
        <s v="['136804']"/>
        <s v="['136806']"/>
        <s v="['136809']"/>
        <s v="['136812']"/>
        <s v="['136853']['136852']"/>
        <s v="['136849']"/>
        <s v="['136836', '136837', '136838', '136839', '136840', '136841', '136842', '136843', '136845', '136846', '136847', '136848']['136844']"/>
        <s v="['136850', '136851']"/>
        <s v="['136854', '136855', '136856', '136857', '136858']"/>
        <s v="['136815', '136816', '136817', '136818', '136819', '136820', '136821', '136822', '136823', '136824', '136825', '136826', '136827', '136828', '136829', '136830', '136831', '136832', '136833', '136834']"/>
        <s v="['136813']"/>
        <s v="['136814']"/>
        <s v="['136860']"/>
        <s v="['136859']"/>
        <s v="['136835']"/>
        <s v="['136894', '136895', '136896', '136897', '136898', '136899', '136900', '136901', '136902', '136903', '136904', '136905', '136906', '136907', '136908', '136909', '136910', '136911', '136912']"/>
        <s v="['136888', '136889', '136890', '136891', '136892', '136893']"/>
        <s v="['136942']"/>
        <s v="['136915', '136916', '136917', '136918', '136919', '136920', '136921', '136922', '136923', '136924', '136926', '136927']"/>
        <s v="['136862', '136863', '136864', '136865', '136866', '136867', '136868', '136869', '136870', '136871', '136872', '136873', '136874', '136875', '136876', '136877', '136878', '136879']"/>
        <s v="['136880', '136881', '136883', '136884', '136885', '136886', '136887']['136882']"/>
        <s v="['136930', '136931', '136932']"/>
        <s v="['136933']"/>
        <s v="['136935', '136936', '136937', '136938', '136939', '136940', '136941']"/>
        <s v="['136989']"/>
        <s v="['136987']['136988']"/>
        <s v="['136959', '136960', '136961', '136962', '136963', '136964', '136965']"/>
        <s v="['136966', '136967', '136968', '136969', '136970', '136971', '136972', '136973', '136974', '136975', '136976', '136977', '136978', '136979', '136980', '136981', '136982', '136983']"/>
        <s v="['136947', '136948', '136949', '136950', '136951', '136952', '136953', '136954', '136955', '136956', '136957', '136958']"/>
        <s v="['136944', '136945', '136946']"/>
        <s v="['136984']"/>
        <s v="['137006']"/>
        <s v="['136990']"/>
        <s v="['136992']"/>
        <s v="['136997']"/>
        <s v="['136996']"/>
        <s v="['136998', '136999', '137000', '137001', '137002', '137003', '137004']"/>
        <s v="['137012']"/>
        <s v="['137013']"/>
        <s v="['137020']"/>
        <s v="['137022']"/>
        <s v="['137023']"/>
        <s v="['137050']"/>
        <s v="['137049']"/>
        <s v="['137067', '137068', '137069', '137070', '137071', '137072', '137073', '137074', '137075', '137076', '137077', '137078', '137079', '137080', '137081', '137082', '137083', '137084', '137085', '137086', '137087']"/>
        <s v="['137051', '137052', '137053', '137054', '137055', '137056', '137057', '137058']"/>
        <s v="['137025', '137026', '137027', '137028', '137029', '137030']"/>
        <s v="['137031', '137032', '137033', '137034', '137035', '137036', '137037', '137038', '137039']"/>
        <s v="['137044', '137045', '137046']"/>
        <s v="['137047', '137048']"/>
        <s v="['137060', '137061', '137062', '137063', '137064', '137065', '137066']"/>
        <s v="['137124', '137125']"/>
        <s v="['137122', '137123']"/>
        <s v="['137119', '137120', '137121']"/>
        <s v="['137116', '137117']"/>
        <s v="['137101', '137102', '137103', '137104', '137105', '137106', '137107', '137108', '137109', '137110', '137111', '137112', '137113', '137114']"/>
        <s v="['137088', '137089', '137090', '137091', '137092', '137093', '137094', '137095', '137096', '137098', '137099']['137097']"/>
        <s v="['137100']"/>
        <s v="['137115']"/>
        <s v="['137144', '137145']"/>
        <s v="['137137']"/>
        <s v="['137146']['137147', '137148']"/>
        <s v="['137132']['137133']"/>
        <s v="['137141', '137142', '137143']"/>
        <s v="['137126']['137127']"/>
        <s v="['137136']"/>
        <s v="['137134']"/>
        <s v="['137140']"/>
        <s v="['137130', '137131']['137128']"/>
        <s v="['137154']"/>
        <s v="['137170']"/>
        <s v="['137189']"/>
        <s v="['137149']"/>
        <s v="['137171', '137172', '137173', '137174', '137175', '137176', '137177', '137178', '137179', '137180', '137181', '137182', '137183', '137184', '137185', '137186', '137187']"/>
        <s v="['137160', '137161', '137162', '137163', '137164', '137165', '137166', '137167', '137168']"/>
        <s v="['137188']"/>
        <s v="['137151', '137153']['137152']"/>
        <s v="['137155', '137156', '137157', '137158', '137159']"/>
        <s v="['137217']"/>
        <s v="['137194', '137195', '137196', '137197', '137198', '137199', '137200', '137201', '137202', '137203', '137204', '137205', '137215']"/>
        <s v="['137206', '137207', '137208', '137209', '137210', '137211', '137212', '137213', '137214']"/>
        <s v="['137190']['137191']"/>
        <s v="['137240', '137241']"/>
        <s v="['137230']"/>
        <s v="['137226', '137227', '137228', '137229']"/>
        <s v="['137218', '137219', '137220', '137221', '137222', '137223', '137224', '137225']"/>
        <s v="['137239']"/>
        <s v="['137231']"/>
        <s v="['137232']"/>
        <s v="['137261']"/>
        <s v="['137266']['137265']['137264']"/>
        <s v="['137247', '137248', '137249', '137250', '137251']"/>
        <s v="['137252', '137253', '137254', '137255']"/>
        <s v="['137257']"/>
        <s v="['137256']"/>
        <s v="['137282', '137283']"/>
        <s v="['137268']"/>
        <s v="['137278']"/>
        <s v="['137281']"/>
        <s v="['137284']"/>
        <s v="['137279']['137280']"/>
        <s v="['137267']"/>
        <s v="['137272', '137273']"/>
        <s v="['137269', '137270', '137271']"/>
        <s v="['137275']"/>
        <s v="['137286']"/>
        <s v="['137313', '137314', '137315', '137316', '137317', '137318', '137319', '137320', '137321', '137322', '137323', '137324', '137326', '137327', '137328', '137329', '137330', '137331', '137333']"/>
        <s v="['137342']['137287']['137288']"/>
        <s v="['137310']['137311']"/>
        <s v="['137312']"/>
        <s v="['137334']"/>
        <s v="['137336']['137335']['137337']"/>
        <s v="['137306', '137307', '137308', '137309']"/>
        <s v="['137289', '137290', '137291', '137292', '137293', '137294', '137295', '137296', '137297', '137298', '137299', '137300', '137301', '137302', '137303', '137304', '137305']"/>
        <s v="['137370', '137371']"/>
        <s v="['137368']"/>
        <s v="['137366']"/>
        <s v="['137384']['137367']"/>
        <s v="['137381']"/>
        <s v="['137376', '137377', '137378', '137379', '137380']"/>
        <s v="['137372', '137373', '137374', '137375']"/>
        <s v="['137382', '137383']"/>
        <s v="['137427']"/>
        <s v="['137411', '137412', '137413', '137414', '137415', '137416', '137417', '137418']"/>
        <s v="['137386', '137387', '137388', '137389']['137421']['137422', '137423']"/>
        <s v="['137401', '137402', '137403', '137404', '137405', '137406', '137407', '137408', '137409', '137410']"/>
        <s v="['137385']"/>
        <s v="['137420']['137419']"/>
        <s v="['137425', '137426']"/>
        <s v="['137424']"/>
        <s v="['137392', '137393', '137394', '137395', '137396', '137397', '137398', '137399', '137400']"/>
        <s v="['137434', '137435']"/>
        <s v="['137439']"/>
        <s v="['137438']"/>
        <s v="['137441']"/>
        <s v="['137440']"/>
        <s v="['137433']"/>
        <s v="['137432']"/>
        <s v="['137467']"/>
        <s v="['137469']"/>
        <s v="['137468']"/>
        <s v="['137450', '137451', '137452', '137453', '137455', '137456', '137457', '137458', '137459', '137460', '137461', '137462', '137464', '137465']['137454']"/>
        <s v="['137470']"/>
        <s v="['137443']"/>
        <s v="['137471']['137472']"/>
        <s v="['137442']"/>
        <s v="['137480']"/>
        <s v="['137477']"/>
        <s v="['137487']"/>
        <s v="['137479']"/>
        <s v="['137484']"/>
        <s v="['137488', '137489', '137490', '137491']"/>
        <s v="['137494']"/>
        <s v="['137530']"/>
        <s v="['137496']"/>
        <s v="['137498']['137497']"/>
        <s v="['137514', '137515', '137516', '137517', '137518', '137519', '137520', '137521', '137522']"/>
        <s v="['137529']"/>
        <s v="['137525']"/>
        <s v="['137500', '137501', '137502', '137503', '137504', '137505', '137506', '137507', '137508', '137509', '137510', '137511', '137512', '137513']"/>
        <s v="['137526', '137527', '137528']"/>
        <s v="['137524']"/>
        <s v="['137573']"/>
        <s v="['137533']"/>
        <s v="['137535']['137534']"/>
        <s v="['137572']"/>
        <s v="['137557', '137558', '137559', '137560', '137561', '137562', '137563', '137564', '137565', '137566', '137568']"/>
        <s v="['137549', '137550', '137551', '137552', '137553', '137554', '137555', '137556']"/>
        <s v="['137574']"/>
        <s v="['137567']['137576']"/>
        <s v="['137537', '137538', '137539', '137540', '137541', '137542', '137543', '137544', '137545', '137546']"/>
        <s v="['137575']"/>
        <s v="['137580', '137581', '137582', '137583']"/>
        <s v="['137590']['137577']"/>
        <s v="['137591', '137592']"/>
        <s v="['137584']"/>
        <s v="['137589']"/>
        <s v="['137588']"/>
        <s v="['137585']"/>
        <s v="['137647']"/>
        <s v="['137652']['137653']"/>
        <s v="['137648', '137649']"/>
        <s v="['137645', '137646']"/>
        <s v="['137611', '137612', '137613', '137614', '137615', '137616', '137617', '137618', '137619', '137620', '137621', '137622', '137623', '137624', '137625']"/>
        <s v="['137626', '137627', '137628', '137629', '137630', '137631', '137632', '137634', '137635', '137636', '137637', '137638', '137639']"/>
        <s v="['137644']"/>
        <s v="['137610']"/>
        <s v="['137597']"/>
        <s v="['137594']"/>
        <s v="['137641', '137642', '137643']"/>
        <s v="['137604', '137605', '137606', '137607', '137608', '137609']"/>
        <s v="['137598', '137599', '137600', '137601', '137602', '137603']"/>
        <s v="['137654']"/>
        <s v="['137595']['137596']"/>
        <s v="['137640']"/>
        <s v="['137699', '137700', '137701']"/>
        <s v="['137690']"/>
        <s v="['137702']['137694']"/>
        <s v="['137697']"/>
        <s v="['137696']"/>
        <s v="['137698']"/>
        <s v="['137705']"/>
        <s v="['137695']"/>
        <s v="['137716']"/>
        <s v="['137718']['137719']"/>
        <s v="['137707']"/>
        <s v="['137708', '137709', '137710', '137711', '137712', '137713', '137714', '137715']"/>
        <s v="['137748']"/>
        <s v="['137746']"/>
        <s v="['137721']"/>
        <s v="['137734', '137735', '137736', '137737', '137738', '137739', '137740', '137741', '137742', '137743', '137744']"/>
        <s v="['137724', '137725', '137726', '137727', '137728', '137729', '137730', '137731', '137732', '137733']"/>
        <s v="['137750']"/>
        <s v="['137749']"/>
        <s v="['137752']"/>
        <s v="['137751']"/>
        <s v="['137756']"/>
        <s v="['137757', '137758', '137759', '137760', '137761', '137762', '137763', '137764', '137765', '137766', '137767', '137768', '137770', '137771', '137772', '137773', '137774', '137775', '137776', '137777', '137778', '137779', '137780', '137781', '137782', '137783', '137784', '137785']['137769']"/>
        <s v="['137787']"/>
        <s v="['137789']"/>
        <s v="['137754', '137755']"/>
        <s v="['137790']"/>
        <s v="['137788']"/>
        <s v="['137799', '137800', '137801']"/>
        <s v="['137792', '137793', '137794', '137795']"/>
        <s v="['137791']"/>
        <s v="['137821']"/>
        <s v="['137808', '137809', '137810']"/>
        <s v="['137805', '137806', '137807']"/>
        <s v="['137798']"/>
        <s v="['137803', '137804']"/>
        <s v="['137814', '137815', '137816', '137817', '137818', '137819']"/>
        <s v="['137820']"/>
        <s v="['137823', '137824']"/>
        <s v="['137826']"/>
        <s v="['137830', '137831', '137832']"/>
        <s v="['137833']"/>
        <s v="['137822']"/>
        <s v="['137838']"/>
        <s v="['137839', '137840', '137841', '137842', '137843']"/>
        <s v="['137845']"/>
        <s v="['137844']"/>
        <s v="['137858']['137856', '137857']"/>
        <s v="['137846', '137847', '137848', '137849', '137850', '137851', '137852', '137853', '137854']"/>
        <s v="['137884', '137885', '137886', '137887']"/>
        <s v="['137893']"/>
        <s v="['137889']"/>
        <s v="['137860', '137861', '137862', '137863', '137864', '137865', '137866', '137867', '137868', '137869', '137870', '137871', '137872', '137873', '137874', '137875', '137876', '137877']"/>
        <s v="['137878', '137879', '137880', '137881', '137882']"/>
        <s v="['137892']"/>
        <s v="['137891']"/>
        <s v="['137919', '137920']"/>
        <s v="['137914', '137916', '137917']"/>
        <s v="['137918']"/>
        <s v="['137898', '137899', '137900', '137901', '137902', '137903', '137904', '137905', '137906', '137907', '137908', '137909', '137910', '137911']"/>
        <s v="['137922']"/>
        <s v="['137921']"/>
        <s v="['137912', '137913']"/>
        <s v="['137895', '137896', '137897']"/>
        <s v="['137923']"/>
        <s v="['137925', '137926']"/>
        <s v="['137960']"/>
        <s v="['137959']"/>
        <s v="['137958']"/>
        <s v="['137950']"/>
        <s v="['137927']"/>
        <s v="['137924']"/>
        <s v="['137944', '137945', '137946', '137947', '137948', '137949']"/>
        <s v="['137928', '137929', '137930', '137931', '137932', '137933', '137934', '137935', '137936', '137937', '137938', '137939', '137940', '137941', '137942', '137943']"/>
        <s v="['137952', '137953', '137954', '137955', '137956']"/>
        <s v="['137957']"/>
        <s v="['137951']"/>
        <s v="['137961']"/>
        <s v="['137974', '137975', '137976', '137977', '137978', '137979', '137980', '137981', '137982', '137983', '137984', '137986', '137987', '137988']"/>
        <s v="['137966']"/>
        <s v="['137993']"/>
        <s v="['137968', '137969', '137970', '137971', '137972', '137973']"/>
        <s v="['137990']['137989']"/>
        <s v="['137964', '137967']"/>
        <s v="['137992']"/>
        <s v="['137991']"/>
        <s v="['137994']"/>
        <s v="['137995']"/>
        <s v="['138003', '138004', '138005']"/>
        <s v="['137999', '138000', '138001', '138002']"/>
        <s v="['138016']"/>
        <s v="['138047', '138048', '138049']"/>
        <s v="['138014', '138015']"/>
        <s v="['138017']['138018']"/>
        <s v="['138028', '138029', '138030', '138031', '138032', '138033', '138034', '138035', '138036', '138037']"/>
        <s v="['138038', '138039', '138040', '138041', '138042', '138043', '138044', '138045', '138046']"/>
        <s v="['138050', '138051', '138052', '138053', '138054', '138055', '138056', '138057', '138058', '138059', '138060', '138061', '138062', '138063', '138064']"/>
        <s v="['138022', '138023', '138024', '138025']"/>
        <s v="['138019']"/>
        <s v="['138065', '138066']['138067']"/>
        <s v="['138072', '138073']['138071']"/>
        <s v="['138083', '138084', '138085', '138086', '138087', '138088', '138089', '138090', '138091', '138092', '138093', '138094', '138095', '138096', '138097', '138098', '138099', '138100']"/>
        <s v="['138102']['138101']"/>
        <s v="['138105', '138106', '138107']"/>
        <s v="['138079', '138080', '138081']"/>
        <s v="['138075', '138076', '138077', '138078', '138082']"/>
        <s v="['138069']"/>
        <s v="['138068']"/>
        <s v="['138074']"/>
        <s v="['138114']"/>
        <s v="['138147']"/>
        <s v="['138142']['138141']"/>
        <s v="['138146']"/>
        <s v="['138132', '138133', '138134', '138135']"/>
        <s v="['138118', '138119', '138120', '138121', '138122', '138123', '138124', '138125', '138126', '138127', '138128', '138129', '138130', '138131']"/>
        <s v="['138145']"/>
        <s v="['138136', '138137', '138138', '138139']"/>
        <s v="['138143', '138144']"/>
        <s v="['138148']"/>
        <s v="['138204']"/>
        <s v="['138171']"/>
        <s v="['138186', '138187', '138188', '138189', '138190', '138191', '138192']"/>
        <s v="['138181', '138182', '138183', '138184', '138185', '138203']"/>
        <s v="['138177', '138178', '138179', '138180']"/>
        <s v="['138195', '138196', '138197', '138199', '138200', '138201', '138202']['138168', '138169']['138198']"/>
        <s v="['138194']"/>
        <s v="['138245']"/>
        <s v="['138240', '138241']"/>
        <s v="['138222', '138223', '138224', '138225', '138226', '138227', '138228', '138229', '138230', '138231']"/>
        <s v="['138209', '138210', '138211', '138212', '138213', '138214', '138215', '138216', '138217', '138219', '138220']"/>
        <s v="['138238', '138239']"/>
        <s v="['138232']"/>
        <s v="['138237']"/>
        <s v="['138236']"/>
        <s v="['138272', '138273']"/>
        <s v="['138299']"/>
        <s v="['138251', '138252']['138250']"/>
        <s v="['138295']"/>
        <s v="['138294']"/>
        <s v="['138249']"/>
        <s v="['138288']"/>
        <s v="['138281', '138282', '138283', '138284', '138285', '138286', '138287']"/>
        <s v="['138246', '138247']['138248']"/>
        <s v="['138289', '138290', '138291', '138292', '138293']"/>
        <s v="['138274', '138275', '138276', '138277', '138278', '138279', '138280']"/>
        <s v="['138253', '138254', '138255', '138256', '138257', '138258', '138259', '138260', '138262', '138263', '138264', '138265', '138266', '138267', '138268', '138269']"/>
        <s v="['138301']"/>
        <s v="['138325']"/>
        <s v="['138306']['138305']"/>
        <s v="['138320', '138321']['138319']"/>
        <s v="['138308']"/>
        <s v="['138315']"/>
        <s v="['138323', '138324']['138322']"/>
        <s v="['138302']"/>
        <s v="['138316']"/>
        <s v="['138309', '138310', '138311', '138312', '138313', '138314']"/>
        <s v="['138359', '138362', '138363']['138361']"/>
        <s v="['138364']"/>
        <s v="['138336']"/>
        <s v="['138348', '138349', '138351', '138352', '138353', '138354', '138355', '138356', '138357', '138358']"/>
        <s v="['138337', '138339', '138340', '138341', '138342', '138343', '138344', '138345', '138346', '138347']"/>
        <s v="['138329', '138330', '138331', '138332', '138333']"/>
        <s v="['138335']['138334']"/>
        <s v="['138365']"/>
        <s v="['138366', '138367', '138368', '138369']"/>
        <s v="['138405']"/>
        <s v="['138411']"/>
        <s v="['138414']['138406', '138407', '138408']"/>
        <s v="['138386', '138387', '138388', '138389', '138390', '138391', '138392', '138393']"/>
        <s v="['138370', '138371', '138372', '138373', '138374', '138375', '138376', '138377', '138378', '138379', '138380', '138381', '138382', '138383', '138384', '138385']"/>
        <s v="['138394', '138395', '138396', '138397', '138398', '138399', '138400', '138401', '138402', '138403', '138404']"/>
        <s v="['138413']"/>
        <s v="['138425']"/>
        <s v="['138424']"/>
        <s v="['138426', '138427', '138428']"/>
        <s v="['138421', '138422', '138423']"/>
        <s v="['138429']"/>
        <s v="['138418']"/>
        <s v="['138431']"/>
        <s v="['138432']"/>
        <s v="['138491']"/>
        <s v="['138504', '138505']['138503']"/>
        <s v="['138487', '138488', '138489', '138490']"/>
        <s v="['138493', '138494']"/>
        <s v="['138495', '138496', '138497', '138498', '138499', '138500']"/>
        <s v="['138534']['138527', '138528', '138529', '138530', '138531', '138532', '138533', '138535', '138536', '138537']['138510']"/>
        <s v="['138511', '138512', '138513', '138514', '138515', '138516']"/>
        <s v="['138517', '138518', '138519', '138520', '138521', '138522', '138523', '138524', '138525', '138526']"/>
        <s v="['138539', '138540']"/>
        <s v="['138538']"/>
        <s v="['138541']"/>
        <s v="['138704']['138705']"/>
        <s v="['138661']"/>
        <s v="['138662']"/>
        <s v="['138698', '138699']"/>
        <s v="['138679', '138680', '138681', '138682', '138683', '138684', '138685', '138686', '138687', '138688', '138689', '138690', '138691']"/>
        <s v="['138709', '138710', '138711', '138712']"/>
        <s v="['138664', '138665', '138666', '138667', '138668', '138669', '138670', '138671', '138672', '138673', '138674', '138675', '138676', '138677', '138678']"/>
        <s v="['138701', '138702', '138703']"/>
        <s v="['138708']"/>
        <s v="['138706', '138707']"/>
        <s v="['138692', '138693', '138694', '138695', '138696', '138697']"/>
        <s v="['138727']"/>
        <s v="['138716']"/>
        <s v="['138715']['138725']['138726']"/>
        <s v="['138717', '138718']"/>
        <s v="['138722']"/>
        <s v="['138723']"/>
        <s v="['138724']"/>
        <s v="['138751']"/>
        <s v="['138729']"/>
        <s v="['138782']"/>
        <s v="['138775', '138776', '138777', '138778', '138779', '138780', '138781']['138774']['138773']"/>
        <s v="['138747', '138748', '138749', '138750']"/>
        <s v="['138752', '138753', '138754', '138755', '138756']"/>
        <s v="['138730', '138731', '138732', '138733', '138734', '138735', '138736', '138737', '138738', '138739', '138740', '138741', '138742', '138743', '138744', '138745']['138746']"/>
        <s v="['138757', '138758', '138759', '138760', '138761', '138762', '138763', '138764']"/>
        <s v="['138772']"/>
        <s v="['138771']"/>
        <s v="['138809']"/>
        <s v="['138811']"/>
        <s v="['138785', '138786']"/>
        <s v="['138799', '138800', '138801', '138802', '138803', '138804']"/>
        <s v="['138805', '138806', '138807', '138808']"/>
        <s v="['138812']"/>
        <s v="['138790']['138791']"/>
        <s v="['138784']"/>
        <s v="['138810']"/>
        <s v="['138847']"/>
        <s v="['138879']"/>
        <s v="['138877']"/>
        <s v="['138865']"/>
        <s v="['138874']"/>
        <s v="['138822', '138823', '138824', '138825', '138826', '138827', '138828', '138829', '138830', '138831', '138832', '138833', '138834', '138835', '138836', '138837', '138838', '138839', '138840', '138841', '138842', '138843', '138844', '138845', '138846']"/>
        <s v="['138873']"/>
        <s v="['138878']['138818']"/>
        <s v="['138866', '138868', '138869', '138870', '138871', '138872']['138867']"/>
        <s v="['138849', '138850', '138851', '138852', '138853', '138854', '138855', '138856', '138857', '138858', '138859', '138860', '138861', '138862', '138863', '138864']"/>
        <s v="['138880']"/>
        <s v="['138881']"/>
        <s v="['138886']"/>
        <s v="['138896', '138897', '138898']"/>
        <s v="['138883']"/>
        <s v="['138888', '138889']['138887']"/>
        <s v="['138890', '138892', '138893', '138894', '138895', '138900']"/>
        <s v="['138941']"/>
        <s v="['138958']['138959', '138960']"/>
        <s v="['138963']['138962']"/>
        <s v="['138954']"/>
        <s v="['138943', '138945', '138946', '138947', '138948', '138949', '138950', '138952', '138953']"/>
        <s v="['138957']['138956']"/>
        <s v="['138973']"/>
        <s v="['138965', '138966', '138967', '138968', '138969', '138970', '138971', '138972']"/>
        <s v="['138975']"/>
        <s v="['138989']"/>
        <s v="['139004', '139005', '139006', '139007']"/>
        <s v="['138978', '138979', '138980', '138981', '138982', '138983', '138984', '138985', '138986', '138987', '138988']"/>
        <s v="['138990', '138991', '138992', '138993', '138994', '138995']"/>
        <s v="['138976']"/>
        <s v="['139002']"/>
        <s v="['139003']"/>
        <s v="['139008']"/>
        <s v="['139097']"/>
        <s v="['139063']"/>
        <s v="['139060']"/>
        <s v="['139058']"/>
        <s v="['139062']"/>
        <s v="['139088']"/>
        <s v="['139087']"/>
        <s v="['139080', '139081', '139082', '139083', '139084', '139086']['139085']"/>
        <s v="['139067', '139068', '139069', '139070', '139071', '139072', '139073', '139074', '139075', '139076', '139077', '139078']"/>
        <s v="['139091', '139092', '139093', '139094']"/>
        <s v="['139064']['139065']"/>
        <s v="['139096']['139059']"/>
        <s v="['139095']"/>
        <s v="['139090']"/>
        <s v="['139099']"/>
        <s v="['139100']['139101']"/>
        <s v="['139102']"/>
        <s v="['139104', '139105', '139106']"/>
        <s v="['139115']"/>
        <s v="['139107']"/>
        <s v="['139116']"/>
        <s v="['139168']"/>
        <s v="['139139']"/>
        <s v="['139169']"/>
        <s v="['139120', '139121']"/>
        <s v="['139165', '139166']"/>
        <s v="['139163', '139164']"/>
        <s v="['139170']"/>
        <s v="['139161']"/>
        <s v="['139167']"/>
        <s v="['139155', '139156', '139158']"/>
        <s v="['139126', '139127', '139128', '139129', '139130', '139131', '139132', '139133', '139134', '139135', '139136', '139137', '139138']"/>
        <s v="['139147', '139148', '139149', '139150', '139151', '139152']"/>
        <s v="['139140', '139141', '139142', '139143', '139144', '139145', '139146']"/>
        <s v="['139122', '139123', '139124', '139125']"/>
        <s v="['139154']"/>
        <s v="['139159', '139160']"/>
        <s v="['139174']"/>
        <s v="['139172']"/>
        <s v="['139171']['139183']"/>
        <s v="['139175', '139176', '139177', '139179']"/>
        <s v="['139178']"/>
        <s v="['139185', '139186']"/>
        <s v="['139184']"/>
        <s v="['139240']"/>
        <s v="['139187']"/>
        <s v="['139238']['139237']"/>
        <s v="['139224']['139225']"/>
        <s v="['139190', '139191', '139192', '139193', '139194', '139195', '139196', '139197', '139198', '139199', '139200', '139201', '139202', '139203', '139204', '139205']"/>
        <s v="['139232']"/>
        <s v="['139227', '139228', '139229', '139230', '139231']"/>
        <s v="['139206', '139207', '139208', '139209', '139210', '139211', '139212', '139213', '139214', '139215', '139216', '139217', '139218', '139219', '139220', '139221', '139222', '139223']"/>
        <s v="['139233']"/>
        <s v="['139234']"/>
        <s v="['139236']"/>
        <s v="['139235']"/>
        <s v="['139242', '139244']"/>
        <s v="['139253', '139254']"/>
        <s v="['139245']"/>
        <s v="['139246']"/>
        <s v="['139247', '139248', '139249', '139250', '139251']"/>
        <s v="['139260', '139261']"/>
        <s v="['139258']['139257']"/>
        <s v="['139325', '139326']"/>
        <s v="['139299', '139300', '139301', '139302', '139303', '139304', '139305', '139306', '139307', '139308', '139309', '139310', '139311', '139312', '139313', '139314', '139315', '139316', '139317', '139318', '139319']"/>
        <s v="['139324']"/>
        <s v="['139322']"/>
        <s v="['139290', '139291', '139292', '139293', '139294', '139295', '139296', '139297', '139298']"/>
        <s v="['139323']"/>
        <s v="['139284', '139285', '139286', '139287', '139288', '139289']"/>
        <s v="['139353', '139354']"/>
        <s v="['139329']"/>
        <s v="['139330']"/>
        <s v="['139327']"/>
        <s v="['139333', '139334', '139335', '139336', '139337', '139338', '139339', '139340']"/>
        <s v="['139341', '139342', '139343', '139344', '139345', '139346', '139347', '139348', '139349', '139352']['139350']['139351']"/>
        <s v="['139331', '139332']"/>
        <s v="['139328']"/>
        <s v="['139379', '139380']"/>
        <s v="['139355']"/>
        <s v="['139376']"/>
        <s v="['139363']"/>
        <s v="['139378']"/>
        <s v="['139356']"/>
        <s v="['139364', '139365', '139366', '139367', '139368', '139369']"/>
        <s v="['139370', '139371', '139372', '139373', '139375']"/>
        <s v="['139357', '139358', '139359', '139360', '139361', '139362']"/>
        <s v="['139407', '139408']"/>
        <s v="['139409', '139410']"/>
        <s v="['139404', '139405']"/>
        <s v="['139382']"/>
        <s v="['139383']"/>
        <s v="['139403']"/>
        <s v="['139381']"/>
        <s v="['139402']['139401']"/>
        <s v="['139385', '139386', '139387', '139388', '139389', '139390', '139391', '139392', '139393', '139394', '139395']"/>
        <s v="['139397', '139398', '139399', '139400']"/>
        <s v="['139396']"/>
        <s v="['139414']"/>
        <s v="['139415', '139416']"/>
        <s v="['139413']"/>
        <s v="['139424']"/>
        <s v="['139425']"/>
        <s v="['139418', '139419', '139420']"/>
        <s v="['139426']"/>
        <s v="['139421', '139422', '139423']"/>
        <s v="['139417']"/>
        <s v="['139429', '139430']"/>
        <s v="['139431', '139432', '139433', '139434', '139435', '139436', '139437', '139438', '139439', '139440', '139441', '139442', '139443', '139444']"/>
        <s v="['139461']"/>
        <s v="['139457', '139458', '139459', '139460']['139454', '139455', '139456']"/>
        <s v="['139445', '139446', '139447', '139448', '139449', '139450', '139451', '139452', '139453']"/>
        <s v="['139464']"/>
        <s v="['139465']"/>
        <s v="['139463']"/>
        <s v="['139467', '139468']"/>
        <s v="['139470']"/>
        <s v="['139471']"/>
        <s v="['139474']"/>
        <s v="['139507']"/>
        <s v="['139509']"/>
        <s v="['139510']"/>
        <s v="['139508']"/>
        <s v="['139512']['139513']"/>
        <s v="['139466']"/>
        <s v="['139469']"/>
        <s v="['139501']"/>
        <s v="['139473']"/>
        <s v="['139494', '139495', '139496', '139497', '139498', '139499', '139500']"/>
        <s v="['139476', '139477', '139478', '139479', '139480', '139481', '139482', '139483', '139484', '139485', '139486', '139487', '139488', '139489', '139490', '139491', '139492', '139493']"/>
        <s v="['139503', '139504']"/>
        <s v="['139511', '139514']"/>
        <s v="['139562', '139563']"/>
        <s v="['139559']"/>
        <s v="['139517']"/>
        <s v="['139516']"/>
        <s v="['139532', '139533', '139534', '139536', '139537', '139538', '139539', '139540', '139541', '139542', '139543', '139544', '139545']"/>
        <s v="['139549']"/>
        <s v="['139548']"/>
        <s v="['139560']"/>
        <s v="['139521', '139522', '139523', '139524', '139525', '139526', '139527', '139528', '139529', '139530', '139531']"/>
        <s v="['139561']"/>
        <s v="['139550', '139551', '139552', '139553', '139554', '139555', '139556', '139557', '139558']"/>
        <s v="['139597']"/>
        <s v="['139568']"/>
        <s v="['139591']['139592']"/>
        <s v="['139593']"/>
        <s v="['139595', '139596']"/>
        <s v="['139588']"/>
        <s v="['139589']"/>
        <s v="['139569', '139570', '139571', '139572', '139573', '139574', '139575', '139576', '139577', '139578', '139579', '139580', '139581', '139582', '139583', '139584', '139585']"/>
        <s v="['139564', '139565', '139566', '139567']"/>
        <s v="['139586', '139587']"/>
        <s v="['139590']"/>
        <s v="['139618']"/>
        <s v="['139623']"/>
        <s v="['139624']"/>
        <s v="['139601', '139602']"/>
        <s v="['139600']"/>
        <s v="['139610', '139611', '139612', '139613', '139614', '139615', '139617']['139616']"/>
        <s v="['139630']"/>
        <s v="['139619', '139620']"/>
        <s v="['139621']['139622']"/>
        <s v="['139625']"/>
        <s v="['139603', '139604', '139605', '139606', '139607', '139608', '139609']"/>
        <s v="['139627', '139628']['139626']"/>
        <s v="['139631']"/>
        <s v="['139634']"/>
        <s v="['139632', '139633']"/>
        <s v="['139629']"/>
        <s v="['139669']"/>
        <s v="['139641']"/>
        <s v="['139639', '139640']"/>
        <s v="['139644']"/>
        <s v="['139635']"/>
        <s v="['139645', '139646', '139647', '139648', '139649', '139650', '139651', '139652', '139653', '139654', '139655', '139656', '139657', '139658', '139659', '139660', '139661', '139662', '139663']"/>
        <s v="['139643']['139642']"/>
        <s v="['139664']"/>
        <s v="['139636', '139666']"/>
        <s v="['139665']"/>
        <s v="['139668']['139667']"/>
        <s v="['139637']"/>
        <s v="['139717']"/>
        <s v="['139671']"/>
        <s v="['139707']"/>
        <s v="['139718']"/>
        <s v="['139701', '139702', '139703', '139704', '139705', '139706']"/>
        <s v="['139714']"/>
        <s v="['139675']"/>
        <s v="['139716']"/>
        <s v="['139698', '139699']"/>
        <s v="['139676', '139677', '139678', '139679', '139680', '139681', '139682', '139683', '139684', '139685']"/>
        <s v="['139686', '139687', '139688', '139689', '139690', '139691', '139692', '139693', '139694', '139695', '139696']"/>
        <s v="['139708', '139709', '139710', '139711', '139712']"/>
        <s v="['139762']"/>
        <s v="['139772']"/>
        <s v="['139758']"/>
        <s v="['139759']"/>
        <s v="['139770']"/>
        <s v="['139761']"/>
        <s v="['139768']"/>
        <s v="['139773', '139774', '139775', '139776']"/>
        <s v="['139765', '139766', '139767']"/>
        <s v="['139780']"/>
        <s v="['139790']['139791']"/>
        <s v="['139792', '139793']['139794']"/>
        <s v="['139783', '139784', '139785', '139786', '139787', '139788']"/>
        <s v="['139789']"/>
        <s v="['139891']"/>
        <s v="['139913']"/>
        <s v="['139864']"/>
        <s v="['139892', '139893', '139894', '139895', '139896', '139897', '139898', '139899', '139900']"/>
        <s v="['139865', '139866']"/>
        <s v="['139877', '139878', '139879', '139880', '139881', '139882', '139883', '139884', '139885', '139886', '139887', '139888', '139889', '139890']"/>
        <s v="['139869', '139870', '139871', '139872', '139873', '139874', '139875', '139876']"/>
        <s v="['139908', '139909', '139910', '139911', '139912']"/>
        <s v="['139901', '139902', '139903', '139904', '139905', '139906', '139907']"/>
        <s v="['139915', '139916']"/>
        <s v="['139938', '139939']"/>
        <s v="['139918']"/>
        <s v="['139935']"/>
        <s v="['139924']"/>
        <s v="['139920']['139919']"/>
        <s v="['139925', '139926', '139927']['139928']"/>
        <s v="['139923']"/>
        <s v="['139932', '139933', '139934']"/>
        <s v="['139930']"/>
        <s v="['139931']"/>
        <s v="['139949']"/>
        <s v="['139942']"/>
        <s v="['139955']"/>
        <s v="['139957']"/>
        <s v="['139940', '139941']"/>
        <s v="['139943', '139944', '139945', '139946', '139947']"/>
        <s v="['139950', '139951', '139952']"/>
        <s v="['139954']"/>
        <s v="['140001', '140002']"/>
        <s v="['139998', '139999']"/>
        <s v="['139960']"/>
        <s v="['139977', '139978']"/>
        <s v="['139980']"/>
        <s v="['139981', '139982', '139983', '139984', '139985', '139986', '139987', '139988', '139989', '139990', '139991', '139992', '139993', '139994', '139995', '139996']"/>
        <s v="['139979']"/>
        <s v="['139959', '139961', '139962', '139963', '139964', '139965', '139966', '139967', '139968', '139969', '139970', '139971', '139972', '139973', '139974', '139976']"/>
        <s v="['139997']"/>
        <s v="['140043']"/>
        <s v="['140050']"/>
        <s v="['140012']"/>
        <s v="['140004', '140005']"/>
        <s v="['140044', '140045', '140046']"/>
        <s v="['140047', '140048']"/>
        <s v="['140031', '140032', '140033', '140034', '140035', '140036', '140037', '140038', '140039', '140040', '140041', '140042']"/>
        <s v="['140013', '140014', '140015', '140016', '140017', '140018', '140019', '140020', '140021', '140022', '140024', '140025', '140026', '140027', '140028', '140029', '140030']"/>
        <s v="['140066']"/>
        <s v="['140064', '140065']"/>
        <s v="['140054', '140055']"/>
        <s v="['140063']"/>
        <s v="['140062']"/>
        <s v="['140051', '140052', '140053']"/>
        <s v="['140181']['140182']"/>
        <s v="['140183', '140184', '140185', '140186', '140187', '140188', '140189', '140190', '140191', '140192', '140193', '140194', '140195', '140196', '140197', '140198', '140199', '140200', '140201', '140202', '140203', '140204', '140205', '140206', '140207', '140208', '140209', '140210', '140211', '140212', '140213', '140214', '140215']"/>
        <s v="['140179']"/>
        <s v="['140216', '140217', '140218', '140219']"/>
        <s v="['140171', '140172']"/>
        <s v="['140173']['140174']"/>
        <s v="['140167', '140168', '140169', '140170']"/>
        <s v="['140223']"/>
        <s v="['140222']"/>
        <s v="['140221']"/>
        <s v="['140226']"/>
        <s v="['140228']['140224']"/>
        <s v="['140252']"/>
        <s v="['140256']"/>
        <s v="['140227']"/>
        <s v="['140231', '140232', '140233', '140234', '140235', '140236', '140237', '140238', '140239']"/>
        <s v="['140240', '140241', '140242', '140243', '140244', '140245', '140246', '140247', '140248', '140249', '140250', '140251']"/>
        <s v="['140253', '140254']"/>
        <s v="['140229']"/>
        <s v="['140260']"/>
        <s v="['140261']"/>
        <s v="['140262']"/>
        <s v="['140258']"/>
        <s v="['140257']"/>
        <s v="['140280', '140281']"/>
        <s v="['140273']['140274']"/>
        <s v="['140282']"/>
        <s v="['140268', '140269', '140270', '140271', '140272']"/>
        <s v="['140275', '140276', '140277', '140278']"/>
        <s v="['140315']"/>
        <s v="['140284']"/>
        <s v="['140287', '140288']"/>
        <s v="['140313']['140314']"/>
        <s v="['140283']"/>
        <s v="['140304', '140305', '140306', '140307', '140308', '140309', '140310', '140311', '140312']"/>
        <s v="['140289', '140290', '140291', '140292', '140293', '140294', '140295', '140296', '140297', '140298', '140299', '140300', '140301', '140302', '140303']"/>
        <s v="['140285']['140286']"/>
        <s v="['140319']"/>
        <s v="['140353']['140352']"/>
        <s v="['140317', '140318']"/>
        <s v="['140348']"/>
        <s v="['140320', '140322']['140321']"/>
        <s v="['140324', '140325', '140326', '140327', '140328', '140329', '140330', '140331', '140332', '140333', '140334', '140335', '140336', '140337', '140338']"/>
        <s v="['140339', '140340', '140341', '140342', '140343', '140344', '140345']"/>
        <s v="['140349']['140350']"/>
        <s v="['140351']"/>
        <s v="['140347']"/>
        <s v="['140417', '140418']"/>
        <s v="['140416']"/>
        <s v="['140411']"/>
        <s v="['140425']"/>
        <s v="['140407', '140408']"/>
        <s v="['140404', '140405', '140406']"/>
        <s v="['140419', '140420', '140421', '140422', '140423', '140424']"/>
        <s v="['140413']"/>
        <s v="['140414', '140415']"/>
        <s v="['140428', '140429']"/>
        <s v="['140426']"/>
        <s v="['140434']"/>
        <s v="['140442']"/>
        <s v="['140445']"/>
        <s v="['140432', '140433']"/>
        <s v="['140435']"/>
        <s v="['140439']"/>
        <s v="['140437', '140438']"/>
        <s v="['140440', '140441']"/>
        <s v="['140447', '140448', '140449', '140450', '140451']"/>
        <s v="['140454', '140455']"/>
        <s v="['140446']"/>
        <s v="['140496', '140497']"/>
        <s v="['140453']"/>
        <s v="['140495']"/>
        <s v="['140456', '140457', '140458', '140459', '140460', '140461', '140462', '140463', '140464', '140465', '140466', '140467', '140468', '140469', '140470']"/>
        <s v="['140476', '140477', '140478', '140479', '140480', '140481', '140482', '140483', '140484', '140485']"/>
        <s v="['140486', '140487', '140488', '140489', '140490', '140491', '140492', '140493']"/>
        <s v="['140536', '140537', '140538', '140539', '140540']"/>
        <s v="['140566', '140567']"/>
        <s v="['140572', '140573', '140574']"/>
        <s v="['140569', '140570']"/>
        <s v="['140541']"/>
        <s v="['140543', '140544', '140545', '140546', '140547', '140548', '140549', '140550', '140551', '140552', '140553', '140554', '140555', '140556', '140557', '140558', '140559', '140561', '140562', '140563', '140564']"/>
        <s v="['140580']"/>
        <s v="['140575', '140576', '140577', '140578', '140579']"/>
        <s v="['140568']['140532', '140533']"/>
        <s v="['140542']"/>
        <s v="['140586']"/>
        <s v="['140635']"/>
        <s v="['140634']"/>
        <s v="['140629']"/>
        <s v="['140626', '140627']"/>
        <s v="['140614']"/>
        <s v="['140630']"/>
        <s v="['140600', '140601', '140602', '140603', '140604', '140605', '140606', '140607', '140608', '140609', '140610', '140611']"/>
        <s v="['140582', '140583']"/>
        <s v="['140621', '140622']"/>
        <s v="['140587', '140588', '140589', '140590', '140591', '140592', '140593', '140594', '140595', '140596', '140597', '140598', '140599']"/>
        <s v="['140633']"/>
        <s v="['140584']"/>
        <s v="['140632']"/>
        <s v="['140624']"/>
        <s v="['140631']"/>
        <s v="['140615', '140616', '140617', '140618', '140619', '140620']"/>
        <s v="['140638']"/>
        <s v="['140637']"/>
        <s v="['140639']"/>
        <s v="['140641']"/>
        <s v="['140643', '140644']"/>
        <s v="['140642']"/>
        <s v="['140672', '140673', '140674', '140675', '140676', '140677', '140679', '140680', '140681', '140682', '140683', '140684']"/>
        <s v="['140688']['140689']"/>
        <s v="['140654', '140655', '140656', '140657', '140658', '140659', '140660', '140661', '140662', '140663', '140664', '140665', '140666', '140667', '140668', '140669', '140670', '140671']"/>
        <s v="['140685', '140686', '140687']"/>
        <s v="['140649', '140650']"/>
        <s v="['140697', '140698']"/>
        <s v="['140690', '140691', '140692', '140693', '140694', '140695', '140696']"/>
        <s v="['140699']"/>
        <s v="['140724', '140725']"/>
        <s v="['140732', '140733']"/>
        <s v="['140730']['140729']"/>
        <s v="['140734', '140735', '140736', '140737', '140738', '140739', '140740', '140741', '140742', '140743', '140744', '140745', '140746', '140747', '140748', '140749', '140750', '140751', '140752', '140753']"/>
        <s v="['140758', '140760']['140759']"/>
        <s v="['140754', '140755', '140756', '140757']"/>
        <s v="['140762', '140763']"/>
        <s v="['140800']['140761']"/>
        <s v="['140786']['140787']"/>
        <s v="['140791', '140792', '140793', '140794', '140795', '140796', '140797', '140798', '140799']"/>
        <s v="['140767', '140768', '140769', '140770', '140771', '140772', '140773', '140774', '140775', '140776', '140777', '140778', '140779', '140780', '140781']"/>
        <s v="['140788', '140789', '140790']"/>
        <s v="['140782', '140783', '140784', '140785']"/>
        <s v="['140847', '140848']"/>
        <s v="['140835']"/>
        <s v="['140851']"/>
        <s v="['140849']"/>
        <s v="['140837', '140838', '140839', '140840', '140841', '140842', '140843', '140844', '140845', '140846']"/>
        <s v="['140818', '140819', '140820', '140821', '140822', '140823', '140824', '140825', '140826', '140827', '140828', '140829', '140830', '140831', '140832', '140833']"/>
        <s v="['140852']"/>
        <s v="['140853']"/>
        <s v="['140855']"/>
        <s v="['140856']"/>
        <s v="['140858']"/>
        <s v="['140859']"/>
        <s v="['140877']"/>
        <s v="['140878']"/>
        <s v="['140876']"/>
        <s v="['140861', '140862', '140863', '140864', '140865', '140866', '140867', '140868', '140869', '140870', '140871', '140872', '140873', '140874', '140875']"/>
        <s v="['140901']"/>
        <s v="['140899']"/>
        <s v="['140900']"/>
        <s v="['140892', '140893', '140894', '140895', '140896', '140897', '140898']"/>
        <s v="['140903']"/>
        <s v="['140881', '140882', '140883', '140884', '140885', '140886', '140887', '140888', '140889', '140890', '140891']"/>
        <s v="['140902']"/>
        <s v="['140931']"/>
        <s v="['140910']['140909']"/>
        <s v="['140924', '140925']"/>
        <s v="['140914', '140915', '140916', '140917', '140918']"/>
        <s v="['140904']['140905']['140912']"/>
        <s v="['140911']['140913']"/>
        <s v="['140927', '140928']"/>
        <s v="['140919', '140920', '140921', '140922', '140923']"/>
        <s v="['140908']"/>
        <s v="['140941', '140942']"/>
        <s v="['140965', '140966', '140967']"/>
        <s v="['140932', '140933', '140934', '140935', '140936']"/>
        <s v="['140943', '140944', '140945', '140946', '140947', '140948', '140949', '140950', '140951', '140952', '140953', '140954']"/>
        <s v="['140955', '140956', '140957', '140958', '140959', '140960', '140961', '140962', '140963']"/>
        <s v="['140964']"/>
        <s v="['141012']"/>
        <s v="['141013']"/>
        <s v="['141010', '141011']"/>
        <s v="['141015', '141016', '141017', '141018', '141019', '141020']"/>
        <s v="['141009']"/>
        <s v="['141023', '141024', '141025', '141026', '141027', '141028', '141029', '141030', '141031', '141032', '141033', '141034']"/>
        <s v="['141035']"/>
        <s v="['141036']"/>
        <s v="['141038', '141039']['141040', '141041']"/>
        <s v="['141037']"/>
        <s v="['141069', '141070', '141071', '141072']['141073']"/>
        <s v="['141078', '141079']"/>
        <s v="['141081']"/>
        <s v="['141046']"/>
        <s v="['141045', '141048', '141049', '141050', '141051', '141052', '141053', '141054', '141056', '141057', '141058', '141059', '141060', '141061', '141064', '141065', '141066', '141067', '141068']['141063']['141062']['141055']"/>
        <s v="['141043']"/>
        <s v="['141074']"/>
        <s v="['141075', '141076', '141077']"/>
        <s v="['141083', '141084', '141085']"/>
        <s v="['141082']"/>
        <s v="['141089', '141090', '141091', '141092', '141093']"/>
        <s v="['141095']"/>
        <s v="['141100']['141099']"/>
        <s v="['141096', '141097', '141098']"/>
        <s v="['141102', '141103', '141104', '141105', '141106', '141107']"/>
        <s v="['141147']"/>
        <s v="['141146']"/>
        <s v="['141133', '141134', '141135', '141136', '141137', '141138', '141139', '141140', '141141', '141142']"/>
        <s v="['141144', '141145']"/>
        <s v="['141112', '141113']"/>
        <s v="['141110']"/>
        <s v="['141114', '141115', '141116', '141118', '141119', '141120', '141121', '141122', '141123', '141124', '141125', '141126', '141127', '141128', '141129', '141130', '141131', '141132']"/>
        <s v="['141150']"/>
        <s v="['141205']['141206']['141203', '141204']"/>
        <s v="['141208']"/>
        <s v="['141209', '141210', '141211', '141212', '141214', '141215', '141216', '141217', '141218', '141219', '141220', '141221', '141222', '141223', '141224', '141225', '141226', '141227', '141228']"/>
        <s v="['141237']['141202']"/>
        <s v="['141233']"/>
        <s v="['141236']"/>
        <s v="['141200']"/>
        <s v="['141198']"/>
        <s v="['141207']"/>
        <s v="['141234']"/>
        <s v="['141235']"/>
        <s v="['141231', '141232']"/>
        <s v="['141256']"/>
        <s v="['141272', '141273']"/>
        <s v="['141255']"/>
        <s v="['141257', '141258']"/>
        <s v="['141274']"/>
        <s v="['141276']"/>
        <s v="['141277']"/>
        <s v="['141271']"/>
        <s v="['141279']"/>
        <s v="['141266', '141267']"/>
        <s v="['141259', '141260']"/>
        <s v="['141268', '141269', '141270']"/>
        <s v="['141240', '141241', '141242', '141243', '141244', '141245', '141246', '141247', '141248', '141249', '141250', '141251', '141252', '141253', '141254']"/>
        <s v="['141261', '141262', '141263', '141264', '141265']"/>
        <s v="['141238']"/>
        <s v="['141283']"/>
        <s v="['141316']"/>
        <s v="['141282']"/>
        <s v="['141306']"/>
        <s v="['141284']"/>
        <s v="['141312']"/>
        <s v="['141315']"/>
        <s v="['141309', '141310']"/>
        <s v="['141296', '141297', '141298', '141299', '141300', '141301', '141302', '141303', '141304', '141305']"/>
        <s v="['141288', '141289', '141290', '141291', '141292', '141293', '141294', '141295']"/>
        <s v="['141308']"/>
        <s v="['141307']"/>
        <s v="['141313']"/>
        <s v="['141319', '141320', '141321', '141323']['141322']"/>
        <s v="['141328', '141329']"/>
        <s v="['141325']"/>
        <s v="['141324']"/>
        <s v="['141327']"/>
        <s v="['141326']"/>
        <s v="['141334']"/>
        <s v="['141330', '141331']"/>
        <s v="['141364']"/>
        <s v="['141346', '141347']"/>
        <s v="['141339']"/>
        <s v="['141333']"/>
        <s v="['141354', '141355', '141356', '141357', '141358', '141359', '141360', '141361', '141362', '141363']"/>
        <s v="['141345']"/>
        <s v="['141348']"/>
        <s v="['141352']"/>
        <s v="['141332']"/>
        <s v="['141340']['141341']"/>
        <s v="['141349']"/>
        <s v="['141351']"/>
        <s v="['141350']"/>
        <s v="['141335']"/>
        <s v="['141342']"/>
        <s v="['141365']"/>
        <s v="['141372', '141373']"/>
        <s v="['141392']"/>
        <s v="['141367']['141366']"/>
        <s v="['141410', '141411']"/>
        <s v="['141369', '141370']"/>
        <s v="['141376', '141377', '141378', '141379', '141380', '141381', '141382', '141383']"/>
        <s v="['141398', '141399', '141400', '141401', '141402', '141403', '141404', '141405', '141406', '141407', '141408']"/>
        <s v="['141396', '141397']['141393', '141394']"/>
        <s v="['141409']"/>
        <s v="['141384', '141385', '141386', '141387', '141388', '141389', '141390']"/>
        <s v="['141436']"/>
        <s v="['141442']"/>
        <s v="['141437']"/>
        <s v="['141443']"/>
        <s v="['141445', '141446']['141447']"/>
        <s v="['141413', '141414', '141415', '141416', '141417', '141418', '141419', '141420', '141421', '141422', '141423', '141425', '141426', '141427', '141428', '141429', '141430', '141431', '141433', '141434', '141435']"/>
        <s v="['141448']"/>
        <s v="['141453', '141454']"/>
        <s v="['141476', '141477']"/>
        <s v="['141459']"/>
        <s v="['141451']"/>
        <s v="['141470', '141471', '141472', '141473', '141474', '141475']"/>
        <s v="['141449', '141450']"/>
        <s v="['141456', '141457', '141458']['141455']"/>
        <s v="['141462', '141463']"/>
        <s v="['141469']"/>
        <s v="['141464', '141465', '141466', '141467', '141468']"/>
        <s v="['141480', '141481']"/>
        <s v="['141479']"/>
        <s v="['141485']"/>
        <s v="['141478']"/>
        <s v="['141499', '141500', '141501', '141502', '141503', '141504']"/>
        <s v="['141486', '141487', '141488', '141489', '141490', '141491', '141492', '141493', '141494', '141495', '141496', '141497', '141498']"/>
        <s v="['141482']"/>
        <s v="['141506']"/>
        <s v="['141538']"/>
        <s v="['141545']"/>
        <s v="['141544']"/>
        <s v="['141508']"/>
        <s v="['141543']"/>
        <s v="['141510', '141511', '141512', '141513', '141514', '141515', '141516', '141517', '141518', '141519', '141520', '141521', '141522', '141523', '141524', '141525', '141526', '141527', '141530', '141531']['141529']['141528']"/>
        <s v="['141537']"/>
        <s v="['141541']"/>
        <s v="['141581', '141582']"/>
        <s v="['141546']"/>
        <s v="['141579']"/>
        <s v="['141580']"/>
        <s v="['141577']"/>
        <s v="['141550', '141551', '141552', '141553', '141554', '141555', '141556', '141558', '141559', '141560', '141561', '141562', '141563', '141564']"/>
        <s v="['141565', '141566', '141567', '141568', '141569', '141570', '141571']['141572', '141573', '141574']"/>
        <s v="['141575']"/>
        <s v="['141578']"/>
        <s v="['141576']"/>
        <s v="['141585']"/>
        <s v="['141591', '141592']['141593']"/>
        <s v="['141584']"/>
        <s v="['141595', '141596', '141597', '141598', '141599']"/>
        <s v="['141590']"/>
        <s v="['141594']"/>
        <s v="['141588']['141589']"/>
        <s v="['141620']"/>
        <s v="['141619']"/>
        <s v="['141621']"/>
        <s v="['141639', '141640', '141641', '141642', '141643', '141644', '141645', '141646', '141647', '141648', '141649', '141650']"/>
        <s v="['141622', '141623', '141624', '141625', '141626', '141627', '141628', '141629', '141630', '141631', '141632', '141633', '141634', '141635', '141636', '141637', '141638']"/>
        <s v="['141654', '141655', '141656', '141657', '141658', '141659']"/>
        <s v="['141653']"/>
        <s v="['141652']"/>
        <s v="['141651']"/>
        <s v="['141662']"/>
        <s v="['141700', '141701', '141702']"/>
        <s v="['141709', '141710']"/>
        <s v="['141706']"/>
        <s v="['141694']"/>
        <s v="['141689']"/>
        <s v="['141664', '141665', '141666', '141667', '141668', '141669', '141671', '141672', '141673', '141674', '141675', '141676', '141677', '141678', '141679']"/>
        <s v="['141704', '141705']"/>
        <s v="['141690', '141691', '141692']"/>
        <s v="['141680', '141681', '141682']"/>
        <s v="['141695']"/>
        <s v="['141697']"/>
        <s v="['141696']"/>
        <s v="['141713']"/>
        <s v="['141712']"/>
        <s v="['141739']['141740']"/>
        <s v="['141727']"/>
        <s v="['141743']['141741', '141742']"/>
        <s v="['141711']"/>
        <s v="['141714']"/>
        <s v="['141715', '141716', '141717', '141718', '141719', '141720', '141721', '141722', '141723', '141724', '141725', '141726']"/>
        <s v="['141738']"/>
        <s v="['141728', '141729', '141730', '141731', '141732', '141733']"/>
        <s v="['141762']"/>
        <s v="['141773']['141761']['141781']"/>
        <s v="['141783']['141782']"/>
        <s v="['141769', '141770', '141771', '141772']"/>
        <s v="['141776', '141777', '141778', '141779', '141780']"/>
        <s v="['141763', '141764', '141765', '141766', '141767']"/>
        <s v="['141774']"/>
        <s v="['141814']['141815']"/>
        <s v="['141802', '141803', '141804', '141805', '141806', '141807', '141808', '141809', '141810', '141811', '141812']"/>
        <s v="['141786', '141787', '141788', '141789', '141790', '141791', '141792', '141793', '141794', '141795', '141796', '141798', '141799', '141800', '141801']"/>
        <s v="['141816']"/>
        <s v="['141817']"/>
        <s v="['141818', '141819']"/>
        <s v="['141870']"/>
        <s v="['141820']"/>
        <s v="['141856', '141857', '141858', '141859', '141860', '141861', '141862', '141863', '141864', '141865', '141866', '141867']"/>
        <s v="['141822', '141823', '141824', '141825', '141826', '141827', '141828', '141829', '141830', '141831', '141832', '141833', '141834', '141835', '141836', '141837', '141838', '141839']"/>
        <s v="['141869']"/>
        <s v="['141871', '141872', '141873', '141874', '141875']"/>
        <s v="['141883', '141884', '141885', '141886']"/>
        <s v="['141840', '141841', '141842', '141843', '141844', '141845', '141846', '141847', '141849', '141850', '141851', '141852', '141853', '141854', '141855']"/>
        <s v="['141887']"/>
        <s v="['141868']"/>
        <s v="['141879']"/>
        <s v="['141880']"/>
        <s v="['141881', '141882']"/>
        <s v="['141953', '141954', '141955', '141956', '141957']"/>
        <s v="['141944', '141945', '141946', '141947', '141948']"/>
        <s v="['141951']['141950']"/>
        <s v="['142034', '142035', '142036', '142037', '142038']"/>
        <s v="['142032', '142033']"/>
        <s v="['142009', '142010', '142011', '142012', '142013', '142014', '142015', '142016', '142017', '142018', '142019', '142020', '142021', '142022', '142023', '142024', '142025', '142026', '142027', '142028', '142029', '142030', '142031']"/>
        <s v="['142043', '142044', '142045']['142046']"/>
        <s v="['142040']"/>
        <s v="['142041']"/>
        <s v="['142039']"/>
        <s v="['142042']"/>
        <s v="['142094']"/>
        <s v="['142047']"/>
        <s v="['142048']"/>
        <s v="['142093']"/>
        <s v="['142066', '142067', '142068', '142069', '142070', '142071', '142072', '142073', '142074', '142075', '142077', '142078', '142079', '142080', '142081']"/>
        <s v="['142050', '142051', '142052', '142053', '142054', '142055', '142056', '142057', '142058', '142059', '142060', '142061', '142062', '142063', '142064', '142065']"/>
        <s v="['142087', '142088']"/>
        <s v="['142090']"/>
        <s v="['142091']"/>
        <s v="['142092']"/>
        <s v="['142076']"/>
        <s v="['142130']"/>
        <s v="['142126']"/>
        <s v="['142124']"/>
        <s v="['142140']"/>
        <s v="['142132']"/>
        <s v="['142131']"/>
        <s v="['142127']['142128']"/>
        <s v="['142141', '142142']"/>
        <s v="['142133', '142134', '142135', '142136', '142137', '142138', '142139']"/>
        <s v="['142175']"/>
        <s v="['142159']"/>
        <s v="['142167', '142168', '142169', '142171']"/>
        <s v="['142161', '142162', '142163', '142164', '142165']"/>
        <s v="['142147', '142148', '142149', '142150', '142151', '142152', '142153', '142154', '142155', '142156', '142157', '142158']"/>
        <s v="['142166']"/>
        <s v="['142177']"/>
        <s v="['142178']"/>
        <s v="['142184', '142185']"/>
        <s v="['142181']"/>
        <s v="['142179']['142180']"/>
        <s v="['142186']"/>
        <s v="['142183']"/>
        <s v="['142231']"/>
        <s v="['142187']"/>
        <s v="['142239']"/>
        <s v="['142188']"/>
        <s v="['142190', '142191', '142192', '142193', '142194', '142195', '142196', '142197', '142198', '142199', '142201', '142202', '142203', '142204', '142205', '142206', '142207', '142208', '142209', '142210', '142211', '142213']['142212']['142200']"/>
        <s v="['142240']"/>
        <s v="['142232', '142233', '142234', '142235', '142236', '142237', '142238']"/>
        <s v="['142189']"/>
        <s v="['142215', '142216', '142217', '142218', '142219', '142220', '142221', '142222', '142223', '142224', '142225', '142226', '142227', '142228', '142229', '142230']"/>
        <s v="['142242']"/>
        <s v="['142243', '142244', '142245', '142246', '142247', '142248']"/>
        <s v="['142249']"/>
        <s v="['142263', '142264']"/>
        <s v="['142251']"/>
        <s v="['142257']"/>
        <s v="['142258']"/>
        <s v="['142253', '142254']"/>
        <s v="['142267']"/>
        <s v="['142255']"/>
        <s v="['142256']"/>
        <s v="['142266']"/>
        <s v="['142260']['142261']"/>
        <s v="['142265']"/>
        <s v="['142314']"/>
        <s v="['142268']"/>
        <s v="['142310']"/>
        <s v="['142303']"/>
        <s v="['142270']"/>
        <s v="['142292', '142293', '142294', '142295', '142296', '142297', '142298', '142299', '142300', '142301', '142302']"/>
        <s v="['142290']"/>
        <s v="['142274', '142275', '142276', '142277', '142278', '142279', '142280', '142281', '142282', '142283', '142284', '142285', '142286', '142287', '142288', '142289']"/>
        <s v="['142311']"/>
        <s v="['142313']['142312']"/>
        <s v="['142305', '142306', '142307', '142308', '142309']"/>
        <s v="['142271']"/>
        <s v="['142403', '142404']"/>
        <s v="['142391']"/>
        <s v="['142402']"/>
        <s v="['142427', '142428', '142429', '142430', '142431', '142432', '142433', '142434', '142435', '142436', '142437', '142438']"/>
        <s v="['142389']"/>
        <s v="['142406', '142407', '142408', '142409', '142410', '142411', '142412', '142413', '142414', '142415', '142416', '142417', '142418', '142419', '142420', '142421', '142422', '142423', '142424', '142425', '142426']"/>
        <s v="['142398', '142400']['142399']"/>
        <s v="['142443']"/>
        <s v="['142441']"/>
        <s v="['142442']"/>
        <s v="['142444']"/>
        <s v="['142445']"/>
        <s v="['142447']"/>
        <s v="['142449']"/>
        <s v="['142446']"/>
        <s v="['142452']"/>
        <s v="['142450', '142451']"/>
        <s v="['142370']"/>
        <s v="['142448']"/>
        <s v="['142479']"/>
        <s v="['142480']"/>
        <s v="['142482']"/>
        <s v="['142475']"/>
        <s v="['142454']['142483']"/>
        <s v="['142456', '142457', '142458', '142459', '142460', '142461', '142462', '142463', '142464', '142465', '142466', '142467', '142468', '142469', '142470', '142471', '142472', '142473', '142474']"/>
        <s v="['142476']['142477', '142478']"/>
        <s v="['142498']"/>
        <s v="['142509']"/>
        <s v="['142497']"/>
        <s v="['142502']"/>
        <s v="['142511']"/>
        <s v="['142505', '142506', '142507', '142508']"/>
        <s v="['142512']"/>
        <s v="['142513']"/>
        <s v="['142510']"/>
        <s v="['142514']"/>
        <s v="['142521']"/>
        <s v="['142517']"/>
        <s v="['142515', '142516']"/>
        <s v="['142518', '142519', '142520']"/>
        <s v="['142529', '142530', '142531', '142532', '142533', '142534']"/>
        <s v="['142528']"/>
        <s v="['142525', '142526']['142524']"/>
        <s v="['142551']"/>
        <s v="['142574']"/>
        <s v="['142552', '142553', '142554', '142555', '142556', '142557', '142558', '142559', '142560', '142561', '142562', '142563', '142564', '142565']"/>
        <s v="['142539', '142540', '142541', '142542', '142543', '142544', '142545', '142546', '142547', '142548', '142549']"/>
        <s v="['142570']['142571']"/>
        <s v="['142567']['142568']"/>
        <s v="['142550']"/>
        <s v="['142572']"/>
        <s v="['142636']"/>
        <s v="['142635']['142634']"/>
        <s v="['142579']"/>
        <s v="['142578']"/>
        <s v="['142630', '142631']['142633']['142628', '142629', '142632']"/>
        <s v="['142623']['142624']"/>
        <s v="['142589', '142590', '142591', '142592', '142593', '142594', '142595', '142596', '142597', '142598', '142599', '142600', '142601', '142602', '142603', '142604', '142605', '142606', '142607', '142608', '142609', '142610', '142611', '142612', '142613', '142614']"/>
        <s v="['142622']"/>
        <s v="['142615', '142616', '142617', '142618', '142619', '142620', '142621']"/>
        <s v="['142580', '142581', '142582', '142583', '142584', '142585', '142586', '142587', '142588']"/>
        <s v="['142642']"/>
        <s v="['142637']"/>
        <s v="['142675', '142676']"/>
        <s v="['142639']"/>
        <s v="['142643', '142644']"/>
        <s v="['142658', '142659', '142660', '142661', '142662', '142663']"/>
        <s v="['142645', '142646', '142647', '142648', '142649', '142650', '142651', '142652', '142653', '142654', '142655', '142656', '142657']"/>
        <s v="['142667', '142668', '142669', '142670', '142671', '142672', '142673']"/>
        <s v="['142674']"/>
        <s v="['142734']"/>
        <s v="['142726']"/>
        <s v="['142681', '142725', '142731', '142733']"/>
        <s v="['142680', '142724', '142730', '142732']"/>
        <s v="['142720', '142721']"/>
        <s v="['142722', '142723']"/>
        <s v="['142702', '142703', '142704', '142705', '142706', '142707', '142708', '142709', '142710', '142711', '142712', '142713', '142714', '142715', '142716', '142717']"/>
        <s v="['142729']"/>
        <s v="['142683']"/>
        <s v="['142698', '142699', '142700', '142701']"/>
        <s v="['142686', '142687', '142688', '142689', '142690', '142691', '142692', '142693', '142694', '142695', '142696', '142697']"/>
        <s v="['142748']"/>
        <s v="['142756']"/>
        <s v="['142739', '142740', '142741']"/>
        <s v="['142755']"/>
        <s v="['142743', '142744', '142745', '142746']"/>
        <s v="['142747']"/>
        <s v="['142749', '142750', '142751', '142752', '142753', '142754']"/>
        <s v="['142795']"/>
        <s v="['142798']"/>
        <s v="['142757']['142758']"/>
        <s v="['142792', '142793']"/>
        <s v="['142759', '142760', '142761', '142762', '142763', '142764', '142765', '142766', '142767', '142769', '142770', '142771', '142772', '142773', '142774', '142775', '142776', '142777', '142778', '142779']"/>
        <s v="['142781', '142782', '142783', '142784', '142785', '142786', '142787', '142788']"/>
        <s v="['142790']['142791']"/>
        <s v="['142797']"/>
        <s v="['142796']"/>
        <s v="['142818']"/>
        <s v="['142799']['142815']['142814']"/>
        <s v="['142805']"/>
        <s v="['142801']"/>
        <s v="['142807', '142808', '142809', '142810', '142811', '142812', '142813']"/>
        <s v="['142803']['142802']"/>
        <s v="['142817']"/>
        <s v="['142816']"/>
        <s v="['142824', '142825']"/>
        <s v="['142845']"/>
        <s v="['142869', '142871']['142870']"/>
        <s v="['142827']"/>
        <s v="['142862', '142863']"/>
        <s v="['142860', '142861']"/>
        <s v="['142828', '142829', '142830', '142831', '142832', '142833', '142834', '142835', '142836', '142837', '142838', '142839', '142840', '142841', '142842', '142843']"/>
        <s v="['142848', '142849', '142850', '142851', '142852', '142853', '142854', '142856', '142857', '142858', '142859']"/>
        <s v="['142819']"/>
        <s v="['142847']['142846']"/>
        <s v="['142866', '142867', '142868']"/>
        <s v="['142864', '142865']"/>
        <s v="['142938', '142939']"/>
        <s v="['142942']"/>
        <s v="['142943', '142944']"/>
        <s v="['142946']"/>
        <s v="['142981']['142982']"/>
        <s v="['143027', '143028']"/>
        <s v="['142983', '142984']"/>
        <s v="['143026']"/>
        <s v="['142990', '142991', '142992', '142993', '142994', '142995', '142996', '142997', '142998', '142999', '143000', '143001', '143002', '143003', '143004', '143005']['143006']"/>
        <s v="['143017', '143019', '143020', '143021', '143022']['143018']"/>
        <s v="['142987', '142988']['142989']"/>
        <s v="['142964', '142965', '142966', '142967', '142968', '142969', '142970', '142971', '142972']"/>
        <s v="['143072', '143073']"/>
        <s v="['143062']"/>
        <s v="['143061']"/>
        <s v="['143068']"/>
        <s v="['143039', '143040', '143041', '143042', '143043', '143044', '143045', '143046', '143047', '143048', '143049', '143050', '143051', '143052', '143053', '143054', '143055', '143056', '143057', '143058', '143059', '143060']"/>
        <s v="['143030', '143031']['143032']"/>
        <s v="['143033', '143034', '143035', '143036', '143037']"/>
        <s v="['143064', '143065', '143066', '143067']"/>
        <s v="['143069']"/>
        <s v="['143071']"/>
        <s v="['143100']"/>
        <s v="['143116', '143117']"/>
        <s v="['143104', '143105']['143103']"/>
        <s v="['143110', '143111', '143112', '143113', '143114', '143115']"/>
        <s v="['143108', '143109']['143106', '143107']"/>
        <s v="['143162', '143163']"/>
        <s v="['143118']"/>
        <s v="['143165', '143166']"/>
        <s v="['143154', '143155']"/>
        <s v="['143142', '143143', '143144', '143145', '143147', '143148', '143149', '143150', '143151', '143152', '143153']"/>
        <s v="['143121', '143122', '143123', '143124', '143125', '143126', '143127', '143128', '143129', '143130', '143131', '143132', '143133', '143134', '143135', '143136']"/>
        <s v="['143138', '143139', '143140', '143141']"/>
        <s v="['143156']"/>
        <s v="['143157']"/>
        <s v="['143159', '143160', '143161']"/>
        <s v="['143172']"/>
        <s v="['143193']['143194']"/>
        <s v="['143188']"/>
        <s v="['143174']"/>
        <s v="['143197']"/>
        <s v="['143182', '143183', '143184', '143185', '143186', '143187']"/>
        <s v="['143168', '143169', '143170', '143171']"/>
        <s v="['143175', '143176', '143177', '143178', '143179', '143180']"/>
        <s v="['143189', '143190', '143191', '143192']"/>
        <s v="['143201', '143202']"/>
        <s v="['143204']"/>
        <s v="['143198']"/>
        <s v="['143210']"/>
        <s v="['143219']['143218']"/>
        <s v="['143217']"/>
        <s v="['143208', '143209']"/>
        <s v="['143213', '143214', '143215', '143216']"/>
        <s v="['143322']"/>
        <s v="['143319']"/>
        <s v="['143320']"/>
        <s v="['143323']"/>
        <s v="['143296', '143297', '143298', '143299', '143300', '143301', '143302', '143303', '143304', '143305', '143306', '143307', '143308', '143309', '143310', '143311', '143312', '143313', '143314', '143315', '143316', '143317', '143318']"/>
        <s v="['143294']"/>
        <s v="['143295']"/>
        <s v="['143338']"/>
        <s v="['143326', '143327', '143328', '143329']"/>
        <s v="['143321']"/>
        <s v="['143336']"/>
        <s v="['143324', '143325']"/>
        <s v="['143330', '143331', '143332', '143333', '143334']"/>
        <s v="['143337']"/>
        <s v="['143340']"/>
        <s v="['143388']"/>
        <s v="['143394']"/>
        <s v="['143362']"/>
        <s v="['143392']"/>
        <s v="['143389', '143390', '143391']"/>
        <s v="['143366']"/>
        <s v="['143386']"/>
        <s v="['143381', '143382', '143383']"/>
        <s v="['143378', '143379', '143380']"/>
        <s v="['143341', '143342', '143343', '143344', '143345', '143346', '143347', '143348', '143349', '143350', '143351', '143352', '143353', '143354', '143355', '143356', '143357', '143358', '143359']"/>
        <s v="['143367', '143368', '143369', '143370', '143371', '143372', '143373', '143374', '143375', '143376']"/>
        <s v="['143387']"/>
        <s v="['143361']"/>
        <s v="['143421']"/>
        <s v="['143424', '143425']"/>
        <s v="['143415']['143416']"/>
        <s v="['143432']"/>
        <s v="['143426']"/>
        <s v="['143430']"/>
        <s v="['143427', '143428']"/>
        <s v="['143396']"/>
        <s v="['143395']"/>
        <s v="['143412']"/>
        <s v="['143397', '143398', '143399', '143400', '143401', '143402', '143403', '143404', '143405', '143406', '143407', '143408', '143409', '143410', '143411']"/>
        <s v="['143419', '143420']['143417', '143418']"/>
        <s v="['143433']"/>
        <s v="['143439']"/>
        <s v="['143437']"/>
        <s v="['143443']"/>
        <s v="['143442']"/>
        <s v="['143435']"/>
        <s v="['143440']"/>
        <s v="['143441']"/>
        <s v="['143453']"/>
        <s v="['143455']"/>
        <s v="['143448']"/>
        <s v="['143444']"/>
        <s v="['143447']"/>
        <s v="['143451']"/>
        <s v="['143449']"/>
        <s v="['143450']"/>
        <s v="['143495']"/>
        <s v="['143498']"/>
        <s v="['143518', '143519', '143520', '143521', '143522', '143523', '143524', '143525', '143526', '143527', '143528', '143529', '143530', '143531', '143532', '143533', '143534', '143535', '143536', '143537', '143538', '143539', '143540', '143541', '143542', '143543', '143544', '143545']"/>
        <s v="['143485', '143486', '143487', '143488', '143489', '143490', '143491', '143492', '143493', '143494']"/>
        <s v="['143471', '143472']"/>
        <s v="['143505', '143506', '143507', '143508', '143509', '143510']"/>
        <s v="['143467', '143468']"/>
        <s v="['143473', '143474', '143475', '143476', '143477', '143478', '143479', '143480', '143481', '143482', '143483', '143484']"/>
        <s v="['143511', '143512', '143513', '143514', '143515', '143516']"/>
        <s v="['143456']"/>
        <s v="['143500']"/>
        <s v="['143499']"/>
        <s v="['143503', '143504']"/>
        <s v="['143469']"/>
        <s v="['143586', '143587']"/>
        <s v="['143584']"/>
        <s v="['143613']"/>
        <s v="['143614', '143615', '143616', '143617', '143618', '143619']"/>
        <s v="['143620']"/>
        <s v="['143602', '143603', '143604', '143605', '143606', '143607']"/>
        <s v="['143659']['143658']"/>
        <s v="['143656', '143657']"/>
        <s v="['143642', '143643', '143644', '143645', '143646', '143647', '143649', '143650']"/>
        <s v="['143622', '143623', '143624', '143625', '143626', '143627', '143628', '143629', '143630', '143632', '143633', '143634', '143635', '143636', '143637', '143638', '143639', '143640', '143641']"/>
        <s v="['143665']"/>
        <s v="['143660']"/>
        <s v="['143666', '143667']"/>
        <s v="['143785']"/>
        <s v="['143772']"/>
        <s v="['143768', '143769']"/>
        <s v="['143766', '143767']"/>
        <s v="['143771']"/>
        <s v="['143781', '143782', '143783']['143784']"/>
        <s v="['143778', '143779']"/>
        <s v="['143777']"/>
        <s v="['143837']['143838']"/>
        <s v="['143794']"/>
        <s v="['143860']"/>
        <s v="['143820', '143821']"/>
        <s v="['143788']"/>
        <s v="['143849']"/>
        <s v="['143786', '143787']"/>
        <s v="['143822', '143823', '143824', '143825', '143826', '143827', '143828', '143829', '143830', '143831', '143832', '143833', '143834', '143835', '143836']"/>
        <s v="['143841', '143842', '143843', '143844']"/>
        <s v="['143801', '143802', '143803', '143804', '143805', '143806', '143807', '143808', '143809', '143810', '143811', '143812', '143813', '143814', '143815', '143816', '143817', '143818', '143819']"/>
        <s v="['143840']"/>
        <s v="['143790', '143791', '143792', '143793']['143789']"/>
        <s v="['143858', '143859']"/>
        <s v="['143846']"/>
        <s v="['143850', '143851', '143852', '143853', '143854', '143855']"/>
        <s v="['143848']"/>
        <s v="['143847']"/>
        <s v="['143893']"/>
        <s v="['143906']"/>
        <s v="['143869', '143870', '143871', '143872', '143873', '143874', '143875', '143876', '143877', '143878', '143879', '143880', '143881', '143882', '143883', '143884', '143885', '143886', '143887', '143888', '143889', '143890']"/>
        <s v="['143864']"/>
        <s v="['143897', '143898']['143900']['143899']"/>
        <s v="['143865', '143866']"/>
        <s v="['143891', '143892']"/>
        <s v="['143901']"/>
        <s v="['143903']"/>
        <s v="['143907', '143908']"/>
        <s v="['143904']"/>
        <s v="['143905']"/>
        <s v="['143933']"/>
        <s v="['143948']"/>
        <s v="['143923']"/>
        <s v="['143950']['143951']"/>
        <s v="['143915']"/>
        <s v="['143945']"/>
        <s v="['143910']"/>
        <s v="['143927']['143928']"/>
        <s v="['143934', '143935']"/>
        <s v="['143924', '143925']"/>
        <s v="['143911', '143912']"/>
        <s v="['143913', '143914']"/>
        <s v="['143926']"/>
        <s v="['143938']"/>
        <s v="['143936', '143937']"/>
        <s v="['143946']"/>
        <s v="['143947']"/>
        <s v="['143939', '143940', '143942', '143943', '143944']"/>
        <s v="['143996', '143997', '143998']"/>
        <s v="['143993']"/>
        <s v="['143992']"/>
        <s v="['143953']"/>
        <s v="['143994']"/>
        <s v="['143970']"/>
        <s v="['143957', '143958', '143959', '143960', '143961', '143962', '143963', '143964', '143965', '143966', '143967', '143968']"/>
        <s v="['143954', '143955', '143956']"/>
        <s v="['143990']['143991']"/>
        <s v="['143971', '143972', '143973', '143974', '143975', '143976', '143977', '143978', '143979', '143980', '143981', '143983', '143984', '143985', '143986', '143987', '143988', '143989']"/>
        <s v="['143995']"/>
        <s v="['144042']"/>
        <s v="['144048']['144049', '144050']"/>
        <s v="['144006']"/>
        <s v="['144046']"/>
        <s v="['144005']"/>
        <s v="['144009']"/>
        <s v="['144004']"/>
        <s v="['144016', '144017', '144018', '144019', '144020', '144021', '144022', '144023', '144024', '144025', '144026', '144027', '144028', '144029', '144030', '144031', '144032', '144033', '144034', '144035']"/>
        <s v="['144010', '144011', '144012', '144013', '144014', '144015']"/>
        <s v="['144008']['144007']"/>
        <s v="['144036']"/>
        <s v="['144043']"/>
        <s v="['144001']['144002', '144003']"/>
        <s v="['144047']"/>
        <s v="['144037', '144038', '144039', '144040', '144041']"/>
        <s v="['144044', '144045']"/>
        <s v="['144190']"/>
        <s v="['144178', '144179', '144180', '144181', '144182', '144183', '144184', '144185']"/>
        <s v="['144155', '144156', '144158', '144159', '144160', '144161', '144162', '144163', '144164', '144165', '144166', '144167', '144168', '144169', '144170', '144171', '144172', '144173', '144174', '144175', '144176', '144177', '144189']"/>
        <s v="['144188']"/>
        <s v="['144193']"/>
        <s v="['144196']"/>
        <s v="['144141']"/>
        <s v="['144151', '144152', '144153', '144154']"/>
        <s v="['144142', '144143', '144144', '144145', '144146']"/>
        <s v="['144140']"/>
        <s v="['144149']"/>
        <s v="['144191', '144192']"/>
        <s v="['144195']"/>
        <s v="['144194']"/>
        <s v="['144148']"/>
        <s v="['144199']"/>
        <s v="['144245', '144246']"/>
        <s v="['144200']"/>
        <s v="['144210']"/>
        <s v="['144237']"/>
        <s v="['144197', '144198']"/>
        <s v="['144207', '144208', '144209']"/>
        <s v="['144224', '144225', '144226', '144227', '144228', '144229', '144230', '144231', '144232', '144233', '144235']"/>
        <s v="['144238', '144239', '144240', '144241']"/>
        <s v="['144242', '144243', '144244']"/>
        <s v="['144211', '144212', '144213', '144214', '144215', '144217', '144218', '144219', '144220', '144221', '144222', '144223']"/>
        <s v="['144204', '144205']"/>
        <s v="['144444']"/>
        <s v="['144443']"/>
        <s v="['144439', '144440', '144441', '144442']"/>
        <s v="['144402', '144403', '144404', '144405', '144406', '144407', '144408', '144409', '144410', '144411', '144412', '144413', '144414', '144415', '144416', '144417', '144418', '144419', '144420', '144421', '144422', '144423', '144424', '144425', '144426']"/>
        <s v="['144431', '144432', '144433', '144434', '144435', '144436', '144437', '144438']"/>
        <s v="['144445']"/>
        <s v="['144519']"/>
        <s v="['144538', '144539']"/>
        <s v="['144518']"/>
        <s v="['144520', '144521', '144522', '144523']"/>
        <s v="['144529', '144530', '144531', '144532', '144533', '144534', '144535']"/>
        <s v="['144524', '144525']"/>
        <s v="['144526', '144527']"/>
        <s v="['144536']"/>
        <s v="['144652']"/>
        <s v="['144709']"/>
        <s v="['144710']"/>
        <s v="['144655']"/>
        <s v="['144707']"/>
        <s v="['144708']"/>
        <s v="['144653']"/>
        <s v="['144699', '144700', '144701', '144702', '144703', '144704']"/>
        <s v="['144666', '144667', '144668', '144669', '144670', '144671', '144672', '144673', '144674', '144675', '144676', '144677', '144678']"/>
        <s v="['144679', '144680', '144681', '144682', '144683', '144684', '144685', '144686', '144687', '144688']"/>
        <s v="['144705']"/>
        <s v="['144664', '144665']"/>
        <s v="['144689', '144690', '144691', '144692', '144693', '144694', '144695', '144696', '144697', '144698']"/>
        <s v="['144706']"/>
        <s v="['144742']"/>
        <s v="['144718']"/>
        <s v="['144730']"/>
        <s v="['144728']"/>
        <s v="['144715']['144716', '144717']"/>
        <s v="['144712', '144713']['144711']"/>
        <s v="['144731', '144732', '144733']"/>
        <s v="['144722']"/>
        <s v="['144723', '144724', '144725']"/>
        <s v="['144737', '144738', '144739', '144740', '144741']"/>
        <s v="['144720', '144721']"/>
        <s v="['144736']"/>
        <s v="['144734', '144735']"/>
        <s v="['144922']"/>
        <s v="['144905', '144906', '144907', '144908', '144909', '144910', '144911', '144912', '144913', '144914', '144915', '144916', '144917', '144918', '144919', '144920', '144921']"/>
        <s v="['144887', '144888', '144889', '144890', '144891', '144892', '144893', '144894', '144895', '144896', '144897', '144898', '144899', '144900', '144901', '144902', '144903', '144904']"/>
        <s v="['144923']"/>
        <s v="['144925']"/>
        <s v="['144926']"/>
        <s v="['144951']"/>
        <s v="['144927']['144963']"/>
        <s v="['144929']"/>
        <s v="['144930', '144931', '144932', '144933', '144934', '144935', '144936', '144937', '144938', '144939', '144940']"/>
        <s v="['144941', '144942', '144943', '144944', '144945', '144946', '144947', '144948', '144949', '144950']"/>
        <s v="['144967']"/>
        <s v="['144966']"/>
        <s v="['144953', '144954', '144955', '144956', '144957']"/>
        <s v="['144961', '144962']"/>
        <s v="['145037']['145091']"/>
        <s v="['145038']"/>
        <s v="['145094', '145095', '145096']"/>
        <s v="['145088']"/>
        <s v="['145040']"/>
        <s v="['145043', '145044', '145045', '145046', '145047', '145048', '145049', '145050', '145051', '145052', '145053', '145055', '145056', '145057', '145059', '145060', '145061', '145062', '145063', '145064', '145065', '145066', '145067', '145068', '145069', '145070', '145071', '145072']"/>
        <s v="['145039']"/>
        <s v="['145092']"/>
        <s v="['145073']"/>
        <s v="['145080', '145081', '145082', '145083', '145084', '145085', '145086', '145087']"/>
        <s v="['145093']"/>
        <s v="['145074', '145075', '145076', '145077', '145078', '145079']"/>
        <s v="['145124']"/>
        <s v="['145123']"/>
        <s v="['145100']"/>
        <s v="['145112', '145113', '145114', '145115', '145116', '145117', '145118']"/>
        <s v="['145101', '145102', '145103', '145104']"/>
        <s v="['145106', '145107', '145108', '145109', '145110', '145111']"/>
        <s v="['145125']"/>
        <s v="['145121', '145122']"/>
        <s v="['145119', '145120']"/>
        <s v="['145129']"/>
        <s v="['145179']"/>
        <s v="['145163']"/>
        <s v="['145126']"/>
        <s v="['145128']"/>
        <s v="['145180']"/>
        <s v="['145174', '145175', '145176']"/>
        <s v="['145133']"/>
        <s v="['145161']"/>
        <s v="['145135', '145136', '145137']"/>
        <s v="['145147', '145148', '145149', '145150', '145151', '145152', '145153', '145154', '145155', '145156', '145157', '145158', '145159', '145160']"/>
        <s v="['145139', '145140']['145138']"/>
        <s v="['145169', '145170', '145171', '145172', '145173']"/>
        <s v="['145165', '145166']"/>
        <s v="['145167']"/>
        <s v="['145168']"/>
        <s v="['145164']"/>
        <s v="['145181']"/>
        <s v="['145208']"/>
        <s v="['145187']['145188']"/>
        <s v="['145186']"/>
        <s v="['145182', '145183']"/>
        <s v="['145190', '145191', '145192', '145193', '145194', '145195', '145196', '145197', '145198', '145199']"/>
        <s v="['145184', '145185']"/>
        <s v="['145189']"/>
        <s v="['145202']"/>
        <s v="['145210']"/>
        <s v="['145209']"/>
        <s v="['145203', '145204', '145205']"/>
        <s v="['145206']"/>
        <s v="['145211']"/>
        <s v="['145259']"/>
        <s v="['145257']"/>
        <s v="['145231']"/>
        <s v="['145251']"/>
        <s v="['145256']"/>
        <s v="['145258']['145250']"/>
        <s v="['145241', '145242', '145243', '145244', '145245', '145246', '145247', '145248', '145249']"/>
        <s v="['145224', '145225', '145226', '145227', '145228', '145230']['145229']"/>
        <s v="['145232', '145233', '145234', '145235', '145236', '145237', '145238', '145239', '145240']"/>
        <s v="['145212']"/>
        <s v="['145219', '145220', '145221', '145222', '145223']"/>
        <s v="['145262']"/>
        <s v="['145283']"/>
        <s v="['145284']"/>
        <s v="['145287']"/>
        <s v="['145260']"/>
        <s v="['145264', '145265']"/>
        <s v="['145270', '145271', '145272', '145273', '145274', '145275']"/>
        <s v="['145286']"/>
        <s v="['145277', '145278', '145279', '145280', '145281', '145282']"/>
        <s v="['145285']"/>
        <s v="['145329', '145330', '145331']"/>
        <s v="['145333']"/>
        <s v="['145359', '145360', '145361', '145362', '145363', '145365', '145366', '145367', '145368', '145369', '145370', '145371', '145372', '145373', '145374', '145375', '145376', '145377', '145378', '145379', '145380', '145381']"/>
        <s v="['145332']"/>
        <s v="['145336']"/>
        <s v="['145342']"/>
        <s v="['145343', '145344', '145345', '145346', '145347', '145348', '145349', '145350', '145351', '145352', '145353', '145357']"/>
        <s v="['145334', '145335']"/>
        <s v="['145383']"/>
        <s v="['145382']"/>
        <s v="['145388', '145389']"/>
        <s v="['145386', '145387']"/>
        <s v="['145406']"/>
        <s v="['145390']"/>
        <s v="['145395']"/>
        <s v="['145408', '145409']"/>
        <s v="['145420']"/>
        <s v="['145407']"/>
        <s v="['145391', '145392', '145393', '145394']"/>
        <s v="['145405']"/>
        <s v="['145414', '145415', '145417', '145418']['145416']"/>
        <s v="['145410']"/>
        <s v="['145411']"/>
        <s v="['145412', '145413']"/>
        <s v="['145444', '145445', '145446']['145505']"/>
        <s v="['145448', '145449', '145450', '145451', '145452', '145453', '145454', '145455', '145456', '145457', '145458', '145459', '145460', '145461', '145462', '145463', '145464', '145465', '145466', '145468', '145469', '145470']"/>
        <s v="['145424', '145425', '145426', '145427', '145428', '145429', '145430', '145431', '145432', '145433', '145434', '145435', '145436', '145437', '145438', '145439', '145440', '145441', '145442', '145443']"/>
        <s v="['145485', '145486', '145487', '145488', '145489', '145490', '145491', '145492', '145493', '145494']"/>
        <s v="['145495', '145496', '145497', '145498', '145499', '145500', '145501']"/>
        <s v="['145471', '145472', '145473', '145474', '145475', '145476', '145477', '145478', '145479', '145480', '145481', '145482', '145483']"/>
        <s v="['145503']['145504']"/>
        <s v="['145506']"/>
        <s v="['145510', '145511', '145512']['145531']"/>
        <s v="['145526']"/>
        <s v="['145534']"/>
        <s v="['145535']"/>
        <s v="['145532']['145533']"/>
        <s v="['145508']"/>
        <s v="['145507']"/>
        <s v="['145513']"/>
        <s v="['145529']"/>
        <s v="['145514', '145515', '145516', '145517', '145518']"/>
        <s v="['145528']"/>
        <s v="['145524']"/>
        <s v="['145519', '145520', '145521', '145522']['145523']"/>
        <s v="['145553']"/>
        <s v="['145545']"/>
        <s v="['145547']"/>
        <s v="['145536']"/>
        <s v="['145540']"/>
        <s v="['145554']"/>
        <s v="['145546']"/>
        <s v="['145541', '145542', '145543', '145544']"/>
        <s v="['145555']"/>
        <s v="['145538']['145537']"/>
        <s v="['145551']"/>
        <s v="['145594']['145595', '145596']"/>
        <s v="['145609', '145610']"/>
        <s v="['145607', '145608']"/>
        <s v="['145614']"/>
        <s v="['145597', '145598', '145599']"/>
        <s v="['145587', '145588', '145589', '145590', '145591', '145592', '145593']"/>
        <s v="['145572', '145573', '145574', '145575', '145576', '145577', '145578', '145579', '145580', '145581', '145582', '145583', '145584', '145585', '145586']"/>
        <s v="['145600']['145601', '145602']"/>
        <s v="['145612', '145613']"/>
        <s v="['145605', '145606']['145603', '145604']"/>
        <s v="['145660']"/>
        <s v="['145630', '145631', '145632', '145633', '145634', '145635', '145636', '145637', '145638', '145640', '145641', '145642', '145643', '145644', '145645', '145646']"/>
        <s v="['145654']"/>
        <s v="['145656']"/>
        <s v="['145648']"/>
        <s v="['145657']['145659']['145658']"/>
        <s v="['145655']"/>
        <s v="['145617', '145618', '145619', '145620', '145621', '145622', '145623', '145624', '145625', '145626', '145627', '145628', '145629']"/>
        <s v="['145649', '145650', '145651', '145652', '145653']"/>
        <s v="['145769']"/>
        <s v="['145774']"/>
        <s v="['145803']"/>
        <s v="['145806', '145807', '145808', '145809', '145810', '145811', '145812', '145813', '145814', '145815', '145816', '145817', '145818', '145819', '145820', '145821']"/>
        <s v="['145823']"/>
        <s v="['145782']"/>
        <s v="['145802']"/>
        <s v="['145780']['145781']"/>
        <s v="['145822']"/>
        <s v="['145776', '145778']['145777']"/>
        <s v="['145824']"/>
        <s v="['145804', '145805']"/>
        <s v="['145770', '145771', '145772']['145773']"/>
        <s v="['145793']"/>
        <s v="['145789']['145788']['145790']"/>
        <s v="['145791', '145792']"/>
        <s v="['145794']"/>
        <s v="['145795', '145796']"/>
        <s v="['145797', '145798', '145799', '145800', '145801']"/>
        <s v="['145825']"/>
        <s v="['145836', '145837', '145840', '145842', '145843', '145844', '145845', '145846', '145847', '145848', '145850', '145851', '145852', '145853']['145849']['145841']"/>
        <s v="['145863']"/>
        <s v="['145864']"/>
        <s v="['145858', '145859']"/>
        <s v="['145829', '145830', '145831', '145832', '145833', '145834', '145835']"/>
        <s v="['145862']"/>
        <s v="['145860']"/>
        <s v="['145861']"/>
        <s v="['145250']" u="1"/>
        <s v="['145258']" u="1"/>
        <s v="['145229']" u="1"/>
        <s v="['145224', '145225', '145226', '145227', '145228', '145230']" u="1"/>
        <s v="['145254', '145255']" u="1"/>
        <s v="['133707']" u="1"/>
        <s v="['129915']" u="1"/>
        <s v="['129916']" u="1"/>
        <s v="['132002']" u="1"/>
        <s v="['128229']" u="1"/>
        <s v="['133165']" u="1"/>
        <s v="['126148', '126149']" u="1"/>
        <s v="['131970']" u="1"/>
        <s v="['131991']" u="1"/>
        <s v="['129905', '129906', '129908', '129909', '129910']" u="1"/>
        <s v="['131998']" u="1"/>
        <s v="['131999']" u="1"/>
        <s v="['131992', '131993']" u="1"/>
        <s v="['131251', '131252']" u="1"/>
        <s v="['131331']" u="1"/>
        <s v="['126153']" u="1"/>
        <s v="['131233']" u="1"/>
        <s v="['126146']" u="1"/>
        <s v="['131234']" u="1"/>
        <s v="['126147']" u="1"/>
        <s v="['126128']" u="1"/>
        <s v="['137014', '137015']" u="1"/>
        <s v="['126139']" u="1"/>
        <s v="['132000', '132001', '132003', '132004', '132005']" u="1"/>
        <s v="['137369']" u="1"/>
        <s v="['129911']" u="1"/>
        <s v="['131723']['131722']" u="1"/>
      </sharedItems>
    </cacheField>
    <cacheField name="Mes" numFmtId="0">
      <sharedItems containsString="0" containsBlank="1" containsNumber="1" containsInteger="1" minValue="1" maxValue="12" count="13">
        <n v="10"/>
        <n v="11"/>
        <n v="12"/>
        <n v="1"/>
        <n v="2"/>
        <n v="3"/>
        <n v="4"/>
        <n v="5"/>
        <n v="6"/>
        <m/>
        <n v="7"/>
        <n v="8"/>
        <n v="9"/>
      </sharedItems>
    </cacheField>
    <cacheField name="Año" numFmtId="0">
      <sharedItems containsString="0" containsBlank="1" containsNumber="1" containsInteger="1" minValue="1900" maxValue="2023" count="6">
        <n v="2020"/>
        <n v="2021"/>
        <m/>
        <n v="2022"/>
        <n v="2023"/>
        <n v="1900"/>
      </sharedItems>
    </cacheField>
    <cacheField name="Region2" numFmtId="0">
      <sharedItems containsBlank="1" count="3">
        <s v="REGIONES"/>
        <s v="METROPOLITANA"/>
        <m/>
      </sharedItems>
    </cacheField>
    <cacheField name="$/kg" numFmtId="0" formula="total/pesototal" databaseField="0"/>
    <cacheField name="% Ocup." numFmtId="0" formula="pesototal/kgmin" databaseField="0"/>
  </cacheFields>
  <extLst>
    <ext xmlns:x14="http://schemas.microsoft.com/office/spreadsheetml/2009/9/main" uri="{725AE2AE-9491-48be-B2B4-4EB974FC3084}">
      <x14:pivotCacheDefinition pivotCacheId="8998782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5">
  <r>
    <x v="0"/>
    <s v="ZNL"/>
    <x v="0"/>
    <s v="CJFZ67"/>
    <s v="115812335"/>
    <s v="TALCAHUANO"/>
    <x v="0"/>
    <x v="0"/>
    <x v="0"/>
    <x v="0"/>
    <x v="0"/>
    <n v="0"/>
    <n v="380000"/>
    <n v="0"/>
    <n v="380000"/>
    <n v="25.319829424307052"/>
    <n v="25000"/>
    <n v="60"/>
    <x v="0"/>
    <x v="0"/>
    <x v="0"/>
    <x v="0"/>
  </r>
  <r>
    <x v="0"/>
    <s v="ZPEP"/>
    <x v="1"/>
    <s v="HLBX77"/>
    <s v="16093509K"/>
    <s v="ISLA DE MAIPO"/>
    <x v="1"/>
    <x v="1"/>
    <x v="1"/>
    <x v="1"/>
    <x v="1"/>
    <n v="5"/>
    <n v="90000"/>
    <n v="0"/>
    <n v="90000"/>
    <n v="9.0655530138430986"/>
    <n v="12000"/>
    <n v="83"/>
    <x v="0"/>
    <x v="0"/>
    <x v="0"/>
    <x v="1"/>
  </r>
  <r>
    <x v="0"/>
    <s v="ZPEP"/>
    <x v="2"/>
    <s v="SU9354"/>
    <s v="72564391"/>
    <s v="MAIPU"/>
    <x v="2"/>
    <x v="2"/>
    <x v="1"/>
    <x v="2"/>
    <x v="1"/>
    <n v="1"/>
    <n v="101193"/>
    <n v="43368.479999999996"/>
    <n v="144561.47999999998"/>
    <n v="9.9999916990404074"/>
    <n v="4821"/>
    <n v="100"/>
    <x v="0"/>
    <x v="0"/>
    <x v="0"/>
    <x v="1"/>
  </r>
  <r>
    <x v="0"/>
    <s v="ZTAN"/>
    <x v="3"/>
    <s v="PN4466"/>
    <s v="81417709"/>
    <s v="LAS CONDES"/>
    <x v="3"/>
    <x v="1"/>
    <x v="0"/>
    <x v="3"/>
    <x v="1"/>
    <n v="3"/>
    <n v="138756"/>
    <n v="0"/>
    <n v="138756"/>
    <n v="6.9999878924364047"/>
    <n v="6868"/>
    <n v="100"/>
    <x v="0"/>
    <x v="0"/>
    <x v="0"/>
    <x v="1"/>
  </r>
  <r>
    <x v="0"/>
    <s v="ZTAN"/>
    <x v="4"/>
    <s v="RK5135"/>
    <s v="138841065"/>
    <s v="SAN BERNARDO"/>
    <x v="4"/>
    <x v="3"/>
    <x v="1"/>
    <x v="4"/>
    <x v="1"/>
    <n v="4"/>
    <n v="56075"/>
    <n v="0"/>
    <n v="56075"/>
    <n v="15.706490989249847"/>
    <n v="8011"/>
    <n v="45"/>
    <x v="0"/>
    <x v="0"/>
    <x v="0"/>
    <x v="1"/>
  </r>
  <r>
    <x v="0"/>
    <s v="ZTAN"/>
    <x v="5"/>
    <s v="XR6339"/>
    <s v="78907355"/>
    <s v="COLINA"/>
    <x v="5"/>
    <x v="1"/>
    <x v="1"/>
    <x v="5"/>
    <x v="1"/>
    <n v="5"/>
    <n v="70000"/>
    <n v="14474.2"/>
    <n v="84474.2"/>
    <n v="23.344765168368543"/>
    <n v="12000"/>
    <n v="30"/>
    <x v="0"/>
    <x v="0"/>
    <x v="0"/>
    <x v="1"/>
  </r>
  <r>
    <x v="0"/>
    <s v="ZTAN"/>
    <x v="6"/>
    <s v="VJ8408"/>
    <s v="83259353"/>
    <s v="VIÑA DEL MAR"/>
    <x v="6"/>
    <x v="0"/>
    <x v="0"/>
    <x v="6"/>
    <x v="2"/>
    <n v="0"/>
    <n v="230000"/>
    <n v="0"/>
    <n v="230000"/>
    <n v="29.848034571810484"/>
    <n v="25000"/>
    <n v="31"/>
    <x v="0"/>
    <x v="0"/>
    <x v="0"/>
    <x v="0"/>
  </r>
  <r>
    <x v="0"/>
    <s v="ZTAN"/>
    <x v="7"/>
    <s v="DJLF85"/>
    <s v="53173292"/>
    <s v="RENCA"/>
    <x v="7"/>
    <x v="4"/>
    <x v="1"/>
    <x v="7"/>
    <x v="1"/>
    <n v="1"/>
    <n v="42554"/>
    <n v="18238"/>
    <n v="60792"/>
    <n v="9.9999999999999964"/>
    <n v="4821"/>
    <n v="100"/>
    <x v="0"/>
    <x v="0"/>
    <x v="0"/>
    <x v="1"/>
  </r>
  <r>
    <x v="0"/>
    <s v="ZTAN"/>
    <x v="7"/>
    <s v="WC2233"/>
    <s v="125108660"/>
    <s v="RENCA"/>
    <x v="8"/>
    <x v="4"/>
    <x v="1"/>
    <x v="7"/>
    <x v="1"/>
    <n v="1"/>
    <n v="37384"/>
    <n v="16022"/>
    <n v="53406"/>
    <n v="10.000000000000002"/>
    <n v="4821"/>
    <n v="100"/>
    <x v="0"/>
    <x v="0"/>
    <x v="0"/>
    <x v="1"/>
  </r>
  <r>
    <x v="0"/>
    <s v="ZTAN"/>
    <x v="7"/>
    <s v="XR6339"/>
    <s v="78907355"/>
    <s v="RENCA"/>
    <x v="9"/>
    <x v="1"/>
    <x v="1"/>
    <x v="7"/>
    <x v="1"/>
    <n v="1"/>
    <n v="56241"/>
    <n v="32138"/>
    <n v="88379"/>
    <n v="11.000074678880816"/>
    <n v="4821"/>
    <n v="100"/>
    <x v="0"/>
    <x v="0"/>
    <x v="0"/>
    <x v="1"/>
  </r>
  <r>
    <x v="0"/>
    <s v="ZTAN"/>
    <x v="8"/>
    <s v="BDCH61"/>
    <s v="99626232"/>
    <s v="QUILICURA"/>
    <x v="10"/>
    <x v="1"/>
    <x v="1"/>
    <x v="8"/>
    <x v="1"/>
    <n v="1"/>
    <n v="33750"/>
    <n v="10468"/>
    <n v="44218"/>
    <n v="16.896317185195375"/>
    <n v="4821"/>
    <n v="54"/>
    <x v="0"/>
    <x v="0"/>
    <x v="0"/>
    <x v="1"/>
  </r>
  <r>
    <x v="0"/>
    <s v="ZTAN"/>
    <x v="8"/>
    <s v="SV2718"/>
    <s v="81417709"/>
    <s v="CERRILLOS"/>
    <x v="11"/>
    <x v="1"/>
    <x v="1"/>
    <x v="9"/>
    <x v="1"/>
    <n v="2"/>
    <n v="40475"/>
    <n v="10962"/>
    <n v="51437"/>
    <n v="18.768517842808144"/>
    <n v="5782"/>
    <n v="47"/>
    <x v="0"/>
    <x v="0"/>
    <x v="0"/>
    <x v="1"/>
  </r>
  <r>
    <x v="0"/>
    <s v="ZTAN"/>
    <x v="8"/>
    <s v="TP3884"/>
    <s v="78907355"/>
    <s v="PUDAHUEL"/>
    <x v="12"/>
    <x v="1"/>
    <x v="1"/>
    <x v="10"/>
    <x v="1"/>
    <n v="1"/>
    <n v="33750"/>
    <n v="12714"/>
    <n v="46464"/>
    <n v="14.61867606342814"/>
    <n v="4821"/>
    <n v="66"/>
    <x v="0"/>
    <x v="0"/>
    <x v="0"/>
    <x v="1"/>
  </r>
  <r>
    <x v="0"/>
    <s v="ZTAN"/>
    <x v="8"/>
    <s v="UA7248"/>
    <s v="107643206"/>
    <s v="MAIPU"/>
    <x v="13"/>
    <x v="1"/>
    <x v="1"/>
    <x v="2"/>
    <x v="1"/>
    <n v="1"/>
    <n v="39990"/>
    <n v="22852"/>
    <n v="62842"/>
    <n v="11.000056013779387"/>
    <n v="4821"/>
    <n v="100"/>
    <x v="0"/>
    <x v="0"/>
    <x v="0"/>
    <x v="1"/>
  </r>
  <r>
    <x v="0"/>
    <s v="ZTAN"/>
    <x v="8"/>
    <s v="WC2233"/>
    <s v="125108660"/>
    <s v="LA REINA"/>
    <x v="14"/>
    <x v="4"/>
    <x v="1"/>
    <x v="11"/>
    <x v="1"/>
    <n v="3"/>
    <n v="48075"/>
    <n v="17003"/>
    <n v="65078"/>
    <n v="11.482421192669939"/>
    <n v="6868"/>
    <n v="83"/>
    <x v="0"/>
    <x v="0"/>
    <x v="0"/>
    <x v="1"/>
  </r>
  <r>
    <x v="1"/>
    <s v="ZNL"/>
    <x v="0"/>
    <s v="JTYB84"/>
    <s v="6270439K"/>
    <s v="TALCAHUANO"/>
    <x v="15"/>
    <x v="0"/>
    <x v="0"/>
    <x v="0"/>
    <x v="0"/>
    <n v="0"/>
    <n v="380000"/>
    <n v="0"/>
    <n v="380000"/>
    <n v="38.47711624139324"/>
    <n v="25000"/>
    <n v="40"/>
    <x v="1"/>
    <x v="0"/>
    <x v="0"/>
    <x v="0"/>
  </r>
  <r>
    <x v="1"/>
    <s v="ZPEP"/>
    <x v="1"/>
    <s v="PN4466"/>
    <s v="81417709"/>
    <s v="ISLA DE MAIPO"/>
    <x v="16"/>
    <x v="1"/>
    <x v="0"/>
    <x v="1"/>
    <x v="1"/>
    <n v="5"/>
    <n v="120000"/>
    <n v="0"/>
    <n v="120000"/>
    <n v="10.97988119768544"/>
    <n v="12000"/>
    <n v="91"/>
    <x v="2"/>
    <x v="0"/>
    <x v="0"/>
    <x v="1"/>
  </r>
  <r>
    <x v="1"/>
    <s v="ZPEP"/>
    <x v="2"/>
    <s v="GKRB84"/>
    <s v="122975819"/>
    <s v="TALCA"/>
    <x v="17"/>
    <x v="5"/>
    <x v="0"/>
    <x v="12"/>
    <x v="3"/>
    <n v="0"/>
    <n v="320000"/>
    <n v="0"/>
    <n v="320000"/>
    <n v="86.680228510752414"/>
    <n v="25000"/>
    <n v="15"/>
    <x v="3"/>
    <x v="0"/>
    <x v="0"/>
    <x v="0"/>
  </r>
  <r>
    <x v="1"/>
    <s v="ZPEP"/>
    <x v="2"/>
    <s v="HLBX77"/>
    <s v="16093509K"/>
    <s v="MAIPU"/>
    <x v="18"/>
    <x v="1"/>
    <x v="1"/>
    <x v="2"/>
    <x v="1"/>
    <n v="1"/>
    <n v="43533"/>
    <n v="0"/>
    <n v="43533"/>
    <n v="6.9999212100844632"/>
    <n v="4821"/>
    <n v="100"/>
    <x v="4"/>
    <x v="0"/>
    <x v="0"/>
    <x v="1"/>
  </r>
  <r>
    <x v="1"/>
    <s v="ZPEP"/>
    <x v="9"/>
    <s v="XR6339"/>
    <s v="161268070"/>
    <s v="SAN BERNARDO"/>
    <x v="19"/>
    <x v="1"/>
    <x v="1"/>
    <x v="4"/>
    <x v="1"/>
    <n v="4"/>
    <n v="56075"/>
    <n v="0"/>
    <n v="56075"/>
    <n v="17.542789389545344"/>
    <n v="8011"/>
    <n v="40"/>
    <x v="5"/>
    <x v="0"/>
    <x v="0"/>
    <x v="1"/>
  </r>
  <r>
    <x v="1"/>
    <s v="ZPEP"/>
    <x v="7"/>
    <s v="DJLF85"/>
    <s v="53173292"/>
    <s v="RENCA"/>
    <x v="20"/>
    <x v="4"/>
    <x v="1"/>
    <x v="7"/>
    <x v="1"/>
    <n v="1"/>
    <n v="33750"/>
    <n v="13556"/>
    <n v="47306"/>
    <n v="10.468708506683189"/>
    <n v="4821"/>
    <n v="94"/>
    <x v="6"/>
    <x v="0"/>
    <x v="0"/>
    <x v="1"/>
  </r>
  <r>
    <x v="1"/>
    <s v="ZTAN"/>
    <x v="3"/>
    <s v="WC2233"/>
    <s v="125108660"/>
    <s v="LAS CONDES"/>
    <x v="21"/>
    <x v="4"/>
    <x v="1"/>
    <x v="3"/>
    <x v="1"/>
    <n v="3"/>
    <n v="111020"/>
    <n v="0"/>
    <n v="111020"/>
    <n v="7"/>
    <n v="6868"/>
    <n v="100"/>
    <x v="7"/>
    <x v="0"/>
    <x v="0"/>
    <x v="1"/>
  </r>
  <r>
    <x v="1"/>
    <s v="ZTAN"/>
    <x v="4"/>
    <s v="SU9354"/>
    <s v="72564391"/>
    <s v="PAINE"/>
    <x v="22"/>
    <x v="2"/>
    <x v="1"/>
    <x v="13"/>
    <x v="1"/>
    <n v="5"/>
    <n v="90000"/>
    <n v="0"/>
    <n v="90000"/>
    <n v="17.642907551164434"/>
    <n v="12000"/>
    <n v="43"/>
    <x v="8"/>
    <x v="0"/>
    <x v="0"/>
    <x v="1"/>
  </r>
  <r>
    <x v="1"/>
    <s v="ZTAN"/>
    <x v="6"/>
    <s v="GKRB84"/>
    <s v="122975819"/>
    <s v="TALCA"/>
    <x v="23"/>
    <x v="5"/>
    <x v="0"/>
    <x v="12"/>
    <x v="3"/>
    <n v="0"/>
    <n v="320000"/>
    <n v="0"/>
    <n v="320000"/>
    <n v="50.087653393438515"/>
    <n v="25000"/>
    <n v="26"/>
    <x v="9"/>
    <x v="0"/>
    <x v="0"/>
    <x v="0"/>
  </r>
  <r>
    <x v="1"/>
    <s v="ZTAN"/>
    <x v="6"/>
    <s v="ZJ2464"/>
    <s v="160626984"/>
    <s v="TEMUCO"/>
    <x v="24"/>
    <x v="0"/>
    <x v="0"/>
    <x v="14"/>
    <x v="4"/>
    <n v="0"/>
    <n v="620000"/>
    <n v="0"/>
    <n v="620000"/>
    <n v="74.609802765376244"/>
    <n v="25000"/>
    <n v="29"/>
    <x v="10"/>
    <x v="0"/>
    <x v="0"/>
    <x v="0"/>
  </r>
  <r>
    <x v="1"/>
    <s v="ZTAN"/>
    <x v="7"/>
    <s v="DJLF85"/>
    <s v="53173292"/>
    <s v="RENCA"/>
    <x v="25"/>
    <x v="4"/>
    <x v="1"/>
    <x v="7"/>
    <x v="1"/>
    <n v="1"/>
    <n v="33750"/>
    <n v="12950"/>
    <n v="46700"/>
    <n v="10.818399154913916"/>
    <n v="4821"/>
    <n v="90"/>
    <x v="11"/>
    <x v="0"/>
    <x v="0"/>
    <x v="1"/>
  </r>
  <r>
    <x v="1"/>
    <s v="ZTAN"/>
    <x v="8"/>
    <s v="BDCH61"/>
    <s v="161268070"/>
    <s v="REÑACA"/>
    <x v="26"/>
    <x v="1"/>
    <x v="1"/>
    <x v="6"/>
    <x v="2"/>
    <n v="0"/>
    <n v="180000"/>
    <n v="22165.040000000001"/>
    <n v="202165.04"/>
    <n v="36.483586765464892"/>
    <n v="25000"/>
    <n v="22"/>
    <x v="12"/>
    <x v="0"/>
    <x v="0"/>
    <x v="0"/>
  </r>
  <r>
    <x v="1"/>
    <s v="ZTAN"/>
    <x v="8"/>
    <s v="SV2718"/>
    <s v="99626232"/>
    <s v="CERRILLOS"/>
    <x v="27"/>
    <x v="1"/>
    <x v="1"/>
    <x v="9"/>
    <x v="1"/>
    <n v="2"/>
    <n v="40475"/>
    <n v="14245"/>
    <n v="54720"/>
    <n v="15.365434511574621"/>
    <n v="5782"/>
    <n v="62"/>
    <x v="13"/>
    <x v="0"/>
    <x v="0"/>
    <x v="1"/>
  </r>
  <r>
    <x v="1"/>
    <s v="ZTAN"/>
    <x v="8"/>
    <s v="UA7248"/>
    <s v="107643206"/>
    <s v="LAS CONDES"/>
    <x v="28"/>
    <x v="1"/>
    <x v="1"/>
    <x v="3"/>
    <x v="1"/>
    <n v="3"/>
    <n v="48075"/>
    <n v="8966"/>
    <n v="57041"/>
    <n v="25.446556031406139"/>
    <n v="6868"/>
    <n v="33"/>
    <x v="14"/>
    <x v="0"/>
    <x v="0"/>
    <x v="1"/>
  </r>
  <r>
    <x v="1"/>
    <s v="ZTAN"/>
    <x v="8"/>
    <s v="XR6339"/>
    <s v="78907355"/>
    <s v="ÑUÑOA"/>
    <x v="29"/>
    <x v="1"/>
    <x v="1"/>
    <x v="15"/>
    <x v="1"/>
    <n v="1"/>
    <n v="33750"/>
    <n v="5877"/>
    <n v="39627"/>
    <n v="26.97145424102585"/>
    <n v="4821"/>
    <n v="30"/>
    <x v="15"/>
    <x v="0"/>
    <x v="0"/>
    <x v="1"/>
  </r>
  <r>
    <x v="2"/>
    <s v="ZPEP"/>
    <x v="2"/>
    <s v="CDSK23"/>
    <n v="95439802"/>
    <s v="CORONEL"/>
    <x v="30"/>
    <x v="0"/>
    <x v="0"/>
    <x v="16"/>
    <x v="0"/>
    <n v="0"/>
    <n v="380000"/>
    <n v="0"/>
    <n v="380000"/>
    <n v="24.701004095816494"/>
    <n v="25000"/>
    <n v="62"/>
    <x v="16"/>
    <x v="0"/>
    <x v="0"/>
    <x v="0"/>
  </r>
  <r>
    <x v="2"/>
    <s v="ZTAN"/>
    <x v="8"/>
    <s v="TP3884"/>
    <n v="81417709"/>
    <s v="PUDAHUEL"/>
    <x v="31"/>
    <x v="1"/>
    <x v="1"/>
    <x v="10"/>
    <x v="1"/>
    <n v="1"/>
    <n v="61387"/>
    <n v="35078"/>
    <n v="96465"/>
    <n v="10.999906495378365"/>
    <n v="4821"/>
    <n v="100"/>
    <x v="17"/>
    <x v="0"/>
    <x v="0"/>
    <x v="1"/>
  </r>
  <r>
    <x v="3"/>
    <s v="ZNL"/>
    <x v="0"/>
    <s v="RG6503"/>
    <s v="10519045K"/>
    <s v="TALCAHUANO"/>
    <x v="32"/>
    <x v="0"/>
    <x v="0"/>
    <x v="0"/>
    <x v="0"/>
    <n v="0"/>
    <n v="380000"/>
    <n v="0"/>
    <n v="380000"/>
    <n v="35.0424197713021"/>
    <n v="25000"/>
    <n v="43"/>
    <x v="18"/>
    <x v="0"/>
    <x v="0"/>
    <x v="0"/>
  </r>
  <r>
    <x v="3"/>
    <s v="ZPEP"/>
    <x v="1"/>
    <s v="PN4466"/>
    <s v="81417709"/>
    <s v="ISLA DE MAIPO"/>
    <x v="33"/>
    <x v="1"/>
    <x v="0"/>
    <x v="1"/>
    <x v="1"/>
    <n v="5"/>
    <n v="120000"/>
    <n v="0"/>
    <n v="120000"/>
    <n v="7.5248083525372715"/>
    <n v="12000"/>
    <n v="100"/>
    <x v="19"/>
    <x v="0"/>
    <x v="0"/>
    <x v="1"/>
  </r>
  <r>
    <x v="3"/>
    <s v="ZPEP"/>
    <x v="5"/>
    <s v="HLBX77"/>
    <s v="16093509K"/>
    <s v="LAMPA"/>
    <x v="34"/>
    <x v="1"/>
    <x v="1"/>
    <x v="17"/>
    <x v="1"/>
    <n v="5"/>
    <n v="70000"/>
    <n v="0"/>
    <n v="70000"/>
    <n v="5.3552029621922674"/>
    <n v="12000"/>
    <n v="100"/>
    <x v="20"/>
    <x v="0"/>
    <x v="0"/>
    <x v="1"/>
  </r>
  <r>
    <x v="3"/>
    <s v="ZTAN"/>
    <x v="3"/>
    <s v="WC2233"/>
    <s v="125108660"/>
    <s v="LAS CONDES"/>
    <x v="35"/>
    <x v="4"/>
    <x v="1"/>
    <x v="3"/>
    <x v="1"/>
    <n v="3"/>
    <n v="54761"/>
    <n v="0"/>
    <n v="54761"/>
    <n v="6.9999999999999991"/>
    <n v="6868"/>
    <n v="100"/>
    <x v="21"/>
    <x v="0"/>
    <x v="0"/>
    <x v="1"/>
  </r>
  <r>
    <x v="3"/>
    <s v="ZTAN"/>
    <x v="4"/>
    <s v="CJFZ69"/>
    <s v="174967806"/>
    <s v="QUILLON"/>
    <x v="36"/>
    <x v="0"/>
    <x v="0"/>
    <x v="18"/>
    <x v="5"/>
    <n v="0"/>
    <n v="350000"/>
    <n v="0"/>
    <n v="350000"/>
    <n v="26.556998907369209"/>
    <n v="25000"/>
    <n v="53"/>
    <x v="22"/>
    <x v="0"/>
    <x v="0"/>
    <x v="0"/>
  </r>
  <r>
    <x v="3"/>
    <s v="ZTAN"/>
    <x v="4"/>
    <s v="TW7053"/>
    <s v="172861164"/>
    <s v="QUILLOTA"/>
    <x v="37"/>
    <x v="0"/>
    <x v="0"/>
    <x v="19"/>
    <x v="2"/>
    <n v="0"/>
    <n v="230000"/>
    <n v="0"/>
    <n v="230000"/>
    <n v="28.813389456804963"/>
    <n v="25000"/>
    <n v="32"/>
    <x v="23"/>
    <x v="0"/>
    <x v="0"/>
    <x v="0"/>
  </r>
  <r>
    <x v="3"/>
    <s v="ZTAN"/>
    <x v="10"/>
    <s v="SU9354"/>
    <s v="72564391"/>
    <s v="QUILICURA"/>
    <x v="38"/>
    <x v="2"/>
    <x v="1"/>
    <x v="8"/>
    <x v="1"/>
    <n v="1"/>
    <n v="48735"/>
    <n v="20886"/>
    <n v="69621"/>
    <n v="9.9999425464009644"/>
    <n v="4821"/>
    <n v="100"/>
    <x v="24"/>
    <x v="0"/>
    <x v="0"/>
    <x v="1"/>
  </r>
  <r>
    <x v="3"/>
    <s v="ZTAN"/>
    <x v="10"/>
    <s v="XR6339"/>
    <s v="78907355"/>
    <s v="SANTIAGO"/>
    <x v="39"/>
    <x v="1"/>
    <x v="1"/>
    <x v="20"/>
    <x v="1"/>
    <n v="1"/>
    <n v="39134"/>
    <n v="22362"/>
    <n v="61496"/>
    <n v="11.000089437438511"/>
    <n v="4821"/>
    <n v="100"/>
    <x v="25"/>
    <x v="0"/>
    <x v="0"/>
    <x v="1"/>
  </r>
  <r>
    <x v="3"/>
    <s v="ZTAN"/>
    <x v="7"/>
    <s v="CJXX49"/>
    <s v="167832741"/>
    <s v="CHILLAN"/>
    <x v="40"/>
    <x v="0"/>
    <x v="0"/>
    <x v="21"/>
    <x v="5"/>
    <n v="0"/>
    <n v="350000"/>
    <n v="0"/>
    <n v="350000"/>
    <n v="23.305522076988144"/>
    <n v="25000"/>
    <n v="60"/>
    <x v="26"/>
    <x v="0"/>
    <x v="0"/>
    <x v="0"/>
  </r>
  <r>
    <x v="3"/>
    <s v="ZTAN"/>
    <x v="7"/>
    <s v="DJLF85"/>
    <s v="53173292"/>
    <s v="RENCA"/>
    <x v="41"/>
    <x v="4"/>
    <x v="1"/>
    <x v="7"/>
    <x v="1"/>
    <n v="1"/>
    <n v="74122"/>
    <n v="31766"/>
    <n v="105888"/>
    <n v="10"/>
    <n v="4821"/>
    <n v="100"/>
    <x v="27"/>
    <x v="0"/>
    <x v="0"/>
    <x v="1"/>
  </r>
  <r>
    <x v="3"/>
    <s v="ZTAN"/>
    <x v="7"/>
    <s v="SU9354"/>
    <s v="72564391"/>
    <s v="LA LIGUA"/>
    <x v="42"/>
    <x v="2"/>
    <x v="1"/>
    <x v="22"/>
    <x v="2"/>
    <n v="0"/>
    <n v="160000"/>
    <n v="0"/>
    <n v="160000"/>
    <n v="46.683706219436779"/>
    <n v="25000"/>
    <n v="14"/>
    <x v="28"/>
    <x v="0"/>
    <x v="0"/>
    <x v="0"/>
  </r>
  <r>
    <x v="3"/>
    <s v="ZTAN"/>
    <x v="7"/>
    <s v="SV2718"/>
    <s v="161268070"/>
    <s v="SAN MIGUEL"/>
    <x v="43"/>
    <x v="1"/>
    <x v="1"/>
    <x v="23"/>
    <x v="1"/>
    <n v="2"/>
    <n v="40475"/>
    <n v="11506"/>
    <n v="51981"/>
    <n v="18.070668233363694"/>
    <n v="5782"/>
    <n v="50"/>
    <x v="29"/>
    <x v="0"/>
    <x v="0"/>
    <x v="1"/>
  </r>
  <r>
    <x v="3"/>
    <s v="ZTAN"/>
    <x v="7"/>
    <s v="TK8815"/>
    <s v="121406330"/>
    <s v="RENCA"/>
    <x v="44"/>
    <x v="0"/>
    <x v="0"/>
    <x v="7"/>
    <x v="1"/>
    <n v="1"/>
    <n v="61199"/>
    <n v="26228"/>
    <n v="87427"/>
    <n v="9.9999771238241628"/>
    <n v="4821"/>
    <n v="100"/>
    <x v="30"/>
    <x v="0"/>
    <x v="0"/>
    <x v="1"/>
  </r>
  <r>
    <x v="3"/>
    <s v="ZTAN"/>
    <x v="7"/>
    <s v="UA7248"/>
    <s v="99626232"/>
    <s v="SAN MIGUEL"/>
    <x v="45"/>
    <x v="1"/>
    <x v="1"/>
    <x v="23"/>
    <x v="1"/>
    <n v="2"/>
    <n v="40475"/>
    <n v="8794"/>
    <n v="49269"/>
    <n v="22.411299126637555"/>
    <n v="5782"/>
    <n v="38"/>
    <x v="31"/>
    <x v="0"/>
    <x v="0"/>
    <x v="1"/>
  </r>
  <r>
    <x v="3"/>
    <s v="ZTAN"/>
    <x v="8"/>
    <s v="BDCH61"/>
    <s v="78907355"/>
    <s v="HUECHURABA"/>
    <x v="46"/>
    <x v="1"/>
    <x v="1"/>
    <x v="24"/>
    <x v="1"/>
    <n v="1"/>
    <n v="33750"/>
    <n v="9980"/>
    <n v="43730"/>
    <n v="17.526351649232495"/>
    <n v="4821"/>
    <n v="52"/>
    <x v="32"/>
    <x v="0"/>
    <x v="0"/>
    <x v="1"/>
  </r>
  <r>
    <x v="3"/>
    <s v="ZTAN"/>
    <x v="8"/>
    <s v="SV2718"/>
    <s v="99626232"/>
    <s v="EL BOSQUE"/>
    <x v="47"/>
    <x v="1"/>
    <x v="1"/>
    <x v="25"/>
    <x v="1"/>
    <n v="3"/>
    <n v="48075"/>
    <n v="9955"/>
    <n v="58030"/>
    <n v="23.316457730633235"/>
    <n v="6868"/>
    <n v="36"/>
    <x v="33"/>
    <x v="0"/>
    <x v="0"/>
    <x v="1"/>
  </r>
  <r>
    <x v="3"/>
    <s v="ZTAN"/>
    <x v="8"/>
    <s v="TP3884"/>
    <s v="161268070"/>
    <s v="LAS CONDES"/>
    <x v="48"/>
    <x v="1"/>
    <x v="1"/>
    <x v="3"/>
    <x v="1"/>
    <n v="3"/>
    <n v="48075"/>
    <n v="10404"/>
    <n v="58479"/>
    <n v="22.483102782754457"/>
    <n v="6868"/>
    <n v="38"/>
    <x v="34"/>
    <x v="0"/>
    <x v="0"/>
    <x v="1"/>
  </r>
  <r>
    <x v="3"/>
    <s v="ZTAN"/>
    <x v="8"/>
    <s v="UA7248"/>
    <s v="107643206"/>
    <s v="SAN BERNARDO"/>
    <x v="49"/>
    <x v="1"/>
    <x v="1"/>
    <x v="4"/>
    <x v="1"/>
    <n v="4"/>
    <n v="56075"/>
    <n v="7273"/>
    <n v="63348"/>
    <n v="34.840668345964737"/>
    <n v="8011"/>
    <n v="23"/>
    <x v="35"/>
    <x v="0"/>
    <x v="0"/>
    <x v="1"/>
  </r>
  <r>
    <x v="3"/>
    <s v="ZTAN"/>
    <x v="8"/>
    <s v="XR6339"/>
    <s v="78907355"/>
    <s v="PUDAHUEL"/>
    <x v="50"/>
    <x v="1"/>
    <x v="1"/>
    <x v="10"/>
    <x v="1"/>
    <n v="1"/>
    <n v="33750"/>
    <n v="9209"/>
    <n v="42959"/>
    <n v="18.659166920036483"/>
    <n v="4821"/>
    <n v="48"/>
    <x v="36"/>
    <x v="0"/>
    <x v="0"/>
    <x v="1"/>
  </r>
  <r>
    <x v="4"/>
    <s v="ZPEP"/>
    <x v="5"/>
    <s v="WC2233"/>
    <s v="125108660"/>
    <s v="LAMPA"/>
    <x v="51"/>
    <x v="4"/>
    <x v="1"/>
    <x v="17"/>
    <x v="1"/>
    <n v="5"/>
    <n v="70000"/>
    <n v="0"/>
    <n v="70000"/>
    <n v="9.5222289633557438"/>
    <n v="12000"/>
    <n v="61"/>
    <x v="37"/>
    <x v="0"/>
    <x v="0"/>
    <x v="1"/>
  </r>
  <r>
    <x v="4"/>
    <s v="ZPEP"/>
    <x v="11"/>
    <s v="HLBX77"/>
    <s v="160963509K"/>
    <s v="PADRE HURTADO"/>
    <x v="52"/>
    <x v="1"/>
    <x v="1"/>
    <x v="26"/>
    <x v="1"/>
    <n v="5"/>
    <n v="70000"/>
    <n v="0"/>
    <n v="70000"/>
    <n v="15.495296070835639"/>
    <n v="12000"/>
    <n v="33"/>
    <x v="38"/>
    <x v="0"/>
    <x v="0"/>
    <x v="1"/>
  </r>
  <r>
    <x v="4"/>
    <s v="ZPEP"/>
    <x v="12"/>
    <s v="WG4022"/>
    <s v="81417709"/>
    <s v="VITACURA"/>
    <x v="53"/>
    <x v="1"/>
    <x v="0"/>
    <x v="27"/>
    <x v="1"/>
    <n v="3"/>
    <n v="120834"/>
    <n v="0"/>
    <n v="120834"/>
    <n v="7"/>
    <n v="6868"/>
    <n v="100"/>
    <x v="39"/>
    <x v="0"/>
    <x v="0"/>
    <x v="1"/>
  </r>
  <r>
    <x v="4"/>
    <s v="ZTAN"/>
    <x v="10"/>
    <s v="DJLF85"/>
    <s v="53173292"/>
    <s v="QUILICURA"/>
    <x v="54"/>
    <x v="4"/>
    <x v="1"/>
    <x v="8"/>
    <x v="1"/>
    <n v="1"/>
    <n v="57646"/>
    <n v="24706"/>
    <n v="82352"/>
    <n v="10.000000000000002"/>
    <n v="4821"/>
    <n v="100"/>
    <x v="40"/>
    <x v="0"/>
    <x v="0"/>
    <x v="1"/>
  </r>
  <r>
    <x v="4"/>
    <s v="ZTAN"/>
    <x v="10"/>
    <s v="RK5135"/>
    <s v="138841065"/>
    <s v="QUILICURA"/>
    <x v="55"/>
    <x v="3"/>
    <x v="1"/>
    <x v="8"/>
    <x v="1"/>
    <n v="1"/>
    <n v="33750"/>
    <n v="13479"/>
    <n v="47229"/>
    <n v="10.511918805226024"/>
    <n v="4821"/>
    <n v="93"/>
    <x v="41"/>
    <x v="0"/>
    <x v="0"/>
    <x v="1"/>
  </r>
  <r>
    <x v="4"/>
    <s v="ZTAN"/>
    <x v="7"/>
    <s v="CJFZ67"/>
    <s v="115812335"/>
    <s v="CHILLAN"/>
    <x v="56"/>
    <x v="5"/>
    <x v="0"/>
    <x v="21"/>
    <x v="5"/>
    <n v="0"/>
    <n v="350000"/>
    <n v="0"/>
    <n v="350000"/>
    <n v="19.332103443323806"/>
    <n v="25000"/>
    <n v="72"/>
    <x v="42"/>
    <x v="0"/>
    <x v="0"/>
    <x v="0"/>
  </r>
  <r>
    <x v="4"/>
    <s v="ZTAN"/>
    <x v="7"/>
    <s v="GKRB84"/>
    <s v="122975819"/>
    <s v="RANCAGUA"/>
    <x v="57"/>
    <x v="5"/>
    <x v="0"/>
    <x v="28"/>
    <x v="6"/>
    <n v="0"/>
    <n v="230000"/>
    <n v="0"/>
    <n v="230000"/>
    <n v="11.646324420013043"/>
    <n v="25000"/>
    <n v="79"/>
    <x v="43"/>
    <x v="0"/>
    <x v="0"/>
    <x v="0"/>
  </r>
  <r>
    <x v="4"/>
    <s v="ZTAN"/>
    <x v="7"/>
    <s v="TW7053"/>
    <s v="172861164"/>
    <s v="MELIPILLA"/>
    <x v="58"/>
    <x v="6"/>
    <x v="1"/>
    <x v="29"/>
    <x v="1"/>
    <n v="5"/>
    <n v="90000"/>
    <n v="45693"/>
    <n v="135693"/>
    <n v="8.9089896802709276"/>
    <n v="12000"/>
    <n v="100"/>
    <x v="44"/>
    <x v="0"/>
    <x v="0"/>
    <x v="1"/>
  </r>
  <r>
    <x v="4"/>
    <s v="ZTAN"/>
    <x v="7"/>
    <s v="WC2233"/>
    <s v="125108660"/>
    <s v="RENCA"/>
    <x v="59"/>
    <x v="4"/>
    <x v="1"/>
    <x v="7"/>
    <x v="1"/>
    <n v="1"/>
    <n v="67095"/>
    <n v="28755"/>
    <n v="95850"/>
    <n v="9.9999582683014356"/>
    <n v="4821"/>
    <n v="100"/>
    <x v="45"/>
    <x v="0"/>
    <x v="0"/>
    <x v="1"/>
  </r>
  <r>
    <x v="4"/>
    <s v="ZTAN"/>
    <x v="7"/>
    <s v="WC2233"/>
    <s v="53173292"/>
    <s v="RENCA"/>
    <x v="60"/>
    <x v="4"/>
    <x v="1"/>
    <x v="7"/>
    <x v="1"/>
    <n v="1"/>
    <n v="63832"/>
    <n v="27357"/>
    <n v="91189"/>
    <n v="10"/>
    <n v="4821"/>
    <n v="100"/>
    <x v="46"/>
    <x v="0"/>
    <x v="0"/>
    <x v="1"/>
  </r>
  <r>
    <x v="4"/>
    <s v="ZTAN"/>
    <x v="8"/>
    <s v="BDCH61"/>
    <s v="99626232"/>
    <s v="QUILICURA"/>
    <x v="61"/>
    <x v="1"/>
    <x v="1"/>
    <x v="8"/>
    <x v="1"/>
    <n v="1"/>
    <n v="33750"/>
    <n v="17018"/>
    <n v="50768"/>
    <n v="11.932440499974145"/>
    <n v="4821"/>
    <n v="88"/>
    <x v="47"/>
    <x v="0"/>
    <x v="0"/>
    <x v="1"/>
  </r>
  <r>
    <x v="4"/>
    <s v="ZTAN"/>
    <x v="8"/>
    <s v="SU9354"/>
    <s v="72564391"/>
    <s v="LA REINA"/>
    <x v="62"/>
    <x v="2"/>
    <x v="1"/>
    <x v="11"/>
    <x v="1"/>
    <n v="3"/>
    <n v="48075"/>
    <n v="18140"/>
    <n v="66215"/>
    <n v="10.9508547008547"/>
    <n v="6868"/>
    <n v="88"/>
    <x v="48"/>
    <x v="0"/>
    <x v="0"/>
    <x v="1"/>
  </r>
  <r>
    <x v="4"/>
    <s v="ZTAN"/>
    <x v="8"/>
    <s v="SV2718"/>
    <s v="161268070"/>
    <s v="LAS CONDES"/>
    <x v="63"/>
    <x v="1"/>
    <x v="1"/>
    <x v="3"/>
    <x v="1"/>
    <n v="3"/>
    <n v="48075"/>
    <n v="8876"/>
    <n v="56951"/>
    <n v="25.664007931143257"/>
    <n v="6868"/>
    <n v="32"/>
    <x v="49"/>
    <x v="0"/>
    <x v="0"/>
    <x v="1"/>
  </r>
  <r>
    <x v="4"/>
    <s v="ZTAN"/>
    <x v="8"/>
    <s v="TP3884"/>
    <s v="81417709"/>
    <s v="PUDAHUEL"/>
    <x v="64"/>
    <x v="1"/>
    <x v="1"/>
    <x v="10"/>
    <x v="1"/>
    <n v="1"/>
    <n v="58627"/>
    <n v="33501"/>
    <n v="92128"/>
    <n v="10.999990448080544"/>
    <n v="4821"/>
    <n v="100"/>
    <x v="50"/>
    <x v="0"/>
    <x v="0"/>
    <x v="1"/>
  </r>
  <r>
    <x v="4"/>
    <s v="ZTAN"/>
    <x v="8"/>
    <s v="UA7248"/>
    <s v="107643206"/>
    <s v="PUENTE ALTO"/>
    <x v="65"/>
    <x v="1"/>
    <x v="1"/>
    <x v="30"/>
    <x v="1"/>
    <n v="4"/>
    <n v="56075"/>
    <n v="9586"/>
    <n v="65661"/>
    <n v="27.399849774661991"/>
    <n v="8011"/>
    <n v="30"/>
    <x v="51"/>
    <x v="0"/>
    <x v="0"/>
    <x v="1"/>
  </r>
  <r>
    <x v="4"/>
    <s v="ZTAN"/>
    <x v="8"/>
    <s v="XR6339"/>
    <s v="78907355"/>
    <s v="ÑUÑOA"/>
    <x v="66"/>
    <x v="1"/>
    <x v="1"/>
    <x v="15"/>
    <x v="1"/>
    <n v="1"/>
    <n v="33750"/>
    <n v="10534"/>
    <n v="44284"/>
    <n v="13.336867022846507"/>
    <n v="4821"/>
    <n v="55"/>
    <x v="52"/>
    <x v="0"/>
    <x v="0"/>
    <x v="1"/>
  </r>
  <r>
    <x v="5"/>
    <s v="ZNL"/>
    <x v="0"/>
    <s v="JTYB84"/>
    <s v="6270439K"/>
    <s v="TALCAHUANO"/>
    <x v="67"/>
    <x v="5"/>
    <x v="0"/>
    <x v="0"/>
    <x v="0"/>
    <n v="0"/>
    <n v="380000"/>
    <n v="0"/>
    <n v="380000"/>
    <n v="17.879323973350399"/>
    <n v="25000"/>
    <n v="85"/>
    <x v="53"/>
    <x v="0"/>
    <x v="0"/>
    <x v="0"/>
  </r>
  <r>
    <x v="5"/>
    <s v="ZPEP"/>
    <x v="13"/>
    <s v="DP5738"/>
    <s v="35488103"/>
    <s v="SANTIAGO"/>
    <x v="68"/>
    <x v="7"/>
    <x v="1"/>
    <x v="20"/>
    <x v="1"/>
    <n v="1"/>
    <n v="33750"/>
    <n v="0"/>
    <n v="33750"/>
    <n v="48.913043478260867"/>
    <n v="4821"/>
    <n v="14"/>
    <x v="54"/>
    <x v="0"/>
    <x v="0"/>
    <x v="1"/>
  </r>
  <r>
    <x v="5"/>
    <s v="ZPEP"/>
    <x v="1"/>
    <s v="HLBX77"/>
    <s v="16093509K"/>
    <s v="ISLA DE MAIPO"/>
    <x v="69"/>
    <x v="1"/>
    <x v="1"/>
    <x v="1"/>
    <x v="1"/>
    <n v="5"/>
    <n v="90000"/>
    <n v="0"/>
    <n v="90000"/>
    <n v="9.8848850223123819"/>
    <n v="12000"/>
    <n v="76"/>
    <x v="55"/>
    <x v="0"/>
    <x v="0"/>
    <x v="1"/>
  </r>
  <r>
    <x v="5"/>
    <s v="ZPEP"/>
    <x v="2"/>
    <s v="BWPL69"/>
    <s v="78551976"/>
    <s v="CORONEL"/>
    <x v="70"/>
    <x v="5"/>
    <x v="0"/>
    <x v="16"/>
    <x v="0"/>
    <n v="0"/>
    <n v="380000"/>
    <n v="0"/>
    <n v="380000"/>
    <n v="14.033558670431107"/>
    <n v="25000"/>
    <n v="100"/>
    <x v="56"/>
    <x v="0"/>
    <x v="0"/>
    <x v="0"/>
  </r>
  <r>
    <x v="5"/>
    <s v="ZPEP"/>
    <x v="12"/>
    <s v="RK5135"/>
    <s v="138841065"/>
    <s v="VITACURA"/>
    <x v="71"/>
    <x v="3"/>
    <x v="1"/>
    <x v="27"/>
    <x v="1"/>
    <n v="3"/>
    <n v="60715"/>
    <n v="0"/>
    <n v="60715"/>
    <n v="7.0000253644993844"/>
    <n v="6868"/>
    <n v="100"/>
    <x v="57"/>
    <x v="0"/>
    <x v="0"/>
    <x v="1"/>
  </r>
  <r>
    <x v="5"/>
    <s v="ZPEP"/>
    <x v="14"/>
    <s v="WG4022"/>
    <s v="81417709"/>
    <s v="LA PINTANA"/>
    <x v="72"/>
    <x v="1"/>
    <x v="0"/>
    <x v="31"/>
    <x v="1"/>
    <n v="4"/>
    <n v="174076"/>
    <n v="0"/>
    <n v="174076"/>
    <n v="7"/>
    <n v="8011"/>
    <n v="100"/>
    <x v="58"/>
    <x v="0"/>
    <x v="0"/>
    <x v="1"/>
  </r>
  <r>
    <x v="5"/>
    <s v="ZTAN"/>
    <x v="13"/>
    <s v="DP5738"/>
    <s v="35488103"/>
    <s v="SANTIAGO"/>
    <x v="73"/>
    <x v="7"/>
    <x v="1"/>
    <x v="20"/>
    <x v="1"/>
    <n v="1"/>
    <n v="33750"/>
    <n v="0"/>
    <n v="33750"/>
    <n v="13.497840345544713"/>
    <n v="4821"/>
    <n v="52"/>
    <x v="59"/>
    <x v="0"/>
    <x v="0"/>
    <x v="1"/>
  </r>
  <r>
    <x v="5"/>
    <s v="ZTAN"/>
    <x v="10"/>
    <s v="SU9354"/>
    <s v="138841065"/>
    <s v="QUILICURA"/>
    <x v="74"/>
    <x v="2"/>
    <x v="1"/>
    <x v="8"/>
    <x v="1"/>
    <n v="1"/>
    <n v="48328"/>
    <n v="20712"/>
    <n v="69040"/>
    <n v="10.000000000000002"/>
    <n v="4821"/>
    <n v="100"/>
    <x v="60"/>
    <x v="0"/>
    <x v="0"/>
    <x v="1"/>
  </r>
  <r>
    <x v="5"/>
    <s v="ZTAN"/>
    <x v="9"/>
    <s v="DJLF85"/>
    <s v="53173292"/>
    <s v="SAN BERNARDO"/>
    <x v="75"/>
    <x v="4"/>
    <x v="1"/>
    <x v="4"/>
    <x v="1"/>
    <n v="4"/>
    <n v="56075"/>
    <n v="0"/>
    <n v="56075"/>
    <n v="27.992711661341854"/>
    <n v="8011"/>
    <n v="25"/>
    <x v="61"/>
    <x v="0"/>
    <x v="0"/>
    <x v="1"/>
  </r>
  <r>
    <x v="5"/>
    <s v="ZTAN"/>
    <x v="7"/>
    <s v="CJFZ69"/>
    <s v="174967806"/>
    <s v="SAN CARLOS"/>
    <x v="76"/>
    <x v="5"/>
    <x v="0"/>
    <x v="32"/>
    <x v="5"/>
    <n v="0"/>
    <n v="350000"/>
    <n v="0"/>
    <n v="350000"/>
    <n v="35.732151790180815"/>
    <n v="25000"/>
    <n v="39"/>
    <x v="62"/>
    <x v="0"/>
    <x v="0"/>
    <x v="0"/>
  </r>
  <r>
    <x v="5"/>
    <s v="ZTAN"/>
    <x v="7"/>
    <s v="GKRB84"/>
    <s v="122975819"/>
    <s v="CHILLAN"/>
    <x v="77"/>
    <x v="5"/>
    <x v="0"/>
    <x v="21"/>
    <x v="5"/>
    <n v="0"/>
    <n v="350000"/>
    <n v="0"/>
    <n v="350000"/>
    <n v="17.25276783689727"/>
    <n v="25000"/>
    <n v="81"/>
    <x v="63"/>
    <x v="0"/>
    <x v="0"/>
    <x v="0"/>
  </r>
  <r>
    <x v="5"/>
    <s v="ZTAN"/>
    <x v="7"/>
    <s v="WC2233"/>
    <s v="125108660"/>
    <s v="RENCA"/>
    <x v="78"/>
    <x v="4"/>
    <x v="1"/>
    <x v="7"/>
    <x v="1"/>
    <n v="1"/>
    <n v="44814"/>
    <n v="19206"/>
    <n v="64020"/>
    <n v="9.0268818341405641"/>
    <n v="4821"/>
    <n v="100"/>
    <x v="64"/>
    <x v="0"/>
    <x v="0"/>
    <x v="1"/>
  </r>
  <r>
    <x v="5"/>
    <s v="ZTAN"/>
    <x v="8"/>
    <s v="BDCH61"/>
    <s v="81417709"/>
    <s v="SAN MIGUEL"/>
    <x v="79"/>
    <x v="1"/>
    <x v="1"/>
    <x v="23"/>
    <x v="1"/>
    <n v="2"/>
    <n v="40475"/>
    <n v="10871"/>
    <n v="51346"/>
    <n v="18.892486570019869"/>
    <n v="5782"/>
    <n v="47"/>
    <x v="65"/>
    <x v="0"/>
    <x v="0"/>
    <x v="1"/>
  </r>
  <r>
    <x v="5"/>
    <s v="ZTAN"/>
    <x v="8"/>
    <s v="SV2718"/>
    <s v="161268070"/>
    <s v="LAS CONDES"/>
    <x v="80"/>
    <x v="1"/>
    <x v="1"/>
    <x v="3"/>
    <x v="1"/>
    <n v="3"/>
    <n v="48075"/>
    <n v="16596"/>
    <n v="64671"/>
    <n v="15.587129428778015"/>
    <n v="6868"/>
    <n v="60"/>
    <x v="66"/>
    <x v="0"/>
    <x v="0"/>
    <x v="1"/>
  </r>
  <r>
    <x v="5"/>
    <s v="ZTAN"/>
    <x v="8"/>
    <s v="TP3884"/>
    <s v="99626232"/>
    <s v="PUDAHUEL"/>
    <x v="81"/>
    <x v="1"/>
    <x v="1"/>
    <x v="10"/>
    <x v="1"/>
    <n v="1"/>
    <n v="33750"/>
    <n v="13899"/>
    <n v="47649"/>
    <n v="13.713126313062993"/>
    <n v="4821"/>
    <n v="72"/>
    <x v="67"/>
    <x v="0"/>
    <x v="0"/>
    <x v="1"/>
  </r>
  <r>
    <x v="5"/>
    <s v="ZTAN"/>
    <x v="8"/>
    <s v="UA7248"/>
    <s v="107643206"/>
    <s v="ÑUÑOA"/>
    <x v="82"/>
    <x v="1"/>
    <x v="1"/>
    <x v="15"/>
    <x v="1"/>
    <n v="1"/>
    <n v="33750"/>
    <n v="8218"/>
    <n v="41968"/>
    <n v="20.427354587490875"/>
    <n v="4821"/>
    <n v="43"/>
    <x v="68"/>
    <x v="0"/>
    <x v="0"/>
    <x v="1"/>
  </r>
  <r>
    <x v="5"/>
    <s v="ZTAN"/>
    <x v="8"/>
    <s v="XR6339"/>
    <s v="78907355"/>
    <s v="SAN BERNARDO"/>
    <x v="83"/>
    <x v="1"/>
    <x v="1"/>
    <x v="4"/>
    <x v="1"/>
    <n v="4"/>
    <n v="56075"/>
    <n v="11815"/>
    <n v="67890"/>
    <n v="22.984731015336688"/>
    <n v="8011"/>
    <n v="37"/>
    <x v="69"/>
    <x v="0"/>
    <x v="0"/>
    <x v="1"/>
  </r>
  <r>
    <x v="6"/>
    <s v="ZNL"/>
    <x v="0"/>
    <s v="RG6503"/>
    <s v="10519045K"/>
    <s v="TALCAHUANO"/>
    <x v="84"/>
    <x v="5"/>
    <x v="0"/>
    <x v="0"/>
    <x v="0"/>
    <n v="0"/>
    <n v="380000"/>
    <n v="0"/>
    <n v="380000"/>
    <n v="17.42224178403756"/>
    <n v="25000"/>
    <n v="87"/>
    <x v="70"/>
    <x v="0"/>
    <x v="0"/>
    <x v="0"/>
  </r>
  <r>
    <x v="6"/>
    <s v="ZPEP"/>
    <x v="1"/>
    <s v="RK5135"/>
    <s v="138841065"/>
    <s v="ISLA DE MAIPO"/>
    <x v="85"/>
    <x v="3"/>
    <x v="1"/>
    <x v="1"/>
    <x v="1"/>
    <n v="5"/>
    <n v="90000"/>
    <n v="0"/>
    <n v="90000"/>
    <n v="10.019125397146995"/>
    <n v="12000"/>
    <n v="75"/>
    <x v="71"/>
    <x v="0"/>
    <x v="0"/>
    <x v="1"/>
  </r>
  <r>
    <x v="6"/>
    <s v="ZPEP"/>
    <x v="12"/>
    <s v="WG4022"/>
    <s v="81417709"/>
    <s v="VITACURA"/>
    <x v="86"/>
    <x v="1"/>
    <x v="0"/>
    <x v="27"/>
    <x v="1"/>
    <n v="3"/>
    <n v="100397"/>
    <n v="26948.46000000001"/>
    <n v="127345.46"/>
    <n v="8.8789133802708893"/>
    <n v="6868"/>
    <n v="100"/>
    <x v="72"/>
    <x v="0"/>
    <x v="0"/>
    <x v="1"/>
  </r>
  <r>
    <x v="6"/>
    <s v="ZTAN"/>
    <x v="15"/>
    <s v="DJLF85"/>
    <s v="125108660"/>
    <s v="LAS CONDES"/>
    <x v="87"/>
    <x v="4"/>
    <x v="1"/>
    <x v="3"/>
    <x v="1"/>
    <n v="3"/>
    <n v="48075"/>
    <n v="0"/>
    <n v="48075"/>
    <n v="18.151784028695488"/>
    <n v="6868"/>
    <n v="39"/>
    <x v="73"/>
    <x v="0"/>
    <x v="0"/>
    <x v="1"/>
  </r>
  <r>
    <x v="6"/>
    <s v="ZTAN"/>
    <x v="3"/>
    <s v="HLBX77"/>
    <s v="16093509K"/>
    <s v="LAS CONDES"/>
    <x v="88"/>
    <x v="1"/>
    <x v="1"/>
    <x v="3"/>
    <x v="1"/>
    <n v="3"/>
    <n v="113061"/>
    <n v="7945.5"/>
    <n v="121006.5"/>
    <n v="7.4919574132960856"/>
    <n v="6868"/>
    <n v="100"/>
    <x v="74"/>
    <x v="0"/>
    <x v="0"/>
    <x v="1"/>
  </r>
  <r>
    <x v="6"/>
    <s v="ZTAN"/>
    <x v="3"/>
    <s v="WC2233"/>
    <s v="125108660"/>
    <s v="LAS CONDES"/>
    <x v="89"/>
    <x v="4"/>
    <x v="1"/>
    <x v="3"/>
    <x v="1"/>
    <n v="3"/>
    <n v="128478"/>
    <n v="48454.559999999998"/>
    <n v="176932.56"/>
    <n v="9.64"/>
    <n v="6868"/>
    <n v="100"/>
    <x v="75"/>
    <x v="0"/>
    <x v="0"/>
    <x v="1"/>
  </r>
  <r>
    <x v="6"/>
    <s v="ZTAN"/>
    <x v="10"/>
    <s v="HLBX77"/>
    <s v="16093509K"/>
    <s v="SANTIAGO"/>
    <x v="90"/>
    <x v="1"/>
    <x v="1"/>
    <x v="20"/>
    <x v="1"/>
    <n v="1"/>
    <n v="53046"/>
    <n v="30312"/>
    <n v="83358"/>
    <n v="11.000000000000002"/>
    <n v="4821"/>
    <n v="100"/>
    <x v="76"/>
    <x v="0"/>
    <x v="0"/>
    <x v="1"/>
  </r>
  <r>
    <x v="6"/>
    <s v="ZTAN"/>
    <x v="10"/>
    <s v="SU9354"/>
    <s v="72564391"/>
    <s v="QUILICURA"/>
    <x v="91"/>
    <x v="2"/>
    <x v="1"/>
    <x v="8"/>
    <x v="1"/>
    <n v="1"/>
    <n v="63052"/>
    <n v="27022"/>
    <n v="90074"/>
    <n v="10.000000000000002"/>
    <n v="4821"/>
    <n v="100"/>
    <x v="77"/>
    <x v="0"/>
    <x v="0"/>
    <x v="1"/>
  </r>
  <r>
    <x v="6"/>
    <s v="ZTAN"/>
    <x v="16"/>
    <s v="TW7053"/>
    <s v="172861164"/>
    <s v="MAIPU"/>
    <x v="92"/>
    <x v="6"/>
    <x v="1"/>
    <x v="2"/>
    <x v="1"/>
    <n v="1"/>
    <n v="117657"/>
    <n v="50424.450000000004"/>
    <n v="168081.45"/>
    <n v="9.9999970252526307"/>
    <n v="4821"/>
    <n v="100"/>
    <x v="78"/>
    <x v="0"/>
    <x v="0"/>
    <x v="1"/>
  </r>
  <r>
    <x v="6"/>
    <s v="ZTAN"/>
    <x v="8"/>
    <s v="BDCH61"/>
    <s v="99626232"/>
    <s v="LA FLORIDA"/>
    <x v="93"/>
    <x v="1"/>
    <x v="1"/>
    <x v="33"/>
    <x v="1"/>
    <n v="3"/>
    <n v="48075"/>
    <n v="8906"/>
    <n v="56981"/>
    <n v="25.591955158723032"/>
    <n v="6868"/>
    <n v="32"/>
    <x v="79"/>
    <x v="0"/>
    <x v="0"/>
    <x v="1"/>
  </r>
  <r>
    <x v="6"/>
    <s v="ZTAN"/>
    <x v="8"/>
    <s v="SV2718"/>
    <s v="161268070"/>
    <s v="PUENTE ALTO"/>
    <x v="94"/>
    <x v="1"/>
    <x v="1"/>
    <x v="30"/>
    <x v="1"/>
    <n v="4"/>
    <n v="56075"/>
    <n v="13244"/>
    <n v="69319"/>
    <n v="20.935718082536003"/>
    <n v="8011"/>
    <n v="41"/>
    <x v="80"/>
    <x v="0"/>
    <x v="0"/>
    <x v="1"/>
  </r>
  <r>
    <x v="6"/>
    <s v="ZTAN"/>
    <x v="8"/>
    <s v="TP3884"/>
    <s v="107643206"/>
    <s v="PUDAHUEL"/>
    <x v="95"/>
    <x v="1"/>
    <x v="1"/>
    <x v="10"/>
    <x v="1"/>
    <n v="1"/>
    <n v="33750"/>
    <n v="10400"/>
    <n v="44150"/>
    <n v="16.98076923076923"/>
    <n v="4821"/>
    <n v="54"/>
    <x v="81"/>
    <x v="0"/>
    <x v="0"/>
    <x v="1"/>
  </r>
  <r>
    <x v="6"/>
    <s v="ZTAN"/>
    <x v="8"/>
    <s v="UA7248"/>
    <s v="81417709"/>
    <s v="QUILIN"/>
    <x v="96"/>
    <x v="1"/>
    <x v="1"/>
    <x v="34"/>
    <x v="1"/>
    <n v="4"/>
    <n v="56075"/>
    <n v="13743"/>
    <n v="69818"/>
    <n v="20.320740438907968"/>
    <n v="8011"/>
    <n v="43"/>
    <x v="82"/>
    <x v="0"/>
    <x v="0"/>
    <x v="1"/>
  </r>
  <r>
    <x v="6"/>
    <s v="ZTAN"/>
    <x v="8"/>
    <s v="XR6339"/>
    <s v="78907355"/>
    <s v="CERRILLOS"/>
    <x v="97"/>
    <x v="1"/>
    <x v="1"/>
    <x v="9"/>
    <x v="1"/>
    <n v="2"/>
    <n v="40475"/>
    <n v="15806"/>
    <n v="56281"/>
    <n v="14.242585281911126"/>
    <n v="5782"/>
    <n v="68"/>
    <x v="83"/>
    <x v="0"/>
    <x v="0"/>
    <x v="1"/>
  </r>
  <r>
    <x v="7"/>
    <s v="ZNL"/>
    <x v="0"/>
    <s v="JTYB84"/>
    <s v="6270439K"/>
    <s v="TALCAHUANO"/>
    <x v="98"/>
    <x v="5"/>
    <x v="0"/>
    <x v="0"/>
    <x v="0"/>
    <n v="0"/>
    <n v="380000"/>
    <n v="0"/>
    <n v="380000"/>
    <n v="22.596451167879739"/>
    <n v="25000"/>
    <n v="67"/>
    <x v="84"/>
    <x v="0"/>
    <x v="0"/>
    <x v="0"/>
  </r>
  <r>
    <x v="7"/>
    <s v="ZPEP"/>
    <x v="1"/>
    <s v="RK5135"/>
    <s v="937362332"/>
    <s v="ISLA DE MAIPO"/>
    <x v="99"/>
    <x v="3"/>
    <x v="1"/>
    <x v="1"/>
    <x v="1"/>
    <n v="5"/>
    <n v="90000"/>
    <n v="0"/>
    <n v="90000"/>
    <n v="10.337294431414348"/>
    <n v="12000"/>
    <n v="73"/>
    <x v="85"/>
    <x v="0"/>
    <x v="0"/>
    <x v="1"/>
  </r>
  <r>
    <x v="7"/>
    <s v="ZPEP"/>
    <x v="2"/>
    <s v="CJXX49"/>
    <s v="167832741"/>
    <s v="CORONEL"/>
    <x v="100"/>
    <x v="5"/>
    <x v="0"/>
    <x v="16"/>
    <x v="0"/>
    <n v="0"/>
    <n v="380000"/>
    <n v="0"/>
    <n v="380000"/>
    <n v="28.854177819186052"/>
    <n v="25000"/>
    <n v="53"/>
    <x v="86"/>
    <x v="0"/>
    <x v="0"/>
    <x v="0"/>
  </r>
  <r>
    <x v="7"/>
    <s v="ZPEP"/>
    <x v="12"/>
    <s v="WG4022"/>
    <s v="81417709"/>
    <s v="VITACURA"/>
    <x v="101"/>
    <x v="1"/>
    <x v="0"/>
    <x v="27"/>
    <x v="1"/>
    <n v="3"/>
    <n v="125376"/>
    <n v="53732.700000000004"/>
    <n v="179108.7"/>
    <n v="9.9999832504229271"/>
    <n v="6868"/>
    <n v="100"/>
    <x v="87"/>
    <x v="0"/>
    <x v="0"/>
    <x v="1"/>
  </r>
  <r>
    <x v="7"/>
    <s v="ZTAN"/>
    <x v="3"/>
    <s v="WC2233"/>
    <s v="1251086600"/>
    <s v="LAS CONDES"/>
    <x v="102"/>
    <x v="4"/>
    <x v="1"/>
    <x v="3"/>
    <x v="1"/>
    <n v="3"/>
    <n v="70178.36"/>
    <n v="30076.44"/>
    <n v="100254.8"/>
    <n v="10"/>
    <n v="6868"/>
    <n v="100"/>
    <x v="88"/>
    <x v="0"/>
    <x v="0"/>
    <x v="1"/>
  </r>
  <r>
    <x v="7"/>
    <s v="ZTAN"/>
    <x v="16"/>
    <s v="DJLF85"/>
    <s v="53173292"/>
    <s v="MAIPU"/>
    <x v="103"/>
    <x v="4"/>
    <x v="1"/>
    <x v="2"/>
    <x v="1"/>
    <n v="1"/>
    <n v="33750"/>
    <n v="12965.400000000001"/>
    <n v="46715.4"/>
    <n v="10.809246147438568"/>
    <n v="4821"/>
    <n v="90"/>
    <x v="89"/>
    <x v="0"/>
    <x v="0"/>
    <x v="1"/>
  </r>
  <r>
    <x v="7"/>
    <s v="ZTAN"/>
    <x v="16"/>
    <s v="TW7053"/>
    <s v="172861164"/>
    <s v="RENCA"/>
    <x v="104"/>
    <x v="6"/>
    <x v="1"/>
    <x v="7"/>
    <x v="1"/>
    <n v="1"/>
    <n v="136573"/>
    <n v="58531.200000000004"/>
    <n v="195104.2"/>
    <n v="10.000010250943086"/>
    <n v="4821"/>
    <n v="100"/>
    <x v="90"/>
    <x v="0"/>
    <x v="0"/>
    <x v="1"/>
  </r>
  <r>
    <x v="7"/>
    <s v="ZTAN"/>
    <x v="7"/>
    <s v="HLBX77"/>
    <s v="16093509K"/>
    <s v="SAN MIGUEL"/>
    <x v="105"/>
    <x v="1"/>
    <x v="1"/>
    <x v="23"/>
    <x v="1"/>
    <n v="2"/>
    <n v="44783"/>
    <n v="25590"/>
    <n v="70373"/>
    <n v="11.000078155529502"/>
    <n v="5782"/>
    <n v="100"/>
    <x v="91"/>
    <x v="0"/>
    <x v="0"/>
    <x v="1"/>
  </r>
  <r>
    <x v="7"/>
    <s v="ZTAN"/>
    <x v="8"/>
    <s v="BDCH61"/>
    <s v="107643206"/>
    <s v="ÑUÑOA"/>
    <x v="106"/>
    <x v="1"/>
    <x v="1"/>
    <x v="15"/>
    <x v="1"/>
    <n v="1"/>
    <n v="35974"/>
    <n v="20557"/>
    <n v="56531"/>
    <n v="10.99996108343711"/>
    <n v="4821"/>
    <n v="100"/>
    <x v="92"/>
    <x v="0"/>
    <x v="0"/>
    <x v="1"/>
  </r>
  <r>
    <x v="7"/>
    <s v="ZTAN"/>
    <x v="8"/>
    <s v="HLBX77"/>
    <s v="16093509K"/>
    <s v="CERRILLOS"/>
    <x v="107"/>
    <x v="1"/>
    <x v="1"/>
    <x v="9"/>
    <x v="1"/>
    <n v="2"/>
    <n v="40475"/>
    <n v="7502"/>
    <n v="47977"/>
    <n v="25.582275781166683"/>
    <n v="5782"/>
    <n v="32"/>
    <x v="93"/>
    <x v="0"/>
    <x v="0"/>
    <x v="1"/>
  </r>
  <r>
    <x v="7"/>
    <s v="ZTAN"/>
    <x v="8"/>
    <s v="SV2718"/>
    <s v="99626232"/>
    <s v="LA REINA"/>
    <x v="108"/>
    <x v="1"/>
    <x v="1"/>
    <x v="11"/>
    <x v="1"/>
    <n v="3"/>
    <n v="48075"/>
    <n v="8594"/>
    <n v="56669"/>
    <n v="26.377304040215975"/>
    <n v="6868"/>
    <n v="31"/>
    <x v="94"/>
    <x v="0"/>
    <x v="0"/>
    <x v="1"/>
  </r>
  <r>
    <x v="7"/>
    <s v="ZTAN"/>
    <x v="8"/>
    <s v="TP3884"/>
    <s v="78907355"/>
    <s v="REÑACA"/>
    <x v="109"/>
    <x v="1"/>
    <x v="1"/>
    <x v="6"/>
    <x v="2"/>
    <n v="0"/>
    <n v="180000"/>
    <n v="0"/>
    <n v="180000"/>
    <n v="41.293874741913271"/>
    <n v="25000"/>
    <n v="17"/>
    <x v="95"/>
    <x v="0"/>
    <x v="0"/>
    <x v="0"/>
  </r>
  <r>
    <x v="7"/>
    <s v="ZTAN"/>
    <x v="8"/>
    <s v="UA7248"/>
    <s v="78907355"/>
    <s v="PUDAHUEL"/>
    <x v="110"/>
    <x v="1"/>
    <x v="1"/>
    <x v="10"/>
    <x v="1"/>
    <n v="1"/>
    <n v="33750"/>
    <n v="11473"/>
    <n v="45223"/>
    <n v="15.76703158775538"/>
    <n v="4821"/>
    <n v="59"/>
    <x v="96"/>
    <x v="0"/>
    <x v="0"/>
    <x v="1"/>
  </r>
  <r>
    <x v="8"/>
    <s v="ZPEP"/>
    <x v="5"/>
    <s v="WC2283"/>
    <s v="125108660"/>
    <s v="SAN FELIPE"/>
    <x v="111"/>
    <x v="0"/>
    <x v="0"/>
    <x v="35"/>
    <x v="2"/>
    <n v="0"/>
    <n v="230000"/>
    <n v="0"/>
    <n v="230000"/>
    <n v="19.403764499041198"/>
    <n v="25000"/>
    <n v="47"/>
    <x v="97"/>
    <x v="0"/>
    <x v="0"/>
    <x v="0"/>
  </r>
  <r>
    <x v="8"/>
    <s v="ZPEP"/>
    <x v="2"/>
    <s v="WG4022"/>
    <s v="81417709"/>
    <s v="MAIPU"/>
    <x v="112"/>
    <x v="1"/>
    <x v="0"/>
    <x v="2"/>
    <x v="1"/>
    <n v="1"/>
    <n v="135326"/>
    <n v="0"/>
    <n v="135326"/>
    <n v="7.0000056899681162"/>
    <n v="4821"/>
    <n v="100"/>
    <x v="98"/>
    <x v="0"/>
    <x v="0"/>
    <x v="1"/>
  </r>
  <r>
    <x v="8"/>
    <s v="ZTAN"/>
    <x v="4"/>
    <s v="ZJ2464"/>
    <s v="1606266984"/>
    <s v="QUILLON"/>
    <x v="113"/>
    <x v="0"/>
    <x v="0"/>
    <x v="18"/>
    <x v="5"/>
    <n v="0"/>
    <n v="350000"/>
    <n v="0"/>
    <n v="350000"/>
    <n v="27.345459091193202"/>
    <n v="25000"/>
    <n v="45"/>
    <x v="99"/>
    <x v="0"/>
    <x v="0"/>
    <x v="0"/>
  </r>
  <r>
    <x v="8"/>
    <s v="ZTAN"/>
    <x v="10"/>
    <s v="SU9354"/>
    <s v="72564391"/>
    <s v="QUILICURA"/>
    <x v="114"/>
    <x v="2"/>
    <x v="1"/>
    <x v="8"/>
    <x v="1"/>
    <n v="1"/>
    <n v="33750"/>
    <n v="13907"/>
    <n v="47657"/>
    <n v="10.280432297171949"/>
    <n v="4821"/>
    <n v="96"/>
    <x v="100"/>
    <x v="0"/>
    <x v="0"/>
    <x v="1"/>
  </r>
  <r>
    <x v="8"/>
    <s v="ZTAN"/>
    <x v="10"/>
    <s v="SU9354"/>
    <s v="72564391"/>
    <s v="SANTIAGO"/>
    <x v="115"/>
    <x v="2"/>
    <x v="1"/>
    <x v="20"/>
    <x v="1"/>
    <n v="1"/>
    <n v="49463"/>
    <n v="21199"/>
    <n v="70662"/>
    <n v="9.9999999999999964"/>
    <n v="4821"/>
    <n v="100"/>
    <x v="101"/>
    <x v="0"/>
    <x v="0"/>
    <x v="1"/>
  </r>
  <r>
    <x v="8"/>
    <s v="ZTAN"/>
    <x v="10"/>
    <s v="XR6339"/>
    <s v="78907355"/>
    <s v="SANTIAGO"/>
    <x v="116"/>
    <x v="1"/>
    <x v="1"/>
    <x v="20"/>
    <x v="1"/>
    <n v="1"/>
    <n v="54298"/>
    <n v="31027"/>
    <n v="85325"/>
    <n v="11.000025783828386"/>
    <n v="4821"/>
    <n v="100"/>
    <x v="102"/>
    <x v="0"/>
    <x v="0"/>
    <x v="1"/>
  </r>
  <r>
    <x v="8"/>
    <s v="ZTAN"/>
    <x v="6"/>
    <s v="BDCH61"/>
    <s v="161268070"/>
    <s v="QUILICURA"/>
    <x v="117"/>
    <x v="1"/>
    <x v="1"/>
    <x v="8"/>
    <x v="1"/>
    <n v="1"/>
    <n v="33750"/>
    <n v="0"/>
    <n v="33750"/>
    <n v="10.7696726019529"/>
    <n v="4821"/>
    <n v="65"/>
    <x v="103"/>
    <x v="0"/>
    <x v="0"/>
    <x v="1"/>
  </r>
  <r>
    <x v="8"/>
    <s v="ZTAN"/>
    <x v="6"/>
    <s v="TP3884"/>
    <s v="99626232"/>
    <s v="SAN BERNARDO"/>
    <x v="118"/>
    <x v="1"/>
    <x v="1"/>
    <x v="4"/>
    <x v="1"/>
    <n v="4"/>
    <n v="56075"/>
    <n v="0"/>
    <n v="56075"/>
    <n v="20.593095850165259"/>
    <n v="8011"/>
    <n v="34"/>
    <x v="104"/>
    <x v="0"/>
    <x v="0"/>
    <x v="1"/>
  </r>
  <r>
    <x v="8"/>
    <s v="ZTAN"/>
    <x v="6"/>
    <s v="UA7248"/>
    <s v="107643206"/>
    <s v="LA REINA"/>
    <x v="119"/>
    <x v="1"/>
    <x v="1"/>
    <x v="11"/>
    <x v="1"/>
    <n v="3"/>
    <n v="48075"/>
    <n v="0"/>
    <n v="48075"/>
    <n v="24.878389567377354"/>
    <n v="6868"/>
    <n v="28"/>
    <x v="105"/>
    <x v="0"/>
    <x v="0"/>
    <x v="1"/>
  </r>
  <r>
    <x v="8"/>
    <s v="ZTAN"/>
    <x v="7"/>
    <s v="RK5135"/>
    <s v="138841065"/>
    <s v="MELIPILLA"/>
    <x v="120"/>
    <x v="3"/>
    <x v="1"/>
    <x v="29"/>
    <x v="1"/>
    <n v="5"/>
    <n v="90000"/>
    <n v="21358"/>
    <n v="111358"/>
    <n v="15.641464671932081"/>
    <n v="12000"/>
    <n v="59"/>
    <x v="106"/>
    <x v="0"/>
    <x v="0"/>
    <x v="1"/>
  </r>
  <r>
    <x v="8"/>
    <s v="ZTAN"/>
    <x v="8"/>
    <s v="HLBX77"/>
    <s v="16093509K"/>
    <s v="PUDAHUEL"/>
    <x v="121"/>
    <x v="1"/>
    <x v="1"/>
    <x v="10"/>
    <x v="1"/>
    <n v="1"/>
    <n v="33750"/>
    <n v="8073"/>
    <n v="41823"/>
    <n v="20.721791994292253"/>
    <n v="4821"/>
    <n v="42"/>
    <x v="107"/>
    <x v="0"/>
    <x v="0"/>
    <x v="1"/>
  </r>
  <r>
    <x v="8"/>
    <s v="ZTAN"/>
    <x v="8"/>
    <s v="SV2718"/>
    <s v="78907355"/>
    <s v="MAIPU"/>
    <x v="122"/>
    <x v="1"/>
    <x v="1"/>
    <x v="2"/>
    <x v="1"/>
    <n v="1"/>
    <n v="33750"/>
    <n v="7557"/>
    <n v="41307"/>
    <n v="21.864694766595562"/>
    <n v="4821"/>
    <n v="39"/>
    <x v="108"/>
    <x v="0"/>
    <x v="0"/>
    <x v="1"/>
  </r>
  <r>
    <x v="8"/>
    <s v="ZTAN"/>
    <x v="8"/>
    <s v="XR6339"/>
    <s v="78907355"/>
    <s v="ÑUÑOA"/>
    <x v="123"/>
    <x v="1"/>
    <x v="1"/>
    <x v="15"/>
    <x v="1"/>
    <n v="1"/>
    <n v="33750"/>
    <n v="7791"/>
    <n v="41541"/>
    <n v="21.326919325194321"/>
    <n v="4821"/>
    <n v="40"/>
    <x v="109"/>
    <x v="0"/>
    <x v="0"/>
    <x v="1"/>
  </r>
  <r>
    <x v="9"/>
    <s v="ZNL"/>
    <x v="0"/>
    <s v="CJFZ67"/>
    <n v="115812335"/>
    <s v="TALCAHUANO"/>
    <x v="104"/>
    <x v="5"/>
    <x v="0"/>
    <x v="0"/>
    <x v="0"/>
    <n v="0"/>
    <n v="380000"/>
    <n v="0"/>
    <n v="380000"/>
    <n v="19.476791864851563"/>
    <n v="25000"/>
    <n v="78"/>
    <x v="110"/>
    <x v="0"/>
    <x v="0"/>
    <x v="0"/>
  </r>
  <r>
    <x v="9"/>
    <s v="ZPEP"/>
    <x v="11"/>
    <s v="WC2233"/>
    <n v="125108660"/>
    <s v="PADRE HURTADO"/>
    <x v="124"/>
    <x v="4"/>
    <x v="1"/>
    <x v="26"/>
    <x v="1"/>
    <n v="5"/>
    <n v="70000"/>
    <n v="27649.199999999997"/>
    <n v="97649.2"/>
    <n v="10.59515646022308"/>
    <n v="12000"/>
    <n v="77"/>
    <x v="111"/>
    <x v="0"/>
    <x v="0"/>
    <x v="1"/>
  </r>
  <r>
    <x v="9"/>
    <s v="ZPEP"/>
    <x v="14"/>
    <s v="WG4022"/>
    <n v="78907355"/>
    <s v="LA PINTANA"/>
    <x v="72"/>
    <x v="1"/>
    <x v="0"/>
    <x v="31"/>
    <x v="1"/>
    <n v="4"/>
    <n v="174076"/>
    <n v="99472"/>
    <n v="273548"/>
    <n v="11"/>
    <n v="8011"/>
    <n v="100"/>
    <x v="112"/>
    <x v="0"/>
    <x v="0"/>
    <x v="1"/>
  </r>
  <r>
    <x v="9"/>
    <s v="ZTAN"/>
    <x v="17"/>
    <s v="RK5135"/>
    <n v="138841065"/>
    <s v="LAMPA"/>
    <x v="125"/>
    <x v="3"/>
    <x v="1"/>
    <x v="17"/>
    <x v="1"/>
    <n v="5"/>
    <n v="70000"/>
    <n v="39817.500000000029"/>
    <n v="109817.50000000003"/>
    <n v="8.2740629120361611"/>
    <n v="12000"/>
    <n v="100"/>
    <x v="113"/>
    <x v="0"/>
    <x v="0"/>
    <x v="1"/>
  </r>
  <r>
    <x v="9"/>
    <s v="ZTAN"/>
    <x v="10"/>
    <s v="RK5135"/>
    <n v="138841065"/>
    <s v="SANTIAGO"/>
    <x v="126"/>
    <x v="3"/>
    <x v="1"/>
    <x v="20"/>
    <x v="1"/>
    <n v="1"/>
    <n v="59094"/>
    <n v="25326"/>
    <n v="84420"/>
    <n v="10"/>
    <n v="4821"/>
    <n v="100"/>
    <x v="114"/>
    <x v="0"/>
    <x v="0"/>
    <x v="1"/>
  </r>
  <r>
    <x v="9"/>
    <s v="ZTAN"/>
    <x v="10"/>
    <s v="SU9354"/>
    <n v="72564391"/>
    <s v="SANTIAGO"/>
    <x v="127"/>
    <x v="2"/>
    <x v="1"/>
    <x v="20"/>
    <x v="1"/>
    <n v="1"/>
    <n v="49717"/>
    <n v="21307"/>
    <n v="71024"/>
    <n v="10.000000000000002"/>
    <n v="4821"/>
    <n v="100"/>
    <x v="115"/>
    <x v="0"/>
    <x v="0"/>
    <x v="1"/>
  </r>
  <r>
    <x v="9"/>
    <s v="ZTAN"/>
    <x v="6"/>
    <s v="GKRB84"/>
    <n v="122975819"/>
    <s v="VALPARAISO"/>
    <x v="128"/>
    <x v="5"/>
    <x v="0"/>
    <x v="36"/>
    <x v="2"/>
    <n v="0"/>
    <n v="230000"/>
    <n v="0"/>
    <n v="230000"/>
    <n v="47.786150742451348"/>
    <n v="25000"/>
    <n v="19"/>
    <x v="116"/>
    <x v="0"/>
    <x v="0"/>
    <x v="0"/>
  </r>
  <r>
    <x v="9"/>
    <s v="ZTAN"/>
    <x v="7"/>
    <s v="DJLF85"/>
    <n v="53173292"/>
    <s v="SAN MIGUEL"/>
    <x v="129"/>
    <x v="4"/>
    <x v="1"/>
    <x v="23"/>
    <x v="1"/>
    <n v="2"/>
    <n v="40475"/>
    <n v="15257"/>
    <n v="55732"/>
    <n v="10.958785590687432"/>
    <n v="5782"/>
    <n v="88"/>
    <x v="117"/>
    <x v="0"/>
    <x v="0"/>
    <x v="1"/>
  </r>
  <r>
    <x v="9"/>
    <s v="ZTAN"/>
    <x v="8"/>
    <s v="BDCH61"/>
    <n v="99626232"/>
    <s v="PUDAHUEL"/>
    <x v="130"/>
    <x v="1"/>
    <x v="1"/>
    <x v="10"/>
    <x v="1"/>
    <n v="1"/>
    <n v="33750"/>
    <n v="12658"/>
    <n v="46408"/>
    <n v="14.665516380517181"/>
    <n v="4821"/>
    <n v="66"/>
    <x v="118"/>
    <x v="0"/>
    <x v="0"/>
    <x v="1"/>
  </r>
  <r>
    <x v="9"/>
    <s v="ZTAN"/>
    <x v="8"/>
    <s v="DJLF85"/>
    <n v="53173292"/>
    <s v="LA REINA"/>
    <x v="131"/>
    <x v="4"/>
    <x v="1"/>
    <x v="11"/>
    <x v="1"/>
    <n v="3"/>
    <n v="48075"/>
    <n v="6038"/>
    <n v="54113"/>
    <n v="26.886844014269958"/>
    <n v="6868"/>
    <n v="29"/>
    <x v="119"/>
    <x v="0"/>
    <x v="0"/>
    <x v="1"/>
  </r>
  <r>
    <x v="9"/>
    <s v="ZTAN"/>
    <x v="8"/>
    <s v="SV2718"/>
    <n v="78907355"/>
    <s v="EL BOSQUE"/>
    <x v="132"/>
    <x v="1"/>
    <x v="1"/>
    <x v="25"/>
    <x v="1"/>
    <n v="3"/>
    <n v="48075"/>
    <n v="10778"/>
    <n v="58853"/>
    <n v="21.841900167006866"/>
    <n v="6868"/>
    <n v="39"/>
    <x v="120"/>
    <x v="0"/>
    <x v="0"/>
    <x v="1"/>
  </r>
  <r>
    <x v="9"/>
    <s v="ZTAN"/>
    <x v="8"/>
    <s v="TP3884"/>
    <n v="161268070"/>
    <s v="SAN BERNARDO"/>
    <x v="133"/>
    <x v="1"/>
    <x v="1"/>
    <x v="4"/>
    <x v="1"/>
    <n v="4"/>
    <n v="60539"/>
    <n v="34594"/>
    <n v="95133"/>
    <n v="11.000069376994588"/>
    <n v="8011"/>
    <n v="100"/>
    <x v="121"/>
    <x v="0"/>
    <x v="0"/>
    <x v="1"/>
  </r>
  <r>
    <x v="9"/>
    <s v="ZTAN"/>
    <x v="8"/>
    <s v="UA7248"/>
    <n v="107643206"/>
    <s v="PUENTE ALTO"/>
    <x v="134"/>
    <x v="1"/>
    <x v="1"/>
    <x v="30"/>
    <x v="1"/>
    <n v="4"/>
    <n v="56075"/>
    <n v="8036"/>
    <n v="64111"/>
    <n v="31.91348499178655"/>
    <n v="8011"/>
    <n v="25"/>
    <x v="122"/>
    <x v="0"/>
    <x v="0"/>
    <x v="1"/>
  </r>
  <r>
    <x v="9"/>
    <s v="ZTAN"/>
    <x v="8"/>
    <s v="WC2233"/>
    <n v="125108660"/>
    <s v="SANTIAGO"/>
    <x v="135"/>
    <x v="4"/>
    <x v="1"/>
    <x v="20"/>
    <x v="1"/>
    <n v="1"/>
    <n v="33750"/>
    <n v="6851"/>
    <n v="40601"/>
    <n v="17.779383429672446"/>
    <n v="4821"/>
    <n v="47"/>
    <x v="123"/>
    <x v="0"/>
    <x v="0"/>
    <x v="1"/>
  </r>
  <r>
    <x v="9"/>
    <s v="ZTAN"/>
    <x v="8"/>
    <s v="XR6339"/>
    <n v="81417709"/>
    <s v="LAS CONDES"/>
    <x v="136"/>
    <x v="1"/>
    <x v="1"/>
    <x v="3"/>
    <x v="1"/>
    <n v="3"/>
    <n v="48075"/>
    <n v="8647"/>
    <n v="56722"/>
    <n v="26.239290934996209"/>
    <n v="6868"/>
    <n v="31"/>
    <x v="124"/>
    <x v="0"/>
    <x v="0"/>
    <x v="1"/>
  </r>
  <r>
    <x v="10"/>
    <s v="ZPEP"/>
    <x v="3"/>
    <s v="WC2233"/>
    <s v="1251086600"/>
    <s v="LAS CONDES"/>
    <x v="137"/>
    <x v="4"/>
    <x v="1"/>
    <x v="3"/>
    <x v="1"/>
    <n v="3"/>
    <n v="92890"/>
    <n v="46550.28"/>
    <n v="139440.28"/>
    <n v="8.9864301568110871"/>
    <n v="6868"/>
    <n v="100"/>
    <x v="125"/>
    <x v="0"/>
    <x v="0"/>
    <x v="1"/>
  </r>
  <r>
    <x v="10"/>
    <s v="ZPEP"/>
    <x v="5"/>
    <s v="HLBX77"/>
    <s v="16093509K"/>
    <s v="COLINA"/>
    <x v="138"/>
    <x v="1"/>
    <x v="1"/>
    <x v="5"/>
    <x v="1"/>
    <n v="5"/>
    <n v="70000"/>
    <n v="49190.84"/>
    <n v="119190.84"/>
    <n v="9.6921166623704735"/>
    <n v="12000"/>
    <n v="100"/>
    <x v="126"/>
    <x v="0"/>
    <x v="0"/>
    <x v="1"/>
  </r>
  <r>
    <x v="10"/>
    <s v="ZPEP"/>
    <x v="12"/>
    <s v="XR6339"/>
    <s v="161268070"/>
    <s v="VITACURA"/>
    <x v="139"/>
    <x v="1"/>
    <x v="1"/>
    <x v="27"/>
    <x v="1"/>
    <n v="3"/>
    <n v="48075"/>
    <n v="16036"/>
    <n v="64111"/>
    <n v="15.991768520828137"/>
    <n v="6868"/>
    <n v="58"/>
    <x v="127"/>
    <x v="0"/>
    <x v="0"/>
    <x v="1"/>
  </r>
  <r>
    <x v="10"/>
    <s v="ZTAN"/>
    <x v="13"/>
    <s v="DP5738"/>
    <s v="35488103"/>
    <s v="SANTIAGO"/>
    <x v="140"/>
    <x v="7"/>
    <x v="1"/>
    <x v="20"/>
    <x v="1"/>
    <n v="1"/>
    <n v="33750"/>
    <n v="0"/>
    <n v="33750"/>
    <n v="10.638297872340425"/>
    <n v="4821"/>
    <n v="51"/>
    <x v="128"/>
    <x v="0"/>
    <x v="0"/>
    <x v="1"/>
  </r>
  <r>
    <x v="10"/>
    <s v="ZTAN"/>
    <x v="10"/>
    <s v="JTYB84"/>
    <s v="6270439K"/>
    <s v="TALCAHUANO"/>
    <x v="141"/>
    <x v="5"/>
    <x v="0"/>
    <x v="0"/>
    <x v="0"/>
    <n v="0"/>
    <n v="380000"/>
    <n v="0"/>
    <n v="380000"/>
    <n v="47.056142931795833"/>
    <n v="25000"/>
    <n v="32"/>
    <x v="129"/>
    <x v="0"/>
    <x v="0"/>
    <x v="0"/>
  </r>
  <r>
    <x v="10"/>
    <s v="ZTAN"/>
    <x v="6"/>
    <s v="SU9354"/>
    <s v="72564391"/>
    <s v="MAIPU"/>
    <x v="142"/>
    <x v="2"/>
    <x v="1"/>
    <x v="2"/>
    <x v="1"/>
    <n v="1"/>
    <n v="33750"/>
    <n v="0"/>
    <n v="33750"/>
    <n v="14.818099595191473"/>
    <n v="4821"/>
    <n v="47"/>
    <x v="130"/>
    <x v="0"/>
    <x v="0"/>
    <x v="1"/>
  </r>
  <r>
    <x v="10"/>
    <s v="ZTAN"/>
    <x v="7"/>
    <s v="GKRB84"/>
    <s v="122975819"/>
    <s v="QUILLON"/>
    <x v="143"/>
    <x v="5"/>
    <x v="0"/>
    <x v="18"/>
    <x v="5"/>
    <n v="0"/>
    <n v="350000"/>
    <n v="0"/>
    <n v="350000"/>
    <n v="45.103092783505154"/>
    <n v="25000"/>
    <n v="31"/>
    <x v="131"/>
    <x v="0"/>
    <x v="0"/>
    <x v="0"/>
  </r>
  <r>
    <x v="10"/>
    <s v="ZTAN"/>
    <x v="8"/>
    <s v="BDCH61"/>
    <s v="99626232"/>
    <s v="LA FLORIDA"/>
    <x v="144"/>
    <x v="1"/>
    <x v="1"/>
    <x v="33"/>
    <x v="1"/>
    <n v="3"/>
    <n v="48075"/>
    <n v="13439"/>
    <n v="61514"/>
    <n v="18.309754347949031"/>
    <n v="6868"/>
    <n v="49"/>
    <x v="132"/>
    <x v="0"/>
    <x v="0"/>
    <x v="1"/>
  </r>
  <r>
    <x v="10"/>
    <s v="ZTAN"/>
    <x v="8"/>
    <s v="DJLF85"/>
    <s v="53173292"/>
    <s v="MELIPILLA"/>
    <x v="145"/>
    <x v="4"/>
    <x v="1"/>
    <x v="29"/>
    <x v="1"/>
    <n v="5"/>
    <n v="90000"/>
    <n v="16367"/>
    <n v="106367"/>
    <n v="19.497061702416264"/>
    <n v="12000"/>
    <n v="45"/>
    <x v="133"/>
    <x v="0"/>
    <x v="0"/>
    <x v="1"/>
  </r>
  <r>
    <x v="10"/>
    <s v="ZTAN"/>
    <x v="8"/>
    <s v="SV2718"/>
    <s v="78907355"/>
    <s v="QUILICURA"/>
    <x v="146"/>
    <x v="1"/>
    <x v="1"/>
    <x v="8"/>
    <x v="1"/>
    <n v="1"/>
    <n v="35705"/>
    <n v="20403"/>
    <n v="56108"/>
    <n v="11.000145079264254"/>
    <n v="4821"/>
    <n v="100"/>
    <x v="134"/>
    <x v="0"/>
    <x v="0"/>
    <x v="1"/>
  </r>
  <r>
    <x v="10"/>
    <s v="ZTAN"/>
    <x v="8"/>
    <s v="TP3884"/>
    <s v="161268070"/>
    <s v="PUDAHUEL"/>
    <x v="147"/>
    <x v="1"/>
    <x v="1"/>
    <x v="10"/>
    <x v="1"/>
    <n v="1"/>
    <n v="43576"/>
    <n v="24901"/>
    <n v="68477"/>
    <n v="11.000073893920456"/>
    <n v="4821"/>
    <n v="100"/>
    <x v="135"/>
    <x v="0"/>
    <x v="0"/>
    <x v="1"/>
  </r>
  <r>
    <x v="10"/>
    <s v="ZTAN"/>
    <x v="8"/>
    <s v="UA7248"/>
    <s v="107643206"/>
    <s v="QUILIN"/>
    <x v="148"/>
    <x v="1"/>
    <x v="1"/>
    <x v="34"/>
    <x v="1"/>
    <n v="4"/>
    <n v="56075"/>
    <n v="7867"/>
    <n v="63942"/>
    <n v="32.511669056408067"/>
    <n v="8011"/>
    <n v="25"/>
    <x v="136"/>
    <x v="0"/>
    <x v="0"/>
    <x v="1"/>
  </r>
  <r>
    <x v="11"/>
    <s v="ZPEP"/>
    <x v="3"/>
    <s v="XR6339"/>
    <s v="78907355"/>
    <s v="LAS CONDES"/>
    <x v="149"/>
    <x v="1"/>
    <x v="1"/>
    <x v="3"/>
    <x v="1"/>
    <n v="3"/>
    <n v="48075"/>
    <n v="0"/>
    <n v="48075"/>
    <n v="14.743133671078617"/>
    <n v="6868"/>
    <n v="47"/>
    <x v="137"/>
    <x v="0"/>
    <x v="0"/>
    <x v="1"/>
  </r>
  <r>
    <x v="11"/>
    <s v="ZPEP"/>
    <x v="5"/>
    <s v="HLBX77"/>
    <s v="16093509K"/>
    <s v="COLINA"/>
    <x v="150"/>
    <x v="1"/>
    <x v="1"/>
    <x v="5"/>
    <x v="1"/>
    <n v="5"/>
    <n v="70000"/>
    <n v="0"/>
    <n v="70000"/>
    <n v="31.942758576630677"/>
    <n v="12000"/>
    <n v="18"/>
    <x v="138"/>
    <x v="0"/>
    <x v="0"/>
    <x v="1"/>
  </r>
  <r>
    <x v="11"/>
    <s v="ZPEP"/>
    <x v="2"/>
    <s v="CJFZ67"/>
    <s v="115812335"/>
    <s v="TALCA"/>
    <x v="151"/>
    <x v="5"/>
    <x v="0"/>
    <x v="12"/>
    <x v="3"/>
    <n v="0"/>
    <n v="320000"/>
    <n v="0"/>
    <n v="320000"/>
    <n v="18.985847237499883"/>
    <n v="25000"/>
    <n v="67"/>
    <x v="139"/>
    <x v="0"/>
    <x v="0"/>
    <x v="0"/>
  </r>
  <r>
    <x v="11"/>
    <s v="ZPEP"/>
    <x v="12"/>
    <s v="WG4022"/>
    <s v="81417709"/>
    <s v="VITACURA"/>
    <x v="152"/>
    <x v="1"/>
    <x v="0"/>
    <x v="27"/>
    <x v="1"/>
    <n v="3"/>
    <n v="121921"/>
    <n v="0"/>
    <n v="121921"/>
    <n v="7.0000143535862431"/>
    <n v="6868"/>
    <n v="100"/>
    <x v="140"/>
    <x v="0"/>
    <x v="0"/>
    <x v="1"/>
  </r>
  <r>
    <x v="11"/>
    <s v="ZTAN"/>
    <x v="10"/>
    <s v="RK5135"/>
    <s v="138841065"/>
    <s v="QUILICURA"/>
    <x v="153"/>
    <x v="3"/>
    <x v="1"/>
    <x v="8"/>
    <x v="1"/>
    <n v="1"/>
    <n v="42396"/>
    <n v="18170"/>
    <n v="60566"/>
    <n v="9.9999339567813195"/>
    <n v="4821"/>
    <n v="100"/>
    <x v="141"/>
    <x v="0"/>
    <x v="0"/>
    <x v="1"/>
  </r>
  <r>
    <x v="11"/>
    <s v="ZTAN"/>
    <x v="6"/>
    <s v="NK5991"/>
    <s v="78778555"/>
    <s v="CALAMA"/>
    <x v="154"/>
    <x v="0"/>
    <x v="0"/>
    <x v="37"/>
    <x v="7"/>
    <n v="0"/>
    <n v="1700000"/>
    <n v="0"/>
    <n v="1700000"/>
    <n v="186.69419490873949"/>
    <n v="25000"/>
    <n v="28"/>
    <x v="142"/>
    <x v="0"/>
    <x v="0"/>
    <x v="0"/>
  </r>
  <r>
    <x v="11"/>
    <s v="ZTAN"/>
    <x v="6"/>
    <s v="VJ8408"/>
    <s v="83259353"/>
    <s v="LOS ANDES"/>
    <x v="155"/>
    <x v="0"/>
    <x v="0"/>
    <x v="38"/>
    <x v="2"/>
    <n v="0"/>
    <n v="230000"/>
    <n v="0"/>
    <n v="230000"/>
    <n v="21.9350113299102"/>
    <n v="25000"/>
    <n v="42"/>
    <x v="143"/>
    <x v="0"/>
    <x v="0"/>
    <x v="0"/>
  </r>
  <r>
    <x v="11"/>
    <s v="ZTAN"/>
    <x v="7"/>
    <s v="BDCH61"/>
    <s v="161268070"/>
    <s v="SAN MIGUEL"/>
    <x v="156"/>
    <x v="1"/>
    <x v="1"/>
    <x v="23"/>
    <x v="1"/>
    <n v="2"/>
    <n v="46164"/>
    <n v="26380"/>
    <n v="72544"/>
    <n v="11.00001516323219"/>
    <n v="5782"/>
    <n v="100"/>
    <x v="144"/>
    <x v="0"/>
    <x v="0"/>
    <x v="1"/>
  </r>
  <r>
    <x v="11"/>
    <s v="ZTAN"/>
    <x v="7"/>
    <s v="DTCY42"/>
    <s v="92028607"/>
    <s v="CABRERO"/>
    <x v="157"/>
    <x v="5"/>
    <x v="0"/>
    <x v="39"/>
    <x v="0"/>
    <n v="0"/>
    <n v="390000"/>
    <n v="0"/>
    <n v="390000"/>
    <n v="24.545591863450984"/>
    <n v="25000"/>
    <n v="54"/>
    <x v="145"/>
    <x v="0"/>
    <x v="0"/>
    <x v="0"/>
  </r>
  <r>
    <x v="11"/>
    <s v="ZTAN"/>
    <x v="7"/>
    <s v="WC2233"/>
    <s v="53173292"/>
    <s v="SAN MIGUEL"/>
    <x v="158"/>
    <x v="4"/>
    <x v="1"/>
    <x v="23"/>
    <x v="1"/>
    <n v="2"/>
    <n v="44373"/>
    <n v="19017"/>
    <n v="63390"/>
    <n v="10.000000000000002"/>
    <n v="5782"/>
    <n v="100"/>
    <x v="146"/>
    <x v="0"/>
    <x v="0"/>
    <x v="1"/>
  </r>
  <r>
    <x v="11"/>
    <s v="ZTAN"/>
    <x v="8"/>
    <s v="BDCH61"/>
    <s v="99626232"/>
    <s v="ÑUÑOA"/>
    <x v="159"/>
    <x v="1"/>
    <x v="1"/>
    <x v="15"/>
    <x v="1"/>
    <n v="1"/>
    <n v="33750"/>
    <n v="15286"/>
    <n v="49036"/>
    <n v="12.831577046769469"/>
    <n v="4821"/>
    <n v="79"/>
    <x v="147"/>
    <x v="0"/>
    <x v="0"/>
    <x v="1"/>
  </r>
  <r>
    <x v="11"/>
    <s v="ZTAN"/>
    <x v="8"/>
    <s v="SV2718"/>
    <s v="78907355"/>
    <s v="CERRILLOS"/>
    <x v="160"/>
    <x v="1"/>
    <x v="1"/>
    <x v="9"/>
    <x v="1"/>
    <n v="2"/>
    <n v="40475"/>
    <n v="11779"/>
    <n v="52254"/>
    <n v="17.745041107613314"/>
    <n v="5782"/>
    <n v="51"/>
    <x v="148"/>
    <x v="0"/>
    <x v="0"/>
    <x v="1"/>
  </r>
  <r>
    <x v="11"/>
    <s v="ZTAN"/>
    <x v="8"/>
    <s v="TP3884"/>
    <s v="161268070"/>
    <s v="PUDAHUEL"/>
    <x v="161"/>
    <x v="1"/>
    <x v="1"/>
    <x v="10"/>
    <x v="1"/>
    <n v="1"/>
    <n v="52664"/>
    <n v="30094"/>
    <n v="82758"/>
    <n v="11.000065130040763"/>
    <n v="4821"/>
    <n v="100"/>
    <x v="149"/>
    <x v="0"/>
    <x v="0"/>
    <x v="1"/>
  </r>
  <r>
    <x v="11"/>
    <s v="ZTAN"/>
    <x v="8"/>
    <s v="UA7248"/>
    <s v="107643206"/>
    <s v="SAN MIGUEL"/>
    <x v="162"/>
    <x v="1"/>
    <x v="1"/>
    <x v="23"/>
    <x v="1"/>
    <n v="2"/>
    <n v="40475"/>
    <n v="6581"/>
    <n v="47056"/>
    <n v="28.60025527259468"/>
    <n v="5782"/>
    <n v="28"/>
    <x v="150"/>
    <x v="0"/>
    <x v="0"/>
    <x v="1"/>
  </r>
  <r>
    <x v="12"/>
    <s v="ZNL"/>
    <x v="0"/>
    <s v="BWPL69"/>
    <s v="78551976"/>
    <s v="TALCAHUANO"/>
    <x v="163"/>
    <x v="5"/>
    <x v="0"/>
    <x v="0"/>
    <x v="0"/>
    <n v="0"/>
    <n v="380000"/>
    <n v="0"/>
    <n v="380000"/>
    <n v="19.509991169161879"/>
    <n v="25000"/>
    <n v="78"/>
    <x v="151"/>
    <x v="0"/>
    <x v="0"/>
    <x v="0"/>
  </r>
  <r>
    <x v="12"/>
    <s v="ZNL"/>
    <x v="0"/>
    <s v="CJFZ69"/>
    <s v="174967806"/>
    <s v="TALCAHUANO"/>
    <x v="164"/>
    <x v="5"/>
    <x v="0"/>
    <x v="0"/>
    <x v="0"/>
    <n v="0"/>
    <n v="380000"/>
    <n v="0"/>
    <n v="380000"/>
    <n v="20.702580195258019"/>
    <n v="25000"/>
    <n v="73"/>
    <x v="152"/>
    <x v="0"/>
    <x v="0"/>
    <x v="0"/>
  </r>
  <r>
    <x v="12"/>
    <s v="ZPEP"/>
    <x v="2"/>
    <s v="JTYB84"/>
    <s v="6270439K"/>
    <s v="TEMUCO"/>
    <x v="165"/>
    <x v="5"/>
    <x v="0"/>
    <x v="14"/>
    <x v="4"/>
    <n v="0"/>
    <n v="620000"/>
    <n v="0"/>
    <n v="620000"/>
    <n v="33.812599665364338"/>
    <n v="25000"/>
    <n v="73"/>
    <x v="153"/>
    <x v="0"/>
    <x v="0"/>
    <x v="0"/>
  </r>
  <r>
    <x v="12"/>
    <s v="ZPEP"/>
    <x v="18"/>
    <s v="HLBX77"/>
    <s v="16093509K"/>
    <s v="CARTAGENA"/>
    <x v="166"/>
    <x v="1"/>
    <x v="1"/>
    <x v="40"/>
    <x v="2"/>
    <n v="0"/>
    <n v="230000"/>
    <n v="39829.039999999994"/>
    <n v="269829.03999999998"/>
    <n v="27.098723946145828"/>
    <n v="25000"/>
    <n v="40"/>
    <x v="154"/>
    <x v="0"/>
    <x v="0"/>
    <x v="0"/>
  </r>
  <r>
    <x v="12"/>
    <s v="ZPEP"/>
    <x v="18"/>
    <s v="PN4466"/>
    <s v="81417709"/>
    <s v="CARTAGENA"/>
    <x v="167"/>
    <x v="1"/>
    <x v="0"/>
    <x v="40"/>
    <x v="2"/>
    <n v="0"/>
    <n v="230000"/>
    <n v="48106.44"/>
    <n v="278106.44"/>
    <n v="23.124258623169787"/>
    <n v="25000"/>
    <n v="48"/>
    <x v="155"/>
    <x v="0"/>
    <x v="0"/>
    <x v="0"/>
  </r>
  <r>
    <x v="12"/>
    <s v="ZTAN"/>
    <x v="17"/>
    <s v="RK5135"/>
    <s v="138841065"/>
    <s v="LAMPA"/>
    <x v="168"/>
    <x v="3"/>
    <x v="1"/>
    <x v="17"/>
    <x v="1"/>
    <n v="5"/>
    <n v="70000"/>
    <n v="41410.199999999997"/>
    <n v="111410.2"/>
    <n v="10.761619117995084"/>
    <n v="12000"/>
    <n v="86"/>
    <x v="156"/>
    <x v="0"/>
    <x v="0"/>
    <x v="1"/>
  </r>
  <r>
    <x v="12"/>
    <s v="ZTAN"/>
    <x v="3"/>
    <s v="DJLF85"/>
    <s v="53173292"/>
    <s v="LAS CONDES"/>
    <x v="169"/>
    <x v="4"/>
    <x v="1"/>
    <x v="3"/>
    <x v="1"/>
    <n v="3"/>
    <n v="102782"/>
    <n v="58732.800000000003"/>
    <n v="161514.79999999999"/>
    <n v="10.99997275798191"/>
    <n v="6868"/>
    <n v="100"/>
    <x v="157"/>
    <x v="0"/>
    <x v="0"/>
    <x v="1"/>
  </r>
  <r>
    <x v="12"/>
    <s v="ZTAN"/>
    <x v="3"/>
    <s v="SU9354"/>
    <s v="72564391"/>
    <s v="LAS CONDES"/>
    <x v="170"/>
    <x v="2"/>
    <x v="1"/>
    <x v="3"/>
    <x v="1"/>
    <n v="3"/>
    <n v="93940"/>
    <n v="53680"/>
    <n v="147620"/>
    <n v="11"/>
    <n v="6868"/>
    <n v="100"/>
    <x v="158"/>
    <x v="0"/>
    <x v="0"/>
    <x v="1"/>
  </r>
  <r>
    <x v="12"/>
    <s v="ZTAN"/>
    <x v="19"/>
    <s v="DP5738"/>
    <s v="35488103"/>
    <s v="SANTIAGO"/>
    <x v="171"/>
    <x v="7"/>
    <x v="1"/>
    <x v="20"/>
    <x v="1"/>
    <n v="1"/>
    <n v="33750"/>
    <n v="0"/>
    <n v="33750"/>
    <n v="161.04250567823945"/>
    <n v="4821"/>
    <n v="4"/>
    <x v="159"/>
    <x v="0"/>
    <x v="0"/>
    <x v="1"/>
  </r>
  <r>
    <x v="12"/>
    <s v="ZTAN"/>
    <x v="12"/>
    <s v="WG4022"/>
    <s v="125108660"/>
    <s v="VITACURA"/>
    <x v="172"/>
    <x v="1"/>
    <x v="0"/>
    <x v="27"/>
    <x v="1"/>
    <n v="3"/>
    <n v="66809"/>
    <n v="38176.32"/>
    <n v="104985.32"/>
    <n v="11.000046101876766"/>
    <n v="6868"/>
    <n v="100"/>
    <x v="160"/>
    <x v="0"/>
    <x v="0"/>
    <x v="1"/>
  </r>
  <r>
    <x v="12"/>
    <s v="ZTAN"/>
    <x v="12"/>
    <s v="XR6339"/>
    <s v="161268070"/>
    <s v="VITACURA"/>
    <x v="173"/>
    <x v="1"/>
    <x v="1"/>
    <x v="27"/>
    <x v="1"/>
    <n v="3"/>
    <n v="61669"/>
    <n v="35239.68"/>
    <n v="96908.68"/>
    <n v="10.99995005630017"/>
    <n v="6868"/>
    <n v="100"/>
    <x v="161"/>
    <x v="0"/>
    <x v="0"/>
    <x v="1"/>
  </r>
  <r>
    <x v="12"/>
    <s v="ZTAN"/>
    <x v="20"/>
    <s v="UA7248"/>
    <s v="107643206"/>
    <s v="II REGION"/>
    <x v="174"/>
    <x v="1"/>
    <x v="1"/>
    <x v="17"/>
    <x v="1"/>
    <n v="5"/>
    <n v="70000"/>
    <n v="11110.4"/>
    <n v="81110.399999999994"/>
    <n v="29.201612903225804"/>
    <n v="12000"/>
    <n v="23"/>
    <x v="162"/>
    <x v="0"/>
    <x v="0"/>
    <x v="1"/>
  </r>
  <r>
    <x v="12"/>
    <s v="ZTAN"/>
    <x v="8"/>
    <s v="BDCH61"/>
    <s v="81417709"/>
    <s v="SAN BERNARDO"/>
    <x v="175"/>
    <x v="1"/>
    <x v="1"/>
    <x v="4"/>
    <x v="1"/>
    <n v="4"/>
    <n v="56075"/>
    <n v="17354"/>
    <n v="73429"/>
    <n v="16.92458396717835"/>
    <n v="8011"/>
    <n v="54"/>
    <x v="163"/>
    <x v="0"/>
    <x v="0"/>
    <x v="1"/>
  </r>
  <r>
    <x v="12"/>
    <s v="ZTAN"/>
    <x v="8"/>
    <s v="SV2718"/>
    <s v="99626232"/>
    <s v="ÑUÑOA"/>
    <x v="176"/>
    <x v="1"/>
    <x v="1"/>
    <x v="15"/>
    <x v="1"/>
    <n v="1"/>
    <n v="33750"/>
    <n v="13523"/>
    <n v="47273"/>
    <n v="13.983198745821872"/>
    <n v="4821"/>
    <n v="70"/>
    <x v="164"/>
    <x v="0"/>
    <x v="0"/>
    <x v="1"/>
  </r>
  <r>
    <x v="12"/>
    <s v="ZTAN"/>
    <x v="8"/>
    <s v="TP3884"/>
    <s v="78907355"/>
    <s v="PUDAHUEL"/>
    <x v="177"/>
    <x v="1"/>
    <x v="1"/>
    <x v="10"/>
    <x v="1"/>
    <n v="1"/>
    <n v="33750"/>
    <n v="11305"/>
    <n v="45055"/>
    <n v="15.941336730000353"/>
    <n v="4821"/>
    <n v="59"/>
    <x v="165"/>
    <x v="0"/>
    <x v="0"/>
    <x v="1"/>
  </r>
  <r>
    <x v="12"/>
    <s v="ZTAN"/>
    <x v="8"/>
    <s v="UA7248"/>
    <s v="107643206"/>
    <s v="REÑACA"/>
    <x v="178"/>
    <x v="1"/>
    <x v="1"/>
    <x v="6"/>
    <x v="2"/>
    <n v="0"/>
    <n v="180000"/>
    <n v="0"/>
    <n v="180000"/>
    <n v="56.279898696182343"/>
    <n v="25000"/>
    <n v="13"/>
    <x v="166"/>
    <x v="0"/>
    <x v="0"/>
    <x v="0"/>
  </r>
  <r>
    <x v="12"/>
    <s v="ZTAN"/>
    <x v="8"/>
    <s v="XR6339"/>
    <s v="161268070"/>
    <s v="LAS CONDES"/>
    <x v="179"/>
    <x v="1"/>
    <x v="1"/>
    <x v="3"/>
    <x v="1"/>
    <n v="3"/>
    <n v="48075"/>
    <n v="7363"/>
    <n v="55438"/>
    <n v="30.11625380269448"/>
    <n v="6868"/>
    <n v="27"/>
    <x v="167"/>
    <x v="0"/>
    <x v="0"/>
    <x v="1"/>
  </r>
  <r>
    <x v="13"/>
    <s v="ZNL"/>
    <x v="0"/>
    <s v="DBJH91"/>
    <s v="105192567"/>
    <s v="TALCAHUANO"/>
    <x v="180"/>
    <x v="0"/>
    <x v="0"/>
    <x v="0"/>
    <x v="0"/>
    <n v="0"/>
    <n v="380000"/>
    <n v="0"/>
    <n v="380000"/>
    <n v="15.103218575369016"/>
    <n v="25000"/>
    <n v="100"/>
    <x v="168"/>
    <x v="0"/>
    <x v="0"/>
    <x v="0"/>
  </r>
  <r>
    <x v="13"/>
    <s v="ZPEP"/>
    <x v="3"/>
    <s v="SU9354"/>
    <s v="72564391"/>
    <s v="LAS CONDES"/>
    <x v="181"/>
    <x v="2"/>
    <x v="1"/>
    <x v="3"/>
    <x v="1"/>
    <n v="3"/>
    <n v="74184"/>
    <n v="31793.19"/>
    <n v="105977.19"/>
    <n v="9.9999896204187131"/>
    <n v="6868"/>
    <n v="100"/>
    <x v="169"/>
    <x v="0"/>
    <x v="0"/>
    <x v="1"/>
  </r>
  <r>
    <x v="13"/>
    <s v="ZPEP"/>
    <x v="3"/>
    <s v="WC2233"/>
    <s v="125108660"/>
    <s v="LAS CONDES"/>
    <x v="182"/>
    <x v="4"/>
    <x v="1"/>
    <x v="3"/>
    <x v="1"/>
    <n v="3"/>
    <n v="58621"/>
    <n v="25123.29"/>
    <n v="83744.290000000008"/>
    <n v="9.9999988058888789"/>
    <n v="6868"/>
    <n v="100"/>
    <x v="170"/>
    <x v="0"/>
    <x v="0"/>
    <x v="1"/>
  </r>
  <r>
    <x v="13"/>
    <s v="ZPEP"/>
    <x v="5"/>
    <s v="HLBX77"/>
    <s v="16093509K"/>
    <s v="LAMPA"/>
    <x v="183"/>
    <x v="1"/>
    <x v="1"/>
    <x v="17"/>
    <x v="1"/>
    <n v="5"/>
    <n v="70000"/>
    <n v="48578.92"/>
    <n v="118578.92"/>
    <n v="9.7638168983583835"/>
    <n v="12000"/>
    <n v="100"/>
    <x v="171"/>
    <x v="0"/>
    <x v="0"/>
    <x v="1"/>
  </r>
  <r>
    <x v="13"/>
    <s v="ZPEP"/>
    <x v="5"/>
    <s v="WC2233"/>
    <s v="125108660"/>
    <s v="LAMPA"/>
    <x v="184"/>
    <x v="4"/>
    <x v="1"/>
    <x v="17"/>
    <x v="1"/>
    <n v="5"/>
    <n v="70000"/>
    <n v="32564.879999999997"/>
    <n v="102564.88"/>
    <n v="9.4486649421094153"/>
    <n v="12000"/>
    <n v="90"/>
    <x v="172"/>
    <x v="0"/>
    <x v="0"/>
    <x v="1"/>
  </r>
  <r>
    <x v="13"/>
    <s v="ZPEP"/>
    <x v="2"/>
    <s v="GKRB84"/>
    <s v="122975819"/>
    <s v="TALCA"/>
    <x v="185"/>
    <x v="5"/>
    <x v="0"/>
    <x v="12"/>
    <x v="3"/>
    <n v="0"/>
    <n v="320000"/>
    <n v="0"/>
    <n v="320000"/>
    <n v="22.584993683259579"/>
    <n v="25000"/>
    <n v="57"/>
    <x v="173"/>
    <x v="0"/>
    <x v="0"/>
    <x v="0"/>
  </r>
  <r>
    <x v="13"/>
    <s v="ZPEP"/>
    <x v="14"/>
    <s v="PN4466"/>
    <s v="81417709"/>
    <s v="LA PINTANA"/>
    <x v="186"/>
    <x v="1"/>
    <x v="0"/>
    <x v="31"/>
    <x v="1"/>
    <n v="4"/>
    <n v="179390"/>
    <n v="76881.600000000006"/>
    <n v="256271.6"/>
    <n v="9.9999843915839417"/>
    <n v="8011"/>
    <n v="100"/>
    <x v="174"/>
    <x v="0"/>
    <x v="0"/>
    <x v="1"/>
  </r>
  <r>
    <x v="13"/>
    <s v="ZTAN"/>
    <x v="4"/>
    <s v="TW7053"/>
    <s v="172861164"/>
    <s v="SAN BERNARDO"/>
    <x v="187"/>
    <x v="6"/>
    <x v="1"/>
    <x v="4"/>
    <x v="1"/>
    <n v="4"/>
    <n v="157557"/>
    <n v="67524.600000000035"/>
    <n v="225081.60000000003"/>
    <n v="9.9999822286988707"/>
    <n v="8011"/>
    <n v="100"/>
    <x v="175"/>
    <x v="0"/>
    <x v="0"/>
    <x v="1"/>
  </r>
  <r>
    <x v="13"/>
    <s v="ZTAN"/>
    <x v="21"/>
    <s v="RK5135"/>
    <s v="138841065"/>
    <s v="LA REINA"/>
    <x v="188"/>
    <x v="3"/>
    <x v="1"/>
    <x v="11"/>
    <x v="1"/>
    <n v="3"/>
    <n v="48075"/>
    <n v="8910"/>
    <n v="56985"/>
    <n v="19.186868686868689"/>
    <n v="6868"/>
    <n v="43"/>
    <x v="176"/>
    <x v="0"/>
    <x v="0"/>
    <x v="1"/>
  </r>
  <r>
    <x v="13"/>
    <s v="ZTAN"/>
    <x v="12"/>
    <s v="DJLF85"/>
    <s v="53173292"/>
    <s v="VITACURA"/>
    <x v="189"/>
    <x v="4"/>
    <x v="1"/>
    <x v="27"/>
    <x v="1"/>
    <n v="3"/>
    <n v="58330"/>
    <n v="24998.399999999994"/>
    <n v="83328.399999999994"/>
    <n v="10.000048003072198"/>
    <n v="6868"/>
    <n v="100"/>
    <x v="177"/>
    <x v="0"/>
    <x v="0"/>
    <x v="1"/>
  </r>
  <r>
    <x v="13"/>
    <s v="ZTAN"/>
    <x v="22"/>
    <s v="SV2718"/>
    <s v="99626232"/>
    <s v="SAN BERNARDO"/>
    <x v="190"/>
    <x v="1"/>
    <x v="1"/>
    <x v="4"/>
    <x v="1"/>
    <n v="4"/>
    <n v="56075"/>
    <n v="17888"/>
    <n v="73963"/>
    <n v="16.53913237924866"/>
    <n v="8011"/>
    <n v="56"/>
    <x v="178"/>
    <x v="0"/>
    <x v="0"/>
    <x v="1"/>
  </r>
  <r>
    <x v="13"/>
    <s v="ZTAN"/>
    <x v="7"/>
    <s v="VJ8408"/>
    <s v="83259353"/>
    <s v="CHILLAN"/>
    <x v="191"/>
    <x v="0"/>
    <x v="0"/>
    <x v="21"/>
    <x v="5"/>
    <n v="0"/>
    <n v="350000"/>
    <n v="0"/>
    <n v="350000"/>
    <n v="17.53823334870016"/>
    <n v="25000"/>
    <n v="80"/>
    <x v="179"/>
    <x v="0"/>
    <x v="0"/>
    <x v="0"/>
  </r>
  <r>
    <x v="13"/>
    <s v="ZTAN"/>
    <x v="8"/>
    <s v="BDCH61"/>
    <s v="161268070"/>
    <s v="MAIPU"/>
    <x v="192"/>
    <x v="1"/>
    <x v="1"/>
    <x v="2"/>
    <x v="1"/>
    <n v="2"/>
    <n v="48904"/>
    <n v="27945"/>
    <n v="76849"/>
    <n v="11.000051529864422"/>
    <n v="5782"/>
    <n v="100"/>
    <x v="180"/>
    <x v="0"/>
    <x v="0"/>
    <x v="1"/>
  </r>
  <r>
    <x v="13"/>
    <s v="ZTAN"/>
    <x v="8"/>
    <s v="SU2718"/>
    <s v="81417709"/>
    <s v="ÑUÑOA"/>
    <x v="193"/>
    <x v="0"/>
    <x v="0"/>
    <x v="15"/>
    <x v="1"/>
    <n v="1"/>
    <n v="33750"/>
    <n v="6202"/>
    <n v="39952"/>
    <n v="19.326438405201191"/>
    <n v="4821"/>
    <n v="43"/>
    <x v="181"/>
    <x v="0"/>
    <x v="0"/>
    <x v="1"/>
  </r>
  <r>
    <x v="13"/>
    <s v="ZTAN"/>
    <x v="8"/>
    <s v="TP3884"/>
    <s v="78907355"/>
    <s v="PUDAHUEL"/>
    <x v="194"/>
    <x v="1"/>
    <x v="1"/>
    <x v="10"/>
    <x v="1"/>
    <n v="1"/>
    <n v="56152"/>
    <n v="32087"/>
    <n v="88239"/>
    <n v="11.000037398556413"/>
    <n v="4821"/>
    <n v="100"/>
    <x v="182"/>
    <x v="0"/>
    <x v="0"/>
    <x v="1"/>
  </r>
  <r>
    <x v="13"/>
    <s v="ZTAN"/>
    <x v="8"/>
    <s v="UA7248"/>
    <s v="107643206"/>
    <s v="LA REINA"/>
    <x v="195"/>
    <x v="1"/>
    <x v="1"/>
    <x v="11"/>
    <x v="1"/>
    <n v="3"/>
    <n v="48075"/>
    <n v="25630"/>
    <n v="73705"/>
    <n v="11.502746738248332"/>
    <n v="6868"/>
    <n v="93"/>
    <x v="183"/>
    <x v="0"/>
    <x v="0"/>
    <x v="1"/>
  </r>
  <r>
    <x v="14"/>
    <s v="ZPEP"/>
    <x v="1"/>
    <s v="HLBX77"/>
    <s v="16093509K"/>
    <s v="ISLA DE MAIPO"/>
    <x v="196"/>
    <x v="1"/>
    <x v="1"/>
    <x v="1"/>
    <x v="1"/>
    <n v="5"/>
    <n v="90000"/>
    <n v="45246.32"/>
    <n v="135246.32"/>
    <n v="11.956448170812566"/>
    <n v="12000"/>
    <n v="94"/>
    <x v="184"/>
    <x v="0"/>
    <x v="0"/>
    <x v="1"/>
  </r>
  <r>
    <x v="14"/>
    <s v="ZPEP"/>
    <x v="1"/>
    <s v="RK5135"/>
    <s v="138841065"/>
    <s v="ISLA DE MAIPO"/>
    <x v="197"/>
    <x v="3"/>
    <x v="1"/>
    <x v="1"/>
    <x v="1"/>
    <n v="5"/>
    <n v="90000"/>
    <n v="28627.119999999999"/>
    <n v="118627.12"/>
    <n v="16.57548785906511"/>
    <n v="12000"/>
    <n v="60"/>
    <x v="185"/>
    <x v="0"/>
    <x v="0"/>
    <x v="1"/>
  </r>
  <r>
    <x v="14"/>
    <s v="ZPEP"/>
    <x v="5"/>
    <s v="PN4466"/>
    <s v="81417709"/>
    <s v="SAN FELIPE"/>
    <x v="198"/>
    <x v="1"/>
    <x v="0"/>
    <x v="35"/>
    <x v="2"/>
    <n v="0"/>
    <n v="230000"/>
    <n v="22881.51999999999"/>
    <n v="252881.52"/>
    <n v="44.207119107471897"/>
    <n v="25000"/>
    <n v="23"/>
    <x v="186"/>
    <x v="0"/>
    <x v="0"/>
    <x v="0"/>
  </r>
  <r>
    <x v="14"/>
    <s v="ZTAN"/>
    <x v="4"/>
    <s v="DJLF85"/>
    <s v="53173292"/>
    <s v="SAN BERNARDO"/>
    <x v="199"/>
    <x v="4"/>
    <x v="1"/>
    <x v="4"/>
    <x v="1"/>
    <n v="4"/>
    <n v="71417"/>
    <n v="40809.599999999999"/>
    <n v="112226.6"/>
    <n v="11.000019603230614"/>
    <n v="8011"/>
    <n v="100"/>
    <x v="187"/>
    <x v="0"/>
    <x v="0"/>
    <x v="1"/>
  </r>
  <r>
    <x v="14"/>
    <s v="ZTAN"/>
    <x v="4"/>
    <s v="RJ6819"/>
    <s v="94742285"/>
    <s v="PAINE"/>
    <x v="200"/>
    <x v="5"/>
    <x v="0"/>
    <x v="13"/>
    <x v="1"/>
    <n v="5"/>
    <n v="120000"/>
    <n v="0"/>
    <n v="120000"/>
    <n v="5.5922156358349158"/>
    <n v="12000"/>
    <n v="100"/>
    <x v="188"/>
    <x v="0"/>
    <x v="0"/>
    <x v="1"/>
  </r>
  <r>
    <x v="14"/>
    <s v="ZTAN"/>
    <x v="4"/>
    <s v="SU9354"/>
    <s v="72564391"/>
    <s v="SAN BERNARDO"/>
    <x v="201"/>
    <x v="2"/>
    <x v="1"/>
    <x v="4"/>
    <x v="1"/>
    <n v="4"/>
    <n v="56075"/>
    <n v="0"/>
    <n v="56075"/>
    <n v="5.4962557829530301"/>
    <n v="8011"/>
    <n v="42"/>
    <x v="189"/>
    <x v="0"/>
    <x v="0"/>
    <x v="1"/>
  </r>
  <r>
    <x v="14"/>
    <s v="ZTAN"/>
    <x v="10"/>
    <s v="BDCH61"/>
    <s v="161268070"/>
    <s v="SANTIAGO"/>
    <x v="202"/>
    <x v="1"/>
    <x v="1"/>
    <x v="20"/>
    <x v="1"/>
    <n v="1"/>
    <n v="52063"/>
    <n v="29750"/>
    <n v="81813"/>
    <n v="10.999919328815745"/>
    <n v="4821"/>
    <n v="100"/>
    <x v="190"/>
    <x v="0"/>
    <x v="0"/>
    <x v="1"/>
  </r>
  <r>
    <x v="14"/>
    <s v="ZTAN"/>
    <x v="10"/>
    <s v="TP3884"/>
    <s v="99626232"/>
    <s v="SANTIAGO"/>
    <x v="203"/>
    <x v="1"/>
    <x v="1"/>
    <x v="20"/>
    <x v="1"/>
    <n v="1"/>
    <n v="61620"/>
    <n v="35211"/>
    <n v="96831"/>
    <n v="11.000022720043626"/>
    <n v="4821"/>
    <n v="100"/>
    <x v="191"/>
    <x v="0"/>
    <x v="0"/>
    <x v="1"/>
  </r>
  <r>
    <x v="14"/>
    <s v="ZTAN"/>
    <x v="6"/>
    <s v="XR6339"/>
    <s v="78907355"/>
    <s v="LA DEHESA"/>
    <x v="204"/>
    <x v="1"/>
    <x v="1"/>
    <x v="41"/>
    <x v="1"/>
    <n v="4"/>
    <n v="56075"/>
    <n v="28004.799999999992"/>
    <n v="84079.799999999988"/>
    <n v="12.009341255784724"/>
    <n v="8011"/>
    <n v="87"/>
    <x v="192"/>
    <x v="0"/>
    <x v="0"/>
    <x v="1"/>
  </r>
  <r>
    <x v="14"/>
    <s v="ZTAN"/>
    <x v="7"/>
    <s v="WC2233"/>
    <s v="125108660"/>
    <s v="MELIPILLA"/>
    <x v="205"/>
    <x v="4"/>
    <x v="1"/>
    <x v="29"/>
    <x v="1"/>
    <n v="5"/>
    <n v="90000"/>
    <n v="33130"/>
    <n v="123130"/>
    <n v="11.149847870182555"/>
    <n v="12000"/>
    <n v="92"/>
    <x v="193"/>
    <x v="0"/>
    <x v="0"/>
    <x v="1"/>
  </r>
  <r>
    <x v="14"/>
    <s v="ZTAN"/>
    <x v="8"/>
    <s v="BDCH61"/>
    <s v="161268070"/>
    <s v="QUILIN"/>
    <x v="206"/>
    <x v="1"/>
    <x v="1"/>
    <x v="34"/>
    <x v="1"/>
    <n v="4"/>
    <n v="56075"/>
    <n v="30501"/>
    <n v="86576"/>
    <n v="11.353931700152129"/>
    <n v="8011"/>
    <n v="95"/>
    <x v="194"/>
    <x v="0"/>
    <x v="0"/>
    <x v="1"/>
  </r>
  <r>
    <x v="14"/>
    <s v="ZTAN"/>
    <x v="8"/>
    <s v="SV2718"/>
    <s v="78907355"/>
    <s v="LAS CONDES"/>
    <x v="207"/>
    <x v="1"/>
    <x v="1"/>
    <x v="3"/>
    <x v="1"/>
    <n v="3"/>
    <n v="48075"/>
    <n v="8562"/>
    <n v="56637"/>
    <n v="26.458469587965993"/>
    <n v="6868"/>
    <n v="31"/>
    <x v="195"/>
    <x v="0"/>
    <x v="0"/>
    <x v="1"/>
  </r>
  <r>
    <x v="14"/>
    <s v="ZTAN"/>
    <x v="8"/>
    <s v="TP3884"/>
    <s v="99626232"/>
    <s v="PUDAHUEL"/>
    <x v="208"/>
    <x v="1"/>
    <x v="1"/>
    <x v="10"/>
    <x v="1"/>
    <n v="1"/>
    <n v="33750"/>
    <n v="11562"/>
    <n v="45312"/>
    <n v="15.676722944921117"/>
    <n v="4821"/>
    <n v="60"/>
    <x v="196"/>
    <x v="0"/>
    <x v="0"/>
    <x v="1"/>
  </r>
  <r>
    <x v="14"/>
    <s v="ZTAN"/>
    <x v="8"/>
    <s v="UA7248"/>
    <s v="UA7248"/>
    <s v="SAN BERNARDO"/>
    <x v="209"/>
    <x v="1"/>
    <x v="1"/>
    <x v="4"/>
    <x v="1"/>
    <n v="4"/>
    <n v="56075"/>
    <n v="7742"/>
    <n v="63817"/>
    <n v="32.973545520305876"/>
    <n v="8011"/>
    <n v="24"/>
    <x v="197"/>
    <x v="0"/>
    <x v="0"/>
    <x v="1"/>
  </r>
  <r>
    <x v="15"/>
    <s v="ZNL"/>
    <x v="0"/>
    <s v="CJXX49"/>
    <s v="1678332741"/>
    <s v="TALCAHUANO"/>
    <x v="210"/>
    <x v="5"/>
    <x v="0"/>
    <x v="0"/>
    <x v="0"/>
    <n v="0"/>
    <n v="380000"/>
    <n v="0"/>
    <n v="380000"/>
    <n v="47.440699126092369"/>
    <n v="25000"/>
    <n v="32"/>
    <x v="198"/>
    <x v="0"/>
    <x v="0"/>
    <x v="0"/>
  </r>
  <r>
    <x v="15"/>
    <s v="ZPEP"/>
    <x v="3"/>
    <s v="HLBX77"/>
    <s v="16093509K"/>
    <s v="LAS CONDES"/>
    <x v="211"/>
    <x v="1"/>
    <x v="1"/>
    <x v="3"/>
    <x v="1"/>
    <n v="3"/>
    <n v="67440"/>
    <n v="38537.200000000012"/>
    <n v="105977.20000000001"/>
    <n v="10.99998962041871"/>
    <n v="6868"/>
    <n v="100"/>
    <x v="199"/>
    <x v="0"/>
    <x v="0"/>
    <x v="1"/>
  </r>
  <r>
    <x v="15"/>
    <s v="ZPEP"/>
    <x v="5"/>
    <s v="HLBX77"/>
    <s v="16093509K"/>
    <s v="LAMPA"/>
    <x v="212"/>
    <x v="1"/>
    <x v="1"/>
    <x v="17"/>
    <x v="1"/>
    <n v="5"/>
    <n v="70000"/>
    <n v="39319.919999999998"/>
    <n v="109319.92"/>
    <n v="11.121072474206459"/>
    <n v="12000"/>
    <n v="82"/>
    <x v="200"/>
    <x v="0"/>
    <x v="0"/>
    <x v="1"/>
  </r>
  <r>
    <x v="15"/>
    <s v="ZPEP"/>
    <x v="5"/>
    <s v="PN4466"/>
    <s v="81417709"/>
    <s v="COLINA"/>
    <x v="213"/>
    <x v="1"/>
    <x v="0"/>
    <x v="5"/>
    <x v="1"/>
    <n v="5"/>
    <n v="120000"/>
    <n v="33924"/>
    <n v="153924"/>
    <n v="18.149274849663954"/>
    <n v="12000"/>
    <n v="71"/>
    <x v="201"/>
    <x v="0"/>
    <x v="0"/>
    <x v="1"/>
  </r>
  <r>
    <x v="15"/>
    <s v="ZPEP"/>
    <x v="5"/>
    <s v="RK5135"/>
    <s v="138841065"/>
    <s v="LAMPA"/>
    <x v="214"/>
    <x v="3"/>
    <x v="1"/>
    <x v="17"/>
    <x v="1"/>
    <n v="5"/>
    <n v="70000"/>
    <n v="38104.799999999988"/>
    <n v="108104.79999999999"/>
    <n v="11.348155612941154"/>
    <n v="12000"/>
    <n v="79"/>
    <x v="202"/>
    <x v="0"/>
    <x v="0"/>
    <x v="1"/>
  </r>
  <r>
    <x v="15"/>
    <s v="ZPEP"/>
    <x v="5"/>
    <s v="XR6339"/>
    <s v="161268070"/>
    <s v="COLINA"/>
    <x v="215"/>
    <x v="1"/>
    <x v="1"/>
    <x v="5"/>
    <x v="1"/>
    <n v="5"/>
    <n v="70000"/>
    <n v="13912.8"/>
    <n v="83912.8"/>
    <n v="24.125352193663392"/>
    <n v="12000"/>
    <n v="29"/>
    <x v="203"/>
    <x v="0"/>
    <x v="0"/>
    <x v="1"/>
  </r>
  <r>
    <x v="15"/>
    <s v="ZPEP"/>
    <x v="8"/>
    <s v="JTYB84"/>
    <s v="6270439K"/>
    <s v="RENCA"/>
    <x v="216"/>
    <x v="5"/>
    <x v="0"/>
    <x v="7"/>
    <x v="1"/>
    <n v="1"/>
    <n v="178995"/>
    <n v="76712"/>
    <n v="255707"/>
    <n v="10.000007821458018"/>
    <n v="4821"/>
    <n v="100"/>
    <x v="204"/>
    <x v="0"/>
    <x v="0"/>
    <x v="1"/>
  </r>
  <r>
    <x v="15"/>
    <s v="ZTAN"/>
    <x v="10"/>
    <s v="RK5135"/>
    <s v="138841065"/>
    <s v="QUILICURA"/>
    <x v="217"/>
    <x v="3"/>
    <x v="1"/>
    <x v="8"/>
    <x v="1"/>
    <n v="1"/>
    <n v="48667"/>
    <n v="20857"/>
    <n v="69524"/>
    <n v="10"/>
    <n v="4821"/>
    <n v="100"/>
    <x v="205"/>
    <x v="0"/>
    <x v="0"/>
    <x v="1"/>
  </r>
  <r>
    <x v="15"/>
    <s v="ZTAN"/>
    <x v="6"/>
    <s v="TP3884"/>
    <s v="78907355"/>
    <s v="QUILLOTA"/>
    <x v="218"/>
    <x v="1"/>
    <x v="1"/>
    <x v="19"/>
    <x v="2"/>
    <n v="0"/>
    <n v="180000"/>
    <n v="14608.000000000004"/>
    <n v="194608"/>
    <n v="53.288061336254096"/>
    <n v="25000"/>
    <n v="15"/>
    <x v="206"/>
    <x v="0"/>
    <x v="0"/>
    <x v="0"/>
  </r>
  <r>
    <x v="15"/>
    <s v="ZTAN"/>
    <x v="16"/>
    <s v="SU9354"/>
    <s v="72564391"/>
    <s v="RENCA"/>
    <x v="219"/>
    <x v="2"/>
    <x v="1"/>
    <x v="7"/>
    <x v="1"/>
    <n v="1"/>
    <n v="52909"/>
    <n v="0"/>
    <n v="52909"/>
    <n v="7.0000264606265876"/>
    <n v="4821"/>
    <n v="100"/>
    <x v="207"/>
    <x v="0"/>
    <x v="0"/>
    <x v="1"/>
  </r>
  <r>
    <x v="15"/>
    <s v="ZTAN"/>
    <x v="7"/>
    <s v="DJLF85"/>
    <s v="53173292"/>
    <s v="SAN MIGUEL"/>
    <x v="220"/>
    <x v="4"/>
    <x v="1"/>
    <x v="23"/>
    <x v="1"/>
    <n v="2"/>
    <n v="48675"/>
    <n v="20861"/>
    <n v="69536"/>
    <n v="10"/>
    <n v="5782"/>
    <n v="100"/>
    <x v="208"/>
    <x v="0"/>
    <x v="0"/>
    <x v="1"/>
  </r>
  <r>
    <x v="15"/>
    <s v="ZTAN"/>
    <x v="7"/>
    <s v="RJ6819"/>
    <s v="94742285"/>
    <s v="CHILLAN"/>
    <x v="221"/>
    <x v="5"/>
    <x v="0"/>
    <x v="21"/>
    <x v="5"/>
    <n v="0"/>
    <n v="350000"/>
    <n v="0"/>
    <n v="350000"/>
    <n v="30.030545354703644"/>
    <n v="25000"/>
    <n v="27"/>
    <x v="209"/>
    <x v="0"/>
    <x v="0"/>
    <x v="0"/>
  </r>
  <r>
    <x v="15"/>
    <s v="ZTAN"/>
    <x v="7"/>
    <s v="XR6339"/>
    <s v="78907355"/>
    <s v="SAN MIGUEL"/>
    <x v="222"/>
    <x v="1"/>
    <x v="1"/>
    <x v="23"/>
    <x v="1"/>
    <n v="2"/>
    <n v="68779"/>
    <n v="39302"/>
    <n v="108081"/>
    <n v="10.999938935026867"/>
    <n v="5782"/>
    <n v="100"/>
    <x v="210"/>
    <x v="0"/>
    <x v="0"/>
    <x v="1"/>
  </r>
  <r>
    <x v="15"/>
    <s v="ZTAN"/>
    <x v="8"/>
    <s v="BDCH61"/>
    <s v="99626232"/>
    <s v="LA FLORIDA"/>
    <x v="223"/>
    <x v="1"/>
    <x v="1"/>
    <x v="33"/>
    <x v="1"/>
    <n v="3"/>
    <n v="48075"/>
    <n v="17130"/>
    <n v="65205"/>
    <n v="15.226274985989166"/>
    <n v="6868"/>
    <n v="62"/>
    <x v="211"/>
    <x v="0"/>
    <x v="0"/>
    <x v="1"/>
  </r>
  <r>
    <x v="15"/>
    <s v="ZTAN"/>
    <x v="8"/>
    <s v="PN4466"/>
    <s v="81417709"/>
    <s v="PUDAHUEL"/>
    <x v="224"/>
    <x v="1"/>
    <x v="0"/>
    <x v="10"/>
    <x v="1"/>
    <n v="1"/>
    <n v="76185"/>
    <n v="43534"/>
    <n v="119719"/>
    <n v="10.999944871182329"/>
    <n v="4821"/>
    <n v="100"/>
    <x v="212"/>
    <x v="0"/>
    <x v="0"/>
    <x v="1"/>
  </r>
  <r>
    <x v="15"/>
    <s v="ZTAN"/>
    <x v="8"/>
    <s v="SV2718"/>
    <s v="78907355"/>
    <s v="CERRILLOS"/>
    <x v="225"/>
    <x v="1"/>
    <x v="1"/>
    <x v="9"/>
    <x v="1"/>
    <n v="2"/>
    <n v="40475"/>
    <n v="13067"/>
    <n v="53542"/>
    <n v="16.389739194318597"/>
    <n v="5782"/>
    <n v="56"/>
    <x v="213"/>
    <x v="0"/>
    <x v="0"/>
    <x v="1"/>
  </r>
  <r>
    <x v="15"/>
    <s v="ZTAN"/>
    <x v="8"/>
    <s v="UA7248"/>
    <s v="161268070"/>
    <s v="SANTIAGO"/>
    <x v="226"/>
    <x v="1"/>
    <x v="1"/>
    <x v="20"/>
    <x v="1"/>
    <n v="1"/>
    <n v="33750"/>
    <n v="7904"/>
    <n v="41654"/>
    <n v="21.079959514170042"/>
    <n v="4821"/>
    <n v="41"/>
    <x v="214"/>
    <x v="0"/>
    <x v="0"/>
    <x v="1"/>
  </r>
  <r>
    <x v="15"/>
    <s v="ZTAN"/>
    <x v="23"/>
    <s v="WC2233"/>
    <s v="125108660"/>
    <s v="SANTIAGO"/>
    <x v="227"/>
    <x v="4"/>
    <x v="1"/>
    <x v="20"/>
    <x v="1"/>
    <n v="1"/>
    <n v="83320"/>
    <n v="0"/>
    <n v="83320"/>
    <n v="7.0000336055381931"/>
    <n v="4821"/>
    <n v="100"/>
    <x v="215"/>
    <x v="0"/>
    <x v="0"/>
    <x v="1"/>
  </r>
  <r>
    <x v="16"/>
    <s v="ZPEP"/>
    <x v="3"/>
    <s v="RK5135"/>
    <s v="138841065"/>
    <s v="LAS CONDES"/>
    <x v="228"/>
    <x v="3"/>
    <x v="1"/>
    <x v="3"/>
    <x v="1"/>
    <n v="3"/>
    <n v="48075"/>
    <n v="17786.400000000001"/>
    <n v="65861.399999999994"/>
    <n v="11.108723519093237"/>
    <n v="6868"/>
    <n v="86"/>
    <x v="216"/>
    <x v="0"/>
    <x v="0"/>
    <x v="1"/>
  </r>
  <r>
    <x v="16"/>
    <s v="ZPEP"/>
    <x v="5"/>
    <s v="YW3249"/>
    <s v="129162074"/>
    <s v="COQUIMBO"/>
    <x v="229"/>
    <x v="5"/>
    <x v="0"/>
    <x v="42"/>
    <x v="8"/>
    <n v="0"/>
    <n v="600000"/>
    <n v="0"/>
    <n v="600000"/>
    <n v="42.838813964596575"/>
    <n v="25000"/>
    <n v="56"/>
    <x v="217"/>
    <x v="0"/>
    <x v="0"/>
    <x v="0"/>
  </r>
  <r>
    <x v="16"/>
    <s v="ZPEP"/>
    <x v="12"/>
    <s v="DJLF85"/>
    <s v="53173292"/>
    <s v="VITACURA"/>
    <x v="230"/>
    <x v="4"/>
    <x v="1"/>
    <x v="27"/>
    <x v="1"/>
    <n v="3"/>
    <n v="48075"/>
    <n v="15808.5"/>
    <n v="63883.5"/>
    <n v="12.123256475946485"/>
    <n v="6868"/>
    <n v="77"/>
    <x v="218"/>
    <x v="0"/>
    <x v="0"/>
    <x v="1"/>
  </r>
  <r>
    <x v="16"/>
    <s v="ZPEP"/>
    <x v="12"/>
    <s v="XR6339"/>
    <s v="161268070"/>
    <s v="VITACURA"/>
    <x v="231"/>
    <x v="1"/>
    <x v="1"/>
    <x v="27"/>
    <x v="1"/>
    <n v="3"/>
    <n v="48075"/>
    <n v="13581"/>
    <n v="61656"/>
    <n v="13.619615639496356"/>
    <n v="6868"/>
    <n v="66"/>
    <x v="219"/>
    <x v="0"/>
    <x v="0"/>
    <x v="1"/>
  </r>
  <r>
    <x v="16"/>
    <s v="ZPEP"/>
    <x v="8"/>
    <s v="WG4022"/>
    <s v="81417709"/>
    <s v="RENCA"/>
    <x v="232"/>
    <x v="1"/>
    <x v="0"/>
    <x v="7"/>
    <x v="1"/>
    <n v="1"/>
    <n v="108097"/>
    <n v="61770"/>
    <n v="169867"/>
    <n v="11.000010361056932"/>
    <n v="4821"/>
    <n v="100"/>
    <x v="220"/>
    <x v="0"/>
    <x v="0"/>
    <x v="1"/>
  </r>
  <r>
    <x v="16"/>
    <s v="ZTAN"/>
    <x v="4"/>
    <s v="PN4466"/>
    <s v="81417709"/>
    <s v="PAINE"/>
    <x v="233"/>
    <x v="1"/>
    <x v="0"/>
    <x v="13"/>
    <x v="1"/>
    <n v="5"/>
    <n v="120000"/>
    <n v="21398.399999999994"/>
    <n v="141398.39999999999"/>
    <n v="19.823687752355323"/>
    <n v="12000"/>
    <n v="59"/>
    <x v="221"/>
    <x v="0"/>
    <x v="0"/>
    <x v="1"/>
  </r>
  <r>
    <x v="16"/>
    <s v="ZTAN"/>
    <x v="12"/>
    <s v="HLBX77"/>
    <s v="16093509K"/>
    <s v="VITACURA"/>
    <x v="88"/>
    <x v="1"/>
    <x v="1"/>
    <x v="27"/>
    <x v="1"/>
    <n v="3"/>
    <n v="113061"/>
    <n v="48454.559999999998"/>
    <n v="161515.56"/>
    <n v="10.000022288923891"/>
    <n v="6868"/>
    <n v="100"/>
    <x v="222"/>
    <x v="0"/>
    <x v="0"/>
    <x v="1"/>
  </r>
  <r>
    <x v="16"/>
    <s v="ZTAN"/>
    <x v="24"/>
    <s v="WC2233"/>
    <s v="125108660"/>
    <s v="MACHALI"/>
    <x v="234"/>
    <x v="4"/>
    <x v="1"/>
    <x v="43"/>
    <x v="6"/>
    <n v="0"/>
    <n v="230000"/>
    <n v="27014.399999999994"/>
    <n v="257014.39999999999"/>
    <n v="28.541933191186931"/>
    <n v="25000"/>
    <n v="36"/>
    <x v="223"/>
    <x v="0"/>
    <x v="0"/>
    <x v="0"/>
  </r>
  <r>
    <x v="16"/>
    <s v="ZTAN"/>
    <x v="8"/>
    <s v="BDCH61"/>
    <s v="161268070"/>
    <s v="ÑUÑOA"/>
    <x v="235"/>
    <x v="1"/>
    <x v="1"/>
    <x v="15"/>
    <x v="1"/>
    <n v="1"/>
    <n v="38161"/>
    <n v="21806"/>
    <n v="59967"/>
    <n v="10.999889940567908"/>
    <n v="4821"/>
    <n v="100"/>
    <x v="224"/>
    <x v="0"/>
    <x v="0"/>
    <x v="1"/>
  </r>
  <r>
    <x v="16"/>
    <s v="ZTAN"/>
    <x v="8"/>
    <s v="SV2718"/>
    <s v="99626232"/>
    <s v="PUDAHUEL"/>
    <x v="236"/>
    <x v="1"/>
    <x v="1"/>
    <x v="10"/>
    <x v="1"/>
    <n v="1"/>
    <n v="33750"/>
    <n v="13027"/>
    <n v="46777"/>
    <n v="14.362871530336525"/>
    <n v="4821"/>
    <n v="68"/>
    <x v="225"/>
    <x v="0"/>
    <x v="0"/>
    <x v="1"/>
  </r>
  <r>
    <x v="16"/>
    <s v="ZTAN"/>
    <x v="8"/>
    <s v="TP3884"/>
    <s v="78907355"/>
    <s v="LA REINA"/>
    <x v="237"/>
    <x v="1"/>
    <x v="1"/>
    <x v="11"/>
    <x v="1"/>
    <n v="3"/>
    <n v="48075"/>
    <n v="19910"/>
    <n v="67985"/>
    <n v="13.658188685310188"/>
    <n v="6868"/>
    <n v="72"/>
    <x v="226"/>
    <x v="0"/>
    <x v="0"/>
    <x v="1"/>
  </r>
  <r>
    <x v="16"/>
    <s v="ZTAN"/>
    <x v="8"/>
    <s v="UA7248"/>
    <s v="107643206"/>
    <s v="ÑUÑOA"/>
    <x v="238"/>
    <x v="1"/>
    <x v="1"/>
    <x v="15"/>
    <x v="1"/>
    <n v="1"/>
    <n v="33750"/>
    <n v="11461"/>
    <n v="45211"/>
    <n v="15.779352226720649"/>
    <n v="4821"/>
    <n v="59"/>
    <x v="227"/>
    <x v="0"/>
    <x v="0"/>
    <x v="1"/>
  </r>
  <r>
    <x v="17"/>
    <s v="ZNL"/>
    <x v="0"/>
    <s v="CJXX49"/>
    <s v="167832741"/>
    <s v="TALCAHUANO"/>
    <x v="239"/>
    <x v="5"/>
    <x v="0"/>
    <x v="0"/>
    <x v="0"/>
    <n v="0"/>
    <n v="380000"/>
    <n v="0"/>
    <n v="380000"/>
    <n v="19.299528685194204"/>
    <n v="25000"/>
    <n v="79"/>
    <x v="228"/>
    <x v="0"/>
    <x v="0"/>
    <x v="0"/>
  </r>
  <r>
    <x v="17"/>
    <s v="ZPEP"/>
    <x v="5"/>
    <s v="CJFZ67"/>
    <s v="115812335"/>
    <s v="HUALPEN"/>
    <x v="240"/>
    <x v="5"/>
    <x v="0"/>
    <x v="44"/>
    <x v="0"/>
    <n v="0"/>
    <n v="400000"/>
    <n v="0"/>
    <n v="400000"/>
    <n v="20.536822265611953"/>
    <n v="25000"/>
    <n v="78"/>
    <x v="229"/>
    <x v="0"/>
    <x v="0"/>
    <x v="0"/>
  </r>
  <r>
    <x v="17"/>
    <s v="ZPEP"/>
    <x v="5"/>
    <s v="RK5135"/>
    <s v="138841065"/>
    <s v="COLINA"/>
    <x v="241"/>
    <x v="3"/>
    <x v="1"/>
    <x v="5"/>
    <x v="1"/>
    <n v="5"/>
    <n v="70000"/>
    <n v="26872.98"/>
    <n v="96872.98"/>
    <n v="10.814540851070481"/>
    <n v="12000"/>
    <n v="75"/>
    <x v="230"/>
    <x v="0"/>
    <x v="0"/>
    <x v="1"/>
  </r>
  <r>
    <x v="17"/>
    <s v="ZPEP"/>
    <x v="11"/>
    <s v="WC2233"/>
    <s v="125108660"/>
    <s v="PADRE HURTADO"/>
    <x v="242"/>
    <x v="4"/>
    <x v="1"/>
    <x v="26"/>
    <x v="1"/>
    <n v="5"/>
    <n v="70000"/>
    <n v="21157.35"/>
    <n v="91157.35"/>
    <n v="12.925628682231"/>
    <n v="12000"/>
    <n v="59"/>
    <x v="231"/>
    <x v="0"/>
    <x v="0"/>
    <x v="1"/>
  </r>
  <r>
    <x v="17"/>
    <s v="ZPEP"/>
    <x v="2"/>
    <s v="VJ8408"/>
    <s v="83259353"/>
    <s v="TALCA"/>
    <x v="243"/>
    <x v="0"/>
    <x v="0"/>
    <x v="12"/>
    <x v="3"/>
    <n v="0"/>
    <n v="320000"/>
    <n v="0"/>
    <n v="320000"/>
    <n v="14.355794918497217"/>
    <n v="25000"/>
    <n v="89"/>
    <x v="232"/>
    <x v="0"/>
    <x v="0"/>
    <x v="0"/>
  </r>
  <r>
    <x v="17"/>
    <s v="ZPEP"/>
    <x v="12"/>
    <s v="HLBX77"/>
    <s v="160932509K"/>
    <s v="VITACURA"/>
    <x v="244"/>
    <x v="1"/>
    <x v="1"/>
    <x v="27"/>
    <x v="1"/>
    <n v="3"/>
    <n v="48075"/>
    <n v="19364.400000000001"/>
    <n v="67439.399999999994"/>
    <n v="13.930594286422505"/>
    <n v="6868"/>
    <n v="70"/>
    <x v="233"/>
    <x v="0"/>
    <x v="0"/>
    <x v="1"/>
  </r>
  <r>
    <x v="17"/>
    <s v="ZPEP"/>
    <x v="14"/>
    <s v="DJLF85"/>
    <s v="53173292"/>
    <s v="LA PINTANA"/>
    <x v="245"/>
    <x v="4"/>
    <x v="1"/>
    <x v="31"/>
    <x v="1"/>
    <n v="4"/>
    <n v="80783"/>
    <n v="34621.440000000002"/>
    <n v="115404.44"/>
    <n v="9.999968805456966"/>
    <n v="8011"/>
    <n v="100"/>
    <x v="234"/>
    <x v="0"/>
    <x v="0"/>
    <x v="1"/>
  </r>
  <r>
    <x v="17"/>
    <s v="ZPEP"/>
    <x v="14"/>
    <s v="SU9354"/>
    <s v="72564391"/>
    <s v="LA PINTANA"/>
    <x v="246"/>
    <x v="2"/>
    <x v="1"/>
    <x v="31"/>
    <x v="1"/>
    <n v="4"/>
    <n v="87978"/>
    <n v="37704.960000000036"/>
    <n v="125682.96000000004"/>
    <n v="9.9999809043690746"/>
    <n v="8011"/>
    <n v="100"/>
    <x v="235"/>
    <x v="0"/>
    <x v="0"/>
    <x v="1"/>
  </r>
  <r>
    <x v="17"/>
    <s v="ZPEP"/>
    <x v="25"/>
    <s v="GKRB84"/>
    <s v="122975819"/>
    <s v="VALLENAR"/>
    <x v="247"/>
    <x v="5"/>
    <x v="0"/>
    <x v="45"/>
    <x v="9"/>
    <n v="0"/>
    <n v="800000"/>
    <n v="0"/>
    <n v="800000"/>
    <n v="75.478605117638125"/>
    <n v="25000"/>
    <n v="42"/>
    <x v="236"/>
    <x v="0"/>
    <x v="0"/>
    <x v="0"/>
  </r>
  <r>
    <x v="17"/>
    <s v="ZTAN"/>
    <x v="10"/>
    <s v="BDCH61"/>
    <s v="107643206"/>
    <s v="SANTIAGO"/>
    <x v="248"/>
    <x v="1"/>
    <x v="1"/>
    <x v="20"/>
    <x v="1"/>
    <n v="1"/>
    <n v="33750"/>
    <n v="12006"/>
    <n v="45756"/>
    <n v="15.243869936034116"/>
    <n v="4821"/>
    <n v="62"/>
    <x v="237"/>
    <x v="0"/>
    <x v="0"/>
    <x v="1"/>
  </r>
  <r>
    <x v="17"/>
    <s v="ZTAN"/>
    <x v="16"/>
    <s v="XR6339"/>
    <s v="78907355"/>
    <s v="RENCA"/>
    <x v="234"/>
    <x v="1"/>
    <x v="1"/>
    <x v="7"/>
    <x v="1"/>
    <n v="1"/>
    <n v="63034"/>
    <n v="36019.19999999999"/>
    <n v="99053.199999999983"/>
    <n v="11.000044420753378"/>
    <n v="4821"/>
    <n v="100"/>
    <x v="238"/>
    <x v="0"/>
    <x v="0"/>
    <x v="1"/>
  </r>
  <r>
    <x v="17"/>
    <s v="ZTAN"/>
    <x v="7"/>
    <s v="UA7248"/>
    <s v="161268070"/>
    <s v="SAN MIGUEL"/>
    <x v="249"/>
    <x v="1"/>
    <x v="1"/>
    <x v="23"/>
    <x v="1"/>
    <n v="2"/>
    <n v="44363"/>
    <n v="25350"/>
    <n v="69713"/>
    <n v="10.999905326937643"/>
    <n v="5782"/>
    <n v="100"/>
    <x v="239"/>
    <x v="0"/>
    <x v="0"/>
    <x v="1"/>
  </r>
  <r>
    <x v="17"/>
    <s v="ZTAN"/>
    <x v="7"/>
    <s v="ZN4986"/>
    <s v="99705434"/>
    <s v="CHILLAN"/>
    <x v="250"/>
    <x v="0"/>
    <x v="0"/>
    <x v="21"/>
    <x v="5"/>
    <n v="0"/>
    <n v="350000"/>
    <n v="0"/>
    <n v="350000"/>
    <n v="21.848781462245306"/>
    <n v="25000"/>
    <n v="37"/>
    <x v="240"/>
    <x v="0"/>
    <x v="0"/>
    <x v="0"/>
  </r>
  <r>
    <x v="17"/>
    <s v="ZTAN"/>
    <x v="8"/>
    <s v="BDCH61"/>
    <s v="78907355"/>
    <s v="QUILICURA"/>
    <x v="251"/>
    <x v="1"/>
    <x v="1"/>
    <x v="8"/>
    <x v="1"/>
    <n v="1"/>
    <n v="33750"/>
    <n v="7058"/>
    <n v="40808"/>
    <n v="23.128542280661978"/>
    <n v="4821"/>
    <n v="37"/>
    <x v="241"/>
    <x v="0"/>
    <x v="0"/>
    <x v="1"/>
  </r>
  <r>
    <x v="17"/>
    <s v="ZTAN"/>
    <x v="8"/>
    <s v="SV2718"/>
    <s v="161268070"/>
    <s v="PUDAHUEL"/>
    <x v="252"/>
    <x v="1"/>
    <x v="1"/>
    <x v="10"/>
    <x v="1"/>
    <n v="1"/>
    <n v="33750"/>
    <n v="15008"/>
    <n v="48758"/>
    <n v="12.995202558635395"/>
    <n v="4821"/>
    <n v="78"/>
    <x v="242"/>
    <x v="0"/>
    <x v="0"/>
    <x v="1"/>
  </r>
  <r>
    <x v="17"/>
    <s v="ZTAN"/>
    <x v="8"/>
    <s v="TP3884"/>
    <s v="107643206"/>
    <s v="LAS CONDES"/>
    <x v="253"/>
    <x v="1"/>
    <x v="1"/>
    <x v="3"/>
    <x v="1"/>
    <n v="3"/>
    <n v="65006"/>
    <n v="37146"/>
    <n v="102152"/>
    <n v="10.999935390778109"/>
    <n v="6868"/>
    <n v="100"/>
    <x v="243"/>
    <x v="0"/>
    <x v="0"/>
    <x v="1"/>
  </r>
  <r>
    <x v="17"/>
    <s v="ZTAN"/>
    <x v="8"/>
    <s v="UA7248"/>
    <s v="99626232"/>
    <s v="SAN MIGUEL"/>
    <x v="254"/>
    <x v="1"/>
    <x v="1"/>
    <x v="23"/>
    <x v="1"/>
    <n v="2"/>
    <n v="40475"/>
    <n v="6402"/>
    <n v="46877"/>
    <n v="29.287142321629389"/>
    <n v="5782"/>
    <n v="28"/>
    <x v="244"/>
    <x v="0"/>
    <x v="0"/>
    <x v="1"/>
  </r>
  <r>
    <x v="18"/>
    <s v="ZNL"/>
    <x v="0"/>
    <s v="CJFZ69"/>
    <s v="174967806"/>
    <s v="TALCAHUANO"/>
    <x v="255"/>
    <x v="5"/>
    <x v="0"/>
    <x v="0"/>
    <x v="0"/>
    <n v="0"/>
    <n v="380000"/>
    <n v="0"/>
    <n v="380000"/>
    <n v="22.915862601312249"/>
    <n v="25000"/>
    <n v="66"/>
    <x v="245"/>
    <x v="0"/>
    <x v="0"/>
    <x v="0"/>
  </r>
  <r>
    <x v="18"/>
    <s v="ZPEP"/>
    <x v="26"/>
    <s v="HLBX77"/>
    <s v="16093509K"/>
    <s v="GRANEROS"/>
    <x v="256"/>
    <x v="1"/>
    <x v="1"/>
    <x v="46"/>
    <x v="6"/>
    <n v="0"/>
    <n v="230000"/>
    <n v="22247.999999999993"/>
    <n v="252248"/>
    <n v="34.014023732470349"/>
    <n v="25000"/>
    <n v="30"/>
    <x v="246"/>
    <x v="0"/>
    <x v="0"/>
    <x v="0"/>
  </r>
  <r>
    <x v="18"/>
    <s v="ZPEP"/>
    <x v="5"/>
    <s v="JTYB84"/>
    <s v="6270439K"/>
    <s v="COQUIMBO"/>
    <x v="257"/>
    <x v="5"/>
    <x v="0"/>
    <x v="42"/>
    <x v="8"/>
    <n v="0"/>
    <n v="600000"/>
    <n v="0"/>
    <n v="600000"/>
    <n v="53.406630967300906"/>
    <n v="25000"/>
    <n v="45"/>
    <x v="247"/>
    <x v="0"/>
    <x v="0"/>
    <x v="0"/>
  </r>
  <r>
    <x v="18"/>
    <s v="ZPEP"/>
    <x v="5"/>
    <s v="SU9354"/>
    <s v="72564391"/>
    <s v="SAN FELIPE"/>
    <x v="258"/>
    <x v="2"/>
    <x v="1"/>
    <x v="35"/>
    <x v="2"/>
    <n v="0"/>
    <n v="180000"/>
    <n v="35364.99"/>
    <n v="215364.99"/>
    <n v="18.269338405015809"/>
    <n v="25000"/>
    <n v="47"/>
    <x v="248"/>
    <x v="0"/>
    <x v="0"/>
    <x v="0"/>
  </r>
  <r>
    <x v="18"/>
    <s v="ZPEP"/>
    <x v="5"/>
    <s v="XR6339"/>
    <s v="78907355"/>
    <s v="COLINA"/>
    <x v="259"/>
    <x v="1"/>
    <x v="1"/>
    <x v="5"/>
    <x v="1"/>
    <n v="5"/>
    <n v="70000"/>
    <n v="0"/>
    <n v="70000"/>
    <n v="12.365153584039767"/>
    <n v="12000"/>
    <n v="47"/>
    <x v="249"/>
    <x v="0"/>
    <x v="0"/>
    <x v="1"/>
  </r>
  <r>
    <x v="18"/>
    <s v="ZPEP"/>
    <x v="27"/>
    <s v="BWPL69"/>
    <s v="78551976"/>
    <s v="SAN PEDRO DE LA PAZ"/>
    <x v="260"/>
    <x v="5"/>
    <x v="0"/>
    <x v="47"/>
    <x v="0"/>
    <n v="0"/>
    <n v="400000"/>
    <n v="0"/>
    <n v="400000"/>
    <n v="60.356951008262868"/>
    <n v="25000"/>
    <n v="27"/>
    <x v="250"/>
    <x v="0"/>
    <x v="0"/>
    <x v="0"/>
  </r>
  <r>
    <x v="18"/>
    <s v="ZPEP"/>
    <x v="28"/>
    <s v="DJLF85"/>
    <s v="125108660"/>
    <s v="SANTIAGO"/>
    <x v="261"/>
    <x v="4"/>
    <x v="1"/>
    <x v="20"/>
    <x v="1"/>
    <n v="1"/>
    <n v="68443"/>
    <n v="29332.800000000003"/>
    <n v="97775.8"/>
    <n v="9.9999795450826383"/>
    <n v="4821"/>
    <n v="100"/>
    <x v="251"/>
    <x v="0"/>
    <x v="0"/>
    <x v="1"/>
  </r>
  <r>
    <x v="18"/>
    <s v="ZTAN"/>
    <x v="17"/>
    <s v="UA7248"/>
    <s v="107643206"/>
    <s v="LAMPA"/>
    <x v="262"/>
    <x v="1"/>
    <x v="1"/>
    <x v="17"/>
    <x v="1"/>
    <n v="5"/>
    <n v="70000"/>
    <n v="8759.850000000004"/>
    <n v="78759.850000000006"/>
    <n v="26.973013236528015"/>
    <n v="12000"/>
    <n v="24"/>
    <x v="252"/>
    <x v="0"/>
    <x v="0"/>
    <x v="1"/>
  </r>
  <r>
    <x v="18"/>
    <s v="ZTAN"/>
    <x v="3"/>
    <s v="DJLF85"/>
    <s v="125108660"/>
    <s v="LAS CONDES"/>
    <x v="263"/>
    <x v="4"/>
    <x v="1"/>
    <x v="3"/>
    <x v="1"/>
    <n v="3"/>
    <n v="51240"/>
    <n v="29280"/>
    <n v="80520"/>
    <n v="11"/>
    <n v="6868"/>
    <n v="100"/>
    <x v="253"/>
    <x v="0"/>
    <x v="0"/>
    <x v="1"/>
  </r>
  <r>
    <x v="18"/>
    <s v="ZTAN"/>
    <x v="10"/>
    <s v="HLBX77"/>
    <s v="16093509K"/>
    <s v="QUILICURA"/>
    <x v="264"/>
    <x v="1"/>
    <x v="1"/>
    <x v="8"/>
    <x v="1"/>
    <n v="1"/>
    <n v="82237"/>
    <n v="46993"/>
    <n v="129230"/>
    <n v="10.99998297611549"/>
    <n v="4821"/>
    <n v="100"/>
    <x v="254"/>
    <x v="0"/>
    <x v="0"/>
    <x v="1"/>
  </r>
  <r>
    <x v="18"/>
    <s v="ZTAN"/>
    <x v="10"/>
    <s v="RK5135"/>
    <s v="138841065"/>
    <s v="QUILICURA"/>
    <x v="265"/>
    <x v="3"/>
    <x v="1"/>
    <x v="8"/>
    <x v="1"/>
    <n v="1"/>
    <n v="64798"/>
    <n v="27770"/>
    <n v="92568"/>
    <n v="10"/>
    <n v="4821"/>
    <n v="100"/>
    <x v="255"/>
    <x v="0"/>
    <x v="0"/>
    <x v="1"/>
  </r>
  <r>
    <x v="18"/>
    <s v="ZTAN"/>
    <x v="16"/>
    <s v="HLBX77"/>
    <s v="16093509K"/>
    <s v="RENCA"/>
    <x v="234"/>
    <x v="1"/>
    <x v="1"/>
    <x v="7"/>
    <x v="1"/>
    <n v="1"/>
    <n v="63034"/>
    <n v="36019.19999999999"/>
    <n v="99053.199999999983"/>
    <n v="11.000044420753378"/>
    <n v="4821"/>
    <n v="100"/>
    <x v="256"/>
    <x v="0"/>
    <x v="0"/>
    <x v="1"/>
  </r>
  <r>
    <x v="18"/>
    <s v="ZTAN"/>
    <x v="7"/>
    <s v="RK5135"/>
    <s v="138841065"/>
    <s v="SAN MIGUEL"/>
    <x v="266"/>
    <x v="3"/>
    <x v="1"/>
    <x v="23"/>
    <x v="1"/>
    <n v="2"/>
    <n v="59839"/>
    <n v="25645"/>
    <n v="85484"/>
    <n v="9.9999999999999982"/>
    <n v="5782"/>
    <n v="100"/>
    <x v="257"/>
    <x v="0"/>
    <x v="0"/>
    <x v="1"/>
  </r>
  <r>
    <x v="18"/>
    <s v="ZTAN"/>
    <x v="8"/>
    <s v="BDCH61"/>
    <s v="161268070"/>
    <s v="REÑACA"/>
    <x v="267"/>
    <x v="1"/>
    <x v="1"/>
    <x v="6"/>
    <x v="2"/>
    <n v="0"/>
    <n v="180000"/>
    <n v="23707.199999999993"/>
    <n v="203707.19999999998"/>
    <n v="34.37052034824864"/>
    <n v="25000"/>
    <n v="24"/>
    <x v="258"/>
    <x v="0"/>
    <x v="0"/>
    <x v="0"/>
  </r>
  <r>
    <x v="18"/>
    <s v="ZTAN"/>
    <x v="8"/>
    <s v="RK5135"/>
    <s v="138841065"/>
    <s v="MAIPU"/>
    <x v="268"/>
    <x v="3"/>
    <x v="1"/>
    <x v="2"/>
    <x v="1"/>
    <n v="2"/>
    <n v="40475"/>
    <n v="8008"/>
    <n v="48483"/>
    <n v="18.163869324142066"/>
    <n v="5782"/>
    <n v="46"/>
    <x v="259"/>
    <x v="0"/>
    <x v="0"/>
    <x v="1"/>
  </r>
  <r>
    <x v="18"/>
    <s v="ZTAN"/>
    <x v="8"/>
    <s v="SV2718"/>
    <s v="78907355"/>
    <s v="LA REINA"/>
    <x v="269"/>
    <x v="1"/>
    <x v="1"/>
    <x v="11"/>
    <x v="1"/>
    <n v="3"/>
    <n v="48075"/>
    <n v="7594"/>
    <n v="55669"/>
    <n v="29.324167720185418"/>
    <n v="6868"/>
    <n v="28"/>
    <x v="260"/>
    <x v="0"/>
    <x v="0"/>
    <x v="1"/>
  </r>
  <r>
    <x v="18"/>
    <s v="ZTAN"/>
    <x v="8"/>
    <s v="TP3884"/>
    <s v="99626232"/>
    <s v="PUDAHUEL"/>
    <x v="270"/>
    <x v="1"/>
    <x v="1"/>
    <x v="10"/>
    <x v="1"/>
    <n v="1"/>
    <n v="44278"/>
    <n v="25302"/>
    <n v="69580"/>
    <n v="11.000094855661301"/>
    <n v="4821"/>
    <n v="100"/>
    <x v="261"/>
    <x v="0"/>
    <x v="0"/>
    <x v="1"/>
  </r>
  <r>
    <x v="18"/>
    <s v="ZTAN"/>
    <x v="8"/>
    <s v="UA7248"/>
    <s v="107643206"/>
    <s v="EL BOSQUE"/>
    <x v="226"/>
    <x v="1"/>
    <x v="1"/>
    <x v="25"/>
    <x v="1"/>
    <n v="3"/>
    <n v="48075"/>
    <n v="7904"/>
    <n v="55979"/>
    <n v="28.329453441295545"/>
    <n v="6868"/>
    <n v="29"/>
    <x v="262"/>
    <x v="0"/>
    <x v="0"/>
    <x v="1"/>
  </r>
  <r>
    <x v="19"/>
    <s v="ZPEP"/>
    <x v="17"/>
    <s v="SU9354"/>
    <n v="72564391"/>
    <s v="LAMPA"/>
    <x v="271"/>
    <x v="2"/>
    <x v="1"/>
    <x v="17"/>
    <x v="1"/>
    <n v="5"/>
    <n v="70000"/>
    <n v="12199.200000000003"/>
    <n v="82199.199999999997"/>
    <n v="20.21424355695455"/>
    <n v="12000"/>
    <n v="34"/>
    <x v="263"/>
    <x v="0"/>
    <x v="0"/>
    <x v="1"/>
  </r>
  <r>
    <x v="19"/>
    <s v="ZPEP"/>
    <x v="29"/>
    <s v="CJXX49"/>
    <n v="167832741"/>
    <s v="TALCAHUANO"/>
    <x v="272"/>
    <x v="5"/>
    <x v="0"/>
    <x v="0"/>
    <x v="0"/>
    <n v="0"/>
    <n v="380000"/>
    <n v="0"/>
    <n v="380000"/>
    <n v="25.550701669334924"/>
    <n v="25000"/>
    <n v="59"/>
    <x v="264"/>
    <x v="0"/>
    <x v="0"/>
    <x v="0"/>
  </r>
  <r>
    <x v="19"/>
    <s v="ZPEP"/>
    <x v="5"/>
    <s v="XR6339"/>
    <n v="78907355"/>
    <s v="LAMPA"/>
    <x v="273"/>
    <x v="1"/>
    <x v="1"/>
    <x v="17"/>
    <x v="1"/>
    <n v="5"/>
    <n v="70000"/>
    <n v="13353.48"/>
    <n v="83353.48"/>
    <n v="24.968316873204586"/>
    <n v="12000"/>
    <n v="28"/>
    <x v="265"/>
    <x v="0"/>
    <x v="0"/>
    <x v="1"/>
  </r>
  <r>
    <x v="19"/>
    <s v="ZPEP"/>
    <x v="30"/>
    <s v="PN4466"/>
    <n v="81417709"/>
    <s v="LA FLORIDA"/>
    <x v="274"/>
    <x v="1"/>
    <x v="0"/>
    <x v="33"/>
    <x v="1"/>
    <n v="3"/>
    <n v="69642"/>
    <n v="39795.64"/>
    <n v="109437.64"/>
    <n v="10.999962809996271"/>
    <n v="6868"/>
    <n v="100"/>
    <x v="266"/>
    <x v="0"/>
    <x v="0"/>
    <x v="1"/>
  </r>
  <r>
    <x v="19"/>
    <s v="ZPEP"/>
    <x v="31"/>
    <s v="GKRB84"/>
    <n v="122975819"/>
    <s v="PUCON"/>
    <x v="275"/>
    <x v="5"/>
    <x v="0"/>
    <x v="48"/>
    <x v="4"/>
    <n v="0"/>
    <n v="700000"/>
    <n v="0"/>
    <n v="700000"/>
    <n v="30.820670807497184"/>
    <n v="25000"/>
    <n v="91"/>
    <x v="267"/>
    <x v="0"/>
    <x v="0"/>
    <x v="0"/>
  </r>
  <r>
    <x v="19"/>
    <s v="ZPEP"/>
    <x v="31"/>
    <s v="YT6892"/>
    <n v="121457498"/>
    <s v="PUCON"/>
    <x v="276"/>
    <x v="0"/>
    <x v="0"/>
    <x v="48"/>
    <x v="4"/>
    <n v="0"/>
    <n v="700000"/>
    <n v="0"/>
    <n v="700000"/>
    <n v="49.472412062787555"/>
    <n v="25000"/>
    <n v="49"/>
    <x v="268"/>
    <x v="0"/>
    <x v="0"/>
    <x v="0"/>
  </r>
  <r>
    <x v="19"/>
    <s v="ZPEP"/>
    <x v="8"/>
    <s v="VV6251"/>
    <n v="94654599"/>
    <s v="RENCA"/>
    <x v="277"/>
    <x v="0"/>
    <x v="0"/>
    <x v="7"/>
    <x v="1"/>
    <n v="1"/>
    <n v="62804"/>
    <n v="26916"/>
    <n v="89720"/>
    <n v="9.9999331257258657"/>
    <n v="4821"/>
    <n v="100"/>
    <x v="269"/>
    <x v="0"/>
    <x v="0"/>
    <x v="1"/>
  </r>
  <r>
    <x v="19"/>
    <s v="ZTAN"/>
    <x v="17"/>
    <s v="VJ8408"/>
    <n v="83259353"/>
    <s v="LAMPA"/>
    <x v="278"/>
    <x v="0"/>
    <x v="0"/>
    <x v="17"/>
    <x v="1"/>
    <n v="5"/>
    <n v="120000"/>
    <n v="0"/>
    <n v="120000"/>
    <n v="5.5897149245388489"/>
    <n v="12000"/>
    <n v="100"/>
    <x v="270"/>
    <x v="0"/>
    <x v="0"/>
    <x v="1"/>
  </r>
  <r>
    <x v="19"/>
    <s v="ZTAN"/>
    <x v="3"/>
    <s v="WC2233"/>
    <n v="125108660"/>
    <s v="LAS CONDES"/>
    <x v="279"/>
    <x v="4"/>
    <x v="1"/>
    <x v="3"/>
    <x v="1"/>
    <n v="3"/>
    <n v="48822"/>
    <n v="20923.560000000001"/>
    <n v="69745.56"/>
    <n v="10.000051616455325"/>
    <n v="6868"/>
    <n v="100"/>
    <x v="271"/>
    <x v="0"/>
    <x v="0"/>
    <x v="1"/>
  </r>
  <r>
    <x v="19"/>
    <s v="ZTAN"/>
    <x v="7"/>
    <s v="RK5135"/>
    <n v="138841065"/>
    <s v="MELIPILLA"/>
    <x v="280"/>
    <x v="3"/>
    <x v="1"/>
    <x v="29"/>
    <x v="1"/>
    <n v="5"/>
    <n v="90000"/>
    <n v="25989"/>
    <n v="115989"/>
    <n v="13.389010735311093"/>
    <n v="12000"/>
    <n v="72"/>
    <x v="272"/>
    <x v="0"/>
    <x v="0"/>
    <x v="1"/>
  </r>
  <r>
    <x v="19"/>
    <s v="ZTAN"/>
    <x v="7"/>
    <s v="WC2233"/>
    <n v="125108660"/>
    <s v="SAN MIGUEL"/>
    <x v="281"/>
    <x v="4"/>
    <x v="1"/>
    <x v="23"/>
    <x v="1"/>
    <n v="2"/>
    <n v="95295"/>
    <n v="40841"/>
    <n v="136136"/>
    <n v="10.000000000000007"/>
    <n v="5782"/>
    <n v="100"/>
    <x v="273"/>
    <x v="0"/>
    <x v="0"/>
    <x v="1"/>
  </r>
  <r>
    <x v="19"/>
    <s v="ZTAN"/>
    <x v="8"/>
    <s v="BDCH61"/>
    <n v="78907355"/>
    <s v="ÑUÑOA"/>
    <x v="282"/>
    <x v="1"/>
    <x v="1"/>
    <x v="15"/>
    <x v="1"/>
    <n v="1"/>
    <n v="33750"/>
    <n v="12651"/>
    <n v="46401"/>
    <n v="14.670861262172757"/>
    <n v="4821"/>
    <n v="66"/>
    <x v="274"/>
    <x v="0"/>
    <x v="0"/>
    <x v="1"/>
  </r>
  <r>
    <x v="19"/>
    <s v="ZTAN"/>
    <x v="8"/>
    <s v="SV2718"/>
    <n v="99626232"/>
    <s v="LAS CONDES"/>
    <x v="283"/>
    <x v="1"/>
    <x v="1"/>
    <x v="3"/>
    <x v="1"/>
    <n v="3"/>
    <n v="48075"/>
    <n v="2696"/>
    <n v="50771"/>
    <n v="75.32789317507418"/>
    <n v="6868"/>
    <n v="10"/>
    <x v="275"/>
    <x v="0"/>
    <x v="0"/>
    <x v="1"/>
  </r>
  <r>
    <x v="19"/>
    <s v="ZTAN"/>
    <x v="8"/>
    <s v="TP3884"/>
    <n v="161268070"/>
    <s v="PUDAHUEL"/>
    <x v="284"/>
    <x v="1"/>
    <x v="1"/>
    <x v="10"/>
    <x v="1"/>
    <n v="1"/>
    <n v="33750"/>
    <n v="14379"/>
    <n v="48129"/>
    <n v="13.388505619227773"/>
    <n v="4821"/>
    <n v="75"/>
    <x v="276"/>
    <x v="0"/>
    <x v="0"/>
    <x v="1"/>
  </r>
  <r>
    <x v="19"/>
    <s v="ZTAN"/>
    <x v="8"/>
    <s v="UA7248"/>
    <n v="107643206"/>
    <s v="SAN BERNARDO"/>
    <x v="285"/>
    <x v="1"/>
    <x v="1"/>
    <x v="4"/>
    <x v="1"/>
    <n v="4"/>
    <n v="56075"/>
    <n v="4747"/>
    <n v="60822"/>
    <n v="51.248736097067749"/>
    <n v="8011"/>
    <n v="15"/>
    <x v="277"/>
    <x v="0"/>
    <x v="0"/>
    <x v="1"/>
  </r>
  <r>
    <x v="19"/>
    <s v="ZTAN"/>
    <x v="8"/>
    <s v="VV6251"/>
    <n v="94654599"/>
    <s v="RENCA"/>
    <x v="286"/>
    <x v="0"/>
    <x v="0"/>
    <x v="7"/>
    <x v="1"/>
    <n v="1"/>
    <n v="33750"/>
    <n v="5265"/>
    <n v="39015"/>
    <n v="22.23076923076923"/>
    <n v="4821"/>
    <n v="36"/>
    <x v="278"/>
    <x v="0"/>
    <x v="0"/>
    <x v="1"/>
  </r>
  <r>
    <x v="20"/>
    <s v="ZPEP"/>
    <x v="13"/>
    <s v="XR6339"/>
    <s v="78907355"/>
    <s v="SANTIAGO"/>
    <x v="68"/>
    <x v="1"/>
    <x v="1"/>
    <x v="20"/>
    <x v="1"/>
    <n v="1"/>
    <n v="33750"/>
    <n v="0"/>
    <n v="33750"/>
    <n v="48.913043478260867"/>
    <n v="4821"/>
    <n v="14"/>
    <x v="279"/>
    <x v="0"/>
    <x v="0"/>
    <x v="1"/>
  </r>
  <r>
    <x v="20"/>
    <s v="ZPEP"/>
    <x v="17"/>
    <s v="SU9354"/>
    <s v="72564391"/>
    <s v="LAMPA"/>
    <x v="287"/>
    <x v="2"/>
    <x v="1"/>
    <x v="17"/>
    <x v="1"/>
    <n v="5"/>
    <n v="70000"/>
    <n v="0"/>
    <n v="70000"/>
    <n v="20.53629055917385"/>
    <n v="12000"/>
    <n v="28"/>
    <x v="280"/>
    <x v="0"/>
    <x v="0"/>
    <x v="1"/>
  </r>
  <r>
    <x v="20"/>
    <s v="ZPEP"/>
    <x v="30"/>
    <s v="PN4466"/>
    <s v="81417709"/>
    <s v="LA FLORIDA"/>
    <x v="288"/>
    <x v="1"/>
    <x v="0"/>
    <x v="33"/>
    <x v="1"/>
    <n v="3"/>
    <n v="80994"/>
    <n v="0"/>
    <n v="80994"/>
    <n v="6.9999887646178802"/>
    <n v="6868"/>
    <n v="100"/>
    <x v="281"/>
    <x v="0"/>
    <x v="0"/>
    <x v="1"/>
  </r>
  <r>
    <x v="20"/>
    <s v="ZPEP"/>
    <x v="32"/>
    <s v="DJLF85"/>
    <s v="125108660"/>
    <s v="LAMPA"/>
    <x v="289"/>
    <x v="4"/>
    <x v="1"/>
    <x v="17"/>
    <x v="1"/>
    <n v="5"/>
    <n v="70000"/>
    <n v="0"/>
    <n v="70000"/>
    <n v="8.9746351169779626"/>
    <n v="12000"/>
    <n v="65"/>
    <x v="282"/>
    <x v="0"/>
    <x v="0"/>
    <x v="1"/>
  </r>
  <r>
    <x v="20"/>
    <s v="ZPEP"/>
    <x v="32"/>
    <s v="DJLF85"/>
    <s v="53173292"/>
    <s v="LAMPA"/>
    <x v="290"/>
    <x v="4"/>
    <x v="1"/>
    <x v="17"/>
    <x v="1"/>
    <n v="5"/>
    <n v="70000"/>
    <n v="0"/>
    <n v="70000"/>
    <n v="12.987205747024074"/>
    <n v="12000"/>
    <n v="45"/>
    <x v="283"/>
    <x v="0"/>
    <x v="0"/>
    <x v="1"/>
  </r>
  <r>
    <x v="20"/>
    <s v="ZPEP"/>
    <x v="32"/>
    <s v="HILBX77"/>
    <s v="16093509K"/>
    <s v="LAMPA"/>
    <x v="291"/>
    <x v="0"/>
    <x v="0"/>
    <x v="17"/>
    <x v="1"/>
    <n v="5"/>
    <n v="120000"/>
    <n v="0"/>
    <n v="120000"/>
    <n v="81.306872463394967"/>
    <n v="12000"/>
    <n v="12"/>
    <x v="284"/>
    <x v="0"/>
    <x v="0"/>
    <x v="1"/>
  </r>
  <r>
    <x v="20"/>
    <s v="ZPEP"/>
    <x v="32"/>
    <s v="HLBX77"/>
    <s v="16093509K"/>
    <s v="LAMPA"/>
    <x v="292"/>
    <x v="1"/>
    <x v="1"/>
    <x v="17"/>
    <x v="1"/>
    <n v="5"/>
    <n v="70000"/>
    <n v="0"/>
    <n v="70000"/>
    <n v="8.1484887463550049"/>
    <n v="12000"/>
    <n v="72"/>
    <x v="285"/>
    <x v="0"/>
    <x v="0"/>
    <x v="1"/>
  </r>
  <r>
    <x v="20"/>
    <s v="ZPEP"/>
    <x v="2"/>
    <s v="SU9354"/>
    <s v="72564391"/>
    <s v="TALCA"/>
    <x v="293"/>
    <x v="2"/>
    <x v="1"/>
    <x v="12"/>
    <x v="3"/>
    <n v="0"/>
    <n v="260000"/>
    <n v="0"/>
    <n v="260000"/>
    <n v="84.212708345479371"/>
    <n v="25000"/>
    <n v="12"/>
    <x v="286"/>
    <x v="0"/>
    <x v="0"/>
    <x v="0"/>
  </r>
  <r>
    <x v="20"/>
    <s v="ZPEP"/>
    <x v="8"/>
    <s v="RG6503"/>
    <s v="10519045K"/>
    <s v="RENCA"/>
    <x v="294"/>
    <x v="5"/>
    <x v="0"/>
    <x v="7"/>
    <x v="1"/>
    <n v="1"/>
    <n v="43094"/>
    <n v="18469"/>
    <n v="61563"/>
    <n v="10.00003248715133"/>
    <n v="4821"/>
    <n v="100"/>
    <x v="287"/>
    <x v="0"/>
    <x v="0"/>
    <x v="1"/>
  </r>
  <r>
    <x v="20"/>
    <s v="ZPEP"/>
    <x v="33"/>
    <s v="RK5135"/>
    <s v="138841065"/>
    <s v="SAN BERNARDO"/>
    <x v="295"/>
    <x v="3"/>
    <x v="1"/>
    <x v="4"/>
    <x v="1"/>
    <n v="4"/>
    <n v="56075"/>
    <n v="0"/>
    <n v="56075"/>
    <n v="7.8912075834399316"/>
    <n v="8011"/>
    <n v="89"/>
    <x v="288"/>
    <x v="0"/>
    <x v="0"/>
    <x v="1"/>
  </r>
  <r>
    <x v="20"/>
    <s v="ZTAN"/>
    <x v="13"/>
    <s v="XR6339"/>
    <s v="78907355"/>
    <s v="SANTIAGO"/>
    <x v="296"/>
    <x v="1"/>
    <x v="1"/>
    <x v="20"/>
    <x v="1"/>
    <n v="1"/>
    <n v="33750"/>
    <n v="0"/>
    <n v="33750"/>
    <n v="13.595166163141993"/>
    <n v="4821"/>
    <n v="51"/>
    <x v="289"/>
    <x v="0"/>
    <x v="0"/>
    <x v="1"/>
  </r>
  <r>
    <x v="20"/>
    <s v="ZTAN"/>
    <x v="17"/>
    <s v="CJFZ67"/>
    <s v="115812335"/>
    <s v="LAMPA"/>
    <x v="297"/>
    <x v="5"/>
    <x v="0"/>
    <x v="17"/>
    <x v="1"/>
    <n v="5"/>
    <n v="120000"/>
    <n v="0"/>
    <n v="120000"/>
    <n v="5.5829533823392579"/>
    <n v="12000"/>
    <n v="100"/>
    <x v="290"/>
    <x v="0"/>
    <x v="0"/>
    <x v="1"/>
  </r>
  <r>
    <x v="20"/>
    <s v="ZTAN"/>
    <x v="2"/>
    <s v="SU9354"/>
    <s v="72564391"/>
    <s v="TALCA"/>
    <x v="298"/>
    <x v="2"/>
    <x v="1"/>
    <x v="12"/>
    <x v="3"/>
    <n v="0"/>
    <n v="260000"/>
    <n v="0"/>
    <n v="260000"/>
    <n v="139.63480128893661"/>
    <n v="25000"/>
    <n v="7"/>
    <x v="291"/>
    <x v="0"/>
    <x v="0"/>
    <x v="0"/>
  </r>
  <r>
    <x v="20"/>
    <s v="ZTAN"/>
    <x v="12"/>
    <s v="WC2233"/>
    <s v="125108660"/>
    <s v="VITACURA"/>
    <x v="299"/>
    <x v="4"/>
    <x v="1"/>
    <x v="27"/>
    <x v="1"/>
    <n v="3"/>
    <n v="48075"/>
    <n v="0"/>
    <n v="48075"/>
    <n v="7.6816758276875872"/>
    <n v="6868"/>
    <n v="91"/>
    <x v="292"/>
    <x v="0"/>
    <x v="0"/>
    <x v="1"/>
  </r>
  <r>
    <x v="20"/>
    <s v="ZTAN"/>
    <x v="6"/>
    <s v="BDCH61"/>
    <s v="99626232"/>
    <s v="LA REINA"/>
    <x v="300"/>
    <x v="1"/>
    <x v="1"/>
    <x v="11"/>
    <x v="1"/>
    <n v="3"/>
    <n v="48075"/>
    <n v="0"/>
    <n v="48075"/>
    <n v="57.505980861244019"/>
    <n v="6868"/>
    <n v="12"/>
    <x v="293"/>
    <x v="0"/>
    <x v="0"/>
    <x v="1"/>
  </r>
  <r>
    <x v="20"/>
    <s v="ZTAN"/>
    <x v="7"/>
    <s v="RF5135"/>
    <s v="138841065"/>
    <s v="SAN MIGUEL"/>
    <x v="301"/>
    <x v="0"/>
    <x v="0"/>
    <x v="23"/>
    <x v="1"/>
    <n v="2"/>
    <n v="82134"/>
    <n v="35200"/>
    <n v="117334"/>
    <n v="9.9999999999999911"/>
    <n v="5782"/>
    <n v="100"/>
    <x v="294"/>
    <x v="0"/>
    <x v="0"/>
    <x v="1"/>
  </r>
  <r>
    <x v="20"/>
    <s v="ZTAN"/>
    <x v="7"/>
    <s v="YW3249"/>
    <s v="129162074"/>
    <s v="CHILLAN"/>
    <x v="302"/>
    <x v="5"/>
    <x v="0"/>
    <x v="21"/>
    <x v="5"/>
    <n v="0"/>
    <n v="350000"/>
    <n v="0"/>
    <n v="350000"/>
    <n v="34.997200223982048"/>
    <n v="25000"/>
    <n v="40"/>
    <x v="295"/>
    <x v="0"/>
    <x v="0"/>
    <x v="0"/>
  </r>
  <r>
    <x v="20"/>
    <s v="ZTAN"/>
    <x v="8"/>
    <s v="SV2718"/>
    <s v="78907355"/>
    <s v="QUILIN"/>
    <x v="303"/>
    <x v="1"/>
    <x v="1"/>
    <x v="34"/>
    <x v="1"/>
    <n v="4"/>
    <n v="56075"/>
    <n v="2386"/>
    <n v="58461"/>
    <n v="98.023138832997958"/>
    <n v="8011"/>
    <n v="7"/>
    <x v="296"/>
    <x v="0"/>
    <x v="0"/>
    <x v="1"/>
  </r>
  <r>
    <x v="20"/>
    <s v="ZTAN"/>
    <x v="8"/>
    <s v="TP3884"/>
    <s v="161268070"/>
    <s v="PUDAHUEL"/>
    <x v="304"/>
    <x v="1"/>
    <x v="1"/>
    <x v="10"/>
    <x v="1"/>
    <n v="1"/>
    <n v="33750"/>
    <n v="4813"/>
    <n v="38563"/>
    <n v="32.050365691489361"/>
    <n v="4821"/>
    <n v="25"/>
    <x v="297"/>
    <x v="0"/>
    <x v="0"/>
    <x v="1"/>
  </r>
  <r>
    <x v="20"/>
    <s v="ZTAN"/>
    <x v="8"/>
    <s v="UA7248"/>
    <s v="107643206"/>
    <s v="QUILICURA"/>
    <x v="305"/>
    <x v="1"/>
    <x v="1"/>
    <x v="8"/>
    <x v="1"/>
    <n v="1"/>
    <n v="33750"/>
    <n v="2264"/>
    <n v="36014"/>
    <n v="63.628975265017665"/>
    <n v="4821"/>
    <n v="12"/>
    <x v="298"/>
    <x v="0"/>
    <x v="0"/>
    <x v="1"/>
  </r>
  <r>
    <x v="21"/>
    <s v="ZPEP"/>
    <x v="5"/>
    <s v="HLBX77"/>
    <s v="16093509K"/>
    <s v="CERRILLOS"/>
    <x v="306"/>
    <x v="1"/>
    <x v="1"/>
    <x v="9"/>
    <x v="1"/>
    <n v="2"/>
    <n v="73393"/>
    <n v="41938.68"/>
    <n v="115331.68"/>
    <n v="11.000029566977309"/>
    <n v="5782"/>
    <n v="100"/>
    <x v="299"/>
    <x v="0"/>
    <x v="0"/>
    <x v="1"/>
  </r>
  <r>
    <x v="21"/>
    <s v="ZPEP"/>
    <x v="5"/>
    <s v="WC2233"/>
    <s v="125108660"/>
    <s v="LAMPA"/>
    <x v="307"/>
    <x v="4"/>
    <x v="1"/>
    <x v="17"/>
    <x v="1"/>
    <n v="5"/>
    <n v="70000"/>
    <n v="15687.09"/>
    <n v="85687.09"/>
    <n v="16.386804053524269"/>
    <n v="12000"/>
    <n v="44"/>
    <x v="300"/>
    <x v="0"/>
    <x v="0"/>
    <x v="1"/>
  </r>
  <r>
    <x v="21"/>
    <s v="ZPEP"/>
    <x v="32"/>
    <s v="DJLF85"/>
    <s v="53173292"/>
    <s v="LAMPA"/>
    <x v="308"/>
    <x v="4"/>
    <x v="1"/>
    <x v="17"/>
    <x v="1"/>
    <n v="5"/>
    <n v="70000"/>
    <n v="12107.97"/>
    <n v="82107.97"/>
    <n v="20.343947829404932"/>
    <n v="12000"/>
    <n v="34"/>
    <x v="301"/>
    <x v="0"/>
    <x v="0"/>
    <x v="1"/>
  </r>
  <r>
    <x v="21"/>
    <s v="ZPEP"/>
    <x v="12"/>
    <s v="TP3884"/>
    <s v="161268070"/>
    <s v="VITACURA"/>
    <x v="309"/>
    <x v="1"/>
    <x v="1"/>
    <x v="27"/>
    <x v="1"/>
    <n v="3"/>
    <n v="50211"/>
    <n v="28691.760000000006"/>
    <n v="78902.760000000009"/>
    <n v="11.000058553396514"/>
    <n v="6868"/>
    <n v="100"/>
    <x v="302"/>
    <x v="0"/>
    <x v="0"/>
    <x v="1"/>
  </r>
  <r>
    <x v="21"/>
    <s v="ZPEP"/>
    <x v="8"/>
    <s v="VV6251"/>
    <s v="94654599"/>
    <s v="RENCA"/>
    <x v="310"/>
    <x v="0"/>
    <x v="0"/>
    <x v="7"/>
    <x v="1"/>
    <n v="1"/>
    <n v="132605"/>
    <n v="56831"/>
    <n v="189436"/>
    <n v="10.000021115355297"/>
    <n v="4821"/>
    <n v="100"/>
    <x v="303"/>
    <x v="0"/>
    <x v="0"/>
    <x v="1"/>
  </r>
  <r>
    <x v="21"/>
    <s v="ZPEP"/>
    <x v="8"/>
    <s v="XR6339"/>
    <s v="78907355"/>
    <s v="RENCA"/>
    <x v="311"/>
    <x v="1"/>
    <x v="1"/>
    <x v="7"/>
    <x v="1"/>
    <n v="1"/>
    <n v="33750"/>
    <n v="14778"/>
    <n v="48528"/>
    <n v="13.135485407722998"/>
    <n v="4821"/>
    <n v="77"/>
    <x v="304"/>
    <x v="0"/>
    <x v="0"/>
    <x v="1"/>
  </r>
  <r>
    <x v="21"/>
    <s v="ZTAN"/>
    <x v="4"/>
    <s v="BDCH61"/>
    <s v="107643206"/>
    <s v="PAINE"/>
    <x v="312"/>
    <x v="1"/>
    <x v="1"/>
    <x v="13"/>
    <x v="1"/>
    <n v="5"/>
    <n v="90000"/>
    <n v="12355.199999999995"/>
    <n v="102355.2"/>
    <n v="33.13752913752915"/>
    <n v="12000"/>
    <n v="26"/>
    <x v="305"/>
    <x v="0"/>
    <x v="0"/>
    <x v="1"/>
  </r>
  <r>
    <x v="21"/>
    <s v="ZTAN"/>
    <x v="10"/>
    <s v="UA7248"/>
    <s v="99626232"/>
    <s v="SANTIAGO"/>
    <x v="313"/>
    <x v="1"/>
    <x v="1"/>
    <x v="20"/>
    <x v="1"/>
    <n v="1"/>
    <n v="33750"/>
    <n v="5702"/>
    <n v="39452"/>
    <n v="27.673961840628508"/>
    <n v="4821"/>
    <n v="30"/>
    <x v="306"/>
    <x v="0"/>
    <x v="0"/>
    <x v="1"/>
  </r>
  <r>
    <x v="21"/>
    <s v="ZTAN"/>
    <x v="6"/>
    <s v="NK5991"/>
    <s v="78778555"/>
    <s v="ANTOFAGASTA"/>
    <x v="205"/>
    <x v="0"/>
    <x v="0"/>
    <x v="49"/>
    <x v="7"/>
    <n v="0"/>
    <n v="1400000"/>
    <n v="0"/>
    <n v="1400000"/>
    <n v="126.77484787018254"/>
    <n v="25000"/>
    <n v="44"/>
    <x v="307"/>
    <x v="0"/>
    <x v="0"/>
    <x v="0"/>
  </r>
  <r>
    <x v="21"/>
    <s v="ZTAN"/>
    <x v="16"/>
    <s v="SV2718"/>
    <s v="78907355"/>
    <s v="RENCA"/>
    <x v="314"/>
    <x v="1"/>
    <x v="1"/>
    <x v="7"/>
    <x v="1"/>
    <n v="1"/>
    <n v="33750"/>
    <n v="7603.2"/>
    <n v="41353.199999999997"/>
    <n v="21.755681818181817"/>
    <n v="4821"/>
    <n v="39"/>
    <x v="308"/>
    <x v="0"/>
    <x v="0"/>
    <x v="1"/>
  </r>
  <r>
    <x v="21"/>
    <s v="ZTAN"/>
    <x v="7"/>
    <s v="CJFZ67"/>
    <s v="115812335"/>
    <s v="CHILLAN"/>
    <x v="315"/>
    <x v="5"/>
    <x v="0"/>
    <x v="21"/>
    <x v="5"/>
    <n v="0"/>
    <n v="350000"/>
    <n v="0"/>
    <n v="350000"/>
    <n v="36.826599326599293"/>
    <n v="25000"/>
    <n v="38"/>
    <x v="309"/>
    <x v="0"/>
    <x v="0"/>
    <x v="0"/>
  </r>
  <r>
    <x v="21"/>
    <s v="ZTAN"/>
    <x v="8"/>
    <s v="BDCH61"/>
    <s v="99626232"/>
    <s v="HUECHURABA"/>
    <x v="316"/>
    <x v="1"/>
    <x v="1"/>
    <x v="24"/>
    <x v="1"/>
    <n v="1"/>
    <n v="33750"/>
    <n v="1746"/>
    <n v="35496"/>
    <n v="81.338221814848765"/>
    <n v="4821"/>
    <n v="9"/>
    <x v="310"/>
    <x v="0"/>
    <x v="0"/>
    <x v="1"/>
  </r>
  <r>
    <x v="21"/>
    <s v="ZTAN"/>
    <x v="8"/>
    <s v="SV2718"/>
    <s v="161268070"/>
    <s v="PUENTE ALTO"/>
    <x v="317"/>
    <x v="1"/>
    <x v="1"/>
    <x v="30"/>
    <x v="1"/>
    <n v="4"/>
    <n v="56075"/>
    <n v="2826"/>
    <n v="58901"/>
    <n v="83.381936579841451"/>
    <n v="8011"/>
    <n v="9"/>
    <x v="311"/>
    <x v="0"/>
    <x v="0"/>
    <x v="1"/>
  </r>
  <r>
    <x v="21"/>
    <s v="ZTAN"/>
    <x v="8"/>
    <s v="TP3884"/>
    <s v="78907355"/>
    <s v="SAN MIGUEL"/>
    <x v="283"/>
    <x v="1"/>
    <x v="1"/>
    <x v="23"/>
    <x v="1"/>
    <n v="2"/>
    <n v="40475"/>
    <n v="2696"/>
    <n v="43171"/>
    <n v="64.051928783382792"/>
    <n v="5782"/>
    <n v="12"/>
    <x v="312"/>
    <x v="0"/>
    <x v="0"/>
    <x v="1"/>
  </r>
  <r>
    <x v="21"/>
    <s v="ZTAN"/>
    <x v="8"/>
    <s v="UA7248"/>
    <s v="107643206"/>
    <s v="LA REINA"/>
    <x v="318"/>
    <x v="1"/>
    <x v="1"/>
    <x v="11"/>
    <x v="1"/>
    <n v="3"/>
    <n v="48075"/>
    <n v="3474"/>
    <n v="51549"/>
    <n v="59.360893597420542"/>
    <n v="6868"/>
    <n v="13"/>
    <x v="313"/>
    <x v="0"/>
    <x v="0"/>
    <x v="1"/>
  </r>
  <r>
    <x v="22"/>
    <s v="ZPEP"/>
    <x v="34"/>
    <s v="WC2233"/>
    <s v="125108660"/>
    <s v="LAS CONDES"/>
    <x v="319"/>
    <x v="4"/>
    <x v="1"/>
    <x v="3"/>
    <x v="1"/>
    <n v="3"/>
    <n v="48075"/>
    <n v="15600"/>
    <n v="63675"/>
    <n v="12.245192307692308"/>
    <n v="6868"/>
    <n v="76"/>
    <x v="314"/>
    <x v="1"/>
    <x v="0"/>
    <x v="1"/>
  </r>
  <r>
    <x v="22"/>
    <s v="ZPEP"/>
    <x v="5"/>
    <s v="JTYB84"/>
    <s v="6270439K"/>
    <s v="COQUIMBO"/>
    <x v="320"/>
    <x v="5"/>
    <x v="0"/>
    <x v="42"/>
    <x v="8"/>
    <n v="0"/>
    <n v="600000"/>
    <n v="0"/>
    <n v="600000"/>
    <n v="32.32290147602528"/>
    <n v="25000"/>
    <n v="74"/>
    <x v="315"/>
    <x v="1"/>
    <x v="0"/>
    <x v="0"/>
  </r>
  <r>
    <x v="22"/>
    <s v="ZPEP"/>
    <x v="5"/>
    <s v="RK5135"/>
    <s v="138841065"/>
    <s v="CERRILLOS"/>
    <x v="321"/>
    <x v="3"/>
    <x v="1"/>
    <x v="9"/>
    <x v="1"/>
    <n v="2"/>
    <n v="40475"/>
    <n v="15793.560000000001"/>
    <n v="56268.56"/>
    <n v="10.688260278239991"/>
    <n v="5782"/>
    <n v="91"/>
    <x v="316"/>
    <x v="1"/>
    <x v="0"/>
    <x v="1"/>
  </r>
  <r>
    <x v="22"/>
    <s v="ZPEP"/>
    <x v="30"/>
    <s v="PN4466"/>
    <s v="100327283"/>
    <s v="LA FLORIDA"/>
    <x v="322"/>
    <x v="1"/>
    <x v="0"/>
    <x v="33"/>
    <x v="1"/>
    <n v="3"/>
    <n v="109907"/>
    <n v="62803.76"/>
    <n v="172710.76"/>
    <n v="11.000026749990765"/>
    <n v="6868"/>
    <n v="100"/>
    <x v="317"/>
    <x v="1"/>
    <x v="0"/>
    <x v="1"/>
  </r>
  <r>
    <x v="22"/>
    <s v="ZPEP"/>
    <x v="12"/>
    <s v="BDCH61"/>
    <s v="161268070"/>
    <s v="VITACURA"/>
    <x v="323"/>
    <x v="1"/>
    <x v="1"/>
    <x v="27"/>
    <x v="1"/>
    <n v="3"/>
    <n v="48075"/>
    <n v="5452.24"/>
    <n v="53527.24"/>
    <n v="39.269907414200404"/>
    <n v="6868"/>
    <n v="20"/>
    <x v="318"/>
    <x v="1"/>
    <x v="0"/>
    <x v="1"/>
  </r>
  <r>
    <x v="22"/>
    <s v="ZPEP"/>
    <x v="12"/>
    <s v="HLBX77"/>
    <s v="16093509K"/>
    <s v="VITACURA"/>
    <x v="324"/>
    <x v="1"/>
    <x v="1"/>
    <x v="27"/>
    <x v="1"/>
    <n v="3"/>
    <n v="91801"/>
    <n v="52457.599999999999"/>
    <n v="144258.6"/>
    <n v="11.000015250411762"/>
    <n v="6868"/>
    <n v="100"/>
    <x v="319"/>
    <x v="1"/>
    <x v="0"/>
    <x v="1"/>
  </r>
  <r>
    <x v="22"/>
    <s v="ZPEP"/>
    <x v="10"/>
    <s v="GKRB84"/>
    <s v="122975819"/>
    <s v="QUILICURA"/>
    <x v="325"/>
    <x v="5"/>
    <x v="0"/>
    <x v="8"/>
    <x v="1"/>
    <n v="1"/>
    <n v="62487"/>
    <n v="26780"/>
    <n v="89267"/>
    <n v="10.000000000000002"/>
    <n v="4821"/>
    <n v="100"/>
    <x v="320"/>
    <x v="1"/>
    <x v="0"/>
    <x v="1"/>
  </r>
  <r>
    <x v="22"/>
    <s v="ZPEP"/>
    <x v="7"/>
    <s v="TP3884"/>
    <s v="107643206"/>
    <s v="SAN MIGUEL"/>
    <x v="326"/>
    <x v="1"/>
    <x v="1"/>
    <x v="23"/>
    <x v="1"/>
    <n v="2"/>
    <n v="40475"/>
    <n v="12180"/>
    <n v="52655"/>
    <n v="17.292282430213465"/>
    <n v="5782"/>
    <n v="53"/>
    <x v="321"/>
    <x v="1"/>
    <x v="0"/>
    <x v="1"/>
  </r>
  <r>
    <x v="22"/>
    <s v="ZPEP"/>
    <x v="8"/>
    <s v="DJLF85"/>
    <s v="53173292"/>
    <s v="RENCA"/>
    <x v="327"/>
    <x v="4"/>
    <x v="1"/>
    <x v="7"/>
    <x v="1"/>
    <n v="1"/>
    <n v="40549"/>
    <n v="17378"/>
    <n v="57927"/>
    <n v="10.000086316280116"/>
    <n v="4821"/>
    <n v="100"/>
    <x v="322"/>
    <x v="1"/>
    <x v="0"/>
    <x v="1"/>
  </r>
  <r>
    <x v="22"/>
    <s v="ZPEP"/>
    <x v="8"/>
    <s v="RK5135"/>
    <s v="138841065"/>
    <s v="RENCA"/>
    <x v="328"/>
    <x v="3"/>
    <x v="1"/>
    <x v="7"/>
    <x v="1"/>
    <n v="1"/>
    <n v="33750"/>
    <n v="8007"/>
    <n v="41757"/>
    <n v="15.645126844785144"/>
    <n v="4821"/>
    <n v="55"/>
    <x v="323"/>
    <x v="1"/>
    <x v="0"/>
    <x v="1"/>
  </r>
  <r>
    <x v="22"/>
    <s v="ZPEP"/>
    <x v="8"/>
    <s v="XR6339"/>
    <s v="78907355"/>
    <s v="RENCA"/>
    <x v="329"/>
    <x v="1"/>
    <x v="1"/>
    <x v="7"/>
    <x v="1"/>
    <n v="1"/>
    <n v="33750"/>
    <n v="18265"/>
    <n v="52015"/>
    <n v="11.391359955148504"/>
    <n v="4821"/>
    <n v="95"/>
    <x v="324"/>
    <x v="1"/>
    <x v="0"/>
    <x v="1"/>
  </r>
  <r>
    <x v="22"/>
    <s v="ZTAN"/>
    <x v="7"/>
    <s v="SU9354"/>
    <s v="72564391"/>
    <s v="RENCA"/>
    <x v="330"/>
    <x v="2"/>
    <x v="1"/>
    <x v="7"/>
    <x v="1"/>
    <n v="1"/>
    <n v="33750"/>
    <n v="8554"/>
    <n v="42304"/>
    <n v="9.8915076692854491"/>
    <n v="4821"/>
    <n v="59"/>
    <x v="325"/>
    <x v="1"/>
    <x v="0"/>
    <x v="1"/>
  </r>
  <r>
    <x v="22"/>
    <s v="ZTAN"/>
    <x v="8"/>
    <s v="BDCH61"/>
    <s v="78907355"/>
    <s v="TALAGANTE"/>
    <x v="331"/>
    <x v="1"/>
    <x v="1"/>
    <x v="50"/>
    <x v="1"/>
    <n v="4"/>
    <n v="56075"/>
    <n v="14242"/>
    <n v="70317"/>
    <n v="19.74974721941355"/>
    <n v="8011"/>
    <n v="44"/>
    <x v="326"/>
    <x v="1"/>
    <x v="0"/>
    <x v="1"/>
  </r>
  <r>
    <x v="22"/>
    <s v="ZTAN"/>
    <x v="8"/>
    <s v="HLBX77"/>
    <s v="16093509K"/>
    <s v="PUDAHUEL"/>
    <x v="332"/>
    <x v="1"/>
    <x v="1"/>
    <x v="10"/>
    <x v="1"/>
    <n v="1"/>
    <n v="33750"/>
    <n v="8699"/>
    <n v="42449"/>
    <n v="19.518576420820303"/>
    <n v="4821"/>
    <n v="45"/>
    <x v="327"/>
    <x v="1"/>
    <x v="0"/>
    <x v="1"/>
  </r>
  <r>
    <x v="22"/>
    <s v="ZTAN"/>
    <x v="8"/>
    <s v="SV2718"/>
    <s v="161268070"/>
    <s v="SAN BERNARDO"/>
    <x v="313"/>
    <x v="1"/>
    <x v="1"/>
    <x v="4"/>
    <x v="1"/>
    <n v="4"/>
    <n v="56075"/>
    <n v="5702"/>
    <n v="61777"/>
    <n v="43.334034792368129"/>
    <n v="8011"/>
    <n v="18"/>
    <x v="328"/>
    <x v="1"/>
    <x v="0"/>
    <x v="1"/>
  </r>
  <r>
    <x v="22"/>
    <s v="ZTAN"/>
    <x v="8"/>
    <s v="TP3884"/>
    <s v="107643206"/>
    <s v="LAS CONDES"/>
    <x v="333"/>
    <x v="1"/>
    <x v="1"/>
    <x v="3"/>
    <x v="1"/>
    <n v="3"/>
    <n v="48075"/>
    <n v="3646"/>
    <n v="51721"/>
    <n v="56.736507240017552"/>
    <n v="6868"/>
    <n v="13"/>
    <x v="329"/>
    <x v="1"/>
    <x v="0"/>
    <x v="1"/>
  </r>
  <r>
    <x v="22"/>
    <s v="ZTAN"/>
    <x v="8"/>
    <s v="UA7248"/>
    <s v="99626232"/>
    <s v="CERRILLOS"/>
    <x v="334"/>
    <x v="1"/>
    <x v="1"/>
    <x v="9"/>
    <x v="1"/>
    <n v="2"/>
    <n v="40475"/>
    <n v="4061"/>
    <n v="44536"/>
    <n v="43.869188337273442"/>
    <n v="5782"/>
    <n v="18"/>
    <x v="330"/>
    <x v="1"/>
    <x v="0"/>
    <x v="1"/>
  </r>
  <r>
    <x v="23"/>
    <s v="ZPEP"/>
    <x v="34"/>
    <s v="XR6339"/>
    <s v="78907355"/>
    <s v="LAS CONDES"/>
    <x v="335"/>
    <x v="1"/>
    <x v="1"/>
    <x v="3"/>
    <x v="1"/>
    <n v="3"/>
    <n v="48075"/>
    <n v="8000"/>
    <n v="56075"/>
    <n v="28.037500000000001"/>
    <n v="6868"/>
    <n v="29"/>
    <x v="331"/>
    <x v="1"/>
    <x v="0"/>
    <x v="1"/>
  </r>
  <r>
    <x v="23"/>
    <s v="ZPEP"/>
    <x v="5"/>
    <s v="SU9354"/>
    <s v="72564391"/>
    <s v="SAN FELIPE"/>
    <x v="336"/>
    <x v="2"/>
    <x v="1"/>
    <x v="35"/>
    <x v="2"/>
    <n v="0"/>
    <n v="180000"/>
    <n v="0"/>
    <n v="180000"/>
    <n v="25.473704768252968"/>
    <n v="25000"/>
    <n v="28"/>
    <x v="332"/>
    <x v="1"/>
    <x v="0"/>
    <x v="0"/>
  </r>
  <r>
    <x v="23"/>
    <s v="ZPEP"/>
    <x v="11"/>
    <s v="PN4466"/>
    <s v="91417709"/>
    <s v="PADRE HURTADO"/>
    <x v="337"/>
    <x v="1"/>
    <x v="0"/>
    <x v="26"/>
    <x v="1"/>
    <n v="5"/>
    <n v="120000"/>
    <m/>
    <n v="120000"/>
    <n v="9.4806874446466125"/>
    <n v="12000"/>
    <n v="100"/>
    <x v="333"/>
    <x v="1"/>
    <x v="0"/>
    <x v="1"/>
  </r>
  <r>
    <x v="23"/>
    <s v="ZPEP"/>
    <x v="12"/>
    <s v="DJLF85"/>
    <s v="53173292"/>
    <s v="VITACURA"/>
    <x v="338"/>
    <x v="4"/>
    <x v="1"/>
    <x v="27"/>
    <x v="1"/>
    <n v="3"/>
    <n v="67106"/>
    <n v="28759.919999999998"/>
    <n v="95865.919999999998"/>
    <n v="9.9999499303196959"/>
    <n v="6868"/>
    <n v="100"/>
    <x v="334"/>
    <x v="1"/>
    <x v="0"/>
    <x v="1"/>
  </r>
  <r>
    <x v="23"/>
    <s v="ZPEP"/>
    <x v="8"/>
    <s v="WC2233"/>
    <s v="125108660"/>
    <s v="RENCA"/>
    <x v="339"/>
    <x v="4"/>
    <x v="1"/>
    <x v="7"/>
    <x v="1"/>
    <n v="1"/>
    <n v="78984"/>
    <n v="33850"/>
    <n v="112834"/>
    <n v="10"/>
    <n v="4821"/>
    <n v="100"/>
    <x v="335"/>
    <x v="1"/>
    <x v="0"/>
    <x v="1"/>
  </r>
  <r>
    <x v="23"/>
    <s v="ZTAN"/>
    <x v="7"/>
    <s v="BWPL69"/>
    <s v="78551976"/>
    <s v="CHILLAN"/>
    <x v="340"/>
    <x v="5"/>
    <x v="0"/>
    <x v="21"/>
    <x v="5"/>
    <n v="0"/>
    <n v="350000"/>
    <n v="0"/>
    <n v="350000"/>
    <n v="36.990065525258927"/>
    <n v="25000"/>
    <n v="38"/>
    <x v="336"/>
    <x v="1"/>
    <x v="0"/>
    <x v="0"/>
  </r>
  <r>
    <x v="23"/>
    <s v="ZTAN"/>
    <x v="7"/>
    <s v="HLBX77"/>
    <s v="16093509K"/>
    <s v="SAN MIGUEL"/>
    <x v="341"/>
    <x v="1"/>
    <x v="1"/>
    <x v="23"/>
    <x v="1"/>
    <n v="2"/>
    <n v="57252"/>
    <n v="32715"/>
    <n v="89967"/>
    <n v="11.000024453465054"/>
    <n v="5782"/>
    <n v="100"/>
    <x v="337"/>
    <x v="1"/>
    <x v="0"/>
    <x v="1"/>
  </r>
  <r>
    <x v="23"/>
    <s v="ZTAN"/>
    <x v="7"/>
    <s v="RG6503"/>
    <s v="10519045K"/>
    <s v="RANCAGUA"/>
    <x v="342"/>
    <x v="5"/>
    <x v="0"/>
    <x v="28"/>
    <x v="6"/>
    <n v="0"/>
    <n v="230000"/>
    <n v="0"/>
    <n v="230000"/>
    <n v="20.433546552949554"/>
    <n v="25000"/>
    <n v="45"/>
    <x v="338"/>
    <x v="1"/>
    <x v="0"/>
    <x v="0"/>
  </r>
  <r>
    <x v="23"/>
    <s v="ZTAN"/>
    <x v="7"/>
    <s v="RG6503"/>
    <s v="10519045K"/>
    <s v="RENCA"/>
    <x v="343"/>
    <x v="5"/>
    <x v="0"/>
    <x v="7"/>
    <x v="1"/>
    <n v="1"/>
    <n v="33750"/>
    <n v="12695"/>
    <n v="46445"/>
    <n v="10.975753851970888"/>
    <n v="4821"/>
    <n v="88"/>
    <x v="339"/>
    <x v="1"/>
    <x v="0"/>
    <x v="1"/>
  </r>
  <r>
    <x v="23"/>
    <s v="ZTAN"/>
    <x v="7"/>
    <s v="RK5135"/>
    <s v="138841065"/>
    <s v="SAN MIGUEL"/>
    <x v="344"/>
    <x v="3"/>
    <x v="1"/>
    <x v="23"/>
    <x v="1"/>
    <n v="2"/>
    <n v="115489"/>
    <n v="49495"/>
    <n v="164984"/>
    <n v="9.9999999999999947"/>
    <n v="5782"/>
    <n v="100"/>
    <x v="340"/>
    <x v="1"/>
    <x v="0"/>
    <x v="1"/>
  </r>
  <r>
    <x v="23"/>
    <s v="ZTAN"/>
    <x v="7"/>
    <s v="WG4022"/>
    <s v="100327283"/>
    <s v="MELIPILLA"/>
    <x v="345"/>
    <x v="1"/>
    <x v="0"/>
    <x v="29"/>
    <x v="1"/>
    <n v="5"/>
    <n v="120000"/>
    <n v="56813"/>
    <n v="176813"/>
    <n v="12.448814351695392"/>
    <n v="12000"/>
    <n v="100"/>
    <x v="341"/>
    <x v="1"/>
    <x v="0"/>
    <x v="1"/>
  </r>
  <r>
    <x v="23"/>
    <s v="ZTAN"/>
    <x v="8"/>
    <s v="BDCH61"/>
    <s v="78907355"/>
    <s v="EL BOSQUE"/>
    <x v="346"/>
    <x v="1"/>
    <x v="1"/>
    <x v="25"/>
    <x v="1"/>
    <n v="3"/>
    <n v="48075"/>
    <n v="16293"/>
    <n v="64368"/>
    <n v="15.802808602572911"/>
    <n v="6868"/>
    <n v="59"/>
    <x v="342"/>
    <x v="1"/>
    <x v="0"/>
    <x v="1"/>
  </r>
  <r>
    <x v="23"/>
    <s v="ZTAN"/>
    <x v="8"/>
    <s v="SV2718"/>
    <s v="99626232"/>
    <s v="ÑUÑOA"/>
    <x v="347"/>
    <x v="1"/>
    <x v="1"/>
    <x v="15"/>
    <x v="1"/>
    <n v="1"/>
    <n v="33750"/>
    <n v="11856"/>
    <n v="45606"/>
    <n v="15.38663967611336"/>
    <n v="4821"/>
    <n v="61"/>
    <x v="343"/>
    <x v="1"/>
    <x v="0"/>
    <x v="1"/>
  </r>
  <r>
    <x v="23"/>
    <s v="ZTAN"/>
    <x v="8"/>
    <s v="TP3884"/>
    <s v="161268070"/>
    <s v="PUDAHUEL"/>
    <x v="348"/>
    <x v="1"/>
    <x v="1"/>
    <x v="10"/>
    <x v="1"/>
    <n v="1"/>
    <n v="38164"/>
    <n v="21808"/>
    <n v="59972"/>
    <n v="11.000000000000002"/>
    <n v="4821"/>
    <n v="100"/>
    <x v="344"/>
    <x v="1"/>
    <x v="0"/>
    <x v="1"/>
  </r>
  <r>
    <x v="23"/>
    <s v="ZTAN"/>
    <x v="8"/>
    <s v="UA7248"/>
    <s v="107643206"/>
    <s v="PUENTE ALTO"/>
    <x v="349"/>
    <x v="1"/>
    <x v="1"/>
    <x v="30"/>
    <x v="1"/>
    <n v="4"/>
    <n v="56075"/>
    <n v="15653"/>
    <n v="71728"/>
    <n v="18.329755698660943"/>
    <n v="8011"/>
    <n v="49"/>
    <x v="345"/>
    <x v="1"/>
    <x v="0"/>
    <x v="1"/>
  </r>
  <r>
    <x v="24"/>
    <s v="ZNL"/>
    <x v="0"/>
    <s v="JTYB84"/>
    <s v="6270439K"/>
    <s v="TALCAHUANO"/>
    <x v="104"/>
    <x v="5"/>
    <x v="0"/>
    <x v="0"/>
    <x v="0"/>
    <n v="0"/>
    <n v="380000"/>
    <n v="0"/>
    <n v="380000"/>
    <n v="19.476791864851563"/>
    <n v="25000"/>
    <n v="78"/>
    <x v="346"/>
    <x v="1"/>
    <x v="0"/>
    <x v="0"/>
  </r>
  <r>
    <x v="24"/>
    <s v="ZPEP"/>
    <x v="35"/>
    <s v="SU9354"/>
    <s v="72564391"/>
    <s v="PADRE HURTADO"/>
    <x v="350"/>
    <x v="2"/>
    <x v="1"/>
    <x v="26"/>
    <x v="1"/>
    <n v="5"/>
    <n v="70000"/>
    <n v="21124.440000000002"/>
    <n v="91124.44"/>
    <n v="12.941091929537539"/>
    <n v="12000"/>
    <n v="59"/>
    <x v="347"/>
    <x v="1"/>
    <x v="0"/>
    <x v="1"/>
  </r>
  <r>
    <x v="24"/>
    <s v="ZPEP"/>
    <x v="5"/>
    <s v="HLBX77"/>
    <s v="16093509K"/>
    <s v="CERRILLOS"/>
    <x v="351"/>
    <x v="1"/>
    <x v="1"/>
    <x v="9"/>
    <x v="1"/>
    <n v="2"/>
    <n v="62893"/>
    <n v="35939.000000000007"/>
    <n v="98832"/>
    <n v="10.999972175074429"/>
    <n v="5782"/>
    <n v="100"/>
    <x v="348"/>
    <x v="1"/>
    <x v="0"/>
    <x v="1"/>
  </r>
  <r>
    <x v="24"/>
    <s v="ZPEP"/>
    <x v="32"/>
    <s v="RK5135"/>
    <s v="138841065"/>
    <s v="LAMPA"/>
    <x v="352"/>
    <x v="3"/>
    <x v="1"/>
    <x v="17"/>
    <x v="1"/>
    <n v="5"/>
    <n v="70000"/>
    <n v="36176.520000000004"/>
    <n v="106176.52"/>
    <n v="8.8048701201773962"/>
    <n v="12000"/>
    <n v="100"/>
    <x v="349"/>
    <x v="1"/>
    <x v="0"/>
    <x v="1"/>
  </r>
  <r>
    <x v="24"/>
    <s v="ZPEP"/>
    <x v="12"/>
    <s v="TP3884"/>
    <s v="161268070"/>
    <s v="VITACURA"/>
    <x v="353"/>
    <x v="1"/>
    <x v="1"/>
    <x v="27"/>
    <x v="1"/>
    <n v="3"/>
    <n v="62352"/>
    <n v="35629.440000000002"/>
    <n v="97981.440000000002"/>
    <n v="11.000053888020693"/>
    <n v="6868"/>
    <n v="100"/>
    <x v="350"/>
    <x v="1"/>
    <x v="0"/>
    <x v="1"/>
  </r>
  <r>
    <x v="24"/>
    <s v="ZPEP"/>
    <x v="8"/>
    <s v="WC2233"/>
    <s v="125108660"/>
    <s v="RENCA"/>
    <x v="354"/>
    <x v="4"/>
    <x v="1"/>
    <x v="7"/>
    <x v="1"/>
    <n v="1"/>
    <n v="45769"/>
    <n v="19615"/>
    <n v="65384"/>
    <n v="9.9998776474042899"/>
    <n v="4821"/>
    <n v="100"/>
    <x v="351"/>
    <x v="1"/>
    <x v="0"/>
    <x v="1"/>
  </r>
  <r>
    <x v="24"/>
    <s v="ZPEP"/>
    <x v="8"/>
    <s v="XR6339"/>
    <s v="78907355"/>
    <s v="RENCA"/>
    <x v="355"/>
    <x v="1"/>
    <x v="1"/>
    <x v="7"/>
    <x v="1"/>
    <n v="1"/>
    <n v="39582"/>
    <n v="22618"/>
    <n v="62200"/>
    <n v="10.999893891698793"/>
    <n v="4821"/>
    <n v="100"/>
    <x v="352"/>
    <x v="1"/>
    <x v="0"/>
    <x v="1"/>
  </r>
  <r>
    <x v="24"/>
    <s v="ZPEP"/>
    <x v="33"/>
    <s v="PN4466"/>
    <s v="81417709"/>
    <s v="SAN BERNARDO"/>
    <x v="356"/>
    <x v="1"/>
    <x v="0"/>
    <x v="4"/>
    <x v="1"/>
    <n v="4"/>
    <n v="119939"/>
    <n v="68536.359999999957"/>
    <n v="188475.35999999996"/>
    <n v="11.000021594377062"/>
    <n v="8011"/>
    <n v="100"/>
    <x v="353"/>
    <x v="1"/>
    <x v="0"/>
    <x v="1"/>
  </r>
  <r>
    <x v="24"/>
    <s v="ZTAN"/>
    <x v="11"/>
    <s v="SV2718"/>
    <s v="107643206"/>
    <s v="PADRE HURTADO"/>
    <x v="357"/>
    <x v="1"/>
    <x v="1"/>
    <x v="26"/>
    <x v="1"/>
    <n v="5"/>
    <n v="70000"/>
    <n v="12000"/>
    <n v="82000"/>
    <n v="27.980618303419089"/>
    <n v="12000"/>
    <n v="24"/>
    <x v="354"/>
    <x v="1"/>
    <x v="0"/>
    <x v="1"/>
  </r>
  <r>
    <x v="24"/>
    <s v="ZTAN"/>
    <x v="7"/>
    <s v="DJLF85"/>
    <s v="53173292"/>
    <s v="RENCA"/>
    <x v="358"/>
    <x v="4"/>
    <x v="1"/>
    <x v="7"/>
    <x v="1"/>
    <n v="1"/>
    <n v="45696"/>
    <n v="19584"/>
    <n v="65280"/>
    <n v="9.9999999999999964"/>
    <n v="4821"/>
    <n v="100"/>
    <x v="355"/>
    <x v="1"/>
    <x v="0"/>
    <x v="1"/>
  </r>
  <r>
    <x v="24"/>
    <s v="ZTAN"/>
    <x v="7"/>
    <s v="WC2233"/>
    <s v="125108660"/>
    <s v="RENCA"/>
    <x v="359"/>
    <x v="4"/>
    <x v="1"/>
    <x v="7"/>
    <x v="1"/>
    <n v="1"/>
    <n v="33750"/>
    <n v="13507"/>
    <n v="47257"/>
    <n v="10.495957711442786"/>
    <n v="4821"/>
    <n v="93"/>
    <x v="356"/>
    <x v="1"/>
    <x v="0"/>
    <x v="1"/>
  </r>
  <r>
    <x v="24"/>
    <s v="ZTAN"/>
    <x v="8"/>
    <s v="BDCH61"/>
    <s v="107643206"/>
    <s v="PUDAHUEL"/>
    <x v="360"/>
    <x v="1"/>
    <x v="1"/>
    <x v="10"/>
    <x v="1"/>
    <n v="1"/>
    <n v="33750"/>
    <n v="14858"/>
    <n v="48608"/>
    <n v="13.086366573336205"/>
    <n v="4821"/>
    <n v="77"/>
    <x v="357"/>
    <x v="1"/>
    <x v="0"/>
    <x v="1"/>
  </r>
  <r>
    <x v="24"/>
    <s v="ZTAN"/>
    <x v="8"/>
    <s v="DJLF85"/>
    <s v="53173292"/>
    <s v="QUILIN"/>
    <x v="361"/>
    <x v="4"/>
    <x v="1"/>
    <x v="34"/>
    <x v="1"/>
    <n v="4"/>
    <n v="56075"/>
    <n v="11969"/>
    <n v="68044"/>
    <n v="17.055343894124725"/>
    <n v="8011"/>
    <n v="50"/>
    <x v="358"/>
    <x v="1"/>
    <x v="0"/>
    <x v="1"/>
  </r>
  <r>
    <x v="24"/>
    <s v="ZTAN"/>
    <x v="8"/>
    <s v="SV2718"/>
    <s v="99626232"/>
    <s v="LAS CONDES"/>
    <x v="362"/>
    <x v="1"/>
    <x v="1"/>
    <x v="3"/>
    <x v="1"/>
    <n v="4"/>
    <n v="56075"/>
    <n v="12000"/>
    <n v="68075"/>
    <n v="53.907982261640797"/>
    <n v="8011"/>
    <n v="16"/>
    <x v="359"/>
    <x v="1"/>
    <x v="0"/>
    <x v="1"/>
  </r>
  <r>
    <x v="24"/>
    <s v="ZTAN"/>
    <x v="8"/>
    <s v="TP3884"/>
    <s v="161268070"/>
    <s v="MAIPU"/>
    <x v="363"/>
    <x v="1"/>
    <x v="1"/>
    <x v="2"/>
    <x v="1"/>
    <n v="2"/>
    <n v="40475"/>
    <n v="12000"/>
    <n v="52475"/>
    <n v="30.874911743939752"/>
    <n v="5782"/>
    <n v="29"/>
    <x v="360"/>
    <x v="1"/>
    <x v="0"/>
    <x v="1"/>
  </r>
  <r>
    <x v="24"/>
    <s v="ZTAN"/>
    <x v="8"/>
    <s v="UA7248"/>
    <s v="78907355"/>
    <s v="SAN BERNARDO"/>
    <x v="364"/>
    <x v="1"/>
    <x v="1"/>
    <x v="4"/>
    <x v="1"/>
    <n v="4"/>
    <n v="56075"/>
    <n v="12000"/>
    <n v="68075"/>
    <n v="39.159572020248504"/>
    <n v="8011"/>
    <n v="22"/>
    <x v="361"/>
    <x v="1"/>
    <x v="0"/>
    <x v="1"/>
  </r>
  <r>
    <x v="25"/>
    <s v="ZPEP"/>
    <x v="32"/>
    <s v="HLBX77"/>
    <s v="16093509K"/>
    <s v="LAMPA"/>
    <x v="365"/>
    <x v="1"/>
    <x v="1"/>
    <x v="17"/>
    <x v="1"/>
    <n v="5"/>
    <n v="70000"/>
    <n v="37333.56"/>
    <n v="107333.56"/>
    <n v="11.49995446456218"/>
    <n v="12000"/>
    <n v="78"/>
    <x v="362"/>
    <x v="1"/>
    <x v="0"/>
    <x v="1"/>
  </r>
  <r>
    <x v="25"/>
    <s v="ZPEP"/>
    <x v="12"/>
    <s v="RK5135"/>
    <s v="138841065"/>
    <s v="VITACURA"/>
    <x v="366"/>
    <x v="3"/>
    <x v="1"/>
    <x v="27"/>
    <x v="1"/>
    <n v="4"/>
    <n v="88943"/>
    <n v="38118.33"/>
    <n v="127061.33"/>
    <n v="10.000018101527532"/>
    <n v="8011"/>
    <n v="100"/>
    <x v="363"/>
    <x v="1"/>
    <x v="0"/>
    <x v="1"/>
  </r>
  <r>
    <x v="25"/>
    <s v="ZPEP"/>
    <x v="8"/>
    <s v="RG6503"/>
    <s v="10519045K"/>
    <s v="RENCA"/>
    <x v="367"/>
    <x v="5"/>
    <x v="0"/>
    <x v="7"/>
    <x v="1"/>
    <n v="1"/>
    <n v="125165"/>
    <n v="0"/>
    <n v="125165"/>
    <n v="6.9999977629536163"/>
    <n v="4821"/>
    <n v="100"/>
    <x v="364"/>
    <x v="1"/>
    <x v="0"/>
    <x v="1"/>
  </r>
  <r>
    <x v="25"/>
    <s v="ZPEP"/>
    <x v="8"/>
    <s v="XR6339"/>
    <s v="78907355"/>
    <s v="RENCA"/>
    <x v="368"/>
    <x v="1"/>
    <x v="1"/>
    <x v="7"/>
    <x v="1"/>
    <n v="1"/>
    <n v="47258"/>
    <n v="27005"/>
    <n v="74263"/>
    <n v="10.999970375636922"/>
    <n v="4821"/>
    <n v="100"/>
    <x v="365"/>
    <x v="1"/>
    <x v="0"/>
    <x v="1"/>
  </r>
  <r>
    <x v="25"/>
    <s v="ZPEP"/>
    <x v="33"/>
    <s v="PN4466"/>
    <s v="81417709"/>
    <s v="SAN BERNARDO"/>
    <x v="369"/>
    <x v="1"/>
    <x v="0"/>
    <x v="4"/>
    <x v="1"/>
    <n v="4"/>
    <n v="126361"/>
    <n v="72206.48000000004"/>
    <n v="198567.48000000004"/>
    <n v="10.999981165125343"/>
    <n v="8011"/>
    <n v="100"/>
    <x v="366"/>
    <x v="1"/>
    <x v="0"/>
    <x v="1"/>
  </r>
  <r>
    <x v="25"/>
    <s v="ZTAN"/>
    <x v="17"/>
    <s v="CJFZ67"/>
    <s v="115812335"/>
    <s v="LAMPA"/>
    <x v="370"/>
    <x v="5"/>
    <x v="0"/>
    <x v="17"/>
    <x v="1"/>
    <n v="5"/>
    <n v="120000"/>
    <n v="0"/>
    <n v="120000"/>
    <n v="5.6507816914673192"/>
    <n v="12000"/>
    <n v="100"/>
    <x v="367"/>
    <x v="1"/>
    <x v="0"/>
    <x v="1"/>
  </r>
  <r>
    <x v="25"/>
    <s v="ZTAN"/>
    <x v="3"/>
    <s v="SU9354"/>
    <s v="72564391"/>
    <s v="LAS CONDES"/>
    <x v="89"/>
    <x v="2"/>
    <x v="1"/>
    <x v="3"/>
    <x v="1"/>
    <n v="4"/>
    <n v="128478"/>
    <n v="55062"/>
    <n v="183540"/>
    <n v="10"/>
    <n v="8011"/>
    <n v="100"/>
    <x v="368"/>
    <x v="1"/>
    <x v="0"/>
    <x v="1"/>
  </r>
  <r>
    <x v="25"/>
    <s v="ZTAN"/>
    <x v="4"/>
    <s v="BWPL69"/>
    <s v="78551976"/>
    <s v="SAN FRANCISCO"/>
    <x v="104"/>
    <x v="5"/>
    <x v="0"/>
    <x v="51"/>
    <x v="6"/>
    <n v="0"/>
    <n v="230000"/>
    <n v="0"/>
    <n v="230000"/>
    <n v="11.788584549778578"/>
    <n v="25000"/>
    <n v="78"/>
    <x v="369"/>
    <x v="1"/>
    <x v="0"/>
    <x v="0"/>
  </r>
  <r>
    <x v="25"/>
    <s v="ZTAN"/>
    <x v="4"/>
    <s v="TW7053"/>
    <s v="172861164"/>
    <s v="ARICA"/>
    <x v="371"/>
    <x v="6"/>
    <x v="1"/>
    <x v="4"/>
    <x v="1"/>
    <n v="0"/>
    <n v="56075"/>
    <n v="31516.800000000003"/>
    <n v="87591.8"/>
    <n v="8.3376294547669811"/>
    <n v="25000"/>
    <n v="42"/>
    <x v="370"/>
    <x v="1"/>
    <x v="0"/>
    <x v="1"/>
  </r>
  <r>
    <x v="25"/>
    <s v="ZTAN"/>
    <x v="4"/>
    <s v="WC2233"/>
    <s v="125108660"/>
    <s v="ARICA"/>
    <x v="372"/>
    <x v="4"/>
    <x v="1"/>
    <x v="4"/>
    <x v="1"/>
    <n v="0"/>
    <n v="56075"/>
    <n v="21011.199999999993"/>
    <n v="77086.2"/>
    <n v="14.675258909533968"/>
    <n v="25000"/>
    <n v="21"/>
    <x v="371"/>
    <x v="1"/>
    <x v="0"/>
    <x v="1"/>
  </r>
  <r>
    <x v="25"/>
    <s v="ZTAN"/>
    <x v="16"/>
    <s v="DJLF85"/>
    <s v="53173292"/>
    <s v="RENCA"/>
    <x v="373"/>
    <x v="4"/>
    <x v="1"/>
    <x v="7"/>
    <x v="1"/>
    <n v="1"/>
    <n v="54970"/>
    <n v="23558.399999999994"/>
    <n v="78528.399999999994"/>
    <n v="10.000050937245316"/>
    <n v="4821"/>
    <n v="100"/>
    <x v="372"/>
    <x v="1"/>
    <x v="0"/>
    <x v="1"/>
  </r>
  <r>
    <x v="25"/>
    <s v="ZTAN"/>
    <x v="16"/>
    <s v="RK5135"/>
    <s v="138841065"/>
    <s v="RENCA"/>
    <x v="374"/>
    <x v="3"/>
    <x v="1"/>
    <x v="7"/>
    <x v="1"/>
    <n v="1"/>
    <n v="38472"/>
    <n v="16488.000000000007"/>
    <n v="54960.000000000007"/>
    <n v="9.9999999999999982"/>
    <n v="4821"/>
    <n v="100"/>
    <x v="373"/>
    <x v="1"/>
    <x v="0"/>
    <x v="1"/>
  </r>
  <r>
    <x v="25"/>
    <s v="ZTAN"/>
    <x v="22"/>
    <s v="BDCH61"/>
    <s v="161268070"/>
    <s v="SAN BERNARDO"/>
    <x v="375"/>
    <x v="1"/>
    <x v="1"/>
    <x v="4"/>
    <x v="1"/>
    <n v="4"/>
    <n v="56075"/>
    <n v="18872"/>
    <n v="74947"/>
    <n v="15.885332768122085"/>
    <n v="8011"/>
    <n v="59"/>
    <x v="374"/>
    <x v="1"/>
    <x v="0"/>
    <x v="1"/>
  </r>
  <r>
    <x v="25"/>
    <s v="ZTAN"/>
    <x v="8"/>
    <s v="BDCH61"/>
    <s v="161268070"/>
    <s v="HUECHURABA"/>
    <x v="376"/>
    <x v="1"/>
    <x v="1"/>
    <x v="24"/>
    <x v="1"/>
    <n v="1"/>
    <n v="33750"/>
    <n v="10898"/>
    <n v="44648"/>
    <n v="16.388195565996181"/>
    <n v="4821"/>
    <n v="57"/>
    <x v="375"/>
    <x v="1"/>
    <x v="0"/>
    <x v="1"/>
  </r>
  <r>
    <x v="25"/>
    <s v="ZTAN"/>
    <x v="8"/>
    <s v="DJLF85"/>
    <s v="53173292"/>
    <s v="PUENTE ALTO"/>
    <x v="377"/>
    <x v="4"/>
    <x v="1"/>
    <x v="30"/>
    <x v="1"/>
    <n v="4"/>
    <n v="56075"/>
    <n v="6111"/>
    <n v="62186"/>
    <n v="30.528227785959746"/>
    <n v="8011"/>
    <n v="25"/>
    <x v="376"/>
    <x v="1"/>
    <x v="0"/>
    <x v="1"/>
  </r>
  <r>
    <x v="25"/>
    <s v="ZTAN"/>
    <x v="8"/>
    <s v="SV2718"/>
    <s v="99626232"/>
    <s v="QUILICURA"/>
    <x v="378"/>
    <x v="1"/>
    <x v="1"/>
    <x v="8"/>
    <x v="1"/>
    <n v="1"/>
    <n v="33750"/>
    <n v="12000"/>
    <n v="45750"/>
    <n v="23.616559983481313"/>
    <n v="4821"/>
    <n v="40"/>
    <x v="377"/>
    <x v="1"/>
    <x v="0"/>
    <x v="1"/>
  </r>
  <r>
    <x v="25"/>
    <s v="ZTAN"/>
    <x v="8"/>
    <s v="TP3884"/>
    <s v="78907355"/>
    <s v="PUDAHUEL"/>
    <x v="379"/>
    <x v="1"/>
    <x v="1"/>
    <x v="10"/>
    <x v="1"/>
    <n v="1"/>
    <n v="33750"/>
    <n v="18150"/>
    <n v="51900"/>
    <n v="11.437764456981663"/>
    <n v="4821"/>
    <n v="94"/>
    <x v="378"/>
    <x v="1"/>
    <x v="0"/>
    <x v="1"/>
  </r>
  <r>
    <x v="25"/>
    <s v="ZTAN"/>
    <x v="8"/>
    <s v="UA7248"/>
    <s v="107643206"/>
    <s v="CERRILLOS"/>
    <x v="347"/>
    <x v="1"/>
    <x v="1"/>
    <x v="9"/>
    <x v="1"/>
    <n v="2"/>
    <n v="40475"/>
    <n v="12000"/>
    <n v="52475"/>
    <n v="17.704116059379217"/>
    <n v="5782"/>
    <n v="51"/>
    <x v="379"/>
    <x v="1"/>
    <x v="0"/>
    <x v="1"/>
  </r>
  <r>
    <x v="26"/>
    <s v="ZPEP"/>
    <x v="35"/>
    <s v="SU9354"/>
    <s v="72564391"/>
    <s v="PADRE HURTADO"/>
    <x v="380"/>
    <x v="2"/>
    <x v="1"/>
    <x v="26"/>
    <x v="1"/>
    <n v="5"/>
    <n v="70000"/>
    <n v="10919.369999999999"/>
    <n v="80919.37"/>
    <n v="22.231878762236281"/>
    <n v="12000"/>
    <n v="30"/>
    <x v="380"/>
    <x v="1"/>
    <x v="0"/>
    <x v="1"/>
  </r>
  <r>
    <x v="26"/>
    <s v="ZPEP"/>
    <x v="5"/>
    <s v="RK5135"/>
    <s v="138841065"/>
    <s v="CERRILLOS"/>
    <x v="381"/>
    <x v="3"/>
    <x v="1"/>
    <x v="9"/>
    <x v="1"/>
    <n v="2"/>
    <n v="51896"/>
    <n v="22241.19"/>
    <n v="74137.19"/>
    <n v="9.9999851626644087"/>
    <n v="5782"/>
    <n v="100"/>
    <x v="381"/>
    <x v="1"/>
    <x v="0"/>
    <x v="1"/>
  </r>
  <r>
    <x v="26"/>
    <s v="ZPEP"/>
    <x v="32"/>
    <s v="HLBX77"/>
    <s v="16093509K"/>
    <s v="LAMPA"/>
    <x v="382"/>
    <x v="1"/>
    <x v="1"/>
    <x v="17"/>
    <x v="1"/>
    <n v="5"/>
    <n v="70000"/>
    <n v="39416.879999999997"/>
    <n v="109416.88"/>
    <n v="11.103555634032933"/>
    <n v="12000"/>
    <n v="82"/>
    <x v="382"/>
    <x v="1"/>
    <x v="0"/>
    <x v="1"/>
  </r>
  <r>
    <x v="26"/>
    <s v="ZPEP"/>
    <x v="32"/>
    <s v="PN4466"/>
    <s v="81417709"/>
    <s v="LAMPA"/>
    <x v="383"/>
    <x v="1"/>
    <x v="0"/>
    <x v="17"/>
    <x v="1"/>
    <n v="5"/>
    <n v="120000"/>
    <n v="44466.12"/>
    <n v="164466.12"/>
    <n v="14.79473540754174"/>
    <n v="12000"/>
    <n v="93"/>
    <x v="383"/>
    <x v="1"/>
    <x v="0"/>
    <x v="1"/>
  </r>
  <r>
    <x v="26"/>
    <s v="ZPEP"/>
    <x v="8"/>
    <s v="CJXX49"/>
    <s v="167832741"/>
    <s v="RENCA"/>
    <x v="384"/>
    <x v="5"/>
    <x v="0"/>
    <x v="7"/>
    <x v="1"/>
    <n v="1"/>
    <n v="124727"/>
    <n v="53455"/>
    <n v="178182"/>
    <n v="10"/>
    <n v="4821"/>
    <n v="100"/>
    <x v="384"/>
    <x v="1"/>
    <x v="0"/>
    <x v="1"/>
  </r>
  <r>
    <x v="26"/>
    <s v="ZTAN"/>
    <x v="4"/>
    <s v="WC2233"/>
    <s v="125108660"/>
    <s v="PAINE"/>
    <x v="385"/>
    <x v="4"/>
    <x v="1"/>
    <x v="13"/>
    <x v="1"/>
    <n v="5"/>
    <n v="90000"/>
    <n v="22511.999999999993"/>
    <n v="112512"/>
    <n v="14.993603411513865"/>
    <n v="12000"/>
    <n v="63"/>
    <x v="385"/>
    <x v="1"/>
    <x v="0"/>
    <x v="1"/>
  </r>
  <r>
    <x v="26"/>
    <s v="ZTAN"/>
    <x v="10"/>
    <s v="XR6339"/>
    <s v="78907355"/>
    <s v="SANTIAGO"/>
    <x v="386"/>
    <x v="1"/>
    <x v="1"/>
    <x v="20"/>
    <x v="1"/>
    <n v="1"/>
    <n v="57238"/>
    <n v="32707"/>
    <n v="89945"/>
    <n v="11.000024459446241"/>
    <n v="4821"/>
    <n v="100"/>
    <x v="386"/>
    <x v="1"/>
    <x v="0"/>
    <x v="1"/>
  </r>
  <r>
    <x v="26"/>
    <s v="ZTAN"/>
    <x v="7"/>
    <s v="WC2233"/>
    <s v="125108660"/>
    <s v="RENCA"/>
    <x v="385"/>
    <x v="4"/>
    <x v="1"/>
    <x v="7"/>
    <x v="1"/>
    <n v="1"/>
    <n v="52528"/>
    <n v="22512"/>
    <n v="75040"/>
    <n v="10.000000000000004"/>
    <n v="4821"/>
    <n v="100"/>
    <x v="387"/>
    <x v="1"/>
    <x v="0"/>
    <x v="1"/>
  </r>
  <r>
    <x v="26"/>
    <s v="ZTAN"/>
    <x v="8"/>
    <s v="BDCH61"/>
    <s v="99626232"/>
    <s v="PUDAHUEL"/>
    <x v="387"/>
    <x v="1"/>
    <x v="1"/>
    <x v="10"/>
    <x v="1"/>
    <n v="1"/>
    <n v="33750"/>
    <n v="16403"/>
    <n v="50153"/>
    <n v="12.230052672649238"/>
    <n v="4821"/>
    <n v="85"/>
    <x v="388"/>
    <x v="1"/>
    <x v="0"/>
    <x v="1"/>
  </r>
  <r>
    <x v="26"/>
    <s v="ZTAN"/>
    <x v="8"/>
    <s v="SV2718"/>
    <s v="161268070"/>
    <s v="LA FLORIDA"/>
    <x v="254"/>
    <x v="1"/>
    <x v="1"/>
    <x v="33"/>
    <x v="1"/>
    <n v="3"/>
    <n v="48075"/>
    <n v="12000"/>
    <n v="60075"/>
    <n v="37.532800199925028"/>
    <n v="6868"/>
    <n v="23"/>
    <x v="389"/>
    <x v="1"/>
    <x v="0"/>
    <x v="1"/>
  </r>
  <r>
    <x v="26"/>
    <s v="ZTAN"/>
    <x v="8"/>
    <s v="UA7248"/>
    <s v="107643206"/>
    <s v="PUENTE ALTO"/>
    <x v="388"/>
    <x v="1"/>
    <x v="1"/>
    <x v="30"/>
    <x v="1"/>
    <n v="4"/>
    <n v="56075"/>
    <n v="12000"/>
    <n v="68075"/>
    <n v="34.464864317537462"/>
    <n v="8011"/>
    <n v="25"/>
    <x v="390"/>
    <x v="1"/>
    <x v="0"/>
    <x v="1"/>
  </r>
  <r>
    <x v="27"/>
    <s v="ZNL"/>
    <x v="0"/>
    <s v="NK5991"/>
    <s v="78778555"/>
    <s v="TALCAHUANO"/>
    <x v="389"/>
    <x v="0"/>
    <x v="0"/>
    <x v="0"/>
    <x v="0"/>
    <n v="0"/>
    <n v="380000"/>
    <n v="0"/>
    <n v="380000"/>
    <n v="21.737638148410877"/>
    <n v="25000"/>
    <n v="70"/>
    <x v="391"/>
    <x v="1"/>
    <x v="0"/>
    <x v="0"/>
  </r>
  <r>
    <x v="27"/>
    <s v="ZPEP"/>
    <x v="5"/>
    <s v="DJLF85"/>
    <s v="53173292"/>
    <s v="LAMPA"/>
    <x v="390"/>
    <x v="4"/>
    <x v="1"/>
    <x v="17"/>
    <x v="1"/>
    <n v="5"/>
    <n v="70000"/>
    <n v="11160.36"/>
    <n v="81160.36"/>
    <n v="21.816597314065138"/>
    <n v="12000"/>
    <n v="31"/>
    <x v="392"/>
    <x v="1"/>
    <x v="0"/>
    <x v="1"/>
  </r>
  <r>
    <x v="27"/>
    <s v="ZPEP"/>
    <x v="5"/>
    <s v="HLBX77"/>
    <s v="16093509K"/>
    <s v="LAMPA"/>
    <x v="391"/>
    <x v="1"/>
    <x v="1"/>
    <x v="17"/>
    <x v="1"/>
    <n v="5"/>
    <n v="70000"/>
    <n v="33556.559999999998"/>
    <n v="103556.56"/>
    <n v="12.344121089885258"/>
    <n v="12000"/>
    <n v="70"/>
    <x v="393"/>
    <x v="1"/>
    <x v="0"/>
    <x v="1"/>
  </r>
  <r>
    <x v="27"/>
    <s v="ZPEP"/>
    <x v="32"/>
    <s v="RK5135"/>
    <s v="138841065"/>
    <s v="LAMPA"/>
    <x v="392"/>
    <x v="3"/>
    <x v="1"/>
    <x v="17"/>
    <x v="1"/>
    <n v="5"/>
    <n v="70000"/>
    <n v="21296.880000000005"/>
    <n v="91296.88"/>
    <n v="12.860599299052254"/>
    <n v="12000"/>
    <n v="59"/>
    <x v="394"/>
    <x v="1"/>
    <x v="0"/>
    <x v="1"/>
  </r>
  <r>
    <x v="27"/>
    <s v="ZPEP"/>
    <x v="12"/>
    <s v="WC2233"/>
    <s v="125108660"/>
    <s v="VITACURA"/>
    <x v="244"/>
    <x v="4"/>
    <x v="1"/>
    <x v="27"/>
    <x v="1"/>
    <n v="4"/>
    <n v="56075"/>
    <n v="14523.300000000001"/>
    <n v="70598.3"/>
    <n v="14.583111276362809"/>
    <n v="8011"/>
    <n v="60"/>
    <x v="395"/>
    <x v="1"/>
    <x v="0"/>
    <x v="1"/>
  </r>
  <r>
    <x v="27"/>
    <s v="ZPEP"/>
    <x v="12"/>
    <s v="XR6339"/>
    <s v="16093509K"/>
    <s v="VITACURA"/>
    <x v="393"/>
    <x v="1"/>
    <x v="1"/>
    <x v="27"/>
    <x v="1"/>
    <n v="4"/>
    <n v="56075"/>
    <n v="18354.560000000001"/>
    <n v="74429.56"/>
    <n v="16.220396457338122"/>
    <n v="8011"/>
    <n v="57"/>
    <x v="396"/>
    <x v="1"/>
    <x v="0"/>
    <x v="1"/>
  </r>
  <r>
    <x v="27"/>
    <s v="ZPEP"/>
    <x v="8"/>
    <s v="DFRV76"/>
    <s v="113693268"/>
    <s v="RENCA"/>
    <x v="394"/>
    <x v="5"/>
    <x v="0"/>
    <x v="7"/>
    <x v="1"/>
    <n v="1"/>
    <n v="85340"/>
    <n v="36574"/>
    <n v="121914"/>
    <n v="10"/>
    <n v="4821"/>
    <n v="100"/>
    <x v="397"/>
    <x v="1"/>
    <x v="0"/>
    <x v="1"/>
  </r>
  <r>
    <x v="27"/>
    <s v="ZPEP"/>
    <x v="8"/>
    <s v="DFRV76"/>
    <s v="113693568"/>
    <s v="RENCA"/>
    <x v="395"/>
    <x v="5"/>
    <x v="0"/>
    <x v="7"/>
    <x v="1"/>
    <n v="1"/>
    <n v="51204"/>
    <n v="21945"/>
    <n v="73149"/>
    <n v="10.00008202503404"/>
    <n v="4821"/>
    <n v="100"/>
    <x v="398"/>
    <x v="1"/>
    <x v="0"/>
    <x v="1"/>
  </r>
  <r>
    <x v="27"/>
    <s v="ZPEP"/>
    <x v="8"/>
    <s v="JTYB84"/>
    <s v="6270439K"/>
    <s v="RENCA"/>
    <x v="367"/>
    <x v="5"/>
    <x v="0"/>
    <x v="7"/>
    <x v="1"/>
    <n v="1"/>
    <n v="125165"/>
    <n v="53642"/>
    <n v="178807"/>
    <n v="9.9999888147680842"/>
    <n v="4821"/>
    <n v="100"/>
    <x v="399"/>
    <x v="1"/>
    <x v="0"/>
    <x v="1"/>
  </r>
  <r>
    <x v="27"/>
    <s v="ZPEP"/>
    <x v="8"/>
    <s v="SU9354"/>
    <s v="72564391"/>
    <s v="RENCA"/>
    <x v="396"/>
    <x v="2"/>
    <x v="1"/>
    <x v="7"/>
    <x v="1"/>
    <n v="1"/>
    <n v="33750"/>
    <n v="12462"/>
    <n v="46212"/>
    <n v="11.124350947129724"/>
    <n v="4821"/>
    <n v="86"/>
    <x v="400"/>
    <x v="1"/>
    <x v="0"/>
    <x v="1"/>
  </r>
  <r>
    <x v="27"/>
    <s v="ZTAN"/>
    <x v="4"/>
    <s v="BDCH61"/>
    <s v="107643206"/>
    <s v="PADRE HURTADO"/>
    <x v="385"/>
    <x v="1"/>
    <x v="1"/>
    <x v="26"/>
    <x v="1"/>
    <n v="5"/>
    <n v="70000"/>
    <n v="30015.999999999989"/>
    <n v="100015.99999999999"/>
    <n v="13.328358208955226"/>
    <n v="12000"/>
    <n v="63"/>
    <x v="401"/>
    <x v="1"/>
    <x v="0"/>
    <x v="1"/>
  </r>
  <r>
    <x v="27"/>
    <s v="ZTAN"/>
    <x v="4"/>
    <s v="PN4466"/>
    <s v="81417709"/>
    <s v="MELIPILLA"/>
    <x v="397"/>
    <x v="1"/>
    <x v="0"/>
    <x v="29"/>
    <x v="1"/>
    <n v="5"/>
    <n v="120000"/>
    <n v="75040"/>
    <n v="195040"/>
    <n v="10.396588486140725"/>
    <n v="12000"/>
    <n v="100"/>
    <x v="402"/>
    <x v="1"/>
    <x v="0"/>
    <x v="1"/>
  </r>
  <r>
    <x v="27"/>
    <s v="ZTAN"/>
    <x v="10"/>
    <s v="TP3884"/>
    <s v="99626232"/>
    <s v="SANTIAGO"/>
    <x v="398"/>
    <x v="1"/>
    <x v="1"/>
    <x v="20"/>
    <x v="1"/>
    <n v="1"/>
    <n v="67045"/>
    <n v="38311"/>
    <n v="105356"/>
    <n v="11.00002088162209"/>
    <n v="4821"/>
    <n v="100"/>
    <x v="403"/>
    <x v="1"/>
    <x v="0"/>
    <x v="1"/>
  </r>
  <r>
    <x v="27"/>
    <s v="ZTAN"/>
    <x v="7"/>
    <s v="DJLF85"/>
    <s v="125108660"/>
    <s v="RENCA"/>
    <x v="399"/>
    <x v="4"/>
    <x v="1"/>
    <x v="7"/>
    <x v="1"/>
    <n v="1"/>
    <n v="47793"/>
    <n v="20483"/>
    <n v="68276"/>
    <n v="10"/>
    <n v="4821"/>
    <n v="100"/>
    <x v="404"/>
    <x v="1"/>
    <x v="0"/>
    <x v="1"/>
  </r>
  <r>
    <x v="27"/>
    <s v="ZTAN"/>
    <x v="7"/>
    <s v="WC2233"/>
    <s v="53173292"/>
    <s v="RENCA"/>
    <x v="400"/>
    <x v="4"/>
    <x v="1"/>
    <x v="7"/>
    <x v="1"/>
    <n v="1"/>
    <n v="57781"/>
    <n v="24763"/>
    <n v="82544"/>
    <n v="10.000000000000002"/>
    <n v="4821"/>
    <n v="100"/>
    <x v="405"/>
    <x v="1"/>
    <x v="0"/>
    <x v="1"/>
  </r>
  <r>
    <x v="27"/>
    <s v="ZTAN"/>
    <x v="7"/>
    <s v="WG4022"/>
    <s v="100327283"/>
    <s v="MELIPILLA"/>
    <x v="401"/>
    <x v="1"/>
    <x v="0"/>
    <x v="29"/>
    <x v="1"/>
    <n v="5"/>
    <n v="120000"/>
    <n v="66627"/>
    <n v="186627"/>
    <n v="11.204252917727295"/>
    <n v="12000"/>
    <n v="100"/>
    <x v="406"/>
    <x v="1"/>
    <x v="0"/>
    <x v="1"/>
  </r>
  <r>
    <x v="27"/>
    <s v="ZTAN"/>
    <x v="7"/>
    <s v="XR6339"/>
    <s v="78907355"/>
    <s v="RENCA"/>
    <x v="402"/>
    <x v="1"/>
    <x v="1"/>
    <x v="7"/>
    <x v="1"/>
    <n v="1"/>
    <n v="41653"/>
    <n v="23802"/>
    <n v="65455"/>
    <n v="11.000100833557408"/>
    <n v="4821"/>
    <n v="100"/>
    <x v="407"/>
    <x v="1"/>
    <x v="0"/>
    <x v="1"/>
  </r>
  <r>
    <x v="27"/>
    <s v="ZTAN"/>
    <x v="8"/>
    <s v="BDCH61"/>
    <s v="81417709"/>
    <s v="LAS CONDES"/>
    <x v="403"/>
    <x v="1"/>
    <x v="1"/>
    <x v="3"/>
    <x v="1"/>
    <n v="4"/>
    <n v="56075"/>
    <n v="10899"/>
    <n v="66974"/>
    <n v="24.579418672930121"/>
    <n v="8011"/>
    <n v="34"/>
    <x v="408"/>
    <x v="1"/>
    <x v="0"/>
    <x v="1"/>
  </r>
  <r>
    <x v="27"/>
    <s v="ZTAN"/>
    <x v="8"/>
    <s v="SU9354"/>
    <s v="99626232"/>
    <s v="ÑUÑOA"/>
    <x v="404"/>
    <x v="2"/>
    <x v="1"/>
    <x v="15"/>
    <x v="1"/>
    <n v="4"/>
    <n v="56075"/>
    <n v="9601"/>
    <n v="65676"/>
    <n v="20.521184851893512"/>
    <n v="8011"/>
    <n v="40"/>
    <x v="409"/>
    <x v="1"/>
    <x v="0"/>
    <x v="1"/>
  </r>
  <r>
    <x v="27"/>
    <s v="ZTAN"/>
    <x v="8"/>
    <s v="TP3884"/>
    <s v="107643206"/>
    <s v="ÑUÑOA"/>
    <x v="405"/>
    <x v="1"/>
    <x v="1"/>
    <x v="15"/>
    <x v="1"/>
    <n v="4"/>
    <n v="56075"/>
    <n v="9803"/>
    <n v="65878"/>
    <n v="26.88020238289538"/>
    <n v="8011"/>
    <n v="31"/>
    <x v="410"/>
    <x v="1"/>
    <x v="0"/>
    <x v="1"/>
  </r>
  <r>
    <x v="27"/>
    <s v="ZTAN"/>
    <x v="8"/>
    <s v="UA7248"/>
    <s v="161268070"/>
    <s v="LA REINA"/>
    <x v="248"/>
    <x v="1"/>
    <x v="1"/>
    <x v="11"/>
    <x v="1"/>
    <n v="3"/>
    <n v="48075"/>
    <n v="12006"/>
    <n v="60081"/>
    <n v="20.016324626865671"/>
    <n v="6868"/>
    <n v="44"/>
    <x v="411"/>
    <x v="1"/>
    <x v="0"/>
    <x v="1"/>
  </r>
  <r>
    <x v="27"/>
    <s v="ZTAN"/>
    <x v="8"/>
    <s v="XR6339"/>
    <s v="78907355"/>
    <s v="SAN BERNARDO"/>
    <x v="406"/>
    <x v="1"/>
    <x v="1"/>
    <x v="4"/>
    <x v="1"/>
    <n v="4"/>
    <n v="56075"/>
    <n v="18805"/>
    <n v="74880"/>
    <n v="15.927848208967923"/>
    <n v="8011"/>
    <n v="59"/>
    <x v="412"/>
    <x v="1"/>
    <x v="0"/>
    <x v="1"/>
  </r>
  <r>
    <x v="28"/>
    <s v="ZNL"/>
    <x v="0"/>
    <s v="CJXX49"/>
    <s v="167832741"/>
    <s v="TALCAHUANO"/>
    <x v="407"/>
    <x v="5"/>
    <x v="0"/>
    <x v="0"/>
    <x v="0"/>
    <n v="0"/>
    <n v="380000"/>
    <n v="0"/>
    <n v="380000"/>
    <n v="32.274503142517439"/>
    <n v="25000"/>
    <n v="47"/>
    <x v="413"/>
    <x v="1"/>
    <x v="0"/>
    <x v="0"/>
  </r>
  <r>
    <x v="28"/>
    <s v="ZPEP"/>
    <x v="35"/>
    <s v="XR6339"/>
    <s v="78907355"/>
    <s v="PADRE HURTADO"/>
    <x v="408"/>
    <x v="1"/>
    <x v="1"/>
    <x v="26"/>
    <x v="1"/>
    <n v="5"/>
    <n v="70000"/>
    <n v="15768.96"/>
    <n v="85768.959999999992"/>
    <n v="21.756402451398188"/>
    <n v="12000"/>
    <n v="33"/>
    <x v="414"/>
    <x v="1"/>
    <x v="0"/>
    <x v="1"/>
  </r>
  <r>
    <x v="28"/>
    <s v="ZPEP"/>
    <x v="5"/>
    <s v="SU9354"/>
    <s v="72564391"/>
    <s v="SAN FELIPE"/>
    <x v="409"/>
    <x v="2"/>
    <x v="1"/>
    <x v="35"/>
    <x v="2"/>
    <n v="0"/>
    <n v="180000"/>
    <n v="20829.510000000002"/>
    <n v="200829.51"/>
    <n v="28.924757711535221"/>
    <n v="25000"/>
    <n v="28"/>
    <x v="415"/>
    <x v="1"/>
    <x v="0"/>
    <x v="0"/>
  </r>
  <r>
    <x v="28"/>
    <s v="ZPEP"/>
    <x v="27"/>
    <s v="RG6503"/>
    <s v="10519045K"/>
    <s v="SAN PEDRO DE LA PAZ"/>
    <x v="410"/>
    <x v="5"/>
    <x v="0"/>
    <x v="47"/>
    <x v="0"/>
    <n v="0"/>
    <n v="380000"/>
    <n v="0"/>
    <n v="380000"/>
    <n v="20.681408882882813"/>
    <n v="25000"/>
    <n v="73"/>
    <x v="416"/>
    <x v="1"/>
    <x v="0"/>
    <x v="0"/>
  </r>
  <r>
    <x v="28"/>
    <s v="ZPEP"/>
    <x v="32"/>
    <s v="HLBX77"/>
    <s v="16093509K"/>
    <s v="LAMPA"/>
    <x v="411"/>
    <x v="1"/>
    <x v="1"/>
    <x v="17"/>
    <x v="1"/>
    <n v="5"/>
    <n v="70000"/>
    <n v="30787.71999999999"/>
    <n v="100787.71999999999"/>
    <n v="13.094535093862101"/>
    <n v="12000"/>
    <n v="64"/>
    <x v="417"/>
    <x v="1"/>
    <x v="0"/>
    <x v="1"/>
  </r>
  <r>
    <x v="28"/>
    <s v="ZPEP"/>
    <x v="12"/>
    <s v="PN4466"/>
    <s v="81417709"/>
    <s v="VITACURA"/>
    <x v="412"/>
    <x v="1"/>
    <x v="0"/>
    <x v="27"/>
    <x v="1"/>
    <n v="4"/>
    <n v="112959"/>
    <n v="64548.000000000036"/>
    <n v="177507.00000000003"/>
    <n v="10.999999999999996"/>
    <n v="8011"/>
    <n v="100"/>
    <x v="418"/>
    <x v="1"/>
    <x v="0"/>
    <x v="1"/>
  </r>
  <r>
    <x v="28"/>
    <s v="ZTAN"/>
    <x v="4"/>
    <s v="DJLF85"/>
    <s v="53173292"/>
    <s v="SAN BERNARDO"/>
    <x v="413"/>
    <x v="4"/>
    <x v="1"/>
    <x v="4"/>
    <x v="1"/>
    <n v="4"/>
    <n v="68985"/>
    <n v="29564.999999999993"/>
    <n v="98550"/>
    <n v="10.000000000000002"/>
    <n v="8011"/>
    <n v="100"/>
    <x v="419"/>
    <x v="1"/>
    <x v="0"/>
    <x v="1"/>
  </r>
  <r>
    <x v="28"/>
    <s v="ZTAN"/>
    <x v="4"/>
    <s v="WC2233"/>
    <s v="125108660"/>
    <s v="SAN BERNARDO"/>
    <x v="414"/>
    <x v="4"/>
    <x v="1"/>
    <x v="4"/>
    <x v="1"/>
    <n v="4"/>
    <n v="68286"/>
    <n v="29265.599999999991"/>
    <n v="97551.599999999991"/>
    <n v="9.9999589962276545"/>
    <n v="8011"/>
    <n v="100"/>
    <x v="420"/>
    <x v="1"/>
    <x v="0"/>
    <x v="1"/>
  </r>
  <r>
    <x v="28"/>
    <s v="ZTAN"/>
    <x v="6"/>
    <s v="BWPL69"/>
    <s v="78551976"/>
    <s v="TEMUCO"/>
    <x v="385"/>
    <x v="5"/>
    <x v="0"/>
    <x v="14"/>
    <x v="4"/>
    <n v="0"/>
    <n v="620000"/>
    <n v="0"/>
    <n v="620000"/>
    <n v="82.62260127931772"/>
    <n v="25000"/>
    <n v="30"/>
    <x v="421"/>
    <x v="1"/>
    <x v="0"/>
    <x v="0"/>
  </r>
  <r>
    <x v="28"/>
    <s v="ZTAN"/>
    <x v="6"/>
    <s v="SV2718"/>
    <s v="107643206"/>
    <s v="MAIPU"/>
    <x v="415"/>
    <x v="1"/>
    <x v="1"/>
    <x v="2"/>
    <x v="1"/>
    <n v="2"/>
    <n v="40475"/>
    <n v="12000"/>
    <n v="52475"/>
    <n v="20.485163627562343"/>
    <n v="5782"/>
    <n v="44"/>
    <x v="422"/>
    <x v="1"/>
    <x v="0"/>
    <x v="1"/>
  </r>
  <r>
    <x v="28"/>
    <s v="ZTAN"/>
    <x v="22"/>
    <s v="TP3884"/>
    <s v="107643206"/>
    <s v="SAN BERNARDO"/>
    <x v="416"/>
    <x v="1"/>
    <x v="1"/>
    <x v="4"/>
    <x v="1"/>
    <n v="4"/>
    <n v="64141"/>
    <n v="36652"/>
    <n v="100793"/>
    <n v="11"/>
    <n v="8011"/>
    <n v="100"/>
    <x v="423"/>
    <x v="1"/>
    <x v="0"/>
    <x v="1"/>
  </r>
  <r>
    <x v="28"/>
    <s v="ZTAN"/>
    <x v="36"/>
    <s v="CJFZ67"/>
    <s v="115812335"/>
    <s v="PADRE LAS CASAS"/>
    <x v="417"/>
    <x v="5"/>
    <x v="0"/>
    <x v="52"/>
    <x v="4"/>
    <n v="0"/>
    <n v="600000"/>
    <n v="0"/>
    <n v="600000"/>
    <n v="26.411473143933737"/>
    <n v="25000"/>
    <n v="91"/>
    <x v="424"/>
    <x v="1"/>
    <x v="0"/>
    <x v="0"/>
  </r>
  <r>
    <x v="28"/>
    <s v="ZTAN"/>
    <x v="7"/>
    <s v="BDSZ82"/>
    <s v="17447844"/>
    <s v="CHILLAN"/>
    <x v="418"/>
    <x v="0"/>
    <x v="0"/>
    <x v="21"/>
    <x v="5"/>
    <n v="0"/>
    <n v="350000"/>
    <n v="0"/>
    <n v="350000"/>
    <n v="22.869837950862518"/>
    <n v="25000"/>
    <n v="48"/>
    <x v="425"/>
    <x v="1"/>
    <x v="0"/>
    <x v="0"/>
  </r>
  <r>
    <x v="28"/>
    <s v="ZTAN"/>
    <x v="7"/>
    <s v="DPCY42"/>
    <s v="92028607"/>
    <s v="CHILLAN"/>
    <x v="419"/>
    <x v="0"/>
    <x v="0"/>
    <x v="21"/>
    <x v="5"/>
    <n v="0"/>
    <n v="350000"/>
    <n v="0"/>
    <n v="350000"/>
    <n v="42.455118874332832"/>
    <n v="25000"/>
    <n v="33"/>
    <x v="426"/>
    <x v="1"/>
    <x v="0"/>
    <x v="0"/>
  </r>
  <r>
    <x v="28"/>
    <s v="ZTAN"/>
    <x v="7"/>
    <s v="HLBX77"/>
    <s v="16093509K"/>
    <s v="RENCA"/>
    <x v="385"/>
    <x v="1"/>
    <x v="1"/>
    <x v="7"/>
    <x v="1"/>
    <n v="1"/>
    <n v="52528"/>
    <n v="30016"/>
    <n v="82544"/>
    <n v="11.000000000000004"/>
    <n v="4821"/>
    <n v="100"/>
    <x v="427"/>
    <x v="1"/>
    <x v="0"/>
    <x v="1"/>
  </r>
  <r>
    <x v="28"/>
    <s v="ZTAN"/>
    <x v="7"/>
    <s v="RK5135"/>
    <s v="138841065"/>
    <s v="RENCA"/>
    <x v="420"/>
    <x v="3"/>
    <x v="1"/>
    <x v="7"/>
    <x v="1"/>
    <n v="1"/>
    <n v="44094"/>
    <n v="18898"/>
    <n v="62992"/>
    <n v="9.9999999999999964"/>
    <n v="4821"/>
    <n v="100"/>
    <x v="428"/>
    <x v="1"/>
    <x v="0"/>
    <x v="1"/>
  </r>
  <r>
    <x v="28"/>
    <s v="ZTAN"/>
    <x v="7"/>
    <s v="WG4022"/>
    <s v="100327283"/>
    <s v="RENCA"/>
    <x v="421"/>
    <x v="1"/>
    <x v="0"/>
    <x v="7"/>
    <x v="1"/>
    <n v="1"/>
    <n v="115796"/>
    <n v="66169"/>
    <n v="181965"/>
    <n v="10.999981864674206"/>
    <n v="4821"/>
    <n v="100"/>
    <x v="429"/>
    <x v="1"/>
    <x v="0"/>
    <x v="1"/>
  </r>
  <r>
    <x v="28"/>
    <s v="ZTAN"/>
    <x v="8"/>
    <s v="BDCH61"/>
    <s v="81417709"/>
    <s v="EL BOSQUE"/>
    <x v="422"/>
    <x v="1"/>
    <x v="1"/>
    <x v="25"/>
    <x v="1"/>
    <n v="3"/>
    <n v="48075"/>
    <n v="4555"/>
    <n v="52630"/>
    <n v="46.214908544884572"/>
    <n v="6868"/>
    <n v="17"/>
    <x v="430"/>
    <x v="1"/>
    <x v="0"/>
    <x v="1"/>
  </r>
  <r>
    <x v="28"/>
    <s v="ZTAN"/>
    <x v="8"/>
    <s v="CJXX49"/>
    <s v="167832741"/>
    <s v="TALCAHUANO"/>
    <x v="423"/>
    <x v="5"/>
    <x v="0"/>
    <x v="0"/>
    <x v="0"/>
    <n v="0"/>
    <n v="380000"/>
    <n v="0"/>
    <n v="380000"/>
    <n v="53.146853146853147"/>
    <n v="25000"/>
    <n v="29"/>
    <x v="431"/>
    <x v="1"/>
    <x v="0"/>
    <x v="0"/>
  </r>
  <r>
    <x v="28"/>
    <s v="ZTAN"/>
    <x v="8"/>
    <s v="TP3884"/>
    <s v="161268070"/>
    <s v="REÑACA"/>
    <x v="424"/>
    <x v="1"/>
    <x v="1"/>
    <x v="6"/>
    <x v="2"/>
    <n v="0"/>
    <n v="180000"/>
    <n v="35206.400000000001"/>
    <n v="215206.39999999999"/>
    <n v="24.450827122341391"/>
    <n v="25000"/>
    <n v="35"/>
    <x v="432"/>
    <x v="1"/>
    <x v="0"/>
    <x v="0"/>
  </r>
  <r>
    <x v="28"/>
    <s v="ZTAN"/>
    <x v="8"/>
    <s v="UA7248"/>
    <s v="99626232"/>
    <s v="PUENTE ALTO"/>
    <x v="254"/>
    <x v="1"/>
    <x v="1"/>
    <x v="30"/>
    <x v="1"/>
    <n v="4"/>
    <n v="56075"/>
    <n v="12000"/>
    <n v="68075"/>
    <n v="42.530925902786457"/>
    <n v="8011"/>
    <n v="20"/>
    <x v="433"/>
    <x v="1"/>
    <x v="0"/>
    <x v="1"/>
  </r>
  <r>
    <x v="28"/>
    <s v="ZTAN"/>
    <x v="8"/>
    <s v="XR6339"/>
    <s v="78907355"/>
    <s v="QUILICURA"/>
    <x v="425"/>
    <x v="1"/>
    <x v="1"/>
    <x v="8"/>
    <x v="1"/>
    <n v="1"/>
    <n v="33750"/>
    <n v="12000"/>
    <n v="45750"/>
    <n v="16.896258817446544"/>
    <n v="4821"/>
    <n v="56"/>
    <x v="434"/>
    <x v="1"/>
    <x v="0"/>
    <x v="1"/>
  </r>
  <r>
    <x v="29"/>
    <s v="ZPEP"/>
    <x v="35"/>
    <s v="DJLF85"/>
    <s v="53173292"/>
    <s v="PADRE HURTADO"/>
    <x v="426"/>
    <x v="4"/>
    <x v="1"/>
    <x v="26"/>
    <x v="1"/>
    <n v="5"/>
    <n v="70000"/>
    <n v="14625.060000000001"/>
    <n v="84625.06"/>
    <n v="17.358915450603277"/>
    <n v="12000"/>
    <n v="41"/>
    <x v="435"/>
    <x v="1"/>
    <x v="0"/>
    <x v="1"/>
  </r>
  <r>
    <x v="29"/>
    <s v="ZPEP"/>
    <x v="5"/>
    <s v="WC2233"/>
    <s v="125108660"/>
    <s v="CERRILLOS"/>
    <x v="427"/>
    <x v="4"/>
    <x v="1"/>
    <x v="9"/>
    <x v="1"/>
    <n v="2"/>
    <n v="40475"/>
    <n v="7826.1600000000035"/>
    <n v="48301.16"/>
    <n v="18.515271857462658"/>
    <n v="5782"/>
    <n v="45"/>
    <x v="436"/>
    <x v="1"/>
    <x v="0"/>
    <x v="1"/>
  </r>
  <r>
    <x v="29"/>
    <s v="ZPEP"/>
    <x v="12"/>
    <s v="PN4466"/>
    <s v="81417709"/>
    <s v="VITACURA"/>
    <x v="412"/>
    <x v="1"/>
    <x v="0"/>
    <x v="27"/>
    <x v="1"/>
    <n v="4"/>
    <n v="112959"/>
    <n v="64548.000000000036"/>
    <n v="177507.00000000003"/>
    <n v="10.999999999999996"/>
    <n v="8011"/>
    <n v="100"/>
    <x v="437"/>
    <x v="1"/>
    <x v="0"/>
    <x v="1"/>
  </r>
  <r>
    <x v="29"/>
    <s v="ZPEP"/>
    <x v="12"/>
    <s v="SU9354"/>
    <s v="72564391"/>
    <s v="VITACURA"/>
    <x v="428"/>
    <x v="2"/>
    <x v="1"/>
    <x v="27"/>
    <x v="1"/>
    <n v="4"/>
    <n v="65095"/>
    <n v="27897.870000000003"/>
    <n v="92992.87"/>
    <n v="9.9999967739472577"/>
    <n v="8011"/>
    <n v="100"/>
    <x v="438"/>
    <x v="1"/>
    <x v="0"/>
    <x v="1"/>
  </r>
  <r>
    <x v="29"/>
    <s v="ZPEP"/>
    <x v="8"/>
    <s v="XR6339"/>
    <s v="78907355"/>
    <s v="RENCA"/>
    <x v="429"/>
    <x v="1"/>
    <x v="1"/>
    <x v="7"/>
    <x v="1"/>
    <n v="1"/>
    <n v="33750"/>
    <n v="18851"/>
    <n v="52601"/>
    <n v="11.161542215714983"/>
    <n v="4821"/>
    <n v="98"/>
    <x v="439"/>
    <x v="1"/>
    <x v="0"/>
    <x v="1"/>
  </r>
  <r>
    <x v="29"/>
    <s v="ZTAN"/>
    <x v="6"/>
    <s v="VJ8408"/>
    <s v="83259353"/>
    <s v="LOS ANDES"/>
    <x v="430"/>
    <x v="0"/>
    <x v="0"/>
    <x v="38"/>
    <x v="2"/>
    <n v="0"/>
    <n v="230000"/>
    <n v="0"/>
    <n v="230000"/>
    <n v="23.350680520050123"/>
    <n v="25000"/>
    <n v="39"/>
    <x v="440"/>
    <x v="1"/>
    <x v="0"/>
    <x v="0"/>
  </r>
  <r>
    <x v="29"/>
    <s v="ZTAN"/>
    <x v="7"/>
    <s v="CJFZ69"/>
    <s v="174967806"/>
    <s v="CHILLAN"/>
    <x v="431"/>
    <x v="5"/>
    <x v="0"/>
    <x v="21"/>
    <x v="5"/>
    <n v="0"/>
    <n v="350000"/>
    <n v="0"/>
    <n v="350000"/>
    <n v="21.224019526097965"/>
    <n v="25000"/>
    <n v="66"/>
    <x v="441"/>
    <x v="1"/>
    <x v="0"/>
    <x v="0"/>
  </r>
  <r>
    <x v="29"/>
    <s v="ZTAN"/>
    <x v="7"/>
    <s v="DJLF85"/>
    <s v="53173292"/>
    <s v="PUERTO MONTT"/>
    <x v="432"/>
    <x v="4"/>
    <x v="1"/>
    <x v="7"/>
    <x v="1"/>
    <n v="0"/>
    <n v="51640.4"/>
    <n v="22131.599999999999"/>
    <n v="73772"/>
    <n v="10"/>
    <n v="25000"/>
    <n v="30"/>
    <x v="442"/>
    <x v="1"/>
    <x v="0"/>
    <x v="1"/>
  </r>
  <r>
    <x v="29"/>
    <s v="ZTAN"/>
    <x v="7"/>
    <s v="HLBX77"/>
    <s v="16093509K"/>
    <s v="PUERTO MONTT"/>
    <x v="433"/>
    <x v="1"/>
    <x v="1"/>
    <x v="7"/>
    <x v="1"/>
    <n v="0"/>
    <n v="51122.399999999994"/>
    <n v="29212.799999999996"/>
    <n v="80335.199999999983"/>
    <n v="11"/>
    <n v="25000"/>
    <n v="29"/>
    <x v="443"/>
    <x v="1"/>
    <x v="0"/>
    <x v="1"/>
  </r>
  <r>
    <x v="29"/>
    <s v="ZTAN"/>
    <x v="7"/>
    <s v="RK5135"/>
    <s v="138841065"/>
    <s v="PUERTO MONTT"/>
    <x v="432"/>
    <x v="3"/>
    <x v="1"/>
    <x v="7"/>
    <x v="1"/>
    <n v="0"/>
    <n v="51640.4"/>
    <n v="22131.599999999999"/>
    <n v="73772"/>
    <n v="10"/>
    <n v="25000"/>
    <n v="30"/>
    <x v="444"/>
    <x v="1"/>
    <x v="0"/>
    <x v="1"/>
  </r>
  <r>
    <x v="29"/>
    <s v="ZTAN"/>
    <x v="7"/>
    <s v="WC2233"/>
    <s v="125108660"/>
    <s v="PUERTO MONTT"/>
    <x v="432"/>
    <x v="4"/>
    <x v="1"/>
    <x v="53"/>
    <x v="1"/>
    <n v="0"/>
    <n v="51640.4"/>
    <n v="22131.599999999999"/>
    <n v="73772"/>
    <n v="10"/>
    <n v="25000"/>
    <n v="30"/>
    <x v="445"/>
    <x v="1"/>
    <x v="0"/>
    <x v="1"/>
  </r>
  <r>
    <x v="29"/>
    <s v="ZTAN"/>
    <x v="7"/>
    <s v="WG4022"/>
    <s v="100327283"/>
    <s v="MELIPILLA"/>
    <x v="434"/>
    <x v="1"/>
    <x v="0"/>
    <x v="29"/>
    <x v="1"/>
    <n v="5"/>
    <n v="120000"/>
    <n v="39809"/>
    <n v="159809"/>
    <n v="16.057655593738072"/>
    <n v="12000"/>
    <n v="83"/>
    <x v="446"/>
    <x v="1"/>
    <x v="0"/>
    <x v="1"/>
  </r>
  <r>
    <x v="29"/>
    <s v="ZTAN"/>
    <x v="7"/>
    <s v="WG4022"/>
    <s v="120327233"/>
    <s v="MELIPILLA"/>
    <x v="435"/>
    <x v="1"/>
    <x v="0"/>
    <x v="29"/>
    <x v="1"/>
    <n v="5"/>
    <n v="120000"/>
    <n v="12000"/>
    <n v="132000"/>
    <n v="87.953091684434966"/>
    <n v="12000"/>
    <n v="13"/>
    <x v="447"/>
    <x v="1"/>
    <x v="0"/>
    <x v="1"/>
  </r>
  <r>
    <x v="29"/>
    <s v="ZTAN"/>
    <x v="8"/>
    <s v="TP3884"/>
    <s v="99626232"/>
    <s v="SAN MIGUEL"/>
    <x v="248"/>
    <x v="1"/>
    <x v="1"/>
    <x v="23"/>
    <x v="1"/>
    <n v="2"/>
    <n v="40475"/>
    <n v="12006"/>
    <n v="52481"/>
    <n v="17.48434168443497"/>
    <n v="5782"/>
    <n v="52"/>
    <x v="448"/>
    <x v="1"/>
    <x v="0"/>
    <x v="1"/>
  </r>
  <r>
    <x v="29"/>
    <s v="ZTAN"/>
    <x v="8"/>
    <s v="UA7248"/>
    <s v="161268070"/>
    <s v="LAS CONDES"/>
    <x v="436"/>
    <x v="1"/>
    <x v="1"/>
    <x v="3"/>
    <x v="1"/>
    <n v="4"/>
    <n v="56075"/>
    <n v="12000"/>
    <n v="68075"/>
    <n v="55.61683006535948"/>
    <n v="8011"/>
    <n v="15"/>
    <x v="449"/>
    <x v="1"/>
    <x v="0"/>
    <x v="1"/>
  </r>
  <r>
    <x v="30"/>
    <s v="ZPEP"/>
    <x v="5"/>
    <s v="CKXS73"/>
    <s v="70616297"/>
    <s v="COQUIMBO"/>
    <x v="437"/>
    <x v="0"/>
    <x v="0"/>
    <x v="42"/>
    <x v="8"/>
    <n v="0"/>
    <n v="600000"/>
    <n v="0"/>
    <n v="600000"/>
    <n v="73.832159812170985"/>
    <n v="25000"/>
    <n v="33"/>
    <x v="450"/>
    <x v="1"/>
    <x v="0"/>
    <x v="0"/>
  </r>
  <r>
    <x v="30"/>
    <s v="ZPEP"/>
    <x v="5"/>
    <s v="JTYB84"/>
    <s v="6270439K"/>
    <s v="COQUIMBO"/>
    <x v="438"/>
    <x v="5"/>
    <x v="0"/>
    <x v="42"/>
    <x v="8"/>
    <n v="0"/>
    <n v="600000"/>
    <n v="0"/>
    <n v="600000"/>
    <n v="56.486537375258898"/>
    <n v="25000"/>
    <n v="42"/>
    <x v="451"/>
    <x v="1"/>
    <x v="0"/>
    <x v="0"/>
  </r>
  <r>
    <x v="30"/>
    <s v="ZPEP"/>
    <x v="5"/>
    <s v="XR6339"/>
    <s v="78907355"/>
    <s v="COLINA"/>
    <x v="439"/>
    <x v="1"/>
    <x v="1"/>
    <x v="5"/>
    <x v="1"/>
    <n v="5"/>
    <n v="70000"/>
    <n v="17827.199999999993"/>
    <n v="87827.199999999997"/>
    <n v="19.706336384850122"/>
    <n v="12000"/>
    <n v="37"/>
    <x v="452"/>
    <x v="1"/>
    <x v="0"/>
    <x v="1"/>
  </r>
  <r>
    <x v="30"/>
    <s v="ZPEP"/>
    <x v="27"/>
    <s v="ZJ2464"/>
    <s v="160626984"/>
    <s v="SAN PEDRO DE LA PAZ"/>
    <x v="440"/>
    <x v="0"/>
    <x v="0"/>
    <x v="47"/>
    <x v="0"/>
    <n v="0"/>
    <n v="380000"/>
    <n v="0"/>
    <n v="380000"/>
    <n v="19.785009835232511"/>
    <n v="25000"/>
    <n v="77"/>
    <x v="453"/>
    <x v="1"/>
    <x v="0"/>
    <x v="0"/>
  </r>
  <r>
    <x v="30"/>
    <s v="ZPEP"/>
    <x v="11"/>
    <s v="DJLF85"/>
    <s v="53173292"/>
    <s v="PADRE HURTADO"/>
    <x v="441"/>
    <x v="4"/>
    <x v="1"/>
    <x v="26"/>
    <x v="1"/>
    <n v="5"/>
    <n v="70000"/>
    <n v="9380.7899999999991"/>
    <n v="79380.789999999994"/>
    <n v="25.38617429875309"/>
    <n v="12000"/>
    <n v="26"/>
    <x v="454"/>
    <x v="1"/>
    <x v="0"/>
    <x v="1"/>
  </r>
  <r>
    <x v="30"/>
    <s v="ZPEP"/>
    <x v="12"/>
    <s v="PN4466"/>
    <s v="81417709"/>
    <s v="VITACURA"/>
    <x v="442"/>
    <x v="1"/>
    <x v="0"/>
    <x v="27"/>
    <x v="1"/>
    <n v="4"/>
    <n v="79071"/>
    <n v="45183.600000000042"/>
    <n v="124254.60000000003"/>
    <n v="10.999973441691226"/>
    <n v="8011"/>
    <n v="100"/>
    <x v="455"/>
    <x v="1"/>
    <x v="0"/>
    <x v="1"/>
  </r>
  <r>
    <x v="30"/>
    <s v="ZPEP"/>
    <x v="12"/>
    <s v="WC2233"/>
    <s v="125108660"/>
    <s v="VITACURA"/>
    <x v="443"/>
    <x v="4"/>
    <x v="1"/>
    <x v="27"/>
    <x v="1"/>
    <n v="4"/>
    <n v="56075"/>
    <n v="12680.849999999999"/>
    <n v="68755.850000000006"/>
    <n v="16.266066549166659"/>
    <n v="8011"/>
    <n v="53"/>
    <x v="456"/>
    <x v="1"/>
    <x v="0"/>
    <x v="1"/>
  </r>
  <r>
    <x v="30"/>
    <s v="ZTAN"/>
    <x v="17"/>
    <s v="WG4022"/>
    <s v="100327283"/>
    <s v="LAMPA"/>
    <x v="444"/>
    <x v="1"/>
    <x v="0"/>
    <x v="17"/>
    <x v="1"/>
    <n v="5"/>
    <n v="120000"/>
    <n v="70078.8"/>
    <n v="190078.8"/>
    <n v="10.84943235329372"/>
    <n v="12000"/>
    <n v="100"/>
    <x v="457"/>
    <x v="1"/>
    <x v="0"/>
    <x v="1"/>
  </r>
  <r>
    <x v="30"/>
    <s v="ZTAN"/>
    <x v="3"/>
    <s v="SU9354"/>
    <s v="72564391"/>
    <s v="LAS CONDES"/>
    <x v="445"/>
    <x v="2"/>
    <x v="1"/>
    <x v="3"/>
    <x v="1"/>
    <n v="4"/>
    <n v="80381"/>
    <n v="34449"/>
    <n v="114830"/>
    <n v="10"/>
    <n v="8011"/>
    <n v="100"/>
    <x v="458"/>
    <x v="1"/>
    <x v="0"/>
    <x v="1"/>
  </r>
  <r>
    <x v="30"/>
    <s v="ZTAN"/>
    <x v="12"/>
    <s v="WC2233"/>
    <s v="125108660"/>
    <s v="VITACURA"/>
    <x v="446"/>
    <x v="4"/>
    <x v="1"/>
    <x v="27"/>
    <x v="1"/>
    <n v="4"/>
    <n v="56075"/>
    <n v="15927"/>
    <n v="72002"/>
    <n v="13.562252778300998"/>
    <n v="8011"/>
    <n v="66"/>
    <x v="459"/>
    <x v="1"/>
    <x v="0"/>
    <x v="1"/>
  </r>
  <r>
    <x v="30"/>
    <s v="ZTAN"/>
    <x v="7"/>
    <s v="HLBX77"/>
    <s v="138841065"/>
    <s v="RENCA"/>
    <x v="447"/>
    <x v="1"/>
    <x v="1"/>
    <x v="7"/>
    <x v="1"/>
    <n v="1"/>
    <n v="33750"/>
    <n v="12000"/>
    <n v="45750"/>
    <n v="33.296943231441048"/>
    <n v="4821"/>
    <n v="29"/>
    <x v="460"/>
    <x v="1"/>
    <x v="0"/>
    <x v="1"/>
  </r>
  <r>
    <x v="30"/>
    <s v="ZTAN"/>
    <x v="7"/>
    <s v="HLBX77"/>
    <s v="16093509K"/>
    <s v="RENCA"/>
    <x v="432"/>
    <x v="1"/>
    <x v="1"/>
    <x v="7"/>
    <x v="1"/>
    <n v="1"/>
    <n v="51640"/>
    <n v="29509"/>
    <n v="81149"/>
    <n v="10.99997288944315"/>
    <n v="4821"/>
    <n v="100"/>
    <x v="461"/>
    <x v="1"/>
    <x v="0"/>
    <x v="1"/>
  </r>
  <r>
    <x v="30"/>
    <s v="ZTAN"/>
    <x v="7"/>
    <s v="RK5135"/>
    <s v="138841065"/>
    <s v="RENCA"/>
    <x v="448"/>
    <x v="3"/>
    <x v="1"/>
    <x v="7"/>
    <x v="1"/>
    <n v="1"/>
    <n v="42022"/>
    <n v="18010"/>
    <n v="60032"/>
    <n v="10.000000000000002"/>
    <n v="4821"/>
    <n v="100"/>
    <x v="462"/>
    <x v="1"/>
    <x v="0"/>
    <x v="1"/>
  </r>
  <r>
    <x v="30"/>
    <s v="ZTAN"/>
    <x v="8"/>
    <s v="BDCH61"/>
    <s v="161268070"/>
    <s v="LAS CONDES"/>
    <x v="254"/>
    <x v="1"/>
    <x v="1"/>
    <x v="3"/>
    <x v="1"/>
    <n v="4"/>
    <n v="56075"/>
    <n v="12000"/>
    <n v="68075"/>
    <n v="42.530925902786457"/>
    <n v="8011"/>
    <n v="20"/>
    <x v="463"/>
    <x v="1"/>
    <x v="0"/>
    <x v="1"/>
  </r>
  <r>
    <x v="30"/>
    <s v="ZTAN"/>
    <x v="8"/>
    <s v="SV2718"/>
    <s v="78907355"/>
    <s v="CERRILLOS"/>
    <x v="449"/>
    <x v="1"/>
    <x v="1"/>
    <x v="9"/>
    <x v="1"/>
    <n v="2"/>
    <n v="40475"/>
    <n v="13600"/>
    <n v="54075"/>
    <n v="15.904411764705882"/>
    <n v="5782"/>
    <n v="59"/>
    <x v="464"/>
    <x v="1"/>
    <x v="0"/>
    <x v="1"/>
  </r>
  <r>
    <x v="30"/>
    <s v="ZTAN"/>
    <x v="8"/>
    <s v="TP3884"/>
    <s v="99626232"/>
    <s v="LA REINA"/>
    <x v="363"/>
    <x v="1"/>
    <x v="1"/>
    <x v="11"/>
    <x v="1"/>
    <n v="3"/>
    <n v="48075"/>
    <n v="12000"/>
    <n v="60075"/>
    <n v="35.346552129912922"/>
    <n v="6868"/>
    <n v="25"/>
    <x v="465"/>
    <x v="1"/>
    <x v="0"/>
    <x v="1"/>
  </r>
  <r>
    <x v="30"/>
    <s v="ZTAN"/>
    <x v="8"/>
    <s v="UA7248"/>
    <s v="107643206"/>
    <s v="SANTIAGO"/>
    <x v="388"/>
    <x v="1"/>
    <x v="1"/>
    <x v="20"/>
    <x v="1"/>
    <n v="1"/>
    <n v="33750"/>
    <n v="12000"/>
    <n v="45750"/>
    <n v="23.162211421628189"/>
    <n v="4821"/>
    <n v="41"/>
    <x v="466"/>
    <x v="1"/>
    <x v="0"/>
    <x v="1"/>
  </r>
  <r>
    <x v="30"/>
    <s v="ZTAN"/>
    <x v="8"/>
    <s v="XR6339"/>
    <s v="81417709"/>
    <s v="PUDAHUEL"/>
    <x v="450"/>
    <x v="1"/>
    <x v="1"/>
    <x v="10"/>
    <x v="1"/>
    <n v="1"/>
    <n v="37288"/>
    <n v="21307"/>
    <n v="58595"/>
    <n v="11.000037545993843"/>
    <n v="4821"/>
    <n v="100"/>
    <x v="467"/>
    <x v="1"/>
    <x v="0"/>
    <x v="1"/>
  </r>
  <r>
    <x v="31"/>
    <s v="ZNL"/>
    <x v="0"/>
    <s v="GCHF95"/>
    <s v="158529734"/>
    <s v="TALCAHUANO"/>
    <x v="451"/>
    <x v="0"/>
    <x v="0"/>
    <x v="0"/>
    <x v="0"/>
    <n v="0"/>
    <n v="380000"/>
    <n v="0"/>
    <n v="380000"/>
    <n v="25.978287620662329"/>
    <n v="25000"/>
    <n v="59"/>
    <x v="468"/>
    <x v="1"/>
    <x v="0"/>
    <x v="0"/>
  </r>
  <r>
    <x v="31"/>
    <s v="ZPEP"/>
    <x v="37"/>
    <s v="HLBX77"/>
    <s v="16093509K"/>
    <s v="PROVIDENCIA"/>
    <x v="452"/>
    <x v="1"/>
    <x v="1"/>
    <x v="54"/>
    <x v="1"/>
    <n v="1"/>
    <n v="90790"/>
    <n v="51879.999999999964"/>
    <n v="142669.99999999997"/>
    <n v="11.000000000000005"/>
    <n v="4821"/>
    <n v="100"/>
    <x v="469"/>
    <x v="1"/>
    <x v="0"/>
    <x v="1"/>
  </r>
  <r>
    <x v="31"/>
    <s v="ZPEP"/>
    <x v="5"/>
    <s v="XR6339"/>
    <s v="78907355"/>
    <s v="COLINA"/>
    <x v="453"/>
    <x v="1"/>
    <x v="1"/>
    <x v="5"/>
    <x v="1"/>
    <n v="5"/>
    <n v="70000"/>
    <n v="12484.8"/>
    <n v="82484.800000000003"/>
    <n v="26.427271562219662"/>
    <n v="12000"/>
    <n v="26"/>
    <x v="470"/>
    <x v="1"/>
    <x v="0"/>
    <x v="1"/>
  </r>
  <r>
    <x v="31"/>
    <s v="ZPEP"/>
    <x v="5"/>
    <s v="YP6892"/>
    <s v="124157498"/>
    <s v="SAN PEDRO DE LA PAZ"/>
    <x v="454"/>
    <x v="0"/>
    <x v="0"/>
    <x v="47"/>
    <x v="0"/>
    <n v="0"/>
    <n v="380000"/>
    <n v="0"/>
    <n v="380000"/>
    <n v="34.564213486774186"/>
    <n v="25000"/>
    <n v="29"/>
    <x v="471"/>
    <x v="1"/>
    <x v="0"/>
    <x v="0"/>
  </r>
  <r>
    <x v="31"/>
    <s v="ZPEP"/>
    <x v="12"/>
    <s v="PN4466"/>
    <s v="81417709"/>
    <s v="VITACURA"/>
    <x v="455"/>
    <x v="1"/>
    <x v="0"/>
    <x v="27"/>
    <x v="1"/>
    <n v="4"/>
    <n v="119343"/>
    <n v="68196.000000000044"/>
    <n v="187539.00000000006"/>
    <n v="10.999999999999996"/>
    <n v="8011"/>
    <n v="100"/>
    <x v="472"/>
    <x v="1"/>
    <x v="0"/>
    <x v="1"/>
  </r>
  <r>
    <x v="31"/>
    <s v="ZPEP"/>
    <x v="8"/>
    <s v="WC2233"/>
    <s v="125108660"/>
    <s v="RENCA"/>
    <x v="456"/>
    <x v="4"/>
    <x v="1"/>
    <x v="7"/>
    <x v="1"/>
    <n v="1"/>
    <n v="45341"/>
    <n v="19432"/>
    <n v="64773"/>
    <n v="9.9999228079384306"/>
    <n v="4821"/>
    <n v="100"/>
    <x v="473"/>
    <x v="1"/>
    <x v="0"/>
    <x v="1"/>
  </r>
  <r>
    <x v="31"/>
    <s v="ZTAN"/>
    <x v="3"/>
    <s v="RK5135"/>
    <s v="138841065"/>
    <s v="LAS CONDES"/>
    <x v="457"/>
    <x v="3"/>
    <x v="1"/>
    <x v="3"/>
    <x v="1"/>
    <n v="4"/>
    <n v="104369"/>
    <n v="44729.760000000002"/>
    <n v="149098.76"/>
    <n v="9.9999704894459533"/>
    <n v="8011"/>
    <n v="100"/>
    <x v="474"/>
    <x v="1"/>
    <x v="0"/>
    <x v="1"/>
  </r>
  <r>
    <x v="31"/>
    <s v="ZTAN"/>
    <x v="38"/>
    <s v="UA7248"/>
    <s v="107643206"/>
    <s v="SAN ANTONIO"/>
    <x v="458"/>
    <x v="1"/>
    <x v="1"/>
    <x v="55"/>
    <x v="2"/>
    <n v="0"/>
    <n v="180000"/>
    <n v="16016"/>
    <n v="196016"/>
    <n v="48.955044955044954"/>
    <n v="25000"/>
    <n v="16"/>
    <x v="475"/>
    <x v="1"/>
    <x v="0"/>
    <x v="0"/>
  </r>
  <r>
    <x v="31"/>
    <s v="ZTAN"/>
    <x v="6"/>
    <s v="BDCH61"/>
    <s v="161268070"/>
    <s v="PEÑALOLEN"/>
    <x v="459"/>
    <x v="1"/>
    <x v="1"/>
    <x v="34"/>
    <x v="1"/>
    <n v="4"/>
    <n v="56075"/>
    <n v="18408.8"/>
    <n v="74483.8"/>
    <n v="16.184390074312287"/>
    <n v="8011"/>
    <n v="57"/>
    <x v="476"/>
    <x v="1"/>
    <x v="0"/>
    <x v="1"/>
  </r>
  <r>
    <x v="31"/>
    <s v="ZTAN"/>
    <x v="16"/>
    <s v="DJLF85"/>
    <s v="53173292"/>
    <s v="RENCA"/>
    <x v="104"/>
    <x v="4"/>
    <x v="1"/>
    <x v="7"/>
    <x v="1"/>
    <n v="1"/>
    <n v="136573"/>
    <n v="58531.200000000004"/>
    <n v="195104.2"/>
    <n v="10.000010250943086"/>
    <n v="4821"/>
    <n v="100"/>
    <x v="477"/>
    <x v="1"/>
    <x v="0"/>
    <x v="1"/>
  </r>
  <r>
    <x v="31"/>
    <s v="ZTAN"/>
    <x v="7"/>
    <s v="CJFZ67"/>
    <s v="115812335"/>
    <s v="CHILLAN"/>
    <x v="460"/>
    <x v="5"/>
    <x v="0"/>
    <x v="21"/>
    <x v="5"/>
    <n v="0"/>
    <n v="350000"/>
    <n v="0"/>
    <n v="350000"/>
    <n v="21.735890302066785"/>
    <n v="25000"/>
    <n v="64"/>
    <x v="478"/>
    <x v="1"/>
    <x v="0"/>
    <x v="0"/>
  </r>
  <r>
    <x v="31"/>
    <s v="ZTAN"/>
    <x v="7"/>
    <s v="HLBX77"/>
    <s v="16093509K"/>
    <s v="RENCA"/>
    <x v="432"/>
    <x v="1"/>
    <x v="1"/>
    <x v="7"/>
    <x v="1"/>
    <n v="1"/>
    <n v="51640"/>
    <n v="29509"/>
    <n v="81149"/>
    <n v="10.99997288944315"/>
    <n v="4821"/>
    <n v="100"/>
    <x v="479"/>
    <x v="1"/>
    <x v="0"/>
    <x v="1"/>
  </r>
  <r>
    <x v="31"/>
    <s v="ZTAN"/>
    <x v="7"/>
    <s v="RK5135"/>
    <s v="138841065"/>
    <s v="RENCA"/>
    <x v="432"/>
    <x v="3"/>
    <x v="1"/>
    <x v="7"/>
    <x v="1"/>
    <n v="1"/>
    <n v="51640"/>
    <n v="22132"/>
    <n v="73772"/>
    <n v="10"/>
    <n v="4821"/>
    <n v="100"/>
    <x v="480"/>
    <x v="1"/>
    <x v="0"/>
    <x v="1"/>
  </r>
  <r>
    <x v="31"/>
    <s v="ZTAN"/>
    <x v="8"/>
    <s v="SV2718"/>
    <s v="99626232"/>
    <s v="LA FLORIDA"/>
    <x v="461"/>
    <x v="1"/>
    <x v="0"/>
    <x v="33"/>
    <x v="1"/>
    <n v="3"/>
    <n v="48075"/>
    <n v="12000"/>
    <n v="60075"/>
    <n v="33.386128709569853"/>
    <n v="6868"/>
    <n v="26"/>
    <x v="481"/>
    <x v="1"/>
    <x v="0"/>
    <x v="1"/>
  </r>
  <r>
    <x v="31"/>
    <s v="ZTAN"/>
    <x v="8"/>
    <s v="TP3884"/>
    <s v="78907355"/>
    <s v="PUDAHUEL"/>
    <x v="462"/>
    <x v="1"/>
    <x v="1"/>
    <x v="10"/>
    <x v="1"/>
    <n v="1"/>
    <n v="33750"/>
    <n v="18644"/>
    <n v="52394"/>
    <n v="11.2409113046314"/>
    <n v="4821"/>
    <n v="97"/>
    <x v="482"/>
    <x v="1"/>
    <x v="0"/>
    <x v="1"/>
  </r>
  <r>
    <x v="31"/>
    <s v="ZTAN"/>
    <x v="8"/>
    <s v="XR6339"/>
    <s v="107643206"/>
    <s v="HUECHURABA"/>
    <x v="463"/>
    <x v="1"/>
    <x v="1"/>
    <x v="24"/>
    <x v="1"/>
    <n v="1"/>
    <n v="33750"/>
    <n v="12000"/>
    <n v="45750"/>
    <n v="22.056696557708985"/>
    <n v="4821"/>
    <n v="43"/>
    <x v="483"/>
    <x v="1"/>
    <x v="0"/>
    <x v="1"/>
  </r>
  <r>
    <x v="32"/>
    <s v="ZPEP"/>
    <x v="37"/>
    <s v="DJLF85"/>
    <s v="53173292"/>
    <s v="PROVIDENCIA"/>
    <x v="464"/>
    <x v="4"/>
    <x v="1"/>
    <x v="54"/>
    <x v="1"/>
    <n v="1"/>
    <n v="106224"/>
    <n v="45524.7"/>
    <n v="151748.70000000001"/>
    <n v="9.9999802305122287"/>
    <n v="4821"/>
    <n v="100"/>
    <x v="484"/>
    <x v="1"/>
    <x v="0"/>
    <x v="1"/>
  </r>
  <r>
    <x v="32"/>
    <s v="ZPEP"/>
    <x v="37"/>
    <s v="HLBX77"/>
    <s v="16093509K"/>
    <s v="PROVIDENCIA"/>
    <x v="465"/>
    <x v="1"/>
    <x v="1"/>
    <x v="54"/>
    <x v="1"/>
    <n v="1"/>
    <n v="82619"/>
    <n v="47210.8"/>
    <n v="129829.8"/>
    <n v="11.000008472637615"/>
    <n v="4821"/>
    <n v="100"/>
    <x v="485"/>
    <x v="1"/>
    <x v="0"/>
    <x v="1"/>
  </r>
  <r>
    <x v="32"/>
    <s v="ZPEP"/>
    <x v="5"/>
    <s v="DFRV76"/>
    <s v="113693598"/>
    <s v="COQUIMBO"/>
    <x v="466"/>
    <x v="5"/>
    <x v="0"/>
    <x v="42"/>
    <x v="8"/>
    <n v="0"/>
    <n v="600000"/>
    <n v="0"/>
    <n v="600000"/>
    <n v="93.581845122046317"/>
    <n v="25000"/>
    <n v="26"/>
    <x v="486"/>
    <x v="1"/>
    <x v="0"/>
    <x v="0"/>
  </r>
  <r>
    <x v="32"/>
    <s v="ZPEP"/>
    <x v="2"/>
    <s v="WG4022"/>
    <s v="100327283"/>
    <s v="MAIPU"/>
    <x v="467"/>
    <x v="1"/>
    <x v="0"/>
    <x v="2"/>
    <x v="1"/>
    <n v="2"/>
    <n v="83352"/>
    <n v="47629.639999999963"/>
    <n v="130981.63999999996"/>
    <n v="11.000010917571501"/>
    <n v="5782"/>
    <n v="100"/>
    <x v="487"/>
    <x v="1"/>
    <x v="0"/>
    <x v="1"/>
  </r>
  <r>
    <x v="32"/>
    <s v="ZTAN"/>
    <x v="4"/>
    <s v="SU9354"/>
    <s v="72564391"/>
    <s v="PUERTO NATALES"/>
    <x v="385"/>
    <x v="2"/>
    <x v="1"/>
    <x v="7"/>
    <x v="1"/>
    <n v="1"/>
    <n v="52528"/>
    <n v="22511.999999999993"/>
    <n v="75040"/>
    <n v="10.000000000000004"/>
    <n v="4821"/>
    <n v="100"/>
    <x v="488"/>
    <x v="1"/>
    <x v="0"/>
    <x v="1"/>
  </r>
  <r>
    <x v="32"/>
    <s v="ZTAN"/>
    <x v="12"/>
    <s v="HLBX77"/>
    <s v="16093509K"/>
    <s v="VITACURA"/>
    <x v="468"/>
    <x v="1"/>
    <x v="1"/>
    <x v="27"/>
    <x v="1"/>
    <n v="4"/>
    <n v="56075"/>
    <n v="28898.239999999998"/>
    <n v="84973.239999999991"/>
    <n v="11.761718360702934"/>
    <n v="8011"/>
    <n v="78"/>
    <x v="489"/>
    <x v="1"/>
    <x v="0"/>
    <x v="1"/>
  </r>
  <r>
    <x v="32"/>
    <s v="ZTAN"/>
    <x v="12"/>
    <s v="PN4466"/>
    <s v="81417709"/>
    <s v="VITACURA"/>
    <x v="89"/>
    <x v="1"/>
    <x v="0"/>
    <x v="27"/>
    <x v="1"/>
    <n v="4"/>
    <n v="128478"/>
    <n v="73416"/>
    <n v="201894"/>
    <n v="11"/>
    <n v="8011"/>
    <n v="100"/>
    <x v="490"/>
    <x v="1"/>
    <x v="0"/>
    <x v="1"/>
  </r>
  <r>
    <x v="32"/>
    <s v="ZTAN"/>
    <x v="8"/>
    <s v="BDCH61"/>
    <s v="99626232"/>
    <s v="LAS CONDES"/>
    <x v="363"/>
    <x v="1"/>
    <x v="1"/>
    <x v="3"/>
    <x v="1"/>
    <n v="4"/>
    <n v="56075"/>
    <n v="6798"/>
    <n v="62873"/>
    <n v="36.992821840433045"/>
    <n v="8011"/>
    <n v="21"/>
    <x v="491"/>
    <x v="1"/>
    <x v="0"/>
    <x v="1"/>
  </r>
  <r>
    <x v="32"/>
    <s v="ZTAN"/>
    <x v="8"/>
    <s v="SV2718"/>
    <s v="78907355"/>
    <s v="SAN BERNARDO"/>
    <x v="469"/>
    <x v="1"/>
    <x v="1"/>
    <x v="4"/>
    <x v="1"/>
    <n v="4"/>
    <n v="56075"/>
    <n v="10104"/>
    <n v="66179"/>
    <n v="26.199129057798892"/>
    <n v="8011"/>
    <n v="32"/>
    <x v="492"/>
    <x v="1"/>
    <x v="0"/>
    <x v="1"/>
  </r>
  <r>
    <x v="32"/>
    <s v="ZTAN"/>
    <x v="8"/>
    <s v="TP3884"/>
    <s v="161268070"/>
    <s v="PUDAHUEL"/>
    <x v="470"/>
    <x v="1"/>
    <x v="1"/>
    <x v="10"/>
    <x v="1"/>
    <n v="1"/>
    <n v="33750"/>
    <n v="15758"/>
    <n v="49508"/>
    <n v="12.566726148019724"/>
    <n v="4821"/>
    <n v="82"/>
    <x v="493"/>
    <x v="1"/>
    <x v="0"/>
    <x v="1"/>
  </r>
  <r>
    <x v="32"/>
    <s v="ZTAN"/>
    <x v="8"/>
    <s v="UA7248"/>
    <s v="107643206"/>
    <s v="ÑUÑOA"/>
    <x v="471"/>
    <x v="1"/>
    <x v="1"/>
    <x v="15"/>
    <x v="1"/>
    <n v="4"/>
    <n v="56075"/>
    <n v="9005"/>
    <n v="65080"/>
    <n v="28.909026297086001"/>
    <n v="8011"/>
    <n v="28"/>
    <x v="494"/>
    <x v="1"/>
    <x v="0"/>
    <x v="1"/>
  </r>
  <r>
    <x v="32"/>
    <s v="ZTAN"/>
    <x v="8"/>
    <s v="XR6339"/>
    <s v="81417709"/>
    <s v="CERRILLOS"/>
    <x v="472"/>
    <x v="1"/>
    <x v="1"/>
    <x v="9"/>
    <x v="1"/>
    <n v="2"/>
    <n v="40475"/>
    <n v="4101"/>
    <n v="44576"/>
    <n v="43.480296527506823"/>
    <n v="5782"/>
    <n v="18"/>
    <x v="495"/>
    <x v="1"/>
    <x v="0"/>
    <x v="1"/>
  </r>
  <r>
    <x v="33"/>
    <s v="ZNL"/>
    <x v="0"/>
    <s v="KGFF46"/>
    <s v="119051878"/>
    <s v="TALCAHUANO"/>
    <x v="374"/>
    <x v="0"/>
    <x v="0"/>
    <x v="0"/>
    <x v="0"/>
    <n v="0"/>
    <n v="380000"/>
    <n v="0"/>
    <n v="380000"/>
    <n v="69.141193595342045"/>
    <n v="25000"/>
    <n v="22"/>
    <x v="496"/>
    <x v="1"/>
    <x v="0"/>
    <x v="0"/>
  </r>
  <r>
    <x v="33"/>
    <s v="ZPEP"/>
    <x v="17"/>
    <s v="HLBX77"/>
    <s v="16093509K"/>
    <s v="LAMPA"/>
    <x v="473"/>
    <x v="1"/>
    <x v="1"/>
    <x v="17"/>
    <x v="1"/>
    <n v="5"/>
    <n v="70000"/>
    <n v="14352"/>
    <n v="84352"/>
    <n v="23.509476031215161"/>
    <n v="12000"/>
    <n v="30"/>
    <x v="497"/>
    <x v="1"/>
    <x v="0"/>
    <x v="1"/>
  </r>
  <r>
    <x v="33"/>
    <s v="ZPEP"/>
    <x v="17"/>
    <s v="XR6339"/>
    <s v="78907355"/>
    <s v="LAMPA"/>
    <x v="474"/>
    <x v="1"/>
    <x v="1"/>
    <x v="17"/>
    <x v="1"/>
    <n v="5"/>
    <n v="70000"/>
    <n v="15548"/>
    <n v="85548"/>
    <n v="22.008747105737072"/>
    <n v="12000"/>
    <n v="32"/>
    <x v="498"/>
    <x v="1"/>
    <x v="0"/>
    <x v="1"/>
  </r>
  <r>
    <x v="33"/>
    <s v="ZPEP"/>
    <x v="2"/>
    <s v="WG4022"/>
    <s v="100327283"/>
    <s v="MAIPU"/>
    <x v="475"/>
    <x v="1"/>
    <x v="0"/>
    <x v="2"/>
    <x v="1"/>
    <n v="2"/>
    <n v="88175"/>
    <n v="50385.999999999964"/>
    <n v="138560.99999999997"/>
    <n v="10.999960306434332"/>
    <n v="5782"/>
    <n v="100"/>
    <x v="499"/>
    <x v="1"/>
    <x v="0"/>
    <x v="1"/>
  </r>
  <r>
    <x v="33"/>
    <s v="ZPEP"/>
    <x v="8"/>
    <s v="PN4466"/>
    <s v="81417709"/>
    <s v="RENCA"/>
    <x v="476"/>
    <x v="1"/>
    <x v="0"/>
    <x v="7"/>
    <x v="1"/>
    <n v="1"/>
    <n v="93568"/>
    <n v="53467"/>
    <n v="147035"/>
    <n v="11.000014962444265"/>
    <n v="4821"/>
    <n v="100"/>
    <x v="500"/>
    <x v="1"/>
    <x v="0"/>
    <x v="1"/>
  </r>
  <r>
    <x v="33"/>
    <s v="ZTAN"/>
    <x v="3"/>
    <s v="RK5135"/>
    <s v="138841065"/>
    <s v="LAS CONDES"/>
    <x v="477"/>
    <x v="3"/>
    <x v="1"/>
    <x v="3"/>
    <x v="1"/>
    <n v="4"/>
    <n v="100760"/>
    <n v="43182.95999999997"/>
    <n v="143942.95999999996"/>
    <n v="9.9999833267566682"/>
    <n v="8011"/>
    <n v="100"/>
    <x v="501"/>
    <x v="1"/>
    <x v="0"/>
    <x v="1"/>
  </r>
  <r>
    <x v="33"/>
    <s v="ZTAN"/>
    <x v="12"/>
    <s v="RK5135"/>
    <s v="138841065"/>
    <s v="VITACURA"/>
    <x v="478"/>
    <x v="3"/>
    <x v="0"/>
    <x v="27"/>
    <x v="1"/>
    <n v="4"/>
    <n v="118200"/>
    <n v="50657.04"/>
    <n v="168857.04"/>
    <n v="10.000014213226828"/>
    <n v="8011"/>
    <n v="100"/>
    <x v="502"/>
    <x v="1"/>
    <x v="0"/>
    <x v="1"/>
  </r>
  <r>
    <x v="33"/>
    <s v="ZTAN"/>
    <x v="16"/>
    <s v="DJLF85"/>
    <s v="125108660"/>
    <s v="MAIPU"/>
    <x v="479"/>
    <x v="4"/>
    <x v="1"/>
    <x v="2"/>
    <x v="1"/>
    <n v="2"/>
    <n v="65660"/>
    <n v="28139.999999999993"/>
    <n v="93800"/>
    <n v="10.000000000000002"/>
    <n v="5782"/>
    <n v="100"/>
    <x v="503"/>
    <x v="1"/>
    <x v="0"/>
    <x v="1"/>
  </r>
  <r>
    <x v="33"/>
    <s v="ZTAN"/>
    <x v="8"/>
    <s v="BDCH61"/>
    <s v="99626232"/>
    <s v="QUILIN"/>
    <x v="480"/>
    <x v="1"/>
    <x v="1"/>
    <x v="34"/>
    <x v="1"/>
    <n v="4"/>
    <n v="56075"/>
    <n v="12000"/>
    <n v="68075"/>
    <n v="90.718283582089555"/>
    <n v="8011"/>
    <n v="9"/>
    <x v="504"/>
    <x v="1"/>
    <x v="0"/>
    <x v="1"/>
  </r>
  <r>
    <x v="33"/>
    <s v="ZTAN"/>
    <x v="8"/>
    <s v="SV2718"/>
    <s v="161268070"/>
    <s v="MAIPU"/>
    <x v="269"/>
    <x v="1"/>
    <x v="1"/>
    <x v="2"/>
    <x v="1"/>
    <n v="2"/>
    <n v="40475"/>
    <n v="12000"/>
    <n v="52475"/>
    <n v="27.641698272229245"/>
    <n v="5782"/>
    <n v="33"/>
    <x v="505"/>
    <x v="1"/>
    <x v="0"/>
    <x v="1"/>
  </r>
  <r>
    <x v="33"/>
    <s v="ZTAN"/>
    <x v="8"/>
    <s v="TP3884"/>
    <s v="78907355"/>
    <s v="PUDAHUEL"/>
    <x v="469"/>
    <x v="1"/>
    <x v="1"/>
    <x v="10"/>
    <x v="1"/>
    <n v="1"/>
    <n v="33750"/>
    <n v="12000"/>
    <n v="45750"/>
    <n v="18.11163895486936"/>
    <n v="4821"/>
    <n v="52"/>
    <x v="506"/>
    <x v="1"/>
    <x v="0"/>
    <x v="1"/>
  </r>
  <r>
    <x v="33"/>
    <s v="ZTAN"/>
    <x v="8"/>
    <s v="UA7248"/>
    <s v="107643206"/>
    <s v="CERRILLOS"/>
    <x v="481"/>
    <x v="1"/>
    <x v="1"/>
    <x v="9"/>
    <x v="1"/>
    <n v="2"/>
    <n v="40475"/>
    <n v="12000"/>
    <n v="52475"/>
    <n v="29.553390403243977"/>
    <n v="5782"/>
    <n v="31"/>
    <x v="507"/>
    <x v="1"/>
    <x v="0"/>
    <x v="1"/>
  </r>
  <r>
    <x v="34"/>
    <s v="ZPEP"/>
    <x v="3"/>
    <s v="SU9354"/>
    <s v="72564391"/>
    <s v="LAS CONDES"/>
    <x v="482"/>
    <x v="2"/>
    <x v="1"/>
    <x v="3"/>
    <x v="1"/>
    <n v="4"/>
    <n v="79891"/>
    <n v="34238.82"/>
    <n v="114129.82"/>
    <n v="10.000036800333657"/>
    <n v="8011"/>
    <n v="100"/>
    <x v="508"/>
    <x v="1"/>
    <x v="0"/>
    <x v="1"/>
  </r>
  <r>
    <x v="34"/>
    <s v="ZPEP"/>
    <x v="3"/>
    <s v="WC2233"/>
    <s v="125108660"/>
    <s v="LAS CONDES"/>
    <x v="483"/>
    <x v="4"/>
    <x v="1"/>
    <x v="3"/>
    <x v="1"/>
    <n v="4"/>
    <n v="75740"/>
    <n v="32460.18"/>
    <n v="108200.18"/>
    <n v="9.9999611832097042"/>
    <n v="8011"/>
    <n v="100"/>
    <x v="509"/>
    <x v="1"/>
    <x v="0"/>
    <x v="1"/>
  </r>
  <r>
    <x v="34"/>
    <s v="ZPEP"/>
    <x v="5"/>
    <s v="RK5135"/>
    <s v="138841065"/>
    <s v="COLINA"/>
    <x v="484"/>
    <x v="3"/>
    <x v="1"/>
    <x v="5"/>
    <x v="1"/>
    <n v="5"/>
    <n v="70000"/>
    <n v="18918.900000000001"/>
    <n v="88918.9"/>
    <n v="14.100011100011098"/>
    <n v="12000"/>
    <n v="53"/>
    <x v="510"/>
    <x v="1"/>
    <x v="0"/>
    <x v="1"/>
  </r>
  <r>
    <x v="34"/>
    <s v="ZPEP"/>
    <x v="32"/>
    <s v="XR6339"/>
    <s v="78907355"/>
    <s v="LAMPA"/>
    <x v="485"/>
    <x v="1"/>
    <x v="1"/>
    <x v="17"/>
    <x v="1"/>
    <n v="5"/>
    <n v="70000"/>
    <n v="27166.760000000006"/>
    <n v="97166.760000000009"/>
    <n v="14.306713056691338"/>
    <n v="12000"/>
    <n v="57"/>
    <x v="511"/>
    <x v="1"/>
    <x v="0"/>
    <x v="1"/>
  </r>
  <r>
    <x v="34"/>
    <s v="ZPEP"/>
    <x v="11"/>
    <s v="HLBX77"/>
    <s v="16093509K"/>
    <s v="PADRE HURTADO"/>
    <x v="486"/>
    <x v="1"/>
    <x v="1"/>
    <x v="26"/>
    <x v="1"/>
    <n v="5"/>
    <n v="70000"/>
    <n v="17966.240000000002"/>
    <n v="87966.24"/>
    <n v="19.584785686932825"/>
    <n v="12000"/>
    <n v="37"/>
    <x v="512"/>
    <x v="1"/>
    <x v="0"/>
    <x v="1"/>
  </r>
  <r>
    <x v="34"/>
    <s v="ZPEP"/>
    <x v="2"/>
    <s v="DFRV76"/>
    <s v="113693568"/>
    <s v="TEMUCO"/>
    <x v="487"/>
    <x v="5"/>
    <x v="0"/>
    <x v="14"/>
    <x v="4"/>
    <n v="0"/>
    <n v="620000"/>
    <n v="0"/>
    <n v="620000"/>
    <n v="59.333209562982205"/>
    <n v="25000"/>
    <n v="19"/>
    <x v="513"/>
    <x v="1"/>
    <x v="0"/>
    <x v="0"/>
  </r>
  <r>
    <x v="34"/>
    <s v="ZPEP"/>
    <x v="8"/>
    <s v="XR6339"/>
    <s v="78907355"/>
    <s v="RENCA"/>
    <x v="488"/>
    <x v="1"/>
    <x v="1"/>
    <x v="7"/>
    <x v="1"/>
    <n v="1"/>
    <n v="33750"/>
    <n v="16038"/>
    <n v="49788"/>
    <n v="12.417570358250945"/>
    <n v="4821"/>
    <n v="83"/>
    <x v="514"/>
    <x v="1"/>
    <x v="0"/>
    <x v="1"/>
  </r>
  <r>
    <x v="34"/>
    <s v="ZTAN"/>
    <x v="4"/>
    <s v="DJLF85"/>
    <s v="53173292"/>
    <s v="ARICA"/>
    <x v="489"/>
    <x v="4"/>
    <x v="1"/>
    <x v="7"/>
    <x v="1"/>
    <n v="0"/>
    <n v="33750"/>
    <n v="16038"/>
    <n v="49788"/>
    <n v="4.2521137586471909"/>
    <n v="25000"/>
    <n v="47"/>
    <x v="515"/>
    <x v="1"/>
    <x v="0"/>
    <x v="1"/>
  </r>
  <r>
    <x v="34"/>
    <s v="ZTAN"/>
    <x v="7"/>
    <s v="KKPF51"/>
    <s v="95707734"/>
    <s v="MELIPILLA"/>
    <x v="490"/>
    <x v="8"/>
    <x v="0"/>
    <x v="29"/>
    <x v="1"/>
    <n v="5"/>
    <n v="120000"/>
    <n v="28300"/>
    <n v="148300"/>
    <n v="15.7210702624772"/>
    <n v="12000"/>
    <n v="79"/>
    <x v="516"/>
    <x v="1"/>
    <x v="0"/>
    <x v="1"/>
  </r>
  <r>
    <x v="35"/>
    <s v="ZNL"/>
    <x v="0"/>
    <s v="KKPF51"/>
    <s v="95707734"/>
    <s v="TALCAHUANO"/>
    <x v="419"/>
    <x v="8"/>
    <x v="0"/>
    <x v="0"/>
    <x v="0"/>
    <n v="0"/>
    <n v="380000"/>
    <n v="0"/>
    <n v="380000"/>
    <n v="46.094129063561354"/>
    <n v="25000"/>
    <n v="33"/>
    <x v="517"/>
    <x v="1"/>
    <x v="0"/>
    <x v="0"/>
  </r>
  <r>
    <x v="35"/>
    <s v="ZPEP"/>
    <x v="13"/>
    <s v="BDCH61"/>
    <s v="107643206"/>
    <s v="SANTIAGO"/>
    <x v="491"/>
    <x v="1"/>
    <x v="1"/>
    <x v="20"/>
    <x v="1"/>
    <n v="1"/>
    <n v="33750"/>
    <n v="12000"/>
    <n v="45750"/>
    <n v="55.589307411907654"/>
    <n v="4821"/>
    <n v="14"/>
    <x v="518"/>
    <x v="1"/>
    <x v="0"/>
    <x v="1"/>
  </r>
  <r>
    <x v="35"/>
    <s v="ZPEP"/>
    <x v="3"/>
    <s v="XR6339"/>
    <s v="78907355"/>
    <s v="LAS CONDES"/>
    <x v="492"/>
    <x v="1"/>
    <x v="1"/>
    <x v="3"/>
    <x v="1"/>
    <n v="4"/>
    <n v="66881"/>
    <n v="38217.599999999999"/>
    <n v="105098.6"/>
    <n v="11.000020932763963"/>
    <n v="8011"/>
    <n v="100"/>
    <x v="519"/>
    <x v="1"/>
    <x v="0"/>
    <x v="1"/>
  </r>
  <r>
    <x v="35"/>
    <s v="ZPEP"/>
    <x v="5"/>
    <s v="JTYB84"/>
    <s v="6270435K"/>
    <s v="SAN PEDRO DE LA PAZ"/>
    <x v="493"/>
    <x v="5"/>
    <x v="0"/>
    <x v="47"/>
    <x v="0"/>
    <n v="0"/>
    <n v="380000"/>
    <n v="0"/>
    <n v="380000"/>
    <n v="21.74722966047424"/>
    <n v="25000"/>
    <n v="22"/>
    <x v="520"/>
    <x v="1"/>
    <x v="0"/>
    <x v="0"/>
  </r>
  <r>
    <x v="35"/>
    <s v="ZPEP"/>
    <x v="32"/>
    <s v="PN4466"/>
    <s v="81417709"/>
    <s v="LAMPA"/>
    <x v="494"/>
    <x v="1"/>
    <x v="0"/>
    <x v="17"/>
    <x v="1"/>
    <n v="5"/>
    <n v="120000"/>
    <n v="37999.919999999998"/>
    <n v="157999.91999999998"/>
    <n v="16.631605540222189"/>
    <n v="12000"/>
    <n v="79"/>
    <x v="521"/>
    <x v="1"/>
    <x v="0"/>
    <x v="1"/>
  </r>
  <r>
    <x v="35"/>
    <s v="ZPEP"/>
    <x v="32"/>
    <s v="WG4022"/>
    <s v="172861164"/>
    <s v="LAMPA"/>
    <x v="495"/>
    <x v="1"/>
    <x v="0"/>
    <x v="17"/>
    <x v="1"/>
    <n v="5"/>
    <n v="120000"/>
    <n v="30611.16"/>
    <n v="150611.16"/>
    <n v="19.680555718894677"/>
    <n v="12000"/>
    <n v="64"/>
    <x v="522"/>
    <x v="1"/>
    <x v="0"/>
    <x v="1"/>
  </r>
  <r>
    <x v="35"/>
    <s v="ZPEP"/>
    <x v="8"/>
    <s v="SU9354"/>
    <s v="72564391"/>
    <s v="RENCA"/>
    <x v="496"/>
    <x v="2"/>
    <x v="1"/>
    <x v="7"/>
    <x v="1"/>
    <n v="1"/>
    <n v="33882"/>
    <n v="14521"/>
    <n v="48403"/>
    <n v="9.9999586804178247"/>
    <n v="4821"/>
    <n v="100"/>
    <x v="523"/>
    <x v="1"/>
    <x v="0"/>
    <x v="1"/>
  </r>
  <r>
    <x v="35"/>
    <s v="ZTAN"/>
    <x v="39"/>
    <s v="RK5135"/>
    <s v="138841065"/>
    <s v="BUIN"/>
    <x v="489"/>
    <x v="3"/>
    <x v="1"/>
    <x v="56"/>
    <x v="1"/>
    <n v="5"/>
    <n v="90000"/>
    <n v="35127.000000000029"/>
    <n v="125127.00000000003"/>
    <n v="10.686395080707143"/>
    <n v="12000"/>
    <n v="98"/>
    <x v="524"/>
    <x v="1"/>
    <x v="0"/>
    <x v="1"/>
  </r>
  <r>
    <x v="35"/>
    <s v="ZTAN"/>
    <x v="7"/>
    <s v="CJFZ67"/>
    <s v="115815335"/>
    <s v="CHILLAN"/>
    <x v="419"/>
    <x v="5"/>
    <x v="0"/>
    <x v="21"/>
    <x v="5"/>
    <n v="0"/>
    <n v="350000"/>
    <n v="24732.000000000011"/>
    <n v="374732"/>
    <n v="45.455118874332825"/>
    <n v="25000"/>
    <n v="33"/>
    <x v="525"/>
    <x v="1"/>
    <x v="0"/>
    <x v="0"/>
  </r>
  <r>
    <x v="35"/>
    <s v="ZTAN"/>
    <x v="7"/>
    <s v="DJLF85"/>
    <s v="53173292"/>
    <s v="SAN MIGUEL"/>
    <x v="497"/>
    <x v="4"/>
    <x v="1"/>
    <x v="23"/>
    <x v="1"/>
    <n v="2"/>
    <n v="48989"/>
    <n v="20995"/>
    <n v="69984"/>
    <n v="9.9999999999999964"/>
    <n v="5782"/>
    <n v="100"/>
    <x v="526"/>
    <x v="1"/>
    <x v="0"/>
    <x v="1"/>
  </r>
  <r>
    <x v="35"/>
    <s v="ZTAN"/>
    <x v="7"/>
    <s v="HLBX77"/>
    <s v="16093509K"/>
    <s v="SAN MIGUEL"/>
    <x v="498"/>
    <x v="1"/>
    <x v="1"/>
    <x v="23"/>
    <x v="1"/>
    <n v="2"/>
    <n v="53592"/>
    <n v="30624"/>
    <n v="84216"/>
    <n v="11"/>
    <n v="5782"/>
    <n v="100"/>
    <x v="527"/>
    <x v="1"/>
    <x v="0"/>
    <x v="1"/>
  </r>
  <r>
    <x v="35"/>
    <s v="ZTAN"/>
    <x v="8"/>
    <s v="TP3884"/>
    <s v="161268070"/>
    <s v="PUDAHUEL"/>
    <x v="499"/>
    <x v="1"/>
    <x v="1"/>
    <x v="10"/>
    <x v="1"/>
    <n v="1"/>
    <n v="33750"/>
    <n v="12000"/>
    <n v="45750"/>
    <n v="16.561685490877498"/>
    <n v="4821"/>
    <n v="57"/>
    <x v="528"/>
    <x v="1"/>
    <x v="0"/>
    <x v="1"/>
  </r>
  <r>
    <x v="36"/>
    <s v="ZNL"/>
    <x v="0"/>
    <s v="VV6251"/>
    <s v="94654599"/>
    <s v="TALCAHUANO"/>
    <x v="500"/>
    <x v="0"/>
    <x v="0"/>
    <x v="0"/>
    <x v="0"/>
    <n v="0"/>
    <n v="380000"/>
    <n v="0"/>
    <n v="380000"/>
    <n v="29.014721153258812"/>
    <n v="25000"/>
    <n v="52"/>
    <x v="529"/>
    <x v="1"/>
    <x v="0"/>
    <x v="0"/>
  </r>
  <r>
    <x v="36"/>
    <s v="ZPEP"/>
    <x v="3"/>
    <s v="RK5135"/>
    <s v="138841065"/>
    <s v="LAS CONDES"/>
    <x v="501"/>
    <x v="3"/>
    <x v="1"/>
    <x v="3"/>
    <x v="1"/>
    <n v="4"/>
    <n v="67074"/>
    <n v="28745.999999999993"/>
    <n v="95820"/>
    <n v="10.000000000000002"/>
    <n v="8011"/>
    <n v="100"/>
    <x v="530"/>
    <x v="1"/>
    <x v="0"/>
    <x v="1"/>
  </r>
  <r>
    <x v="36"/>
    <s v="ZPEP"/>
    <x v="37"/>
    <s v="DJLF85"/>
    <s v="125108660"/>
    <s v="PROVIDENCIA"/>
    <x v="502"/>
    <x v="4"/>
    <x v="1"/>
    <x v="54"/>
    <x v="1"/>
    <n v="1"/>
    <n v="42971"/>
    <n v="18416.22"/>
    <n v="61387.22"/>
    <n v="9.9999706780218744"/>
    <n v="4821"/>
    <n v="100"/>
    <x v="531"/>
    <x v="1"/>
    <x v="0"/>
    <x v="1"/>
  </r>
  <r>
    <x v="36"/>
    <s v="ZPEP"/>
    <x v="37"/>
    <s v="XR6339"/>
    <s v="78907355"/>
    <s v="PROVIDENCIA"/>
    <x v="503"/>
    <x v="1"/>
    <x v="1"/>
    <x v="54"/>
    <x v="1"/>
    <n v="1"/>
    <n v="33750"/>
    <n v="14226.6"/>
    <n v="47976.6"/>
    <n v="13.489266585129265"/>
    <n v="4821"/>
    <n v="74"/>
    <x v="532"/>
    <x v="1"/>
    <x v="0"/>
    <x v="1"/>
  </r>
  <r>
    <x v="36"/>
    <s v="ZTAN"/>
    <x v="10"/>
    <s v="SU9354"/>
    <s v="72564391"/>
    <s v="QUILICURA"/>
    <x v="504"/>
    <x v="2"/>
    <x v="1"/>
    <x v="8"/>
    <x v="1"/>
    <n v="1"/>
    <n v="33750"/>
    <n v="9068"/>
    <n v="42818"/>
    <n v="14.165012571126104"/>
    <n v="4821"/>
    <n v="63"/>
    <x v="533"/>
    <x v="1"/>
    <x v="0"/>
    <x v="1"/>
  </r>
  <r>
    <x v="36"/>
    <s v="ZTAN"/>
    <x v="6"/>
    <s v="UA7248"/>
    <s v="78907355"/>
    <s v="MAIPU"/>
    <x v="505"/>
    <x v="1"/>
    <x v="1"/>
    <x v="2"/>
    <x v="1"/>
    <n v="2"/>
    <n v="40475"/>
    <n v="12000"/>
    <n v="52475"/>
    <n v="20.777241051631297"/>
    <n v="5782"/>
    <n v="44"/>
    <x v="534"/>
    <x v="1"/>
    <x v="0"/>
    <x v="1"/>
  </r>
  <r>
    <x v="36"/>
    <s v="ZTAN"/>
    <x v="6"/>
    <s v="XP6892"/>
    <s v="124157498"/>
    <s v="LOS ANGELES"/>
    <x v="506"/>
    <x v="0"/>
    <x v="0"/>
    <x v="57"/>
    <x v="0"/>
    <n v="0"/>
    <n v="420000"/>
    <n v="0"/>
    <n v="420000"/>
    <n v="23.488356486141882"/>
    <n v="25000"/>
    <n v="72"/>
    <x v="535"/>
    <x v="1"/>
    <x v="0"/>
    <x v="0"/>
  </r>
  <r>
    <x v="36"/>
    <s v="ZTAN"/>
    <x v="16"/>
    <s v="BDCH61"/>
    <s v="99626232"/>
    <s v="RENCA"/>
    <x v="507"/>
    <x v="1"/>
    <x v="1"/>
    <x v="7"/>
    <x v="1"/>
    <n v="1"/>
    <n v="33750"/>
    <n v="17065.600000000002"/>
    <n v="50815.600000000006"/>
    <n v="11.910650665666603"/>
    <n v="4821"/>
    <n v="88"/>
    <x v="536"/>
    <x v="1"/>
    <x v="0"/>
    <x v="1"/>
  </r>
  <r>
    <x v="36"/>
    <s v="ZTAN"/>
    <x v="16"/>
    <s v="HLBX77"/>
    <s v="16093509K"/>
    <s v="RENCA"/>
    <x v="400"/>
    <x v="1"/>
    <x v="1"/>
    <x v="7"/>
    <x v="1"/>
    <n v="1"/>
    <n v="57781"/>
    <n v="33017.599999999991"/>
    <n v="90798.599999999991"/>
    <n v="11.000024229501843"/>
    <n v="4821"/>
    <n v="100"/>
    <x v="537"/>
    <x v="1"/>
    <x v="0"/>
    <x v="1"/>
  </r>
  <r>
    <x v="36"/>
    <s v="ZTAN"/>
    <x v="8"/>
    <s v="BDCH61"/>
    <s v="161268070"/>
    <s v="SAN BERNARDO"/>
    <x v="508"/>
    <x v="1"/>
    <x v="1"/>
    <x v="4"/>
    <x v="1"/>
    <n v="4"/>
    <n v="56075"/>
    <n v="24661"/>
    <n v="80736"/>
    <n v="13.095438915201449"/>
    <n v="8011"/>
    <n v="77"/>
    <x v="538"/>
    <x v="1"/>
    <x v="0"/>
    <x v="1"/>
  </r>
  <r>
    <x v="36"/>
    <s v="ZTAN"/>
    <x v="8"/>
    <s v="HLBX77"/>
    <s v="16093509K"/>
    <s v="EL BOSQUE"/>
    <x v="471"/>
    <x v="1"/>
    <x v="1"/>
    <x v="25"/>
    <x v="1"/>
    <n v="3"/>
    <n v="48075"/>
    <n v="12000"/>
    <n v="60075"/>
    <n v="26.68576759061834"/>
    <n v="6868"/>
    <n v="33"/>
    <x v="539"/>
    <x v="1"/>
    <x v="0"/>
    <x v="1"/>
  </r>
  <r>
    <x v="36"/>
    <s v="ZTAN"/>
    <x v="8"/>
    <s v="SV2718"/>
    <s v="99626232"/>
    <s v="CERRILLOS"/>
    <x v="285"/>
    <x v="1"/>
    <x v="1"/>
    <x v="9"/>
    <x v="1"/>
    <n v="2"/>
    <n v="40475"/>
    <n v="12000"/>
    <n v="52475"/>
    <n v="44.21553758004719"/>
    <n v="5782"/>
    <n v="21"/>
    <x v="540"/>
    <x v="1"/>
    <x v="0"/>
    <x v="1"/>
  </r>
  <r>
    <x v="36"/>
    <s v="ZTAN"/>
    <x v="8"/>
    <s v="TP3881"/>
    <s v="78907355"/>
    <s v="PUDAHUEL"/>
    <x v="480"/>
    <x v="0"/>
    <x v="0"/>
    <x v="10"/>
    <x v="1"/>
    <n v="1"/>
    <n v="33750"/>
    <n v="12000"/>
    <n v="45750"/>
    <n v="60.967484008528785"/>
    <n v="4821"/>
    <n v="16"/>
    <x v="541"/>
    <x v="1"/>
    <x v="0"/>
    <x v="1"/>
  </r>
  <r>
    <x v="36"/>
    <s v="ZTAN"/>
    <x v="8"/>
    <s v="TP3884"/>
    <s v="789*07355"/>
    <s v="PUDAHUEL"/>
    <x v="509"/>
    <x v="1"/>
    <x v="1"/>
    <x v="10"/>
    <x v="1"/>
    <n v="1"/>
    <n v="33750"/>
    <n v="12000"/>
    <n v="45750"/>
    <n v="31.699948725765996"/>
    <n v="4821"/>
    <n v="30"/>
    <x v="542"/>
    <x v="1"/>
    <x v="0"/>
    <x v="1"/>
  </r>
  <r>
    <x v="36"/>
    <s v="ZTAN"/>
    <x v="8"/>
    <s v="TP3884"/>
    <s v="78907355"/>
    <s v="PUDAHUEL"/>
    <x v="510"/>
    <x v="1"/>
    <x v="1"/>
    <x v="10"/>
    <x v="1"/>
    <n v="1"/>
    <n v="33750"/>
    <n v="15037"/>
    <n v="48787"/>
    <n v="12.977889147806476"/>
    <n v="4821"/>
    <n v="78"/>
    <x v="543"/>
    <x v="1"/>
    <x v="0"/>
    <x v="1"/>
  </r>
  <r>
    <x v="37"/>
    <s v="ZNL"/>
    <x v="0"/>
    <s v="DFGV44"/>
    <s v="91064081"/>
    <s v="TALCAHUANO"/>
    <x v="511"/>
    <x v="0"/>
    <x v="0"/>
    <x v="0"/>
    <x v="0"/>
    <n v="0"/>
    <n v="380000"/>
    <n v="0"/>
    <n v="380000"/>
    <n v="46.637211585665192"/>
    <n v="25000"/>
    <n v="33"/>
    <x v="544"/>
    <x v="1"/>
    <x v="0"/>
    <x v="0"/>
  </r>
  <r>
    <x v="37"/>
    <s v="ZPEP"/>
    <x v="3"/>
    <s v="WC2233"/>
    <s v="125108660"/>
    <s v="LAS CONDES"/>
    <x v="512"/>
    <x v="4"/>
    <x v="1"/>
    <x v="3"/>
    <x v="1"/>
    <n v="4"/>
    <n v="77123"/>
    <n v="33052.71"/>
    <n v="110175.70999999999"/>
    <n v="10.000000907641159"/>
    <n v="8011"/>
    <n v="100"/>
    <x v="545"/>
    <x v="1"/>
    <x v="0"/>
    <x v="1"/>
  </r>
  <r>
    <x v="37"/>
    <s v="ZPEP"/>
    <x v="5"/>
    <s v="SU9354"/>
    <s v="72564391"/>
    <s v="SAN FELIPE"/>
    <x v="513"/>
    <x v="2"/>
    <x v="1"/>
    <x v="35"/>
    <x v="2"/>
    <n v="0"/>
    <n v="180000"/>
    <n v="0"/>
    <n v="180000"/>
    <n v="62.911546365809677"/>
    <n v="25000"/>
    <n v="11"/>
    <x v="546"/>
    <x v="1"/>
    <x v="0"/>
    <x v="0"/>
  </r>
  <r>
    <x v="37"/>
    <s v="ZPEP"/>
    <x v="12"/>
    <s v="PN4466"/>
    <s v="81417709"/>
    <s v="VITACURA"/>
    <x v="514"/>
    <x v="1"/>
    <x v="0"/>
    <x v="27"/>
    <x v="1"/>
    <n v="4"/>
    <n v="135551"/>
    <n v="77457.600000000006"/>
    <n v="213008.6"/>
    <n v="11.000010328231186"/>
    <n v="8011"/>
    <n v="100"/>
    <x v="547"/>
    <x v="1"/>
    <x v="0"/>
    <x v="1"/>
  </r>
  <r>
    <x v="37"/>
    <s v="ZPEP"/>
    <x v="8"/>
    <s v="RK5135"/>
    <s v="138841065"/>
    <s v="RENCA"/>
    <x v="515"/>
    <x v="3"/>
    <x v="1"/>
    <x v="7"/>
    <x v="1"/>
    <n v="1"/>
    <n v="33750"/>
    <n v="5210"/>
    <n v="38960"/>
    <n v="22.435934350705441"/>
    <n v="4821"/>
    <n v="36"/>
    <x v="548"/>
    <x v="1"/>
    <x v="0"/>
    <x v="1"/>
  </r>
  <r>
    <x v="37"/>
    <s v="ZTAN"/>
    <x v="17"/>
    <s v="KKPF51"/>
    <s v="95707734"/>
    <s v="LAMPA"/>
    <x v="516"/>
    <x v="8"/>
    <x v="0"/>
    <x v="17"/>
    <x v="1"/>
    <n v="5"/>
    <n v="120000"/>
    <n v="0"/>
    <n v="120000"/>
    <n v="6.2786463238525769"/>
    <n v="12000"/>
    <n v="100"/>
    <x v="549"/>
    <x v="1"/>
    <x v="0"/>
    <x v="1"/>
  </r>
  <r>
    <x v="37"/>
    <s v="ZTAN"/>
    <x v="10"/>
    <s v="RK5135"/>
    <s v="138841065"/>
    <s v="SANTIAGO"/>
    <x v="517"/>
    <x v="3"/>
    <x v="1"/>
    <x v="20"/>
    <x v="1"/>
    <n v="1"/>
    <n v="50134"/>
    <n v="21486"/>
    <n v="71620"/>
    <n v="10.000083776183549"/>
    <n v="4821"/>
    <n v="100"/>
    <x v="550"/>
    <x v="1"/>
    <x v="0"/>
    <x v="1"/>
  </r>
  <r>
    <x v="37"/>
    <s v="ZTAN"/>
    <x v="16"/>
    <s v="DJLF85"/>
    <s v="531783292"/>
    <s v="RENCA"/>
    <x v="385"/>
    <x v="4"/>
    <x v="1"/>
    <x v="7"/>
    <x v="1"/>
    <n v="1"/>
    <n v="52528"/>
    <n v="22511.999999999993"/>
    <n v="75040"/>
    <n v="10.000000000000004"/>
    <n v="4821"/>
    <n v="100"/>
    <x v="551"/>
    <x v="1"/>
    <x v="0"/>
    <x v="1"/>
  </r>
  <r>
    <x v="37"/>
    <s v="ZTAN"/>
    <x v="16"/>
    <s v="XR6339"/>
    <s v="78907355"/>
    <s v="RENCA"/>
    <x v="385"/>
    <x v="1"/>
    <x v="1"/>
    <x v="7"/>
    <x v="1"/>
    <n v="1"/>
    <n v="52528"/>
    <n v="30015.999999999989"/>
    <n v="82543.999999999985"/>
    <n v="11.000000000000002"/>
    <n v="4821"/>
    <n v="100"/>
    <x v="552"/>
    <x v="1"/>
    <x v="0"/>
    <x v="1"/>
  </r>
  <r>
    <x v="37"/>
    <s v="ZTAN"/>
    <x v="7"/>
    <s v="CJFZ67"/>
    <s v="115812335"/>
    <s v="CHILLAN"/>
    <x v="518"/>
    <x v="5"/>
    <x v="0"/>
    <x v="21"/>
    <x v="5"/>
    <n v="0"/>
    <n v="350000"/>
    <n v="0"/>
    <n v="350000"/>
    <n v="22.567104898351314"/>
    <n v="25000"/>
    <n v="48"/>
    <x v="553"/>
    <x v="1"/>
    <x v="0"/>
    <x v="0"/>
  </r>
  <r>
    <x v="37"/>
    <s v="ZTAN"/>
    <x v="7"/>
    <s v="CJXX49"/>
    <s v="167832741"/>
    <s v="CHILLAN"/>
    <x v="519"/>
    <x v="5"/>
    <x v="0"/>
    <x v="21"/>
    <x v="5"/>
    <n v="0"/>
    <n v="350000"/>
    <n v="0"/>
    <n v="350000"/>
    <n v="21.938622003811048"/>
    <n v="25000"/>
    <n v="42"/>
    <x v="554"/>
    <x v="1"/>
    <x v="0"/>
    <x v="0"/>
  </r>
  <r>
    <x v="37"/>
    <s v="ZTAN"/>
    <x v="7"/>
    <s v="HLBX77"/>
    <s v="16093509K"/>
    <s v="SAN MIGUEL"/>
    <x v="520"/>
    <x v="1"/>
    <x v="1"/>
    <x v="23"/>
    <x v="1"/>
    <n v="2"/>
    <n v="56904"/>
    <n v="32517"/>
    <n v="89421"/>
    <n v="10.999975397333067"/>
    <n v="5782"/>
    <n v="100"/>
    <x v="555"/>
    <x v="1"/>
    <x v="0"/>
    <x v="1"/>
  </r>
  <r>
    <x v="37"/>
    <s v="ZTAN"/>
    <x v="8"/>
    <s v="BDCH61"/>
    <s v="161268070"/>
    <s v="LA REINA"/>
    <x v="364"/>
    <x v="1"/>
    <x v="1"/>
    <x v="11"/>
    <x v="1"/>
    <n v="3"/>
    <n v="48075"/>
    <n v="12000"/>
    <n v="60075"/>
    <n v="34.557639208467556"/>
    <n v="6868"/>
    <n v="25"/>
    <x v="556"/>
    <x v="1"/>
    <x v="0"/>
    <x v="1"/>
  </r>
  <r>
    <x v="37"/>
    <s v="ZTAN"/>
    <x v="8"/>
    <s v="SV2718"/>
    <s v="78907355"/>
    <s v="ÑUÑOA"/>
    <x v="521"/>
    <x v="1"/>
    <x v="1"/>
    <x v="15"/>
    <x v="1"/>
    <n v="4"/>
    <n v="56075"/>
    <n v="12828"/>
    <n v="68903"/>
    <n v="21.485188649828501"/>
    <n v="8011"/>
    <n v="40"/>
    <x v="557"/>
    <x v="1"/>
    <x v="0"/>
    <x v="1"/>
  </r>
  <r>
    <x v="37"/>
    <s v="ZTAN"/>
    <x v="8"/>
    <s v="TP3884"/>
    <s v="161268070"/>
    <s v="PUDAHUEL"/>
    <x v="522"/>
    <x v="1"/>
    <x v="1"/>
    <x v="10"/>
    <x v="1"/>
    <n v="1"/>
    <n v="33750"/>
    <n v="17306"/>
    <n v="51056"/>
    <n v="11.800762741245814"/>
    <n v="4821"/>
    <n v="90"/>
    <x v="558"/>
    <x v="1"/>
    <x v="0"/>
    <x v="1"/>
  </r>
  <r>
    <x v="37"/>
    <s v="ZTAN"/>
    <x v="8"/>
    <s v="UA7248"/>
    <s v="99626232"/>
    <s v="SANTIAGO"/>
    <x v="523"/>
    <x v="1"/>
    <x v="1"/>
    <x v="20"/>
    <x v="1"/>
    <n v="1"/>
    <n v="33750"/>
    <n v="12000"/>
    <n v="45750"/>
    <n v="16.78036971830986"/>
    <n v="4821"/>
    <n v="57"/>
    <x v="559"/>
    <x v="1"/>
    <x v="0"/>
    <x v="1"/>
  </r>
  <r>
    <x v="37"/>
    <s v="ZTAN"/>
    <x v="8"/>
    <s v="XR6339"/>
    <s v="78907355"/>
    <s v="LAS CONDES"/>
    <x v="524"/>
    <x v="1"/>
    <x v="1"/>
    <x v="3"/>
    <x v="1"/>
    <n v="4"/>
    <n v="56075"/>
    <n v="13104"/>
    <n v="69179"/>
    <n v="21.116910866910867"/>
    <n v="8011"/>
    <n v="41"/>
    <x v="560"/>
    <x v="1"/>
    <x v="0"/>
    <x v="1"/>
  </r>
  <r>
    <x v="38"/>
    <s v="ZNL"/>
    <x v="0"/>
    <s v="RG6503"/>
    <s v="10519045K"/>
    <s v="TALCAHUANO"/>
    <x v="525"/>
    <x v="5"/>
    <x v="0"/>
    <x v="0"/>
    <x v="0"/>
    <n v="0"/>
    <n v="380000"/>
    <n v="0"/>
    <n v="380000"/>
    <n v="17.073280316304984"/>
    <n v="25000"/>
    <n v="89"/>
    <x v="561"/>
    <x v="1"/>
    <x v="0"/>
    <x v="0"/>
  </r>
  <r>
    <x v="38"/>
    <s v="ZPEP"/>
    <x v="4"/>
    <s v="KKPF51"/>
    <s v="95707734"/>
    <s v="QUILLOTA"/>
    <x v="526"/>
    <x v="8"/>
    <x v="0"/>
    <x v="19"/>
    <x v="2"/>
    <n v="0"/>
    <n v="230000"/>
    <n v="0"/>
    <n v="230000"/>
    <n v="43.066322136089575"/>
    <n v="25000"/>
    <n v="21"/>
    <x v="562"/>
    <x v="1"/>
    <x v="0"/>
    <x v="0"/>
  </r>
  <r>
    <x v="38"/>
    <s v="ZPEP"/>
    <x v="5"/>
    <s v="VV6251"/>
    <s v="94654599"/>
    <s v="SAN PEDRO DE LA PAZ"/>
    <x v="527"/>
    <x v="0"/>
    <x v="0"/>
    <x v="47"/>
    <x v="0"/>
    <n v="0"/>
    <n v="400000"/>
    <n v="0"/>
    <n v="400000"/>
    <n v="54.218908844459506"/>
    <n v="25000"/>
    <n v="30"/>
    <x v="563"/>
    <x v="1"/>
    <x v="0"/>
    <x v="0"/>
  </r>
  <r>
    <x v="38"/>
    <s v="ZPEP"/>
    <x v="32"/>
    <s v="HLBX77"/>
    <s v="16093509K"/>
    <s v="LAMPA"/>
    <x v="528"/>
    <x v="1"/>
    <x v="1"/>
    <x v="17"/>
    <x v="1"/>
    <n v="5"/>
    <n v="70000"/>
    <n v="38328.639999999985"/>
    <n v="108328.63999999998"/>
    <n v="11.305242241832742"/>
    <n v="12000"/>
    <n v="80"/>
    <x v="564"/>
    <x v="1"/>
    <x v="0"/>
    <x v="1"/>
  </r>
  <r>
    <x v="38"/>
    <s v="ZPEP"/>
    <x v="12"/>
    <s v="PN4466"/>
    <s v="81417709"/>
    <s v="VITACURA"/>
    <x v="455"/>
    <x v="1"/>
    <x v="0"/>
    <x v="27"/>
    <x v="1"/>
    <n v="4"/>
    <n v="119343"/>
    <n v="68196.000000000044"/>
    <n v="187539.00000000006"/>
    <n v="10.999999999999996"/>
    <n v="8011"/>
    <n v="100"/>
    <x v="565"/>
    <x v="1"/>
    <x v="0"/>
    <x v="1"/>
  </r>
  <r>
    <x v="38"/>
    <s v="ZTAN"/>
    <x v="13"/>
    <s v="SV2718"/>
    <s v="161268070"/>
    <s v="SANTIAGO"/>
    <x v="529"/>
    <x v="1"/>
    <x v="1"/>
    <x v="20"/>
    <x v="1"/>
    <n v="1"/>
    <n v="33750"/>
    <n v="9398"/>
    <n v="43148"/>
    <n v="18.364758459246648"/>
    <n v="4821"/>
    <n v="49"/>
    <x v="566"/>
    <x v="1"/>
    <x v="0"/>
    <x v="1"/>
  </r>
  <r>
    <x v="38"/>
    <s v="ZTAN"/>
    <x v="6"/>
    <s v="BDCH61"/>
    <s v="107643206"/>
    <s v="QUILPUE"/>
    <x v="530"/>
    <x v="1"/>
    <x v="1"/>
    <x v="58"/>
    <x v="2"/>
    <n v="0"/>
    <n v="180000"/>
    <n v="18502"/>
    <n v="198502"/>
    <n v="42.914711923035348"/>
    <n v="25000"/>
    <n v="19"/>
    <x v="567"/>
    <x v="1"/>
    <x v="0"/>
    <x v="0"/>
  </r>
  <r>
    <x v="38"/>
    <s v="ZTAN"/>
    <x v="6"/>
    <s v="DJLF85"/>
    <s v="125108660"/>
    <s v="RANCAGUA"/>
    <x v="531"/>
    <x v="4"/>
    <x v="1"/>
    <x v="28"/>
    <x v="6"/>
    <n v="0"/>
    <n v="180000"/>
    <n v="19144.500000000004"/>
    <n v="199144.5"/>
    <n v="31.206534513829034"/>
    <n v="25000"/>
    <n v="26"/>
    <x v="568"/>
    <x v="1"/>
    <x v="0"/>
    <x v="0"/>
  </r>
  <r>
    <x v="38"/>
    <s v="ZTAN"/>
    <x v="6"/>
    <s v="SV2718"/>
    <s v="99626232"/>
    <s v="LA DEHESA"/>
    <x v="532"/>
    <x v="1"/>
    <x v="1"/>
    <x v="41"/>
    <x v="1"/>
    <n v="4"/>
    <n v="56075"/>
    <n v="20975.199999999993"/>
    <n v="77050.2"/>
    <n v="14.693580990884477"/>
    <n v="8011"/>
    <n v="65"/>
    <x v="569"/>
    <x v="1"/>
    <x v="0"/>
    <x v="1"/>
  </r>
  <r>
    <x v="38"/>
    <s v="ZTAN"/>
    <x v="6"/>
    <s v="WG4022"/>
    <s v="100327283"/>
    <s v="LOS ANDES"/>
    <x v="533"/>
    <x v="1"/>
    <x v="0"/>
    <x v="38"/>
    <x v="2"/>
    <n v="0"/>
    <n v="230000"/>
    <n v="46224.800000000003"/>
    <n v="276224.8"/>
    <n v="23.902736193558432"/>
    <n v="25000"/>
    <n v="23"/>
    <x v="570"/>
    <x v="1"/>
    <x v="0"/>
    <x v="0"/>
  </r>
  <r>
    <x v="38"/>
    <s v="ZTAN"/>
    <x v="7"/>
    <s v="VJ8408"/>
    <s v="83259353"/>
    <s v="CHILLAN"/>
    <x v="534"/>
    <x v="0"/>
    <x v="0"/>
    <x v="21"/>
    <x v="5"/>
    <n v="0"/>
    <n v="350000"/>
    <n v="0"/>
    <n v="350000"/>
    <n v="41.898605374992499"/>
    <n v="25000"/>
    <n v="33"/>
    <x v="571"/>
    <x v="1"/>
    <x v="0"/>
    <x v="0"/>
  </r>
  <r>
    <x v="38"/>
    <s v="ZTAN"/>
    <x v="8"/>
    <s v="SU9354"/>
    <s v="72564391"/>
    <s v="REÑACA"/>
    <x v="535"/>
    <x v="2"/>
    <x v="1"/>
    <x v="6"/>
    <x v="2"/>
    <n v="0"/>
    <n v="180000"/>
    <n v="25474.799999999996"/>
    <n v="205474.8"/>
    <n v="24.197418625465168"/>
    <n v="25000"/>
    <n v="34"/>
    <x v="572"/>
    <x v="1"/>
    <x v="0"/>
    <x v="0"/>
  </r>
  <r>
    <x v="38"/>
    <s v="ZTAN"/>
    <x v="8"/>
    <s v="TP3884"/>
    <s v="161268070"/>
    <s v="PUDAHUEL"/>
    <x v="536"/>
    <x v="1"/>
    <x v="1"/>
    <x v="10"/>
    <x v="1"/>
    <n v="1"/>
    <n v="59589"/>
    <n v="34051"/>
    <n v="93640"/>
    <n v="11.000035241462758"/>
    <n v="4821"/>
    <n v="100"/>
    <x v="573"/>
    <x v="1"/>
    <x v="0"/>
    <x v="1"/>
  </r>
  <r>
    <x v="38"/>
    <s v="ZTAN"/>
    <x v="8"/>
    <s v="UA7248"/>
    <s v="107643206"/>
    <s v="LA FLORIDA"/>
    <x v="537"/>
    <x v="1"/>
    <x v="1"/>
    <x v="33"/>
    <x v="1"/>
    <n v="3"/>
    <n v="48075"/>
    <n v="17056"/>
    <n v="65131"/>
    <n v="15.274624765478425"/>
    <n v="6868"/>
    <n v="62"/>
    <x v="574"/>
    <x v="1"/>
    <x v="0"/>
    <x v="1"/>
  </r>
  <r>
    <x v="38"/>
    <s v="ZTAN"/>
    <x v="8"/>
    <s v="WC2233"/>
    <s v="53173292"/>
    <s v="MAIPU"/>
    <x v="538"/>
    <x v="4"/>
    <x v="1"/>
    <x v="2"/>
    <x v="1"/>
    <n v="2"/>
    <n v="52195"/>
    <n v="22369"/>
    <n v="74564"/>
    <n v="10"/>
    <n v="5782"/>
    <n v="100"/>
    <x v="575"/>
    <x v="1"/>
    <x v="0"/>
    <x v="1"/>
  </r>
  <r>
    <x v="38"/>
    <s v="ZTAN"/>
    <x v="8"/>
    <s v="XR6339"/>
    <s v="78907355"/>
    <s v="CERRILLOS"/>
    <x v="539"/>
    <x v="1"/>
    <x v="1"/>
    <x v="9"/>
    <x v="1"/>
    <n v="2"/>
    <n v="40475"/>
    <n v="12766"/>
    <n v="53241"/>
    <n v="16.68160170447425"/>
    <n v="5782"/>
    <n v="55"/>
    <x v="576"/>
    <x v="1"/>
    <x v="0"/>
    <x v="1"/>
  </r>
  <r>
    <x v="39"/>
    <s v="ZNL"/>
    <x v="0"/>
    <s v="VE9862"/>
    <s v="98494073"/>
    <s v="TALCAHUANO"/>
    <x v="540"/>
    <x v="5"/>
    <x v="0"/>
    <x v="0"/>
    <x v="0"/>
    <n v="0"/>
    <n v="380000"/>
    <n v="0"/>
    <n v="380000"/>
    <n v="24.905620805369129"/>
    <n v="25000"/>
    <n v="61"/>
    <x v="577"/>
    <x v="1"/>
    <x v="0"/>
    <x v="0"/>
  </r>
  <r>
    <x v="39"/>
    <s v="ZPEP"/>
    <x v="4"/>
    <s v="KKPF51"/>
    <s v="95707734"/>
    <s v="QUILLOTA"/>
    <x v="331"/>
    <x v="8"/>
    <x v="0"/>
    <x v="19"/>
    <x v="2"/>
    <n v="0"/>
    <n v="230000"/>
    <n v="0"/>
    <n v="230000"/>
    <n v="64.599483204134359"/>
    <n v="25000"/>
    <n v="14"/>
    <x v="578"/>
    <x v="1"/>
    <x v="0"/>
    <x v="0"/>
  </r>
  <r>
    <x v="39"/>
    <s v="ZPEP"/>
    <x v="1"/>
    <s v="PN4466"/>
    <s v="81417709"/>
    <s v="ISLA DE MAIPO"/>
    <x v="541"/>
    <x v="1"/>
    <x v="0"/>
    <x v="1"/>
    <x v="1"/>
    <n v="5"/>
    <n v="120000"/>
    <n v="31793.28000000001"/>
    <n v="151793.28"/>
    <n v="19.097530044084781"/>
    <n v="12000"/>
    <n v="66"/>
    <x v="579"/>
    <x v="1"/>
    <x v="0"/>
    <x v="1"/>
  </r>
  <r>
    <x v="39"/>
    <s v="ZPEP"/>
    <x v="40"/>
    <s v="GKRB84"/>
    <s v="122975819"/>
    <s v="PUERTO MONTT"/>
    <x v="542"/>
    <x v="5"/>
    <x v="0"/>
    <x v="53"/>
    <x v="10"/>
    <n v="0"/>
    <n v="1020000"/>
    <n v="0"/>
    <n v="1020000"/>
    <n v="56.093669829359726"/>
    <n v="25000"/>
    <n v="73"/>
    <x v="580"/>
    <x v="1"/>
    <x v="0"/>
    <x v="0"/>
  </r>
  <r>
    <x v="39"/>
    <s v="ZPEP"/>
    <x v="32"/>
    <s v="XR6339"/>
    <s v="78907355"/>
    <s v="LAMPA"/>
    <x v="543"/>
    <x v="1"/>
    <x v="1"/>
    <x v="17"/>
    <x v="1"/>
    <n v="5"/>
    <n v="70000"/>
    <n v="10348.64"/>
    <n v="80348.639999999999"/>
    <n v="31.056695372532044"/>
    <n v="12000"/>
    <n v="22"/>
    <x v="581"/>
    <x v="1"/>
    <x v="0"/>
    <x v="1"/>
  </r>
  <r>
    <x v="39"/>
    <s v="ZTAN"/>
    <x v="4"/>
    <s v="DJLF85"/>
    <s v="53173292"/>
    <s v="LINARES"/>
    <x v="385"/>
    <x v="4"/>
    <x v="1"/>
    <x v="59"/>
    <x v="3"/>
    <n v="0"/>
    <n v="230000"/>
    <n v="22511.999999999993"/>
    <n v="252512"/>
    <n v="33.650319829424319"/>
    <n v="25000"/>
    <n v="30"/>
    <x v="582"/>
    <x v="1"/>
    <x v="0"/>
    <x v="0"/>
  </r>
  <r>
    <x v="39"/>
    <s v="ZTAN"/>
    <x v="4"/>
    <s v="HLBX77"/>
    <s v="16093509K"/>
    <s v="LINARES"/>
    <x v="385"/>
    <x v="1"/>
    <x v="1"/>
    <x v="59"/>
    <x v="3"/>
    <n v="0"/>
    <n v="230000"/>
    <n v="30015.999999999989"/>
    <n v="260016"/>
    <n v="34.650319829424319"/>
    <n v="25000"/>
    <n v="30"/>
    <x v="583"/>
    <x v="1"/>
    <x v="0"/>
    <x v="0"/>
  </r>
  <r>
    <x v="39"/>
    <s v="ZTAN"/>
    <x v="4"/>
    <s v="RK5135"/>
    <s v="138841065"/>
    <s v="PADRE HURTADO"/>
    <x v="414"/>
    <x v="3"/>
    <x v="1"/>
    <x v="26"/>
    <x v="1"/>
    <n v="5"/>
    <n v="70000"/>
    <n v="29265.599999999991"/>
    <n v="99265.599999999991"/>
    <n v="10.17566016073479"/>
    <n v="12000"/>
    <n v="81"/>
    <x v="584"/>
    <x v="1"/>
    <x v="0"/>
    <x v="1"/>
  </r>
  <r>
    <x v="39"/>
    <s v="ZTAN"/>
    <x v="8"/>
    <s v="TP3884"/>
    <s v="161268070"/>
    <s v="LAS CONDES"/>
    <x v="544"/>
    <x v="1"/>
    <x v="0"/>
    <x v="3"/>
    <x v="1"/>
    <n v="4"/>
    <n v="56075"/>
    <n v="12000"/>
    <n v="68075"/>
    <n v="29.878423455056179"/>
    <n v="8011"/>
    <n v="28"/>
    <x v="585"/>
    <x v="1"/>
    <x v="0"/>
    <x v="1"/>
  </r>
  <r>
    <x v="39"/>
    <s v="ZTAN"/>
    <x v="8"/>
    <s v="HLBX77"/>
    <s v="16093509K"/>
    <s v="PUDAHUEL"/>
    <x v="545"/>
    <x v="1"/>
    <x v="1"/>
    <x v="10"/>
    <x v="1"/>
    <n v="1"/>
    <n v="58705"/>
    <n v="33546"/>
    <n v="92251"/>
    <n v="11.000071544405225"/>
    <n v="4821"/>
    <n v="100"/>
    <x v="586"/>
    <x v="1"/>
    <x v="0"/>
    <x v="1"/>
  </r>
  <r>
    <x v="39"/>
    <s v="ZTAN"/>
    <x v="8"/>
    <s v="RK5135"/>
    <s v="138841065"/>
    <s v="QUILIN"/>
    <x v="546"/>
    <x v="3"/>
    <x v="1"/>
    <x v="34"/>
    <x v="1"/>
    <n v="4"/>
    <n v="56075"/>
    <n v="8232"/>
    <n v="64307"/>
    <n v="23.435495626822156"/>
    <n v="8011"/>
    <n v="34"/>
    <x v="587"/>
    <x v="1"/>
    <x v="0"/>
    <x v="1"/>
  </r>
  <r>
    <x v="39"/>
    <s v="ZTAN"/>
    <x v="8"/>
    <s v="SP2497"/>
    <s v="53173292"/>
    <s v="QUILICURA"/>
    <x v="547"/>
    <x v="4"/>
    <x v="1"/>
    <x v="8"/>
    <x v="1"/>
    <n v="1"/>
    <n v="33750"/>
    <n v="11968"/>
    <n v="45718"/>
    <n v="11.460443196630903"/>
    <n v="4821"/>
    <n v="83"/>
    <x v="588"/>
    <x v="1"/>
    <x v="0"/>
    <x v="1"/>
  </r>
  <r>
    <x v="39"/>
    <s v="ZTAN"/>
    <x v="8"/>
    <s v="SU9354"/>
    <s v="72564391"/>
    <s v="TALAGANTE"/>
    <x v="548"/>
    <x v="2"/>
    <x v="1"/>
    <x v="50"/>
    <x v="1"/>
    <n v="4"/>
    <n v="56075"/>
    <n v="11365"/>
    <n v="67440"/>
    <n v="17.801710484637315"/>
    <n v="8011"/>
    <n v="47"/>
    <x v="589"/>
    <x v="1"/>
    <x v="0"/>
    <x v="1"/>
  </r>
  <r>
    <x v="39"/>
    <s v="ZTAN"/>
    <x v="8"/>
    <s v="SV2718"/>
    <s v="99626232"/>
    <s v="SAN BERNARDO"/>
    <x v="549"/>
    <x v="1"/>
    <x v="1"/>
    <x v="4"/>
    <x v="1"/>
    <n v="4"/>
    <n v="56075"/>
    <n v="12000"/>
    <n v="68075"/>
    <n v="38.5475651189128"/>
    <n v="8011"/>
    <n v="22"/>
    <x v="590"/>
    <x v="1"/>
    <x v="0"/>
    <x v="1"/>
  </r>
  <r>
    <x v="39"/>
    <s v="ZTAN"/>
    <x v="8"/>
    <s v="UA7248"/>
    <s v="107643206"/>
    <s v="PUENTE ALTO"/>
    <x v="550"/>
    <x v="1"/>
    <x v="1"/>
    <x v="30"/>
    <x v="1"/>
    <n v="4"/>
    <n v="56075"/>
    <n v="12000"/>
    <n v="68075"/>
    <n v="53.150374765771396"/>
    <n v="8011"/>
    <n v="16"/>
    <x v="591"/>
    <x v="1"/>
    <x v="0"/>
    <x v="1"/>
  </r>
  <r>
    <x v="40"/>
    <s v="ZTAN"/>
    <x v="3"/>
    <s v="DJLF85"/>
    <s v="125108660"/>
    <s v="LAS CONDES"/>
    <x v="551"/>
    <x v="4"/>
    <x v="1"/>
    <x v="3"/>
    <x v="1"/>
    <n v="4"/>
    <n v="56075"/>
    <n v="15417.36"/>
    <n v="71492.36"/>
    <n v="13.911401173741808"/>
    <n v="8011"/>
    <n v="64"/>
    <x v="592"/>
    <x v="1"/>
    <x v="0"/>
    <x v="1"/>
  </r>
  <r>
    <x v="40"/>
    <s v="ZTAN"/>
    <x v="4"/>
    <s v="DJLF85"/>
    <s v="53173292"/>
    <s v="SAN BERNARDO"/>
    <x v="252"/>
    <x v="4"/>
    <x v="1"/>
    <x v="4"/>
    <x v="1"/>
    <n v="4"/>
    <n v="56075"/>
    <n v="11256"/>
    <n v="67331"/>
    <n v="17.945362473347547"/>
    <n v="8011"/>
    <n v="47"/>
    <x v="593"/>
    <x v="1"/>
    <x v="0"/>
    <x v="1"/>
  </r>
  <r>
    <x v="40"/>
    <s v="ZTAN"/>
    <x v="4"/>
    <s v="HLBX77"/>
    <s v="16093509K"/>
    <s v="LA CALERA"/>
    <x v="372"/>
    <x v="1"/>
    <x v="1"/>
    <x v="19"/>
    <x v="2"/>
    <n v="0"/>
    <n v="180000"/>
    <n v="21011.199999999993"/>
    <n v="201011.19999999998"/>
    <n v="38.267438318611035"/>
    <n v="25000"/>
    <n v="21"/>
    <x v="594"/>
    <x v="1"/>
    <x v="0"/>
    <x v="0"/>
  </r>
  <r>
    <x v="40"/>
    <s v="ZTAN"/>
    <x v="6"/>
    <s v="JTYB84"/>
    <s v="6270439K"/>
    <s v="COPIAPO"/>
    <x v="552"/>
    <x v="5"/>
    <x v="0"/>
    <x v="60"/>
    <x v="9"/>
    <n v="0"/>
    <n v="900000"/>
    <n v="0"/>
    <n v="900000"/>
    <n v="85.120066582807638"/>
    <n v="25000"/>
    <n v="42"/>
    <x v="595"/>
    <x v="1"/>
    <x v="0"/>
    <x v="0"/>
  </r>
  <r>
    <x v="40"/>
    <s v="ZTAN"/>
    <x v="7"/>
    <s v="PN4466"/>
    <s v="81417709"/>
    <s v="MELIPILLA"/>
    <x v="553"/>
    <x v="1"/>
    <x v="0"/>
    <x v="29"/>
    <x v="1"/>
    <n v="5"/>
    <n v="120000"/>
    <n v="66384"/>
    <n v="186384"/>
    <n v="11.230657989877079"/>
    <n v="12000"/>
    <n v="100"/>
    <x v="596"/>
    <x v="1"/>
    <x v="0"/>
    <x v="1"/>
  </r>
  <r>
    <x v="40"/>
    <s v="ZTAN"/>
    <x v="8"/>
    <s v="HLBX77"/>
    <s v="16093509K"/>
    <s v="PUDAHUEL"/>
    <x v="554"/>
    <x v="1"/>
    <x v="1"/>
    <x v="10"/>
    <x v="1"/>
    <n v="1"/>
    <n v="44876"/>
    <n v="25643"/>
    <n v="70519"/>
    <n v="11.000031197354463"/>
    <n v="4821"/>
    <n v="100"/>
    <x v="597"/>
    <x v="1"/>
    <x v="0"/>
    <x v="1"/>
  </r>
  <r>
    <x v="40"/>
    <s v="ZTAN"/>
    <x v="8"/>
    <s v="RK5135"/>
    <s v="138841065"/>
    <s v="ÑUÑOA"/>
    <x v="555"/>
    <x v="3"/>
    <x v="1"/>
    <x v="15"/>
    <x v="1"/>
    <n v="4"/>
    <n v="56075"/>
    <n v="7041"/>
    <n v="63116"/>
    <n v="26.891057049124452"/>
    <n v="8011"/>
    <n v="29"/>
    <x v="598"/>
    <x v="1"/>
    <x v="0"/>
    <x v="1"/>
  </r>
  <r>
    <x v="40"/>
    <s v="ZTAN"/>
    <x v="8"/>
    <s v="SU9354"/>
    <s v="72564391"/>
    <s v="LA REINA"/>
    <x v="556"/>
    <x v="2"/>
    <x v="1"/>
    <x v="11"/>
    <x v="1"/>
    <n v="3"/>
    <n v="48075"/>
    <n v="13447"/>
    <n v="61522"/>
    <n v="13.7252364804569"/>
    <n v="6868"/>
    <n v="65"/>
    <x v="599"/>
    <x v="1"/>
    <x v="0"/>
    <x v="1"/>
  </r>
  <r>
    <x v="40"/>
    <s v="ZTAN"/>
    <x v="8"/>
    <s v="SV2718"/>
    <s v="99626232"/>
    <s v="LAS CONDES"/>
    <x v="557"/>
    <x v="1"/>
    <x v="1"/>
    <x v="3"/>
    <x v="1"/>
    <n v="4"/>
    <n v="56075"/>
    <n v="16909"/>
    <n v="72984"/>
    <n v="17.26532929598789"/>
    <n v="8011"/>
    <n v="53"/>
    <x v="600"/>
    <x v="1"/>
    <x v="0"/>
    <x v="1"/>
  </r>
  <r>
    <x v="40"/>
    <s v="ZTAN"/>
    <x v="8"/>
    <s v="TP3884"/>
    <s v="161268070"/>
    <s v="ÑUÑOA"/>
    <x v="558"/>
    <x v="1"/>
    <x v="1"/>
    <x v="15"/>
    <x v="1"/>
    <n v="4"/>
    <n v="56075"/>
    <n v="19304"/>
    <n v="75379"/>
    <n v="15.619677158664706"/>
    <n v="8011"/>
    <n v="60"/>
    <x v="601"/>
    <x v="1"/>
    <x v="0"/>
    <x v="1"/>
  </r>
  <r>
    <x v="40"/>
    <s v="ZTAN"/>
    <x v="8"/>
    <s v="UA7248"/>
    <s v="107643206"/>
    <s v="SANTIAGO"/>
    <x v="226"/>
    <x v="1"/>
    <x v="1"/>
    <x v="20"/>
    <x v="1"/>
    <n v="1"/>
    <n v="33750"/>
    <n v="12000"/>
    <n v="45750"/>
    <n v="23.152834008097166"/>
    <n v="4821"/>
    <n v="41"/>
    <x v="602"/>
    <x v="1"/>
    <x v="0"/>
    <x v="1"/>
  </r>
  <r>
    <x v="40"/>
    <s v="ZTAN"/>
    <x v="23"/>
    <s v="RK5135"/>
    <s v="138841065"/>
    <s v="SANTIAGO"/>
    <x v="559"/>
    <x v="3"/>
    <x v="1"/>
    <x v="20"/>
    <x v="1"/>
    <n v="1"/>
    <n v="109284"/>
    <n v="46836.000000000029"/>
    <n v="156120.00000000003"/>
    <n v="9.9999999999999964"/>
    <n v="4821"/>
    <n v="100"/>
    <x v="603"/>
    <x v="1"/>
    <x v="0"/>
    <x v="1"/>
  </r>
  <r>
    <x v="40"/>
    <s v="ZTAN"/>
    <x v="23"/>
    <s v="WC2233"/>
    <s v="125108660"/>
    <s v="SANTIAGO"/>
    <x v="559"/>
    <x v="4"/>
    <x v="1"/>
    <x v="20"/>
    <x v="1"/>
    <n v="1"/>
    <n v="109284"/>
    <n v="46836.000000000029"/>
    <n v="156120.00000000003"/>
    <n v="9.9999999999999964"/>
    <n v="4821"/>
    <n v="100"/>
    <x v="604"/>
    <x v="1"/>
    <x v="0"/>
    <x v="1"/>
  </r>
  <r>
    <x v="41"/>
    <s v="ZNL"/>
    <x v="0"/>
    <s v="CJFZ67"/>
    <n v="115812335"/>
    <s v="TALCAHUANO"/>
    <x v="560"/>
    <x v="5"/>
    <x v="0"/>
    <x v="0"/>
    <x v="0"/>
    <n v="0"/>
    <n v="380000"/>
    <n v="0"/>
    <n v="380000"/>
    <n v="22.416763019419999"/>
    <n v="25000"/>
    <n v="63"/>
    <x v="605"/>
    <x v="1"/>
    <x v="0"/>
    <x v="0"/>
  </r>
  <r>
    <x v="41"/>
    <s v="ZPEP"/>
    <x v="12"/>
    <s v="PN4466"/>
    <n v="81417709"/>
    <s v="VITACURA"/>
    <x v="561"/>
    <x v="1"/>
    <x v="0"/>
    <x v="27"/>
    <x v="1"/>
    <n v="4"/>
    <n v="73688"/>
    <n v="42107.519999999997"/>
    <n v="115795.51999999999"/>
    <n v="10.999984800814676"/>
    <n v="8011"/>
    <n v="100"/>
    <x v="606"/>
    <x v="1"/>
    <x v="0"/>
    <x v="1"/>
  </r>
  <r>
    <x v="41"/>
    <s v="ZTAN"/>
    <x v="3"/>
    <s v="DJLF85"/>
    <n v="125108660"/>
    <s v="LAS CONDES"/>
    <x v="562"/>
    <x v="4"/>
    <x v="1"/>
    <x v="3"/>
    <x v="1"/>
    <n v="4"/>
    <n v="87365"/>
    <n v="37442.159999999996"/>
    <n v="124807.16"/>
    <n v="9.9999967950566955"/>
    <n v="8011"/>
    <n v="100"/>
    <x v="607"/>
    <x v="1"/>
    <x v="0"/>
    <x v="1"/>
  </r>
  <r>
    <x v="41"/>
    <s v="ZTAN"/>
    <x v="10"/>
    <s v="SU9354"/>
    <n v="72564391"/>
    <s v="QUILICURA"/>
    <x v="563"/>
    <x v="2"/>
    <x v="1"/>
    <x v="8"/>
    <x v="1"/>
    <n v="1"/>
    <n v="108808"/>
    <n v="46632"/>
    <n v="155440"/>
    <n v="10"/>
    <n v="4821"/>
    <n v="100"/>
    <x v="608"/>
    <x v="1"/>
    <x v="0"/>
    <x v="1"/>
  </r>
  <r>
    <x v="41"/>
    <s v="ZTAN"/>
    <x v="41"/>
    <s v="SU9354"/>
    <n v="72564391"/>
    <s v="LAS CABRAS"/>
    <x v="564"/>
    <x v="2"/>
    <x v="1"/>
    <x v="61"/>
    <x v="6"/>
    <n v="0"/>
    <n v="180000"/>
    <n v="31265.52"/>
    <n v="211265.52"/>
    <n v="20.271422320818587"/>
    <n v="25000"/>
    <n v="42"/>
    <x v="609"/>
    <x v="1"/>
    <x v="0"/>
    <x v="0"/>
  </r>
  <r>
    <x v="41"/>
    <s v="ZTAN"/>
    <x v="7"/>
    <s v="KKPF51"/>
    <n v="95707734"/>
    <s v="RANCAGUA"/>
    <x v="414"/>
    <x v="8"/>
    <x v="0"/>
    <x v="28"/>
    <x v="6"/>
    <n v="0"/>
    <n v="230000"/>
    <n v="0"/>
    <n v="230000"/>
    <n v="23.577169099557167"/>
    <n v="25000"/>
    <n v="39"/>
    <x v="610"/>
    <x v="1"/>
    <x v="0"/>
    <x v="0"/>
  </r>
  <r>
    <x v="41"/>
    <s v="ZTAN"/>
    <x v="7"/>
    <s v="KKPF51"/>
    <n v="95707734"/>
    <s v="RENCA"/>
    <x v="565"/>
    <x v="8"/>
    <x v="0"/>
    <x v="7"/>
    <x v="1"/>
    <n v="1"/>
    <n v="47802"/>
    <n v="0"/>
    <n v="47802"/>
    <n v="7.0000585754451725"/>
    <n v="4821"/>
    <n v="100"/>
    <x v="611"/>
    <x v="1"/>
    <x v="0"/>
    <x v="1"/>
  </r>
  <r>
    <x v="41"/>
    <s v="ZTAN"/>
    <x v="8"/>
    <s v="BDCH61"/>
    <n v="99626232"/>
    <s v="SAN MIGUEL"/>
    <x v="566"/>
    <x v="1"/>
    <x v="1"/>
    <x v="23"/>
    <x v="1"/>
    <n v="2"/>
    <n v="40475"/>
    <n v="13948"/>
    <n v="54423"/>
    <n v="15.607846511227738"/>
    <n v="5782"/>
    <n v="60"/>
    <x v="612"/>
    <x v="1"/>
    <x v="0"/>
    <x v="1"/>
  </r>
  <r>
    <x v="41"/>
    <s v="ZTAN"/>
    <x v="8"/>
    <s v="DJLF85"/>
    <n v="53173292"/>
    <s v="EL BOSQUE"/>
    <x v="567"/>
    <x v="4"/>
    <x v="1"/>
    <x v="25"/>
    <x v="1"/>
    <n v="3"/>
    <n v="48075"/>
    <n v="9210"/>
    <n v="57285"/>
    <n v="18.660216945177368"/>
    <n v="6868"/>
    <n v="45"/>
    <x v="613"/>
    <x v="1"/>
    <x v="0"/>
    <x v="1"/>
  </r>
  <r>
    <x v="41"/>
    <s v="ZTAN"/>
    <x v="8"/>
    <s v="DJLF85"/>
    <n v="53173292"/>
    <s v="PUENTE ALTO"/>
    <x v="435"/>
    <x v="4"/>
    <x v="1"/>
    <x v="30"/>
    <x v="1"/>
    <n v="4"/>
    <n v="56075"/>
    <n v="4502"/>
    <n v="60577"/>
    <n v="40.363139658848617"/>
    <n v="8011"/>
    <n v="19"/>
    <x v="614"/>
    <x v="1"/>
    <x v="0"/>
    <x v="1"/>
  </r>
  <r>
    <x v="41"/>
    <s v="ZTAN"/>
    <x v="8"/>
    <s v="SV2718"/>
    <n v="81417709"/>
    <s v="LA FLORIDA"/>
    <x v="568"/>
    <x v="1"/>
    <x v="1"/>
    <x v="33"/>
    <x v="1"/>
    <n v="3"/>
    <n v="48075"/>
    <n v="27318"/>
    <n v="75393"/>
    <n v="11.039282409305487"/>
    <n v="6868"/>
    <n v="99"/>
    <x v="615"/>
    <x v="1"/>
    <x v="0"/>
    <x v="1"/>
  </r>
  <r>
    <x v="41"/>
    <s v="ZTAN"/>
    <x v="8"/>
    <s v="TP3884"/>
    <n v="161268070"/>
    <s v="PUDAHUEL"/>
    <x v="569"/>
    <x v="1"/>
    <x v="1"/>
    <x v="10"/>
    <x v="1"/>
    <n v="1"/>
    <n v="53222"/>
    <n v="30413"/>
    <n v="83635"/>
    <n v="11.000031565822633"/>
    <n v="4821"/>
    <n v="100"/>
    <x v="616"/>
    <x v="1"/>
    <x v="0"/>
    <x v="1"/>
  </r>
  <r>
    <x v="41"/>
    <s v="ZTAN"/>
    <x v="8"/>
    <s v="UA7248"/>
    <n v="107643206"/>
    <s v="HUECHURABA"/>
    <x v="570"/>
    <x v="1"/>
    <x v="1"/>
    <x v="24"/>
    <x v="1"/>
    <n v="1"/>
    <n v="33750"/>
    <n v="12000"/>
    <n v="45750"/>
    <n v="34.359744648892224"/>
    <n v="4821"/>
    <n v="28"/>
    <x v="617"/>
    <x v="1"/>
    <x v="0"/>
    <x v="1"/>
  </r>
  <r>
    <x v="41"/>
    <s v="ZTAN"/>
    <x v="8"/>
    <s v="UA7248"/>
    <n v="107643206"/>
    <s v="ÑUÑOA"/>
    <x v="571"/>
    <x v="1"/>
    <x v="1"/>
    <x v="15"/>
    <x v="1"/>
    <n v="4"/>
    <n v="56075"/>
    <n v="12000"/>
    <n v="68075"/>
    <n v="45.983572229502435"/>
    <n v="8011"/>
    <n v="18"/>
    <x v="618"/>
    <x v="1"/>
    <x v="0"/>
    <x v="1"/>
  </r>
  <r>
    <x v="41"/>
    <s v="ZTAN"/>
    <x v="8"/>
    <s v="XR6339"/>
    <n v="78907355"/>
    <s v="CERRILLOS"/>
    <x v="572"/>
    <x v="1"/>
    <x v="1"/>
    <x v="9"/>
    <x v="1"/>
    <n v="2"/>
    <n v="40475"/>
    <n v="19114"/>
    <n v="59589"/>
    <n v="12.470387825315376"/>
    <n v="5782"/>
    <n v="83"/>
    <x v="619"/>
    <x v="1"/>
    <x v="0"/>
    <x v="1"/>
  </r>
  <r>
    <x v="42"/>
    <s v="ZPEP"/>
    <x v="2"/>
    <s v="BWPL69"/>
    <s v="78551976"/>
    <s v="COQUIMBO"/>
    <x v="573"/>
    <x v="5"/>
    <x v="0"/>
    <x v="47"/>
    <x v="0"/>
    <n v="0"/>
    <n v="400000"/>
    <n v="0"/>
    <n v="400000"/>
    <n v="18.557058780411541"/>
    <n v="25000"/>
    <n v="75"/>
    <x v="620"/>
    <x v="1"/>
    <x v="0"/>
    <x v="0"/>
  </r>
  <r>
    <x v="42"/>
    <s v="ZPEP"/>
    <x v="2"/>
    <s v="JTYB84"/>
    <s v="6270439K"/>
    <s v="CORONEL"/>
    <x v="574"/>
    <x v="5"/>
    <x v="0"/>
    <x v="16"/>
    <x v="0"/>
    <n v="0"/>
    <n v="380000"/>
    <n v="0"/>
    <n v="380000"/>
    <n v="18.47319078187779"/>
    <n v="25000"/>
    <n v="82"/>
    <x v="621"/>
    <x v="1"/>
    <x v="0"/>
    <x v="0"/>
  </r>
  <r>
    <x v="42"/>
    <s v="ZPEP"/>
    <x v="18"/>
    <s v="PN4466"/>
    <s v="81417709"/>
    <s v="CARTAGENA"/>
    <x v="575"/>
    <x v="1"/>
    <x v="0"/>
    <x v="40"/>
    <x v="2"/>
    <n v="0"/>
    <n v="230000"/>
    <n v="48724.639999999999"/>
    <n v="278724.64"/>
    <n v="22.881617185883776"/>
    <n v="25000"/>
    <n v="49"/>
    <x v="622"/>
    <x v="1"/>
    <x v="0"/>
    <x v="0"/>
  </r>
  <r>
    <x v="42"/>
    <s v="ZPEP"/>
    <x v="12"/>
    <s v="HLBX77"/>
    <s v="16093509K"/>
    <s v="VITACURA"/>
    <x v="576"/>
    <x v="1"/>
    <x v="1"/>
    <x v="27"/>
    <x v="1"/>
    <n v="4"/>
    <n v="68020"/>
    <n v="38868.480000000003"/>
    <n v="106888.48000000001"/>
    <n v="11.000016465784102"/>
    <n v="8011"/>
    <n v="100"/>
    <x v="623"/>
    <x v="1"/>
    <x v="0"/>
    <x v="1"/>
  </r>
  <r>
    <x v="42"/>
    <s v="ZTAN"/>
    <x v="3"/>
    <s v="XR6339"/>
    <s v="161268070"/>
    <s v="LAS CONDES"/>
    <x v="577"/>
    <x v="1"/>
    <x v="1"/>
    <x v="3"/>
    <x v="1"/>
    <n v="4"/>
    <n v="77087"/>
    <n v="44049.599999999999"/>
    <n v="121136.6"/>
    <n v="11.000018161345393"/>
    <n v="8011"/>
    <n v="100"/>
    <x v="624"/>
    <x v="1"/>
    <x v="0"/>
    <x v="1"/>
  </r>
  <r>
    <x v="42"/>
    <s v="ZTAN"/>
    <x v="8"/>
    <s v="BDCH61"/>
    <s v="81417709"/>
    <s v="LAS CONDES"/>
    <x v="578"/>
    <x v="1"/>
    <x v="1"/>
    <x v="3"/>
    <x v="1"/>
    <n v="4"/>
    <n v="56075"/>
    <n v="16868"/>
    <n v="72943"/>
    <n v="17.29720372583613"/>
    <n v="8011"/>
    <n v="53"/>
    <x v="625"/>
    <x v="1"/>
    <x v="0"/>
    <x v="1"/>
  </r>
  <r>
    <x v="42"/>
    <s v="ZTAN"/>
    <x v="8"/>
    <s v="SU9354"/>
    <s v="72564391"/>
    <s v="QUILIN"/>
    <x v="579"/>
    <x v="2"/>
    <x v="1"/>
    <x v="34"/>
    <x v="1"/>
    <n v="4"/>
    <n v="56075"/>
    <n v="14933"/>
    <n v="71008"/>
    <n v="14.265509482481519"/>
    <n v="8011"/>
    <n v="62"/>
    <x v="626"/>
    <x v="1"/>
    <x v="0"/>
    <x v="1"/>
  </r>
  <r>
    <x v="42"/>
    <s v="ZTAN"/>
    <x v="8"/>
    <s v="SV2718"/>
    <s v="161268070"/>
    <s v="ÑUÑOA"/>
    <x v="580"/>
    <x v="1"/>
    <x v="1"/>
    <x v="15"/>
    <x v="1"/>
    <n v="4"/>
    <n v="56075"/>
    <n v="12000"/>
    <n v="68075"/>
    <n v="38.556298142274585"/>
    <n v="8011"/>
    <n v="22"/>
    <x v="627"/>
    <x v="1"/>
    <x v="0"/>
    <x v="1"/>
  </r>
  <r>
    <x v="42"/>
    <s v="ZTAN"/>
    <x v="8"/>
    <s v="TP3884"/>
    <s v="107643206"/>
    <s v="PUDAHUEL"/>
    <x v="581"/>
    <x v="1"/>
    <x v="1"/>
    <x v="10"/>
    <x v="1"/>
    <n v="1"/>
    <n v="33750"/>
    <n v="15007"/>
    <n v="48757"/>
    <n v="12.995905877837366"/>
    <n v="4821"/>
    <n v="78"/>
    <x v="628"/>
    <x v="1"/>
    <x v="0"/>
    <x v="1"/>
  </r>
  <r>
    <x v="42"/>
    <s v="ZTAN"/>
    <x v="8"/>
    <s v="TP3884"/>
    <s v="TP3884"/>
    <s v="PUDAHUEL"/>
    <x v="582"/>
    <x v="1"/>
    <x v="1"/>
    <x v="10"/>
    <x v="1"/>
    <n v="1"/>
    <n v="33750"/>
    <n v="12000"/>
    <n v="45750"/>
    <n v="20.413171515259684"/>
    <n v="4821"/>
    <n v="46"/>
    <x v="629"/>
    <x v="1"/>
    <x v="0"/>
    <x v="1"/>
  </r>
  <r>
    <x v="42"/>
    <s v="ZTAN"/>
    <x v="8"/>
    <s v="UA7248"/>
    <s v="99626232"/>
    <s v="QUILICURA"/>
    <x v="583"/>
    <x v="1"/>
    <x v="1"/>
    <x v="8"/>
    <x v="1"/>
    <n v="1"/>
    <n v="33750"/>
    <n v="12000"/>
    <n v="45750"/>
    <n v="16.612200435729847"/>
    <n v="4821"/>
    <n v="57"/>
    <x v="630"/>
    <x v="1"/>
    <x v="0"/>
    <x v="1"/>
  </r>
  <r>
    <x v="42"/>
    <s v="ZTAN"/>
    <x v="8"/>
    <s v="XR6339"/>
    <s v="78907355"/>
    <s v="SAN BERNARDO"/>
    <x v="584"/>
    <x v="1"/>
    <x v="1"/>
    <x v="4"/>
    <x v="1"/>
    <n v="4"/>
    <n v="56075"/>
    <n v="12837"/>
    <n v="68912"/>
    <n v="21.472327643689979"/>
    <n v="8011"/>
    <n v="40"/>
    <x v="631"/>
    <x v="1"/>
    <x v="0"/>
    <x v="1"/>
  </r>
  <r>
    <x v="43"/>
    <s v="ZNL"/>
    <x v="0"/>
    <s v="DFRV76"/>
    <s v="113693568"/>
    <s v="TALCAHUANO"/>
    <x v="451"/>
    <x v="5"/>
    <x v="0"/>
    <x v="0"/>
    <x v="0"/>
    <n v="0"/>
    <n v="380000"/>
    <n v="0"/>
    <n v="380000"/>
    <n v="25.978287620662329"/>
    <n v="25000"/>
    <n v="59"/>
    <x v="632"/>
    <x v="2"/>
    <x v="0"/>
    <x v="0"/>
  </r>
  <r>
    <x v="43"/>
    <s v="ZPEP"/>
    <x v="1"/>
    <s v="PN4466"/>
    <s v="81417709"/>
    <s v="ISLA DE MAIPO"/>
    <x v="585"/>
    <x v="1"/>
    <x v="0"/>
    <x v="1"/>
    <x v="1"/>
    <n v="5"/>
    <n v="120000"/>
    <n v="0"/>
    <n v="120000"/>
    <n v="6.7912022238923582"/>
    <n v="12000"/>
    <n v="100"/>
    <x v="633"/>
    <x v="2"/>
    <x v="0"/>
    <x v="1"/>
  </r>
  <r>
    <x v="43"/>
    <s v="ZPEP"/>
    <x v="5"/>
    <s v="VWSV52"/>
    <s v="115139185"/>
    <s v="COQUIMBO"/>
    <x v="586"/>
    <x v="0"/>
    <x v="0"/>
    <x v="42"/>
    <x v="8"/>
    <n v="0"/>
    <n v="600000"/>
    <n v="0"/>
    <n v="600000"/>
    <n v="56.951067642681402"/>
    <n v="25000"/>
    <n v="42"/>
    <x v="634"/>
    <x v="2"/>
    <x v="0"/>
    <x v="0"/>
  </r>
  <r>
    <x v="43"/>
    <s v="ZPEP"/>
    <x v="27"/>
    <s v="RG6503"/>
    <s v="10519045K"/>
    <s v="SAN PEDRO DE LA PAZ"/>
    <x v="587"/>
    <x v="5"/>
    <x v="0"/>
    <x v="47"/>
    <x v="0"/>
    <n v="0"/>
    <n v="380000"/>
    <n v="0"/>
    <n v="380000"/>
    <n v="50.973253797172056"/>
    <n v="25000"/>
    <n v="30"/>
    <x v="635"/>
    <x v="2"/>
    <x v="0"/>
    <x v="0"/>
  </r>
  <r>
    <x v="43"/>
    <s v="ZTAN"/>
    <x v="3"/>
    <s v="HLBX77"/>
    <s v="16093509K"/>
    <s v="LAS CONDES"/>
    <x v="588"/>
    <x v="1"/>
    <x v="1"/>
    <x v="3"/>
    <x v="1"/>
    <n v="4"/>
    <n v="92504"/>
    <n v="52859.519999999997"/>
    <n v="145363.51999999999"/>
    <n v="10.999987892436405"/>
    <n v="8011"/>
    <n v="100"/>
    <x v="636"/>
    <x v="2"/>
    <x v="0"/>
    <x v="1"/>
  </r>
  <r>
    <x v="43"/>
    <s v="ZTAN"/>
    <x v="3"/>
    <s v="XR6339"/>
    <s v="78907355"/>
    <s v="LAS CONDES"/>
    <x v="589"/>
    <x v="1"/>
    <x v="1"/>
    <x v="3"/>
    <x v="1"/>
    <n v="4"/>
    <n v="82226"/>
    <n v="46986.239999999998"/>
    <n v="129212.23999999999"/>
    <n v="11.000006810504521"/>
    <n v="8011"/>
    <n v="100"/>
    <x v="637"/>
    <x v="2"/>
    <x v="0"/>
    <x v="1"/>
  </r>
  <r>
    <x v="43"/>
    <s v="ZTAN"/>
    <x v="10"/>
    <s v="DJLF85"/>
    <s v="53173292"/>
    <s v="SANTIAGO"/>
    <x v="590"/>
    <x v="4"/>
    <x v="1"/>
    <x v="20"/>
    <x v="1"/>
    <n v="1"/>
    <n v="58299"/>
    <n v="24985"/>
    <n v="83284"/>
    <n v="10.000000000000002"/>
    <n v="4821"/>
    <n v="100"/>
    <x v="638"/>
    <x v="2"/>
    <x v="0"/>
    <x v="1"/>
  </r>
  <r>
    <x v="43"/>
    <s v="ZTAN"/>
    <x v="10"/>
    <s v="RK5135"/>
    <s v="138841065"/>
    <s v="QUILICURA"/>
    <x v="591"/>
    <x v="3"/>
    <x v="1"/>
    <x v="8"/>
    <x v="1"/>
    <n v="1"/>
    <n v="33750"/>
    <n v="13449"/>
    <n v="47199"/>
    <n v="10.528675634076157"/>
    <n v="4821"/>
    <n v="93"/>
    <x v="639"/>
    <x v="2"/>
    <x v="0"/>
    <x v="1"/>
  </r>
  <r>
    <x v="43"/>
    <s v="ZTAN"/>
    <x v="10"/>
    <s v="RK5135"/>
    <s v="138841065"/>
    <s v="SANTIAGO"/>
    <x v="592"/>
    <x v="3"/>
    <x v="1"/>
    <x v="20"/>
    <x v="1"/>
    <n v="1"/>
    <n v="73007"/>
    <n v="31289"/>
    <n v="104296"/>
    <n v="10"/>
    <n v="4821"/>
    <n v="100"/>
    <x v="640"/>
    <x v="2"/>
    <x v="0"/>
    <x v="1"/>
  </r>
  <r>
    <x v="43"/>
    <s v="ZTAN"/>
    <x v="16"/>
    <s v="WC2233"/>
    <s v="125108660"/>
    <s v="RENCA"/>
    <x v="593"/>
    <x v="4"/>
    <x v="1"/>
    <x v="7"/>
    <x v="1"/>
    <n v="1"/>
    <n v="85778"/>
    <n v="36762"/>
    <n v="122540"/>
    <n v="10"/>
    <n v="4821"/>
    <n v="100"/>
    <x v="641"/>
    <x v="2"/>
    <x v="0"/>
    <x v="1"/>
  </r>
  <r>
    <x v="43"/>
    <s v="ZTAN"/>
    <x v="8"/>
    <s v="BDCH61"/>
    <s v="81417709"/>
    <s v="MAIPU"/>
    <x v="594"/>
    <x v="1"/>
    <x v="1"/>
    <x v="2"/>
    <x v="1"/>
    <n v="2"/>
    <n v="42717"/>
    <n v="24409"/>
    <n v="67126"/>
    <n v="11.000006554841081"/>
    <n v="5782"/>
    <n v="100"/>
    <x v="642"/>
    <x v="2"/>
    <x v="0"/>
    <x v="1"/>
  </r>
  <r>
    <x v="43"/>
    <s v="ZTAN"/>
    <x v="8"/>
    <s v="DJLF85"/>
    <s v="53173292"/>
    <s v="LAS CONDES"/>
    <x v="595"/>
    <x v="4"/>
    <x v="1"/>
    <x v="3"/>
    <x v="1"/>
    <n v="4"/>
    <n v="56075"/>
    <n v="10594"/>
    <n v="66669"/>
    <n v="18.879449494520436"/>
    <n v="8011"/>
    <n v="44"/>
    <x v="643"/>
    <x v="2"/>
    <x v="0"/>
    <x v="1"/>
  </r>
  <r>
    <x v="43"/>
    <s v="ZTAN"/>
    <x v="8"/>
    <s v="SU9354"/>
    <s v="72564391"/>
    <s v="LA REINA"/>
    <x v="596"/>
    <x v="2"/>
    <x v="1"/>
    <x v="11"/>
    <x v="1"/>
    <n v="3"/>
    <n v="48075"/>
    <n v="12108"/>
    <n v="60183"/>
    <n v="14.911176630906073"/>
    <n v="6868"/>
    <n v="59"/>
    <x v="644"/>
    <x v="2"/>
    <x v="0"/>
    <x v="1"/>
  </r>
  <r>
    <x v="43"/>
    <s v="ZTAN"/>
    <x v="8"/>
    <s v="SV2718"/>
    <s v="81417709"/>
    <s v="PUENTE ALTO"/>
    <x v="597"/>
    <x v="1"/>
    <x v="1"/>
    <x v="30"/>
    <x v="1"/>
    <n v="4"/>
    <n v="56075"/>
    <n v="14554"/>
    <n v="70629"/>
    <n v="19.412104221635882"/>
    <n v="8011"/>
    <n v="45"/>
    <x v="645"/>
    <x v="2"/>
    <x v="0"/>
    <x v="1"/>
  </r>
  <r>
    <x v="43"/>
    <s v="ZTAN"/>
    <x v="8"/>
    <s v="TP3884"/>
    <s v="161268070"/>
    <s v="PUDAHUEL"/>
    <x v="106"/>
    <x v="1"/>
    <x v="1"/>
    <x v="10"/>
    <x v="1"/>
    <n v="1"/>
    <n v="35974"/>
    <n v="20557"/>
    <n v="56531"/>
    <n v="10.99996108343711"/>
    <n v="4821"/>
    <n v="100"/>
    <x v="646"/>
    <x v="2"/>
    <x v="0"/>
    <x v="1"/>
  </r>
  <r>
    <x v="43"/>
    <s v="ZTAN"/>
    <x v="8"/>
    <s v="UA7248"/>
    <s v="107643206"/>
    <s v="CERRILLOS"/>
    <x v="598"/>
    <x v="1"/>
    <x v="1"/>
    <x v="9"/>
    <x v="1"/>
    <n v="2"/>
    <n v="40475"/>
    <n v="16910"/>
    <n v="57385"/>
    <n v="13.574152221633486"/>
    <n v="5782"/>
    <n v="73"/>
    <x v="647"/>
    <x v="2"/>
    <x v="0"/>
    <x v="1"/>
  </r>
  <r>
    <x v="44"/>
    <s v="ZPEP"/>
    <x v="1"/>
    <s v="PN4466"/>
    <s v="81417709"/>
    <s v="ISLA DE MAIPO"/>
    <x v="599"/>
    <x v="1"/>
    <x v="0"/>
    <x v="1"/>
    <x v="1"/>
    <n v="5"/>
    <n v="120000"/>
    <n v="51353.84"/>
    <n v="171353.84"/>
    <n v="13.346915440013834"/>
    <n v="12000"/>
    <n v="100"/>
    <x v="648"/>
    <x v="2"/>
    <x v="0"/>
    <x v="1"/>
  </r>
  <r>
    <x v="44"/>
    <s v="ZPEP"/>
    <x v="27"/>
    <s v="RZ4484"/>
    <s v="93321006"/>
    <s v="SAN PEDRO DE LA PAZ"/>
    <x v="600"/>
    <x v="5"/>
    <x v="0"/>
    <x v="47"/>
    <x v="0"/>
    <n v="0"/>
    <n v="400000"/>
    <n v="0"/>
    <n v="400000"/>
    <n v="57.987318173515447"/>
    <n v="25000"/>
    <n v="28"/>
    <x v="649"/>
    <x v="2"/>
    <x v="0"/>
    <x v="0"/>
  </r>
  <r>
    <x v="44"/>
    <s v="ZPEP"/>
    <x v="2"/>
    <s v="KKPF51"/>
    <s v="95707734"/>
    <s v="CORONEL"/>
    <x v="601"/>
    <x v="8"/>
    <x v="0"/>
    <x v="16"/>
    <x v="0"/>
    <n v="0"/>
    <n v="380000"/>
    <n v="0"/>
    <n v="380000"/>
    <n v="14.814872572602628"/>
    <n v="25000"/>
    <n v="100"/>
    <x v="650"/>
    <x v="2"/>
    <x v="0"/>
    <x v="0"/>
  </r>
  <r>
    <x v="44"/>
    <s v="ZPEP"/>
    <x v="33"/>
    <s v="HLBX77"/>
    <s v="16093509K"/>
    <s v="BUIN"/>
    <x v="602"/>
    <x v="1"/>
    <x v="1"/>
    <x v="56"/>
    <x v="1"/>
    <n v="5"/>
    <n v="90000"/>
    <n v="36958.480000000003"/>
    <n v="126958.48000000001"/>
    <n v="13.740660330186738"/>
    <n v="12000"/>
    <n v="77"/>
    <x v="651"/>
    <x v="2"/>
    <x v="0"/>
    <x v="1"/>
  </r>
  <r>
    <x v="44"/>
    <s v="ZTAN"/>
    <x v="13"/>
    <s v="BDCH61"/>
    <s v="107643206"/>
    <s v="SANTIAGO"/>
    <x v="603"/>
    <x v="1"/>
    <x v="1"/>
    <x v="20"/>
    <x v="1"/>
    <n v="1"/>
    <n v="33750"/>
    <n v="17412.8"/>
    <n v="51162.8"/>
    <n v="11.752917394100892"/>
    <n v="4821"/>
    <n v="90"/>
    <x v="652"/>
    <x v="2"/>
    <x v="0"/>
    <x v="1"/>
  </r>
  <r>
    <x v="44"/>
    <s v="ZTAN"/>
    <x v="17"/>
    <s v="DP5738"/>
    <s v="35488103"/>
    <s v="LAMPA"/>
    <x v="435"/>
    <x v="7"/>
    <x v="1"/>
    <x v="17"/>
    <x v="1"/>
    <n v="5"/>
    <n v="70000"/>
    <n v="0"/>
    <n v="70000"/>
    <n v="46.64179104477612"/>
    <n v="12000"/>
    <n v="13"/>
    <x v="653"/>
    <x v="2"/>
    <x v="0"/>
    <x v="1"/>
  </r>
  <r>
    <x v="44"/>
    <s v="ZTAN"/>
    <x v="6"/>
    <s v="CJXX49"/>
    <s v="167832741"/>
    <s v="LOS ANGELES"/>
    <x v="604"/>
    <x v="5"/>
    <x v="0"/>
    <x v="57"/>
    <x v="0"/>
    <n v="0"/>
    <n v="420000"/>
    <n v="0"/>
    <n v="420000"/>
    <n v="81.967213114754088"/>
    <n v="25000"/>
    <n v="20"/>
    <x v="654"/>
    <x v="2"/>
    <x v="0"/>
    <x v="0"/>
  </r>
  <r>
    <x v="44"/>
    <s v="ZTAN"/>
    <x v="6"/>
    <s v="GKRB84"/>
    <s v="122975819"/>
    <s v="LINARES"/>
    <x v="605"/>
    <x v="5"/>
    <x v="0"/>
    <x v="59"/>
    <x v="3"/>
    <n v="0"/>
    <n v="330000"/>
    <n v="0"/>
    <n v="330000"/>
    <n v="51.549612596850771"/>
    <n v="25000"/>
    <n v="26"/>
    <x v="655"/>
    <x v="2"/>
    <x v="0"/>
    <x v="0"/>
  </r>
  <r>
    <x v="44"/>
    <s v="ZTAN"/>
    <x v="7"/>
    <s v="WC2233"/>
    <s v="125108660"/>
    <s v="RENCA"/>
    <x v="606"/>
    <x v="4"/>
    <x v="1"/>
    <x v="7"/>
    <x v="1"/>
    <n v="1"/>
    <n v="68341"/>
    <n v="29289"/>
    <n v="97630"/>
    <n v="10"/>
    <n v="4821"/>
    <n v="100"/>
    <x v="656"/>
    <x v="2"/>
    <x v="0"/>
    <x v="1"/>
  </r>
  <r>
    <x v="44"/>
    <s v="ZTAN"/>
    <x v="8"/>
    <s v="SV2718"/>
    <s v="81417709"/>
    <s v="LAS CONDES"/>
    <x v="364"/>
    <x v="1"/>
    <x v="1"/>
    <x v="3"/>
    <x v="1"/>
    <n v="4"/>
    <n v="56075"/>
    <n v="12000"/>
    <n v="68075"/>
    <n v="39.159572020248504"/>
    <n v="8011"/>
    <n v="22"/>
    <x v="657"/>
    <x v="2"/>
    <x v="0"/>
    <x v="1"/>
  </r>
  <r>
    <x v="44"/>
    <s v="ZTAN"/>
    <x v="8"/>
    <s v="TP3884"/>
    <s v="161268070"/>
    <s v="REÑACA"/>
    <x v="607"/>
    <x v="1"/>
    <x v="1"/>
    <x v="6"/>
    <x v="2"/>
    <n v="0"/>
    <n v="180000"/>
    <n v="21956.799999999996"/>
    <n v="201956.8"/>
    <n v="36.791663630401523"/>
    <n v="25000"/>
    <n v="22"/>
    <x v="658"/>
    <x v="2"/>
    <x v="0"/>
    <x v="0"/>
  </r>
  <r>
    <x v="44"/>
    <s v="ZTAN"/>
    <x v="8"/>
    <s v="UA7248"/>
    <s v="107643206"/>
    <s v="SAN MIGUEL"/>
    <x v="608"/>
    <x v="1"/>
    <x v="1"/>
    <x v="23"/>
    <x v="1"/>
    <n v="2"/>
    <n v="40475"/>
    <n v="12000"/>
    <n v="52475"/>
    <n v="20.77724105163129"/>
    <n v="5782"/>
    <n v="44"/>
    <x v="659"/>
    <x v="2"/>
    <x v="0"/>
    <x v="1"/>
  </r>
  <r>
    <x v="45"/>
    <s v="ZPEP"/>
    <x v="3"/>
    <s v="WC2233"/>
    <s v="125108660"/>
    <s v="LAS CONDES"/>
    <x v="609"/>
    <x v="4"/>
    <x v="1"/>
    <x v="3"/>
    <x v="1"/>
    <n v="4"/>
    <n v="56075"/>
    <n v="0"/>
    <n v="56075"/>
    <n v="8.5570841058743632"/>
    <n v="8011"/>
    <n v="82"/>
    <x v="660"/>
    <x v="2"/>
    <x v="0"/>
    <x v="1"/>
  </r>
  <r>
    <x v="45"/>
    <s v="ZPEP"/>
    <x v="3"/>
    <s v="XR6339"/>
    <s v="78907355"/>
    <s v="LAS CONDES"/>
    <x v="610"/>
    <x v="1"/>
    <x v="1"/>
    <x v="3"/>
    <x v="1"/>
    <n v="4"/>
    <n v="56075"/>
    <n v="19471.920000000006"/>
    <n v="75546.920000000013"/>
    <n v="15.519151680984718"/>
    <n v="8011"/>
    <n v="61"/>
    <x v="661"/>
    <x v="2"/>
    <x v="0"/>
    <x v="1"/>
  </r>
  <r>
    <x v="45"/>
    <s v="ZPEP"/>
    <x v="1"/>
    <s v="PN4466"/>
    <s v="81417709"/>
    <s v="ISLA DE MAIPO"/>
    <x v="611"/>
    <x v="1"/>
    <x v="0"/>
    <x v="1"/>
    <x v="1"/>
    <n v="5"/>
    <n v="120000"/>
    <n v="45145.120000000003"/>
    <n v="165145.12"/>
    <n v="14.632378427612995"/>
    <n v="12000"/>
    <n v="94"/>
    <x v="662"/>
    <x v="2"/>
    <x v="0"/>
    <x v="1"/>
  </r>
  <r>
    <x v="45"/>
    <s v="ZPEP"/>
    <x v="27"/>
    <s v="RJ6819"/>
    <s v="94742285"/>
    <s v="LOS ANGELES"/>
    <x v="612"/>
    <x v="5"/>
    <x v="0"/>
    <x v="57"/>
    <x v="0"/>
    <n v="0"/>
    <n v="420000"/>
    <n v="0"/>
    <n v="420000"/>
    <n v="24.553692787703511"/>
    <n v="25000"/>
    <n v="68"/>
    <x v="663"/>
    <x v="2"/>
    <x v="0"/>
    <x v="0"/>
  </r>
  <r>
    <x v="45"/>
    <s v="ZTAN"/>
    <x v="6"/>
    <s v="BDCH61"/>
    <s v="107643206"/>
    <s v="MAIPU"/>
    <x v="613"/>
    <x v="1"/>
    <x v="1"/>
    <x v="2"/>
    <x v="1"/>
    <n v="2"/>
    <n v="40475"/>
    <n v="6801.6"/>
    <n v="47276.6"/>
    <n v="27.803222771112676"/>
    <n v="5782"/>
    <n v="29"/>
    <x v="664"/>
    <x v="2"/>
    <x v="0"/>
    <x v="1"/>
  </r>
  <r>
    <x v="45"/>
    <s v="ZTAN"/>
    <x v="6"/>
    <s v="BDCH61"/>
    <s v="161268070"/>
    <s v="QUILICURA"/>
    <x v="523"/>
    <x v="1"/>
    <x v="1"/>
    <x v="8"/>
    <x v="1"/>
    <n v="1"/>
    <n v="33750"/>
    <n v="8179.2000000000007"/>
    <n v="41929.199999999997"/>
    <n v="15.378961267605632"/>
    <n v="4821"/>
    <n v="57"/>
    <x v="665"/>
    <x v="2"/>
    <x v="0"/>
    <x v="1"/>
  </r>
  <r>
    <x v="45"/>
    <s v="ZTAN"/>
    <x v="6"/>
    <s v="SU9354"/>
    <s v="72564391"/>
    <s v="PEÑALOLEN"/>
    <x v="614"/>
    <x v="2"/>
    <x v="1"/>
    <x v="34"/>
    <x v="1"/>
    <n v="4"/>
    <n v="70020"/>
    <n v="30008.399999999998"/>
    <n v="100028.4"/>
    <n v="10.000039988803135"/>
    <n v="8011"/>
    <n v="100"/>
    <x v="666"/>
    <x v="2"/>
    <x v="0"/>
    <x v="1"/>
  </r>
  <r>
    <x v="45"/>
    <s v="ZTAN"/>
    <x v="6"/>
    <s v="VJ8408"/>
    <s v="83259353"/>
    <s v="VIÑA DEL MAR"/>
    <x v="615"/>
    <x v="0"/>
    <x v="0"/>
    <x v="6"/>
    <x v="2"/>
    <n v="0"/>
    <n v="230000"/>
    <n v="0"/>
    <n v="230000"/>
    <n v="38.406305313428845"/>
    <n v="25000"/>
    <n v="21"/>
    <x v="667"/>
    <x v="2"/>
    <x v="0"/>
    <x v="0"/>
  </r>
  <r>
    <x v="45"/>
    <s v="ZTAN"/>
    <x v="7"/>
    <s v="DJLF85"/>
    <s v="53173292"/>
    <s v="SAN MIGUEL"/>
    <x v="616"/>
    <x v="4"/>
    <x v="1"/>
    <x v="23"/>
    <x v="1"/>
    <n v="2"/>
    <n v="59270"/>
    <n v="25401"/>
    <n v="84671"/>
    <n v="9.9999409482529522"/>
    <n v="5782"/>
    <n v="100"/>
    <x v="668"/>
    <x v="2"/>
    <x v="0"/>
    <x v="1"/>
  </r>
  <r>
    <x v="45"/>
    <s v="ZTAN"/>
    <x v="7"/>
    <s v="SV2718"/>
    <s v="99626232"/>
    <s v="SAN MIGUEL"/>
    <x v="617"/>
    <x v="1"/>
    <x v="1"/>
    <x v="23"/>
    <x v="1"/>
    <n v="2"/>
    <n v="42331"/>
    <n v="24189"/>
    <n v="66520"/>
    <n v="11.000041341105456"/>
    <n v="5782"/>
    <n v="100"/>
    <x v="669"/>
    <x v="2"/>
    <x v="0"/>
    <x v="1"/>
  </r>
  <r>
    <x v="45"/>
    <s v="ZTAN"/>
    <x v="8"/>
    <s v="DJLF85"/>
    <s v="53173292"/>
    <s v="QUILICURA"/>
    <x v="618"/>
    <x v="4"/>
    <x v="1"/>
    <x v="8"/>
    <x v="1"/>
    <n v="1"/>
    <n v="33750"/>
    <n v="6527"/>
    <n v="40277"/>
    <n v="18.513053870196728"/>
    <n v="4821"/>
    <n v="45"/>
    <x v="670"/>
    <x v="2"/>
    <x v="0"/>
    <x v="1"/>
  </r>
  <r>
    <x v="45"/>
    <s v="ZTAN"/>
    <x v="8"/>
    <s v="HLBX77"/>
    <s v="16093509K"/>
    <s v="PUDAHUEL"/>
    <x v="619"/>
    <x v="1"/>
    <x v="1"/>
    <x v="10"/>
    <x v="1"/>
    <n v="1"/>
    <n v="52500"/>
    <n v="30000"/>
    <n v="82500"/>
    <n v="11.000000000000002"/>
    <n v="4821"/>
    <n v="100"/>
    <x v="671"/>
    <x v="2"/>
    <x v="0"/>
    <x v="1"/>
  </r>
  <r>
    <x v="45"/>
    <s v="ZTAN"/>
    <x v="8"/>
    <s v="SV2718"/>
    <s v="78907355"/>
    <s v="ÑUÑOA"/>
    <x v="613"/>
    <x v="1"/>
    <x v="1"/>
    <x v="15"/>
    <x v="1"/>
    <n v="4"/>
    <n v="56075"/>
    <n v="12000"/>
    <n v="68075"/>
    <n v="40.034697718183956"/>
    <n v="8011"/>
    <n v="21"/>
    <x v="672"/>
    <x v="2"/>
    <x v="0"/>
    <x v="1"/>
  </r>
  <r>
    <x v="45"/>
    <s v="ZTAN"/>
    <x v="8"/>
    <s v="TP3884"/>
    <s v="161268070"/>
    <s v="ÑUÑOA"/>
    <x v="618"/>
    <x v="1"/>
    <x v="1"/>
    <x v="15"/>
    <x v="1"/>
    <n v="4"/>
    <n v="56075"/>
    <n v="12000"/>
    <n v="68075"/>
    <n v="31.290218790218791"/>
    <n v="8011"/>
    <n v="27"/>
    <x v="673"/>
    <x v="2"/>
    <x v="0"/>
    <x v="1"/>
  </r>
  <r>
    <x v="45"/>
    <s v="ZTAN"/>
    <x v="8"/>
    <s v="UA7248"/>
    <s v="99626232"/>
    <s v="HUECHURABA"/>
    <x v="620"/>
    <x v="1"/>
    <x v="1"/>
    <x v="24"/>
    <x v="1"/>
    <n v="1"/>
    <n v="33750"/>
    <n v="12000"/>
    <n v="45750"/>
    <n v="16.893763154979514"/>
    <n v="4821"/>
    <n v="56"/>
    <x v="674"/>
    <x v="2"/>
    <x v="0"/>
    <x v="1"/>
  </r>
  <r>
    <x v="45"/>
    <s v="ZTAN"/>
    <x v="8"/>
    <s v="WC2233"/>
    <s v="125108660"/>
    <s v="CERRILLOS"/>
    <x v="621"/>
    <x v="4"/>
    <x v="1"/>
    <x v="9"/>
    <x v="1"/>
    <n v="2"/>
    <n v="40475"/>
    <n v="8888"/>
    <n v="49363"/>
    <n v="16.660928851086808"/>
    <n v="5782"/>
    <n v="51"/>
    <x v="675"/>
    <x v="2"/>
    <x v="0"/>
    <x v="1"/>
  </r>
  <r>
    <x v="46"/>
    <s v="ZNL"/>
    <x v="0"/>
    <s v="BSSK97"/>
    <s v="162824716"/>
    <s v="TALCAHUANO"/>
    <x v="622"/>
    <x v="0"/>
    <x v="0"/>
    <x v="0"/>
    <x v="0"/>
    <n v="0"/>
    <n v="380000"/>
    <n v="0"/>
    <n v="380000"/>
    <n v="21.04447028853075"/>
    <n v="25000"/>
    <n v="72"/>
    <x v="676"/>
    <x v="2"/>
    <x v="0"/>
    <x v="0"/>
  </r>
  <r>
    <x v="46"/>
    <s v="ZNL"/>
    <x v="0"/>
    <s v="KKPF51"/>
    <s v="95707734"/>
    <s v="TALCAHUANO"/>
    <x v="623"/>
    <x v="8"/>
    <x v="0"/>
    <x v="0"/>
    <x v="0"/>
    <n v="0"/>
    <n v="380000"/>
    <n v="0"/>
    <n v="380000"/>
    <n v="42.821726391706072"/>
    <n v="25000"/>
    <n v="35"/>
    <x v="677"/>
    <x v="2"/>
    <x v="0"/>
    <x v="0"/>
  </r>
  <r>
    <x v="46"/>
    <s v="ZPEP"/>
    <x v="1"/>
    <s v="PN4466"/>
    <s v="81417709"/>
    <s v="ISLA DE MAIPO"/>
    <x v="624"/>
    <x v="1"/>
    <x v="0"/>
    <x v="1"/>
    <x v="1"/>
    <n v="5"/>
    <n v="120000"/>
    <n v="62218.92"/>
    <n v="182218.91999999998"/>
    <n v="11.714695144178009"/>
    <n v="12000"/>
    <n v="100"/>
    <x v="678"/>
    <x v="2"/>
    <x v="0"/>
    <x v="1"/>
  </r>
  <r>
    <x v="46"/>
    <s v="ZPEP"/>
    <x v="27"/>
    <s v="RG6503"/>
    <s v="10519045K"/>
    <s v="CABRERO"/>
    <x v="625"/>
    <x v="5"/>
    <x v="0"/>
    <x v="39"/>
    <x v="0"/>
    <n v="0"/>
    <n v="390000"/>
    <n v="0"/>
    <n v="390000"/>
    <n v="21.10464984139044"/>
    <n v="25000"/>
    <n v="74"/>
    <x v="679"/>
    <x v="2"/>
    <x v="0"/>
    <x v="0"/>
  </r>
  <r>
    <x v="46"/>
    <s v="ZPEP"/>
    <x v="11"/>
    <s v="DJLF85"/>
    <s v="53173292"/>
    <s v="PADRE HURTADO"/>
    <x v="626"/>
    <x v="4"/>
    <x v="1"/>
    <x v="26"/>
    <x v="1"/>
    <n v="5"/>
    <n v="70000"/>
    <n v="4551.72"/>
    <n v="74551.72"/>
    <n v="49.136405578550523"/>
    <n v="12000"/>
    <n v="13"/>
    <x v="680"/>
    <x v="2"/>
    <x v="0"/>
    <x v="1"/>
  </r>
  <r>
    <x v="46"/>
    <s v="ZPEP"/>
    <x v="42"/>
    <s v="DP5738"/>
    <s v="35488103"/>
    <s v="QUINTA NORMAL"/>
    <x v="627"/>
    <x v="7"/>
    <x v="1"/>
    <x v="62"/>
    <x v="1"/>
    <n v="1"/>
    <n v="33750"/>
    <n v="0"/>
    <n v="33750"/>
    <n v="16.758528228809773"/>
    <n v="4821"/>
    <n v="42"/>
    <x v="681"/>
    <x v="2"/>
    <x v="0"/>
    <x v="1"/>
  </r>
  <r>
    <x v="46"/>
    <s v="ZTAN"/>
    <x v="3"/>
    <s v="WC2233"/>
    <s v="125108660"/>
    <s v="LAS CONDES"/>
    <x v="172"/>
    <x v="4"/>
    <x v="1"/>
    <x v="3"/>
    <x v="1"/>
    <n v="4"/>
    <n v="66809"/>
    <n v="28632.239999999998"/>
    <n v="95441.239999999991"/>
    <n v="10.000046101876764"/>
    <n v="8011"/>
    <n v="100"/>
    <x v="682"/>
    <x v="2"/>
    <x v="0"/>
    <x v="1"/>
  </r>
  <r>
    <x v="46"/>
    <s v="ZTAN"/>
    <x v="10"/>
    <s v="HLBX77"/>
    <s v="16093509K"/>
    <s v="QUILICURA"/>
    <x v="628"/>
    <x v="1"/>
    <x v="1"/>
    <x v="8"/>
    <x v="1"/>
    <n v="1"/>
    <n v="62920"/>
    <n v="35954"/>
    <n v="98874"/>
    <n v="10.99993324878179"/>
    <n v="4821"/>
    <n v="100"/>
    <x v="683"/>
    <x v="2"/>
    <x v="0"/>
    <x v="1"/>
  </r>
  <r>
    <x v="46"/>
    <s v="ZTAN"/>
    <x v="10"/>
    <s v="RK5135"/>
    <s v="138841065"/>
    <s v="QUILICURA"/>
    <x v="629"/>
    <x v="3"/>
    <x v="1"/>
    <x v="8"/>
    <x v="1"/>
    <n v="1"/>
    <n v="46910"/>
    <n v="20104"/>
    <n v="67014"/>
    <n v="10"/>
    <n v="4821"/>
    <n v="100"/>
    <x v="684"/>
    <x v="2"/>
    <x v="0"/>
    <x v="1"/>
  </r>
  <r>
    <x v="46"/>
    <s v="ZTAN"/>
    <x v="10"/>
    <s v="RK5135"/>
    <s v="138841065"/>
    <s v="SANTIAGO"/>
    <x v="630"/>
    <x v="3"/>
    <x v="1"/>
    <x v="20"/>
    <x v="1"/>
    <n v="1"/>
    <n v="83840"/>
    <n v="35932"/>
    <n v="119772"/>
    <n v="10"/>
    <n v="4821"/>
    <n v="100"/>
    <x v="685"/>
    <x v="2"/>
    <x v="0"/>
    <x v="1"/>
  </r>
  <r>
    <x v="46"/>
    <s v="ZTAN"/>
    <x v="10"/>
    <s v="SU9354"/>
    <s v="72564391"/>
    <s v="QUILICURA"/>
    <x v="631"/>
    <x v="2"/>
    <x v="1"/>
    <x v="8"/>
    <x v="1"/>
    <n v="1"/>
    <n v="52240"/>
    <n v="22388"/>
    <n v="74628"/>
    <n v="9.9999999999999982"/>
    <n v="4821"/>
    <n v="100"/>
    <x v="686"/>
    <x v="2"/>
    <x v="0"/>
    <x v="1"/>
  </r>
  <r>
    <x v="46"/>
    <s v="ZTAN"/>
    <x v="10"/>
    <s v="XR6339"/>
    <s v="107643206"/>
    <s v="SANTIAGO"/>
    <x v="632"/>
    <x v="1"/>
    <x v="1"/>
    <x v="20"/>
    <x v="1"/>
    <n v="1"/>
    <n v="66721"/>
    <n v="38126"/>
    <n v="104847"/>
    <n v="10.999937051491884"/>
    <n v="4821"/>
    <n v="100"/>
    <x v="687"/>
    <x v="2"/>
    <x v="0"/>
    <x v="1"/>
  </r>
  <r>
    <x v="46"/>
    <s v="ZTAN"/>
    <x v="7"/>
    <s v="SU9354"/>
    <s v="72564391"/>
    <s v="SAN MIGUEL"/>
    <x v="633"/>
    <x v="2"/>
    <x v="1"/>
    <x v="23"/>
    <x v="1"/>
    <n v="2"/>
    <n v="57480"/>
    <n v="24634"/>
    <n v="82114"/>
    <n v="9.9999999999999982"/>
    <n v="5782"/>
    <n v="100"/>
    <x v="688"/>
    <x v="2"/>
    <x v="0"/>
    <x v="1"/>
  </r>
  <r>
    <x v="46"/>
    <s v="ZTAN"/>
    <x v="8"/>
    <s v="BDCH61"/>
    <s v="99626232"/>
    <s v="LA REINA"/>
    <x v="634"/>
    <x v="1"/>
    <x v="1"/>
    <x v="11"/>
    <x v="1"/>
    <n v="3"/>
    <n v="48075"/>
    <n v="19855"/>
    <n v="67930"/>
    <n v="13.685079979048314"/>
    <n v="6868"/>
    <n v="72"/>
    <x v="689"/>
    <x v="2"/>
    <x v="0"/>
    <x v="1"/>
  </r>
  <r>
    <x v="46"/>
    <s v="ZTAN"/>
    <x v="8"/>
    <s v="SV2718"/>
    <s v="81417709"/>
    <s v="LA FLORIDA"/>
    <x v="613"/>
    <x v="1"/>
    <x v="1"/>
    <x v="33"/>
    <x v="1"/>
    <n v="3"/>
    <n v="48075"/>
    <n v="12000"/>
    <n v="60075"/>
    <n v="35.32992237120677"/>
    <n v="6868"/>
    <n v="25"/>
    <x v="690"/>
    <x v="2"/>
    <x v="0"/>
    <x v="1"/>
  </r>
  <r>
    <x v="46"/>
    <s v="ZTAN"/>
    <x v="8"/>
    <s v="TP3884"/>
    <s v="161268070"/>
    <s v="PUDAHUEL"/>
    <x v="635"/>
    <x v="1"/>
    <x v="1"/>
    <x v="10"/>
    <x v="1"/>
    <n v="1"/>
    <n v="48472"/>
    <n v="27698"/>
    <n v="76170"/>
    <n v="10.999913352395803"/>
    <n v="4821"/>
    <n v="100"/>
    <x v="691"/>
    <x v="2"/>
    <x v="0"/>
    <x v="1"/>
  </r>
  <r>
    <x v="46"/>
    <s v="ZTAN"/>
    <x v="8"/>
    <s v="UA7248"/>
    <s v="107643206"/>
    <s v="EL BOSQUE"/>
    <x v="636"/>
    <x v="1"/>
    <x v="1"/>
    <x v="25"/>
    <x v="1"/>
    <n v="3"/>
    <n v="48075"/>
    <n v="12000"/>
    <n v="60075"/>
    <n v="70.65984474241354"/>
    <n v="6868"/>
    <n v="12"/>
    <x v="692"/>
    <x v="2"/>
    <x v="0"/>
    <x v="1"/>
  </r>
  <r>
    <x v="46"/>
    <s v="ZTAN"/>
    <x v="8"/>
    <s v="XR6339"/>
    <s v="78907355"/>
    <s v="CERRILLOS"/>
    <x v="637"/>
    <x v="1"/>
    <x v="1"/>
    <x v="9"/>
    <x v="1"/>
    <n v="2"/>
    <n v="40475"/>
    <n v="12000"/>
    <n v="52475"/>
    <n v="48.239566096708955"/>
    <n v="5782"/>
    <n v="19"/>
    <x v="693"/>
    <x v="2"/>
    <x v="0"/>
    <x v="1"/>
  </r>
  <r>
    <x v="46"/>
    <s v="ZPEP"/>
    <x v="1"/>
    <s v="WG4022"/>
    <s v="81417709"/>
    <s v="ISLA DE MAIPO"/>
    <x v="638"/>
    <x v="1"/>
    <x v="0"/>
    <x v="1"/>
    <x v="1"/>
    <n v="5"/>
    <n v="120000"/>
    <n v="47785.919999999998"/>
    <n v="167785.91999999998"/>
    <n v="14.044799807139842"/>
    <n v="12000"/>
    <n v="100"/>
    <x v="694"/>
    <x v="2"/>
    <x v="0"/>
    <x v="1"/>
  </r>
  <r>
    <x v="47"/>
    <s v="ZTAN"/>
    <x v="8"/>
    <s v="BDCH61"/>
    <s v="81417709"/>
    <s v="QUILIN"/>
    <x v="639"/>
    <x v="1"/>
    <x v="1"/>
    <x v="34"/>
    <x v="1"/>
    <n v="4"/>
    <n v="56075"/>
    <n v="30206"/>
    <n v="86281"/>
    <n v="11.425525716404472"/>
    <n v="8011"/>
    <n v="94"/>
    <x v="695"/>
    <x v="2"/>
    <x v="0"/>
    <x v="1"/>
  </r>
  <r>
    <x v="47"/>
    <s v="ZTAN"/>
    <x v="8"/>
    <s v="SV2718"/>
    <s v="99626232"/>
    <s v="SAN BERNARDO"/>
    <x v="640"/>
    <x v="1"/>
    <x v="1"/>
    <x v="4"/>
    <x v="1"/>
    <n v="4"/>
    <n v="56075"/>
    <n v="15504"/>
    <n v="71579"/>
    <n v="18.467234262125903"/>
    <n v="8011"/>
    <n v="48"/>
    <x v="696"/>
    <x v="2"/>
    <x v="0"/>
    <x v="1"/>
  </r>
  <r>
    <x v="47"/>
    <s v="ZTAN"/>
    <x v="8"/>
    <s v="TP3884"/>
    <s v="161268070"/>
    <s v="PUDAHUEL"/>
    <x v="641"/>
    <x v="1"/>
    <x v="1"/>
    <x v="10"/>
    <x v="1"/>
    <n v="1"/>
    <n v="46288"/>
    <n v="26450"/>
    <n v="72738"/>
    <n v="10.999909264132112"/>
    <n v="4821"/>
    <n v="100"/>
    <x v="697"/>
    <x v="2"/>
    <x v="0"/>
    <x v="1"/>
  </r>
  <r>
    <x v="47"/>
    <s v="ZTAN"/>
    <x v="8"/>
    <s v="TP3884"/>
    <s v="CITA1100955707"/>
    <s v="PUDAHUEL"/>
    <x v="613"/>
    <x v="1"/>
    <x v="1"/>
    <x v="10"/>
    <x v="1"/>
    <n v="1"/>
    <n v="33750"/>
    <n v="12000"/>
    <n v="45750"/>
    <n v="26.905434015525756"/>
    <n v="4821"/>
    <n v="35"/>
    <x v="698"/>
    <x v="2"/>
    <x v="0"/>
    <x v="1"/>
  </r>
  <r>
    <x v="47"/>
    <s v="ZTAN"/>
    <x v="8"/>
    <s v="UA7248"/>
    <s v="107643206"/>
    <s v="SANTIAGO"/>
    <x v="613"/>
    <x v="1"/>
    <x v="1"/>
    <x v="20"/>
    <x v="1"/>
    <n v="1"/>
    <n v="33750"/>
    <n v="12000"/>
    <n v="45750"/>
    <n v="26.905434015525756"/>
    <n v="4821"/>
    <n v="35"/>
    <x v="699"/>
    <x v="2"/>
    <x v="0"/>
    <x v="1"/>
  </r>
  <r>
    <x v="47"/>
    <s v="ZTAN"/>
    <x v="8"/>
    <s v="XR6339"/>
    <s v="78907355"/>
    <s v="LAS CONDES"/>
    <x v="642"/>
    <x v="1"/>
    <x v="1"/>
    <x v="3"/>
    <x v="1"/>
    <n v="4"/>
    <n v="56075"/>
    <n v="17554"/>
    <n v="73629"/>
    <n v="16.778096800656275"/>
    <n v="8011"/>
    <n v="55"/>
    <x v="700"/>
    <x v="2"/>
    <x v="0"/>
    <x v="1"/>
  </r>
  <r>
    <x v="48"/>
    <s v="ZNL"/>
    <x v="0"/>
    <s v="DFRV76"/>
    <s v="113693568"/>
    <s v="TALCAHUANO"/>
    <x v="643"/>
    <x v="5"/>
    <x v="0"/>
    <x v="0"/>
    <x v="0"/>
    <n v="0"/>
    <n v="380000"/>
    <n v="0"/>
    <n v="380000"/>
    <n v="20.631340743966149"/>
    <n v="25000"/>
    <n v="48"/>
    <x v="701"/>
    <x v="2"/>
    <x v="0"/>
    <x v="0"/>
  </r>
  <r>
    <x v="48"/>
    <s v="ZPEP"/>
    <x v="4"/>
    <s v="KKPF51"/>
    <s v="95707734"/>
    <s v="QUILLOTA"/>
    <x v="526"/>
    <x v="8"/>
    <x v="0"/>
    <x v="19"/>
    <x v="2"/>
    <n v="0"/>
    <n v="230000"/>
    <n v="0"/>
    <n v="230000"/>
    <n v="43.066322136089575"/>
    <n v="25000"/>
    <n v="21"/>
    <x v="702"/>
    <x v="2"/>
    <x v="0"/>
    <x v="0"/>
  </r>
  <r>
    <x v="48"/>
    <s v="ZPEP"/>
    <x v="1"/>
    <s v="HLBX77"/>
    <s v="16093509K"/>
    <s v="ISLA DE MAIPO"/>
    <x v="644"/>
    <x v="1"/>
    <x v="1"/>
    <x v="1"/>
    <x v="1"/>
    <n v="5"/>
    <n v="90000"/>
    <n v="53941.52"/>
    <n v="143941.51999999999"/>
    <n v="10.67389424695485"/>
    <n v="12000"/>
    <n v="100"/>
    <x v="703"/>
    <x v="2"/>
    <x v="0"/>
    <x v="1"/>
  </r>
  <r>
    <x v="48"/>
    <s v="ZPEP"/>
    <x v="42"/>
    <s v="DJLF85"/>
    <s v="53173292"/>
    <s v="QUINTA NORMAL"/>
    <x v="645"/>
    <x v="4"/>
    <x v="1"/>
    <x v="62"/>
    <x v="1"/>
    <n v="1"/>
    <n v="33750"/>
    <n v="12083.400000000003"/>
    <n v="45833.4"/>
    <n v="11.379264114404883"/>
    <n v="4821"/>
    <n v="84"/>
    <x v="704"/>
    <x v="2"/>
    <x v="0"/>
    <x v="1"/>
  </r>
  <r>
    <x v="48"/>
    <s v="ZPEP"/>
    <x v="8"/>
    <s v="WG4022"/>
    <s v="81417709"/>
    <s v="RENCA"/>
    <x v="646"/>
    <x v="1"/>
    <x v="0"/>
    <x v="7"/>
    <x v="1"/>
    <n v="1"/>
    <n v="81551"/>
    <n v="46601"/>
    <n v="128152"/>
    <n v="11.000030042531641"/>
    <n v="4821"/>
    <n v="100"/>
    <x v="705"/>
    <x v="2"/>
    <x v="0"/>
    <x v="1"/>
  </r>
  <r>
    <x v="48"/>
    <s v="ZTAN"/>
    <x v="21"/>
    <s v="SU9354"/>
    <s v="72564391"/>
    <s v="LA REINA"/>
    <x v="647"/>
    <x v="2"/>
    <x v="1"/>
    <x v="11"/>
    <x v="1"/>
    <n v="3"/>
    <n v="76406"/>
    <n v="32745.600000000002"/>
    <n v="109151.6"/>
    <n v="9.9999633538551738"/>
    <n v="6868"/>
    <n v="100"/>
    <x v="706"/>
    <x v="2"/>
    <x v="0"/>
    <x v="1"/>
  </r>
  <r>
    <x v="48"/>
    <s v="ZTAN"/>
    <x v="12"/>
    <s v="WC2233"/>
    <s v="125108660"/>
    <s v="VITACURA"/>
    <x v="648"/>
    <x v="4"/>
    <x v="1"/>
    <x v="27"/>
    <x v="1"/>
    <n v="4"/>
    <n v="71948"/>
    <n v="30834.720000000001"/>
    <n v="102782.72"/>
    <n v="10.000031133734959"/>
    <n v="8011"/>
    <n v="100"/>
    <x v="707"/>
    <x v="2"/>
    <x v="0"/>
    <x v="1"/>
  </r>
  <r>
    <x v="48"/>
    <s v="ZTAN"/>
    <x v="6"/>
    <s v="GKRB84"/>
    <s v="122975819"/>
    <s v="LA SERENA"/>
    <x v="649"/>
    <x v="5"/>
    <x v="0"/>
    <x v="63"/>
    <x v="8"/>
    <n v="0"/>
    <n v="600000"/>
    <n v="0"/>
    <n v="600000"/>
    <n v="55.878408582923555"/>
    <n v="25000"/>
    <n v="43"/>
    <x v="708"/>
    <x v="2"/>
    <x v="0"/>
    <x v="0"/>
  </r>
  <r>
    <x v="48"/>
    <s v="ZTAN"/>
    <x v="16"/>
    <s v="RK5135"/>
    <s v="138841065"/>
    <s v="MAIPU"/>
    <x v="650"/>
    <x v="3"/>
    <x v="1"/>
    <x v="2"/>
    <x v="1"/>
    <n v="2"/>
    <n v="40475"/>
    <n v="11550.599999999999"/>
    <n v="52025.599999999999"/>
    <n v="13.512440912160407"/>
    <n v="5782"/>
    <n v="67"/>
    <x v="709"/>
    <x v="2"/>
    <x v="0"/>
    <x v="1"/>
  </r>
  <r>
    <x v="48"/>
    <s v="ZTAN"/>
    <x v="8"/>
    <s v="BDCH61"/>
    <s v="161268070"/>
    <s v="ÑUÑOA"/>
    <x v="651"/>
    <x v="1"/>
    <x v="1"/>
    <x v="15"/>
    <x v="1"/>
    <n v="4"/>
    <n v="56075"/>
    <n v="12000"/>
    <n v="68075"/>
    <n v="24.979817995009544"/>
    <n v="8011"/>
    <n v="34"/>
    <x v="710"/>
    <x v="2"/>
    <x v="0"/>
    <x v="1"/>
  </r>
  <r>
    <x v="48"/>
    <s v="ZTAN"/>
    <x v="8"/>
    <s v="DJLF85"/>
    <s v="53173292"/>
    <s v="PUENTE ALTO"/>
    <x v="637"/>
    <x v="4"/>
    <x v="1"/>
    <x v="30"/>
    <x v="1"/>
    <n v="4"/>
    <n v="56075"/>
    <n v="3263"/>
    <n v="59338"/>
    <n v="54.548630262915978"/>
    <n v="8011"/>
    <n v="14"/>
    <x v="711"/>
    <x v="2"/>
    <x v="0"/>
    <x v="1"/>
  </r>
  <r>
    <x v="48"/>
    <s v="ZTAN"/>
    <x v="8"/>
    <s v="SV2718"/>
    <s v="107643206"/>
    <s v="ÑUÑOA"/>
    <x v="636"/>
    <x v="1"/>
    <x v="1"/>
    <x v="15"/>
    <x v="1"/>
    <n v="4"/>
    <n v="56075"/>
    <n v="12000"/>
    <n v="68075"/>
    <n v="80.069395436367913"/>
    <n v="8011"/>
    <n v="11"/>
    <x v="712"/>
    <x v="2"/>
    <x v="0"/>
    <x v="1"/>
  </r>
  <r>
    <x v="48"/>
    <s v="ZTAN"/>
    <x v="8"/>
    <s v="TP3884"/>
    <s v="81417109"/>
    <s v="PUDAHUEL"/>
    <x v="652"/>
    <x v="1"/>
    <x v="1"/>
    <x v="10"/>
    <x v="1"/>
    <n v="1"/>
    <n v="33750"/>
    <n v="12000"/>
    <n v="45750"/>
    <n v="16.341620231461633"/>
    <n v="4821"/>
    <n v="58"/>
    <x v="713"/>
    <x v="2"/>
    <x v="0"/>
    <x v="1"/>
  </r>
  <r>
    <x v="48"/>
    <s v="ZTAN"/>
    <x v="8"/>
    <s v="TP3884"/>
    <s v="81417709"/>
    <s v="PUDAHUEL"/>
    <x v="653"/>
    <x v="1"/>
    <x v="1"/>
    <x v="10"/>
    <x v="1"/>
    <n v="1"/>
    <n v="45247"/>
    <n v="25855"/>
    <n v="71102"/>
    <n v="11.00003094155141"/>
    <n v="4821"/>
    <n v="100"/>
    <x v="714"/>
    <x v="2"/>
    <x v="0"/>
    <x v="1"/>
  </r>
  <r>
    <x v="48"/>
    <s v="ZTAN"/>
    <x v="8"/>
    <s v="UA7248"/>
    <s v="99626232"/>
    <s v="LAS CONDES"/>
    <x v="636"/>
    <x v="1"/>
    <x v="1"/>
    <x v="3"/>
    <x v="1"/>
    <n v="4"/>
    <n v="56075"/>
    <n v="12000"/>
    <n v="68075"/>
    <n v="80.069395436367913"/>
    <n v="8011"/>
    <n v="11"/>
    <x v="715"/>
    <x v="2"/>
    <x v="0"/>
    <x v="1"/>
  </r>
  <r>
    <x v="48"/>
    <s v="ZTAN"/>
    <x v="8"/>
    <s v="XR6339"/>
    <s v="78907355"/>
    <s v="QUILICURA"/>
    <x v="654"/>
    <x v="1"/>
    <x v="1"/>
    <x v="8"/>
    <x v="1"/>
    <n v="1"/>
    <n v="33750"/>
    <n v="13202"/>
    <n v="46952"/>
    <n v="14.22529237108405"/>
    <n v="4821"/>
    <n v="68"/>
    <x v="716"/>
    <x v="2"/>
    <x v="0"/>
    <x v="1"/>
  </r>
  <r>
    <x v="49"/>
    <s v="ZNL"/>
    <x v="0"/>
    <s v="KKPF51"/>
    <s v="95707734"/>
    <s v="TALCAHUANO"/>
    <x v="655"/>
    <x v="8"/>
    <x v="0"/>
    <x v="0"/>
    <x v="0"/>
    <n v="0"/>
    <n v="380000"/>
    <n v="0"/>
    <n v="380000"/>
    <n v="23.713244471069856"/>
    <n v="25000"/>
    <n v="64"/>
    <x v="717"/>
    <x v="2"/>
    <x v="0"/>
    <x v="0"/>
  </r>
  <r>
    <x v="49"/>
    <s v="ZPEP"/>
    <x v="1"/>
    <s v="SU9354"/>
    <s v="72564391"/>
    <s v="ISLA DE MAIPO"/>
    <x v="656"/>
    <x v="2"/>
    <x v="1"/>
    <x v="1"/>
    <x v="1"/>
    <n v="5"/>
    <n v="90000"/>
    <n v="29231.22"/>
    <n v="119231.22"/>
    <n v="12.236699665631473"/>
    <n v="12000"/>
    <n v="81"/>
    <x v="718"/>
    <x v="2"/>
    <x v="0"/>
    <x v="1"/>
  </r>
  <r>
    <x v="49"/>
    <s v="ZPEP"/>
    <x v="5"/>
    <s v="DJLF85"/>
    <s v="125108660"/>
    <s v="LAMPA"/>
    <x v="657"/>
    <x v="4"/>
    <x v="1"/>
    <x v="17"/>
    <x v="1"/>
    <n v="5"/>
    <n v="70000"/>
    <n v="14934.24"/>
    <n v="84934.24"/>
    <n v="17.06164625719153"/>
    <n v="12000"/>
    <n v="41"/>
    <x v="719"/>
    <x v="2"/>
    <x v="0"/>
    <x v="1"/>
  </r>
  <r>
    <x v="49"/>
    <s v="ZPEP"/>
    <x v="27"/>
    <s v="YP6892"/>
    <s v="124157498"/>
    <s v="SAN PEDRO DE LA PAZ"/>
    <x v="658"/>
    <x v="0"/>
    <x v="0"/>
    <x v="47"/>
    <x v="0"/>
    <n v="0"/>
    <n v="400000"/>
    <n v="0"/>
    <n v="400000"/>
    <n v="51.429151843285091"/>
    <n v="25000"/>
    <n v="31"/>
    <x v="720"/>
    <x v="2"/>
    <x v="0"/>
    <x v="0"/>
  </r>
  <r>
    <x v="49"/>
    <s v="ZPEP"/>
    <x v="33"/>
    <s v="PN4466"/>
    <s v="81417709"/>
    <s v="BUIN"/>
    <x v="659"/>
    <x v="1"/>
    <x v="0"/>
    <x v="56"/>
    <x v="1"/>
    <n v="5"/>
    <n v="120000"/>
    <n v="37321.64"/>
    <n v="157321.64000000001"/>
    <n v="16.861171159681088"/>
    <n v="12000"/>
    <n v="78"/>
    <x v="721"/>
    <x v="2"/>
    <x v="0"/>
    <x v="1"/>
  </r>
  <r>
    <x v="49"/>
    <s v="ZPEP"/>
    <x v="33"/>
    <s v="WG4022"/>
    <s v="81417709"/>
    <s v="BUIN"/>
    <x v="660"/>
    <x v="1"/>
    <x v="0"/>
    <x v="56"/>
    <x v="1"/>
    <n v="5"/>
    <n v="120000"/>
    <n v="23976"/>
    <n v="143976"/>
    <n v="24.02002002002002"/>
    <n v="12000"/>
    <n v="50"/>
    <x v="722"/>
    <x v="2"/>
    <x v="0"/>
    <x v="1"/>
  </r>
  <r>
    <x v="49"/>
    <s v="ZTAN"/>
    <x v="3"/>
    <s v="TP3884"/>
    <s v="1612680700"/>
    <s v="LAS CONDES"/>
    <x v="661"/>
    <x v="1"/>
    <x v="1"/>
    <x v="3"/>
    <x v="1"/>
    <n v="4"/>
    <n v="61156"/>
    <n v="34946.280000000013"/>
    <n v="96102.280000000013"/>
    <n v="11.000001144613959"/>
    <n v="8011"/>
    <n v="100"/>
    <x v="723"/>
    <x v="2"/>
    <x v="0"/>
    <x v="1"/>
  </r>
  <r>
    <x v="49"/>
    <s v="ZTAN"/>
    <x v="10"/>
    <s v="DJLF85"/>
    <s v="53173292"/>
    <s v="SANTIAGO"/>
    <x v="662"/>
    <x v="4"/>
    <x v="1"/>
    <x v="20"/>
    <x v="1"/>
    <n v="1"/>
    <n v="61517"/>
    <n v="26365"/>
    <n v="87882"/>
    <n v="10.000000000000002"/>
    <n v="4821"/>
    <n v="100"/>
    <x v="724"/>
    <x v="2"/>
    <x v="0"/>
    <x v="1"/>
  </r>
  <r>
    <x v="49"/>
    <s v="ZTAN"/>
    <x v="10"/>
    <s v="HLBX77"/>
    <s v="16093509K"/>
    <s v="SANTIAGO"/>
    <x v="663"/>
    <x v="1"/>
    <x v="1"/>
    <x v="20"/>
    <x v="1"/>
    <n v="1"/>
    <n v="62219"/>
    <n v="35554"/>
    <n v="97773"/>
    <n v="11.000067503712707"/>
    <n v="4821"/>
    <n v="100"/>
    <x v="725"/>
    <x v="2"/>
    <x v="0"/>
    <x v="1"/>
  </r>
  <r>
    <x v="49"/>
    <s v="ZTAN"/>
    <x v="10"/>
    <s v="WC2233"/>
    <s v="125108660"/>
    <s v="SANTIAGO"/>
    <x v="664"/>
    <x v="4"/>
    <x v="1"/>
    <x v="20"/>
    <x v="1"/>
    <n v="1"/>
    <n v="64945"/>
    <n v="27833"/>
    <n v="92778"/>
    <n v="10"/>
    <n v="4821"/>
    <n v="100"/>
    <x v="726"/>
    <x v="2"/>
    <x v="0"/>
    <x v="1"/>
  </r>
  <r>
    <x v="49"/>
    <s v="ZTAN"/>
    <x v="16"/>
    <s v="XR6339"/>
    <s v="78907355"/>
    <s v="SAN BERNARDO"/>
    <x v="665"/>
    <x v="1"/>
    <x v="1"/>
    <x v="4"/>
    <x v="1"/>
    <n v="4"/>
    <n v="56075"/>
    <n v="17004"/>
    <n v="73079"/>
    <n v="17.191013879087272"/>
    <n v="8011"/>
    <n v="53"/>
    <x v="727"/>
    <x v="2"/>
    <x v="0"/>
    <x v="1"/>
  </r>
  <r>
    <x v="49"/>
    <s v="ZTAN"/>
    <x v="8"/>
    <s v="BDCH61"/>
    <s v="161268070"/>
    <s v="REÑACA"/>
    <x v="666"/>
    <x v="1"/>
    <x v="1"/>
    <x v="6"/>
    <x v="2"/>
    <n v="0"/>
    <n v="180000"/>
    <n v="17301.599999999999"/>
    <n v="197301.6"/>
    <n v="45.614648356221394"/>
    <n v="25000"/>
    <n v="17"/>
    <x v="728"/>
    <x v="2"/>
    <x v="0"/>
    <x v="0"/>
  </r>
  <r>
    <x v="49"/>
    <s v="ZTAN"/>
    <x v="8"/>
    <s v="SV2718"/>
    <s v="81417709"/>
    <s v="MAIPU"/>
    <x v="667"/>
    <x v="1"/>
    <x v="1"/>
    <x v="2"/>
    <x v="1"/>
    <n v="2"/>
    <n v="40475"/>
    <n v="14004"/>
    <n v="54479"/>
    <n v="15.56098257640674"/>
    <n v="5782"/>
    <n v="61"/>
    <x v="729"/>
    <x v="2"/>
    <x v="0"/>
    <x v="1"/>
  </r>
  <r>
    <x v="49"/>
    <s v="ZTAN"/>
    <x v="8"/>
    <s v="TP3884"/>
    <s v="99626232"/>
    <s v="PUDAHUEL"/>
    <x v="668"/>
    <x v="1"/>
    <x v="1"/>
    <x v="10"/>
    <x v="1"/>
    <n v="1"/>
    <n v="33750"/>
    <n v="12000"/>
    <n v="45750"/>
    <n v="22.043943336224341"/>
    <n v="4821"/>
    <n v="43"/>
    <x v="730"/>
    <x v="2"/>
    <x v="0"/>
    <x v="1"/>
  </r>
  <r>
    <x v="49"/>
    <s v="ZTAN"/>
    <x v="8"/>
    <s v="UA7248"/>
    <s v="107643206"/>
    <s v="LA REINA"/>
    <x v="665"/>
    <x v="1"/>
    <x v="1"/>
    <x v="11"/>
    <x v="1"/>
    <n v="3"/>
    <n v="48075"/>
    <n v="17004"/>
    <n v="65079"/>
    <n v="15.309103740296401"/>
    <n v="6868"/>
    <n v="62"/>
    <x v="731"/>
    <x v="2"/>
    <x v="0"/>
    <x v="1"/>
  </r>
  <r>
    <x v="49"/>
    <s v="ZTAN"/>
    <x v="8"/>
    <s v="XR6339"/>
    <s v="78907355"/>
    <s v="HUECHURABA"/>
    <x v="669"/>
    <x v="1"/>
    <x v="1"/>
    <x v="24"/>
    <x v="1"/>
    <n v="1"/>
    <n v="33750"/>
    <n v="12000"/>
    <n v="45750"/>
    <n v="40.666666666666664"/>
    <n v="4821"/>
    <n v="23"/>
    <x v="732"/>
    <x v="2"/>
    <x v="0"/>
    <x v="1"/>
  </r>
  <r>
    <x v="50"/>
    <s v="ZNL"/>
    <x v="0"/>
    <s v="BWPL69"/>
    <s v="78551976"/>
    <s v="TALCAHUANO"/>
    <x v="670"/>
    <x v="5"/>
    <x v="0"/>
    <x v="0"/>
    <x v="0"/>
    <n v="0"/>
    <n v="380000"/>
    <n v="0"/>
    <n v="380000"/>
    <n v="51.215698959512629"/>
    <n v="25000"/>
    <n v="30"/>
    <x v="733"/>
    <x v="2"/>
    <x v="0"/>
    <x v="0"/>
  </r>
  <r>
    <x v="50"/>
    <s v="ZPEP"/>
    <x v="5"/>
    <s v="BWPL69"/>
    <s v="78551976"/>
    <s v="SAN PEDRO DE LA PAZ"/>
    <x v="671"/>
    <x v="5"/>
    <x v="0"/>
    <x v="47"/>
    <x v="0"/>
    <n v="0"/>
    <n v="400000"/>
    <n v="0"/>
    <n v="400000"/>
    <n v="30.843254580223306"/>
    <n v="25000"/>
    <n v="52"/>
    <x v="734"/>
    <x v="2"/>
    <x v="0"/>
    <x v="0"/>
  </r>
  <r>
    <x v="50"/>
    <s v="ZPEP"/>
    <x v="27"/>
    <s v="GKRB84"/>
    <s v="122975819"/>
    <s v="CABRERO"/>
    <x v="672"/>
    <x v="5"/>
    <x v="0"/>
    <x v="39"/>
    <x v="0"/>
    <n v="0"/>
    <n v="390000"/>
    <n v="0"/>
    <n v="390000"/>
    <n v="38.509960749463083"/>
    <n v="25000"/>
    <n v="41"/>
    <x v="735"/>
    <x v="2"/>
    <x v="0"/>
    <x v="0"/>
  </r>
  <r>
    <x v="50"/>
    <s v="ZPEP"/>
    <x v="12"/>
    <s v="DJLF85"/>
    <s v="125108660"/>
    <s v="VITACURA"/>
    <x v="673"/>
    <x v="4"/>
    <x v="1"/>
    <x v="27"/>
    <x v="1"/>
    <n v="4"/>
    <n v="56075"/>
    <n v="19243.2"/>
    <n v="75318.2"/>
    <n v="11.742049139436267"/>
    <n v="8011"/>
    <n v="80"/>
    <x v="736"/>
    <x v="2"/>
    <x v="0"/>
    <x v="1"/>
  </r>
  <r>
    <x v="50"/>
    <s v="ZPEP"/>
    <x v="33"/>
    <s v="RK5135"/>
    <s v="138841065"/>
    <s v="SAN BERNARDO"/>
    <x v="674"/>
    <x v="3"/>
    <x v="1"/>
    <x v="4"/>
    <x v="1"/>
    <n v="4"/>
    <n v="67525"/>
    <n v="28939.110000000015"/>
    <n v="96464.110000000015"/>
    <n v="10.000042503034818"/>
    <n v="8011"/>
    <n v="100"/>
    <x v="737"/>
    <x v="2"/>
    <x v="0"/>
    <x v="1"/>
  </r>
  <r>
    <x v="50"/>
    <s v="ZPEP"/>
    <x v="33"/>
    <s v="WC2233"/>
    <s v="53173292"/>
    <s v="BUIN"/>
    <x v="675"/>
    <x v="4"/>
    <x v="1"/>
    <x v="56"/>
    <x v="1"/>
    <n v="5"/>
    <n v="90000"/>
    <n v="12102.51"/>
    <n v="102102.51"/>
    <n v="25.309421764576108"/>
    <n v="12000"/>
    <n v="34"/>
    <x v="738"/>
    <x v="2"/>
    <x v="0"/>
    <x v="1"/>
  </r>
  <r>
    <x v="50"/>
    <s v="ZPEP"/>
    <x v="33"/>
    <s v="XR6339"/>
    <s v="78907355"/>
    <s v="BUIN"/>
    <x v="676"/>
    <x v="1"/>
    <x v="1"/>
    <x v="56"/>
    <x v="1"/>
    <n v="5"/>
    <n v="90000"/>
    <n v="29797.48"/>
    <n v="119797.48"/>
    <n v="16.081558574751959"/>
    <n v="12000"/>
    <n v="62"/>
    <x v="739"/>
    <x v="2"/>
    <x v="0"/>
    <x v="1"/>
  </r>
  <r>
    <x v="50"/>
    <s v="ZTAN"/>
    <x v="24"/>
    <s v="HLBX77"/>
    <s v="16093509K"/>
    <s v="MACHALI"/>
    <x v="677"/>
    <x v="1"/>
    <x v="1"/>
    <x v="43"/>
    <x v="6"/>
    <n v="0"/>
    <n v="180000"/>
    <n v="34202.400000000016"/>
    <n v="214202.40000000002"/>
    <n v="25.051154304961045"/>
    <n v="25000"/>
    <n v="34"/>
    <x v="740"/>
    <x v="2"/>
    <x v="0"/>
    <x v="0"/>
  </r>
  <r>
    <x v="50"/>
    <s v="ZTAN"/>
    <x v="24"/>
    <s v="SU9354"/>
    <s v="72564391"/>
    <s v="MACHALI"/>
    <x v="678"/>
    <x v="2"/>
    <x v="1"/>
    <x v="43"/>
    <x v="6"/>
    <n v="0"/>
    <n v="180000"/>
    <n v="25651.799999999996"/>
    <n v="205651.8"/>
    <n v="24.051154304961059"/>
    <n v="25000"/>
    <n v="34"/>
    <x v="741"/>
    <x v="2"/>
    <x v="0"/>
    <x v="0"/>
  </r>
  <r>
    <x v="50"/>
    <s v="ZTAN"/>
    <x v="6"/>
    <s v="CJXX49"/>
    <s v="167832741"/>
    <s v="HUALPEN"/>
    <x v="679"/>
    <x v="5"/>
    <x v="0"/>
    <x v="44"/>
    <x v="0"/>
    <n v="0"/>
    <n v="400000"/>
    <n v="0"/>
    <n v="400000"/>
    <n v="46.921921921921907"/>
    <n v="25000"/>
    <n v="34"/>
    <x v="742"/>
    <x v="2"/>
    <x v="0"/>
    <x v="0"/>
  </r>
  <r>
    <x v="50"/>
    <s v="ZTAN"/>
    <x v="43"/>
    <s v="DJLF85"/>
    <s v="125108660"/>
    <s v="MELIPILLA"/>
    <x v="680"/>
    <x v="4"/>
    <x v="1"/>
    <x v="29"/>
    <x v="1"/>
    <n v="5"/>
    <n v="90000"/>
    <n v="21529.8"/>
    <n v="111529.8"/>
    <n v="15.540757461750692"/>
    <n v="12000"/>
    <n v="60"/>
    <x v="743"/>
    <x v="2"/>
    <x v="0"/>
    <x v="1"/>
  </r>
  <r>
    <x v="50"/>
    <s v="ZTAN"/>
    <x v="8"/>
    <s v="BDCH61"/>
    <s v="99626232"/>
    <s v="PUDAHUEL"/>
    <x v="681"/>
    <x v="1"/>
    <x v="1"/>
    <x v="10"/>
    <x v="1"/>
    <n v="1"/>
    <n v="33750"/>
    <n v="11554"/>
    <n v="45304"/>
    <n v="15.684808198310483"/>
    <n v="4821"/>
    <n v="60"/>
    <x v="744"/>
    <x v="2"/>
    <x v="0"/>
    <x v="1"/>
  </r>
  <r>
    <x v="50"/>
    <s v="ZTAN"/>
    <x v="8"/>
    <s v="SV2718"/>
    <s v="81417709"/>
    <s v="ÑUÑOA"/>
    <x v="668"/>
    <x v="1"/>
    <x v="1"/>
    <x v="15"/>
    <x v="1"/>
    <n v="4"/>
    <n v="56075"/>
    <n v="8302"/>
    <n v="64377"/>
    <n v="31.019080659150042"/>
    <n v="8011"/>
    <n v="26"/>
    <x v="745"/>
    <x v="2"/>
    <x v="0"/>
    <x v="1"/>
  </r>
  <r>
    <x v="50"/>
    <s v="ZTAN"/>
    <x v="8"/>
    <s v="UA7248"/>
    <s v="107643206"/>
    <s v="LAS CONDES"/>
    <x v="682"/>
    <x v="1"/>
    <x v="1"/>
    <x v="3"/>
    <x v="1"/>
    <n v="4"/>
    <n v="56075"/>
    <n v="8851"/>
    <n v="64926"/>
    <n v="29.34110629067245"/>
    <n v="8011"/>
    <n v="28"/>
    <x v="746"/>
    <x v="2"/>
    <x v="0"/>
    <x v="1"/>
  </r>
  <r>
    <x v="51"/>
    <s v="ZNL"/>
    <x v="0"/>
    <s v="RG6503"/>
    <s v="10519045K"/>
    <s v="TALCAHUANO"/>
    <x v="683"/>
    <x v="5"/>
    <x v="0"/>
    <x v="0"/>
    <x v="0"/>
    <n v="0"/>
    <n v="380000"/>
    <n v="0"/>
    <n v="380000"/>
    <n v="26.440300584469821"/>
    <n v="25000"/>
    <n v="57"/>
    <x v="747"/>
    <x v="2"/>
    <x v="0"/>
    <x v="0"/>
  </r>
  <r>
    <x v="51"/>
    <s v="ZPEP"/>
    <x v="3"/>
    <s v="SU5135"/>
    <s v="138841065"/>
    <s v="LAS CONDES"/>
    <x v="181"/>
    <x v="3"/>
    <x v="0"/>
    <x v="3"/>
    <x v="1"/>
    <n v="4"/>
    <n v="74184"/>
    <n v="31793.19"/>
    <n v="105977.19"/>
    <n v="9.9999896204187131"/>
    <n v="8011"/>
    <n v="100"/>
    <x v="748"/>
    <x v="2"/>
    <x v="0"/>
    <x v="1"/>
  </r>
  <r>
    <x v="51"/>
    <s v="ZPEP"/>
    <x v="5"/>
    <s v="CJFZ69"/>
    <s v="174967806"/>
    <s v="SAN PEDRO DE LA PAZ"/>
    <x v="684"/>
    <x v="5"/>
    <x v="0"/>
    <x v="47"/>
    <x v="0"/>
    <n v="0"/>
    <n v="400000"/>
    <n v="0"/>
    <n v="400000"/>
    <n v="69.363881186607898"/>
    <n v="25000"/>
    <n v="23"/>
    <x v="749"/>
    <x v="2"/>
    <x v="0"/>
    <x v="0"/>
  </r>
  <r>
    <x v="51"/>
    <s v="ZPEP"/>
    <x v="5"/>
    <s v="HLBX77"/>
    <s v="16093509K"/>
    <s v="LAMPA"/>
    <x v="685"/>
    <x v="1"/>
    <x v="1"/>
    <x v="17"/>
    <x v="1"/>
    <n v="5"/>
    <n v="70000"/>
    <n v="18700.84"/>
    <n v="88700.84"/>
    <n v="18.972589466569413"/>
    <n v="12000"/>
    <n v="39"/>
    <x v="750"/>
    <x v="2"/>
    <x v="0"/>
    <x v="1"/>
  </r>
  <r>
    <x v="51"/>
    <s v="ZPEP"/>
    <x v="2"/>
    <s v="PN4466"/>
    <s v="81417709"/>
    <s v="MAIPU"/>
    <x v="686"/>
    <x v="1"/>
    <x v="0"/>
    <x v="2"/>
    <x v="1"/>
    <n v="2"/>
    <n v="98437"/>
    <n v="56249.52"/>
    <n v="154686.51999999999"/>
    <n v="11.000024177984097"/>
    <n v="5782"/>
    <n v="100"/>
    <x v="751"/>
    <x v="2"/>
    <x v="0"/>
    <x v="1"/>
  </r>
  <r>
    <x v="51"/>
    <s v="ZPEP"/>
    <x v="2"/>
    <s v="XR6339"/>
    <s v="161268070"/>
    <s v="MAIPU"/>
    <x v="687"/>
    <x v="1"/>
    <x v="1"/>
    <x v="2"/>
    <x v="1"/>
    <n v="2"/>
    <n v="64074"/>
    <n v="36613.440000000002"/>
    <n v="100687.44"/>
    <n v="11.000052439759825"/>
    <n v="5782"/>
    <n v="100"/>
    <x v="752"/>
    <x v="2"/>
    <x v="0"/>
    <x v="1"/>
  </r>
  <r>
    <x v="51"/>
    <s v="ZPEP"/>
    <x v="18"/>
    <s v="SU9354"/>
    <s v="72564391"/>
    <s v="CARTAGENA"/>
    <x v="688"/>
    <x v="2"/>
    <x v="1"/>
    <x v="40"/>
    <x v="2"/>
    <n v="0"/>
    <n v="180000"/>
    <n v="24746.249999999993"/>
    <n v="204746.25"/>
    <n v="24.821488104258226"/>
    <n v="25000"/>
    <n v="33"/>
    <x v="753"/>
    <x v="2"/>
    <x v="0"/>
    <x v="0"/>
  </r>
  <r>
    <x v="51"/>
    <s v="ZPEP"/>
    <x v="12"/>
    <s v="HLBX77"/>
    <s v="16093509K"/>
    <s v="VITACURA"/>
    <x v="689"/>
    <x v="1"/>
    <x v="1"/>
    <x v="27"/>
    <x v="1"/>
    <n v="4"/>
    <n v="56075"/>
    <n v="29049.400000000005"/>
    <n v="85124.400000000009"/>
    <n v="11.721329872561912"/>
    <n v="8011"/>
    <n v="91"/>
    <x v="754"/>
    <x v="2"/>
    <x v="0"/>
    <x v="1"/>
  </r>
  <r>
    <x v="51"/>
    <s v="ZPEP"/>
    <x v="9"/>
    <s v="DP5738"/>
    <s v="35488103"/>
    <s v="SAN BERNARDO"/>
    <x v="690"/>
    <x v="7"/>
    <x v="1"/>
    <x v="4"/>
    <x v="1"/>
    <n v="4"/>
    <n v="56075"/>
    <n v="0"/>
    <n v="56075"/>
    <n v="18.691791278608523"/>
    <n v="8011"/>
    <n v="37"/>
    <x v="755"/>
    <x v="2"/>
    <x v="0"/>
    <x v="1"/>
  </r>
  <r>
    <x v="51"/>
    <s v="ZTAN"/>
    <x v="10"/>
    <s v="DJLF85"/>
    <s v="53173292"/>
    <s v="SANTIAGO"/>
    <x v="604"/>
    <x v="4"/>
    <x v="1"/>
    <x v="20"/>
    <x v="1"/>
    <n v="1"/>
    <n v="35868"/>
    <n v="15372"/>
    <n v="51240"/>
    <n v="9.9999999999999982"/>
    <n v="4821"/>
    <n v="100"/>
    <x v="756"/>
    <x v="2"/>
    <x v="0"/>
    <x v="1"/>
  </r>
  <r>
    <x v="51"/>
    <s v="ZTAN"/>
    <x v="10"/>
    <s v="RK5135"/>
    <s v="138841065"/>
    <s v="QUILICURA"/>
    <x v="691"/>
    <x v="3"/>
    <x v="1"/>
    <x v="8"/>
    <x v="1"/>
    <n v="1"/>
    <n v="37372"/>
    <n v="16016"/>
    <n v="53388"/>
    <n v="10.000000000000004"/>
    <n v="4821"/>
    <n v="100"/>
    <x v="757"/>
    <x v="2"/>
    <x v="0"/>
    <x v="1"/>
  </r>
  <r>
    <x v="51"/>
    <s v="ZTAN"/>
    <x v="10"/>
    <s v="SU9354"/>
    <s v="72564391"/>
    <s v="QUILICURA"/>
    <x v="692"/>
    <x v="2"/>
    <x v="1"/>
    <x v="8"/>
    <x v="1"/>
    <n v="1"/>
    <n v="44806"/>
    <n v="19202"/>
    <n v="64008"/>
    <n v="9.9999999999999982"/>
    <n v="4821"/>
    <n v="100"/>
    <x v="758"/>
    <x v="2"/>
    <x v="0"/>
    <x v="1"/>
  </r>
  <r>
    <x v="51"/>
    <s v="ZTAN"/>
    <x v="10"/>
    <s v="TP3884"/>
    <s v="78907355"/>
    <s v="SANTIAGO"/>
    <x v="604"/>
    <x v="1"/>
    <x v="1"/>
    <x v="20"/>
    <x v="1"/>
    <n v="1"/>
    <n v="35868"/>
    <n v="20496"/>
    <n v="56364"/>
    <n v="10.999999999999998"/>
    <n v="4821"/>
    <n v="100"/>
    <x v="759"/>
    <x v="2"/>
    <x v="0"/>
    <x v="1"/>
  </r>
  <r>
    <x v="51"/>
    <s v="ZTAN"/>
    <x v="10"/>
    <s v="WC2233"/>
    <s v="125108660"/>
    <s v="SANTIAGO"/>
    <x v="693"/>
    <x v="4"/>
    <x v="1"/>
    <x v="20"/>
    <x v="1"/>
    <n v="1"/>
    <n v="58993"/>
    <n v="25283"/>
    <n v="84276"/>
    <n v="10.000000000000002"/>
    <n v="4821"/>
    <n v="100"/>
    <x v="760"/>
    <x v="2"/>
    <x v="0"/>
    <x v="1"/>
  </r>
  <r>
    <x v="51"/>
    <s v="ZTAN"/>
    <x v="10"/>
    <s v="WC2233"/>
    <s v="53173292"/>
    <s v="QUILICURA"/>
    <x v="694"/>
    <x v="4"/>
    <x v="1"/>
    <x v="8"/>
    <x v="1"/>
    <n v="1"/>
    <n v="49795"/>
    <n v="21341"/>
    <n v="71136"/>
    <n v="9.9999999999999964"/>
    <n v="4821"/>
    <n v="100"/>
    <x v="761"/>
    <x v="2"/>
    <x v="0"/>
    <x v="1"/>
  </r>
  <r>
    <x v="51"/>
    <s v="ZTAN"/>
    <x v="6"/>
    <s v="RK5135"/>
    <s v="138841065"/>
    <s v="LA DEHESA"/>
    <x v="694"/>
    <x v="3"/>
    <x v="1"/>
    <x v="41"/>
    <x v="1"/>
    <n v="4"/>
    <n v="56075"/>
    <n v="0"/>
    <n v="56075"/>
    <n v="7.8827878992352653"/>
    <n v="8011"/>
    <n v="89"/>
    <x v="762"/>
    <x v="2"/>
    <x v="0"/>
    <x v="1"/>
  </r>
  <r>
    <x v="51"/>
    <s v="ZTAN"/>
    <x v="8"/>
    <s v="BDCH61"/>
    <s v="107643206"/>
    <s v="CERRILLOS"/>
    <x v="695"/>
    <x v="1"/>
    <x v="1"/>
    <x v="9"/>
    <x v="1"/>
    <n v="2"/>
    <n v="40475"/>
    <n v="12000"/>
    <n v="52475"/>
    <n v="21.414871041462618"/>
    <n v="5782"/>
    <n v="42"/>
    <x v="763"/>
    <x v="2"/>
    <x v="0"/>
    <x v="1"/>
  </r>
  <r>
    <x v="51"/>
    <s v="ZTAN"/>
    <x v="8"/>
    <s v="DP5738"/>
    <s v="35488103"/>
    <s v="QUILICURA"/>
    <x v="637"/>
    <x v="7"/>
    <x v="1"/>
    <x v="8"/>
    <x v="1"/>
    <n v="1"/>
    <n v="33750"/>
    <n v="0"/>
    <n v="33750"/>
    <n v="31.025923883066742"/>
    <n v="4821"/>
    <n v="23"/>
    <x v="764"/>
    <x v="2"/>
    <x v="0"/>
    <x v="1"/>
  </r>
  <r>
    <x v="51"/>
    <s v="ZTAN"/>
    <x v="8"/>
    <s v="SV2718"/>
    <s v="78907355"/>
    <s v="LAS CONDES"/>
    <x v="637"/>
    <x v="1"/>
    <x v="1"/>
    <x v="3"/>
    <x v="1"/>
    <n v="4"/>
    <n v="56075"/>
    <n v="12000"/>
    <n v="68075"/>
    <n v="62.580437580437582"/>
    <n v="8011"/>
    <n v="14"/>
    <x v="765"/>
    <x v="2"/>
    <x v="0"/>
    <x v="1"/>
  </r>
  <r>
    <x v="51"/>
    <s v="ZTAN"/>
    <x v="8"/>
    <s v="TP3884"/>
    <s v="161268070"/>
    <s v="PUDAHUEL"/>
    <x v="696"/>
    <x v="1"/>
    <x v="1"/>
    <x v="10"/>
    <x v="1"/>
    <n v="1"/>
    <n v="33750"/>
    <n v="13500"/>
    <n v="47250"/>
    <n v="14"/>
    <n v="4821"/>
    <n v="70"/>
    <x v="766"/>
    <x v="2"/>
    <x v="0"/>
    <x v="1"/>
  </r>
  <r>
    <x v="51"/>
    <s v="ZTAN"/>
    <x v="8"/>
    <s v="UA7248"/>
    <s v="99626232"/>
    <s v="SAN BERNARDO"/>
    <x v="695"/>
    <x v="1"/>
    <x v="1"/>
    <x v="4"/>
    <x v="1"/>
    <n v="4"/>
    <n v="56075"/>
    <n v="12000"/>
    <n v="68075"/>
    <n v="27.781178583088476"/>
    <n v="8011"/>
    <n v="31"/>
    <x v="767"/>
    <x v="2"/>
    <x v="0"/>
    <x v="1"/>
  </r>
  <r>
    <x v="52"/>
    <s v="ZPEP"/>
    <x v="3"/>
    <s v="WC2233"/>
    <s v="53173292"/>
    <s v="LAS CONDES"/>
    <x v="697"/>
    <x v="4"/>
    <x v="1"/>
    <x v="3"/>
    <x v="1"/>
    <n v="4"/>
    <n v="56075"/>
    <n v="12216.51"/>
    <n v="68291.509999999995"/>
    <n v="16.770299373552675"/>
    <n v="8011"/>
    <n v="51"/>
    <x v="768"/>
    <x v="2"/>
    <x v="0"/>
    <x v="1"/>
  </r>
  <r>
    <x v="52"/>
    <s v="ZPEP"/>
    <x v="11"/>
    <s v="HLBX77"/>
    <s v="16093509K"/>
    <s v="PADRE HURTADO"/>
    <x v="698"/>
    <x v="1"/>
    <x v="1"/>
    <x v="26"/>
    <x v="1"/>
    <n v="5"/>
    <n v="70000"/>
    <n v="26300"/>
    <n v="96300"/>
    <n v="14.64638783269962"/>
    <n v="12000"/>
    <n v="55"/>
    <x v="769"/>
    <x v="2"/>
    <x v="0"/>
    <x v="1"/>
  </r>
  <r>
    <x v="52"/>
    <s v="ZPEP"/>
    <x v="2"/>
    <s v="BWHV44"/>
    <s v="100552922"/>
    <s v="COQUIMBO"/>
    <x v="699"/>
    <x v="0"/>
    <x v="0"/>
    <x v="42"/>
    <x v="8"/>
    <n v="0"/>
    <n v="600000"/>
    <n v="0"/>
    <n v="600000"/>
    <n v="74.730503123112257"/>
    <n v="25000"/>
    <n v="32"/>
    <x v="770"/>
    <x v="2"/>
    <x v="0"/>
    <x v="0"/>
  </r>
  <r>
    <x v="52"/>
    <s v="ZPEP"/>
    <x v="42"/>
    <s v="XR6339"/>
    <s v="161268070"/>
    <s v="QUINTA NORMAL"/>
    <x v="700"/>
    <x v="1"/>
    <x v="1"/>
    <x v="62"/>
    <x v="1"/>
    <n v="1"/>
    <n v="33750"/>
    <n v="14193.200000000004"/>
    <n v="47943.200000000004"/>
    <n v="13.511597102837976"/>
    <n v="4821"/>
    <n v="74"/>
    <x v="771"/>
    <x v="2"/>
    <x v="0"/>
    <x v="1"/>
  </r>
  <r>
    <x v="52"/>
    <s v="ZPEP"/>
    <x v="8"/>
    <s v="SU9354"/>
    <s v="72564391"/>
    <s v="RENCA"/>
    <x v="701"/>
    <x v="2"/>
    <x v="1"/>
    <x v="7"/>
    <x v="1"/>
    <n v="1"/>
    <n v="33750"/>
    <n v="7921"/>
    <n v="41671"/>
    <n v="15.78225778962797"/>
    <n v="4821"/>
    <n v="55"/>
    <x v="772"/>
    <x v="2"/>
    <x v="0"/>
    <x v="1"/>
  </r>
  <r>
    <x v="52"/>
    <s v="ZTAN"/>
    <x v="12"/>
    <s v="DLLF85"/>
    <s v="125108660"/>
    <s v="VITACURA"/>
    <x v="702"/>
    <x v="0"/>
    <x v="0"/>
    <x v="27"/>
    <x v="1"/>
    <n v="4"/>
    <n v="78372"/>
    <n v="0"/>
    <n v="78372"/>
    <n v="7.000037513598679"/>
    <n v="8011"/>
    <n v="100"/>
    <x v="773"/>
    <x v="2"/>
    <x v="0"/>
    <x v="1"/>
  </r>
  <r>
    <x v="52"/>
    <s v="ZTAN"/>
    <x v="12"/>
    <s v="RK5135"/>
    <s v="138841065"/>
    <s v="VITACURA"/>
    <x v="703"/>
    <x v="3"/>
    <x v="1"/>
    <x v="27"/>
    <x v="1"/>
    <n v="4"/>
    <n v="75802"/>
    <n v="32486.58"/>
    <n v="108288.58"/>
    <n v="9.9999981530835189"/>
    <n v="8011"/>
    <n v="100"/>
    <x v="774"/>
    <x v="2"/>
    <x v="0"/>
    <x v="1"/>
  </r>
  <r>
    <x v="52"/>
    <s v="ZTAN"/>
    <x v="6"/>
    <s v="GKRB84"/>
    <s v="122975819"/>
    <s v="OSORNO"/>
    <x v="704"/>
    <x v="5"/>
    <x v="0"/>
    <x v="64"/>
    <x v="10"/>
    <n v="0"/>
    <n v="900000"/>
    <n v="0"/>
    <n v="900000"/>
    <n v="49.9395176952358"/>
    <n v="25000"/>
    <n v="72"/>
    <x v="775"/>
    <x v="2"/>
    <x v="0"/>
    <x v="0"/>
  </r>
  <r>
    <x v="52"/>
    <s v="ZTAN"/>
    <x v="7"/>
    <s v="YP6892"/>
    <s v="124157498"/>
    <s v="YUNGAY"/>
    <x v="705"/>
    <x v="0"/>
    <x v="0"/>
    <x v="65"/>
    <x v="5"/>
    <n v="0"/>
    <n v="350000"/>
    <n v="0"/>
    <n v="350000"/>
    <n v="34.149006751746477"/>
    <n v="25000"/>
    <n v="41"/>
    <x v="776"/>
    <x v="2"/>
    <x v="0"/>
    <x v="0"/>
  </r>
  <r>
    <x v="52"/>
    <s v="ZTAN"/>
    <x v="8"/>
    <s v="BDCH61"/>
    <s v="99626232"/>
    <s v="ÑUÑOA"/>
    <x v="706"/>
    <x v="1"/>
    <x v="1"/>
    <x v="15"/>
    <x v="1"/>
    <n v="4"/>
    <n v="56075"/>
    <n v="16202"/>
    <n v="72277"/>
    <n v="17.843529353676001"/>
    <n v="8011"/>
    <n v="51"/>
    <x v="777"/>
    <x v="2"/>
    <x v="0"/>
    <x v="1"/>
  </r>
  <r>
    <x v="52"/>
    <s v="ZTAN"/>
    <x v="8"/>
    <s v="DP5738"/>
    <s v="35488103"/>
    <s v="EL BOSQUE"/>
    <x v="378"/>
    <x v="7"/>
    <x v="1"/>
    <x v="25"/>
    <x v="1"/>
    <n v="3"/>
    <n v="48075"/>
    <n v="0"/>
    <n v="48075"/>
    <n v="24.816745818707414"/>
    <n v="6868"/>
    <n v="28"/>
    <x v="778"/>
    <x v="2"/>
    <x v="0"/>
    <x v="1"/>
  </r>
  <r>
    <x v="52"/>
    <s v="ZTAN"/>
    <x v="8"/>
    <s v="HLBX77"/>
    <s v="16093509K"/>
    <s v="PUDAHUEL"/>
    <x v="707"/>
    <x v="1"/>
    <x v="1"/>
    <x v="10"/>
    <x v="1"/>
    <n v="1"/>
    <n v="46480"/>
    <n v="26560"/>
    <n v="73040"/>
    <n v="11"/>
    <n v="4821"/>
    <n v="100"/>
    <x v="779"/>
    <x v="2"/>
    <x v="0"/>
    <x v="1"/>
  </r>
  <r>
    <x v="52"/>
    <s v="ZTAN"/>
    <x v="8"/>
    <s v="SU9354"/>
    <s v="72564391"/>
    <s v="MAIPU"/>
    <x v="708"/>
    <x v="2"/>
    <x v="1"/>
    <x v="2"/>
    <x v="1"/>
    <n v="2"/>
    <n v="40475"/>
    <n v="15369"/>
    <n v="55844"/>
    <n v="10.900644153816124"/>
    <n v="5782"/>
    <n v="89"/>
    <x v="780"/>
    <x v="2"/>
    <x v="0"/>
    <x v="1"/>
  </r>
  <r>
    <x v="52"/>
    <s v="ZTAN"/>
    <x v="8"/>
    <s v="SV2718"/>
    <s v="81417709"/>
    <s v="CERRILLOS"/>
    <x v="709"/>
    <x v="1"/>
    <x v="1"/>
    <x v="9"/>
    <x v="1"/>
    <n v="2"/>
    <n v="40475"/>
    <n v="12000"/>
    <n v="52475"/>
    <n v="23.069990327969755"/>
    <n v="5782"/>
    <n v="39"/>
    <x v="781"/>
    <x v="2"/>
    <x v="0"/>
    <x v="1"/>
  </r>
  <r>
    <x v="52"/>
    <s v="ZTAN"/>
    <x v="8"/>
    <s v="TP3884"/>
    <s v="78907355"/>
    <s v="LA REINA"/>
    <x v="710"/>
    <x v="1"/>
    <x v="1"/>
    <x v="11"/>
    <x v="1"/>
    <n v="3"/>
    <n v="48075"/>
    <n v="22454"/>
    <n v="70529"/>
    <n v="12.563951831266925"/>
    <n v="6868"/>
    <n v="82"/>
    <x v="782"/>
    <x v="2"/>
    <x v="0"/>
    <x v="1"/>
  </r>
  <r>
    <x v="52"/>
    <s v="ZTAN"/>
    <x v="8"/>
    <s v="UA7248"/>
    <s v="107643206"/>
    <s v="SANTIAGO"/>
    <x v="471"/>
    <x v="1"/>
    <x v="1"/>
    <x v="20"/>
    <x v="1"/>
    <n v="1"/>
    <n v="33750"/>
    <n v="12000"/>
    <n v="45750"/>
    <n v="20.322494669509595"/>
    <n v="4821"/>
    <n v="47"/>
    <x v="783"/>
    <x v="2"/>
    <x v="0"/>
    <x v="1"/>
  </r>
  <r>
    <x v="52"/>
    <s v="ZTAN"/>
    <x v="8"/>
    <s v="XR6339"/>
    <s v="78907355"/>
    <s v="ÑUÑOA"/>
    <x v="107"/>
    <x v="1"/>
    <x v="1"/>
    <x v="15"/>
    <x v="1"/>
    <n v="4"/>
    <n v="56075"/>
    <n v="12000"/>
    <n v="68075"/>
    <n v="36.298922896448758"/>
    <n v="8011"/>
    <n v="23"/>
    <x v="784"/>
    <x v="2"/>
    <x v="0"/>
    <x v="1"/>
  </r>
  <r>
    <x v="53"/>
    <s v="ZPEP"/>
    <x v="3"/>
    <s v="RK5135"/>
    <s v="138841065"/>
    <s v="LAS CONDES"/>
    <x v="182"/>
    <x v="3"/>
    <x v="1"/>
    <x v="3"/>
    <x v="1"/>
    <n v="4"/>
    <n v="58621"/>
    <n v="0"/>
    <n v="58621"/>
    <n v="6.999998805888878"/>
    <n v="8011"/>
    <n v="100"/>
    <x v="785"/>
    <x v="2"/>
    <x v="0"/>
    <x v="1"/>
  </r>
  <r>
    <x v="53"/>
    <s v="ZPEP"/>
    <x v="1"/>
    <s v="PN4466"/>
    <s v="81417709"/>
    <s v="ISLA DE MAIPO"/>
    <x v="711"/>
    <x v="1"/>
    <x v="0"/>
    <x v="1"/>
    <x v="1"/>
    <n v="5"/>
    <n v="120000"/>
    <n v="68020.399999999994"/>
    <n v="188020.4"/>
    <n v="11.056706517456528"/>
    <n v="12000"/>
    <n v="100"/>
    <x v="786"/>
    <x v="2"/>
    <x v="0"/>
    <x v="1"/>
  </r>
  <r>
    <x v="53"/>
    <s v="ZPEP"/>
    <x v="5"/>
    <s v="DFKP16"/>
    <s v="125389473"/>
    <s v="SAN PEDRO DE LA PAZ"/>
    <x v="712"/>
    <x v="0"/>
    <x v="0"/>
    <x v="47"/>
    <x v="0"/>
    <n v="0"/>
    <n v="380000"/>
    <n v="0"/>
    <n v="380000"/>
    <n v="60.240486362663596"/>
    <n v="25000"/>
    <n v="25"/>
    <x v="787"/>
    <x v="2"/>
    <x v="0"/>
    <x v="0"/>
  </r>
  <r>
    <x v="53"/>
    <s v="ZPEP"/>
    <x v="2"/>
    <s v="DJLF85"/>
    <s v="53173292"/>
    <s v="MAIPU"/>
    <x v="713"/>
    <x v="4"/>
    <x v="1"/>
    <x v="2"/>
    <x v="1"/>
    <n v="2"/>
    <n v="63564"/>
    <n v="27241.919999999998"/>
    <n v="90805.92"/>
    <n v="9.999947140289672"/>
    <n v="5782"/>
    <n v="100"/>
    <x v="788"/>
    <x v="2"/>
    <x v="0"/>
    <x v="1"/>
  </r>
  <r>
    <x v="53"/>
    <s v="ZPEP"/>
    <x v="2"/>
    <s v="DJLF85"/>
    <s v="53173294"/>
    <s v="MAIPU"/>
    <x v="714"/>
    <x v="4"/>
    <x v="1"/>
    <x v="2"/>
    <x v="1"/>
    <n v="2"/>
    <n v="40918"/>
    <n v="17536.080000000002"/>
    <n v="58454.080000000002"/>
    <n v="10.000082116413703"/>
    <n v="5782"/>
    <n v="100"/>
    <x v="789"/>
    <x v="2"/>
    <x v="0"/>
    <x v="1"/>
  </r>
  <r>
    <x v="53"/>
    <s v="ZPEP"/>
    <x v="2"/>
    <s v="WC2233"/>
    <s v="125108660"/>
    <s v="MAIPU"/>
    <x v="715"/>
    <x v="4"/>
    <x v="1"/>
    <x v="2"/>
    <x v="1"/>
    <n v="2"/>
    <n v="42798"/>
    <n v="18341.910000000003"/>
    <n v="61139.91"/>
    <n v="10.000034347567945"/>
    <n v="5782"/>
    <n v="100"/>
    <x v="790"/>
    <x v="2"/>
    <x v="0"/>
    <x v="1"/>
  </r>
  <r>
    <x v="53"/>
    <s v="ZPEP"/>
    <x v="18"/>
    <s v="SU9354"/>
    <s v="72564391"/>
    <s v="CARTAGENA"/>
    <x v="716"/>
    <x v="2"/>
    <x v="1"/>
    <x v="40"/>
    <x v="2"/>
    <n v="0"/>
    <n v="180000"/>
    <n v="4805.58"/>
    <n v="184805.58"/>
    <n v="115.36937060666975"/>
    <n v="25000"/>
    <n v="6"/>
    <x v="791"/>
    <x v="2"/>
    <x v="0"/>
    <x v="0"/>
  </r>
  <r>
    <x v="53"/>
    <s v="ZPEP"/>
    <x v="33"/>
    <s v="HLBX77"/>
    <s v="16093509K"/>
    <s v="SAN BERNARDO"/>
    <x v="717"/>
    <x v="1"/>
    <x v="1"/>
    <x v="4"/>
    <x v="1"/>
    <n v="4"/>
    <n v="56075"/>
    <n v="17383.560000000001"/>
    <n v="73458.559999999998"/>
    <n v="16.902995703986985"/>
    <n v="8011"/>
    <n v="54"/>
    <x v="792"/>
    <x v="2"/>
    <x v="0"/>
    <x v="1"/>
  </r>
  <r>
    <x v="53"/>
    <s v="ZPEP"/>
    <x v="33"/>
    <s v="XR6339"/>
    <s v="161268070"/>
    <s v="SAN BERNARDO"/>
    <x v="718"/>
    <x v="1"/>
    <x v="1"/>
    <x v="4"/>
    <x v="1"/>
    <n v="4"/>
    <n v="56075"/>
    <n v="21996.959999999999"/>
    <n v="78071.959999999992"/>
    <n v="14.19686356660193"/>
    <n v="8011"/>
    <n v="69"/>
    <x v="793"/>
    <x v="2"/>
    <x v="0"/>
    <x v="1"/>
  </r>
  <r>
    <x v="53"/>
    <s v="ZTAN"/>
    <x v="10"/>
    <s v="RK5135"/>
    <s v="138841065"/>
    <s v="SANTIAGO"/>
    <x v="719"/>
    <x v="3"/>
    <x v="1"/>
    <x v="20"/>
    <x v="1"/>
    <n v="1"/>
    <n v="33750"/>
    <n v="6339"/>
    <n v="40089"/>
    <n v="18.97255087553242"/>
    <n v="4821"/>
    <n v="44"/>
    <x v="794"/>
    <x v="2"/>
    <x v="0"/>
    <x v="1"/>
  </r>
  <r>
    <x v="53"/>
    <s v="ZTAN"/>
    <x v="6"/>
    <s v="NK5991"/>
    <s v="78778555"/>
    <s v="ANTOFAGASTA"/>
    <x v="720"/>
    <x v="0"/>
    <x v="0"/>
    <x v="49"/>
    <x v="7"/>
    <n v="0"/>
    <n v="1400000"/>
    <n v="0"/>
    <n v="1400000"/>
    <n v="136.68911622675554"/>
    <n v="25000"/>
    <n v="41"/>
    <x v="795"/>
    <x v="2"/>
    <x v="0"/>
    <x v="0"/>
  </r>
  <r>
    <x v="53"/>
    <s v="ZTAN"/>
    <x v="44"/>
    <s v="DP5738"/>
    <s v="35488103"/>
    <s v="LAS CONDES"/>
    <x v="22"/>
    <x v="7"/>
    <x v="1"/>
    <x v="3"/>
    <x v="1"/>
    <n v="4"/>
    <n v="56075"/>
    <n v="0"/>
    <n v="56075"/>
    <n v="10.992511565906062"/>
    <n v="8011"/>
    <n v="64"/>
    <x v="796"/>
    <x v="2"/>
    <x v="0"/>
    <x v="1"/>
  </r>
  <r>
    <x v="53"/>
    <s v="ZTAN"/>
    <x v="7"/>
    <s v="KKPF51"/>
    <s v="95707734"/>
    <s v="CHILLAN"/>
    <x v="721"/>
    <x v="8"/>
    <x v="0"/>
    <x v="21"/>
    <x v="5"/>
    <n v="0"/>
    <n v="350000"/>
    <n v="0"/>
    <n v="350000"/>
    <n v="22.393407380867089"/>
    <n v="25000"/>
    <n v="63"/>
    <x v="797"/>
    <x v="2"/>
    <x v="0"/>
    <x v="0"/>
  </r>
  <r>
    <x v="53"/>
    <s v="ZTAN"/>
    <x v="8"/>
    <s v="BDCH61"/>
    <s v="78907355"/>
    <s v="LA FLORIDA"/>
    <x v="613"/>
    <x v="1"/>
    <x v="1"/>
    <x v="33"/>
    <x v="1"/>
    <n v="3"/>
    <n v="48075"/>
    <n v="6802"/>
    <n v="54877"/>
    <n v="32.27299458950835"/>
    <n v="6868"/>
    <n v="25"/>
    <x v="798"/>
    <x v="2"/>
    <x v="0"/>
    <x v="1"/>
  </r>
  <r>
    <x v="53"/>
    <s v="ZTAN"/>
    <x v="8"/>
    <s v="DJHL"/>
    <s v="53173292"/>
    <s v="SAN MIGUEL"/>
    <x v="722"/>
    <x v="0"/>
    <x v="0"/>
    <x v="23"/>
    <x v="1"/>
    <n v="2"/>
    <n v="40475"/>
    <n v="10469"/>
    <n v="50944"/>
    <n v="14.597971230443004"/>
    <n v="5782"/>
    <n v="60"/>
    <x v="799"/>
    <x v="2"/>
    <x v="0"/>
    <x v="1"/>
  </r>
  <r>
    <x v="53"/>
    <s v="ZTAN"/>
    <x v="8"/>
    <s v="SV2718"/>
    <s v="81417709"/>
    <s v="LAS CONDES"/>
    <x v="723"/>
    <x v="1"/>
    <x v="1"/>
    <x v="3"/>
    <x v="1"/>
    <n v="4"/>
    <n v="56075"/>
    <n v="12000"/>
    <n v="68075"/>
    <n v="41.820248187738052"/>
    <n v="8011"/>
    <n v="20"/>
    <x v="800"/>
    <x v="2"/>
    <x v="0"/>
    <x v="1"/>
  </r>
  <r>
    <x v="53"/>
    <s v="ZTAN"/>
    <x v="8"/>
    <s v="TP3884"/>
    <s v="99626232"/>
    <s v="PUDAHUEL"/>
    <x v="724"/>
    <x v="1"/>
    <x v="1"/>
    <x v="10"/>
    <x v="1"/>
    <n v="1"/>
    <n v="53589"/>
    <n v="30622"/>
    <n v="84211"/>
    <n v="10.999921625999267"/>
    <n v="4821"/>
    <n v="100"/>
    <x v="801"/>
    <x v="2"/>
    <x v="0"/>
    <x v="1"/>
  </r>
  <r>
    <x v="53"/>
    <s v="ZTAN"/>
    <x v="8"/>
    <s v="UA7248"/>
    <s v="107643206"/>
    <s v="PUENTE ALTO"/>
    <x v="725"/>
    <x v="1"/>
    <x v="1"/>
    <x v="30"/>
    <x v="1"/>
    <n v="4"/>
    <n v="56075"/>
    <n v="12000"/>
    <n v="68075"/>
    <n v="38.043478260869563"/>
    <n v="8011"/>
    <n v="22"/>
    <x v="802"/>
    <x v="2"/>
    <x v="0"/>
    <x v="1"/>
  </r>
  <r>
    <x v="53"/>
    <s v="ZTAN"/>
    <x v="8"/>
    <s v="WC2233"/>
    <s v="125108660"/>
    <s v="LA REINA"/>
    <x v="726"/>
    <x v="4"/>
    <x v="1"/>
    <x v="11"/>
    <x v="1"/>
    <n v="3"/>
    <n v="48075"/>
    <n v="7206"/>
    <n v="55281"/>
    <n v="23.014571190674438"/>
    <n v="6868"/>
    <n v="35"/>
    <x v="803"/>
    <x v="2"/>
    <x v="0"/>
    <x v="1"/>
  </r>
  <r>
    <x v="54"/>
    <s v="ZNL"/>
    <x v="0"/>
    <s v="RG6503"/>
    <s v="10519045K"/>
    <s v="TALCAHUANO"/>
    <x v="451"/>
    <x v="5"/>
    <x v="0"/>
    <x v="0"/>
    <x v="0"/>
    <n v="0"/>
    <n v="380000"/>
    <n v="0"/>
    <n v="380000"/>
    <n v="25.978287620662329"/>
    <n v="25000"/>
    <n v="59"/>
    <x v="804"/>
    <x v="2"/>
    <x v="0"/>
    <x v="0"/>
  </r>
  <r>
    <x v="54"/>
    <s v="ZPEP"/>
    <x v="1"/>
    <s v="SU9354"/>
    <s v="72564391"/>
    <s v="ISLA DE MAIPO"/>
    <x v="727"/>
    <x v="2"/>
    <x v="1"/>
    <x v="1"/>
    <x v="1"/>
    <n v="5"/>
    <n v="90000"/>
    <n v="26217.269999999997"/>
    <n v="116217.26999999999"/>
    <n v="13.298555112717686"/>
    <n v="12000"/>
    <n v="73"/>
    <x v="805"/>
    <x v="2"/>
    <x v="0"/>
    <x v="1"/>
  </r>
  <r>
    <x v="54"/>
    <s v="ZPEP"/>
    <x v="2"/>
    <s v="HLBX77"/>
    <s v="16093509K"/>
    <s v="MAIPU"/>
    <x v="728"/>
    <x v="1"/>
    <x v="1"/>
    <x v="2"/>
    <x v="1"/>
    <n v="2"/>
    <n v="99619"/>
    <n v="56925.279999999999"/>
    <n v="156544.28"/>
    <n v="10.999983135787826"/>
    <n v="5782"/>
    <n v="100"/>
    <x v="806"/>
    <x v="2"/>
    <x v="0"/>
    <x v="1"/>
  </r>
  <r>
    <x v="54"/>
    <s v="ZPEP"/>
    <x v="8"/>
    <s v="PN4466"/>
    <s v="1472861164"/>
    <s v="RENCA"/>
    <x v="729"/>
    <x v="1"/>
    <x v="0"/>
    <x v="7"/>
    <x v="1"/>
    <n v="1"/>
    <n v="73418"/>
    <n v="41953"/>
    <n v="115371"/>
    <n v="11.000013348257957"/>
    <n v="4821"/>
    <n v="100"/>
    <x v="807"/>
    <x v="2"/>
    <x v="0"/>
    <x v="1"/>
  </r>
  <r>
    <x v="54"/>
    <s v="ZPEP"/>
    <x v="33"/>
    <s v="DJLF85"/>
    <s v="531073292"/>
    <s v="SAN BERNARDO"/>
    <x v="730"/>
    <x v="4"/>
    <x v="1"/>
    <x v="4"/>
    <x v="1"/>
    <n v="4"/>
    <n v="56075"/>
    <n v="12531.93"/>
    <n v="68606.929999999993"/>
    <n v="16.423710473965301"/>
    <n v="8011"/>
    <n v="52"/>
    <x v="808"/>
    <x v="2"/>
    <x v="0"/>
    <x v="1"/>
  </r>
  <r>
    <x v="54"/>
    <s v="ZPEP"/>
    <x v="33"/>
    <s v="XR6339"/>
    <s v="161268070"/>
    <s v="SAN BERNARDO"/>
    <x v="731"/>
    <x v="1"/>
    <x v="1"/>
    <x v="4"/>
    <x v="1"/>
    <n v="4"/>
    <n v="56075"/>
    <n v="19878.2"/>
    <n v="75953.2"/>
    <n v="15.283717841655681"/>
    <n v="8011"/>
    <n v="62"/>
    <x v="809"/>
    <x v="2"/>
    <x v="0"/>
    <x v="1"/>
  </r>
  <r>
    <x v="54"/>
    <s v="ZTAN"/>
    <x v="12"/>
    <s v="WC2233"/>
    <s v="125108660"/>
    <s v="VITACURA"/>
    <x v="732"/>
    <x v="4"/>
    <x v="1"/>
    <x v="27"/>
    <x v="1"/>
    <n v="4"/>
    <n v="69996"/>
    <n v="39997.439999999988"/>
    <n v="109993.43999999999"/>
    <n v="11.000048003072198"/>
    <n v="8011"/>
    <n v="100"/>
    <x v="810"/>
    <x v="2"/>
    <x v="0"/>
    <x v="1"/>
  </r>
  <r>
    <x v="54"/>
    <s v="ZTAN"/>
    <x v="10"/>
    <s v="RK5135"/>
    <s v="138841065"/>
    <s v="QUILICURA"/>
    <x v="733"/>
    <x v="3"/>
    <x v="1"/>
    <x v="8"/>
    <x v="1"/>
    <n v="1"/>
    <n v="55854"/>
    <n v="23938"/>
    <n v="79792"/>
    <n v="10.000000000000002"/>
    <n v="4821"/>
    <n v="100"/>
    <x v="811"/>
    <x v="2"/>
    <x v="0"/>
    <x v="1"/>
  </r>
  <r>
    <x v="54"/>
    <s v="ZTAN"/>
    <x v="10"/>
    <s v="SU9354"/>
    <s v="72564391"/>
    <s v="QUILICURA"/>
    <x v="234"/>
    <x v="2"/>
    <x v="1"/>
    <x v="8"/>
    <x v="1"/>
    <n v="1"/>
    <n v="63034"/>
    <n v="27014"/>
    <n v="90048"/>
    <n v="10.000000000000004"/>
    <n v="4821"/>
    <n v="100"/>
    <x v="812"/>
    <x v="2"/>
    <x v="0"/>
    <x v="1"/>
  </r>
  <r>
    <x v="54"/>
    <s v="ZTAN"/>
    <x v="10"/>
    <s v="TP3884"/>
    <s v="78907355"/>
    <s v="QUILICURA"/>
    <x v="734"/>
    <x v="1"/>
    <x v="1"/>
    <x v="8"/>
    <x v="1"/>
    <n v="1"/>
    <n v="35868"/>
    <n v="20496"/>
    <n v="56364"/>
    <n v="10.999999999999996"/>
    <n v="4821"/>
    <n v="100"/>
    <x v="813"/>
    <x v="2"/>
    <x v="0"/>
    <x v="1"/>
  </r>
  <r>
    <x v="54"/>
    <s v="ZTAN"/>
    <x v="10"/>
    <s v="WC2233"/>
    <s v="125108660"/>
    <s v="QUILICURA"/>
    <x v="735"/>
    <x v="4"/>
    <x v="1"/>
    <x v="8"/>
    <x v="1"/>
    <n v="1"/>
    <n v="44204"/>
    <n v="18944"/>
    <n v="63148"/>
    <n v="10"/>
    <n v="4821"/>
    <n v="100"/>
    <x v="814"/>
    <x v="2"/>
    <x v="0"/>
    <x v="1"/>
  </r>
  <r>
    <x v="54"/>
    <s v="ZTAN"/>
    <x v="6"/>
    <s v="HLBX77"/>
    <s v="16093509K"/>
    <s v="PEÑALOLEN"/>
    <x v="736"/>
    <x v="1"/>
    <x v="1"/>
    <x v="34"/>
    <x v="1"/>
    <n v="4"/>
    <n v="56075"/>
    <n v="21929.600000000002"/>
    <n v="78004.600000000006"/>
    <n v="17.471017738756498"/>
    <n v="8011"/>
    <n v="56"/>
    <x v="815"/>
    <x v="2"/>
    <x v="0"/>
    <x v="1"/>
  </r>
  <r>
    <x v="54"/>
    <s v="ZTAN"/>
    <x v="6"/>
    <s v="UA7248"/>
    <s v="161268070"/>
    <s v="SAN BERNARDO"/>
    <x v="737"/>
    <x v="1"/>
    <x v="1"/>
    <x v="4"/>
    <x v="1"/>
    <n v="4"/>
    <n v="56075"/>
    <n v="21929.600000000002"/>
    <n v="78004.600000000006"/>
    <n v="14.228184736611702"/>
    <n v="8011"/>
    <n v="68"/>
    <x v="816"/>
    <x v="2"/>
    <x v="0"/>
    <x v="1"/>
  </r>
  <r>
    <x v="54"/>
    <s v="ZTAN"/>
    <x v="6"/>
    <s v="WG4022"/>
    <s v="81417709"/>
    <s v="RANCAGUA"/>
    <x v="738"/>
    <x v="1"/>
    <x v="0"/>
    <x v="28"/>
    <x v="6"/>
    <n v="0"/>
    <n v="230000"/>
    <n v="63163.199999999961"/>
    <n v="293163.19999999995"/>
    <n v="18.565443169440442"/>
    <n v="25000"/>
    <n v="63"/>
    <x v="817"/>
    <x v="2"/>
    <x v="0"/>
    <x v="0"/>
  </r>
  <r>
    <x v="54"/>
    <s v="ZTAN"/>
    <x v="8"/>
    <s v="BDCH61"/>
    <s v="78907355"/>
    <s v="PUDAHUEL"/>
    <x v="739"/>
    <x v="1"/>
    <x v="1"/>
    <x v="10"/>
    <x v="1"/>
    <n v="1"/>
    <n v="33750"/>
    <n v="16902"/>
    <n v="50652"/>
    <n v="11.986936766376372"/>
    <n v="4821"/>
    <n v="88"/>
    <x v="818"/>
    <x v="2"/>
    <x v="0"/>
    <x v="1"/>
  </r>
  <r>
    <x v="54"/>
    <s v="ZTAN"/>
    <x v="8"/>
    <s v="SV2718"/>
    <s v="99626232"/>
    <s v="QUILICURA"/>
    <x v="740"/>
    <x v="1"/>
    <x v="1"/>
    <x v="8"/>
    <x v="1"/>
    <n v="1"/>
    <n v="33750"/>
    <n v="17357"/>
    <n v="51107"/>
    <n v="11.777977507374631"/>
    <n v="4821"/>
    <n v="90"/>
    <x v="819"/>
    <x v="2"/>
    <x v="0"/>
    <x v="1"/>
  </r>
  <r>
    <x v="54"/>
    <s v="ZTAN"/>
    <x v="8"/>
    <s v="TP3884"/>
    <s v="107643206"/>
    <s v="REÑACA"/>
    <x v="741"/>
    <x v="1"/>
    <x v="1"/>
    <x v="6"/>
    <x v="2"/>
    <n v="0"/>
    <n v="180000"/>
    <n v="28064.799999999999"/>
    <n v="208064.8"/>
    <n v="29.654912915823378"/>
    <n v="25000"/>
    <n v="28"/>
    <x v="820"/>
    <x v="2"/>
    <x v="0"/>
    <x v="0"/>
  </r>
  <r>
    <x v="54"/>
    <s v="ZTAN"/>
    <x v="8"/>
    <s v="WC2233"/>
    <s v="53173292"/>
    <s v="QUILIN"/>
    <x v="742"/>
    <x v="4"/>
    <x v="1"/>
    <x v="34"/>
    <x v="1"/>
    <n v="4"/>
    <n v="56075"/>
    <n v="18466"/>
    <n v="74541"/>
    <n v="12.110248245386018"/>
    <n v="8011"/>
    <n v="77"/>
    <x v="821"/>
    <x v="2"/>
    <x v="0"/>
    <x v="1"/>
  </r>
  <r>
    <x v="54"/>
    <s v="ZTAN"/>
    <x v="45"/>
    <s v="VG3464"/>
    <s v="101364364"/>
    <s v="SAN JOSE DE MAIPO"/>
    <x v="89"/>
    <x v="0"/>
    <x v="0"/>
    <x v="66"/>
    <x v="1"/>
    <n v="5"/>
    <n v="230000"/>
    <n v="0"/>
    <n v="230000"/>
    <n v="12.531328320802006"/>
    <n v="12000"/>
    <n v="100"/>
    <x v="822"/>
    <x v="2"/>
    <x v="0"/>
    <x v="1"/>
  </r>
  <r>
    <x v="55"/>
    <s v="ZPEP"/>
    <x v="1"/>
    <s v="SU9354"/>
    <s v="72564391"/>
    <s v="ISLA DE MAIPO"/>
    <x v="743"/>
    <x v="2"/>
    <x v="1"/>
    <x v="1"/>
    <x v="1"/>
    <n v="5"/>
    <n v="90000"/>
    <n v="23051.22"/>
    <n v="113051.22"/>
    <n v="14.713045990624359"/>
    <n v="12000"/>
    <n v="64"/>
    <x v="823"/>
    <x v="2"/>
    <x v="0"/>
    <x v="1"/>
  </r>
  <r>
    <x v="55"/>
    <s v="ZPEP"/>
    <x v="5"/>
    <s v="PKYS74"/>
    <s v="6270439K"/>
    <s v="SAN PEDRO DE LA PAZ"/>
    <x v="744"/>
    <x v="0"/>
    <x v="0"/>
    <x v="47"/>
    <x v="0"/>
    <n v="0"/>
    <n v="400000"/>
    <n v="0"/>
    <n v="400000"/>
    <n v="45.061638689021748"/>
    <n v="25000"/>
    <n v="36"/>
    <x v="824"/>
    <x v="2"/>
    <x v="0"/>
    <x v="0"/>
  </r>
  <r>
    <x v="55"/>
    <s v="ZPEP"/>
    <x v="33"/>
    <s v="RK5135"/>
    <s v="138841065"/>
    <s v="SAN BERNARDO"/>
    <x v="745"/>
    <x v="3"/>
    <x v="1"/>
    <x v="4"/>
    <x v="1"/>
    <n v="4"/>
    <n v="56075"/>
    <n v="10835.64"/>
    <n v="66910.64"/>
    <n v="18.525155874503028"/>
    <n v="8011"/>
    <n v="45"/>
    <x v="825"/>
    <x v="2"/>
    <x v="0"/>
    <x v="1"/>
  </r>
  <r>
    <x v="55"/>
    <s v="ZTAN"/>
    <x v="46"/>
    <s v="HLBX77"/>
    <s v="16093509K"/>
    <s v="PROVIDENCIA"/>
    <x v="746"/>
    <x v="1"/>
    <x v="1"/>
    <x v="54"/>
    <x v="1"/>
    <n v="2"/>
    <n v="40475"/>
    <n v="9380"/>
    <n v="49855"/>
    <n v="21.260127931769723"/>
    <n v="5782"/>
    <n v="41"/>
    <x v="826"/>
    <x v="2"/>
    <x v="0"/>
    <x v="1"/>
  </r>
  <r>
    <x v="55"/>
    <s v="ZTAN"/>
    <x v="12"/>
    <s v="KKPF51"/>
    <s v="95707734"/>
    <s v="VITACURA"/>
    <x v="747"/>
    <x v="8"/>
    <x v="0"/>
    <x v="27"/>
    <x v="1"/>
    <n v="4"/>
    <n v="145181"/>
    <n v="0"/>
    <n v="145181"/>
    <n v="6.9999807137828949"/>
    <n v="8011"/>
    <n v="100"/>
    <x v="827"/>
    <x v="2"/>
    <x v="0"/>
    <x v="1"/>
  </r>
  <r>
    <x v="55"/>
    <s v="ZTAN"/>
    <x v="16"/>
    <s v="DJLF85"/>
    <s v="53173292"/>
    <s v="RENCA"/>
    <x v="385"/>
    <x v="4"/>
    <x v="1"/>
    <x v="7"/>
    <x v="1"/>
    <n v="1"/>
    <n v="52528"/>
    <n v="22511.999999999993"/>
    <n v="75040"/>
    <n v="10.000000000000004"/>
    <n v="4821"/>
    <n v="100"/>
    <x v="828"/>
    <x v="2"/>
    <x v="0"/>
    <x v="1"/>
  </r>
  <r>
    <x v="56"/>
    <s v="ZTAN"/>
    <x v="6"/>
    <s v="TP3884"/>
    <s v="107643206"/>
    <s v="LOS ANDES"/>
    <x v="748"/>
    <x v="1"/>
    <x v="1"/>
    <x v="38"/>
    <x v="2"/>
    <n v="0"/>
    <n v="180000"/>
    <n v="31411.199999999993"/>
    <n v="211411.19999999998"/>
    <n v="26.921760391198049"/>
    <n v="25000"/>
    <n v="31"/>
    <x v="829"/>
    <x v="2"/>
    <x v="0"/>
    <x v="0"/>
  </r>
  <r>
    <x v="56"/>
    <s v="ZTAN"/>
    <x v="8"/>
    <s v="BDCH61"/>
    <s v="161268070"/>
    <s v="ÑUÑOA"/>
    <x v="749"/>
    <x v="1"/>
    <x v="1"/>
    <x v="15"/>
    <x v="1"/>
    <n v="4"/>
    <n v="56075"/>
    <n v="12152"/>
    <n v="68227"/>
    <n v="22.457867017774852"/>
    <n v="8011"/>
    <n v="38"/>
    <x v="830"/>
    <x v="2"/>
    <x v="0"/>
    <x v="1"/>
  </r>
  <r>
    <x v="56"/>
    <s v="ZTAN"/>
    <x v="8"/>
    <s v="SV2718"/>
    <s v="99626232"/>
    <s v="PUDAHUEL"/>
    <x v="750"/>
    <x v="1"/>
    <x v="1"/>
    <x v="10"/>
    <x v="1"/>
    <n v="1"/>
    <n v="33750"/>
    <n v="6187"/>
    <n v="39937"/>
    <n v="25.819110421515404"/>
    <n v="4821"/>
    <n v="32"/>
    <x v="831"/>
    <x v="2"/>
    <x v="0"/>
    <x v="1"/>
  </r>
  <r>
    <x v="56"/>
    <s v="ZTAN"/>
    <x v="8"/>
    <s v="UA7248"/>
    <s v="78907355"/>
    <s v="CERRILLOS"/>
    <x v="751"/>
    <x v="1"/>
    <x v="1"/>
    <x v="9"/>
    <x v="1"/>
    <n v="2"/>
    <n v="40475"/>
    <n v="18317"/>
    <n v="58792"/>
    <n v="12.83892382948987"/>
    <n v="5782"/>
    <n v="79"/>
    <x v="832"/>
    <x v="2"/>
    <x v="0"/>
    <x v="1"/>
  </r>
  <r>
    <x v="57"/>
    <s v="ZNL"/>
    <x v="0"/>
    <s v="CJFZ67"/>
    <s v="115812335"/>
    <s v="TALCAHUANO"/>
    <x v="721"/>
    <x v="5"/>
    <x v="0"/>
    <x v="0"/>
    <x v="0"/>
    <n v="0"/>
    <n v="380000"/>
    <n v="0"/>
    <n v="380000"/>
    <n v="24.312842299227125"/>
    <n v="25000"/>
    <n v="63"/>
    <x v="833"/>
    <x v="2"/>
    <x v="0"/>
    <x v="0"/>
  </r>
  <r>
    <x v="57"/>
    <s v="ZPEP"/>
    <x v="3"/>
    <s v="DJLF85"/>
    <s v="53173292"/>
    <s v="LAS CONDES"/>
    <x v="752"/>
    <x v="4"/>
    <x v="1"/>
    <x v="3"/>
    <x v="1"/>
    <n v="4"/>
    <n v="62909"/>
    <n v="26961.120000000003"/>
    <n v="89870.12"/>
    <n v="9.9999688440242824"/>
    <n v="8011"/>
    <n v="100"/>
    <x v="834"/>
    <x v="2"/>
    <x v="0"/>
    <x v="1"/>
  </r>
  <r>
    <x v="57"/>
    <s v="ZPEP"/>
    <x v="3"/>
    <s v="WC2233"/>
    <s v="125108660"/>
    <s v="LAS CONDES"/>
    <x v="753"/>
    <x v="4"/>
    <x v="1"/>
    <x v="3"/>
    <x v="1"/>
    <n v="4"/>
    <n v="62472"/>
    <n v="26773.890000000003"/>
    <n v="89245.89"/>
    <n v="9.9999540597201211"/>
    <n v="8011"/>
    <n v="100"/>
    <x v="835"/>
    <x v="2"/>
    <x v="0"/>
    <x v="1"/>
  </r>
  <r>
    <x v="57"/>
    <s v="ZPEP"/>
    <x v="12"/>
    <s v="HLBX77"/>
    <s v="16093509K"/>
    <s v="VITACURA"/>
    <x v="754"/>
    <x v="1"/>
    <x v="1"/>
    <x v="27"/>
    <x v="1"/>
    <n v="4"/>
    <n v="56075"/>
    <n v="26940.480000000003"/>
    <n v="83015.48000000001"/>
    <n v="12.325761085177399"/>
    <n v="8011"/>
    <n v="84"/>
    <x v="836"/>
    <x v="2"/>
    <x v="0"/>
    <x v="1"/>
  </r>
  <r>
    <x v="57"/>
    <s v="ZPEP"/>
    <x v="33"/>
    <s v="DP5738"/>
    <s v="35488103"/>
    <s v="BUIN"/>
    <x v="755"/>
    <x v="7"/>
    <x v="1"/>
    <x v="56"/>
    <x v="1"/>
    <n v="5"/>
    <n v="90000"/>
    <n v="0"/>
    <n v="90000"/>
    <n v="32.140102276947694"/>
    <n v="12000"/>
    <n v="23"/>
    <x v="837"/>
    <x v="2"/>
    <x v="0"/>
    <x v="1"/>
  </r>
  <r>
    <x v="57"/>
    <s v="ZTAN"/>
    <x v="3"/>
    <s v="XR6339"/>
    <s v="78907359"/>
    <s v="LAS CONDES"/>
    <x v="756"/>
    <x v="1"/>
    <x v="1"/>
    <x v="3"/>
    <x v="1"/>
    <n v="4"/>
    <n v="64239"/>
    <n v="36708"/>
    <n v="100947"/>
    <n v="11"/>
    <n v="8011"/>
    <n v="100"/>
    <x v="838"/>
    <x v="2"/>
    <x v="0"/>
    <x v="1"/>
  </r>
  <r>
    <x v="57"/>
    <s v="ZTAN"/>
    <x v="12"/>
    <s v="XR6339"/>
    <s v="161268070"/>
    <s v="VITACURA"/>
    <x v="648"/>
    <x v="1"/>
    <x v="1"/>
    <x v="27"/>
    <x v="1"/>
    <n v="4"/>
    <n v="71948"/>
    <n v="41112.959999999999"/>
    <n v="113060.95999999999"/>
    <n v="11.000031133734957"/>
    <n v="8011"/>
    <n v="100"/>
    <x v="839"/>
    <x v="2"/>
    <x v="0"/>
    <x v="1"/>
  </r>
  <r>
    <x v="57"/>
    <s v="ZTAN"/>
    <x v="7"/>
    <s v="KKPF51"/>
    <s v="95707734"/>
    <s v="MELIPILLA"/>
    <x v="757"/>
    <x v="8"/>
    <x v="0"/>
    <x v="29"/>
    <x v="1"/>
    <n v="5"/>
    <n v="120000"/>
    <n v="47507"/>
    <n v="167507"/>
    <n v="10.577808369696319"/>
    <n v="12000"/>
    <n v="100"/>
    <x v="840"/>
    <x v="2"/>
    <x v="0"/>
    <x v="1"/>
  </r>
  <r>
    <x v="57"/>
    <s v="ZTAN"/>
    <x v="8"/>
    <s v="BDCH61"/>
    <s v="81417709"/>
    <s v="HUECHURABA"/>
    <x v="758"/>
    <x v="1"/>
    <x v="1"/>
    <x v="24"/>
    <x v="1"/>
    <n v="1"/>
    <n v="33750"/>
    <n v="12000"/>
    <n v="45750"/>
    <n v="19.565496300731301"/>
    <n v="4821"/>
    <n v="49"/>
    <x v="841"/>
    <x v="2"/>
    <x v="0"/>
    <x v="1"/>
  </r>
  <r>
    <x v="57"/>
    <s v="ZTAN"/>
    <x v="8"/>
    <s v="DJLF85"/>
    <s v="53173292"/>
    <s v="ÑUÑOA"/>
    <x v="759"/>
    <x v="4"/>
    <x v="1"/>
    <x v="15"/>
    <x v="1"/>
    <n v="4"/>
    <n v="56075"/>
    <n v="7928"/>
    <n v="64003"/>
    <n v="24.21879138759601"/>
    <n v="8011"/>
    <n v="33"/>
    <x v="842"/>
    <x v="2"/>
    <x v="0"/>
    <x v="1"/>
  </r>
  <r>
    <x v="57"/>
    <s v="ZTAN"/>
    <x v="8"/>
    <s v="HLBX77"/>
    <s v="16093509K"/>
    <s v="PUDAHUEL"/>
    <x v="760"/>
    <x v="1"/>
    <x v="1"/>
    <x v="10"/>
    <x v="1"/>
    <n v="1"/>
    <n v="39235"/>
    <n v="22420"/>
    <n v="61655"/>
    <n v="10.999999999999998"/>
    <n v="4821"/>
    <n v="100"/>
    <x v="843"/>
    <x v="2"/>
    <x v="0"/>
    <x v="1"/>
  </r>
  <r>
    <x v="57"/>
    <s v="ZTAN"/>
    <x v="8"/>
    <s v="SV2718"/>
    <s v="107643206"/>
    <s v="SAN BERNARDO"/>
    <x v="761"/>
    <x v="1"/>
    <x v="1"/>
    <x v="4"/>
    <x v="1"/>
    <n v="4"/>
    <n v="56075"/>
    <n v="19270"/>
    <n v="75345"/>
    <n v="15.639854696419302"/>
    <n v="8011"/>
    <n v="60"/>
    <x v="844"/>
    <x v="2"/>
    <x v="0"/>
    <x v="1"/>
  </r>
  <r>
    <x v="57"/>
    <s v="ZTAN"/>
    <x v="8"/>
    <s v="TP3884"/>
    <s v="161268070"/>
    <s v="LAS CONDES"/>
    <x v="762"/>
    <x v="1"/>
    <x v="1"/>
    <x v="3"/>
    <x v="1"/>
    <n v="4"/>
    <n v="56075"/>
    <n v="12000"/>
    <n v="68075"/>
    <n v="27.040714995034758"/>
    <n v="8011"/>
    <n v="31"/>
    <x v="845"/>
    <x v="2"/>
    <x v="0"/>
    <x v="1"/>
  </r>
  <r>
    <x v="57"/>
    <s v="ZTAN"/>
    <x v="8"/>
    <s v="UA7248"/>
    <s v="99626232"/>
    <s v="LA REINA"/>
    <x v="763"/>
    <x v="1"/>
    <x v="1"/>
    <x v="11"/>
    <x v="1"/>
    <n v="3"/>
    <n v="48075"/>
    <n v="14870"/>
    <n v="62945"/>
    <n v="16.93207800941493"/>
    <n v="6868"/>
    <n v="54"/>
    <x v="846"/>
    <x v="2"/>
    <x v="0"/>
    <x v="1"/>
  </r>
  <r>
    <x v="58"/>
    <s v="ZPEP"/>
    <x v="1"/>
    <s v="KKPF51"/>
    <s v="95707734"/>
    <s v="ISLA DE MAIPO"/>
    <x v="764"/>
    <x v="8"/>
    <x v="0"/>
    <x v="1"/>
    <x v="1"/>
    <n v="5"/>
    <n v="120000"/>
    <n v="0"/>
    <n v="120000"/>
    <n v="23.75701326829191"/>
    <n v="12000"/>
    <n v="42"/>
    <x v="847"/>
    <x v="2"/>
    <x v="0"/>
    <x v="1"/>
  </r>
  <r>
    <x v="58"/>
    <s v="ZPEP"/>
    <x v="5"/>
    <s v="GKRB84"/>
    <s v="122975819"/>
    <s v="SAN PEDRO DE LA PAZ"/>
    <x v="765"/>
    <x v="5"/>
    <x v="0"/>
    <x v="47"/>
    <x v="0"/>
    <n v="0"/>
    <n v="380000"/>
    <n v="0"/>
    <n v="380000"/>
    <n v="21.300245457302246"/>
    <n v="25000"/>
    <n v="71"/>
    <x v="848"/>
    <x v="2"/>
    <x v="0"/>
    <x v="0"/>
  </r>
  <r>
    <x v="58"/>
    <s v="ZPEP"/>
    <x v="5"/>
    <s v="XR6339"/>
    <s v="78907355"/>
    <s v="LAMPA"/>
    <x v="766"/>
    <x v="1"/>
    <x v="1"/>
    <x v="17"/>
    <x v="1"/>
    <n v="5"/>
    <n v="70000"/>
    <n v="27337.200000000001"/>
    <n v="97337.2"/>
    <n v="14.242453506577117"/>
    <n v="12000"/>
    <n v="57"/>
    <x v="849"/>
    <x v="2"/>
    <x v="0"/>
    <x v="1"/>
  </r>
  <r>
    <x v="58"/>
    <s v="ZPEP"/>
    <x v="12"/>
    <s v="PN4466"/>
    <s v="81417709"/>
    <s v="VITACURA"/>
    <x v="767"/>
    <x v="1"/>
    <x v="0"/>
    <x v="27"/>
    <x v="1"/>
    <n v="4"/>
    <n v="56075"/>
    <n v="29952.000000000004"/>
    <n v="86027"/>
    <n v="11.488648504273502"/>
    <n v="8011"/>
    <n v="93"/>
    <x v="850"/>
    <x v="2"/>
    <x v="0"/>
    <x v="1"/>
  </r>
  <r>
    <x v="58"/>
    <s v="ZTAN"/>
    <x v="17"/>
    <s v="WG4022"/>
    <s v="81417709"/>
    <s v="LAMPA"/>
    <x v="768"/>
    <x v="1"/>
    <x v="0"/>
    <x v="17"/>
    <x v="1"/>
    <n v="5"/>
    <n v="120000"/>
    <n v="0"/>
    <n v="120000"/>
    <n v="4.4027003228646899"/>
    <n v="12000"/>
    <n v="100"/>
    <x v="851"/>
    <x v="2"/>
    <x v="0"/>
    <x v="1"/>
  </r>
  <r>
    <x v="58"/>
    <s v="ZTAN"/>
    <x v="3"/>
    <s v="HLBX77"/>
    <s v="16093509K"/>
    <s v="LAS CONDES"/>
    <x v="588"/>
    <x v="1"/>
    <x v="1"/>
    <x v="3"/>
    <x v="1"/>
    <n v="4"/>
    <n v="92504"/>
    <n v="52859.519999999997"/>
    <n v="145363.51999999999"/>
    <n v="10.999987892436405"/>
    <n v="8011"/>
    <n v="100"/>
    <x v="852"/>
    <x v="2"/>
    <x v="0"/>
    <x v="1"/>
  </r>
  <r>
    <x v="58"/>
    <s v="ZTAN"/>
    <x v="3"/>
    <s v="WG2233"/>
    <s v="125108660"/>
    <s v="LAS CONDES"/>
    <x v="769"/>
    <x v="0"/>
    <x v="0"/>
    <x v="3"/>
    <x v="1"/>
    <n v="4"/>
    <n v="56075"/>
    <n v="0"/>
    <n v="56075"/>
    <n v="9.192622950819672"/>
    <n v="8011"/>
    <n v="76"/>
    <x v="853"/>
    <x v="2"/>
    <x v="0"/>
    <x v="1"/>
  </r>
  <r>
    <x v="58"/>
    <s v="ZTAN"/>
    <x v="12"/>
    <s v="RK5135"/>
    <s v="138841065"/>
    <s v="VITACURA"/>
    <x v="703"/>
    <x v="3"/>
    <x v="1"/>
    <x v="27"/>
    <x v="1"/>
    <n v="4"/>
    <n v="75802"/>
    <n v="32486.58"/>
    <n v="108288.58"/>
    <n v="9.9999981530835189"/>
    <n v="8011"/>
    <n v="100"/>
    <x v="854"/>
    <x v="2"/>
    <x v="0"/>
    <x v="1"/>
  </r>
  <r>
    <x v="58"/>
    <s v="ZTAN"/>
    <x v="8"/>
    <s v="BDCH61"/>
    <s v="99626232"/>
    <s v="PUENTE ALTO"/>
    <x v="481"/>
    <x v="1"/>
    <x v="1"/>
    <x v="30"/>
    <x v="1"/>
    <n v="4"/>
    <n v="56075"/>
    <n v="12000"/>
    <n v="68075"/>
    <n v="38.339152962378918"/>
    <n v="8011"/>
    <n v="22"/>
    <x v="855"/>
    <x v="2"/>
    <x v="0"/>
    <x v="1"/>
  </r>
  <r>
    <x v="58"/>
    <s v="ZTAN"/>
    <x v="8"/>
    <s v="SP2497"/>
    <s v="53173292"/>
    <s v="MAIPU"/>
    <x v="770"/>
    <x v="4"/>
    <x v="1"/>
    <x v="2"/>
    <x v="1"/>
    <n v="2"/>
    <n v="40475"/>
    <n v="12199"/>
    <n v="52674"/>
    <n v="12.953472358843202"/>
    <n v="5782"/>
    <n v="70"/>
    <x v="856"/>
    <x v="2"/>
    <x v="0"/>
    <x v="1"/>
  </r>
  <r>
    <x v="58"/>
    <s v="ZTAN"/>
    <x v="8"/>
    <s v="SV2718"/>
    <s v="78907355"/>
    <s v="SANTIAGO"/>
    <x v="364"/>
    <x v="1"/>
    <x v="1"/>
    <x v="20"/>
    <x v="1"/>
    <n v="1"/>
    <n v="33750"/>
    <n v="12000"/>
    <n v="45750"/>
    <n v="26.317303267372296"/>
    <n v="4821"/>
    <n v="36"/>
    <x v="857"/>
    <x v="2"/>
    <x v="0"/>
    <x v="1"/>
  </r>
  <r>
    <x v="58"/>
    <s v="ZTAN"/>
    <x v="8"/>
    <s v="TP3884"/>
    <s v="161268070"/>
    <s v="PUDAHUEL"/>
    <x v="771"/>
    <x v="1"/>
    <x v="1"/>
    <x v="10"/>
    <x v="1"/>
    <n v="1"/>
    <n v="50856"/>
    <n v="29061"/>
    <n v="79917"/>
    <n v="10.999972471508014"/>
    <n v="4821"/>
    <n v="100"/>
    <x v="858"/>
    <x v="2"/>
    <x v="0"/>
    <x v="1"/>
  </r>
  <r>
    <x v="58"/>
    <s v="ZTAN"/>
    <x v="8"/>
    <s v="UA7248"/>
    <s v="107643206"/>
    <s v="QUILIN"/>
    <x v="772"/>
    <x v="1"/>
    <x v="1"/>
    <x v="34"/>
    <x v="1"/>
    <n v="4"/>
    <n v="56075"/>
    <n v="12000"/>
    <n v="68075"/>
    <n v="64.197472651829486"/>
    <n v="8011"/>
    <n v="13"/>
    <x v="859"/>
    <x v="2"/>
    <x v="0"/>
    <x v="1"/>
  </r>
  <r>
    <x v="59"/>
    <s v="ZPEP"/>
    <x v="4"/>
    <s v="KKPF51"/>
    <s v="95707734"/>
    <s v="QUILLOTA"/>
    <x v="773"/>
    <x v="8"/>
    <x v="0"/>
    <x v="19"/>
    <x v="2"/>
    <n v="0"/>
    <n v="230000"/>
    <n v="0"/>
    <n v="230000"/>
    <n v="48.44961240310078"/>
    <n v="25000"/>
    <n v="19"/>
    <x v="860"/>
    <x v="2"/>
    <x v="0"/>
    <x v="0"/>
  </r>
  <r>
    <x v="59"/>
    <s v="ZPEP"/>
    <x v="35"/>
    <s v="UA7248"/>
    <s v="107643206"/>
    <s v="PADRE HURTADO"/>
    <x v="774"/>
    <x v="1"/>
    <x v="1"/>
    <x v="26"/>
    <x v="1"/>
    <n v="5"/>
    <n v="70000"/>
    <n v="5030.6400000000003"/>
    <n v="75030.64"/>
    <n v="59.658922125216669"/>
    <n v="12000"/>
    <n v="10"/>
    <x v="861"/>
    <x v="2"/>
    <x v="0"/>
    <x v="1"/>
  </r>
  <r>
    <x v="59"/>
    <s v="ZPEP"/>
    <x v="5"/>
    <s v="WC2233"/>
    <s v="125108660"/>
    <s v="LAMPA"/>
    <x v="775"/>
    <x v="4"/>
    <x v="1"/>
    <x v="17"/>
    <x v="1"/>
    <n v="5"/>
    <n v="70000"/>
    <n v="13897.26"/>
    <n v="83897.26"/>
    <n v="18.110892362954999"/>
    <n v="12000"/>
    <n v="39"/>
    <x v="862"/>
    <x v="2"/>
    <x v="0"/>
    <x v="1"/>
  </r>
  <r>
    <x v="59"/>
    <s v="ZPEP"/>
    <x v="9"/>
    <s v="DP5738"/>
    <s v="35488103"/>
    <s v="SAN BERNARDO"/>
    <x v="776"/>
    <x v="7"/>
    <x v="1"/>
    <x v="4"/>
    <x v="1"/>
    <n v="4"/>
    <n v="56075"/>
    <n v="0"/>
    <n v="56075"/>
    <n v="16.023992410214202"/>
    <n v="8011"/>
    <n v="44"/>
    <x v="863"/>
    <x v="2"/>
    <x v="0"/>
    <x v="1"/>
  </r>
  <r>
    <x v="59"/>
    <s v="ZPEP"/>
    <x v="33"/>
    <s v="PN4466"/>
    <s v="81417709"/>
    <s v="BUIN"/>
    <x v="777"/>
    <x v="1"/>
    <x v="0"/>
    <x v="56"/>
    <x v="1"/>
    <n v="5"/>
    <n v="120000"/>
    <n v="24207.600000000002"/>
    <n v="144207.6"/>
    <n v="23.82848361671541"/>
    <n v="12000"/>
    <n v="50"/>
    <x v="864"/>
    <x v="2"/>
    <x v="0"/>
    <x v="1"/>
  </r>
  <r>
    <x v="59"/>
    <s v="ZTAN"/>
    <x v="3"/>
    <s v="HLBX77"/>
    <s v="16093509K"/>
    <s v="LAS CONDES"/>
    <x v="778"/>
    <x v="1"/>
    <x v="1"/>
    <x v="3"/>
    <x v="1"/>
    <n v="4"/>
    <n v="68320"/>
    <n v="39040"/>
    <n v="107360"/>
    <n v="11"/>
    <n v="8011"/>
    <n v="100"/>
    <x v="865"/>
    <x v="2"/>
    <x v="0"/>
    <x v="1"/>
  </r>
  <r>
    <x v="59"/>
    <s v="ZTAN"/>
    <x v="3"/>
    <s v="XR6339"/>
    <s v="161268070"/>
    <s v="LAS CONDES"/>
    <x v="779"/>
    <x v="1"/>
    <x v="1"/>
    <x v="3"/>
    <x v="1"/>
    <n v="4"/>
    <n v="59780"/>
    <n v="34160"/>
    <n v="93940"/>
    <n v="11"/>
    <n v="8011"/>
    <n v="100"/>
    <x v="866"/>
    <x v="2"/>
    <x v="0"/>
    <x v="1"/>
  </r>
  <r>
    <x v="60"/>
    <s v="ZTAN"/>
    <x v="8"/>
    <s v="BDCH61"/>
    <n v="161268070"/>
    <s v="SAN MIGUEL"/>
    <x v="780"/>
    <x v="1"/>
    <x v="1"/>
    <x v="23"/>
    <x v="1"/>
    <n v="2"/>
    <n v="40475"/>
    <n v="12000"/>
    <n v="52475"/>
    <n v="44.78917719358143"/>
    <n v="5782"/>
    <n v="20"/>
    <x v="867"/>
    <x v="2"/>
    <x v="0"/>
    <x v="1"/>
  </r>
  <r>
    <x v="60"/>
    <s v="ZTAN"/>
    <x v="8"/>
    <s v="SV2718"/>
    <n v="78907355"/>
    <s v="ÑUÑOA"/>
    <x v="781"/>
    <x v="1"/>
    <x v="1"/>
    <x v="15"/>
    <x v="1"/>
    <n v="4"/>
    <n v="56075"/>
    <n v="12000"/>
    <n v="68075"/>
    <n v="30.775316455696203"/>
    <n v="8011"/>
    <n v="28"/>
    <x v="868"/>
    <x v="2"/>
    <x v="0"/>
    <x v="1"/>
  </r>
  <r>
    <x v="60"/>
    <s v="ZTAN"/>
    <x v="8"/>
    <s v="TP3884"/>
    <n v="99626232"/>
    <s v="PUDAHUEL"/>
    <x v="782"/>
    <x v="1"/>
    <x v="1"/>
    <x v="10"/>
    <x v="1"/>
    <n v="1"/>
    <n v="33750"/>
    <n v="12000"/>
    <n v="45750"/>
    <n v="18.39713688274087"/>
    <n v="4821"/>
    <n v="52"/>
    <x v="869"/>
    <x v="2"/>
    <x v="0"/>
    <x v="1"/>
  </r>
  <r>
    <x v="60"/>
    <s v="ZTAN"/>
    <x v="8"/>
    <s v="UA7248"/>
    <n v="107643206"/>
    <s v="LA FLORIDA"/>
    <x v="783"/>
    <x v="1"/>
    <x v="1"/>
    <x v="33"/>
    <x v="1"/>
    <n v="3"/>
    <n v="48075"/>
    <n v="12000"/>
    <n v="60075"/>
    <n v="38.788094008264487"/>
    <n v="6868"/>
    <n v="23"/>
    <x v="870"/>
    <x v="2"/>
    <x v="0"/>
    <x v="1"/>
  </r>
  <r>
    <x v="61"/>
    <s v="ZNL"/>
    <x v="0"/>
    <s v="CJXX49"/>
    <s v="167832741"/>
    <s v="TALCAHUANO"/>
    <x v="784"/>
    <x v="5"/>
    <x v="0"/>
    <x v="0"/>
    <x v="0"/>
    <n v="0"/>
    <n v="380000"/>
    <n v="0"/>
    <n v="380000"/>
    <n v="18.766312493672544"/>
    <n v="25000"/>
    <n v="70"/>
    <x v="871"/>
    <x v="2"/>
    <x v="0"/>
    <x v="0"/>
  </r>
  <r>
    <x v="61"/>
    <s v="ZPEP"/>
    <x v="3"/>
    <s v="HLBX77"/>
    <s v="16093509K"/>
    <s v="LAS CONDES"/>
    <x v="785"/>
    <x v="1"/>
    <x v="1"/>
    <x v="3"/>
    <x v="1"/>
    <n v="4"/>
    <n v="91910"/>
    <n v="52520"/>
    <n v="144430"/>
    <n v="11"/>
    <n v="8011"/>
    <n v="100"/>
    <x v="872"/>
    <x v="2"/>
    <x v="0"/>
    <x v="1"/>
  </r>
  <r>
    <x v="61"/>
    <s v="ZPEP"/>
    <x v="3"/>
    <s v="RK5135"/>
    <s v="138841065"/>
    <s v="LAS CONDES"/>
    <x v="786"/>
    <x v="3"/>
    <x v="1"/>
    <x v="3"/>
    <x v="1"/>
    <n v="4"/>
    <n v="56560"/>
    <n v="24240"/>
    <n v="80800"/>
    <n v="10"/>
    <n v="8011"/>
    <n v="100"/>
    <x v="873"/>
    <x v="2"/>
    <x v="0"/>
    <x v="1"/>
  </r>
  <r>
    <x v="61"/>
    <s v="ZPEP"/>
    <x v="2"/>
    <s v="DJLF85"/>
    <s v="53173292"/>
    <s v="PADRE HURTADO"/>
    <x v="787"/>
    <x v="4"/>
    <x v="1"/>
    <x v="26"/>
    <x v="1"/>
    <n v="5"/>
    <n v="70000"/>
    <n v="9615.9000000000015"/>
    <n v="79615.899999999994"/>
    <n v="24.838829438742081"/>
    <n v="12000"/>
    <n v="27"/>
    <x v="874"/>
    <x v="2"/>
    <x v="0"/>
    <x v="1"/>
  </r>
  <r>
    <x v="61"/>
    <s v="ZPEP"/>
    <x v="33"/>
    <s v="PN4466"/>
    <s v="81417709"/>
    <s v="BUIN"/>
    <x v="788"/>
    <x v="1"/>
    <x v="0"/>
    <x v="56"/>
    <x v="1"/>
    <n v="5"/>
    <n v="120000"/>
    <n v="32282.400000000001"/>
    <n v="152282.4"/>
    <n v="18.868782990112258"/>
    <n v="12000"/>
    <n v="67"/>
    <x v="875"/>
    <x v="2"/>
    <x v="0"/>
    <x v="1"/>
  </r>
  <r>
    <x v="61"/>
    <s v="ZTAN"/>
    <x v="3"/>
    <s v="WC2233"/>
    <s v="125108660"/>
    <s v="LAS CONDES"/>
    <x v="789"/>
    <x v="4"/>
    <x v="1"/>
    <x v="3"/>
    <x v="1"/>
    <n v="4"/>
    <n v="56075"/>
    <n v="20130"/>
    <n v="76205"/>
    <n v="11.35692995529061"/>
    <n v="8011"/>
    <n v="84"/>
    <x v="876"/>
    <x v="2"/>
    <x v="0"/>
    <x v="1"/>
  </r>
  <r>
    <x v="61"/>
    <s v="ZTAN"/>
    <x v="47"/>
    <s v="DP5738"/>
    <s v="35488103"/>
    <s v="SAN JOAQUIN"/>
    <x v="790"/>
    <x v="7"/>
    <x v="1"/>
    <x v="67"/>
    <x v="1"/>
    <n v="3"/>
    <n v="48075"/>
    <n v="0"/>
    <n v="48075"/>
    <n v="21.204569513055752"/>
    <n v="6868"/>
    <n v="33"/>
    <x v="877"/>
    <x v="2"/>
    <x v="0"/>
    <x v="1"/>
  </r>
  <r>
    <x v="61"/>
    <s v="ZTAN"/>
    <x v="8"/>
    <s v="SV2718"/>
    <s v="161268070"/>
    <s v="PUENTE ALTO"/>
    <x v="791"/>
    <x v="1"/>
    <x v="1"/>
    <x v="30"/>
    <x v="1"/>
    <n v="4"/>
    <n v="56075"/>
    <n v="12000"/>
    <n v="68075"/>
    <n v="65.178468844548277"/>
    <n v="8011"/>
    <n v="13"/>
    <x v="878"/>
    <x v="2"/>
    <x v="0"/>
    <x v="1"/>
  </r>
  <r>
    <x v="61"/>
    <s v="ZTAN"/>
    <x v="8"/>
    <s v="TP3884"/>
    <s v="99626232"/>
    <s v="PUDAHUEL"/>
    <x v="792"/>
    <x v="1"/>
    <x v="1"/>
    <x v="10"/>
    <x v="1"/>
    <n v="1"/>
    <n v="33750"/>
    <n v="12000"/>
    <n v="45750"/>
    <n v="31.1207553330431"/>
    <n v="4821"/>
    <n v="30"/>
    <x v="879"/>
    <x v="2"/>
    <x v="0"/>
    <x v="1"/>
  </r>
  <r>
    <x v="61"/>
    <s v="ZTAN"/>
    <x v="8"/>
    <s v="UA7248"/>
    <s v="107643206"/>
    <s v="LAS CONDES"/>
    <x v="793"/>
    <x v="1"/>
    <x v="1"/>
    <x v="3"/>
    <x v="1"/>
    <n v="4"/>
    <n v="56075"/>
    <n v="12000"/>
    <n v="68075"/>
    <n v="37.920143492162516"/>
    <n v="8011"/>
    <n v="22"/>
    <x v="880"/>
    <x v="2"/>
    <x v="0"/>
    <x v="1"/>
  </r>
  <r>
    <x v="62"/>
    <s v="ZPEP"/>
    <x v="3"/>
    <s v="HLBX77"/>
    <s v="16093509K"/>
    <s v="LAS CONDES"/>
    <x v="794"/>
    <x v="1"/>
    <x v="1"/>
    <x v="3"/>
    <x v="1"/>
    <n v="4"/>
    <n v="56075"/>
    <n v="16160"/>
    <n v="72235"/>
    <n v="17.879950495049506"/>
    <n v="8011"/>
    <n v="50"/>
    <x v="881"/>
    <x v="2"/>
    <x v="0"/>
    <x v="1"/>
  </r>
  <r>
    <x v="62"/>
    <s v="ZPEP"/>
    <x v="3"/>
    <s v="RK5135"/>
    <s v="138841065"/>
    <s v="LAS CONDES"/>
    <x v="795"/>
    <x v="3"/>
    <x v="1"/>
    <x v="3"/>
    <x v="1"/>
    <n v="4"/>
    <n v="69668"/>
    <n v="29857.5"/>
    <n v="99525.5"/>
    <n v="10.000050238633509"/>
    <n v="8011"/>
    <n v="100"/>
    <x v="882"/>
    <x v="2"/>
    <x v="0"/>
    <x v="1"/>
  </r>
  <r>
    <x v="62"/>
    <s v="ZPEP"/>
    <x v="4"/>
    <s v="KKPF51"/>
    <s v="95707734"/>
    <s v="QUILLOTA"/>
    <x v="526"/>
    <x v="8"/>
    <x v="0"/>
    <x v="19"/>
    <x v="2"/>
    <n v="0"/>
    <n v="230000"/>
    <n v="0"/>
    <n v="230000"/>
    <n v="43.066322136089575"/>
    <n v="25000"/>
    <n v="21"/>
    <x v="883"/>
    <x v="2"/>
    <x v="0"/>
    <x v="0"/>
  </r>
  <r>
    <x v="62"/>
    <s v="ZPEP"/>
    <x v="5"/>
    <s v="PKYS74"/>
    <s v="6270439K"/>
    <s v="SAN PEDRO DE LA PAZ"/>
    <x v="796"/>
    <x v="0"/>
    <x v="0"/>
    <x v="47"/>
    <x v="0"/>
    <n v="0"/>
    <n v="400000"/>
    <n v="0"/>
    <n v="400000"/>
    <n v="37.860359635556179"/>
    <n v="25000"/>
    <n v="42"/>
    <x v="884"/>
    <x v="2"/>
    <x v="0"/>
    <x v="0"/>
  </r>
  <r>
    <x v="62"/>
    <s v="ZPEP"/>
    <x v="18"/>
    <s v="RK5135"/>
    <s v="138841065"/>
    <s v="CARTAGENA"/>
    <x v="797"/>
    <x v="3"/>
    <x v="1"/>
    <x v="40"/>
    <x v="2"/>
    <n v="0"/>
    <n v="180000"/>
    <n v="28711.800000000003"/>
    <n v="208711.8"/>
    <n v="21.807598269700957"/>
    <n v="25000"/>
    <n v="38"/>
    <x v="885"/>
    <x v="2"/>
    <x v="0"/>
    <x v="0"/>
  </r>
  <r>
    <x v="62"/>
    <s v="ZPEP"/>
    <x v="33"/>
    <s v="PN4466"/>
    <s v="81417709"/>
    <s v="BUIN"/>
    <x v="798"/>
    <x v="1"/>
    <x v="0"/>
    <x v="56"/>
    <x v="1"/>
    <n v="5"/>
    <n v="120000"/>
    <n v="22614.960000000006"/>
    <n v="142614.96000000002"/>
    <n v="25.224888304025296"/>
    <n v="12000"/>
    <n v="47"/>
    <x v="886"/>
    <x v="2"/>
    <x v="0"/>
    <x v="1"/>
  </r>
  <r>
    <x v="62"/>
    <s v="ZTAN"/>
    <x v="12"/>
    <s v="DJLF85"/>
    <s v="53173292"/>
    <s v="VITACURA"/>
    <x v="799"/>
    <x v="4"/>
    <x v="1"/>
    <x v="27"/>
    <x v="1"/>
    <n v="4"/>
    <n v="68051"/>
    <n v="29164.799999999988"/>
    <n v="97215.799999999988"/>
    <n v="9.9999794272547753"/>
    <n v="8011"/>
    <n v="100"/>
    <x v="887"/>
    <x v="2"/>
    <x v="0"/>
    <x v="1"/>
  </r>
  <r>
    <x v="62"/>
    <s v="ZTAN"/>
    <x v="12"/>
    <s v="WC2233"/>
    <s v="12518660"/>
    <s v="VITACURA"/>
    <x v="800"/>
    <x v="4"/>
    <x v="1"/>
    <x v="27"/>
    <x v="1"/>
    <n v="4"/>
    <n v="77773"/>
    <n v="33331.199999999997"/>
    <n v="111104.2"/>
    <n v="10.000018001152073"/>
    <n v="8011"/>
    <n v="100"/>
    <x v="888"/>
    <x v="2"/>
    <x v="0"/>
    <x v="1"/>
  </r>
  <r>
    <x v="62"/>
    <s v="ZTAN"/>
    <x v="12"/>
    <s v="XR6339"/>
    <s v="78907355"/>
    <s v="VITACURA"/>
    <x v="703"/>
    <x v="1"/>
    <x v="1"/>
    <x v="27"/>
    <x v="1"/>
    <n v="4"/>
    <n v="75802"/>
    <n v="43315.44"/>
    <n v="119117.44"/>
    <n v="10.999998153083519"/>
    <n v="8011"/>
    <n v="100"/>
    <x v="889"/>
    <x v="2"/>
    <x v="0"/>
    <x v="1"/>
  </r>
  <r>
    <x v="62"/>
    <s v="ZTAN"/>
    <x v="22"/>
    <s v="KKPF51"/>
    <s v="95707734"/>
    <s v="SAN BERNARDO"/>
    <x v="801"/>
    <x v="8"/>
    <x v="0"/>
    <x v="4"/>
    <x v="1"/>
    <n v="4"/>
    <n v="111440"/>
    <n v="0"/>
    <n v="111440"/>
    <n v="7"/>
    <n v="8011"/>
    <n v="100"/>
    <x v="890"/>
    <x v="2"/>
    <x v="0"/>
    <x v="1"/>
  </r>
  <r>
    <x v="62"/>
    <s v="ZTAN"/>
    <x v="8"/>
    <s v="SV2718"/>
    <s v="99626232"/>
    <s v="CERRILLOS"/>
    <x v="802"/>
    <x v="1"/>
    <x v="1"/>
    <x v="9"/>
    <x v="1"/>
    <n v="2"/>
    <n v="40475"/>
    <n v="12000"/>
    <n v="52475"/>
    <n v="48.823036844064013"/>
    <n v="5782"/>
    <n v="19"/>
    <x v="891"/>
    <x v="2"/>
    <x v="0"/>
    <x v="1"/>
  </r>
  <r>
    <x v="62"/>
    <s v="ZTAN"/>
    <x v="8"/>
    <s v="TP3884"/>
    <s v="161268070"/>
    <s v="PUDAHUEL"/>
    <x v="803"/>
    <x v="1"/>
    <x v="1"/>
    <x v="10"/>
    <x v="1"/>
    <n v="1"/>
    <n v="33750"/>
    <n v="12000"/>
    <n v="45750"/>
    <n v="46.454246375045692"/>
    <n v="4821"/>
    <n v="20"/>
    <x v="892"/>
    <x v="2"/>
    <x v="0"/>
    <x v="1"/>
  </r>
  <r>
    <x v="62"/>
    <s v="ZTAN"/>
    <x v="8"/>
    <s v="UA7248"/>
    <s v="107643206"/>
    <s v="LA REINA"/>
    <x v="804"/>
    <x v="1"/>
    <x v="1"/>
    <x v="11"/>
    <x v="1"/>
    <n v="3"/>
    <n v="48075"/>
    <n v="12000"/>
    <n v="60075"/>
    <n v="43.874704215477202"/>
    <n v="6868"/>
    <n v="20"/>
    <x v="893"/>
    <x v="2"/>
    <x v="0"/>
    <x v="1"/>
  </r>
  <r>
    <x v="63"/>
    <s v="ZPEP"/>
    <x v="4"/>
    <s v="KKPF51"/>
    <s v="95707734"/>
    <s v="QUILLOTA"/>
    <x v="773"/>
    <x v="8"/>
    <x v="0"/>
    <x v="19"/>
    <x v="2"/>
    <n v="0"/>
    <n v="230000"/>
    <n v="0"/>
    <n v="230000"/>
    <n v="48.44961240310078"/>
    <n v="25000"/>
    <n v="19"/>
    <x v="894"/>
    <x v="2"/>
    <x v="0"/>
    <x v="0"/>
  </r>
  <r>
    <x v="63"/>
    <s v="ZTAN"/>
    <x v="17"/>
    <s v="PN4466"/>
    <s v="81417709"/>
    <s v="LAMPA"/>
    <x v="805"/>
    <x v="1"/>
    <x v="0"/>
    <x v="17"/>
    <x v="1"/>
    <n v="5"/>
    <n v="120000"/>
    <n v="75824"/>
    <n v="195824"/>
    <n v="10.330449461911796"/>
    <n v="12000"/>
    <n v="100"/>
    <x v="895"/>
    <x v="2"/>
    <x v="0"/>
    <x v="1"/>
  </r>
  <r>
    <x v="63"/>
    <s v="ZTAN"/>
    <x v="12"/>
    <s v="DJLF85"/>
    <s v="53173292"/>
    <s v="VITACURA"/>
    <x v="806"/>
    <x v="4"/>
    <x v="1"/>
    <x v="27"/>
    <x v="1"/>
    <n v="4"/>
    <n v="105352"/>
    <n v="45150.840000000004"/>
    <n v="150502.84"/>
    <n v="10.000002657757861"/>
    <n v="8011"/>
    <n v="100"/>
    <x v="896"/>
    <x v="2"/>
    <x v="0"/>
    <x v="1"/>
  </r>
  <r>
    <x v="63"/>
    <s v="ZTAN"/>
    <x v="12"/>
    <s v="HLBX77"/>
    <s v="16093509K"/>
    <s v="VITACURA"/>
    <x v="807"/>
    <x v="1"/>
    <x v="1"/>
    <x v="27"/>
    <x v="1"/>
    <n v="4"/>
    <n v="107922"/>
    <n v="61669.440000000002"/>
    <n v="169591.44"/>
    <n v="11.000031133734959"/>
    <n v="8011"/>
    <n v="100"/>
    <x v="897"/>
    <x v="2"/>
    <x v="0"/>
    <x v="1"/>
  </r>
  <r>
    <x v="63"/>
    <s v="ZTAN"/>
    <x v="12"/>
    <s v="WC2233"/>
    <s v="125108660"/>
    <s v="VITACURA"/>
    <x v="807"/>
    <x v="4"/>
    <x v="1"/>
    <x v="27"/>
    <x v="1"/>
    <n v="4"/>
    <n v="107922"/>
    <n v="46252.08"/>
    <n v="154174.08000000002"/>
    <n v="10.000031133734959"/>
    <n v="8011"/>
    <n v="100"/>
    <x v="898"/>
    <x v="2"/>
    <x v="0"/>
    <x v="1"/>
  </r>
  <r>
    <x v="63"/>
    <s v="ZTAN"/>
    <x v="16"/>
    <s v="XR6339"/>
    <s v="78907355"/>
    <s v="RENCA"/>
    <x v="414"/>
    <x v="1"/>
    <x v="1"/>
    <x v="7"/>
    <x v="1"/>
    <n v="1"/>
    <n v="68286"/>
    <n v="39020.799999999988"/>
    <n v="107306.79999999999"/>
    <n v="10.999958996227654"/>
    <n v="4821"/>
    <n v="100"/>
    <x v="899"/>
    <x v="2"/>
    <x v="0"/>
    <x v="1"/>
  </r>
  <r>
    <x v="63"/>
    <s v="ZTAN"/>
    <x v="8"/>
    <s v="BDCH61"/>
    <s v="99626232"/>
    <s v="QUILICURA"/>
    <x v="808"/>
    <x v="1"/>
    <x v="1"/>
    <x v="8"/>
    <x v="1"/>
    <n v="1"/>
    <n v="33750"/>
    <n v="12000"/>
    <n v="45750"/>
    <n v="20.783740073776599"/>
    <n v="4821"/>
    <n v="46"/>
    <x v="900"/>
    <x v="2"/>
    <x v="0"/>
    <x v="1"/>
  </r>
  <r>
    <x v="63"/>
    <s v="ZTAN"/>
    <x v="8"/>
    <s v="SV2718"/>
    <s v="161268070"/>
    <s v="ÑUÑOA"/>
    <x v="549"/>
    <x v="1"/>
    <x v="1"/>
    <x v="15"/>
    <x v="1"/>
    <n v="4"/>
    <n v="56075"/>
    <n v="12000"/>
    <n v="68075"/>
    <n v="38.5475651189128"/>
    <n v="8011"/>
    <n v="22"/>
    <x v="901"/>
    <x v="2"/>
    <x v="0"/>
    <x v="1"/>
  </r>
  <r>
    <x v="63"/>
    <s v="ZTAN"/>
    <x v="8"/>
    <s v="UA7248"/>
    <s v="107643206"/>
    <s v="SANTIAGO"/>
    <x v="809"/>
    <x v="1"/>
    <x v="1"/>
    <x v="20"/>
    <x v="1"/>
    <n v="1"/>
    <n v="33750"/>
    <n v="12000"/>
    <n v="45750"/>
    <n v="17.029972752043598"/>
    <n v="4821"/>
    <n v="56"/>
    <x v="902"/>
    <x v="2"/>
    <x v="0"/>
    <x v="1"/>
  </r>
  <r>
    <x v="64"/>
    <s v="ZTAN"/>
    <x v="16"/>
    <s v="KKPF51"/>
    <n v="95707734"/>
    <s v="RENCA"/>
    <x v="810"/>
    <x v="8"/>
    <x v="0"/>
    <x v="7"/>
    <x v="1"/>
    <n v="1"/>
    <n v="120000"/>
    <n v="0"/>
    <n v="120000"/>
    <n v="7.2688505524326423"/>
    <n v="4821"/>
    <n v="100"/>
    <x v="903"/>
    <x v="2"/>
    <x v="0"/>
    <x v="1"/>
  </r>
  <r>
    <x v="65"/>
    <s v="ZPEP"/>
    <x v="12"/>
    <s v="HLBX77"/>
    <s v="16093509K"/>
    <s v="VITACURA"/>
    <x v="811"/>
    <x v="1"/>
    <x v="1"/>
    <x v="27"/>
    <x v="1"/>
    <n v="4"/>
    <n v="69996"/>
    <n v="39997.440000000002"/>
    <n v="109993.44"/>
    <n v="11.000048003072196"/>
    <n v="8011"/>
    <n v="100"/>
    <x v="904"/>
    <x v="3"/>
    <x v="1"/>
    <x v="1"/>
  </r>
  <r>
    <x v="65"/>
    <s v="ZPEP"/>
    <x v="12"/>
    <s v="RK5135"/>
    <s v="138841065"/>
    <s v="VITACURA"/>
    <x v="811"/>
    <x v="3"/>
    <x v="1"/>
    <x v="27"/>
    <x v="1"/>
    <n v="4"/>
    <n v="69996"/>
    <n v="29998.080000000002"/>
    <n v="99994.08"/>
    <n v="10.000048003072196"/>
    <n v="8011"/>
    <n v="100"/>
    <x v="905"/>
    <x v="3"/>
    <x v="1"/>
    <x v="1"/>
  </r>
  <r>
    <x v="65"/>
    <s v="ZPEP"/>
    <x v="12"/>
    <s v="WC2233"/>
    <s v="125108660"/>
    <s v="VITACURA"/>
    <x v="812"/>
    <x v="4"/>
    <x v="1"/>
    <x v="27"/>
    <x v="1"/>
    <n v="4"/>
    <n v="81661"/>
    <n v="34997.760000000002"/>
    <n v="116658.76000000001"/>
    <n v="9.9999622833004178"/>
    <n v="8011"/>
    <n v="100"/>
    <x v="906"/>
    <x v="3"/>
    <x v="1"/>
    <x v="1"/>
  </r>
  <r>
    <x v="65"/>
    <s v="ZPEP"/>
    <x v="12"/>
    <s v="XR6339"/>
    <s v="78907355"/>
    <s v="VITACURA"/>
    <x v="811"/>
    <x v="1"/>
    <x v="1"/>
    <x v="27"/>
    <x v="1"/>
    <n v="4"/>
    <n v="69996"/>
    <n v="39997.440000000002"/>
    <n v="109993.44"/>
    <n v="11.000048003072196"/>
    <n v="8011"/>
    <n v="100"/>
    <x v="907"/>
    <x v="3"/>
    <x v="1"/>
    <x v="1"/>
  </r>
  <r>
    <x v="65"/>
    <s v="ZPEP"/>
    <x v="14"/>
    <s v="PN4466"/>
    <s v="81417709"/>
    <s v="LA PINTANA"/>
    <x v="813"/>
    <x v="1"/>
    <x v="0"/>
    <x v="31"/>
    <x v="1"/>
    <n v="4"/>
    <n v="159817"/>
    <n v="91324.000000000044"/>
    <n v="251141.00000000006"/>
    <n v="10.999999999999996"/>
    <n v="8011"/>
    <n v="100"/>
    <x v="908"/>
    <x v="3"/>
    <x v="1"/>
    <x v="1"/>
  </r>
  <r>
    <x v="65"/>
    <s v="ZTAN"/>
    <x v="8"/>
    <s v="BDCH61"/>
    <s v="161268070"/>
    <s v="MAIPU"/>
    <x v="814"/>
    <x v="1"/>
    <x v="1"/>
    <x v="2"/>
    <x v="1"/>
    <n v="2"/>
    <n v="40475"/>
    <n v="12000"/>
    <n v="52475"/>
    <n v="17.906622805820206"/>
    <n v="5782"/>
    <n v="51"/>
    <x v="909"/>
    <x v="3"/>
    <x v="1"/>
    <x v="1"/>
  </r>
  <r>
    <x v="65"/>
    <s v="ZTAN"/>
    <x v="8"/>
    <s v="DJLF85"/>
    <s v="53173292"/>
    <s v="QUILICURA"/>
    <x v="362"/>
    <x v="4"/>
    <x v="1"/>
    <x v="8"/>
    <x v="1"/>
    <n v="1"/>
    <n v="33750"/>
    <n v="3788"/>
    <n v="37538"/>
    <n v="29.72600570161546"/>
    <n v="4821"/>
    <n v="26"/>
    <x v="910"/>
    <x v="3"/>
    <x v="1"/>
    <x v="1"/>
  </r>
  <r>
    <x v="65"/>
    <s v="ZTAN"/>
    <x v="8"/>
    <s v="DP5738"/>
    <s v="35488103"/>
    <s v="QUILIN"/>
    <x v="815"/>
    <x v="7"/>
    <x v="1"/>
    <x v="34"/>
    <x v="1"/>
    <n v="4"/>
    <n v="56075"/>
    <n v="19395"/>
    <n v="75470"/>
    <n v="11.67388002215052"/>
    <n v="8011"/>
    <n v="81"/>
    <x v="911"/>
    <x v="3"/>
    <x v="1"/>
    <x v="1"/>
  </r>
  <r>
    <x v="65"/>
    <s v="ZTAN"/>
    <x v="8"/>
    <s v="SV2718"/>
    <s v="107643206"/>
    <s v="LAS CONDES"/>
    <x v="816"/>
    <x v="1"/>
    <x v="1"/>
    <x v="3"/>
    <x v="1"/>
    <n v="4"/>
    <n v="56075"/>
    <n v="14650"/>
    <n v="70725"/>
    <n v="19.310949287767958"/>
    <n v="8011"/>
    <n v="46"/>
    <x v="912"/>
    <x v="3"/>
    <x v="1"/>
    <x v="1"/>
  </r>
  <r>
    <x v="65"/>
    <s v="ZTAN"/>
    <x v="8"/>
    <s v="TP3884"/>
    <s v="78907355"/>
    <s v="PUDAHUEL"/>
    <x v="817"/>
    <x v="1"/>
    <x v="1"/>
    <x v="10"/>
    <x v="1"/>
    <n v="1"/>
    <n v="33750"/>
    <n v="14714"/>
    <n v="48464"/>
    <n v="13.174935435639528"/>
    <n v="4821"/>
    <n v="76"/>
    <x v="913"/>
    <x v="3"/>
    <x v="1"/>
    <x v="1"/>
  </r>
  <r>
    <x v="65"/>
    <s v="ZTAN"/>
    <x v="8"/>
    <s v="UA7248"/>
    <s v="99626232"/>
    <s v="CERRILLOS"/>
    <x v="818"/>
    <x v="1"/>
    <x v="1"/>
    <x v="9"/>
    <x v="1"/>
    <n v="2"/>
    <n v="40475"/>
    <n v="17045"/>
    <n v="57520"/>
    <n v="13.498418300776301"/>
    <n v="5782"/>
    <n v="74"/>
    <x v="914"/>
    <x v="3"/>
    <x v="1"/>
    <x v="1"/>
  </r>
  <r>
    <x v="65"/>
    <s v="ZTAN"/>
    <x v="8"/>
    <s v="XR6339"/>
    <s v="78907355"/>
    <s v="LAS CONDES"/>
    <x v="819"/>
    <x v="1"/>
    <x v="1"/>
    <x v="3"/>
    <x v="1"/>
    <n v="4"/>
    <n v="56075"/>
    <n v="12000"/>
    <n v="68075"/>
    <n v="27.573901702027687"/>
    <n v="8011"/>
    <n v="31"/>
    <x v="915"/>
    <x v="3"/>
    <x v="1"/>
    <x v="1"/>
  </r>
  <r>
    <x v="66"/>
    <s v="ZNL"/>
    <x v="0"/>
    <s v="YP6892"/>
    <s v="124157498"/>
    <s v="TALCAHUANO"/>
    <x v="820"/>
    <x v="0"/>
    <x v="0"/>
    <x v="0"/>
    <x v="0"/>
    <n v="0"/>
    <n v="380000"/>
    <n v="0"/>
    <n v="380000"/>
    <n v="29.783061745773377"/>
    <n v="25000"/>
    <n v="51"/>
    <x v="916"/>
    <x v="3"/>
    <x v="1"/>
    <x v="0"/>
  </r>
  <r>
    <x v="66"/>
    <s v="ZPEP"/>
    <x v="13"/>
    <s v="RK5135"/>
    <s v="138841065"/>
    <s v="SANTIAGO"/>
    <x v="821"/>
    <x v="3"/>
    <x v="1"/>
    <x v="20"/>
    <x v="1"/>
    <n v="1"/>
    <n v="33750"/>
    <n v="4140"/>
    <n v="37890"/>
    <n v="27.456521739130434"/>
    <n v="4821"/>
    <n v="29"/>
    <x v="917"/>
    <x v="3"/>
    <x v="1"/>
    <x v="1"/>
  </r>
  <r>
    <x v="66"/>
    <s v="ZPEP"/>
    <x v="12"/>
    <s v="WC2233"/>
    <s v="125108660"/>
    <s v="VITACURA"/>
    <x v="822"/>
    <x v="4"/>
    <x v="1"/>
    <x v="27"/>
    <x v="1"/>
    <n v="4"/>
    <n v="56075"/>
    <n v="18281.04"/>
    <n v="74356.040000000008"/>
    <n v="12.202156988880283"/>
    <n v="8011"/>
    <n v="76"/>
    <x v="918"/>
    <x v="3"/>
    <x v="1"/>
    <x v="1"/>
  </r>
  <r>
    <x v="66"/>
    <s v="ZPEP"/>
    <x v="14"/>
    <s v="PN4466"/>
    <s v="81417709"/>
    <s v="LA PINTANA"/>
    <x v="823"/>
    <x v="1"/>
    <x v="0"/>
    <x v="31"/>
    <x v="1"/>
    <n v="4"/>
    <n v="154782"/>
    <n v="88446.639999999956"/>
    <n v="243228.63999999996"/>
    <n v="11.000017185503037"/>
    <n v="8011"/>
    <n v="100"/>
    <x v="919"/>
    <x v="3"/>
    <x v="1"/>
    <x v="1"/>
  </r>
  <r>
    <x v="66"/>
    <s v="ZPEP"/>
    <x v="33"/>
    <s v="DJLF85"/>
    <s v="53173292"/>
    <s v="BUIN"/>
    <x v="824"/>
    <x v="4"/>
    <x v="1"/>
    <x v="56"/>
    <x v="1"/>
    <n v="5"/>
    <n v="90000"/>
    <n v="14493.419999999998"/>
    <n v="104493.42"/>
    <n v="21.629143431985"/>
    <n v="12000"/>
    <n v="40"/>
    <x v="920"/>
    <x v="3"/>
    <x v="1"/>
    <x v="1"/>
  </r>
  <r>
    <x v="66"/>
    <s v="ZTAN"/>
    <x v="6"/>
    <s v="HLBX77"/>
    <s v="16093509K"/>
    <s v="MAIPU"/>
    <x v="825"/>
    <x v="1"/>
    <x v="1"/>
    <x v="2"/>
    <x v="1"/>
    <n v="2"/>
    <n v="40475"/>
    <n v="8201.6"/>
    <n v="48676.6"/>
    <n v="23.740050721810377"/>
    <n v="5782"/>
    <n v="35"/>
    <x v="921"/>
    <x v="3"/>
    <x v="1"/>
    <x v="1"/>
  </r>
  <r>
    <x v="66"/>
    <s v="ZTAN"/>
    <x v="6"/>
    <s v="RK5135"/>
    <s v="138841065"/>
    <s v="LA REINA"/>
    <x v="471"/>
    <x v="3"/>
    <x v="1"/>
    <x v="11"/>
    <x v="1"/>
    <n v="3"/>
    <n v="48075"/>
    <n v="6753.5999999999995"/>
    <n v="54828.6"/>
    <n v="24.355277185501066"/>
    <n v="6868"/>
    <n v="33"/>
    <x v="922"/>
    <x v="3"/>
    <x v="1"/>
    <x v="1"/>
  </r>
  <r>
    <x v="66"/>
    <s v="ZTAN"/>
    <x v="7"/>
    <s v="HLBX77"/>
    <s v="16093509K"/>
    <s v="MELIPILLA"/>
    <x v="90"/>
    <x v="1"/>
    <x v="1"/>
    <x v="29"/>
    <x v="1"/>
    <n v="5"/>
    <n v="90000"/>
    <n v="30312"/>
    <n v="120312"/>
    <n v="15.876484560570074"/>
    <n v="12000"/>
    <n v="63"/>
    <x v="923"/>
    <x v="3"/>
    <x v="1"/>
    <x v="1"/>
  </r>
  <r>
    <x v="66"/>
    <s v="ZTAN"/>
    <x v="8"/>
    <s v="BDCH61"/>
    <s v="107643206"/>
    <s v="LA FLORIDA"/>
    <x v="826"/>
    <x v="1"/>
    <x v="1"/>
    <x v="33"/>
    <x v="1"/>
    <n v="3"/>
    <n v="48075"/>
    <n v="13399"/>
    <n v="61474"/>
    <n v="18.352365172480706"/>
    <n v="6868"/>
    <n v="49"/>
    <x v="924"/>
    <x v="3"/>
    <x v="1"/>
    <x v="1"/>
  </r>
  <r>
    <x v="66"/>
    <s v="ZTAN"/>
    <x v="8"/>
    <s v="DP5738"/>
    <s v="35488103"/>
    <s v="EL BOSQUE"/>
    <x v="225"/>
    <x v="7"/>
    <x v="1"/>
    <x v="25"/>
    <x v="1"/>
    <n v="3"/>
    <n v="48075"/>
    <n v="0"/>
    <n v="48075"/>
    <n v="14.716236071997061"/>
    <n v="6868"/>
    <n v="48"/>
    <x v="925"/>
    <x v="3"/>
    <x v="1"/>
    <x v="1"/>
  </r>
  <r>
    <x v="66"/>
    <s v="ZTAN"/>
    <x v="8"/>
    <s v="SV2718"/>
    <s v="78907355"/>
    <s v="LA REINA"/>
    <x v="827"/>
    <x v="1"/>
    <x v="1"/>
    <x v="11"/>
    <x v="1"/>
    <n v="3"/>
    <n v="48075"/>
    <n v="21978"/>
    <n v="70053"/>
    <n v="12.749751567942985"/>
    <n v="6868"/>
    <n v="80"/>
    <x v="926"/>
    <x v="3"/>
    <x v="1"/>
    <x v="1"/>
  </r>
  <r>
    <x v="66"/>
    <s v="ZTAN"/>
    <x v="8"/>
    <s v="TP3884"/>
    <s v="81417709"/>
    <s v="PUDAHUEL"/>
    <x v="828"/>
    <x v="1"/>
    <x v="1"/>
    <x v="10"/>
    <x v="1"/>
    <n v="1"/>
    <n v="55760"/>
    <n v="31863"/>
    <n v="87623"/>
    <n v="11.000092898767965"/>
    <n v="4821"/>
    <n v="100"/>
    <x v="927"/>
    <x v="3"/>
    <x v="1"/>
    <x v="1"/>
  </r>
  <r>
    <x v="66"/>
    <s v="ZTAN"/>
    <x v="8"/>
    <s v="UA7248"/>
    <s v="161268070"/>
    <s v="CERRILLOS"/>
    <x v="829"/>
    <x v="1"/>
    <x v="1"/>
    <x v="9"/>
    <x v="1"/>
    <n v="2"/>
    <n v="40475"/>
    <n v="12000"/>
    <n v="52475"/>
    <n v="37.375089921011956"/>
    <n v="5782"/>
    <n v="24"/>
    <x v="928"/>
    <x v="3"/>
    <x v="1"/>
    <x v="1"/>
  </r>
  <r>
    <x v="66"/>
    <s v="ZTAN"/>
    <x v="8"/>
    <s v="WC2233"/>
    <s v="125108660"/>
    <s v="SAN MIGUEL"/>
    <x v="830"/>
    <x v="4"/>
    <x v="1"/>
    <x v="23"/>
    <x v="1"/>
    <n v="2"/>
    <n v="40475"/>
    <n v="5155"/>
    <n v="45630"/>
    <n v="26.553461901048635"/>
    <n v="5782"/>
    <n v="30"/>
    <x v="929"/>
    <x v="3"/>
    <x v="1"/>
    <x v="1"/>
  </r>
  <r>
    <x v="66"/>
    <s v="ZTAN"/>
    <x v="45"/>
    <s v="KKPF51"/>
    <s v="95707734"/>
    <s v="SAN JOSE DE MAIPO"/>
    <x v="831"/>
    <x v="8"/>
    <x v="0"/>
    <x v="66"/>
    <x v="1"/>
    <n v="5"/>
    <n v="136605"/>
    <n v="0"/>
    <n v="136605"/>
    <n v="7"/>
    <n v="12000"/>
    <n v="100"/>
    <x v="930"/>
    <x v="3"/>
    <x v="1"/>
    <x v="1"/>
  </r>
  <r>
    <x v="67"/>
    <s v="ZPEP"/>
    <x v="5"/>
    <s v="CJKP95"/>
    <s v="109513911"/>
    <s v="SAN PEDRO DE LA PAZ"/>
    <x v="832"/>
    <x v="0"/>
    <x v="0"/>
    <x v="47"/>
    <x v="0"/>
    <n v="0"/>
    <n v="380000"/>
    <n v="0"/>
    <n v="380000"/>
    <n v="48.523915267028386"/>
    <n v="25000"/>
    <n v="31"/>
    <x v="931"/>
    <x v="3"/>
    <x v="1"/>
    <x v="0"/>
  </r>
  <r>
    <x v="67"/>
    <s v="ZPEP"/>
    <x v="5"/>
    <s v="PKYS74"/>
    <s v="6270439K"/>
    <s v="SAN PEDRO DE LA PAZ"/>
    <x v="833"/>
    <x v="0"/>
    <x v="0"/>
    <x v="47"/>
    <x v="0"/>
    <n v="0"/>
    <n v="380000"/>
    <n v="0"/>
    <n v="380000"/>
    <n v="21.119112908335268"/>
    <n v="25000"/>
    <n v="72"/>
    <x v="932"/>
    <x v="3"/>
    <x v="1"/>
    <x v="0"/>
  </r>
  <r>
    <x v="67"/>
    <s v="ZPEP"/>
    <x v="5"/>
    <s v="WG4022"/>
    <s v="81417709"/>
    <s v="LAMPA"/>
    <x v="834"/>
    <x v="1"/>
    <x v="0"/>
    <x v="17"/>
    <x v="1"/>
    <n v="5"/>
    <n v="120000"/>
    <n v="46291.44"/>
    <n v="166291.44"/>
    <n v="14.369087675820843"/>
    <n v="12000"/>
    <n v="96"/>
    <x v="933"/>
    <x v="3"/>
    <x v="1"/>
    <x v="1"/>
  </r>
  <r>
    <x v="67"/>
    <s v="ZPEP"/>
    <x v="8"/>
    <s v="RK5135"/>
    <s v="138841065"/>
    <s v="RENCA"/>
    <x v="68"/>
    <x v="3"/>
    <x v="1"/>
    <x v="7"/>
    <x v="1"/>
    <n v="1"/>
    <n v="33750"/>
    <n v="2070"/>
    <n v="35820"/>
    <n v="51.913043478260867"/>
    <n v="4821"/>
    <n v="14"/>
    <x v="934"/>
    <x v="3"/>
    <x v="1"/>
    <x v="1"/>
  </r>
  <r>
    <x v="67"/>
    <s v="ZTAN"/>
    <x v="17"/>
    <s v="DJLF85"/>
    <s v="53173292"/>
    <s v="LAMPA"/>
    <x v="835"/>
    <x v="4"/>
    <x v="1"/>
    <x v="17"/>
    <x v="1"/>
    <n v="5"/>
    <n v="70000"/>
    <n v="41663.999999999971"/>
    <n v="111663.99999999997"/>
    <n v="8.0403225806451637"/>
    <n v="12000"/>
    <n v="100"/>
    <x v="935"/>
    <x v="3"/>
    <x v="1"/>
    <x v="1"/>
  </r>
  <r>
    <x v="67"/>
    <s v="ZTAN"/>
    <x v="3"/>
    <s v="HLBX77"/>
    <s v="16093509K"/>
    <s v="LAS CONDES"/>
    <x v="836"/>
    <x v="1"/>
    <x v="1"/>
    <x v="3"/>
    <x v="1"/>
    <n v="4"/>
    <n v="64050"/>
    <n v="36600"/>
    <n v="100650"/>
    <n v="11"/>
    <n v="8011"/>
    <n v="100"/>
    <x v="936"/>
    <x v="3"/>
    <x v="1"/>
    <x v="1"/>
  </r>
  <r>
    <x v="67"/>
    <s v="ZTAN"/>
    <x v="3"/>
    <s v="TP3884"/>
    <s v="107643206"/>
    <s v="LAS CONDES"/>
    <x v="836"/>
    <x v="1"/>
    <x v="1"/>
    <x v="3"/>
    <x v="1"/>
    <n v="4"/>
    <n v="64050"/>
    <n v="36600"/>
    <n v="100650"/>
    <n v="11"/>
    <n v="8011"/>
    <n v="100"/>
    <x v="937"/>
    <x v="3"/>
    <x v="1"/>
    <x v="1"/>
  </r>
  <r>
    <x v="67"/>
    <s v="ZTAN"/>
    <x v="3"/>
    <s v="WC2233"/>
    <s v="125108660"/>
    <s v="LAS CONDES"/>
    <x v="837"/>
    <x v="4"/>
    <x v="1"/>
    <x v="3"/>
    <x v="1"/>
    <n v="4"/>
    <n v="106938"/>
    <n v="45830.399999999994"/>
    <n v="152768.4"/>
    <n v="10.000026183493926"/>
    <n v="8011"/>
    <n v="100"/>
    <x v="938"/>
    <x v="3"/>
    <x v="1"/>
    <x v="1"/>
  </r>
  <r>
    <x v="67"/>
    <s v="ZTAN"/>
    <x v="6"/>
    <s v="CJXX49"/>
    <s v="167832741"/>
    <s v="LOS ANGELES"/>
    <x v="838"/>
    <x v="5"/>
    <x v="0"/>
    <x v="57"/>
    <x v="0"/>
    <n v="0"/>
    <n v="420000"/>
    <n v="0"/>
    <n v="420000"/>
    <n v="31.995612030350149"/>
    <n v="25000"/>
    <n v="53"/>
    <x v="939"/>
    <x v="3"/>
    <x v="1"/>
    <x v="0"/>
  </r>
  <r>
    <x v="67"/>
    <s v="ZTAN"/>
    <x v="6"/>
    <s v="DFRV76"/>
    <s v="113693568"/>
    <s v="LINARES"/>
    <x v="839"/>
    <x v="5"/>
    <x v="0"/>
    <x v="59"/>
    <x v="3"/>
    <n v="0"/>
    <n v="330000"/>
    <n v="0"/>
    <n v="330000"/>
    <n v="34.110642520466385"/>
    <n v="25000"/>
    <n v="29"/>
    <x v="940"/>
    <x v="3"/>
    <x v="1"/>
    <x v="0"/>
  </r>
  <r>
    <x v="67"/>
    <s v="ZTAN"/>
    <x v="8"/>
    <s v="BDCH61"/>
    <s v="107643206"/>
    <s v="PUDAHUEL"/>
    <x v="840"/>
    <x v="1"/>
    <x v="1"/>
    <x v="10"/>
    <x v="1"/>
    <n v="1"/>
    <n v="33750"/>
    <n v="12000"/>
    <n v="45750"/>
    <n v="19.682075329647876"/>
    <n v="4821"/>
    <n v="48"/>
    <x v="941"/>
    <x v="3"/>
    <x v="1"/>
    <x v="1"/>
  </r>
  <r>
    <x v="67"/>
    <s v="ZTAN"/>
    <x v="8"/>
    <s v="DJLF85"/>
    <s v="53173292"/>
    <s v="PUENTE ALTO"/>
    <x v="841"/>
    <x v="4"/>
    <x v="1"/>
    <x v="30"/>
    <x v="1"/>
    <n v="4"/>
    <n v="56075"/>
    <n v="12421"/>
    <n v="68496"/>
    <n v="16.543289191167059"/>
    <n v="8011"/>
    <n v="52"/>
    <x v="942"/>
    <x v="3"/>
    <x v="1"/>
    <x v="1"/>
  </r>
  <r>
    <x v="67"/>
    <s v="ZTAN"/>
    <x v="8"/>
    <s v="DP5738"/>
    <s v="35488103"/>
    <s v="ÑUÑOA"/>
    <x v="471"/>
    <x v="7"/>
    <x v="1"/>
    <x v="15"/>
    <x v="1"/>
    <n v="4"/>
    <n v="56075"/>
    <n v="6754"/>
    <n v="62829"/>
    <n v="27.909115138592753"/>
    <n v="8011"/>
    <n v="28"/>
    <x v="943"/>
    <x v="3"/>
    <x v="1"/>
    <x v="1"/>
  </r>
  <r>
    <x v="67"/>
    <s v="ZTAN"/>
    <x v="8"/>
    <s v="RK5135"/>
    <s v="138841065"/>
    <s v="ÑUÑOA"/>
    <x v="481"/>
    <x v="3"/>
    <x v="1"/>
    <x v="15"/>
    <x v="1"/>
    <n v="4"/>
    <n v="56075"/>
    <n v="5327"/>
    <n v="61402"/>
    <n v="34.580986708718179"/>
    <n v="8011"/>
    <n v="22"/>
    <x v="944"/>
    <x v="3"/>
    <x v="1"/>
    <x v="1"/>
  </r>
  <r>
    <x v="67"/>
    <s v="ZTAN"/>
    <x v="8"/>
    <s v="SV2718"/>
    <s v="161268070"/>
    <s v="SAN BERNARDO"/>
    <x v="122"/>
    <x v="1"/>
    <x v="1"/>
    <x v="4"/>
    <x v="1"/>
    <n v="4"/>
    <n v="56075"/>
    <n v="12000"/>
    <n v="68075"/>
    <n v="36.033580173723408"/>
    <n v="8011"/>
    <n v="24"/>
    <x v="945"/>
    <x v="3"/>
    <x v="1"/>
    <x v="1"/>
  </r>
  <r>
    <x v="67"/>
    <s v="ZTAN"/>
    <x v="8"/>
    <s v="UA7248"/>
    <s v="78907355"/>
    <s v="LAS CONDES"/>
    <x v="842"/>
    <x v="1"/>
    <x v="1"/>
    <x v="3"/>
    <x v="1"/>
    <n v="4"/>
    <n v="56075"/>
    <n v="12000"/>
    <n v="68075"/>
    <n v="54.774625448576629"/>
    <n v="8011"/>
    <n v="16"/>
    <x v="946"/>
    <x v="3"/>
    <x v="1"/>
    <x v="1"/>
  </r>
  <r>
    <x v="67"/>
    <s v="ZTAN"/>
    <x v="45"/>
    <s v="GKRB84"/>
    <s v="122975819"/>
    <s v="SAN JOSE DE MAIPO"/>
    <x v="831"/>
    <x v="5"/>
    <x v="0"/>
    <x v="66"/>
    <x v="1"/>
    <n v="5"/>
    <n v="500000"/>
    <n v="0"/>
    <n v="500000"/>
    <n v="25.621316935690494"/>
    <n v="12000"/>
    <n v="100"/>
    <x v="947"/>
    <x v="3"/>
    <x v="1"/>
    <x v="1"/>
  </r>
  <r>
    <x v="68"/>
    <s v="ZNL"/>
    <x v="0"/>
    <s v="BWPL69"/>
    <n v="78551976"/>
    <s v="TALCAHUANO"/>
    <x v="843"/>
    <x v="5"/>
    <x v="0"/>
    <x v="0"/>
    <x v="0"/>
    <n v="0"/>
    <n v="380000"/>
    <n v="0"/>
    <n v="380000"/>
    <n v="38.995156391100899"/>
    <n v="25000"/>
    <n v="39"/>
    <x v="948"/>
    <x v="3"/>
    <x v="1"/>
    <x v="0"/>
  </r>
  <r>
    <x v="68"/>
    <s v="ZPEP"/>
    <x v="5"/>
    <s v="DJLF85"/>
    <n v="53173292"/>
    <s v="LAMPA"/>
    <x v="844"/>
    <x v="4"/>
    <x v="1"/>
    <x v="17"/>
    <x v="1"/>
    <n v="5"/>
    <n v="70000"/>
    <n v="0"/>
    <n v="70000"/>
    <n v="14.626970461877935"/>
    <n v="12000"/>
    <n v="40"/>
    <x v="949"/>
    <x v="3"/>
    <x v="1"/>
    <x v="1"/>
  </r>
  <r>
    <x v="68"/>
    <s v="ZPEP"/>
    <x v="18"/>
    <s v="RK5135"/>
    <n v="138841065"/>
    <s v="CARTAGENA"/>
    <x v="845"/>
    <x v="3"/>
    <x v="1"/>
    <x v="40"/>
    <x v="2"/>
    <n v="0"/>
    <n v="180000"/>
    <n v="20135.909999999996"/>
    <n v="200135.91"/>
    <n v="29.817759912514514"/>
    <n v="25000"/>
    <n v="27"/>
    <x v="950"/>
    <x v="3"/>
    <x v="1"/>
    <x v="0"/>
  </r>
  <r>
    <x v="68"/>
    <s v="ZPEP"/>
    <x v="14"/>
    <s v="WG4022"/>
    <n v="81417709"/>
    <s v="LA PINTANA"/>
    <x v="846"/>
    <x v="1"/>
    <x v="0"/>
    <x v="31"/>
    <x v="1"/>
    <n v="4"/>
    <n v="144742"/>
    <n v="82709.599999999962"/>
    <n v="227451.59999999998"/>
    <n v="11.000009672395953"/>
    <n v="8011"/>
    <n v="100"/>
    <x v="951"/>
    <x v="3"/>
    <x v="1"/>
    <x v="1"/>
  </r>
  <r>
    <x v="68"/>
    <s v="ZTAN"/>
    <x v="7"/>
    <s v="GKRB84"/>
    <n v="1229745819"/>
    <s v="RANCAGUA"/>
    <x v="847"/>
    <x v="5"/>
    <x v="0"/>
    <x v="28"/>
    <x v="6"/>
    <n v="0"/>
    <n v="230000"/>
    <n v="0"/>
    <n v="230000"/>
    <n v="172.3621103117506"/>
    <n v="25000"/>
    <n v="5"/>
    <x v="952"/>
    <x v="3"/>
    <x v="1"/>
    <x v="0"/>
  </r>
  <r>
    <x v="68"/>
    <s v="ZTAN"/>
    <x v="7"/>
    <s v="GKRB84"/>
    <n v="122975819"/>
    <s v="RANCAGUA"/>
    <x v="848"/>
    <x v="5"/>
    <x v="0"/>
    <x v="28"/>
    <x v="6"/>
    <n v="0"/>
    <n v="230000"/>
    <n v="0"/>
    <n v="230000"/>
    <n v="14.823350773327775"/>
    <n v="25000"/>
    <n v="62"/>
    <x v="953"/>
    <x v="3"/>
    <x v="1"/>
    <x v="0"/>
  </r>
  <r>
    <x v="68"/>
    <s v="ZTAN"/>
    <x v="7"/>
    <s v="KKPF51"/>
    <n v="95707734"/>
    <s v="RANCAGUA"/>
    <x v="849"/>
    <x v="8"/>
    <x v="0"/>
    <x v="28"/>
    <x v="6"/>
    <n v="0"/>
    <n v="230000"/>
    <n v="0"/>
    <n v="230000"/>
    <n v="14.289175638819351"/>
    <n v="25000"/>
    <n v="64"/>
    <x v="954"/>
    <x v="3"/>
    <x v="1"/>
    <x v="0"/>
  </r>
  <r>
    <x v="68"/>
    <s v="ZTAN"/>
    <x v="48"/>
    <s v="UA7248"/>
    <n v="161268070"/>
    <s v="LO ESPEJO"/>
    <x v="850"/>
    <x v="1"/>
    <x v="1"/>
    <x v="68"/>
    <x v="1"/>
    <n v="2"/>
    <n v="40475"/>
    <n v="12000"/>
    <n v="52475"/>
    <n v="24.363462467035617"/>
    <n v="5782"/>
    <n v="37"/>
    <x v="955"/>
    <x v="3"/>
    <x v="1"/>
    <x v="1"/>
  </r>
  <r>
    <x v="68"/>
    <s v="ZTAN"/>
    <x v="8"/>
    <s v="BDCH61"/>
    <n v="107643206"/>
    <s v="QUILICURA"/>
    <x v="252"/>
    <x v="1"/>
    <x v="1"/>
    <x v="8"/>
    <x v="1"/>
    <n v="1"/>
    <n v="33750"/>
    <n v="15008"/>
    <n v="48758"/>
    <n v="12.995202558635395"/>
    <n v="4821"/>
    <n v="78"/>
    <x v="956"/>
    <x v="3"/>
    <x v="1"/>
    <x v="1"/>
  </r>
  <r>
    <x v="68"/>
    <s v="ZTAN"/>
    <x v="8"/>
    <s v="DP5738"/>
    <n v="35488103"/>
    <s v="SANTIAGO"/>
    <x v="851"/>
    <x v="7"/>
    <x v="1"/>
    <x v="20"/>
    <x v="1"/>
    <n v="1"/>
    <n v="33750"/>
    <n v="12000"/>
    <n v="45750"/>
    <n v="12.882969137193058"/>
    <n v="4821"/>
    <n v="74"/>
    <x v="957"/>
    <x v="3"/>
    <x v="1"/>
    <x v="1"/>
  </r>
  <r>
    <x v="68"/>
    <s v="ZTAN"/>
    <x v="8"/>
    <s v="PN4466"/>
    <n v="81417709"/>
    <s v="PUDAHUEL"/>
    <x v="469"/>
    <x v="1"/>
    <x v="0"/>
    <x v="10"/>
    <x v="1"/>
    <n v="1"/>
    <n v="33750"/>
    <n v="12000"/>
    <n v="45750"/>
    <n v="18.11163895486936"/>
    <n v="4821"/>
    <n v="52"/>
    <x v="958"/>
    <x v="3"/>
    <x v="1"/>
    <x v="1"/>
  </r>
  <r>
    <x v="68"/>
    <s v="ZTAN"/>
    <x v="8"/>
    <s v="PN4466"/>
    <n v="8141779"/>
    <s v="PUDAHUEL"/>
    <x v="852"/>
    <x v="1"/>
    <x v="0"/>
    <x v="10"/>
    <x v="1"/>
    <n v="1"/>
    <n v="64736"/>
    <n v="36992"/>
    <n v="101728"/>
    <n v="11"/>
    <n v="4821"/>
    <n v="100"/>
    <x v="959"/>
    <x v="3"/>
    <x v="1"/>
    <x v="1"/>
  </r>
  <r>
    <x v="68"/>
    <s v="ZTAN"/>
    <x v="8"/>
    <s v="SV2718"/>
    <n v="78907355"/>
    <s v="LAS CONDES"/>
    <x v="480"/>
    <x v="1"/>
    <x v="1"/>
    <x v="3"/>
    <x v="1"/>
    <n v="4"/>
    <n v="56075"/>
    <n v="12000"/>
    <n v="68075"/>
    <n v="90.718283582089555"/>
    <n v="8011"/>
    <n v="9"/>
    <x v="960"/>
    <x v="3"/>
    <x v="1"/>
    <x v="1"/>
  </r>
  <r>
    <x v="68"/>
    <s v="ZTAN"/>
    <x v="8"/>
    <s v="UA7248"/>
    <n v="99626232"/>
    <s v="QUILIN"/>
    <x v="448"/>
    <x v="1"/>
    <x v="1"/>
    <x v="34"/>
    <x v="1"/>
    <n v="4"/>
    <n v="56075"/>
    <n v="24013"/>
    <n v="80088"/>
    <n v="13.340884861407252"/>
    <n v="8011"/>
    <n v="75"/>
    <x v="961"/>
    <x v="3"/>
    <x v="1"/>
    <x v="1"/>
  </r>
  <r>
    <x v="69"/>
    <s v="ZPEP"/>
    <x v="5"/>
    <s v="CJXX49"/>
    <s v="167832741"/>
    <s v="SAN PEDRO DE LA PAZ"/>
    <x v="853"/>
    <x v="5"/>
    <x v="0"/>
    <x v="47"/>
    <x v="0"/>
    <n v="0"/>
    <n v="380000"/>
    <n v="0"/>
    <n v="380000"/>
    <n v="55.346952567661653"/>
    <n v="25000"/>
    <n v="27"/>
    <x v="962"/>
    <x v="3"/>
    <x v="1"/>
    <x v="0"/>
  </r>
  <r>
    <x v="69"/>
    <s v="ZTAN"/>
    <x v="17"/>
    <s v="WC2233"/>
    <s v="125108660"/>
    <s v="LAMPA"/>
    <x v="854"/>
    <x v="4"/>
    <x v="1"/>
    <x v="17"/>
    <x v="1"/>
    <n v="5"/>
    <n v="70000"/>
    <n v="47781.000000000029"/>
    <n v="117781.00000000003"/>
    <n v="7.3950524266968021"/>
    <n v="12000"/>
    <n v="100"/>
    <x v="963"/>
    <x v="3"/>
    <x v="1"/>
    <x v="1"/>
  </r>
  <r>
    <x v="69"/>
    <s v="ZTAN"/>
    <x v="12"/>
    <s v="DJLF85"/>
    <s v="53173292"/>
    <s v="VITACURA"/>
    <x v="855"/>
    <x v="4"/>
    <x v="1"/>
    <x v="27"/>
    <x v="1"/>
    <n v="4"/>
    <n v="95716"/>
    <n v="41021.19"/>
    <n v="136737.19"/>
    <n v="9.9999919553772099"/>
    <n v="8011"/>
    <n v="100"/>
    <x v="964"/>
    <x v="3"/>
    <x v="1"/>
    <x v="1"/>
  </r>
  <r>
    <x v="69"/>
    <s v="ZTAN"/>
    <x v="12"/>
    <s v="HLBX77"/>
    <s v="16093509K"/>
    <s v="VITACURA"/>
    <x v="169"/>
    <x v="1"/>
    <x v="1"/>
    <x v="27"/>
    <x v="1"/>
    <n v="4"/>
    <n v="102782"/>
    <n v="58732.800000000003"/>
    <n v="161514.79999999999"/>
    <n v="10.99997275798191"/>
    <n v="8011"/>
    <n v="100"/>
    <x v="965"/>
    <x v="3"/>
    <x v="1"/>
    <x v="1"/>
  </r>
  <r>
    <x v="69"/>
    <s v="ZTAN"/>
    <x v="12"/>
    <s v="WC2233"/>
    <s v="125108660"/>
    <s v="VITACURA"/>
    <x v="169"/>
    <x v="4"/>
    <x v="1"/>
    <x v="27"/>
    <x v="1"/>
    <n v="4"/>
    <n v="102782"/>
    <n v="44049.600000000006"/>
    <n v="146831.6"/>
    <n v="9.9999727579819115"/>
    <n v="8011"/>
    <n v="100"/>
    <x v="966"/>
    <x v="3"/>
    <x v="1"/>
    <x v="1"/>
  </r>
  <r>
    <x v="69"/>
    <s v="ZTAN"/>
    <x v="12"/>
    <s v="XR6339"/>
    <s v="161268070"/>
    <s v="VITACURA"/>
    <x v="577"/>
    <x v="1"/>
    <x v="1"/>
    <x v="27"/>
    <x v="1"/>
    <n v="4"/>
    <n v="77087"/>
    <n v="44049.599999999999"/>
    <n v="121136.6"/>
    <n v="11.000018161345393"/>
    <n v="8011"/>
    <n v="100"/>
    <x v="967"/>
    <x v="3"/>
    <x v="1"/>
    <x v="1"/>
  </r>
  <r>
    <x v="69"/>
    <s v="ZTAN"/>
    <x v="7"/>
    <s v="KKPF51"/>
    <s v="95707734"/>
    <s v="CHILLAN"/>
    <x v="856"/>
    <x v="8"/>
    <x v="0"/>
    <x v="21"/>
    <x v="5"/>
    <n v="0"/>
    <n v="350000"/>
    <n v="0"/>
    <n v="350000"/>
    <n v="24.136599360035344"/>
    <n v="25000"/>
    <n v="58"/>
    <x v="968"/>
    <x v="3"/>
    <x v="1"/>
    <x v="0"/>
  </r>
  <r>
    <x v="69"/>
    <s v="ZTAN"/>
    <x v="7"/>
    <s v="TP3884"/>
    <s v="107643206"/>
    <s v="MELIPILLA"/>
    <x v="414"/>
    <x v="1"/>
    <x v="1"/>
    <x v="29"/>
    <x v="1"/>
    <n v="5"/>
    <n v="90000"/>
    <n v="39021"/>
    <n v="129021"/>
    <n v="13.225869279973761"/>
    <n v="12000"/>
    <n v="81"/>
    <x v="969"/>
    <x v="3"/>
    <x v="1"/>
    <x v="1"/>
  </r>
  <r>
    <x v="70"/>
    <s v="ZTAN"/>
    <x v="8"/>
    <s v="BDCH61"/>
    <s v="99626232"/>
    <s v="LA REINA"/>
    <x v="857"/>
    <x v="1"/>
    <x v="1"/>
    <x v="11"/>
    <x v="1"/>
    <n v="3"/>
    <n v="48075"/>
    <n v="10168"/>
    <n v="58243"/>
    <n v="22.911642873721021"/>
    <n v="6868"/>
    <n v="37"/>
    <x v="970"/>
    <x v="3"/>
    <x v="1"/>
    <x v="1"/>
  </r>
  <r>
    <x v="70"/>
    <s v="ZTAN"/>
    <x v="8"/>
    <s v="DJLF85"/>
    <s v="53173292"/>
    <s v="SAN MIGUEL"/>
    <x v="472"/>
    <x v="4"/>
    <x v="1"/>
    <x v="23"/>
    <x v="1"/>
    <n v="2"/>
    <n v="40475"/>
    <n v="3076"/>
    <n v="43551"/>
    <n v="42.4804916113929"/>
    <n v="5782"/>
    <n v="18"/>
    <x v="971"/>
    <x v="3"/>
    <x v="1"/>
    <x v="1"/>
  </r>
  <r>
    <x v="70"/>
    <s v="ZTAN"/>
    <x v="8"/>
    <s v="DP5738"/>
    <s v="35488103"/>
    <s v="HUECHURABA"/>
    <x v="435"/>
    <x v="7"/>
    <x v="1"/>
    <x v="24"/>
    <x v="1"/>
    <n v="1"/>
    <n v="33750"/>
    <n v="4502"/>
    <n v="38252"/>
    <n v="25.487739872068232"/>
    <n v="4821"/>
    <n v="31"/>
    <x v="972"/>
    <x v="3"/>
    <x v="1"/>
    <x v="1"/>
  </r>
  <r>
    <x v="70"/>
    <s v="ZTAN"/>
    <x v="8"/>
    <s v="SV2718"/>
    <s v="78907355"/>
    <s v="ÑUÑOA"/>
    <x v="858"/>
    <x v="1"/>
    <x v="1"/>
    <x v="15"/>
    <x v="1"/>
    <n v="4"/>
    <n v="56075"/>
    <n v="17083"/>
    <n v="73158"/>
    <n v="17.129651309812591"/>
    <n v="8011"/>
    <n v="53"/>
    <x v="973"/>
    <x v="3"/>
    <x v="1"/>
    <x v="1"/>
  </r>
  <r>
    <x v="70"/>
    <s v="ZTAN"/>
    <x v="8"/>
    <s v="TP3884"/>
    <s v="107643206"/>
    <s v="PUDAHUEL"/>
    <x v="859"/>
    <x v="1"/>
    <x v="1"/>
    <x v="10"/>
    <x v="1"/>
    <n v="1"/>
    <n v="44926"/>
    <n v="25672"/>
    <n v="70598"/>
    <n v="10.999948582353154"/>
    <n v="4821"/>
    <n v="100"/>
    <x v="974"/>
    <x v="3"/>
    <x v="1"/>
    <x v="1"/>
  </r>
  <r>
    <x v="70"/>
    <s v="ZTAN"/>
    <x v="8"/>
    <s v="UA7248"/>
    <s v="161268070"/>
    <s v="LA FLORIDA"/>
    <x v="435"/>
    <x v="1"/>
    <x v="1"/>
    <x v="33"/>
    <x v="1"/>
    <n v="3"/>
    <n v="48075"/>
    <n v="12000"/>
    <n v="60075"/>
    <n v="40.028651385927503"/>
    <n v="6868"/>
    <n v="22"/>
    <x v="975"/>
    <x v="3"/>
    <x v="1"/>
    <x v="1"/>
  </r>
  <r>
    <x v="70"/>
    <s v="ZTAN"/>
    <x v="8"/>
    <s v="XR6339"/>
    <s v="78907355"/>
    <s v="CERRILLOS"/>
    <x v="860"/>
    <x v="1"/>
    <x v="1"/>
    <x v="9"/>
    <x v="1"/>
    <n v="2"/>
    <n v="40475"/>
    <n v="13747"/>
    <n v="54222"/>
    <n v="15.776701854028699"/>
    <n v="5782"/>
    <n v="59"/>
    <x v="976"/>
    <x v="3"/>
    <x v="1"/>
    <x v="1"/>
  </r>
  <r>
    <x v="71"/>
    <s v="ZPEP"/>
    <x v="18"/>
    <s v="HLBX77"/>
    <s v="16093509K"/>
    <s v="CARTAGENA"/>
    <x v="861"/>
    <x v="1"/>
    <x v="1"/>
    <x v="40"/>
    <x v="2"/>
    <n v="0"/>
    <n v="180000"/>
    <n v="19911.759999999998"/>
    <n v="199911.76"/>
    <n v="40.159535872268457"/>
    <n v="25000"/>
    <n v="20"/>
    <x v="977"/>
    <x v="3"/>
    <x v="1"/>
    <x v="0"/>
  </r>
  <r>
    <x v="71"/>
    <s v="ZPEP"/>
    <x v="33"/>
    <s v="DJLF85"/>
    <s v="125108660"/>
    <s v="BUIN"/>
    <x v="862"/>
    <x v="4"/>
    <x v="1"/>
    <x v="56"/>
    <x v="1"/>
    <n v="5"/>
    <n v="90000"/>
    <n v="17111.010000000002"/>
    <n v="107111.01000000001"/>
    <n v="18.779314020621811"/>
    <n v="12000"/>
    <n v="48"/>
    <x v="978"/>
    <x v="3"/>
    <x v="1"/>
    <x v="1"/>
  </r>
  <r>
    <x v="71"/>
    <s v="ZTAN"/>
    <x v="8"/>
    <s v="BDCH61"/>
    <s v="81417709"/>
    <s v="SAN BERNARDO"/>
    <x v="863"/>
    <x v="1"/>
    <x v="1"/>
    <x v="4"/>
    <x v="1"/>
    <n v="4"/>
    <n v="56075"/>
    <n v="26343"/>
    <n v="82418"/>
    <n v="12.514823942432237"/>
    <n v="8011"/>
    <n v="82"/>
    <x v="979"/>
    <x v="3"/>
    <x v="1"/>
    <x v="1"/>
  </r>
  <r>
    <x v="71"/>
    <s v="ZTAN"/>
    <x v="8"/>
    <s v="DP5738"/>
    <s v="35488103"/>
    <s v="EL BOSQUE"/>
    <x v="864"/>
    <x v="7"/>
    <x v="1"/>
    <x v="25"/>
    <x v="1"/>
    <n v="3"/>
    <n v="48075"/>
    <n v="0"/>
    <n v="48075"/>
    <n v="23.091887218406264"/>
    <n v="6868"/>
    <n v="30"/>
    <x v="980"/>
    <x v="3"/>
    <x v="1"/>
    <x v="1"/>
  </r>
  <r>
    <x v="71"/>
    <s v="ZTAN"/>
    <x v="8"/>
    <s v="HLBX77"/>
    <s v="16093509K"/>
    <s v="PUENTE ALTO"/>
    <x v="865"/>
    <x v="1"/>
    <x v="1"/>
    <x v="30"/>
    <x v="1"/>
    <n v="4"/>
    <n v="56075"/>
    <n v="13037"/>
    <n v="69112"/>
    <n v="21.20455312490412"/>
    <n v="8011"/>
    <n v="41"/>
    <x v="981"/>
    <x v="3"/>
    <x v="1"/>
    <x v="1"/>
  </r>
  <r>
    <x v="71"/>
    <s v="ZTAN"/>
    <x v="8"/>
    <s v="SV2718"/>
    <s v="161268070"/>
    <s v="LAS CONDES"/>
    <x v="866"/>
    <x v="1"/>
    <x v="1"/>
    <x v="3"/>
    <x v="1"/>
    <n v="4"/>
    <n v="56075"/>
    <n v="14261"/>
    <n v="70336"/>
    <n v="19.727822467548489"/>
    <n v="8011"/>
    <n v="45"/>
    <x v="982"/>
    <x v="3"/>
    <x v="1"/>
    <x v="1"/>
  </r>
  <r>
    <x v="71"/>
    <s v="ZTAN"/>
    <x v="8"/>
    <s v="TP3884"/>
    <s v="99626232"/>
    <s v="PUDAHUEL"/>
    <x v="867"/>
    <x v="1"/>
    <x v="1"/>
    <x v="10"/>
    <x v="1"/>
    <n v="1"/>
    <n v="33750"/>
    <n v="17405"/>
    <n v="51155"/>
    <n v="11.756391841424877"/>
    <n v="4821"/>
    <n v="90"/>
    <x v="983"/>
    <x v="3"/>
    <x v="1"/>
    <x v="1"/>
  </r>
  <r>
    <x v="71"/>
    <s v="ZTAN"/>
    <x v="8"/>
    <s v="UA7248"/>
    <s v="107643206"/>
    <s v="REÑACA"/>
    <x v="868"/>
    <x v="1"/>
    <x v="1"/>
    <x v="6"/>
    <x v="2"/>
    <n v="0"/>
    <n v="180000"/>
    <n v="26507.199999999993"/>
    <n v="206507.19999999998"/>
    <n v="31.162431339409675"/>
    <n v="25000"/>
    <n v="27"/>
    <x v="984"/>
    <x v="3"/>
    <x v="1"/>
    <x v="0"/>
  </r>
  <r>
    <x v="72"/>
    <s v="ZNL"/>
    <x v="0"/>
    <s v="BDDR40"/>
    <s v="116813351"/>
    <s v="TALCAHUANO"/>
    <x v="419"/>
    <x v="0"/>
    <x v="0"/>
    <x v="0"/>
    <x v="0"/>
    <n v="0"/>
    <n v="380000"/>
    <n v="0"/>
    <n v="380000"/>
    <n v="46.094129063561354"/>
    <n v="25000"/>
    <n v="33"/>
    <x v="985"/>
    <x v="3"/>
    <x v="1"/>
    <x v="0"/>
  </r>
  <r>
    <x v="72"/>
    <s v="ZPEP"/>
    <x v="5"/>
    <s v="PN4466"/>
    <s v="81417709"/>
    <s v="BUIN"/>
    <x v="869"/>
    <x v="1"/>
    <x v="0"/>
    <x v="56"/>
    <x v="1"/>
    <n v="5"/>
    <n v="120000"/>
    <n v="0"/>
    <n v="120000"/>
    <n v="10.524524773854273"/>
    <n v="12000"/>
    <n v="95"/>
    <x v="986"/>
    <x v="3"/>
    <x v="1"/>
    <x v="1"/>
  </r>
  <r>
    <x v="72"/>
    <s v="ZPEP"/>
    <x v="5"/>
    <s v="VV6251"/>
    <s v="139518071"/>
    <s v="SAN PEDRO DE LA PAZ"/>
    <x v="870"/>
    <x v="0"/>
    <x v="0"/>
    <x v="47"/>
    <x v="0"/>
    <n v="0"/>
    <n v="380000"/>
    <n v="0"/>
    <n v="380000"/>
    <n v="37.094124388313013"/>
    <n v="25000"/>
    <n v="41"/>
    <x v="987"/>
    <x v="3"/>
    <x v="1"/>
    <x v="0"/>
  </r>
  <r>
    <x v="72"/>
    <s v="ZPEP"/>
    <x v="12"/>
    <s v="XR6339"/>
    <s v="161268070"/>
    <s v="VITACURA"/>
    <x v="871"/>
    <x v="1"/>
    <x v="1"/>
    <x v="27"/>
    <x v="1"/>
    <n v="4"/>
    <n v="56075"/>
    <n v="13581"/>
    <n v="69656"/>
    <n v="20.515720491863632"/>
    <n v="8011"/>
    <n v="42"/>
    <x v="988"/>
    <x v="3"/>
    <x v="1"/>
    <x v="1"/>
  </r>
  <r>
    <x v="72"/>
    <s v="ZTAN"/>
    <x v="3"/>
    <s v="HLBX77"/>
    <s v="16093509K"/>
    <s v="LAS CONDES"/>
    <x v="35"/>
    <x v="1"/>
    <x v="1"/>
    <x v="3"/>
    <x v="1"/>
    <n v="4"/>
    <n v="56075"/>
    <n v="31292.000000000004"/>
    <n v="87367"/>
    <n v="11.167966253355489"/>
    <n v="8011"/>
    <n v="98"/>
    <x v="989"/>
    <x v="3"/>
    <x v="1"/>
    <x v="1"/>
  </r>
  <r>
    <x v="72"/>
    <s v="ZTAN"/>
    <x v="3"/>
    <s v="WC2233"/>
    <s v="125108660"/>
    <s v="LAS CONDES"/>
    <x v="872"/>
    <x v="4"/>
    <x v="1"/>
    <x v="3"/>
    <x v="1"/>
    <n v="4"/>
    <n v="71189"/>
    <n v="30509.699999999997"/>
    <n v="101698.7"/>
    <n v="9.999970501184869"/>
    <n v="8011"/>
    <n v="100"/>
    <x v="990"/>
    <x v="3"/>
    <x v="1"/>
    <x v="1"/>
  </r>
  <r>
    <x v="72"/>
    <s v="ZTAN"/>
    <x v="11"/>
    <s v="DP5738"/>
    <s v="35488103"/>
    <s v="PADRE HURTADO"/>
    <x v="873"/>
    <x v="7"/>
    <x v="1"/>
    <x v="26"/>
    <x v="1"/>
    <n v="5"/>
    <n v="70000"/>
    <n v="0"/>
    <n v="70000"/>
    <n v="28.806584362139919"/>
    <n v="12000"/>
    <n v="20"/>
    <x v="991"/>
    <x v="3"/>
    <x v="1"/>
    <x v="1"/>
  </r>
  <r>
    <x v="72"/>
    <s v="ZTAN"/>
    <x v="12"/>
    <s v="DJLF85"/>
    <s v="53173292"/>
    <s v="VITACURA"/>
    <x v="874"/>
    <x v="4"/>
    <x v="1"/>
    <x v="27"/>
    <x v="1"/>
    <n v="4"/>
    <n v="64163"/>
    <n v="27498.239999999991"/>
    <n v="91661.239999999991"/>
    <n v="10.0000480030722"/>
    <n v="8011"/>
    <n v="100"/>
    <x v="992"/>
    <x v="3"/>
    <x v="1"/>
    <x v="1"/>
  </r>
  <r>
    <x v="72"/>
    <s v="ZTAN"/>
    <x v="10"/>
    <s v="DJLF85"/>
    <s v="53173292"/>
    <s v="SANTIAGO"/>
    <x v="875"/>
    <x v="4"/>
    <x v="1"/>
    <x v="20"/>
    <x v="1"/>
    <n v="1"/>
    <n v="67843"/>
    <n v="29075"/>
    <n v="96918"/>
    <n v="10.000000000000005"/>
    <n v="4821"/>
    <n v="100"/>
    <x v="993"/>
    <x v="3"/>
    <x v="1"/>
    <x v="1"/>
  </r>
  <r>
    <x v="72"/>
    <s v="ZTAN"/>
    <x v="10"/>
    <s v="XR6339"/>
    <s v="161268070"/>
    <s v="SANTIAGO"/>
    <x v="876"/>
    <x v="1"/>
    <x v="1"/>
    <x v="20"/>
    <x v="1"/>
    <n v="1"/>
    <n v="65752"/>
    <n v="37573"/>
    <n v="103325"/>
    <n v="10.999966997437516"/>
    <n v="4821"/>
    <n v="100"/>
    <x v="994"/>
    <x v="3"/>
    <x v="1"/>
    <x v="1"/>
  </r>
  <r>
    <x v="72"/>
    <s v="ZTAN"/>
    <x v="24"/>
    <s v="GKRB84"/>
    <s v="122975819"/>
    <s v="MACHALI"/>
    <x v="877"/>
    <x v="5"/>
    <x v="0"/>
    <x v="43"/>
    <x v="6"/>
    <n v="0"/>
    <n v="230000"/>
    <n v="0"/>
    <n v="230000"/>
    <n v="13.781863068202252"/>
    <n v="25000"/>
    <n v="67"/>
    <x v="995"/>
    <x v="3"/>
    <x v="1"/>
    <x v="0"/>
  </r>
  <r>
    <x v="72"/>
    <s v="ZTAN"/>
    <x v="7"/>
    <s v="BDCH61"/>
    <s v="78907355"/>
    <s v="SAN MIGUEL"/>
    <x v="878"/>
    <x v="1"/>
    <x v="1"/>
    <x v="23"/>
    <x v="1"/>
    <n v="2"/>
    <n v="50522"/>
    <n v="28870"/>
    <n v="79392"/>
    <n v="10.999930723934883"/>
    <n v="5782"/>
    <n v="100"/>
    <x v="996"/>
    <x v="3"/>
    <x v="1"/>
    <x v="1"/>
  </r>
  <r>
    <x v="72"/>
    <s v="ZTAN"/>
    <x v="7"/>
    <s v="SV2718"/>
    <s v="107643206"/>
    <s v="SAN MIGUEL"/>
    <x v="879"/>
    <x v="1"/>
    <x v="1"/>
    <x v="23"/>
    <x v="1"/>
    <n v="2"/>
    <n v="52290"/>
    <n v="29880"/>
    <n v="82170"/>
    <n v="10.999999999999996"/>
    <n v="5782"/>
    <n v="100"/>
    <x v="997"/>
    <x v="3"/>
    <x v="1"/>
    <x v="1"/>
  </r>
  <r>
    <x v="72"/>
    <s v="ZTAN"/>
    <x v="7"/>
    <s v="TP3884"/>
    <s v="99626232"/>
    <s v="MELIPILLA"/>
    <x v="880"/>
    <x v="1"/>
    <x v="1"/>
    <x v="29"/>
    <x v="1"/>
    <n v="5"/>
    <n v="90000"/>
    <n v="27332"/>
    <n v="117332"/>
    <n v="17.171625517715757"/>
    <n v="12000"/>
    <n v="57"/>
    <x v="998"/>
    <x v="3"/>
    <x v="1"/>
    <x v="1"/>
  </r>
  <r>
    <x v="72"/>
    <s v="ZTAN"/>
    <x v="48"/>
    <s v="PN4466"/>
    <s v="81417709"/>
    <s v="LO ESPEJO"/>
    <x v="881"/>
    <x v="1"/>
    <x v="0"/>
    <x v="68"/>
    <x v="1"/>
    <n v="2"/>
    <n v="147533"/>
    <n v="84304.8"/>
    <n v="231837.8"/>
    <n v="10.999981021246713"/>
    <n v="5782"/>
    <n v="100"/>
    <x v="999"/>
    <x v="3"/>
    <x v="1"/>
    <x v="1"/>
  </r>
  <r>
    <x v="72"/>
    <s v="ZTAN"/>
    <x v="8"/>
    <s v="BDCH61"/>
    <s v="99626232"/>
    <s v="ÑUÑOA"/>
    <x v="882"/>
    <x v="1"/>
    <x v="1"/>
    <x v="15"/>
    <x v="1"/>
    <n v="4"/>
    <n v="56075"/>
    <n v="12000"/>
    <n v="68075"/>
    <n v="23.865867339784042"/>
    <n v="8011"/>
    <n v="36"/>
    <x v="1000"/>
    <x v="3"/>
    <x v="1"/>
    <x v="1"/>
  </r>
  <r>
    <x v="72"/>
    <s v="ZTAN"/>
    <x v="8"/>
    <s v="SV2718"/>
    <s v="107643206"/>
    <s v="CERRILLOS"/>
    <x v="883"/>
    <x v="1"/>
    <x v="1"/>
    <x v="9"/>
    <x v="1"/>
    <n v="2"/>
    <n v="40475"/>
    <n v="12000"/>
    <n v="52475"/>
    <n v="18.036984841714499"/>
    <n v="5782"/>
    <n v="50"/>
    <x v="1001"/>
    <x v="3"/>
    <x v="1"/>
    <x v="1"/>
  </r>
  <r>
    <x v="72"/>
    <s v="ZTAN"/>
    <x v="8"/>
    <s v="TP3884"/>
    <s v="161268070"/>
    <s v="PUDAHUEL"/>
    <x v="884"/>
    <x v="1"/>
    <x v="1"/>
    <x v="10"/>
    <x v="1"/>
    <n v="1"/>
    <n v="33750"/>
    <n v="13528"/>
    <n v="47278"/>
    <n v="13.97880619256561"/>
    <n v="4821"/>
    <n v="70"/>
    <x v="1002"/>
    <x v="3"/>
    <x v="1"/>
    <x v="1"/>
  </r>
  <r>
    <x v="72"/>
    <s v="ZTAN"/>
    <x v="8"/>
    <s v="UA7248"/>
    <s v="78907355"/>
    <s v="MAIPU"/>
    <x v="885"/>
    <x v="1"/>
    <x v="1"/>
    <x v="2"/>
    <x v="1"/>
    <n v="2"/>
    <n v="40475"/>
    <n v="19326"/>
    <n v="59801"/>
    <n v="12.377008125639019"/>
    <n v="5782"/>
    <n v="84"/>
    <x v="1003"/>
    <x v="3"/>
    <x v="1"/>
    <x v="1"/>
  </r>
  <r>
    <x v="72"/>
    <s v="ZTAN"/>
    <x v="45"/>
    <s v="KKPF51"/>
    <s v="95707734"/>
    <s v="SAN JOSE DE MAIPO"/>
    <x v="756"/>
    <x v="8"/>
    <x v="0"/>
    <x v="66"/>
    <x v="1"/>
    <n v="5"/>
    <n v="120000"/>
    <n v="0"/>
    <n v="120000"/>
    <n v="13.076168682576006"/>
    <n v="12000"/>
    <n v="76"/>
    <x v="1004"/>
    <x v="3"/>
    <x v="1"/>
    <x v="1"/>
  </r>
  <r>
    <x v="73"/>
    <s v="ZNL"/>
    <x v="0"/>
    <s v="RJ6819"/>
    <s v="94742285"/>
    <s v="TALCAHUANO"/>
    <x v="886"/>
    <x v="5"/>
    <x v="0"/>
    <x v="0"/>
    <x v="0"/>
    <n v="0"/>
    <n v="380000"/>
    <n v="0"/>
    <n v="380000"/>
    <n v="27.114193566800829"/>
    <n v="25000"/>
    <n v="56"/>
    <x v="1005"/>
    <x v="3"/>
    <x v="1"/>
    <x v="0"/>
  </r>
  <r>
    <x v="73"/>
    <s v="ZPEP"/>
    <x v="3"/>
    <s v="PN4466"/>
    <s v="81417709"/>
    <s v="LAS CONDES"/>
    <x v="887"/>
    <x v="1"/>
    <x v="0"/>
    <x v="3"/>
    <x v="1"/>
    <n v="4"/>
    <n v="68478"/>
    <n v="39130.080000000002"/>
    <n v="107608.08"/>
    <n v="11.000036800333657"/>
    <n v="8011"/>
    <n v="100"/>
    <x v="1006"/>
    <x v="3"/>
    <x v="1"/>
    <x v="1"/>
  </r>
  <r>
    <x v="73"/>
    <s v="ZPEP"/>
    <x v="5"/>
    <s v="HLBX77"/>
    <s v="16093509K"/>
    <s v="BUIN"/>
    <x v="888"/>
    <x v="1"/>
    <x v="1"/>
    <x v="56"/>
    <x v="1"/>
    <n v="5"/>
    <n v="90000"/>
    <n v="42504.32"/>
    <n v="132504.32000000001"/>
    <n v="12.469727312423773"/>
    <n v="12000"/>
    <n v="89"/>
    <x v="1007"/>
    <x v="3"/>
    <x v="1"/>
    <x v="1"/>
  </r>
  <r>
    <x v="73"/>
    <s v="ZTAN"/>
    <x v="13"/>
    <s v="DP5738"/>
    <s v="35488103"/>
    <s v="SANTIAGO"/>
    <x v="889"/>
    <x v="7"/>
    <x v="1"/>
    <x v="20"/>
    <x v="1"/>
    <n v="1"/>
    <n v="33750"/>
    <n v="0"/>
    <n v="33750"/>
    <n v="8.458646616541353"/>
    <n v="4821"/>
    <n v="83"/>
    <x v="1008"/>
    <x v="3"/>
    <x v="1"/>
    <x v="1"/>
  </r>
  <r>
    <x v="73"/>
    <s v="ZTAN"/>
    <x v="3"/>
    <s v="BDCH61"/>
    <s v="107643206"/>
    <s v="LAS CONDES"/>
    <x v="299"/>
    <x v="1"/>
    <x v="1"/>
    <x v="3"/>
    <x v="1"/>
    <n v="4"/>
    <n v="56075"/>
    <n v="25033.600000000002"/>
    <n v="81108.600000000006"/>
    <n v="12.959957816694363"/>
    <n v="8011"/>
    <n v="78"/>
    <x v="1009"/>
    <x v="3"/>
    <x v="1"/>
    <x v="1"/>
  </r>
  <r>
    <x v="73"/>
    <s v="ZTAN"/>
    <x v="5"/>
    <s v="XR6339"/>
    <s v="161268070"/>
    <s v="BUIN"/>
    <x v="890"/>
    <x v="1"/>
    <x v="1"/>
    <x v="56"/>
    <x v="1"/>
    <n v="5"/>
    <n v="90000"/>
    <n v="25920"/>
    <n v="115920"/>
    <n v="17.888888888888889"/>
    <n v="12000"/>
    <n v="54"/>
    <x v="1010"/>
    <x v="3"/>
    <x v="1"/>
    <x v="1"/>
  </r>
  <r>
    <x v="73"/>
    <s v="ZTAN"/>
    <x v="8"/>
    <s v="BDCH61"/>
    <s v="99626232"/>
    <s v="ÑUÑOA"/>
    <x v="891"/>
    <x v="1"/>
    <x v="1"/>
    <x v="15"/>
    <x v="1"/>
    <n v="4"/>
    <n v="56075"/>
    <n v="17915"/>
    <n v="73990"/>
    <n v="16.520050013396453"/>
    <n v="8011"/>
    <n v="56"/>
    <x v="1011"/>
    <x v="3"/>
    <x v="1"/>
    <x v="1"/>
  </r>
  <r>
    <x v="73"/>
    <s v="ZTAN"/>
    <x v="8"/>
    <s v="DP5738"/>
    <s v="35488103"/>
    <s v="LA FLORIDA"/>
    <x v="892"/>
    <x v="7"/>
    <x v="1"/>
    <x v="33"/>
    <x v="1"/>
    <n v="3"/>
    <n v="48075"/>
    <n v="0"/>
    <n v="48075"/>
    <n v="13.34378816476074"/>
    <n v="6868"/>
    <n v="52"/>
    <x v="1012"/>
    <x v="3"/>
    <x v="1"/>
    <x v="1"/>
  </r>
  <r>
    <x v="73"/>
    <s v="ZTAN"/>
    <x v="8"/>
    <s v="HLBX77"/>
    <s v="16093509K"/>
    <s v="PUDAHUEL"/>
    <x v="893"/>
    <x v="1"/>
    <x v="1"/>
    <x v="10"/>
    <x v="1"/>
    <n v="1"/>
    <n v="33750"/>
    <n v="16198"/>
    <n v="49948"/>
    <n v="12.334362266946536"/>
    <n v="4821"/>
    <n v="84"/>
    <x v="1013"/>
    <x v="3"/>
    <x v="1"/>
    <x v="1"/>
  </r>
  <r>
    <x v="73"/>
    <s v="ZTAN"/>
    <x v="8"/>
    <s v="SV2718"/>
    <s v="107643206"/>
    <s v="QUILIN"/>
    <x v="894"/>
    <x v="1"/>
    <x v="1"/>
    <x v="34"/>
    <x v="1"/>
    <n v="4"/>
    <n v="56075"/>
    <n v="12784"/>
    <n v="68859"/>
    <n v="21.546043368065334"/>
    <n v="8011"/>
    <n v="40"/>
    <x v="1014"/>
    <x v="3"/>
    <x v="1"/>
    <x v="1"/>
  </r>
  <r>
    <x v="73"/>
    <s v="ZTAN"/>
    <x v="8"/>
    <s v="TP3884"/>
    <s v="161268070"/>
    <s v="SAN MIGUEL"/>
    <x v="895"/>
    <x v="1"/>
    <x v="1"/>
    <x v="23"/>
    <x v="1"/>
    <n v="2"/>
    <n v="40475"/>
    <n v="12000"/>
    <n v="52475"/>
    <n v="19.918390586449043"/>
    <n v="5782"/>
    <n v="46"/>
    <x v="1015"/>
    <x v="3"/>
    <x v="1"/>
    <x v="1"/>
  </r>
  <r>
    <x v="73"/>
    <s v="ZTAN"/>
    <x v="8"/>
    <s v="UA7248"/>
    <s v="78907355"/>
    <s v="LA REINA"/>
    <x v="896"/>
    <x v="1"/>
    <x v="1"/>
    <x v="11"/>
    <x v="1"/>
    <n v="3"/>
    <n v="48075"/>
    <n v="12440"/>
    <n v="60515"/>
    <n v="19.457573711456224"/>
    <n v="6868"/>
    <n v="45"/>
    <x v="1016"/>
    <x v="3"/>
    <x v="1"/>
    <x v="1"/>
  </r>
  <r>
    <x v="73"/>
    <s v="ZTAN"/>
    <x v="8"/>
    <s v="XR6339"/>
    <s v="78907355"/>
    <s v="LAS CONDES"/>
    <x v="897"/>
    <x v="1"/>
    <x v="1"/>
    <x v="3"/>
    <x v="1"/>
    <n v="4"/>
    <n v="56075"/>
    <n v="12000"/>
    <n v="68075"/>
    <n v="53.063372047704419"/>
    <n v="8011"/>
    <n v="16"/>
    <x v="1017"/>
    <x v="3"/>
    <x v="1"/>
    <x v="1"/>
  </r>
  <r>
    <x v="74"/>
    <s v="ZNL"/>
    <x v="0"/>
    <s v="CJXX49"/>
    <s v="167832741"/>
    <s v="TALCAHUANO"/>
    <x v="886"/>
    <x v="5"/>
    <x v="0"/>
    <x v="0"/>
    <x v="0"/>
    <n v="0"/>
    <n v="380000"/>
    <n v="0"/>
    <n v="380000"/>
    <n v="27.114193566800829"/>
    <n v="25000"/>
    <n v="56"/>
    <x v="1018"/>
    <x v="3"/>
    <x v="1"/>
    <x v="0"/>
  </r>
  <r>
    <x v="74"/>
    <s v="ZPEP"/>
    <x v="3"/>
    <s v="SU9354"/>
    <s v="72564391"/>
    <s v="LAS CONDES"/>
    <x v="887"/>
    <x v="2"/>
    <x v="1"/>
    <x v="3"/>
    <x v="1"/>
    <n v="4"/>
    <n v="68478"/>
    <n v="29347.56"/>
    <n v="97825.56"/>
    <n v="10.000036800333655"/>
    <n v="8011"/>
    <n v="100"/>
    <x v="1019"/>
    <x v="3"/>
    <x v="1"/>
    <x v="1"/>
  </r>
  <r>
    <x v="74"/>
    <s v="ZPEP"/>
    <x v="1"/>
    <s v="KKPF51"/>
    <s v="95707734"/>
    <s v="ISLA DE MAIPO"/>
    <x v="898"/>
    <x v="8"/>
    <x v="0"/>
    <x v="1"/>
    <x v="1"/>
    <n v="5"/>
    <n v="120000"/>
    <n v="0"/>
    <n v="120000"/>
    <n v="22.452736988638915"/>
    <n v="12000"/>
    <n v="45"/>
    <x v="1020"/>
    <x v="3"/>
    <x v="1"/>
    <x v="1"/>
  </r>
  <r>
    <x v="74"/>
    <s v="ZTAN"/>
    <x v="12"/>
    <s v="DJLF85"/>
    <s v="53173292"/>
    <s v="VITACURA"/>
    <x v="899"/>
    <x v="4"/>
    <x v="1"/>
    <x v="27"/>
    <x v="1"/>
    <n v="4"/>
    <n v="56075"/>
    <n v="0"/>
    <n v="56075"/>
    <n v="8.0753168202765"/>
    <n v="8011"/>
    <n v="87"/>
    <x v="1021"/>
    <x v="3"/>
    <x v="1"/>
    <x v="1"/>
  </r>
  <r>
    <x v="74"/>
    <s v="ZTAN"/>
    <x v="12"/>
    <s v="PN4466"/>
    <s v="81417709"/>
    <s v="VITACURA"/>
    <x v="900"/>
    <x v="1"/>
    <x v="0"/>
    <x v="27"/>
    <x v="1"/>
    <n v="4"/>
    <n v="79863"/>
    <n v="45636"/>
    <n v="125499"/>
    <n v="11"/>
    <n v="8011"/>
    <n v="100"/>
    <x v="1022"/>
    <x v="3"/>
    <x v="1"/>
    <x v="1"/>
  </r>
  <r>
    <x v="74"/>
    <s v="ZTAN"/>
    <x v="6"/>
    <s v="YP6892"/>
    <s v="124157498"/>
    <s v="VALPARAISO"/>
    <x v="901"/>
    <x v="0"/>
    <x v="0"/>
    <x v="36"/>
    <x v="2"/>
    <n v="0"/>
    <n v="230000"/>
    <n v="0"/>
    <n v="230000"/>
    <n v="55.092459519018874"/>
    <n v="25000"/>
    <n v="17"/>
    <x v="1023"/>
    <x v="3"/>
    <x v="1"/>
    <x v="0"/>
  </r>
  <r>
    <x v="74"/>
    <s v="ZTAN"/>
    <x v="6"/>
    <s v="YP6892"/>
    <s v="124157498"/>
    <s v="VIÑA DEL MAR"/>
    <x v="252"/>
    <x v="0"/>
    <x v="0"/>
    <x v="6"/>
    <x v="2"/>
    <n v="0"/>
    <n v="230000"/>
    <n v="0"/>
    <n v="230000"/>
    <n v="61.300639658848617"/>
    <n v="25000"/>
    <n v="15"/>
    <x v="1024"/>
    <x v="3"/>
    <x v="1"/>
    <x v="0"/>
  </r>
  <r>
    <x v="74"/>
    <s v="ZTAN"/>
    <x v="16"/>
    <s v="WC2233"/>
    <s v="125108660"/>
    <s v="SAN BERNARDO"/>
    <x v="902"/>
    <x v="4"/>
    <x v="1"/>
    <x v="4"/>
    <x v="1"/>
    <n v="4"/>
    <n v="67444"/>
    <n v="28904.399999999987"/>
    <n v="96348.4"/>
    <n v="10.000041516170553"/>
    <n v="8011"/>
    <n v="100"/>
    <x v="1025"/>
    <x v="3"/>
    <x v="1"/>
    <x v="1"/>
  </r>
  <r>
    <x v="74"/>
    <s v="ZTAN"/>
    <x v="7"/>
    <s v="GKRB84"/>
    <s v="122975819"/>
    <s v="RANCAGUA"/>
    <x v="903"/>
    <x v="5"/>
    <x v="0"/>
    <x v="28"/>
    <x v="6"/>
    <n v="0"/>
    <n v="230000"/>
    <n v="0"/>
    <n v="230000"/>
    <n v="10.594781839622643"/>
    <n v="25000"/>
    <n v="87"/>
    <x v="1026"/>
    <x v="3"/>
    <x v="1"/>
    <x v="0"/>
  </r>
  <r>
    <x v="74"/>
    <s v="ZTAN"/>
    <x v="8"/>
    <s v="BDCH61"/>
    <s v="107643206"/>
    <s v="PUENTE ALTO"/>
    <x v="372"/>
    <x v="1"/>
    <x v="1"/>
    <x v="30"/>
    <x v="1"/>
    <n v="4"/>
    <n v="56075"/>
    <n v="21011"/>
    <n v="77086"/>
    <n v="14.675220834602502"/>
    <n v="8011"/>
    <n v="66"/>
    <x v="1027"/>
    <x v="3"/>
    <x v="1"/>
    <x v="1"/>
  </r>
  <r>
    <x v="74"/>
    <s v="ZTAN"/>
    <x v="8"/>
    <s v="DP5738"/>
    <s v="35488103"/>
    <s v="EL BOSQUE"/>
    <x v="435"/>
    <x v="7"/>
    <x v="1"/>
    <x v="25"/>
    <x v="1"/>
    <n v="3"/>
    <n v="48075"/>
    <n v="0"/>
    <n v="48075"/>
    <n v="32.032915778251599"/>
    <n v="6868"/>
    <n v="22"/>
    <x v="1028"/>
    <x v="3"/>
    <x v="1"/>
    <x v="1"/>
  </r>
  <r>
    <x v="74"/>
    <s v="ZTAN"/>
    <x v="8"/>
    <s v="HLBX77"/>
    <s v="16093509K"/>
    <s v="PUDAHUEL"/>
    <x v="904"/>
    <x v="1"/>
    <x v="1"/>
    <x v="10"/>
    <x v="1"/>
    <n v="1"/>
    <n v="48191"/>
    <n v="27538"/>
    <n v="75729"/>
    <n v="10.999927373084466"/>
    <n v="4821"/>
    <n v="100"/>
    <x v="1029"/>
    <x v="3"/>
    <x v="1"/>
    <x v="1"/>
  </r>
  <r>
    <x v="74"/>
    <s v="ZTAN"/>
    <x v="8"/>
    <s v="SV2718"/>
    <s v="81417709"/>
    <s v="CERRILLOS"/>
    <x v="905"/>
    <x v="1"/>
    <x v="1"/>
    <x v="9"/>
    <x v="1"/>
    <n v="2"/>
    <n v="40475"/>
    <n v="12000"/>
    <n v="52475"/>
    <n v="20.915540675196301"/>
    <n v="5782"/>
    <n v="43"/>
    <x v="1030"/>
    <x v="3"/>
    <x v="1"/>
    <x v="1"/>
  </r>
  <r>
    <x v="74"/>
    <s v="ZTAN"/>
    <x v="8"/>
    <s v="TP3884"/>
    <s v="161268070"/>
    <s v="HUECHURABA"/>
    <x v="906"/>
    <x v="1"/>
    <x v="1"/>
    <x v="24"/>
    <x v="1"/>
    <n v="1"/>
    <n v="33750"/>
    <n v="12166"/>
    <n v="45916"/>
    <n v="15.096994805024002"/>
    <n v="4821"/>
    <n v="63"/>
    <x v="1031"/>
    <x v="3"/>
    <x v="1"/>
    <x v="1"/>
  </r>
  <r>
    <x v="74"/>
    <s v="ZTAN"/>
    <x v="8"/>
    <s v="UA7248"/>
    <s v="99626232"/>
    <s v="QUILICURA"/>
    <x v="907"/>
    <x v="1"/>
    <x v="1"/>
    <x v="8"/>
    <x v="1"/>
    <n v="1"/>
    <n v="35125"/>
    <n v="20071"/>
    <n v="55196"/>
    <n v="11.000039858105149"/>
    <n v="4821"/>
    <n v="100"/>
    <x v="1032"/>
    <x v="3"/>
    <x v="1"/>
    <x v="1"/>
  </r>
  <r>
    <x v="75"/>
    <s v="ZPEP"/>
    <x v="17"/>
    <s v="HLBX77"/>
    <s v="16093509K"/>
    <s v="LAMPA"/>
    <x v="908"/>
    <x v="1"/>
    <x v="1"/>
    <x v="17"/>
    <x v="1"/>
    <n v="5"/>
    <n v="70000"/>
    <n v="19136"/>
    <n v="89136"/>
    <n v="18.632107023411372"/>
    <n v="12000"/>
    <n v="40"/>
    <x v="1033"/>
    <x v="3"/>
    <x v="1"/>
    <x v="1"/>
  </r>
  <r>
    <x v="75"/>
    <s v="ZPEP"/>
    <x v="3"/>
    <s v="WC2233"/>
    <s v="125108660"/>
    <s v="LAS CONDES"/>
    <x v="909"/>
    <x v="4"/>
    <x v="1"/>
    <x v="3"/>
    <x v="1"/>
    <n v="4"/>
    <n v="56075"/>
    <n v="14673.78"/>
    <n v="70748.78"/>
    <n v="14.464326165446121"/>
    <n v="8011"/>
    <n v="61"/>
    <x v="1034"/>
    <x v="3"/>
    <x v="1"/>
    <x v="1"/>
  </r>
  <r>
    <x v="75"/>
    <s v="ZPEP"/>
    <x v="14"/>
    <s v="PN4466"/>
    <s v="81417709"/>
    <s v="LA PINTANA"/>
    <x v="910"/>
    <x v="1"/>
    <x v="0"/>
    <x v="31"/>
    <x v="1"/>
    <n v="4"/>
    <n v="179527"/>
    <n v="102587"/>
    <n v="282114"/>
    <n v="10.999990252176202"/>
    <n v="8011"/>
    <n v="100"/>
    <x v="1035"/>
    <x v="3"/>
    <x v="1"/>
    <x v="1"/>
  </r>
  <r>
    <x v="75"/>
    <s v="ZTAN"/>
    <x v="49"/>
    <s v="DJLF85"/>
    <s v="53173292"/>
    <s v="LAS CONDES"/>
    <x v="911"/>
    <x v="4"/>
    <x v="1"/>
    <x v="3"/>
    <x v="1"/>
    <n v="4"/>
    <n v="56075"/>
    <n v="11709"/>
    <n v="67784"/>
    <n v="17.367153471688443"/>
    <n v="8011"/>
    <n v="49"/>
    <x v="1036"/>
    <x v="3"/>
    <x v="1"/>
    <x v="1"/>
  </r>
  <r>
    <x v="75"/>
    <s v="ZTAN"/>
    <x v="47"/>
    <s v="WC2233"/>
    <s v="125108660"/>
    <s v="SAN JOAQUIN"/>
    <x v="912"/>
    <x v="4"/>
    <x v="1"/>
    <x v="67"/>
    <x v="1"/>
    <n v="3"/>
    <n v="48075"/>
    <n v="5854.5"/>
    <n v="53929.5"/>
    <n v="27.63489623366641"/>
    <n v="6868"/>
    <n v="28"/>
    <x v="1037"/>
    <x v="3"/>
    <x v="1"/>
    <x v="1"/>
  </r>
  <r>
    <x v="75"/>
    <s v="ZTAN"/>
    <x v="6"/>
    <s v="GKRB84"/>
    <s v="122975819"/>
    <s v="PUERTO MONTT"/>
    <x v="913"/>
    <x v="5"/>
    <x v="0"/>
    <x v="53"/>
    <x v="10"/>
    <n v="0"/>
    <n v="1020000"/>
    <n v="0"/>
    <n v="1020000"/>
    <n v="100.73875083948958"/>
    <n v="25000"/>
    <n v="41"/>
    <x v="1038"/>
    <x v="3"/>
    <x v="1"/>
    <x v="0"/>
  </r>
  <r>
    <x v="75"/>
    <s v="ZTAN"/>
    <x v="7"/>
    <s v="DJLF85"/>
    <s v="53173292"/>
    <s v="SAN MIGUEL"/>
    <x v="385"/>
    <x v="4"/>
    <x v="1"/>
    <x v="23"/>
    <x v="1"/>
    <n v="2"/>
    <n v="52528"/>
    <n v="22512"/>
    <n v="75040"/>
    <n v="10.000000000000004"/>
    <n v="5782"/>
    <n v="100"/>
    <x v="1039"/>
    <x v="3"/>
    <x v="1"/>
    <x v="1"/>
  </r>
  <r>
    <x v="75"/>
    <s v="ZTAN"/>
    <x v="7"/>
    <s v="YP6892"/>
    <s v="124157498"/>
    <s v="CHILLAN"/>
    <x v="419"/>
    <x v="0"/>
    <x v="0"/>
    <x v="21"/>
    <x v="5"/>
    <n v="0"/>
    <n v="350000"/>
    <n v="0"/>
    <n v="350000"/>
    <n v="42.455118874332832"/>
    <n v="25000"/>
    <n v="33"/>
    <x v="1040"/>
    <x v="3"/>
    <x v="1"/>
    <x v="0"/>
  </r>
  <r>
    <x v="75"/>
    <s v="ZTAN"/>
    <x v="8"/>
    <s v="SU9354"/>
    <s v="72564391"/>
    <s v="TALAGANTE"/>
    <x v="252"/>
    <x v="2"/>
    <x v="1"/>
    <x v="50"/>
    <x v="1"/>
    <n v="4"/>
    <n v="56075"/>
    <n v="11256"/>
    <n v="67331"/>
    <n v="17.945362473347547"/>
    <n v="8011"/>
    <n v="47"/>
    <x v="1041"/>
    <x v="3"/>
    <x v="1"/>
    <x v="1"/>
  </r>
  <r>
    <x v="76"/>
    <s v="ZTAN"/>
    <x v="8"/>
    <s v="BDCH61"/>
    <s v="107643206"/>
    <s v="LA REINA"/>
    <x v="914"/>
    <x v="1"/>
    <x v="0"/>
    <x v="11"/>
    <x v="1"/>
    <n v="3"/>
    <n v="48075"/>
    <n v="12000"/>
    <n v="60075"/>
    <n v="34.162638612453797"/>
    <n v="6868"/>
    <n v="26"/>
    <x v="1042"/>
    <x v="3"/>
    <x v="1"/>
    <x v="1"/>
  </r>
  <r>
    <x v="76"/>
    <s v="ZTAN"/>
    <x v="8"/>
    <s v="DP5738"/>
    <s v="35488103"/>
    <s v="QUILIN"/>
    <x v="435"/>
    <x v="7"/>
    <x v="1"/>
    <x v="34"/>
    <x v="1"/>
    <n v="4"/>
    <n v="56075"/>
    <n v="0"/>
    <n v="56075"/>
    <n v="37.363406183368873"/>
    <n v="8011"/>
    <n v="19"/>
    <x v="1043"/>
    <x v="3"/>
    <x v="1"/>
    <x v="1"/>
  </r>
  <r>
    <x v="76"/>
    <s v="ZTAN"/>
    <x v="8"/>
    <s v="HLBX77"/>
    <s v="16093509K"/>
    <s v="PUDAHUEL"/>
    <x v="915"/>
    <x v="1"/>
    <x v="1"/>
    <x v="10"/>
    <x v="1"/>
    <n v="1"/>
    <n v="33750"/>
    <n v="14068"/>
    <n v="47818"/>
    <n v="13.596246801251066"/>
    <n v="4821"/>
    <n v="73"/>
    <x v="1044"/>
    <x v="3"/>
    <x v="1"/>
    <x v="1"/>
  </r>
  <r>
    <x v="76"/>
    <s v="ZTAN"/>
    <x v="8"/>
    <s v="SV2718"/>
    <s v="99626232"/>
    <s v="ÑUÑOA"/>
    <x v="471"/>
    <x v="1"/>
    <x v="1"/>
    <x v="15"/>
    <x v="1"/>
    <n v="4"/>
    <n v="56075"/>
    <n v="12000"/>
    <n v="68075"/>
    <n v="30.239427860696519"/>
    <n v="8011"/>
    <n v="28"/>
    <x v="1045"/>
    <x v="3"/>
    <x v="1"/>
    <x v="1"/>
  </r>
  <r>
    <x v="76"/>
    <s v="ZTAN"/>
    <x v="8"/>
    <s v="TP3884"/>
    <s v="161268070"/>
    <s v="ÑUÑOA"/>
    <x v="865"/>
    <x v="1"/>
    <x v="1"/>
    <x v="15"/>
    <x v="1"/>
    <n v="4"/>
    <n v="56075"/>
    <n v="13037"/>
    <n v="69112"/>
    <n v="21.20455312490412"/>
    <n v="8011"/>
    <n v="41"/>
    <x v="1046"/>
    <x v="3"/>
    <x v="1"/>
    <x v="1"/>
  </r>
  <r>
    <x v="76"/>
    <s v="ZTAN"/>
    <x v="8"/>
    <s v="UA7248"/>
    <s v="78907355"/>
    <s v="SANTIAGO"/>
    <x v="471"/>
    <x v="1"/>
    <x v="1"/>
    <x v="20"/>
    <x v="1"/>
    <n v="1"/>
    <n v="33750"/>
    <n v="12000"/>
    <n v="45750"/>
    <n v="20.322494669509595"/>
    <n v="4821"/>
    <n v="47"/>
    <x v="1047"/>
    <x v="3"/>
    <x v="1"/>
    <x v="1"/>
  </r>
  <r>
    <x v="77"/>
    <s v="ZPEP"/>
    <x v="5"/>
    <s v="CJFZ69"/>
    <s v="137879050"/>
    <s v="SAN PEDRO DE LA PAZ"/>
    <x v="916"/>
    <x v="5"/>
    <x v="0"/>
    <x v="47"/>
    <x v="0"/>
    <n v="0"/>
    <n v="380000"/>
    <n v="0"/>
    <n v="380000"/>
    <n v="39.316106670805205"/>
    <n v="25000"/>
    <n v="22"/>
    <x v="1048"/>
    <x v="3"/>
    <x v="1"/>
    <x v="0"/>
  </r>
  <r>
    <x v="77"/>
    <s v="ZPEP"/>
    <x v="5"/>
    <s v="XR6339"/>
    <s v="161268070"/>
    <s v="LAMPA"/>
    <x v="917"/>
    <x v="1"/>
    <x v="1"/>
    <x v="17"/>
    <x v="1"/>
    <n v="5"/>
    <n v="70000"/>
    <n v="25569.159999999996"/>
    <n v="95569.16"/>
    <n v="14.950692161963868"/>
    <n v="12000"/>
    <n v="53"/>
    <x v="1049"/>
    <x v="3"/>
    <x v="1"/>
    <x v="1"/>
  </r>
  <r>
    <x v="77"/>
    <s v="ZPEP"/>
    <x v="14"/>
    <s v="PN4466"/>
    <s v="81417709"/>
    <s v="LA PINTANA"/>
    <x v="918"/>
    <x v="1"/>
    <x v="0"/>
    <x v="31"/>
    <x v="1"/>
    <n v="4"/>
    <n v="159457"/>
    <n v="91118.399999999994"/>
    <n v="250575.4"/>
    <n v="10.999991220214579"/>
    <n v="8011"/>
    <n v="100"/>
    <x v="1050"/>
    <x v="3"/>
    <x v="1"/>
    <x v="1"/>
  </r>
  <r>
    <x v="77"/>
    <s v="ZTAN"/>
    <x v="10"/>
    <s v="DJLF85"/>
    <s v="53173292"/>
    <s v="QUILICURA"/>
    <x v="919"/>
    <x v="4"/>
    <x v="1"/>
    <x v="8"/>
    <x v="1"/>
    <n v="1"/>
    <n v="49717"/>
    <n v="21307"/>
    <n v="71024"/>
    <n v="10"/>
    <n v="4821"/>
    <n v="100"/>
    <x v="1051"/>
    <x v="3"/>
    <x v="1"/>
    <x v="1"/>
  </r>
  <r>
    <x v="77"/>
    <s v="ZTAN"/>
    <x v="10"/>
    <s v="SU9354"/>
    <s v="72564391"/>
    <s v="QUILICURA"/>
    <x v="920"/>
    <x v="2"/>
    <x v="1"/>
    <x v="8"/>
    <x v="1"/>
    <n v="1"/>
    <n v="44982"/>
    <n v="19278"/>
    <n v="64260"/>
    <n v="10.000000000000002"/>
    <n v="4821"/>
    <n v="100"/>
    <x v="1052"/>
    <x v="3"/>
    <x v="1"/>
    <x v="1"/>
  </r>
  <r>
    <x v="77"/>
    <s v="ZTAN"/>
    <x v="10"/>
    <s v="WC2233"/>
    <s v="125108660"/>
    <s v="QUILICURA"/>
    <x v="919"/>
    <x v="4"/>
    <x v="1"/>
    <x v="8"/>
    <x v="1"/>
    <n v="1"/>
    <n v="49717"/>
    <n v="21307"/>
    <n v="71024"/>
    <n v="10"/>
    <n v="4821"/>
    <n v="100"/>
    <x v="1053"/>
    <x v="3"/>
    <x v="1"/>
    <x v="1"/>
  </r>
  <r>
    <x v="77"/>
    <s v="ZTAN"/>
    <x v="16"/>
    <s v="DJLF85"/>
    <s v="53173292"/>
    <s v="RENCA"/>
    <x v="921"/>
    <x v="4"/>
    <x v="1"/>
    <x v="7"/>
    <x v="1"/>
    <n v="1"/>
    <n v="41202"/>
    <n v="17658"/>
    <n v="58860"/>
    <n v="10"/>
    <n v="4821"/>
    <n v="100"/>
    <x v="1054"/>
    <x v="3"/>
    <x v="1"/>
    <x v="1"/>
  </r>
  <r>
    <x v="77"/>
    <s v="ZTAN"/>
    <x v="7"/>
    <s v="BDCH61"/>
    <s v="99626232"/>
    <s v="SAN MIGUEL"/>
    <x v="922"/>
    <x v="1"/>
    <x v="1"/>
    <x v="23"/>
    <x v="1"/>
    <n v="2"/>
    <n v="40475"/>
    <n v="22406"/>
    <n v="62881"/>
    <n v="11.225542702085118"/>
    <n v="5782"/>
    <n v="97"/>
    <x v="1055"/>
    <x v="3"/>
    <x v="1"/>
    <x v="1"/>
  </r>
  <r>
    <x v="77"/>
    <s v="ZTAN"/>
    <x v="7"/>
    <s v="HLBX77"/>
    <s v="16093509K"/>
    <s v="SANTIAGO"/>
    <x v="923"/>
    <x v="1"/>
    <x v="1"/>
    <x v="20"/>
    <x v="1"/>
    <n v="1"/>
    <n v="96358"/>
    <n v="55062"/>
    <n v="151420"/>
    <n v="10.999963677309214"/>
    <n v="4821"/>
    <n v="100"/>
    <x v="1056"/>
    <x v="3"/>
    <x v="1"/>
    <x v="1"/>
  </r>
  <r>
    <x v="77"/>
    <s v="ZTAN"/>
    <x v="7"/>
    <s v="KKPF51"/>
    <s v="95707734"/>
    <s v="CHILLAN"/>
    <x v="104"/>
    <x v="8"/>
    <x v="0"/>
    <x v="21"/>
    <x v="5"/>
    <n v="0"/>
    <n v="350000"/>
    <n v="0"/>
    <n v="350000"/>
    <n v="17.939150401836969"/>
    <n v="25000"/>
    <n v="78"/>
    <x v="1057"/>
    <x v="3"/>
    <x v="1"/>
    <x v="0"/>
  </r>
  <r>
    <x v="77"/>
    <s v="ZTAN"/>
    <x v="7"/>
    <s v="SV2718"/>
    <s v="78907355"/>
    <s v="SAN MIGUEL"/>
    <x v="248"/>
    <x v="1"/>
    <x v="1"/>
    <x v="23"/>
    <x v="1"/>
    <n v="2"/>
    <n v="40475"/>
    <n v="12006"/>
    <n v="52481"/>
    <n v="17.48434168443497"/>
    <n v="5782"/>
    <n v="52"/>
    <x v="1058"/>
    <x v="3"/>
    <x v="1"/>
    <x v="1"/>
  </r>
  <r>
    <x v="77"/>
    <s v="ZTAN"/>
    <x v="7"/>
    <s v="UA7248"/>
    <s v="107643206"/>
    <s v="SANTIAGO"/>
    <x v="924"/>
    <x v="1"/>
    <x v="1"/>
    <x v="20"/>
    <x v="1"/>
    <n v="1"/>
    <n v="33750"/>
    <n v="18354"/>
    <n v="52104"/>
    <n v="11.355344883949003"/>
    <n v="4821"/>
    <n v="95"/>
    <x v="1059"/>
    <x v="3"/>
    <x v="1"/>
    <x v="1"/>
  </r>
  <r>
    <x v="77"/>
    <s v="ZTAN"/>
    <x v="7"/>
    <s v="XR6339"/>
    <s v="78907355"/>
    <s v="SAN MIGUEL"/>
    <x v="925"/>
    <x v="1"/>
    <x v="1"/>
    <x v="23"/>
    <x v="1"/>
    <n v="2"/>
    <n v="40475"/>
    <n v="12302"/>
    <n v="52777"/>
    <n v="17.159903758616199"/>
    <n v="5782"/>
    <n v="53"/>
    <x v="1060"/>
    <x v="3"/>
    <x v="1"/>
    <x v="1"/>
  </r>
  <r>
    <x v="77"/>
    <s v="ZTAN"/>
    <x v="8"/>
    <s v="BDCH61"/>
    <s v="107643206"/>
    <s v="REÑACA"/>
    <x v="926"/>
    <x v="1"/>
    <x v="1"/>
    <x v="6"/>
    <x v="2"/>
    <n v="0"/>
    <n v="180000"/>
    <n v="12000"/>
    <n v="192000"/>
    <n v="121.92024384048769"/>
    <n v="25000"/>
    <n v="6"/>
    <x v="1061"/>
    <x v="3"/>
    <x v="1"/>
    <x v="0"/>
  </r>
  <r>
    <x v="77"/>
    <s v="ZTAN"/>
    <x v="8"/>
    <s v="BDCH61"/>
    <s v="107643206"/>
    <s v="VIÑA DEL MAR"/>
    <x v="927"/>
    <x v="1"/>
    <x v="1"/>
    <x v="6"/>
    <x v="2"/>
    <n v="0"/>
    <n v="180000"/>
    <n v="120000"/>
    <n v="300000"/>
    <n v="107.11225364181662"/>
    <n v="25000"/>
    <n v="11"/>
    <x v="1062"/>
    <x v="3"/>
    <x v="1"/>
    <x v="0"/>
  </r>
  <r>
    <x v="77"/>
    <s v="ZTAN"/>
    <x v="8"/>
    <s v="DP5738"/>
    <s v="35488103"/>
    <s v="LAS CONDES"/>
    <x v="471"/>
    <x v="7"/>
    <x v="1"/>
    <x v="3"/>
    <x v="1"/>
    <n v="4"/>
    <n v="56075"/>
    <n v="6754"/>
    <n v="62829"/>
    <n v="27.909115138592753"/>
    <n v="8011"/>
    <n v="28"/>
    <x v="1063"/>
    <x v="3"/>
    <x v="1"/>
    <x v="1"/>
  </r>
  <r>
    <x v="77"/>
    <s v="ZTAN"/>
    <x v="8"/>
    <s v="SV2718"/>
    <s v="81417709"/>
    <s v="CERRILLOS"/>
    <x v="481"/>
    <x v="1"/>
    <x v="1"/>
    <x v="9"/>
    <x v="1"/>
    <n v="2"/>
    <n v="40475"/>
    <n v="12000"/>
    <n v="52475"/>
    <n v="29.553390403243977"/>
    <n v="5782"/>
    <n v="31"/>
    <x v="1064"/>
    <x v="3"/>
    <x v="1"/>
    <x v="1"/>
  </r>
  <r>
    <x v="77"/>
    <s v="ZTAN"/>
    <x v="8"/>
    <s v="TP3884"/>
    <s v="161268070"/>
    <s v="PUDAHUEL"/>
    <x v="433"/>
    <x v="1"/>
    <x v="1"/>
    <x v="10"/>
    <x v="1"/>
    <n v="1"/>
    <n v="51122"/>
    <n v="29213"/>
    <n v="80335"/>
    <n v="10.999972614744223"/>
    <n v="4821"/>
    <n v="100"/>
    <x v="1065"/>
    <x v="3"/>
    <x v="1"/>
    <x v="1"/>
  </r>
  <r>
    <x v="77"/>
    <s v="ZTAN"/>
    <x v="8"/>
    <s v="UA7248"/>
    <s v="99626232"/>
    <s v="SAN BERNARDO"/>
    <x v="928"/>
    <x v="1"/>
    <x v="1"/>
    <x v="4"/>
    <x v="1"/>
    <n v="4"/>
    <n v="56075"/>
    <n v="16107"/>
    <n v="72182"/>
    <n v="17.925399821197974"/>
    <n v="8011"/>
    <n v="50"/>
    <x v="1066"/>
    <x v="3"/>
    <x v="1"/>
    <x v="1"/>
  </r>
  <r>
    <x v="78"/>
    <s v="ZPEP"/>
    <x v="5"/>
    <s v="DJLF85"/>
    <s v="53173292"/>
    <s v="LAMPA"/>
    <x v="929"/>
    <x v="4"/>
    <x v="1"/>
    <x v="17"/>
    <x v="1"/>
    <n v="5"/>
    <n v="70000"/>
    <n v="33255.06"/>
    <n v="103255.06"/>
    <n v="9.314828480237292"/>
    <n v="12000"/>
    <n v="92"/>
    <x v="1067"/>
    <x v="3"/>
    <x v="1"/>
    <x v="1"/>
  </r>
  <r>
    <x v="78"/>
    <s v="ZPEP"/>
    <x v="5"/>
    <s v="WC2233"/>
    <s v="125108660"/>
    <s v="LAMPA"/>
    <x v="930"/>
    <x v="4"/>
    <x v="1"/>
    <x v="17"/>
    <x v="1"/>
    <n v="5"/>
    <n v="70000"/>
    <n v="32792.46"/>
    <n v="102792.45999999999"/>
    <n v="9.403911142988358"/>
    <n v="12000"/>
    <n v="91"/>
    <x v="1068"/>
    <x v="3"/>
    <x v="1"/>
    <x v="1"/>
  </r>
  <r>
    <x v="78"/>
    <s v="ZPEP"/>
    <x v="32"/>
    <s v="XR6339"/>
    <s v="161268070"/>
    <s v="LAMPA"/>
    <x v="931"/>
    <x v="1"/>
    <x v="1"/>
    <x v="17"/>
    <x v="1"/>
    <n v="5"/>
    <n v="70000"/>
    <n v="31397.760000000006"/>
    <n v="101397.76000000001"/>
    <n v="12.917833628895819"/>
    <n v="12000"/>
    <n v="65"/>
    <x v="1069"/>
    <x v="3"/>
    <x v="1"/>
    <x v="1"/>
  </r>
  <r>
    <x v="78"/>
    <s v="ZPEP"/>
    <x v="14"/>
    <s v="PN4466"/>
    <s v="81417709"/>
    <s v="LA PINTANA"/>
    <x v="932"/>
    <x v="1"/>
    <x v="0"/>
    <x v="31"/>
    <x v="1"/>
    <n v="4"/>
    <n v="146658"/>
    <n v="83804.800000000003"/>
    <n v="230462.8"/>
    <n v="10.999980908014814"/>
    <n v="8011"/>
    <n v="100"/>
    <x v="1070"/>
    <x v="3"/>
    <x v="1"/>
    <x v="1"/>
  </r>
  <r>
    <x v="78"/>
    <s v="ZPEP"/>
    <x v="48"/>
    <s v="PN4466"/>
    <s v="81417709"/>
    <s v="LO ESPEJO"/>
    <x v="933"/>
    <x v="1"/>
    <x v="0"/>
    <x v="68"/>
    <x v="1"/>
    <n v="2"/>
    <n v="61934"/>
    <n v="35391.119999999995"/>
    <n v="97325.119999999995"/>
    <n v="10.999948009557201"/>
    <n v="5782"/>
    <n v="100"/>
    <x v="1071"/>
    <x v="3"/>
    <x v="1"/>
    <x v="1"/>
  </r>
  <r>
    <x v="78"/>
    <s v="ZPEP"/>
    <x v="33"/>
    <s v="HLBX77"/>
    <s v="160935096K"/>
    <s v="BUIN"/>
    <x v="934"/>
    <x v="1"/>
    <x v="1"/>
    <x v="56"/>
    <x v="1"/>
    <n v="5"/>
    <n v="90000"/>
    <n v="18150.72"/>
    <n v="108150.72"/>
    <n v="23.833923943512982"/>
    <n v="12000"/>
    <n v="38"/>
    <x v="1072"/>
    <x v="3"/>
    <x v="1"/>
    <x v="1"/>
  </r>
  <r>
    <x v="78"/>
    <s v="ZPEP"/>
    <x v="33"/>
    <s v="HLBX77"/>
    <s v="16093509K"/>
    <s v="BUIN"/>
    <x v="935"/>
    <x v="1"/>
    <x v="1"/>
    <x v="56"/>
    <x v="1"/>
    <n v="5"/>
    <n v="90000"/>
    <n v="26335.32"/>
    <n v="116335.32"/>
    <n v="17.669854780576049"/>
    <n v="12000"/>
    <n v="55"/>
    <x v="1073"/>
    <x v="3"/>
    <x v="1"/>
    <x v="1"/>
  </r>
  <r>
    <x v="78"/>
    <s v="ZTAN"/>
    <x v="10"/>
    <s v="DP5738"/>
    <s v="35488103"/>
    <s v="QUILICURA"/>
    <x v="936"/>
    <x v="7"/>
    <x v="1"/>
    <x v="8"/>
    <x v="1"/>
    <n v="1"/>
    <n v="42540"/>
    <n v="18232"/>
    <n v="60772"/>
    <n v="10"/>
    <n v="4821"/>
    <n v="100"/>
    <x v="1074"/>
    <x v="3"/>
    <x v="1"/>
    <x v="1"/>
  </r>
  <r>
    <x v="78"/>
    <s v="ZTAN"/>
    <x v="6"/>
    <s v="UA7248"/>
    <s v="107643206"/>
    <s v="LA DEHESA"/>
    <x v="248"/>
    <x v="1"/>
    <x v="1"/>
    <x v="41"/>
    <x v="1"/>
    <n v="4"/>
    <n v="56075"/>
    <n v="12000"/>
    <n v="68075"/>
    <n v="22.679570895522389"/>
    <n v="8011"/>
    <n v="37"/>
    <x v="1075"/>
    <x v="3"/>
    <x v="1"/>
    <x v="1"/>
  </r>
  <r>
    <x v="78"/>
    <s v="ZTAN"/>
    <x v="16"/>
    <s v="DJLF85"/>
    <s v="53173292"/>
    <s v="MAIPU"/>
    <x v="937"/>
    <x v="4"/>
    <x v="1"/>
    <x v="2"/>
    <x v="1"/>
    <n v="2"/>
    <n v="51803"/>
    <n v="22201.199999999997"/>
    <n v="74004.2"/>
    <n v="10.000027025566185"/>
    <n v="5782"/>
    <n v="100"/>
    <x v="1076"/>
    <x v="3"/>
    <x v="1"/>
    <x v="1"/>
  </r>
  <r>
    <x v="78"/>
    <s v="ZTAN"/>
    <x v="8"/>
    <s v="SU9354"/>
    <s v="72564391"/>
    <s v="LA LIGUA"/>
    <x v="234"/>
    <x v="2"/>
    <x v="1"/>
    <x v="22"/>
    <x v="2"/>
    <n v="0"/>
    <n v="180000"/>
    <n v="27014.399999999994"/>
    <n v="207014.39999999999"/>
    <n v="22.989339019189771"/>
    <n v="25000"/>
    <n v="36"/>
    <x v="1077"/>
    <x v="3"/>
    <x v="1"/>
    <x v="0"/>
  </r>
  <r>
    <x v="78"/>
    <s v="ZTAN"/>
    <x v="8"/>
    <s v="SV2718"/>
    <s v="81417709"/>
    <s v="MAIPU"/>
    <x v="471"/>
    <x v="1"/>
    <x v="1"/>
    <x v="2"/>
    <x v="1"/>
    <n v="2"/>
    <n v="40475"/>
    <n v="12000"/>
    <n v="52475"/>
    <n v="23.309790334044067"/>
    <n v="5782"/>
    <n v="39"/>
    <x v="1078"/>
    <x v="3"/>
    <x v="1"/>
    <x v="1"/>
  </r>
  <r>
    <x v="78"/>
    <s v="ZTAN"/>
    <x v="8"/>
    <s v="TP3884"/>
    <s v="99626232"/>
    <s v="PUDAHUEL"/>
    <x v="127"/>
    <x v="1"/>
    <x v="1"/>
    <x v="10"/>
    <x v="1"/>
    <n v="1"/>
    <n v="49717"/>
    <n v="28410"/>
    <n v="78127"/>
    <n v="11.000084478486148"/>
    <n v="4821"/>
    <n v="100"/>
    <x v="1079"/>
    <x v="3"/>
    <x v="1"/>
    <x v="1"/>
  </r>
  <r>
    <x v="79"/>
    <s v="ZPEP"/>
    <x v="5"/>
    <s v="WG4022"/>
    <s v="81417709"/>
    <s v="LAMPA"/>
    <x v="938"/>
    <x v="1"/>
    <x v="0"/>
    <x v="17"/>
    <x v="1"/>
    <n v="5"/>
    <n v="120000"/>
    <n v="41872"/>
    <n v="161872"/>
    <n v="15.463507833397019"/>
    <n v="12000"/>
    <n v="87"/>
    <x v="1080"/>
    <x v="3"/>
    <x v="1"/>
    <x v="1"/>
  </r>
  <r>
    <x v="79"/>
    <s v="ZPEP"/>
    <x v="32"/>
    <s v="XR6339"/>
    <s v="161268070"/>
    <s v="LAMPA"/>
    <x v="939"/>
    <x v="1"/>
    <x v="1"/>
    <x v="17"/>
    <x v="1"/>
    <n v="5"/>
    <n v="70000"/>
    <n v="26876.880000000005"/>
    <n v="96876.88"/>
    <n v="14.417875884403248"/>
    <n v="12000"/>
    <n v="56"/>
    <x v="1081"/>
    <x v="3"/>
    <x v="1"/>
    <x v="1"/>
  </r>
  <r>
    <x v="79"/>
    <s v="ZTAN"/>
    <x v="3"/>
    <s v="HLBX77"/>
    <s v="16093509K"/>
    <s v="LAS CONDES"/>
    <x v="169"/>
    <x v="1"/>
    <x v="1"/>
    <x v="3"/>
    <x v="1"/>
    <n v="4"/>
    <n v="102782"/>
    <n v="58732.800000000003"/>
    <n v="161514.79999999999"/>
    <n v="10.99997275798191"/>
    <n v="8011"/>
    <n v="100"/>
    <x v="1082"/>
    <x v="3"/>
    <x v="1"/>
    <x v="1"/>
  </r>
  <r>
    <x v="79"/>
    <s v="ZTAN"/>
    <x v="3"/>
    <s v="XR6339"/>
    <s v="161268070"/>
    <s v="LAS CONDES"/>
    <x v="648"/>
    <x v="1"/>
    <x v="1"/>
    <x v="3"/>
    <x v="1"/>
    <n v="4"/>
    <n v="71948"/>
    <n v="41112.959999999999"/>
    <n v="113060.95999999999"/>
    <n v="11.000031133734957"/>
    <n v="8011"/>
    <n v="100"/>
    <x v="1083"/>
    <x v="3"/>
    <x v="1"/>
    <x v="1"/>
  </r>
  <r>
    <x v="79"/>
    <s v="ZTAN"/>
    <x v="18"/>
    <s v="BDCH61"/>
    <s v="78907355"/>
    <s v="QUINTERO"/>
    <x v="940"/>
    <x v="1"/>
    <x v="1"/>
    <x v="69"/>
    <x v="2"/>
    <n v="0"/>
    <n v="230000"/>
    <n v="0"/>
    <n v="230000"/>
    <n v="42.763647181317864"/>
    <n v="25000"/>
    <n v="22"/>
    <x v="1084"/>
    <x v="3"/>
    <x v="1"/>
    <x v="0"/>
  </r>
  <r>
    <x v="79"/>
    <s v="ZTAN"/>
    <x v="10"/>
    <s v="SU9354"/>
    <s v="72564391"/>
    <s v="QUILICURA"/>
    <x v="941"/>
    <x v="2"/>
    <x v="1"/>
    <x v="8"/>
    <x v="1"/>
    <n v="1"/>
    <n v="58299"/>
    <n v="24985"/>
    <n v="83284"/>
    <n v="10"/>
    <n v="4821"/>
    <n v="100"/>
    <x v="1085"/>
    <x v="3"/>
    <x v="1"/>
    <x v="1"/>
  </r>
  <r>
    <x v="79"/>
    <s v="ZTAN"/>
    <x v="10"/>
    <s v="SV2718"/>
    <s v="107643206"/>
    <s v="SANTIAGO"/>
    <x v="942"/>
    <x v="1"/>
    <x v="1"/>
    <x v="20"/>
    <x v="1"/>
    <n v="1"/>
    <n v="33750"/>
    <n v="15896"/>
    <n v="49646"/>
    <n v="12.492702566683439"/>
    <n v="4821"/>
    <n v="82"/>
    <x v="1086"/>
    <x v="3"/>
    <x v="1"/>
    <x v="1"/>
  </r>
  <r>
    <x v="79"/>
    <s v="ZTAN"/>
    <x v="10"/>
    <s v="TP3884"/>
    <s v="99626232"/>
    <s v="SANTIAGO"/>
    <x v="942"/>
    <x v="1"/>
    <x v="1"/>
    <x v="20"/>
    <x v="1"/>
    <n v="1"/>
    <n v="33750"/>
    <n v="15896"/>
    <n v="49646"/>
    <n v="12.492702566683439"/>
    <n v="4821"/>
    <n v="82"/>
    <x v="1087"/>
    <x v="3"/>
    <x v="1"/>
    <x v="1"/>
  </r>
  <r>
    <x v="79"/>
    <s v="ZTAN"/>
    <x v="10"/>
    <s v="WC2233"/>
    <s v="125108660"/>
    <s v="QUILICURA"/>
    <x v="590"/>
    <x v="4"/>
    <x v="1"/>
    <x v="8"/>
    <x v="1"/>
    <n v="1"/>
    <n v="58299"/>
    <n v="24985"/>
    <n v="83284"/>
    <n v="10.000000000000002"/>
    <n v="4821"/>
    <n v="100"/>
    <x v="1088"/>
    <x v="3"/>
    <x v="1"/>
    <x v="1"/>
  </r>
  <r>
    <x v="79"/>
    <s v="ZTAN"/>
    <x v="6"/>
    <s v="CJFZ67"/>
    <s v="115812335"/>
    <s v="TEMUCO"/>
    <x v="943"/>
    <x v="5"/>
    <x v="0"/>
    <x v="14"/>
    <x v="4"/>
    <n v="0"/>
    <n v="620000"/>
    <n v="0"/>
    <n v="620000"/>
    <n v="40.53143245273349"/>
    <n v="25000"/>
    <n v="33"/>
    <x v="1089"/>
    <x v="3"/>
    <x v="1"/>
    <x v="0"/>
  </r>
  <r>
    <x v="79"/>
    <s v="ZTAN"/>
    <x v="20"/>
    <s v="HLBX77"/>
    <s v="16093509K"/>
    <s v="II REGION"/>
    <x v="944"/>
    <x v="1"/>
    <x v="1"/>
    <x v="17"/>
    <x v="1"/>
    <n v="5"/>
    <n v="70000"/>
    <n v="18734.400000000001"/>
    <n v="88734.399999999994"/>
    <n v="18.945768212486119"/>
    <n v="12000"/>
    <n v="39"/>
    <x v="1090"/>
    <x v="3"/>
    <x v="1"/>
    <x v="1"/>
  </r>
  <r>
    <x v="79"/>
    <s v="ZTAN"/>
    <x v="7"/>
    <s v="DJLF85"/>
    <s v="53173292"/>
    <s v="SAN MIGUEL"/>
    <x v="945"/>
    <x v="4"/>
    <x v="1"/>
    <x v="23"/>
    <x v="1"/>
    <n v="2"/>
    <n v="76499"/>
    <n v="32785"/>
    <n v="109284"/>
    <n v="10"/>
    <n v="5782"/>
    <n v="100"/>
    <x v="1091"/>
    <x v="3"/>
    <x v="1"/>
    <x v="1"/>
  </r>
  <r>
    <x v="79"/>
    <s v="ZTAN"/>
    <x v="7"/>
    <s v="TW7053"/>
    <s v="172861164"/>
    <s v="MELIPILLA"/>
    <x v="946"/>
    <x v="6"/>
    <x v="1"/>
    <x v="29"/>
    <x v="1"/>
    <n v="5"/>
    <n v="90000"/>
    <n v="33229"/>
    <n v="123229"/>
    <n v="11.125365642266441"/>
    <n v="12000"/>
    <n v="92"/>
    <x v="1092"/>
    <x v="3"/>
    <x v="1"/>
    <x v="1"/>
  </r>
  <r>
    <x v="79"/>
    <s v="ZTAN"/>
    <x v="8"/>
    <s v="BDCH61"/>
    <s v="78907355"/>
    <s v="LAS CONDES"/>
    <x v="254"/>
    <x v="1"/>
    <x v="1"/>
    <x v="3"/>
    <x v="1"/>
    <n v="4"/>
    <n v="56075"/>
    <n v="12000"/>
    <n v="68075"/>
    <n v="42.530925902786457"/>
    <n v="8011"/>
    <n v="20"/>
    <x v="1093"/>
    <x v="3"/>
    <x v="1"/>
    <x v="1"/>
  </r>
  <r>
    <x v="79"/>
    <s v="ZTAN"/>
    <x v="8"/>
    <s v="DJLF85"/>
    <s v="53173292"/>
    <s v="LA REINA"/>
    <x v="947"/>
    <x v="4"/>
    <x v="1"/>
    <x v="11"/>
    <x v="1"/>
    <n v="3"/>
    <n v="50768"/>
    <n v="21758"/>
    <n v="72526"/>
    <n v="10"/>
    <n v="6868"/>
    <n v="100"/>
    <x v="1094"/>
    <x v="3"/>
    <x v="1"/>
    <x v="1"/>
  </r>
  <r>
    <x v="79"/>
    <s v="ZTAN"/>
    <x v="8"/>
    <s v="DP5738"/>
    <s v="35488103"/>
    <s v="CERRILLOS"/>
    <x v="948"/>
    <x v="7"/>
    <x v="1"/>
    <x v="9"/>
    <x v="1"/>
    <n v="2"/>
    <n v="40475"/>
    <n v="14405"/>
    <n v="54880"/>
    <n v="11.42904744054313"/>
    <n v="5782"/>
    <n v="83"/>
    <x v="1095"/>
    <x v="3"/>
    <x v="1"/>
    <x v="1"/>
  </r>
  <r>
    <x v="79"/>
    <s v="ZTAN"/>
    <x v="8"/>
    <s v="HLBX77"/>
    <s v="16093509K"/>
    <s v="PUDAHUEL"/>
    <x v="949"/>
    <x v="1"/>
    <x v="1"/>
    <x v="10"/>
    <x v="1"/>
    <n v="1"/>
    <n v="56013"/>
    <n v="32007"/>
    <n v="88020"/>
    <n v="11.000024994376268"/>
    <n v="4821"/>
    <n v="100"/>
    <x v="1096"/>
    <x v="3"/>
    <x v="1"/>
    <x v="1"/>
  </r>
  <r>
    <x v="79"/>
    <s v="ZTAN"/>
    <x v="8"/>
    <s v="SU9354"/>
    <s v="72564391"/>
    <s v="QUILIN"/>
    <x v="950"/>
    <x v="2"/>
    <x v="1"/>
    <x v="34"/>
    <x v="1"/>
    <n v="4"/>
    <n v="56075"/>
    <n v="23111"/>
    <n v="79186"/>
    <n v="10.279090295446288"/>
    <n v="8011"/>
    <n v="96"/>
    <x v="1097"/>
    <x v="3"/>
    <x v="1"/>
    <x v="1"/>
  </r>
  <r>
    <x v="79"/>
    <s v="ZTAN"/>
    <x v="8"/>
    <s v="SV2718"/>
    <s v="99626232"/>
    <s v="ÑUÑOA"/>
    <x v="951"/>
    <x v="1"/>
    <x v="1"/>
    <x v="15"/>
    <x v="1"/>
    <n v="4"/>
    <n v="56075"/>
    <n v="18808"/>
    <n v="74883"/>
    <n v="15.925776265418971"/>
    <n v="8011"/>
    <n v="59"/>
    <x v="1098"/>
    <x v="3"/>
    <x v="1"/>
    <x v="1"/>
  </r>
  <r>
    <x v="79"/>
    <s v="ZTAN"/>
    <x v="8"/>
    <s v="TP3884"/>
    <s v="161268070"/>
    <s v="LA FLORIDA"/>
    <x v="952"/>
    <x v="1"/>
    <x v="1"/>
    <x v="33"/>
    <x v="1"/>
    <n v="3"/>
    <n v="48075"/>
    <n v="21410"/>
    <n v="69485"/>
    <n v="12.98154168067855"/>
    <n v="6868"/>
    <n v="78"/>
    <x v="1099"/>
    <x v="3"/>
    <x v="1"/>
    <x v="1"/>
  </r>
  <r>
    <x v="79"/>
    <s v="ZTAN"/>
    <x v="8"/>
    <s v="UA7248"/>
    <s v="107643206"/>
    <s v="SAN BERNARDO"/>
    <x v="254"/>
    <x v="1"/>
    <x v="1"/>
    <x v="4"/>
    <x v="1"/>
    <n v="4"/>
    <n v="56075"/>
    <n v="12000"/>
    <n v="68075"/>
    <n v="42.530925902786457"/>
    <n v="8011"/>
    <n v="20"/>
    <x v="1100"/>
    <x v="3"/>
    <x v="1"/>
    <x v="1"/>
  </r>
  <r>
    <x v="79"/>
    <s v="ZTAN"/>
    <x v="8"/>
    <s v="WC2233"/>
    <s v="125108660"/>
    <s v="SAN MIGUEL"/>
    <x v="953"/>
    <x v="4"/>
    <x v="1"/>
    <x v="23"/>
    <x v="1"/>
    <n v="2"/>
    <n v="44817"/>
    <n v="19207"/>
    <n v="64024"/>
    <n v="10.000000000000002"/>
    <n v="5782"/>
    <n v="100"/>
    <x v="1101"/>
    <x v="3"/>
    <x v="1"/>
    <x v="1"/>
  </r>
  <r>
    <x v="80"/>
    <s v="ZPEP"/>
    <x v="11"/>
    <s v="SU9354"/>
    <s v="72564391"/>
    <s v="PADRE HURTADO"/>
    <x v="954"/>
    <x v="2"/>
    <x v="1"/>
    <x v="26"/>
    <x v="1"/>
    <n v="5"/>
    <n v="70000"/>
    <n v="16352.04"/>
    <n v="86352.040000000008"/>
    <n v="15.842434338467861"/>
    <n v="12000"/>
    <n v="45"/>
    <x v="1102"/>
    <x v="3"/>
    <x v="1"/>
    <x v="1"/>
  </r>
  <r>
    <x v="80"/>
    <s v="ZPEP"/>
    <x v="33"/>
    <s v="WG4022"/>
    <s v="81417709"/>
    <s v="BUIN"/>
    <x v="955"/>
    <x v="1"/>
    <x v="0"/>
    <x v="56"/>
    <x v="1"/>
    <n v="5"/>
    <n v="120000"/>
    <n v="0"/>
    <n v="120000"/>
    <n v="24.996250562415643"/>
    <n v="12000"/>
    <n v="28"/>
    <x v="1103"/>
    <x v="3"/>
    <x v="1"/>
    <x v="1"/>
  </r>
  <r>
    <x v="80"/>
    <s v="ZTAN"/>
    <x v="3"/>
    <s v="DJLF85"/>
    <s v="125108660"/>
    <s v="LAS CONDES"/>
    <x v="956"/>
    <x v="4"/>
    <x v="1"/>
    <x v="3"/>
    <x v="1"/>
    <n v="4"/>
    <n v="114988"/>
    <n v="49280.490000000005"/>
    <n v="164268.49"/>
    <n v="10.000011566443433"/>
    <n v="8011"/>
    <n v="100"/>
    <x v="1104"/>
    <x v="3"/>
    <x v="1"/>
    <x v="1"/>
  </r>
  <r>
    <x v="80"/>
    <s v="ZTAN"/>
    <x v="21"/>
    <s v="HLBX77"/>
    <s v="161268070"/>
    <s v="LA REINA"/>
    <x v="957"/>
    <x v="1"/>
    <x v="1"/>
    <x v="11"/>
    <x v="1"/>
    <n v="3"/>
    <n v="81309"/>
    <n v="46462.399999999958"/>
    <n v="127771.39999999997"/>
    <n v="10.999982781776239"/>
    <n v="6868"/>
    <n v="100"/>
    <x v="1105"/>
    <x v="3"/>
    <x v="1"/>
    <x v="1"/>
  </r>
  <r>
    <x v="80"/>
    <s v="ZTAN"/>
    <x v="16"/>
    <s v="WC2233"/>
    <s v="125108660"/>
    <s v="RENCA"/>
    <x v="359"/>
    <x v="4"/>
    <x v="1"/>
    <x v="7"/>
    <x v="1"/>
    <n v="1"/>
    <n v="33750"/>
    <n v="13507.199999999999"/>
    <n v="47257.2"/>
    <n v="10.496002132196162"/>
    <n v="4821"/>
    <n v="93"/>
    <x v="1106"/>
    <x v="3"/>
    <x v="1"/>
    <x v="1"/>
  </r>
  <r>
    <x v="80"/>
    <s v="ZTAN"/>
    <x v="7"/>
    <s v="HLBX77"/>
    <s v="16093509K"/>
    <s v="SAN MIGUEL"/>
    <x v="385"/>
    <x v="1"/>
    <x v="1"/>
    <x v="23"/>
    <x v="1"/>
    <n v="2"/>
    <n v="52528"/>
    <n v="30016"/>
    <n v="82544"/>
    <n v="11.000000000000004"/>
    <n v="5782"/>
    <n v="100"/>
    <x v="1107"/>
    <x v="3"/>
    <x v="1"/>
    <x v="1"/>
  </r>
  <r>
    <x v="80"/>
    <s v="ZTAN"/>
    <x v="7"/>
    <s v="XR6339"/>
    <s v="78907355"/>
    <s v="SAN MIGUEL"/>
    <x v="958"/>
    <x v="1"/>
    <x v="1"/>
    <x v="23"/>
    <x v="1"/>
    <n v="2"/>
    <n v="71035"/>
    <n v="40591"/>
    <n v="111626"/>
    <n v="11.000019708705336"/>
    <n v="5782"/>
    <n v="100"/>
    <x v="1108"/>
    <x v="3"/>
    <x v="1"/>
    <x v="1"/>
  </r>
  <r>
    <x v="80"/>
    <s v="ZTAN"/>
    <x v="8"/>
    <s v="BDCH61"/>
    <s v="99626232"/>
    <s v="EL BOSQUE"/>
    <x v="959"/>
    <x v="1"/>
    <x v="1"/>
    <x v="25"/>
    <x v="1"/>
    <n v="3"/>
    <n v="48075"/>
    <n v="12406"/>
    <n v="60481"/>
    <n v="19.501193009608564"/>
    <n v="6868"/>
    <n v="45"/>
    <x v="1109"/>
    <x v="3"/>
    <x v="1"/>
    <x v="1"/>
  </r>
  <r>
    <x v="80"/>
    <s v="ZTAN"/>
    <x v="8"/>
    <s v="DP5738"/>
    <s v="35488103"/>
    <s v="PUENTE ALTO"/>
    <x v="372"/>
    <x v="7"/>
    <x v="1"/>
    <x v="30"/>
    <x v="1"/>
    <n v="4"/>
    <n v="56075"/>
    <n v="15758"/>
    <n v="71833"/>
    <n v="13.675182759671037"/>
    <n v="8011"/>
    <n v="66"/>
    <x v="1110"/>
    <x v="3"/>
    <x v="1"/>
    <x v="1"/>
  </r>
  <r>
    <x v="80"/>
    <s v="ZTAN"/>
    <x v="8"/>
    <s v="SU9354"/>
    <s v="72564391"/>
    <s v="TALAGANTE"/>
    <x v="248"/>
    <x v="2"/>
    <x v="1"/>
    <x v="50"/>
    <x v="1"/>
    <n v="4"/>
    <n v="56075"/>
    <n v="9005"/>
    <n v="65080"/>
    <n v="21.681769722814501"/>
    <n v="8011"/>
    <n v="37"/>
    <x v="1111"/>
    <x v="3"/>
    <x v="1"/>
    <x v="1"/>
  </r>
  <r>
    <x v="80"/>
    <s v="ZTAN"/>
    <x v="8"/>
    <s v="SV2718"/>
    <s v="81417709"/>
    <s v="PUDAHUEL"/>
    <x v="960"/>
    <x v="1"/>
    <x v="1"/>
    <x v="10"/>
    <x v="1"/>
    <n v="1"/>
    <n v="33750"/>
    <n v="17206"/>
    <n v="50956"/>
    <n v="11.845824809373255"/>
    <n v="4821"/>
    <n v="89"/>
    <x v="1112"/>
    <x v="3"/>
    <x v="1"/>
    <x v="1"/>
  </r>
  <r>
    <x v="80"/>
    <s v="ZTAN"/>
    <x v="8"/>
    <s v="TP3884"/>
    <s v="161268070"/>
    <s v="QUILICURA"/>
    <x v="961"/>
    <x v="1"/>
    <x v="1"/>
    <x v="8"/>
    <x v="1"/>
    <n v="1"/>
    <n v="33750"/>
    <n v="15304"/>
    <n v="49054"/>
    <n v="12.821223209618397"/>
    <n v="4821"/>
    <n v="79"/>
    <x v="1113"/>
    <x v="3"/>
    <x v="1"/>
    <x v="1"/>
  </r>
  <r>
    <x v="80"/>
    <s v="ZTAN"/>
    <x v="8"/>
    <s v="UA7248"/>
    <s v="107643206"/>
    <s v="SANTIAGO"/>
    <x v="951"/>
    <x v="1"/>
    <x v="1"/>
    <x v="20"/>
    <x v="1"/>
    <n v="1"/>
    <n v="33750"/>
    <n v="18808"/>
    <n v="52558"/>
    <n v="11.177796682262867"/>
    <n v="4821"/>
    <n v="98"/>
    <x v="1114"/>
    <x v="3"/>
    <x v="1"/>
    <x v="1"/>
  </r>
  <r>
    <x v="80"/>
    <s v="ZTAN"/>
    <x v="8"/>
    <s v="XR6339"/>
    <s v="78907355"/>
    <s v="HUECHURABA"/>
    <x v="962"/>
    <x v="1"/>
    <x v="1"/>
    <x v="24"/>
    <x v="1"/>
    <n v="1"/>
    <n v="33750"/>
    <n v="17305"/>
    <n v="51055"/>
    <n v="11.801349914474597"/>
    <n v="4821"/>
    <n v="90"/>
    <x v="1115"/>
    <x v="3"/>
    <x v="1"/>
    <x v="1"/>
  </r>
  <r>
    <x v="80"/>
    <s v="ZTAN"/>
    <x v="45"/>
    <s v="KKPF51"/>
    <s v="95707734"/>
    <s v="SAN JOSE DE MAIPO"/>
    <x v="963"/>
    <x v="8"/>
    <x v="0"/>
    <x v="66"/>
    <x v="1"/>
    <n v="5"/>
    <n v="120000"/>
    <n v="0"/>
    <n v="120000"/>
    <n v="13.293158454448781"/>
    <n v="12000"/>
    <n v="75"/>
    <x v="1116"/>
    <x v="3"/>
    <x v="1"/>
    <x v="1"/>
  </r>
  <r>
    <x v="81"/>
    <s v="ZNL"/>
    <x v="0"/>
    <s v="CJXX49"/>
    <s v="167832741"/>
    <s v="TALCAHUANO"/>
    <x v="964"/>
    <x v="5"/>
    <x v="0"/>
    <x v="0"/>
    <x v="0"/>
    <n v="0"/>
    <n v="380000"/>
    <n v="0"/>
    <n v="380000"/>
    <n v="30.521107755574118"/>
    <n v="25000"/>
    <n v="50"/>
    <x v="1117"/>
    <x v="3"/>
    <x v="1"/>
    <x v="0"/>
  </r>
  <r>
    <x v="81"/>
    <s v="ZTAN"/>
    <x v="17"/>
    <s v="SU9354"/>
    <s v="72564391"/>
    <s v="LAMPA"/>
    <x v="965"/>
    <x v="2"/>
    <x v="1"/>
    <x v="17"/>
    <x v="1"/>
    <n v="5"/>
    <n v="70000"/>
    <n v="35835.750000000029"/>
    <n v="105835.75000000003"/>
    <n v="8.860069902262401"/>
    <n v="12000"/>
    <n v="100"/>
    <x v="1118"/>
    <x v="3"/>
    <x v="1"/>
    <x v="1"/>
  </r>
  <r>
    <x v="81"/>
    <s v="ZTAN"/>
    <x v="17"/>
    <s v="WG4022"/>
    <s v="72564391"/>
    <s v="LAMPA"/>
    <x v="966"/>
    <x v="1"/>
    <x v="0"/>
    <x v="17"/>
    <x v="1"/>
    <n v="5"/>
    <n v="120000"/>
    <n v="79635"/>
    <n v="199635"/>
    <n v="10.027500470898474"/>
    <n v="12000"/>
    <n v="100"/>
    <x v="1119"/>
    <x v="3"/>
    <x v="1"/>
    <x v="1"/>
  </r>
  <r>
    <x v="81"/>
    <s v="ZTAN"/>
    <x v="12"/>
    <s v="HLBX77"/>
    <s v="16093509K"/>
    <s v="VITACURA"/>
    <x v="807"/>
    <x v="1"/>
    <x v="1"/>
    <x v="27"/>
    <x v="1"/>
    <n v="4"/>
    <n v="107922"/>
    <n v="61669.440000000002"/>
    <n v="169591.44"/>
    <n v="11.000031133734959"/>
    <n v="8011"/>
    <n v="100"/>
    <x v="1120"/>
    <x v="3"/>
    <x v="1"/>
    <x v="1"/>
  </r>
  <r>
    <x v="81"/>
    <s v="ZTAN"/>
    <x v="12"/>
    <s v="WC2233"/>
    <s v="125108660"/>
    <s v="VITACURA"/>
    <x v="807"/>
    <x v="4"/>
    <x v="1"/>
    <x v="27"/>
    <x v="1"/>
    <n v="4"/>
    <n v="107922"/>
    <n v="46252.08"/>
    <n v="154174.08000000002"/>
    <n v="10.000031133734959"/>
    <n v="8011"/>
    <n v="100"/>
    <x v="1121"/>
    <x v="3"/>
    <x v="1"/>
    <x v="1"/>
  </r>
  <r>
    <x v="81"/>
    <s v="ZTAN"/>
    <x v="10"/>
    <s v="DJLF85"/>
    <s v="53173292"/>
    <s v="QUILICURA"/>
    <x v="941"/>
    <x v="4"/>
    <x v="1"/>
    <x v="8"/>
    <x v="1"/>
    <n v="1"/>
    <n v="58299"/>
    <n v="24985"/>
    <n v="83284"/>
    <n v="10"/>
    <n v="4821"/>
    <n v="100"/>
    <x v="1122"/>
    <x v="3"/>
    <x v="1"/>
    <x v="1"/>
  </r>
  <r>
    <x v="81"/>
    <s v="ZTAN"/>
    <x v="10"/>
    <s v="UA7248"/>
    <s v="107643206"/>
    <s v="QUILICURA"/>
    <x v="967"/>
    <x v="1"/>
    <x v="1"/>
    <x v="8"/>
    <x v="1"/>
    <n v="1"/>
    <n v="40184"/>
    <n v="22962"/>
    <n v="63146"/>
    <n v="10.999972128154743"/>
    <n v="4821"/>
    <n v="100"/>
    <x v="1123"/>
    <x v="3"/>
    <x v="1"/>
    <x v="1"/>
  </r>
  <r>
    <x v="81"/>
    <s v="ZTAN"/>
    <x v="6"/>
    <s v="YW3219"/>
    <s v="129162074"/>
    <s v="COPIAPO"/>
    <x v="968"/>
    <x v="0"/>
    <x v="0"/>
    <x v="60"/>
    <x v="9"/>
    <n v="0"/>
    <n v="900000"/>
    <n v="0"/>
    <n v="900000"/>
    <n v="92.750994496774354"/>
    <n v="25000"/>
    <n v="39"/>
    <x v="1124"/>
    <x v="3"/>
    <x v="1"/>
    <x v="0"/>
  </r>
  <r>
    <x v="81"/>
    <s v="ZTAN"/>
    <x v="7"/>
    <s v="BDCH61"/>
    <s v="99626232"/>
    <s v="SAN MIGUEL"/>
    <x v="385"/>
    <x v="1"/>
    <x v="1"/>
    <x v="23"/>
    <x v="1"/>
    <n v="2"/>
    <n v="52528"/>
    <n v="30016"/>
    <n v="82544"/>
    <n v="11.000000000000004"/>
    <n v="5782"/>
    <n v="100"/>
    <x v="1125"/>
    <x v="3"/>
    <x v="1"/>
    <x v="1"/>
  </r>
  <r>
    <x v="81"/>
    <s v="ZTAN"/>
    <x v="7"/>
    <s v="SV2718"/>
    <s v="78907355"/>
    <s v="SAN MIGUEL"/>
    <x v="385"/>
    <x v="1"/>
    <x v="1"/>
    <x v="23"/>
    <x v="1"/>
    <n v="2"/>
    <n v="52528"/>
    <n v="30016"/>
    <n v="82544"/>
    <n v="11.000000000000004"/>
    <n v="5782"/>
    <n v="100"/>
    <x v="1126"/>
    <x v="3"/>
    <x v="1"/>
    <x v="1"/>
  </r>
  <r>
    <x v="81"/>
    <s v="ZTAN"/>
    <x v="8"/>
    <s v="TP3884"/>
    <s v="161268070"/>
    <s v="PUDAHUEL"/>
    <x v="969"/>
    <x v="1"/>
    <x v="1"/>
    <x v="10"/>
    <x v="1"/>
    <n v="1"/>
    <n v="50338"/>
    <n v="28765"/>
    <n v="79103"/>
    <n v="10.999972188230061"/>
    <n v="4821"/>
    <n v="100"/>
    <x v="1127"/>
    <x v="3"/>
    <x v="1"/>
    <x v="1"/>
  </r>
  <r>
    <x v="81"/>
    <s v="ZTAN"/>
    <x v="8"/>
    <s v="UA7248"/>
    <s v="107643206"/>
    <s v="CERRILLOS"/>
    <x v="347"/>
    <x v="1"/>
    <x v="1"/>
    <x v="9"/>
    <x v="1"/>
    <n v="2"/>
    <n v="40475"/>
    <n v="11856"/>
    <n v="52331"/>
    <n v="17.6555330634278"/>
    <n v="5782"/>
    <n v="51"/>
    <x v="1128"/>
    <x v="3"/>
    <x v="1"/>
    <x v="1"/>
  </r>
  <r>
    <x v="82"/>
    <s v="ZNL"/>
    <x v="0"/>
    <s v="BWPL69"/>
    <s v="78551976"/>
    <s v="TALCAHUANO"/>
    <x v="970"/>
    <x v="5"/>
    <x v="0"/>
    <x v="0"/>
    <x v="0"/>
    <n v="0"/>
    <n v="380000"/>
    <n v="0"/>
    <n v="380000"/>
    <n v="27.682265866309248"/>
    <n v="25000"/>
    <n v="55"/>
    <x v="1129"/>
    <x v="3"/>
    <x v="1"/>
    <x v="0"/>
  </r>
  <r>
    <x v="82"/>
    <s v="ZPEP"/>
    <x v="1"/>
    <s v="HLBX77"/>
    <s v="16093509K"/>
    <s v="ISLA DE MAIPO"/>
    <x v="971"/>
    <x v="1"/>
    <x v="1"/>
    <x v="1"/>
    <x v="1"/>
    <n v="5"/>
    <n v="90000"/>
    <n v="52815.360000000001"/>
    <n v="142815.35999999999"/>
    <n v="10.816198923949395"/>
    <n v="12000"/>
    <n v="100"/>
    <x v="1130"/>
    <x v="3"/>
    <x v="1"/>
    <x v="1"/>
  </r>
  <r>
    <x v="82"/>
    <s v="ZPEP"/>
    <x v="33"/>
    <s v="PN4466"/>
    <s v="81417709"/>
    <s v="BUIN"/>
    <x v="972"/>
    <x v="1"/>
    <x v="0"/>
    <x v="56"/>
    <x v="1"/>
    <n v="5"/>
    <n v="120000"/>
    <n v="24766"/>
    <n v="144766"/>
    <n v="23.381409997577325"/>
    <n v="12000"/>
    <n v="52"/>
    <x v="1131"/>
    <x v="3"/>
    <x v="1"/>
    <x v="1"/>
  </r>
  <r>
    <x v="82"/>
    <s v="ZTAN"/>
    <x v="4"/>
    <s v="DJLF85"/>
    <s v="53173292"/>
    <s v="SAN BERNARDO"/>
    <x v="385"/>
    <x v="4"/>
    <x v="1"/>
    <x v="4"/>
    <x v="1"/>
    <n v="4"/>
    <n v="56075"/>
    <n v="22511.999999999993"/>
    <n v="78587"/>
    <n v="10.472681236673777"/>
    <n v="8011"/>
    <n v="94"/>
    <x v="1132"/>
    <x v="3"/>
    <x v="1"/>
    <x v="1"/>
  </r>
  <r>
    <x v="82"/>
    <s v="ZTAN"/>
    <x v="50"/>
    <s v="CJFZ67"/>
    <s v="115812335"/>
    <s v="CHILLAN"/>
    <x v="973"/>
    <x v="5"/>
    <x v="0"/>
    <x v="21"/>
    <x v="5"/>
    <n v="0"/>
    <n v="350000"/>
    <n v="0"/>
    <n v="350000"/>
    <n v="19.003664992534276"/>
    <n v="25000"/>
    <n v="74"/>
    <x v="1133"/>
    <x v="3"/>
    <x v="1"/>
    <x v="0"/>
  </r>
  <r>
    <x v="82"/>
    <s v="ZTAN"/>
    <x v="50"/>
    <s v="KKPF51"/>
    <s v="95707734"/>
    <s v="CHILLAN"/>
    <x v="973"/>
    <x v="8"/>
    <x v="0"/>
    <x v="21"/>
    <x v="5"/>
    <n v="0"/>
    <n v="350000"/>
    <n v="0"/>
    <n v="350000"/>
    <n v="19.003664992534276"/>
    <n v="25000"/>
    <n v="74"/>
    <x v="1134"/>
    <x v="3"/>
    <x v="1"/>
    <x v="0"/>
  </r>
  <r>
    <x v="82"/>
    <s v="ZTAN"/>
    <x v="8"/>
    <s v="BDCH61"/>
    <s v="81417709"/>
    <s v="ÑUÑOA"/>
    <x v="974"/>
    <x v="1"/>
    <x v="1"/>
    <x v="15"/>
    <x v="1"/>
    <n v="4"/>
    <n v="56075"/>
    <n v="19909"/>
    <n v="75984"/>
    <n v="15.26641485172386"/>
    <n v="8011"/>
    <n v="62"/>
    <x v="1135"/>
    <x v="3"/>
    <x v="1"/>
    <x v="1"/>
  </r>
  <r>
    <x v="82"/>
    <s v="ZTAN"/>
    <x v="8"/>
    <s v="DJLF85"/>
    <s v="53173292"/>
    <s v="LA REINA"/>
    <x v="360"/>
    <x v="4"/>
    <x v="1"/>
    <x v="11"/>
    <x v="1"/>
    <n v="3"/>
    <n v="48075"/>
    <n v="11143"/>
    <n v="59218"/>
    <n v="15.942817144087874"/>
    <n v="6868"/>
    <n v="54"/>
    <x v="1136"/>
    <x v="3"/>
    <x v="1"/>
    <x v="1"/>
  </r>
  <r>
    <x v="82"/>
    <s v="ZTAN"/>
    <x v="8"/>
    <s v="SU9354"/>
    <s v="72564391"/>
    <s v="MELIPILLA"/>
    <x v="975"/>
    <x v="2"/>
    <x v="1"/>
    <x v="29"/>
    <x v="1"/>
    <n v="5"/>
    <n v="90000"/>
    <n v="26634"/>
    <n v="116634"/>
    <n v="13.137418337463398"/>
    <n v="12000"/>
    <n v="74"/>
    <x v="1137"/>
    <x v="3"/>
    <x v="1"/>
    <x v="1"/>
  </r>
  <r>
    <x v="82"/>
    <s v="ZTAN"/>
    <x v="8"/>
    <s v="SV2718"/>
    <s v="99626232"/>
    <s v="ÑUÑOA"/>
    <x v="364"/>
    <x v="1"/>
    <x v="1"/>
    <x v="15"/>
    <x v="1"/>
    <n v="4"/>
    <n v="56075"/>
    <n v="12000"/>
    <n v="68075"/>
    <n v="39.159572020248504"/>
    <n v="8011"/>
    <n v="22"/>
    <x v="1138"/>
    <x v="3"/>
    <x v="1"/>
    <x v="1"/>
  </r>
  <r>
    <x v="82"/>
    <s v="ZTAN"/>
    <x v="8"/>
    <s v="TP3884"/>
    <s v="161268070"/>
    <s v="PUDAHUEL"/>
    <x v="976"/>
    <x v="1"/>
    <x v="1"/>
    <x v="10"/>
    <x v="1"/>
    <n v="1"/>
    <n v="33750"/>
    <n v="18152"/>
    <n v="51902"/>
    <n v="11.437197003085057"/>
    <n v="4821"/>
    <n v="94"/>
    <x v="1139"/>
    <x v="3"/>
    <x v="1"/>
    <x v="1"/>
  </r>
  <r>
    <x v="82"/>
    <s v="ZTAN"/>
    <x v="8"/>
    <s v="UA7248"/>
    <s v="107643206"/>
    <s v="QUILIN"/>
    <x v="248"/>
    <x v="1"/>
    <x v="1"/>
    <x v="34"/>
    <x v="1"/>
    <n v="4"/>
    <n v="56075"/>
    <n v="12006"/>
    <n v="68081"/>
    <n v="22.681569829424308"/>
    <n v="8011"/>
    <n v="37"/>
    <x v="1140"/>
    <x v="3"/>
    <x v="1"/>
    <x v="1"/>
  </r>
  <r>
    <x v="82"/>
    <s v="ZTAN"/>
    <x v="8"/>
    <s v="XR6339"/>
    <s v="78907355"/>
    <s v="LAS CONDES"/>
    <x v="523"/>
    <x v="1"/>
    <x v="1"/>
    <x v="3"/>
    <x v="1"/>
    <n v="4"/>
    <n v="56075"/>
    <n v="12000"/>
    <n v="68075"/>
    <n v="24.968823356807512"/>
    <n v="8011"/>
    <n v="34"/>
    <x v="1141"/>
    <x v="3"/>
    <x v="1"/>
    <x v="1"/>
  </r>
  <r>
    <x v="83"/>
    <s v="ZPEP"/>
    <x v="5"/>
    <s v="PKYS74"/>
    <s v="6270439K"/>
    <s v="SAN PEDRO DE LA PAZ"/>
    <x v="977"/>
    <x v="0"/>
    <x v="0"/>
    <x v="47"/>
    <x v="0"/>
    <n v="0"/>
    <n v="380000"/>
    <n v="0"/>
    <n v="380000"/>
    <n v="58.995493054833204"/>
    <n v="25000"/>
    <n v="26"/>
    <x v="1142"/>
    <x v="3"/>
    <x v="1"/>
    <x v="0"/>
  </r>
  <r>
    <x v="83"/>
    <s v="ZTAN"/>
    <x v="3"/>
    <s v="HLBX77"/>
    <s v="16093509K"/>
    <s v="LAS CONDES"/>
    <x v="978"/>
    <x v="1"/>
    <x v="1"/>
    <x v="3"/>
    <x v="1"/>
    <n v="4"/>
    <n v="90577"/>
    <n v="51758.28"/>
    <n v="142335.28"/>
    <n v="11.000000772823208"/>
    <n v="8011"/>
    <n v="100"/>
    <x v="1143"/>
    <x v="3"/>
    <x v="1"/>
    <x v="1"/>
  </r>
  <r>
    <x v="83"/>
    <s v="ZTAN"/>
    <x v="3"/>
    <s v="WC2233"/>
    <s v="125108660"/>
    <s v="LAS CONDES"/>
    <x v="588"/>
    <x v="4"/>
    <x v="1"/>
    <x v="3"/>
    <x v="1"/>
    <n v="4"/>
    <n v="92504"/>
    <n v="39644.639999999999"/>
    <n v="132148.64000000001"/>
    <n v="9.9999878924364065"/>
    <n v="8011"/>
    <n v="100"/>
    <x v="1144"/>
    <x v="3"/>
    <x v="1"/>
    <x v="1"/>
  </r>
  <r>
    <x v="83"/>
    <s v="ZTAN"/>
    <x v="24"/>
    <s v="PN4466"/>
    <s v="81417709"/>
    <s v="MACHALI"/>
    <x v="979"/>
    <x v="1"/>
    <x v="0"/>
    <x v="43"/>
    <x v="6"/>
    <n v="0"/>
    <n v="230000"/>
    <n v="32947.199999999997"/>
    <n v="262947.20000000001"/>
    <n v="31.923465423465426"/>
    <n v="25000"/>
    <n v="33"/>
    <x v="1145"/>
    <x v="3"/>
    <x v="1"/>
    <x v="0"/>
  </r>
  <r>
    <x v="83"/>
    <s v="ZTAN"/>
    <x v="8"/>
    <s v="BDCH61"/>
    <s v="99626232"/>
    <s v="QUILICURA"/>
    <x v="347"/>
    <x v="1"/>
    <x v="1"/>
    <x v="8"/>
    <x v="1"/>
    <n v="1"/>
    <n v="33750"/>
    <n v="11856"/>
    <n v="45606"/>
    <n v="15.38663967611336"/>
    <n v="4821"/>
    <n v="61"/>
    <x v="1146"/>
    <x v="3"/>
    <x v="1"/>
    <x v="1"/>
  </r>
  <r>
    <x v="83"/>
    <s v="ZTAN"/>
    <x v="8"/>
    <s v="SU9354"/>
    <s v="72564391"/>
    <s v="MELIPILLA"/>
    <x v="590"/>
    <x v="2"/>
    <x v="1"/>
    <x v="29"/>
    <x v="1"/>
    <n v="5"/>
    <n v="90000"/>
    <n v="24985"/>
    <n v="114985"/>
    <n v="13.806373373036841"/>
    <n v="12000"/>
    <n v="69"/>
    <x v="1147"/>
    <x v="3"/>
    <x v="1"/>
    <x v="1"/>
  </r>
  <r>
    <x v="83"/>
    <s v="ZTAN"/>
    <x v="8"/>
    <s v="SV2718"/>
    <s v="161268070"/>
    <s v="LAS CONDES"/>
    <x v="980"/>
    <x v="1"/>
    <x v="1"/>
    <x v="3"/>
    <x v="1"/>
    <n v="4"/>
    <n v="56075"/>
    <n v="14056"/>
    <n v="70131"/>
    <n v="19.957598178713717"/>
    <n v="8011"/>
    <n v="44"/>
    <x v="1148"/>
    <x v="3"/>
    <x v="1"/>
    <x v="1"/>
  </r>
  <r>
    <x v="83"/>
    <s v="ZTAN"/>
    <x v="8"/>
    <s v="UA7248"/>
    <s v="107643206"/>
    <s v="PUENTE ALTO"/>
    <x v="226"/>
    <x v="1"/>
    <x v="1"/>
    <x v="30"/>
    <x v="1"/>
    <n v="4"/>
    <n v="56075"/>
    <n v="12000"/>
    <n v="68075"/>
    <n v="34.450910931174086"/>
    <n v="8011"/>
    <n v="25"/>
    <x v="1149"/>
    <x v="3"/>
    <x v="1"/>
    <x v="1"/>
  </r>
  <r>
    <x v="84"/>
    <s v="ZPEP"/>
    <x v="1"/>
    <s v="RK5135"/>
    <s v="00000000"/>
    <s v="ISLA DE MAIPO"/>
    <x v="981"/>
    <x v="3"/>
    <x v="1"/>
    <x v="1"/>
    <x v="1"/>
    <n v="5"/>
    <n v="90000"/>
    <n v="28372.890000000007"/>
    <n v="118372.89000000001"/>
    <n v="12.516126133079849"/>
    <n v="12000"/>
    <n v="79"/>
    <x v="1150"/>
    <x v="3"/>
    <x v="1"/>
    <x v="1"/>
  </r>
  <r>
    <x v="84"/>
    <s v="ZPEP"/>
    <x v="32"/>
    <s v="WC2233"/>
    <s v="125108660"/>
    <s v="LAMPA"/>
    <x v="982"/>
    <x v="4"/>
    <x v="1"/>
    <x v="17"/>
    <x v="1"/>
    <n v="5"/>
    <n v="70000"/>
    <n v="10824.960000000001"/>
    <n v="80824.960000000006"/>
    <n v="22.399609790705924"/>
    <n v="12000"/>
    <n v="30"/>
    <x v="1151"/>
    <x v="3"/>
    <x v="1"/>
    <x v="1"/>
  </r>
  <r>
    <x v="84"/>
    <s v="ZPEP"/>
    <x v="11"/>
    <s v="SU9354"/>
    <s v="72564391"/>
    <s v="PADRE HURTADO"/>
    <x v="983"/>
    <x v="2"/>
    <x v="1"/>
    <x v="26"/>
    <x v="1"/>
    <n v="5"/>
    <n v="70000"/>
    <n v="43340.28"/>
    <n v="113340.28"/>
    <n v="7.8453770949333963"/>
    <n v="12000"/>
    <n v="100"/>
    <x v="1152"/>
    <x v="3"/>
    <x v="1"/>
    <x v="1"/>
  </r>
  <r>
    <x v="84"/>
    <s v="ZPEP"/>
    <x v="8"/>
    <s v="PN4466"/>
    <s v="81417575"/>
    <s v="RENCA"/>
    <x v="984"/>
    <x v="1"/>
    <x v="0"/>
    <x v="7"/>
    <x v="1"/>
    <n v="1"/>
    <n v="33750"/>
    <n v="13185"/>
    <n v="46935"/>
    <n v="14.238778259128472"/>
    <n v="4821"/>
    <n v="68"/>
    <x v="1153"/>
    <x v="3"/>
    <x v="1"/>
    <x v="1"/>
  </r>
  <r>
    <x v="84"/>
    <s v="ZPEP"/>
    <x v="8"/>
    <s v="PN4466"/>
    <s v="81417709"/>
    <s v="RENCA"/>
    <x v="985"/>
    <x v="1"/>
    <x v="0"/>
    <x v="7"/>
    <x v="1"/>
    <n v="1"/>
    <n v="83009"/>
    <n v="47434"/>
    <n v="130443"/>
    <n v="11.000022768612709"/>
    <n v="4821"/>
    <n v="100"/>
    <x v="1154"/>
    <x v="3"/>
    <x v="1"/>
    <x v="1"/>
  </r>
  <r>
    <x v="84"/>
    <s v="ZPEP"/>
    <x v="33"/>
    <s v="HLBX77"/>
    <s v="16141787K"/>
    <s v="BUIN"/>
    <x v="986"/>
    <x v="1"/>
    <x v="1"/>
    <x v="56"/>
    <x v="1"/>
    <n v="5"/>
    <n v="90000"/>
    <n v="47433.72"/>
    <n v="137433.72"/>
    <n v="28.250176777227804"/>
    <n v="12000"/>
    <n v="41"/>
    <x v="1155"/>
    <x v="3"/>
    <x v="1"/>
    <x v="1"/>
  </r>
  <r>
    <x v="84"/>
    <s v="ZPEP"/>
    <x v="33"/>
    <s v="HLBX77"/>
    <s v="16141818K"/>
    <s v="BUIN"/>
    <x v="987"/>
    <x v="1"/>
    <x v="1"/>
    <x v="56"/>
    <x v="1"/>
    <n v="5"/>
    <n v="90000"/>
    <n v="19459.52"/>
    <n v="109459.52"/>
    <n v="31.358368188850047"/>
    <n v="12000"/>
    <n v="29"/>
    <x v="1156"/>
    <x v="3"/>
    <x v="1"/>
    <x v="1"/>
  </r>
  <r>
    <x v="84"/>
    <s v="ZTAN"/>
    <x v="10"/>
    <s v="TP3884"/>
    <s v="78907355"/>
    <s v="QUILICURA"/>
    <x v="450"/>
    <x v="1"/>
    <x v="1"/>
    <x v="8"/>
    <x v="1"/>
    <n v="1"/>
    <n v="37288"/>
    <n v="21307"/>
    <n v="58595"/>
    <n v="11.000037545993843"/>
    <n v="4821"/>
    <n v="100"/>
    <x v="1157"/>
    <x v="3"/>
    <x v="1"/>
    <x v="1"/>
  </r>
  <r>
    <x v="84"/>
    <s v="ZTAN"/>
    <x v="16"/>
    <s v="DJLF85"/>
    <s v="125108660"/>
    <s v="RENCA"/>
    <x v="489"/>
    <x v="4"/>
    <x v="1"/>
    <x v="7"/>
    <x v="1"/>
    <n v="1"/>
    <n v="81963"/>
    <n v="35127.000000000029"/>
    <n v="117090.00000000003"/>
    <n v="9.9999999999999947"/>
    <n v="4821"/>
    <n v="100"/>
    <x v="1158"/>
    <x v="3"/>
    <x v="1"/>
    <x v="1"/>
  </r>
  <r>
    <x v="84"/>
    <s v="ZTAN"/>
    <x v="8"/>
    <s v="BDCH61"/>
    <s v="78907355"/>
    <s v="CERRILLOS"/>
    <x v="988"/>
    <x v="1"/>
    <x v="1"/>
    <x v="9"/>
    <x v="1"/>
    <n v="2"/>
    <n v="40475"/>
    <n v="14053"/>
    <n v="54528"/>
    <n v="15.520892633496528"/>
    <n v="5782"/>
    <n v="61"/>
    <x v="1159"/>
    <x v="3"/>
    <x v="1"/>
    <x v="1"/>
  </r>
  <r>
    <x v="84"/>
    <s v="ZTAN"/>
    <x v="8"/>
    <s v="SU9354"/>
    <s v="71412624"/>
    <s v="SAN BERNARDO"/>
    <x v="989"/>
    <x v="2"/>
    <x v="1"/>
    <x v="4"/>
    <x v="1"/>
    <n v="4"/>
    <n v="56075"/>
    <n v="17071"/>
    <n v="73146"/>
    <n v="12.854280894137489"/>
    <n v="8011"/>
    <n v="71"/>
    <x v="1160"/>
    <x v="3"/>
    <x v="1"/>
    <x v="1"/>
  </r>
  <r>
    <x v="84"/>
    <s v="ZTAN"/>
    <x v="8"/>
    <s v="SV2718"/>
    <s v="78907355"/>
    <s v="PUDAHUEL"/>
    <x v="990"/>
    <x v="1"/>
    <x v="1"/>
    <x v="10"/>
    <x v="1"/>
    <n v="1"/>
    <n v="33750"/>
    <n v="12000"/>
    <n v="45750"/>
    <n v="18.120247148288971"/>
    <n v="4821"/>
    <n v="52"/>
    <x v="1161"/>
    <x v="3"/>
    <x v="1"/>
    <x v="1"/>
  </r>
  <r>
    <x v="84"/>
    <s v="ZTAN"/>
    <x v="8"/>
    <s v="SV2718"/>
    <s v="78907355"/>
    <s v="PUDAHUEL"/>
    <x v="991"/>
    <x v="1"/>
    <x v="1"/>
    <x v="10"/>
    <x v="1"/>
    <n v="1"/>
    <n v="33750"/>
    <n v="12000"/>
    <n v="45750"/>
    <n v="35.203139427516163"/>
    <n v="4821"/>
    <n v="27"/>
    <x v="1162"/>
    <x v="3"/>
    <x v="1"/>
    <x v="1"/>
  </r>
  <r>
    <x v="84"/>
    <s v="ZTAN"/>
    <x v="8"/>
    <s v="TP3884"/>
    <s v="78907355"/>
    <s v="REÑACA"/>
    <x v="992"/>
    <x v="1"/>
    <x v="1"/>
    <x v="6"/>
    <x v="2"/>
    <n v="0"/>
    <n v="180000"/>
    <n v="16251.2"/>
    <n v="196251.2"/>
    <n v="48.304420596632866"/>
    <n v="25000"/>
    <n v="16"/>
    <x v="1163"/>
    <x v="3"/>
    <x v="1"/>
    <x v="0"/>
  </r>
  <r>
    <x v="84"/>
    <s v="ZTAN"/>
    <x v="8"/>
    <s v="UA7248"/>
    <s v="78907355"/>
    <s v="LAS CONDES"/>
    <x v="993"/>
    <x v="1"/>
    <x v="1"/>
    <x v="3"/>
    <x v="1"/>
    <n v="4"/>
    <n v="56075"/>
    <n v="12000"/>
    <n v="68075"/>
    <n v="49.959635990019088"/>
    <n v="8011"/>
    <n v="17"/>
    <x v="1164"/>
    <x v="3"/>
    <x v="1"/>
    <x v="1"/>
  </r>
  <r>
    <x v="84"/>
    <s v="ZTAN"/>
    <x v="8"/>
    <s v="WC2233"/>
    <s v="12178520"/>
    <s v="LA FLORIDA"/>
    <x v="994"/>
    <x v="4"/>
    <x v="1"/>
    <x v="33"/>
    <x v="1"/>
    <n v="3"/>
    <n v="48075"/>
    <n v="14220"/>
    <n v="62295"/>
    <n v="13.14240506329114"/>
    <n v="6868"/>
    <n v="69"/>
    <x v="1165"/>
    <x v="3"/>
    <x v="1"/>
    <x v="1"/>
  </r>
  <r>
    <x v="85"/>
    <s v="ZPEP"/>
    <x v="33"/>
    <s v="WC2233"/>
    <s v="125108660"/>
    <s v="BUIN"/>
    <x v="995"/>
    <x v="4"/>
    <x v="1"/>
    <x v="56"/>
    <x v="1"/>
    <n v="5"/>
    <n v="90000"/>
    <n v="9012.5999999999985"/>
    <n v="99012.6"/>
    <n v="32.95805871779509"/>
    <n v="12000"/>
    <n v="17"/>
    <x v="1166"/>
    <x v="3"/>
    <x v="1"/>
    <x v="1"/>
  </r>
  <r>
    <x v="85"/>
    <s v="ZPEP"/>
    <x v="33"/>
    <s v="XR6339"/>
    <s v="78907355"/>
    <s v="BUIN"/>
    <x v="996"/>
    <x v="1"/>
    <x v="1"/>
    <x v="56"/>
    <x v="1"/>
    <n v="5"/>
    <n v="90000"/>
    <n v="7884.8"/>
    <n v="97884.800000000003"/>
    <n v="49.657467532467535"/>
    <n v="12000"/>
    <n v="16"/>
    <x v="1167"/>
    <x v="3"/>
    <x v="1"/>
    <x v="1"/>
  </r>
  <r>
    <x v="85"/>
    <s v="ZTAN"/>
    <x v="6"/>
    <s v="PKYS74"/>
    <s v="6270439K"/>
    <s v="CALAMA"/>
    <x v="997"/>
    <x v="0"/>
    <x v="0"/>
    <x v="37"/>
    <x v="7"/>
    <n v="0"/>
    <n v="1600000"/>
    <n v="0"/>
    <n v="1600000"/>
    <n v="158.41270469891685"/>
    <n v="25000"/>
    <n v="18"/>
    <x v="1168"/>
    <x v="3"/>
    <x v="1"/>
    <x v="0"/>
  </r>
  <r>
    <x v="85"/>
    <s v="ZTAN"/>
    <x v="9"/>
    <s v="DP5738"/>
    <s v="35488103"/>
    <s v="SAN BERNARDO"/>
    <x v="998"/>
    <x v="7"/>
    <x v="1"/>
    <x v="4"/>
    <x v="1"/>
    <n v="4"/>
    <n v="56075"/>
    <n v="1624.1999999999998"/>
    <n v="57699.199999999997"/>
    <n v="106.57406723309937"/>
    <n v="8011"/>
    <n v="7"/>
    <x v="1169"/>
    <x v="3"/>
    <x v="1"/>
    <x v="1"/>
  </r>
  <r>
    <x v="85"/>
    <s v="ZTAN"/>
    <x v="7"/>
    <s v="GKRB84"/>
    <s v="122975819"/>
    <s v="CHILLAN"/>
    <x v="999"/>
    <x v="5"/>
    <x v="0"/>
    <x v="21"/>
    <x v="5"/>
    <n v="0"/>
    <n v="350000"/>
    <n v="0"/>
    <n v="350000"/>
    <n v="20.931011386470182"/>
    <n v="25000"/>
    <n v="67"/>
    <x v="1170"/>
    <x v="3"/>
    <x v="1"/>
    <x v="0"/>
  </r>
  <r>
    <x v="85"/>
    <s v="ZTAN"/>
    <x v="7"/>
    <s v="HLBX77"/>
    <s v="16093509K"/>
    <s v="QUILICURA"/>
    <x v="923"/>
    <x v="1"/>
    <x v="1"/>
    <x v="8"/>
    <x v="1"/>
    <n v="1"/>
    <n v="96358"/>
    <n v="55062"/>
    <n v="151420"/>
    <n v="10.999963677309214"/>
    <n v="4821"/>
    <n v="100"/>
    <x v="1171"/>
    <x v="3"/>
    <x v="1"/>
    <x v="1"/>
  </r>
  <r>
    <x v="85"/>
    <s v="ZTAN"/>
    <x v="7"/>
    <s v="PN4466"/>
    <s v="81417709"/>
    <s v="MELIPILLA"/>
    <x v="451"/>
    <x v="1"/>
    <x v="0"/>
    <x v="29"/>
    <x v="1"/>
    <n v="5"/>
    <n v="120000"/>
    <n v="58510"/>
    <n v="178510"/>
    <n v="12.203642429380086"/>
    <n v="12000"/>
    <n v="100"/>
    <x v="1172"/>
    <x v="3"/>
    <x v="1"/>
    <x v="1"/>
  </r>
  <r>
    <x v="85"/>
    <s v="ZTAN"/>
    <x v="7"/>
    <s v="RK5135"/>
    <s v="138841065"/>
    <s v="QUILICURA"/>
    <x v="924"/>
    <x v="3"/>
    <x v="1"/>
    <x v="8"/>
    <x v="1"/>
    <n v="1"/>
    <n v="33750"/>
    <n v="13766"/>
    <n v="47516"/>
    <n v="10.355453852021357"/>
    <n v="4821"/>
    <n v="95"/>
    <x v="1173"/>
    <x v="3"/>
    <x v="1"/>
    <x v="1"/>
  </r>
  <r>
    <x v="85"/>
    <s v="ZTAN"/>
    <x v="7"/>
    <s v="SV2718"/>
    <s v="154837728"/>
    <s v="SAN MIGUEL"/>
    <x v="1000"/>
    <x v="1"/>
    <x v="1"/>
    <x v="23"/>
    <x v="1"/>
    <n v="2"/>
    <n v="47275"/>
    <n v="27014"/>
    <n v="74289"/>
    <n v="10.99991115849325"/>
    <n v="5782"/>
    <n v="100"/>
    <x v="1174"/>
    <x v="3"/>
    <x v="1"/>
    <x v="1"/>
  </r>
  <r>
    <x v="85"/>
    <s v="ZTAN"/>
    <x v="7"/>
    <s v="UA7248"/>
    <s v="99626232"/>
    <s v="SAN MIGUEL"/>
    <x v="1000"/>
    <x v="1"/>
    <x v="1"/>
    <x v="23"/>
    <x v="1"/>
    <n v="2"/>
    <n v="47275"/>
    <n v="27014"/>
    <n v="74289"/>
    <n v="10.99991115849325"/>
    <n v="5782"/>
    <n v="100"/>
    <x v="1175"/>
    <x v="3"/>
    <x v="1"/>
    <x v="1"/>
  </r>
  <r>
    <x v="85"/>
    <s v="ZTAN"/>
    <x v="8"/>
    <s v="BDCH61"/>
    <s v="78907355"/>
    <s v="CERRILLOS"/>
    <x v="480"/>
    <x v="1"/>
    <x v="1"/>
    <x v="9"/>
    <x v="1"/>
    <n v="2"/>
    <n v="40475"/>
    <n v="12000"/>
    <n v="52475"/>
    <n v="69.9293710021322"/>
    <n v="5782"/>
    <n v="13"/>
    <x v="1176"/>
    <x v="3"/>
    <x v="1"/>
    <x v="1"/>
  </r>
  <r>
    <x v="85"/>
    <s v="ZTAN"/>
    <x v="8"/>
    <s v="BDCH61"/>
    <s v="81417709"/>
    <s v="HUECHURABA"/>
    <x v="669"/>
    <x v="1"/>
    <x v="1"/>
    <x v="24"/>
    <x v="1"/>
    <n v="1"/>
    <n v="33750"/>
    <n v="4500"/>
    <n v="38250"/>
    <n v="34"/>
    <n v="4821"/>
    <n v="23"/>
    <x v="1177"/>
    <x v="3"/>
    <x v="1"/>
    <x v="1"/>
  </r>
  <r>
    <x v="85"/>
    <s v="ZTAN"/>
    <x v="8"/>
    <s v="DJLF85"/>
    <s v="53173292"/>
    <s v="PUENTE ALTO"/>
    <x v="1001"/>
    <x v="4"/>
    <x v="1"/>
    <x v="30"/>
    <x v="1"/>
    <n v="4"/>
    <n v="56075"/>
    <n v="14344"/>
    <n v="70419"/>
    <n v="14.727694817417493"/>
    <n v="8011"/>
    <n v="60"/>
    <x v="1178"/>
    <x v="3"/>
    <x v="1"/>
    <x v="1"/>
  </r>
  <r>
    <x v="85"/>
    <s v="ZTAN"/>
    <x v="8"/>
    <s v="SU9354"/>
    <s v="72564391"/>
    <s v="LA REINA"/>
    <x v="1002"/>
    <x v="2"/>
    <x v="1"/>
    <x v="11"/>
    <x v="1"/>
    <n v="3"/>
    <n v="48075"/>
    <n v="18486"/>
    <n v="66561"/>
    <n v="10.801850048685493"/>
    <n v="6868"/>
    <n v="90"/>
    <x v="1179"/>
    <x v="3"/>
    <x v="1"/>
    <x v="1"/>
  </r>
  <r>
    <x v="85"/>
    <s v="ZTAN"/>
    <x v="8"/>
    <s v="SV2718"/>
    <s v="78907355"/>
    <s v="ÑUÑOA"/>
    <x v="1003"/>
    <x v="1"/>
    <x v="1"/>
    <x v="15"/>
    <x v="1"/>
    <n v="4"/>
    <n v="56075"/>
    <n v="16346"/>
    <n v="72421"/>
    <n v="17.721577839769001"/>
    <n v="8011"/>
    <n v="51"/>
    <x v="1180"/>
    <x v="3"/>
    <x v="1"/>
    <x v="1"/>
  </r>
  <r>
    <x v="85"/>
    <s v="ZTAN"/>
    <x v="8"/>
    <s v="TP3884"/>
    <s v="154837728"/>
    <s v="PUDAHUEL"/>
    <x v="1004"/>
    <x v="1"/>
    <x v="1"/>
    <x v="10"/>
    <x v="1"/>
    <n v="1"/>
    <n v="43729"/>
    <n v="24988"/>
    <n v="68717"/>
    <n v="11.000000000000002"/>
    <n v="4821"/>
    <n v="100"/>
    <x v="1181"/>
    <x v="3"/>
    <x v="1"/>
    <x v="1"/>
  </r>
  <r>
    <x v="85"/>
    <s v="ZTAN"/>
    <x v="8"/>
    <s v="UA7248"/>
    <s v="107643206"/>
    <s v="QUILIN"/>
    <x v="1005"/>
    <x v="1"/>
    <x v="1"/>
    <x v="34"/>
    <x v="1"/>
    <n v="4"/>
    <n v="56075"/>
    <n v="12805"/>
    <n v="68880"/>
    <n v="21.516931150818444"/>
    <n v="8011"/>
    <n v="40"/>
    <x v="1182"/>
    <x v="3"/>
    <x v="1"/>
    <x v="1"/>
  </r>
  <r>
    <x v="85"/>
    <s v="ZTAN"/>
    <x v="8"/>
    <s v="XR6339"/>
    <s v="78907355"/>
    <s v="ÑUÑOA"/>
    <x v="1006"/>
    <x v="1"/>
    <x v="1"/>
    <x v="15"/>
    <x v="1"/>
    <n v="4"/>
    <n v="56075"/>
    <n v="12000"/>
    <n v="68075"/>
    <n v="36.485689784542828"/>
    <n v="8011"/>
    <n v="23"/>
    <x v="1183"/>
    <x v="3"/>
    <x v="1"/>
    <x v="1"/>
  </r>
  <r>
    <x v="86"/>
    <s v="ZNL"/>
    <x v="0"/>
    <s v="BHFG42"/>
    <s v="125487580"/>
    <s v="TALCAHUANO"/>
    <x v="1007"/>
    <x v="0"/>
    <x v="0"/>
    <x v="0"/>
    <x v="0"/>
    <n v="0"/>
    <n v="380000"/>
    <n v="0"/>
    <n v="380000"/>
    <n v="26.235846451256542"/>
    <n v="25000"/>
    <n v="58"/>
    <x v="1184"/>
    <x v="3"/>
    <x v="1"/>
    <x v="0"/>
  </r>
  <r>
    <x v="86"/>
    <s v="ZPEP"/>
    <x v="1"/>
    <s v="HLBX77"/>
    <s v="16093509K"/>
    <s v="ISLA DE MAIPO"/>
    <x v="1008"/>
    <x v="1"/>
    <x v="1"/>
    <x v="1"/>
    <x v="1"/>
    <n v="5"/>
    <n v="90000"/>
    <n v="59960.560000000041"/>
    <n v="149960.56000000006"/>
    <n v="10.003946594227935"/>
    <n v="12000"/>
    <n v="100"/>
    <x v="1185"/>
    <x v="3"/>
    <x v="1"/>
    <x v="1"/>
  </r>
  <r>
    <x v="86"/>
    <s v="ZPEP"/>
    <x v="5"/>
    <s v="DFRV76"/>
    <s v="113693568"/>
    <s v="SAN PEDRO DE LA PAZ"/>
    <x v="1009"/>
    <x v="5"/>
    <x v="0"/>
    <x v="47"/>
    <x v="0"/>
    <n v="0"/>
    <n v="380000"/>
    <n v="0"/>
    <n v="380000"/>
    <n v="41.760857548220052"/>
    <n v="25000"/>
    <n v="36"/>
    <x v="1186"/>
    <x v="3"/>
    <x v="1"/>
    <x v="0"/>
  </r>
  <r>
    <x v="86"/>
    <s v="ZPEP"/>
    <x v="8"/>
    <s v="PN4466"/>
    <s v="81417709"/>
    <s v="RENCA"/>
    <x v="1010"/>
    <x v="1"/>
    <x v="0"/>
    <x v="7"/>
    <x v="1"/>
    <n v="1"/>
    <n v="66168"/>
    <n v="37810"/>
    <n v="103978"/>
    <n v="11.000006347500248"/>
    <n v="4821"/>
    <n v="100"/>
    <x v="1187"/>
    <x v="3"/>
    <x v="1"/>
    <x v="1"/>
  </r>
  <r>
    <x v="86"/>
    <s v="ZPEP"/>
    <x v="33"/>
    <s v="DP5738"/>
    <s v="35488103"/>
    <s v="BUIN"/>
    <x v="1011"/>
    <x v="7"/>
    <x v="1"/>
    <x v="56"/>
    <x v="1"/>
    <n v="5"/>
    <n v="90000"/>
    <n v="14436.04"/>
    <n v="104436.04000000001"/>
    <n v="28.937586762020612"/>
    <n v="12000"/>
    <n v="30"/>
    <x v="1188"/>
    <x v="3"/>
    <x v="1"/>
    <x v="1"/>
  </r>
  <r>
    <x v="86"/>
    <s v="ZTAN"/>
    <x v="12"/>
    <s v="SU9354"/>
    <s v="72564391"/>
    <s v="VITACURA"/>
    <x v="1012"/>
    <x v="2"/>
    <x v="1"/>
    <x v="27"/>
    <x v="1"/>
    <n v="4"/>
    <n v="121868"/>
    <n v="52229.25"/>
    <n v="174097.25"/>
    <n v="9.9999856402303315"/>
    <n v="8011"/>
    <n v="100"/>
    <x v="1189"/>
    <x v="3"/>
    <x v="1"/>
    <x v="1"/>
  </r>
  <r>
    <x v="86"/>
    <s v="ZTAN"/>
    <x v="12"/>
    <s v="XR6339"/>
    <s v="78907355"/>
    <s v="VITACURA"/>
    <x v="1013"/>
    <x v="1"/>
    <x v="1"/>
    <x v="27"/>
    <x v="1"/>
    <n v="4"/>
    <n v="76665"/>
    <n v="43808.800000000003"/>
    <n v="120473.8"/>
    <n v="10.999963477657456"/>
    <n v="8011"/>
    <n v="100"/>
    <x v="1190"/>
    <x v="3"/>
    <x v="1"/>
    <x v="1"/>
  </r>
  <r>
    <x v="86"/>
    <s v="ZTAN"/>
    <x v="10"/>
    <s v="RK5135"/>
    <s v="138841065"/>
    <s v="QUILICURA"/>
    <x v="734"/>
    <x v="3"/>
    <x v="1"/>
    <x v="8"/>
    <x v="1"/>
    <n v="1"/>
    <n v="35868"/>
    <n v="15372"/>
    <n v="51240"/>
    <n v="9.9999999999999964"/>
    <n v="4821"/>
    <n v="100"/>
    <x v="1191"/>
    <x v="3"/>
    <x v="1"/>
    <x v="1"/>
  </r>
  <r>
    <x v="86"/>
    <s v="ZTAN"/>
    <x v="10"/>
    <s v="WC2233"/>
    <s v="125108660"/>
    <s v="QUILICURA"/>
    <x v="1014"/>
    <x v="4"/>
    <x v="1"/>
    <x v="8"/>
    <x v="1"/>
    <n v="1"/>
    <n v="33750"/>
    <n v="8888"/>
    <n v="42638"/>
    <n v="14.391116511408134"/>
    <n v="4821"/>
    <n v="61"/>
    <x v="1192"/>
    <x v="3"/>
    <x v="1"/>
    <x v="1"/>
  </r>
  <r>
    <x v="86"/>
    <s v="ZTAN"/>
    <x v="7"/>
    <s v="UA7248"/>
    <s v="107643206"/>
    <s v="SAN MIGUEL"/>
    <x v="1000"/>
    <x v="1"/>
    <x v="1"/>
    <x v="23"/>
    <x v="1"/>
    <n v="2"/>
    <n v="47275"/>
    <n v="27014"/>
    <n v="74289"/>
    <n v="10.99991115849325"/>
    <n v="5782"/>
    <n v="100"/>
    <x v="1193"/>
    <x v="3"/>
    <x v="1"/>
    <x v="1"/>
  </r>
  <r>
    <x v="86"/>
    <s v="ZTAN"/>
    <x v="23"/>
    <s v="DJLF85"/>
    <s v="53173292"/>
    <s v="SANTIAGO"/>
    <x v="1015"/>
    <x v="4"/>
    <x v="1"/>
    <x v="20"/>
    <x v="1"/>
    <n v="1"/>
    <n v="87427"/>
    <n v="37468.800000000003"/>
    <n v="124895.8"/>
    <n v="9.9999839866769147"/>
    <n v="4821"/>
    <n v="100"/>
    <x v="1194"/>
    <x v="3"/>
    <x v="1"/>
    <x v="1"/>
  </r>
  <r>
    <x v="87"/>
    <s v="ZNL"/>
    <x v="0"/>
    <s v="CJXX49"/>
    <s v="167832741"/>
    <s v="TALCAHUANO"/>
    <x v="1016"/>
    <x v="5"/>
    <x v="0"/>
    <x v="0"/>
    <x v="0"/>
    <n v="0"/>
    <n v="380000"/>
    <n v="0"/>
    <n v="380000"/>
    <n v="26.063815193832497"/>
    <n v="25000"/>
    <n v="58"/>
    <x v="1195"/>
    <x v="4"/>
    <x v="1"/>
    <x v="0"/>
  </r>
  <r>
    <x v="87"/>
    <s v="ZPEP"/>
    <x v="1"/>
    <s v="RK5135"/>
    <s v="138841065"/>
    <s v="ISLA DE MAIPO"/>
    <x v="1017"/>
    <x v="3"/>
    <x v="1"/>
    <x v="1"/>
    <x v="1"/>
    <n v="5"/>
    <n v="90000"/>
    <n v="29035.320000000007"/>
    <n v="119035.32"/>
    <n v="12.299019263435014"/>
    <n v="12000"/>
    <n v="81"/>
    <x v="1196"/>
    <x v="4"/>
    <x v="1"/>
    <x v="1"/>
  </r>
  <r>
    <x v="87"/>
    <s v="ZPEP"/>
    <x v="1"/>
    <s v="WC2233"/>
    <s v="125108660"/>
    <s v="ISLA DE MAIPO"/>
    <x v="1018"/>
    <x v="4"/>
    <x v="1"/>
    <x v="1"/>
    <x v="1"/>
    <n v="5"/>
    <n v="90000"/>
    <n v="28931.03999999999"/>
    <n v="118931.04"/>
    <n v="12.332536956846353"/>
    <n v="12000"/>
    <n v="80"/>
    <x v="1197"/>
    <x v="4"/>
    <x v="1"/>
    <x v="1"/>
  </r>
  <r>
    <x v="87"/>
    <s v="ZPEP"/>
    <x v="33"/>
    <s v="DP5738"/>
    <s v="35488103"/>
    <s v="BUIN"/>
    <x v="1019"/>
    <x v="7"/>
    <x v="1"/>
    <x v="56"/>
    <x v="1"/>
    <n v="5"/>
    <n v="90000"/>
    <n v="4014.57"/>
    <n v="94014.57"/>
    <n v="70.25502357662215"/>
    <n v="12000"/>
    <n v="11"/>
    <x v="1198"/>
    <x v="4"/>
    <x v="1"/>
    <x v="1"/>
  </r>
  <r>
    <x v="87"/>
    <s v="ZTAN"/>
    <x v="17"/>
    <s v="WG4022"/>
    <s v="81417709"/>
    <s v="LAMPA"/>
    <x v="1020"/>
    <x v="1"/>
    <x v="0"/>
    <x v="17"/>
    <x v="1"/>
    <n v="5"/>
    <n v="120000"/>
    <n v="73136"/>
    <n v="193136"/>
    <n v="10.563115292058631"/>
    <n v="12000"/>
    <n v="100"/>
    <x v="1199"/>
    <x v="4"/>
    <x v="1"/>
    <x v="1"/>
  </r>
  <r>
    <x v="87"/>
    <s v="ZTAN"/>
    <x v="6"/>
    <s v="TP3884"/>
    <s v="154837728"/>
    <s v="LA DEHESA"/>
    <x v="385"/>
    <x v="1"/>
    <x v="1"/>
    <x v="41"/>
    <x v="1"/>
    <n v="4"/>
    <n v="56075"/>
    <n v="30015.999999999989"/>
    <n v="86090.999999999985"/>
    <n v="11.472681236673775"/>
    <n v="8011"/>
    <n v="94"/>
    <x v="1200"/>
    <x v="4"/>
    <x v="1"/>
    <x v="1"/>
  </r>
  <r>
    <x v="87"/>
    <s v="ZTAN"/>
    <x v="7"/>
    <s v="HLBX77"/>
    <s v="16093509K"/>
    <s v="SAN MIGUEL"/>
    <x v="1021"/>
    <x v="1"/>
    <x v="1"/>
    <x v="23"/>
    <x v="1"/>
    <n v="2"/>
    <n v="55322"/>
    <n v="31613"/>
    <n v="86935"/>
    <n v="10.99997469379492"/>
    <n v="5782"/>
    <n v="100"/>
    <x v="1201"/>
    <x v="4"/>
    <x v="1"/>
    <x v="1"/>
  </r>
  <r>
    <x v="87"/>
    <s v="ZTAN"/>
    <x v="7"/>
    <s v="SU9354"/>
    <s v="72564391"/>
    <s v="RANCAGUA"/>
    <x v="1022"/>
    <x v="2"/>
    <x v="1"/>
    <x v="28"/>
    <x v="6"/>
    <n v="0"/>
    <n v="180000"/>
    <n v="22501.199999999993"/>
    <n v="202501.19999999998"/>
    <n v="26.998720068263033"/>
    <n v="25000"/>
    <n v="30"/>
    <x v="1202"/>
    <x v="4"/>
    <x v="1"/>
    <x v="0"/>
  </r>
  <r>
    <x v="87"/>
    <s v="ZTAN"/>
    <x v="8"/>
    <s v="BDCH61"/>
    <s v="107643206"/>
    <s v="PUDAHUEL"/>
    <x v="1023"/>
    <x v="1"/>
    <x v="1"/>
    <x v="10"/>
    <x v="1"/>
    <n v="1"/>
    <n v="33750"/>
    <n v="12000"/>
    <n v="45750"/>
    <n v="24.206349206349206"/>
    <n v="4821"/>
    <n v="39"/>
    <x v="1203"/>
    <x v="4"/>
    <x v="1"/>
    <x v="1"/>
  </r>
  <r>
    <x v="87"/>
    <s v="ZTAN"/>
    <x v="8"/>
    <s v="BDCH61"/>
    <s v="99626232"/>
    <s v="SAN MIGUEL"/>
    <x v="481"/>
    <x v="1"/>
    <x v="1"/>
    <x v="23"/>
    <x v="1"/>
    <n v="2"/>
    <n v="40475"/>
    <n v="12000"/>
    <n v="52475"/>
    <n v="29.553390403243977"/>
    <n v="5782"/>
    <n v="31"/>
    <x v="1204"/>
    <x v="4"/>
    <x v="1"/>
    <x v="1"/>
  </r>
  <r>
    <x v="87"/>
    <s v="ZTAN"/>
    <x v="8"/>
    <s v="DJLF85"/>
    <s v="53173292"/>
    <s v="CERRILLOS"/>
    <x v="248"/>
    <x v="4"/>
    <x v="1"/>
    <x v="9"/>
    <x v="1"/>
    <n v="2"/>
    <n v="40475"/>
    <n v="9005"/>
    <n v="49480"/>
    <n v="16.484541577825162"/>
    <n v="5782"/>
    <n v="52"/>
    <x v="1205"/>
    <x v="4"/>
    <x v="1"/>
    <x v="1"/>
  </r>
  <r>
    <x v="87"/>
    <s v="ZTAN"/>
    <x v="8"/>
    <s v="SV2718"/>
    <s v="161268070"/>
    <s v="PUDAHUEL"/>
    <x v="1024"/>
    <x v="1"/>
    <x v="1"/>
    <x v="10"/>
    <x v="1"/>
    <n v="1"/>
    <n v="33750"/>
    <n v="12000"/>
    <n v="45750"/>
    <n v="18.180734382451121"/>
    <n v="4821"/>
    <n v="52"/>
    <x v="1206"/>
    <x v="4"/>
    <x v="1"/>
    <x v="1"/>
  </r>
  <r>
    <x v="87"/>
    <s v="ZTAN"/>
    <x v="8"/>
    <s v="SV2718"/>
    <s v="78907355"/>
    <s v="PUENTE ALTO"/>
    <x v="1025"/>
    <x v="1"/>
    <x v="1"/>
    <x v="30"/>
    <x v="1"/>
    <n v="4"/>
    <n v="56075"/>
    <n v="13344"/>
    <n v="69419"/>
    <n v="20.809052757793765"/>
    <n v="8011"/>
    <n v="42"/>
    <x v="1207"/>
    <x v="4"/>
    <x v="1"/>
    <x v="1"/>
  </r>
  <r>
    <x v="87"/>
    <s v="ZTAN"/>
    <x v="8"/>
    <s v="TP3884"/>
    <s v="154837728"/>
    <s v="LAS CONDES"/>
    <x v="1026"/>
    <x v="1"/>
    <x v="1"/>
    <x v="3"/>
    <x v="1"/>
    <n v="4"/>
    <n v="60669"/>
    <n v="34668"/>
    <n v="95337"/>
    <n v="11"/>
    <n v="8011"/>
    <n v="100"/>
    <x v="1208"/>
    <x v="4"/>
    <x v="1"/>
    <x v="1"/>
  </r>
  <r>
    <x v="87"/>
    <s v="ZTAN"/>
    <x v="8"/>
    <s v="UA7248"/>
    <s v="107643206"/>
    <s v="EL BOSQUE"/>
    <x v="471"/>
    <x v="1"/>
    <x v="1"/>
    <x v="25"/>
    <x v="1"/>
    <n v="3"/>
    <n v="48075"/>
    <n v="12000"/>
    <n v="60075"/>
    <n v="26.68576759061834"/>
    <n v="6868"/>
    <n v="33"/>
    <x v="1209"/>
    <x v="4"/>
    <x v="1"/>
    <x v="1"/>
  </r>
  <r>
    <x v="87"/>
    <s v="ZTAN"/>
    <x v="8"/>
    <s v="UA7248"/>
    <s v="161268070"/>
    <s v="SAN BERNARDO"/>
    <x v="1027"/>
    <x v="1"/>
    <x v="1"/>
    <x v="4"/>
    <x v="1"/>
    <n v="4"/>
    <n v="56075"/>
    <n v="12000"/>
    <n v="68075"/>
    <n v="28.77705444707474"/>
    <n v="8011"/>
    <n v="30"/>
    <x v="1210"/>
    <x v="4"/>
    <x v="1"/>
    <x v="1"/>
  </r>
  <r>
    <x v="87"/>
    <s v="ZTAN"/>
    <x v="8"/>
    <s v="XR6339"/>
    <s v="99626232"/>
    <s v="ÑUÑOA"/>
    <x v="1028"/>
    <x v="1"/>
    <x v="1"/>
    <x v="15"/>
    <x v="1"/>
    <n v="4"/>
    <n v="56075"/>
    <n v="12000"/>
    <n v="68075"/>
    <n v="28.955763504891536"/>
    <n v="8011"/>
    <n v="29"/>
    <x v="1211"/>
    <x v="4"/>
    <x v="1"/>
    <x v="1"/>
  </r>
  <r>
    <x v="88"/>
    <s v="ZPEP"/>
    <x v="1"/>
    <s v="RK5135"/>
    <s v="138841065"/>
    <s v="ISLA DE MAIPO"/>
    <x v="1029"/>
    <x v="3"/>
    <x v="1"/>
    <x v="1"/>
    <x v="1"/>
    <n v="5"/>
    <n v="100853.28"/>
    <n v="0"/>
    <n v="100853.28"/>
    <n v="11"/>
    <n v="12000"/>
    <n v="76"/>
    <x v="1212"/>
    <x v="4"/>
    <x v="1"/>
    <x v="1"/>
  </r>
  <r>
    <x v="88"/>
    <s v="ZPEP"/>
    <x v="1"/>
    <s v="SU3954"/>
    <s v="72564391"/>
    <s v="ISLA DE MAIPO"/>
    <x v="1030"/>
    <x v="0"/>
    <x v="0"/>
    <x v="1"/>
    <x v="1"/>
    <n v="5"/>
    <n v="120000"/>
    <n v="0"/>
    <n v="120000"/>
    <n v="15.621440426986032"/>
    <n v="12000"/>
    <n v="64"/>
    <x v="1213"/>
    <x v="4"/>
    <x v="1"/>
    <x v="1"/>
  </r>
  <r>
    <x v="88"/>
    <s v="ZPEP"/>
    <x v="11"/>
    <s v="HLBX77"/>
    <s v="16093509K"/>
    <s v="MACHALI"/>
    <x v="1031"/>
    <x v="1"/>
    <x v="1"/>
    <x v="43"/>
    <x v="6"/>
    <n v="0"/>
    <n v="180000"/>
    <n v="33307.96"/>
    <n v="213307.96"/>
    <n v="25.61645444512363"/>
    <n v="25000"/>
    <n v="33"/>
    <x v="1214"/>
    <x v="4"/>
    <x v="1"/>
    <x v="0"/>
  </r>
  <r>
    <x v="88"/>
    <s v="ZPEP"/>
    <x v="14"/>
    <s v="DP5738"/>
    <s v="35488103"/>
    <s v="LA PINTANA"/>
    <x v="1032"/>
    <x v="7"/>
    <x v="1"/>
    <x v="31"/>
    <x v="1"/>
    <n v="4"/>
    <n v="56075"/>
    <n v="5985"/>
    <n v="62060"/>
    <n v="31.107769423558896"/>
    <n v="8011"/>
    <n v="25"/>
    <x v="1215"/>
    <x v="4"/>
    <x v="1"/>
    <x v="1"/>
  </r>
  <r>
    <x v="88"/>
    <s v="ZTAN"/>
    <x v="4"/>
    <s v="TW7053"/>
    <s v="172861164"/>
    <s v="MELIPILLA"/>
    <x v="397"/>
    <x v="6"/>
    <x v="1"/>
    <x v="29"/>
    <x v="1"/>
    <n v="5"/>
    <n v="90000"/>
    <n v="75040"/>
    <n v="165040"/>
    <n v="8.7974413646055432"/>
    <n v="12000"/>
    <n v="100"/>
    <x v="1216"/>
    <x v="4"/>
    <x v="1"/>
    <x v="1"/>
  </r>
  <r>
    <x v="88"/>
    <s v="ZTAN"/>
    <x v="16"/>
    <s v="WG4022"/>
    <s v="81417709"/>
    <s v="MAIPU"/>
    <x v="1033"/>
    <x v="1"/>
    <x v="0"/>
    <x v="2"/>
    <x v="1"/>
    <n v="0"/>
    <n v="40475"/>
    <n v="51027.199999999997"/>
    <n v="91502.2"/>
    <n v="7.1728176345164929"/>
    <n v="25000"/>
    <n v="51"/>
    <x v="1217"/>
    <x v="4"/>
    <x v="1"/>
    <x v="1"/>
  </r>
  <r>
    <x v="88"/>
    <s v="ZTAN"/>
    <x v="7"/>
    <s v="DJLF85"/>
    <s v="53173292"/>
    <s v="SAN MIGUEL"/>
    <x v="1034"/>
    <x v="4"/>
    <x v="1"/>
    <x v="23"/>
    <x v="1"/>
    <n v="2"/>
    <n v="58117"/>
    <n v="24907"/>
    <n v="83024"/>
    <n v="10"/>
    <n v="5782"/>
    <n v="100"/>
    <x v="1218"/>
    <x v="4"/>
    <x v="1"/>
    <x v="1"/>
  </r>
  <r>
    <x v="88"/>
    <s v="ZTAN"/>
    <x v="7"/>
    <s v="WC2233"/>
    <s v="125108660"/>
    <s v="SAN MIGUEL"/>
    <x v="385"/>
    <x v="4"/>
    <x v="1"/>
    <x v="23"/>
    <x v="1"/>
    <n v="2"/>
    <n v="52528"/>
    <n v="22512"/>
    <n v="75040"/>
    <n v="10.000000000000004"/>
    <n v="5782"/>
    <n v="100"/>
    <x v="1219"/>
    <x v="4"/>
    <x v="1"/>
    <x v="1"/>
  </r>
  <r>
    <x v="88"/>
    <s v="ZTAN"/>
    <x v="8"/>
    <s v="BDCH61"/>
    <s v="99626232"/>
    <s v="QUILICURA"/>
    <x v="1035"/>
    <x v="1"/>
    <x v="1"/>
    <x v="8"/>
    <x v="1"/>
    <n v="1"/>
    <n v="33750"/>
    <n v="15766"/>
    <n v="49516"/>
    <n v="12.562411203572154"/>
    <n v="4821"/>
    <n v="82"/>
    <x v="1220"/>
    <x v="4"/>
    <x v="1"/>
    <x v="1"/>
  </r>
  <r>
    <x v="88"/>
    <s v="ZTAN"/>
    <x v="8"/>
    <s v="DP5738"/>
    <s v="35488103"/>
    <s v="ÑUÑOA"/>
    <x v="1036"/>
    <x v="7"/>
    <x v="1"/>
    <x v="15"/>
    <x v="1"/>
    <n v="4"/>
    <n v="56075"/>
    <n v="11176"/>
    <n v="67251"/>
    <n v="18.052990443466122"/>
    <n v="8011"/>
    <n v="47"/>
    <x v="1221"/>
    <x v="4"/>
    <x v="1"/>
    <x v="1"/>
  </r>
  <r>
    <x v="88"/>
    <s v="ZTAN"/>
    <x v="8"/>
    <s v="EK5135"/>
    <s v="138841065"/>
    <s v="SANTIAGO"/>
    <x v="1037"/>
    <x v="0"/>
    <x v="0"/>
    <x v="20"/>
    <x v="1"/>
    <n v="1"/>
    <n v="33750"/>
    <n v="3677"/>
    <n v="37427"/>
    <n v="30.53769582245431"/>
    <n v="4821"/>
    <n v="25"/>
    <x v="1222"/>
    <x v="4"/>
    <x v="1"/>
    <x v="1"/>
  </r>
  <r>
    <x v="88"/>
    <s v="ZTAN"/>
    <x v="8"/>
    <s v="RK5135"/>
    <s v="138841065"/>
    <s v="SANTIAGO"/>
    <x v="47"/>
    <x v="3"/>
    <x v="1"/>
    <x v="20"/>
    <x v="1"/>
    <n v="1"/>
    <n v="55000"/>
    <n v="0"/>
    <n v="55000"/>
    <n v="22.099003535840563"/>
    <n v="4821"/>
    <n v="52"/>
    <x v="1223"/>
    <x v="4"/>
    <x v="1"/>
    <x v="1"/>
  </r>
  <r>
    <x v="88"/>
    <s v="ZTAN"/>
    <x v="8"/>
    <s v="SP2497"/>
    <s v="53173292"/>
    <s v="LA REINA"/>
    <x v="1038"/>
    <x v="4"/>
    <x v="1"/>
    <x v="11"/>
    <x v="1"/>
    <n v="3"/>
    <n v="48075"/>
    <n v="9556"/>
    <n v="57631"/>
    <n v="18.093369333165885"/>
    <n v="6868"/>
    <n v="46"/>
    <x v="1224"/>
    <x v="4"/>
    <x v="1"/>
    <x v="1"/>
  </r>
  <r>
    <x v="88"/>
    <s v="ZTAN"/>
    <x v="8"/>
    <s v="SV2718"/>
    <s v="161268070"/>
    <s v="QUILIN"/>
    <x v="1039"/>
    <x v="1"/>
    <x v="1"/>
    <x v="34"/>
    <x v="1"/>
    <n v="4"/>
    <n v="56075"/>
    <n v="16867"/>
    <n v="72942"/>
    <n v="17.297951052931133"/>
    <n v="8011"/>
    <n v="53"/>
    <x v="1225"/>
    <x v="4"/>
    <x v="1"/>
    <x v="1"/>
  </r>
  <r>
    <x v="88"/>
    <s v="ZTAN"/>
    <x v="8"/>
    <s v="TP3884"/>
    <s v="154837728"/>
    <s v="PUDAHUEL"/>
    <x v="1040"/>
    <x v="1"/>
    <x v="1"/>
    <x v="10"/>
    <x v="1"/>
    <n v="1"/>
    <n v="44002"/>
    <n v="25144"/>
    <n v="69146"/>
    <n v="11.000000000000005"/>
    <n v="4821"/>
    <n v="100"/>
    <x v="1226"/>
    <x v="4"/>
    <x v="1"/>
    <x v="1"/>
  </r>
  <r>
    <x v="88"/>
    <s v="ZTAN"/>
    <x v="8"/>
    <s v="UA7248"/>
    <s v="107643206"/>
    <s v="LAS CONDES"/>
    <x v="1041"/>
    <x v="1"/>
    <x v="1"/>
    <x v="3"/>
    <x v="1"/>
    <n v="4"/>
    <n v="56075"/>
    <n v="12000"/>
    <n v="68075"/>
    <n v="41.362863045327501"/>
    <n v="8011"/>
    <n v="21"/>
    <x v="1227"/>
    <x v="4"/>
    <x v="1"/>
    <x v="1"/>
  </r>
  <r>
    <x v="88"/>
    <s v="ZTAN"/>
    <x v="8"/>
    <s v="XR6339"/>
    <s v="78907355"/>
    <s v="CERRILLOS"/>
    <x v="1042"/>
    <x v="1"/>
    <x v="1"/>
    <x v="9"/>
    <x v="1"/>
    <n v="2"/>
    <n v="40475"/>
    <n v="12863"/>
    <n v="53338"/>
    <n v="16.586230486970582"/>
    <n v="5782"/>
    <n v="56"/>
    <x v="1228"/>
    <x v="4"/>
    <x v="1"/>
    <x v="1"/>
  </r>
  <r>
    <x v="89"/>
    <s v="ZNL"/>
    <x v="0"/>
    <s v="CJXX49"/>
    <s v="167832741"/>
    <s v="TALCAHUANO"/>
    <x v="1043"/>
    <x v="5"/>
    <x v="0"/>
    <x v="0"/>
    <x v="0"/>
    <n v="0"/>
    <n v="380000"/>
    <n v="0"/>
    <n v="380000"/>
    <n v="19.299528685194215"/>
    <n v="25000"/>
    <n v="79"/>
    <x v="1229"/>
    <x v="4"/>
    <x v="1"/>
    <x v="0"/>
  </r>
  <r>
    <x v="89"/>
    <s v="ZPEP"/>
    <x v="5"/>
    <s v="PKYS74"/>
    <s v="6270439K"/>
    <s v="SAN PEDRO DE LA PAZ"/>
    <x v="1044"/>
    <x v="0"/>
    <x v="0"/>
    <x v="47"/>
    <x v="0"/>
    <n v="0"/>
    <n v="380000"/>
    <n v="0"/>
    <n v="380000"/>
    <n v="40.984490605923341"/>
    <n v="25000"/>
    <n v="37"/>
    <x v="1230"/>
    <x v="4"/>
    <x v="1"/>
    <x v="0"/>
  </r>
  <r>
    <x v="89"/>
    <s v="ZTAN"/>
    <x v="51"/>
    <s v="SU9354"/>
    <s v="72564391"/>
    <s v="CERRILLOS"/>
    <x v="1045"/>
    <x v="2"/>
    <x v="1"/>
    <x v="9"/>
    <x v="1"/>
    <n v="2"/>
    <n v="74211.499999999985"/>
    <n v="0"/>
    <n v="74211.499999999985"/>
    <n v="11"/>
    <n v="5782"/>
    <n v="100"/>
    <x v="1231"/>
    <x v="4"/>
    <x v="1"/>
    <x v="1"/>
  </r>
  <r>
    <x v="89"/>
    <s v="ZTAN"/>
    <x v="5"/>
    <s v="WC2233"/>
    <s v="125108660"/>
    <s v="COLINA"/>
    <x v="890"/>
    <x v="4"/>
    <x v="1"/>
    <x v="5"/>
    <x v="1"/>
    <n v="5"/>
    <n v="70000"/>
    <n v="0"/>
    <n v="70000"/>
    <n v="10.802469135802468"/>
    <n v="12000"/>
    <n v="54"/>
    <x v="1232"/>
    <x v="4"/>
    <x v="1"/>
    <x v="1"/>
  </r>
  <r>
    <x v="89"/>
    <s v="ZTAN"/>
    <x v="7"/>
    <s v="SV2718"/>
    <s v="99626232"/>
    <s v="SAN MIGUEL"/>
    <x v="1046"/>
    <x v="1"/>
    <x v="1"/>
    <x v="23"/>
    <x v="1"/>
    <n v="2"/>
    <n v="40475"/>
    <n v="15206"/>
    <n v="55681"/>
    <n v="14.646727693602697"/>
    <n v="5782"/>
    <n v="66"/>
    <x v="1233"/>
    <x v="4"/>
    <x v="1"/>
    <x v="1"/>
  </r>
  <r>
    <x v="89"/>
    <s v="ZTAN"/>
    <x v="7"/>
    <s v="UA7248"/>
    <s v="154837728"/>
    <s v="SAN MIGUEL"/>
    <x v="1047"/>
    <x v="1"/>
    <x v="1"/>
    <x v="23"/>
    <x v="1"/>
    <n v="2"/>
    <n v="40475"/>
    <n v="13306"/>
    <n v="53781"/>
    <n v="16.167929292929298"/>
    <n v="5782"/>
    <n v="58"/>
    <x v="1234"/>
    <x v="4"/>
    <x v="1"/>
    <x v="1"/>
  </r>
  <r>
    <x v="89"/>
    <s v="ZTAN"/>
    <x v="7"/>
    <s v="WG4022"/>
    <s v="81417709"/>
    <s v="MELIPILLA"/>
    <x v="255"/>
    <x v="1"/>
    <x v="0"/>
    <x v="29"/>
    <x v="1"/>
    <n v="5"/>
    <n v="120000"/>
    <n v="66330"/>
    <n v="186330"/>
    <n v="11.236612311848713"/>
    <n v="12000"/>
    <n v="100"/>
    <x v="1235"/>
    <x v="4"/>
    <x v="1"/>
    <x v="1"/>
  </r>
  <r>
    <x v="89"/>
    <s v="ZTAN"/>
    <x v="8"/>
    <s v="BDCH61"/>
    <s v="99626232"/>
    <s v="PUENTE ALTO"/>
    <x v="1048"/>
    <x v="1"/>
    <x v="1"/>
    <x v="30"/>
    <x v="1"/>
    <n v="4"/>
    <n v="56075"/>
    <n v="16195"/>
    <n v="72270"/>
    <n v="17.849733254297568"/>
    <n v="8011"/>
    <n v="51"/>
    <x v="1236"/>
    <x v="4"/>
    <x v="1"/>
    <x v="1"/>
  </r>
  <r>
    <x v="89"/>
    <s v="ZTAN"/>
    <x v="8"/>
    <s v="DJLF85"/>
    <s v="53173292"/>
    <s v="SAN MIGUEL"/>
    <x v="1049"/>
    <x v="4"/>
    <x v="1"/>
    <x v="23"/>
    <x v="1"/>
    <n v="2"/>
    <n v="40475"/>
    <n v="13207"/>
    <n v="53682"/>
    <n v="12.194357366771161"/>
    <n v="5782"/>
    <n v="76"/>
    <x v="1237"/>
    <x v="4"/>
    <x v="1"/>
    <x v="1"/>
  </r>
  <r>
    <x v="89"/>
    <s v="ZTAN"/>
    <x v="8"/>
    <s v="DP5738"/>
    <s v="35488103"/>
    <s v="MAIPU"/>
    <x v="1050"/>
    <x v="7"/>
    <x v="1"/>
    <x v="2"/>
    <x v="1"/>
    <n v="2"/>
    <n v="55000"/>
    <n v="0"/>
    <n v="55000"/>
    <n v="12.944831481830169"/>
    <n v="5782"/>
    <n v="73"/>
    <x v="1238"/>
    <x v="4"/>
    <x v="1"/>
    <x v="1"/>
  </r>
  <r>
    <x v="89"/>
    <s v="ZTAN"/>
    <x v="8"/>
    <s v="RK5135"/>
    <s v="138841065"/>
    <s v="REÑACA"/>
    <x v="1051"/>
    <x v="3"/>
    <x v="1"/>
    <x v="6"/>
    <x v="2"/>
    <n v="0"/>
    <n v="180000"/>
    <n v="0"/>
    <n v="180000"/>
    <n v="21.486892995272882"/>
    <n v="25000"/>
    <n v="34"/>
    <x v="1239"/>
    <x v="4"/>
    <x v="1"/>
    <x v="0"/>
  </r>
  <r>
    <x v="89"/>
    <s v="ZTAN"/>
    <x v="8"/>
    <s v="SV2718"/>
    <s v="78907355"/>
    <s v="PUDAHUEL"/>
    <x v="1052"/>
    <x v="1"/>
    <x v="1"/>
    <x v="10"/>
    <x v="1"/>
    <n v="1"/>
    <n v="55000"/>
    <n v="10026"/>
    <n v="65026"/>
    <n v="25.943983402489625"/>
    <n v="4821"/>
    <n v="52"/>
    <x v="1240"/>
    <x v="4"/>
    <x v="1"/>
    <x v="1"/>
  </r>
  <r>
    <x v="89"/>
    <s v="ZTAN"/>
    <x v="8"/>
    <s v="TP3884"/>
    <s v="154837728"/>
    <s v="LA FLORIDA"/>
    <x v="1053"/>
    <x v="1"/>
    <x v="1"/>
    <x v="33"/>
    <x v="1"/>
    <n v="3"/>
    <n v="53136"/>
    <n v="30363"/>
    <n v="83499"/>
    <n v="11.000026347684042"/>
    <n v="6868"/>
    <n v="100"/>
    <x v="1241"/>
    <x v="4"/>
    <x v="1"/>
    <x v="1"/>
  </r>
  <r>
    <x v="89"/>
    <s v="ZTAN"/>
    <x v="8"/>
    <s v="UA7248"/>
    <s v="107643206"/>
    <s v="LAS CONDES"/>
    <x v="1054"/>
    <x v="1"/>
    <x v="1"/>
    <x v="3"/>
    <x v="1"/>
    <n v="4"/>
    <n v="56075"/>
    <n v="12000"/>
    <n v="68075"/>
    <n v="35.251928952410545"/>
    <n v="8011"/>
    <n v="24"/>
    <x v="1242"/>
    <x v="4"/>
    <x v="1"/>
    <x v="1"/>
  </r>
  <r>
    <x v="89"/>
    <s v="ZTAN"/>
    <x v="8"/>
    <s v="XR6339"/>
    <s v="161268070"/>
    <s v="SAN BERNARDO"/>
    <x v="471"/>
    <x v="1"/>
    <x v="1"/>
    <x v="4"/>
    <x v="1"/>
    <n v="4"/>
    <n v="56075"/>
    <n v="12000"/>
    <n v="68075"/>
    <n v="30.239427860696519"/>
    <n v="8011"/>
    <n v="28"/>
    <x v="1243"/>
    <x v="4"/>
    <x v="1"/>
    <x v="1"/>
  </r>
  <r>
    <x v="90"/>
    <s v="ZPEP"/>
    <x v="1"/>
    <s v="XR6339"/>
    <s v="78907355"/>
    <s v="ISLA DE MAIPO"/>
    <x v="1055"/>
    <x v="1"/>
    <x v="1"/>
    <x v="1"/>
    <x v="1"/>
    <n v="5"/>
    <n v="90000"/>
    <n v="25057.760000000006"/>
    <n v="115057.76000000001"/>
    <n v="18.366806929270609"/>
    <n v="12000"/>
    <n v="52"/>
    <x v="1244"/>
    <x v="4"/>
    <x v="1"/>
    <x v="1"/>
  </r>
  <r>
    <x v="90"/>
    <s v="ZPEP"/>
    <x v="2"/>
    <s v="GKRB84"/>
    <s v="122975819"/>
    <s v="TALCA"/>
    <x v="1056"/>
    <x v="5"/>
    <x v="0"/>
    <x v="12"/>
    <x v="3"/>
    <n v="0"/>
    <n v="320000"/>
    <n v="0"/>
    <n v="320000"/>
    <n v="30.33868400269635"/>
    <n v="25000"/>
    <n v="26"/>
    <x v="1245"/>
    <x v="4"/>
    <x v="1"/>
    <x v="0"/>
  </r>
  <r>
    <x v="90"/>
    <s v="ZPEP"/>
    <x v="12"/>
    <s v="WG4022"/>
    <s v="81417709"/>
    <s v="VITACURA"/>
    <x v="1057"/>
    <x v="1"/>
    <x v="0"/>
    <x v="27"/>
    <x v="1"/>
    <n v="4"/>
    <n v="134426"/>
    <n v="76815"/>
    <n v="211241"/>
    <n v="10.999986981709302"/>
    <n v="8011"/>
    <n v="100"/>
    <x v="1246"/>
    <x v="4"/>
    <x v="1"/>
    <x v="1"/>
  </r>
  <r>
    <x v="90"/>
    <s v="ZTAN"/>
    <x v="51"/>
    <s v="HLBX77"/>
    <s v="16093509K"/>
    <s v="CERRILLOS"/>
    <x v="1058"/>
    <x v="1"/>
    <x v="1"/>
    <x v="9"/>
    <x v="1"/>
    <n v="2"/>
    <n v="40475"/>
    <n v="15912"/>
    <n v="56387"/>
    <n v="14.174710910005027"/>
    <n v="5782"/>
    <n v="69"/>
    <x v="1247"/>
    <x v="4"/>
    <x v="1"/>
    <x v="1"/>
  </r>
  <r>
    <x v="90"/>
    <s v="ZTAN"/>
    <x v="51"/>
    <s v="WC2233"/>
    <s v="125108660"/>
    <s v="CERRILLOS"/>
    <x v="1059"/>
    <x v="4"/>
    <x v="1"/>
    <x v="9"/>
    <x v="1"/>
    <n v="2"/>
    <n v="55000"/>
    <n v="0"/>
    <n v="55000"/>
    <n v="25.418245678898231"/>
    <n v="5782"/>
    <n v="37"/>
    <x v="1248"/>
    <x v="4"/>
    <x v="1"/>
    <x v="1"/>
  </r>
  <r>
    <x v="90"/>
    <s v="ZTAN"/>
    <x v="8"/>
    <s v="BDCH61"/>
    <s v="99626232"/>
    <s v="HUECHURABA"/>
    <x v="1060"/>
    <x v="1"/>
    <x v="1"/>
    <x v="24"/>
    <x v="1"/>
    <n v="1"/>
    <n v="33750"/>
    <n v="12000"/>
    <n v="45750"/>
    <n v="16.408435549817089"/>
    <n v="4821"/>
    <n v="58"/>
    <x v="1249"/>
    <x v="4"/>
    <x v="1"/>
    <x v="1"/>
  </r>
  <r>
    <x v="90"/>
    <s v="ZTAN"/>
    <x v="8"/>
    <s v="SV2718"/>
    <s v="78907355"/>
    <s v="CERRILLOS"/>
    <x v="1061"/>
    <x v="1"/>
    <x v="1"/>
    <x v="9"/>
    <x v="1"/>
    <n v="2"/>
    <n v="43177"/>
    <n v="24673"/>
    <n v="67850"/>
    <n v="10.999967575629841"/>
    <n v="5782"/>
    <n v="100"/>
    <x v="1250"/>
    <x v="4"/>
    <x v="1"/>
    <x v="1"/>
  </r>
  <r>
    <x v="90"/>
    <s v="ZTAN"/>
    <x v="8"/>
    <s v="TP3884"/>
    <s v="154837728"/>
    <s v="PUDAHUEL"/>
    <x v="1062"/>
    <x v="1"/>
    <x v="1"/>
    <x v="10"/>
    <x v="1"/>
    <n v="1"/>
    <n v="49218"/>
    <n v="28125"/>
    <n v="77343"/>
    <n v="10.999971555353278"/>
    <n v="4821"/>
    <n v="100"/>
    <x v="1251"/>
    <x v="4"/>
    <x v="1"/>
    <x v="1"/>
  </r>
  <r>
    <x v="90"/>
    <s v="ZTAN"/>
    <x v="8"/>
    <s v="UA7248"/>
    <s v="107643206"/>
    <s v="PUENTE ALTO"/>
    <x v="1063"/>
    <x v="1"/>
    <x v="1"/>
    <x v="30"/>
    <x v="1"/>
    <n v="4"/>
    <n v="56075"/>
    <n v="18355"/>
    <n v="74430"/>
    <n v="16.219926778242677"/>
    <n v="8011"/>
    <n v="57"/>
    <x v="1252"/>
    <x v="4"/>
    <x v="1"/>
    <x v="1"/>
  </r>
  <r>
    <x v="91"/>
    <s v="ZPEP"/>
    <x v="3"/>
    <s v="HLBX77"/>
    <s v="16093509K"/>
    <s v="LAS CONDES"/>
    <x v="1064"/>
    <x v="1"/>
    <x v="1"/>
    <x v="3"/>
    <x v="1"/>
    <n v="4"/>
    <n v="56075"/>
    <n v="26086.720000000001"/>
    <n v="82161.72"/>
    <n v="12.598244624084591"/>
    <n v="8011"/>
    <n v="81"/>
    <x v="1253"/>
    <x v="4"/>
    <x v="1"/>
    <x v="1"/>
  </r>
  <r>
    <x v="91"/>
    <s v="ZPEP"/>
    <x v="32"/>
    <s v="WG4022"/>
    <s v="81417709"/>
    <s v="LAMPA"/>
    <x v="1065"/>
    <x v="1"/>
    <x v="0"/>
    <x v="17"/>
    <x v="1"/>
    <n v="5"/>
    <n v="120000"/>
    <n v="56951.44"/>
    <n v="176951.44"/>
    <n v="12.428232894550163"/>
    <n v="12000"/>
    <n v="100"/>
    <x v="1254"/>
    <x v="4"/>
    <x v="1"/>
    <x v="1"/>
  </r>
  <r>
    <x v="91"/>
    <s v="ZPEP"/>
    <x v="52"/>
    <s v="CJFZ69"/>
    <s v="137879050"/>
    <s v="PUERTO MONTT"/>
    <x v="1066"/>
    <x v="5"/>
    <x v="0"/>
    <x v="53"/>
    <x v="10"/>
    <n v="0"/>
    <n v="1020000"/>
    <n v="0"/>
    <n v="1020000"/>
    <n v="57.068332614384239"/>
    <n v="25000"/>
    <n v="71"/>
    <x v="1255"/>
    <x v="4"/>
    <x v="1"/>
    <x v="0"/>
  </r>
  <r>
    <x v="91"/>
    <s v="ZTAN"/>
    <x v="10"/>
    <s v="DJLF85"/>
    <s v="125108660"/>
    <s v="QUILICURA"/>
    <x v="1067"/>
    <x v="4"/>
    <x v="1"/>
    <x v="8"/>
    <x v="1"/>
    <n v="1"/>
    <n v="93522"/>
    <n v="0"/>
    <n v="93522"/>
    <n v="11"/>
    <n v="4821"/>
    <n v="100"/>
    <x v="1256"/>
    <x v="4"/>
    <x v="1"/>
    <x v="1"/>
  </r>
  <r>
    <x v="91"/>
    <s v="ZTAN"/>
    <x v="10"/>
    <s v="XR6339"/>
    <s v="78907355"/>
    <s v="QUILICURA"/>
    <x v="1068"/>
    <x v="1"/>
    <x v="1"/>
    <x v="8"/>
    <x v="1"/>
    <n v="1"/>
    <n v="41660"/>
    <n v="23806"/>
    <n v="65466"/>
    <n v="11.000100816614578"/>
    <n v="4821"/>
    <n v="100"/>
    <x v="1257"/>
    <x v="4"/>
    <x v="1"/>
    <x v="1"/>
  </r>
  <r>
    <x v="91"/>
    <s v="ZTAN"/>
    <x v="7"/>
    <s v="DFRV76"/>
    <s v="113693568"/>
    <s v="CHILLAN"/>
    <x v="1069"/>
    <x v="5"/>
    <x v="0"/>
    <x v="21"/>
    <x v="5"/>
    <n v="0"/>
    <n v="350000"/>
    <n v="0"/>
    <n v="350000"/>
    <n v="14.955219799001826"/>
    <n v="25000"/>
    <n v="94"/>
    <x v="1258"/>
    <x v="4"/>
    <x v="1"/>
    <x v="0"/>
  </r>
  <r>
    <x v="91"/>
    <s v="ZTAN"/>
    <x v="8"/>
    <s v="BDCH61"/>
    <s v="99626232"/>
    <s v="QUILIN"/>
    <x v="1070"/>
    <x v="1"/>
    <x v="1"/>
    <x v="34"/>
    <x v="1"/>
    <n v="4"/>
    <n v="56075"/>
    <n v="17405"/>
    <n v="73480"/>
    <n v="16.887295458724022"/>
    <n v="8011"/>
    <n v="54"/>
    <x v="1259"/>
    <x v="4"/>
    <x v="1"/>
    <x v="1"/>
  </r>
  <r>
    <x v="91"/>
    <s v="ZTAN"/>
    <x v="8"/>
    <s v="DP5738"/>
    <s v="35488103"/>
    <s v="LA REINA"/>
    <x v="1071"/>
    <x v="7"/>
    <x v="1"/>
    <x v="11"/>
    <x v="1"/>
    <n v="3"/>
    <n v="57518.999999999993"/>
    <n v="0"/>
    <n v="57518.999999999993"/>
    <n v="11"/>
    <n v="6868"/>
    <n v="76"/>
    <x v="1260"/>
    <x v="4"/>
    <x v="1"/>
    <x v="1"/>
  </r>
  <r>
    <x v="91"/>
    <s v="ZTAN"/>
    <x v="8"/>
    <s v="SV2718"/>
    <s v="161268070"/>
    <s v="ÑUÑOA"/>
    <x v="1072"/>
    <x v="1"/>
    <x v="1"/>
    <x v="15"/>
    <x v="1"/>
    <n v="4"/>
    <n v="56075"/>
    <n v="12000"/>
    <n v="68075"/>
    <n v="27.273637820512821"/>
    <n v="8011"/>
    <n v="31"/>
    <x v="1261"/>
    <x v="4"/>
    <x v="1"/>
    <x v="1"/>
  </r>
  <r>
    <x v="91"/>
    <s v="ZTAN"/>
    <x v="8"/>
    <s v="TP3884"/>
    <s v="154837728"/>
    <s v="QUILICURA"/>
    <x v="1073"/>
    <x v="1"/>
    <x v="1"/>
    <x v="8"/>
    <x v="1"/>
    <n v="1"/>
    <n v="62458"/>
    <n v="35690"/>
    <n v="98148"/>
    <n v="10.999932755026562"/>
    <n v="4821"/>
    <n v="100"/>
    <x v="1262"/>
    <x v="4"/>
    <x v="1"/>
    <x v="1"/>
  </r>
  <r>
    <x v="91"/>
    <s v="ZTAN"/>
    <x v="8"/>
    <s v="UA7248"/>
    <s v="107643206"/>
    <s v="PUENTE ALTO"/>
    <x v="1074"/>
    <x v="1"/>
    <x v="1"/>
    <x v="30"/>
    <x v="1"/>
    <n v="4"/>
    <n v="56075"/>
    <n v="12000"/>
    <n v="68075"/>
    <n v="53.568618193264086"/>
    <n v="8011"/>
    <n v="16"/>
    <x v="1263"/>
    <x v="4"/>
    <x v="1"/>
    <x v="1"/>
  </r>
  <r>
    <x v="92"/>
    <s v="ZNL"/>
    <x v="0"/>
    <s v="BWPL69"/>
    <s v="78551676"/>
    <s v="TALCAHUANO"/>
    <x v="1075"/>
    <x v="5"/>
    <x v="0"/>
    <x v="0"/>
    <x v="0"/>
    <n v="0"/>
    <n v="380000"/>
    <n v="0"/>
    <n v="380000"/>
    <n v="23.540489642184543"/>
    <n v="25000"/>
    <n v="65"/>
    <x v="1264"/>
    <x v="4"/>
    <x v="1"/>
    <x v="0"/>
  </r>
  <r>
    <x v="92"/>
    <s v="ZPEP"/>
    <x v="3"/>
    <s v="RK5135"/>
    <s v="138841065"/>
    <s v="LAS CONDES"/>
    <x v="482"/>
    <x v="3"/>
    <x v="1"/>
    <x v="3"/>
    <x v="1"/>
    <n v="4"/>
    <n v="125542.34000000001"/>
    <n v="0"/>
    <n v="125542.34000000001"/>
    <n v="11"/>
    <n v="8011"/>
    <n v="100"/>
    <x v="1265"/>
    <x v="4"/>
    <x v="1"/>
    <x v="1"/>
  </r>
  <r>
    <x v="92"/>
    <s v="ZPEP"/>
    <x v="1"/>
    <s v="XR6339"/>
    <s v="78907355"/>
    <s v="ISLA DE MAIPO"/>
    <x v="1076"/>
    <x v="1"/>
    <x v="1"/>
    <x v="1"/>
    <x v="1"/>
    <n v="5"/>
    <n v="90000"/>
    <n v="19481.28"/>
    <n v="109481.28"/>
    <n v="22.47927856896467"/>
    <n v="12000"/>
    <n v="41"/>
    <x v="1266"/>
    <x v="4"/>
    <x v="1"/>
    <x v="1"/>
  </r>
  <r>
    <x v="92"/>
    <s v="ZTAN"/>
    <x v="3"/>
    <s v="DJLF85"/>
    <s v="125108660"/>
    <s v="LAS CONDES"/>
    <x v="778"/>
    <x v="4"/>
    <x v="0"/>
    <x v="3"/>
    <x v="1"/>
    <n v="4"/>
    <n v="107360"/>
    <n v="0"/>
    <n v="107360"/>
    <n v="11"/>
    <n v="8011"/>
    <n v="100"/>
    <x v="1267"/>
    <x v="4"/>
    <x v="1"/>
    <x v="1"/>
  </r>
  <r>
    <x v="92"/>
    <s v="ZTAN"/>
    <x v="6"/>
    <s v="SU9354"/>
    <s v="72564391"/>
    <s v="LOS ANDES"/>
    <x v="1077"/>
    <x v="2"/>
    <x v="1"/>
    <x v="38"/>
    <x v="2"/>
    <n v="0"/>
    <n v="180000"/>
    <n v="0"/>
    <n v="180000"/>
    <n v="29.25972885984589"/>
    <n v="25000"/>
    <n v="25"/>
    <x v="1268"/>
    <x v="4"/>
    <x v="1"/>
    <x v="0"/>
  </r>
  <r>
    <x v="92"/>
    <s v="ZTAN"/>
    <x v="7"/>
    <s v="HLBX77"/>
    <s v="16093509K"/>
    <s v="SANTIAGO"/>
    <x v="1078"/>
    <x v="1"/>
    <x v="1"/>
    <x v="20"/>
    <x v="1"/>
    <n v="1"/>
    <n v="82221"/>
    <n v="46983"/>
    <n v="129204"/>
    <n v="10.999951472304733"/>
    <n v="4821"/>
    <n v="100"/>
    <x v="1269"/>
    <x v="4"/>
    <x v="1"/>
    <x v="1"/>
  </r>
  <r>
    <x v="92"/>
    <s v="ZTAN"/>
    <x v="8"/>
    <s v="BDCH61"/>
    <s v="99626232"/>
    <s v="CERRILLOS"/>
    <x v="1079"/>
    <x v="1"/>
    <x v="1"/>
    <x v="9"/>
    <x v="1"/>
    <n v="2"/>
    <n v="40475"/>
    <n v="10274"/>
    <n v="50749"/>
    <n v="19.757455423187729"/>
    <n v="5782"/>
    <n v="44"/>
    <x v="1270"/>
    <x v="4"/>
    <x v="1"/>
    <x v="1"/>
  </r>
  <r>
    <x v="92"/>
    <s v="ZTAN"/>
    <x v="8"/>
    <s v="SV2718"/>
    <s v="78907355"/>
    <s v="LAS CONDES"/>
    <x v="1080"/>
    <x v="1"/>
    <x v="1"/>
    <x v="3"/>
    <x v="1"/>
    <n v="4"/>
    <n v="56075"/>
    <n v="14225"/>
    <n v="70300"/>
    <n v="19.768291997075529"/>
    <n v="8011"/>
    <n v="44"/>
    <x v="1271"/>
    <x v="4"/>
    <x v="1"/>
    <x v="1"/>
  </r>
  <r>
    <x v="92"/>
    <s v="ZTAN"/>
    <x v="8"/>
    <s v="TP3884"/>
    <s v="154837728"/>
    <s v="PUDAHUEL"/>
    <x v="1081"/>
    <x v="1"/>
    <x v="1"/>
    <x v="10"/>
    <x v="1"/>
    <n v="1"/>
    <n v="33750"/>
    <n v="18389"/>
    <n v="52139"/>
    <n v="11.341468720090493"/>
    <n v="4821"/>
    <n v="95"/>
    <x v="1272"/>
    <x v="4"/>
    <x v="1"/>
    <x v="1"/>
  </r>
  <r>
    <x v="92"/>
    <s v="ZTAN"/>
    <x v="8"/>
    <s v="UA7248"/>
    <s v="107643206"/>
    <s v="SAN BERNARDO"/>
    <x v="1082"/>
    <x v="1"/>
    <x v="1"/>
    <x v="4"/>
    <x v="1"/>
    <n v="4"/>
    <n v="56075"/>
    <n v="5813"/>
    <n v="61888"/>
    <n v="42.587393338838424"/>
    <n v="8011"/>
    <n v="18"/>
    <x v="1273"/>
    <x v="4"/>
    <x v="1"/>
    <x v="1"/>
  </r>
  <r>
    <x v="93"/>
    <s v="ZPEP"/>
    <x v="3"/>
    <s v="HLBX77"/>
    <s v="16093509K"/>
    <s v="LAS CONDES"/>
    <x v="482"/>
    <x v="1"/>
    <x v="1"/>
    <x v="3"/>
    <x v="1"/>
    <n v="4"/>
    <n v="79891"/>
    <n v="45651.76"/>
    <n v="125542.76000000001"/>
    <n v="11.000036800333657"/>
    <n v="8011"/>
    <n v="100"/>
    <x v="1274"/>
    <x v="4"/>
    <x v="1"/>
    <x v="1"/>
  </r>
  <r>
    <x v="93"/>
    <s v="ZPEP"/>
    <x v="32"/>
    <s v="WG4022"/>
    <s v="81417709"/>
    <s v="LAMPA"/>
    <x v="1083"/>
    <x v="1"/>
    <x v="0"/>
    <x v="17"/>
    <x v="1"/>
    <n v="5"/>
    <n v="120000"/>
    <n v="0"/>
    <n v="120000"/>
    <n v="12.734162681050611"/>
    <n v="12000"/>
    <n v="79"/>
    <x v="1275"/>
    <x v="4"/>
    <x v="1"/>
    <x v="1"/>
  </r>
  <r>
    <x v="93"/>
    <s v="ZPEP"/>
    <x v="2"/>
    <s v="JC3808"/>
    <s v="11581233"/>
    <s v="TEMUCO"/>
    <x v="1084"/>
    <x v="0"/>
    <x v="0"/>
    <x v="14"/>
    <x v="4"/>
    <n v="0"/>
    <n v="620000"/>
    <n v="0"/>
    <n v="620000"/>
    <n v="43.58143824369612"/>
    <n v="25000"/>
    <n v="57"/>
    <x v="1276"/>
    <x v="4"/>
    <x v="1"/>
    <x v="0"/>
  </r>
  <r>
    <x v="93"/>
    <s v="ZPEP"/>
    <x v="12"/>
    <s v="DJLF85"/>
    <s v="125108660"/>
    <s v="VITACURA"/>
    <x v="1085"/>
    <x v="4"/>
    <x v="1"/>
    <x v="27"/>
    <x v="1"/>
    <n v="4"/>
    <n v="139489.35"/>
    <n v="0"/>
    <n v="139489.35"/>
    <n v="11"/>
    <n v="8011"/>
    <n v="100"/>
    <x v="1277"/>
    <x v="4"/>
    <x v="1"/>
    <x v="1"/>
  </r>
  <r>
    <x v="93"/>
    <s v="ZPEP"/>
    <x v="12"/>
    <s v="RK5135"/>
    <s v="138841065"/>
    <s v="VITACURA"/>
    <x v="1085"/>
    <x v="3"/>
    <x v="1"/>
    <x v="27"/>
    <x v="1"/>
    <n v="4"/>
    <n v="139489.35"/>
    <n v="0"/>
    <n v="139489.35"/>
    <n v="11"/>
    <n v="8011"/>
    <n v="100"/>
    <x v="1278"/>
    <x v="4"/>
    <x v="1"/>
    <x v="1"/>
  </r>
  <r>
    <x v="93"/>
    <s v="ZTAN"/>
    <x v="50"/>
    <s v="DBZH61"/>
    <s v="105195567"/>
    <s v="CHILLAN"/>
    <x v="973"/>
    <x v="0"/>
    <x v="0"/>
    <x v="21"/>
    <x v="5"/>
    <n v="0"/>
    <n v="350000"/>
    <n v="0"/>
    <n v="350000"/>
    <n v="19.003664992534276"/>
    <n v="25000"/>
    <n v="74"/>
    <x v="1279"/>
    <x v="4"/>
    <x v="1"/>
    <x v="0"/>
  </r>
  <r>
    <x v="93"/>
    <s v="ZTAN"/>
    <x v="7"/>
    <s v="SU9354"/>
    <s v="72564391"/>
    <s v="SAN MIGUEL"/>
    <x v="1067"/>
    <x v="2"/>
    <x v="1"/>
    <x v="23"/>
    <x v="1"/>
    <n v="2"/>
    <n v="59514"/>
    <n v="25506"/>
    <n v="85020"/>
    <n v="10"/>
    <n v="5782"/>
    <n v="100"/>
    <x v="1280"/>
    <x v="4"/>
    <x v="1"/>
    <x v="1"/>
  </r>
  <r>
    <x v="93"/>
    <s v="ZTAN"/>
    <x v="7"/>
    <s v="XR6339"/>
    <s v="16168070"/>
    <s v="SAN MIGUEL"/>
    <x v="1067"/>
    <x v="1"/>
    <x v="1"/>
    <x v="23"/>
    <x v="1"/>
    <n v="2"/>
    <n v="59514"/>
    <n v="34008"/>
    <n v="93522"/>
    <n v="11"/>
    <n v="5782"/>
    <n v="100"/>
    <x v="1281"/>
    <x v="4"/>
    <x v="1"/>
    <x v="1"/>
  </r>
  <r>
    <x v="93"/>
    <s v="ZTAN"/>
    <x v="8"/>
    <s v="BDCH61"/>
    <s v="99626232"/>
    <s v="ÑUÑOA"/>
    <x v="1086"/>
    <x v="1"/>
    <x v="1"/>
    <x v="15"/>
    <x v="1"/>
    <n v="4"/>
    <n v="56075"/>
    <n v="14114"/>
    <n v="70189"/>
    <n v="19.891458368758155"/>
    <n v="8011"/>
    <n v="44"/>
    <x v="1282"/>
    <x v="4"/>
    <x v="1"/>
    <x v="1"/>
  </r>
  <r>
    <x v="93"/>
    <s v="ZTAN"/>
    <x v="8"/>
    <s v="SV2718"/>
    <s v="161268070"/>
    <s v="EL BOSQUE"/>
    <x v="1087"/>
    <x v="1"/>
    <x v="1"/>
    <x v="25"/>
    <x v="1"/>
    <n v="3"/>
    <n v="48075"/>
    <n v="20587"/>
    <n v="68662"/>
    <n v="13.34071656174711"/>
    <n v="6868"/>
    <n v="75"/>
    <x v="1283"/>
    <x v="4"/>
    <x v="1"/>
    <x v="1"/>
  </r>
  <r>
    <x v="93"/>
    <s v="ZTAN"/>
    <x v="8"/>
    <s v="TP3884"/>
    <s v="154837728"/>
    <s v="PUDAHUEL"/>
    <x v="1088"/>
    <x v="1"/>
    <x v="1"/>
    <x v="10"/>
    <x v="1"/>
    <n v="1"/>
    <n v="33750"/>
    <n v="15905"/>
    <n v="49655"/>
    <n v="12.488053920828932"/>
    <n v="4821"/>
    <n v="82"/>
    <x v="1284"/>
    <x v="4"/>
    <x v="1"/>
    <x v="1"/>
  </r>
  <r>
    <x v="93"/>
    <s v="ZTAN"/>
    <x v="8"/>
    <s v="UA7248"/>
    <s v="107643206"/>
    <s v="SANTIAGO"/>
    <x v="1089"/>
    <x v="1"/>
    <x v="1"/>
    <x v="20"/>
    <x v="1"/>
    <n v="1"/>
    <n v="33750"/>
    <n v="12000"/>
    <n v="45750"/>
    <n v="23.606811145510836"/>
    <n v="4821"/>
    <n v="40"/>
    <x v="1285"/>
    <x v="4"/>
    <x v="1"/>
    <x v="1"/>
  </r>
  <r>
    <x v="93"/>
    <s v="ZTAN"/>
    <x v="8"/>
    <s v="XR6339"/>
    <s v="78907355"/>
    <s v="ÑUÑOA"/>
    <x v="1090"/>
    <x v="1"/>
    <x v="1"/>
    <x v="15"/>
    <x v="1"/>
    <n v="4"/>
    <n v="56075"/>
    <n v="12000"/>
    <n v="68075"/>
    <n v="30.898238925199713"/>
    <n v="8011"/>
    <n v="28"/>
    <x v="1286"/>
    <x v="4"/>
    <x v="1"/>
    <x v="1"/>
  </r>
  <r>
    <x v="94"/>
    <s v="ZNL"/>
    <x v="0"/>
    <s v="VE9862"/>
    <s v="98494073"/>
    <s v="TALCAHUANO"/>
    <x v="1091"/>
    <x v="5"/>
    <x v="0"/>
    <x v="0"/>
    <x v="0"/>
    <n v="0"/>
    <n v="380000"/>
    <n v="0"/>
    <n v="380000"/>
    <n v="37.788385043754971"/>
    <n v="25000"/>
    <n v="40"/>
    <x v="1287"/>
    <x v="4"/>
    <x v="1"/>
    <x v="0"/>
  </r>
  <r>
    <x v="94"/>
    <s v="ZPEP"/>
    <x v="3"/>
    <s v="HLBX77"/>
    <s v="16093509K"/>
    <s v="LAS CONDES"/>
    <x v="1092"/>
    <x v="1"/>
    <x v="1"/>
    <x v="3"/>
    <x v="1"/>
    <n v="4"/>
    <n v="76669"/>
    <n v="43811.040000000001"/>
    <n v="120480.04000000001"/>
    <n v="10.999970783619837"/>
    <n v="8011"/>
    <n v="100"/>
    <x v="1288"/>
    <x v="4"/>
    <x v="1"/>
    <x v="1"/>
  </r>
  <r>
    <x v="94"/>
    <s v="ZPEP"/>
    <x v="32"/>
    <s v="WG4022"/>
    <s v="81417709"/>
    <s v="LAMPA"/>
    <x v="1093"/>
    <x v="1"/>
    <x v="0"/>
    <x v="17"/>
    <x v="1"/>
    <n v="5"/>
    <n v="120000"/>
    <n v="57715.88"/>
    <n v="177715.88"/>
    <n v="12.316601947332346"/>
    <n v="12000"/>
    <n v="100"/>
    <x v="1289"/>
    <x v="4"/>
    <x v="1"/>
    <x v="1"/>
  </r>
  <r>
    <x v="94"/>
    <s v="ZPEP"/>
    <x v="12"/>
    <s v="WC2233"/>
    <s v="125108660"/>
    <s v="VITACURA"/>
    <x v="1094"/>
    <x v="4"/>
    <x v="1"/>
    <x v="27"/>
    <x v="1"/>
    <n v="4"/>
    <n v="159548.4"/>
    <n v="0"/>
    <n v="159548.4"/>
    <n v="11"/>
    <n v="8011"/>
    <n v="100"/>
    <x v="1290"/>
    <x v="4"/>
    <x v="1"/>
    <x v="1"/>
  </r>
  <r>
    <x v="94"/>
    <s v="ZPEP"/>
    <x v="12"/>
    <s v="XR6339"/>
    <s v="161268070"/>
    <s v="VITACURA"/>
    <x v="1095"/>
    <x v="1"/>
    <x v="1"/>
    <x v="27"/>
    <x v="1"/>
    <n v="4"/>
    <n v="63432"/>
    <n v="36247"/>
    <n v="99679"/>
    <n v="10.999972411509917"/>
    <n v="8011"/>
    <n v="100"/>
    <x v="1291"/>
    <x v="4"/>
    <x v="1"/>
    <x v="1"/>
  </r>
  <r>
    <x v="94"/>
    <s v="ZTAN"/>
    <x v="10"/>
    <s v="DJLF85"/>
    <s v="53173292"/>
    <s v="SANTIAGO"/>
    <x v="1096"/>
    <x v="4"/>
    <x v="1"/>
    <x v="20"/>
    <x v="1"/>
    <n v="1"/>
    <n v="87476.400000000038"/>
    <m/>
    <n v="87476.400000000038"/>
    <n v="11"/>
    <n v="4821"/>
    <n v="100"/>
    <x v="1292"/>
    <x v="4"/>
    <x v="1"/>
    <x v="1"/>
  </r>
  <r>
    <x v="94"/>
    <s v="ZTAN"/>
    <x v="10"/>
    <s v="RK5135"/>
    <s v="138841065"/>
    <s v="SANTIAGO"/>
    <x v="1097"/>
    <x v="3"/>
    <x v="1"/>
    <x v="20"/>
    <x v="1"/>
    <n v="1"/>
    <n v="53895.599999999991"/>
    <m/>
    <n v="53895.599999999991"/>
    <n v="11"/>
    <n v="4821"/>
    <n v="100"/>
    <x v="1293"/>
    <x v="4"/>
    <x v="1"/>
    <x v="1"/>
  </r>
  <r>
    <x v="94"/>
    <s v="ZTAN"/>
    <x v="8"/>
    <s v="BDCH61"/>
    <s v="78907355"/>
    <s v="LAS CONDES"/>
    <x v="1098"/>
    <x v="1"/>
    <x v="1"/>
    <x v="3"/>
    <x v="1"/>
    <n v="4"/>
    <n v="56075"/>
    <n v="14664"/>
    <n v="70739"/>
    <n v="19.295962902345881"/>
    <n v="8011"/>
    <n v="46"/>
    <x v="1294"/>
    <x v="4"/>
    <x v="1"/>
    <x v="1"/>
  </r>
  <r>
    <x v="94"/>
    <s v="ZTAN"/>
    <x v="8"/>
    <s v="SV2718"/>
    <s v="99626232"/>
    <s v="LA REINA"/>
    <x v="1099"/>
    <x v="1"/>
    <x v="1"/>
    <x v="11"/>
    <x v="1"/>
    <n v="3"/>
    <n v="48075"/>
    <n v="12000"/>
    <n v="60075"/>
    <n v="46.268484288354898"/>
    <n v="6868"/>
    <n v="19"/>
    <x v="1295"/>
    <x v="4"/>
    <x v="1"/>
    <x v="1"/>
  </r>
  <r>
    <x v="94"/>
    <s v="ZTAN"/>
    <x v="8"/>
    <s v="TP3884"/>
    <s v="154837728"/>
    <s v="PUDAHUEL"/>
    <x v="1100"/>
    <x v="1"/>
    <x v="1"/>
    <x v="10"/>
    <x v="1"/>
    <n v="1"/>
    <n v="33750"/>
    <n v="12000"/>
    <n v="45750"/>
    <n v="36.800193050193052"/>
    <n v="4821"/>
    <n v="26"/>
    <x v="1296"/>
    <x v="4"/>
    <x v="1"/>
    <x v="1"/>
  </r>
  <r>
    <x v="94"/>
    <s v="ZTAN"/>
    <x v="8"/>
    <s v="UA7248"/>
    <s v="107643206"/>
    <s v="MAIPU"/>
    <x v="1101"/>
    <x v="1"/>
    <x v="1"/>
    <x v="2"/>
    <x v="1"/>
    <n v="2"/>
    <n v="40475"/>
    <n v="12000"/>
    <n v="52475"/>
    <n v="30.537127560521412"/>
    <n v="5782"/>
    <n v="30"/>
    <x v="1297"/>
    <x v="4"/>
    <x v="1"/>
    <x v="1"/>
  </r>
  <r>
    <x v="94"/>
    <s v="ZTAN"/>
    <x v="53"/>
    <s v="SU9354"/>
    <s v="72564391"/>
    <s v="LAS CONDES"/>
    <x v="1102"/>
    <x v="2"/>
    <x v="1"/>
    <x v="3"/>
    <x v="1"/>
    <n v="4"/>
    <n v="96358.35000000002"/>
    <n v="0"/>
    <n v="96358.35000000002"/>
    <n v="11"/>
    <n v="8011"/>
    <n v="100"/>
    <x v="1298"/>
    <x v="4"/>
    <x v="1"/>
    <x v="1"/>
  </r>
  <r>
    <x v="95"/>
    <s v="ZNL"/>
    <x v="0"/>
    <s v="CJFZ67"/>
    <s v="115812335"/>
    <s v="TALCAHUANO"/>
    <x v="1103"/>
    <x v="5"/>
    <x v="0"/>
    <x v="0"/>
    <x v="0"/>
    <n v="0"/>
    <n v="380000"/>
    <n v="0"/>
    <n v="380000"/>
    <n v="22.464072263373502"/>
    <n v="25000"/>
    <n v="68"/>
    <x v="1299"/>
    <x v="4"/>
    <x v="1"/>
    <x v="0"/>
  </r>
  <r>
    <x v="95"/>
    <s v="ZPEP"/>
    <x v="3"/>
    <s v="DJLF85"/>
    <s v="125108660"/>
    <s v="LAS CONDES"/>
    <x v="1104"/>
    <x v="4"/>
    <x v="1"/>
    <x v="3"/>
    <x v="1"/>
    <n v="4"/>
    <n v="101603.48000000001"/>
    <n v="0"/>
    <n v="101603.48000000001"/>
    <n v="11"/>
    <n v="8011"/>
    <n v="100"/>
    <x v="1300"/>
    <x v="4"/>
    <x v="1"/>
    <x v="1"/>
  </r>
  <r>
    <x v="95"/>
    <s v="ZPEP"/>
    <x v="32"/>
    <s v="WG4022"/>
    <s v="81417709"/>
    <s v="LAMPA"/>
    <x v="1105"/>
    <x v="1"/>
    <x v="0"/>
    <x v="17"/>
    <x v="1"/>
    <n v="5"/>
    <n v="120000"/>
    <n v="0"/>
    <n v="120000"/>
    <n v="16.0416226636045"/>
    <n v="12000"/>
    <n v="52"/>
    <x v="1301"/>
    <x v="4"/>
    <x v="1"/>
    <x v="1"/>
  </r>
  <r>
    <x v="95"/>
    <s v="ZPEP"/>
    <x v="11"/>
    <s v="SU9354"/>
    <s v="72564391"/>
    <s v="MACHALI"/>
    <x v="1106"/>
    <x v="2"/>
    <x v="1"/>
    <x v="43"/>
    <x v="6"/>
    <n v="0"/>
    <n v="180000"/>
    <n v="0"/>
    <n v="180000"/>
    <n v="15.89538715864656"/>
    <n v="25000"/>
    <n v="45"/>
    <x v="1302"/>
    <x v="4"/>
    <x v="1"/>
    <x v="0"/>
  </r>
  <r>
    <x v="95"/>
    <s v="ZPEP"/>
    <x v="12"/>
    <s v="HLBX77"/>
    <s v="16093509K"/>
    <s v="VITACURA"/>
    <x v="1107"/>
    <x v="1"/>
    <x v="1"/>
    <x v="27"/>
    <x v="1"/>
    <n v="4"/>
    <n v="90250"/>
    <n v="0"/>
    <n v="90250"/>
    <n v="7.0000310250682558"/>
    <n v="8011"/>
    <n v="100"/>
    <x v="1303"/>
    <x v="4"/>
    <x v="1"/>
    <x v="1"/>
  </r>
  <r>
    <x v="95"/>
    <s v="ZPEP"/>
    <x v="12"/>
    <s v="WC2233"/>
    <s v="125108660"/>
    <s v="VITACURA"/>
    <x v="1108"/>
    <x v="4"/>
    <x v="1"/>
    <x v="27"/>
    <x v="1"/>
    <n v="4"/>
    <n v="72322.36"/>
    <n v="0"/>
    <n v="72322.36"/>
    <n v="11"/>
    <n v="8011"/>
    <n v="82"/>
    <x v="1304"/>
    <x v="4"/>
    <x v="1"/>
    <x v="1"/>
  </r>
  <r>
    <x v="95"/>
    <s v="ZPEP"/>
    <x v="7"/>
    <s v="RK5135"/>
    <s v="138841065"/>
    <s v="RENCA"/>
    <x v="1109"/>
    <x v="3"/>
    <x v="1"/>
    <x v="7"/>
    <x v="1"/>
    <n v="1"/>
    <n v="55000"/>
    <n v="0"/>
    <n v="55000"/>
    <n v="11.166265696216669"/>
    <n v="4821"/>
    <n v="100"/>
    <x v="1305"/>
    <x v="4"/>
    <x v="1"/>
    <x v="1"/>
  </r>
  <r>
    <x v="95"/>
    <s v="ZPEP"/>
    <x v="7"/>
    <s v="XR6339"/>
    <s v="78907355"/>
    <s v="RENCA"/>
    <x v="1110"/>
    <x v="1"/>
    <x v="1"/>
    <x v="7"/>
    <x v="1"/>
    <n v="1"/>
    <n v="39706"/>
    <n v="22689"/>
    <n v="62395"/>
    <n v="10.999908326751665"/>
    <n v="4821"/>
    <n v="100"/>
    <x v="1306"/>
    <x v="4"/>
    <x v="1"/>
    <x v="1"/>
  </r>
  <r>
    <x v="95"/>
    <s v="ZTAN"/>
    <x v="7"/>
    <s v="BDCH61"/>
    <s v="154837728"/>
    <s v="SAN MIGUEL"/>
    <x v="1111"/>
    <x v="1"/>
    <x v="1"/>
    <x v="23"/>
    <x v="1"/>
    <n v="2"/>
    <n v="40475"/>
    <n v="22298"/>
    <n v="62773"/>
    <n v="11.260841876777079"/>
    <n v="5782"/>
    <n v="96"/>
    <x v="1307"/>
    <x v="4"/>
    <x v="1"/>
    <x v="1"/>
  </r>
  <r>
    <x v="95"/>
    <s v="ZTAN"/>
    <x v="7"/>
    <s v="UA7248"/>
    <s v="161268070"/>
    <s v="SAN MIGUEL"/>
    <x v="1112"/>
    <x v="1"/>
    <x v="1"/>
    <x v="23"/>
    <x v="1"/>
    <n v="2"/>
    <n v="44608"/>
    <n v="25490"/>
    <n v="70098"/>
    <n v="11.000078462142017"/>
    <n v="5782"/>
    <n v="100"/>
    <x v="1308"/>
    <x v="4"/>
    <x v="1"/>
    <x v="1"/>
  </r>
  <r>
    <x v="95"/>
    <s v="ZTAN"/>
    <x v="8"/>
    <s v="BDCH61"/>
    <s v="81417709"/>
    <s v="REÑACA"/>
    <x v="1113"/>
    <x v="1"/>
    <x v="1"/>
    <x v="6"/>
    <x v="2"/>
    <n v="0"/>
    <n v="180000"/>
    <n v="12000"/>
    <n v="192000"/>
    <n v="66.061106523534264"/>
    <n v="25000"/>
    <n v="12"/>
    <x v="1309"/>
    <x v="4"/>
    <x v="1"/>
    <x v="0"/>
  </r>
  <r>
    <x v="95"/>
    <s v="ZTAN"/>
    <x v="8"/>
    <s v="TP3884"/>
    <s v="154837728"/>
    <s v="PUDAHUEL"/>
    <x v="1114"/>
    <x v="1"/>
    <x v="1"/>
    <x v="10"/>
    <x v="1"/>
    <n v="1"/>
    <n v="33750"/>
    <n v="12000"/>
    <n v="45750"/>
    <n v="20.59697460831983"/>
    <n v="4821"/>
    <n v="46"/>
    <x v="1310"/>
    <x v="4"/>
    <x v="1"/>
    <x v="1"/>
  </r>
  <r>
    <x v="96"/>
    <s v="ZPEP"/>
    <x v="32"/>
    <s v="SU9354"/>
    <s v="72564391"/>
    <s v="LAMPA"/>
    <x v="1115"/>
    <x v="2"/>
    <x v="1"/>
    <x v="17"/>
    <x v="1"/>
    <n v="5"/>
    <n v="55224.070000000007"/>
    <n v="0"/>
    <n v="55224.070000000007"/>
    <n v="11"/>
    <n v="12000"/>
    <n v="42"/>
    <x v="1311"/>
    <x v="4"/>
    <x v="1"/>
    <x v="1"/>
  </r>
  <r>
    <x v="96"/>
    <s v="ZTAN"/>
    <x v="7"/>
    <s v="DJLF85"/>
    <s v="53173292"/>
    <s v="SAN MIGUEL"/>
    <x v="1116"/>
    <x v="4"/>
    <x v="1"/>
    <x v="23"/>
    <x v="1"/>
    <n v="2"/>
    <n v="70436.300000000017"/>
    <n v="0"/>
    <n v="70436.300000000017"/>
    <n v="11"/>
    <n v="5782"/>
    <n v="100"/>
    <x v="1312"/>
    <x v="4"/>
    <x v="1"/>
    <x v="1"/>
  </r>
  <r>
    <x v="96"/>
    <s v="ZTAN"/>
    <x v="7"/>
    <s v="DP5738"/>
    <s v="35488103"/>
    <s v="MELIPILLA"/>
    <x v="1117"/>
    <x v="7"/>
    <x v="1"/>
    <x v="29"/>
    <x v="1"/>
    <n v="5"/>
    <n v="44431.19999999999"/>
    <m/>
    <n v="44431.19999999999"/>
    <n v="11"/>
    <n v="12000"/>
    <n v="34"/>
    <x v="1313"/>
    <x v="4"/>
    <x v="1"/>
    <x v="1"/>
  </r>
  <r>
    <x v="96"/>
    <s v="ZTAN"/>
    <x v="7"/>
    <s v="HLBX77"/>
    <s v="16093509K"/>
    <s v="MELIPILLA"/>
    <x v="1117"/>
    <x v="1"/>
    <x v="1"/>
    <x v="29"/>
    <x v="1"/>
    <n v="5"/>
    <n v="90000"/>
    <n v="16157"/>
    <n v="106157"/>
    <n v="26.281689443454155"/>
    <n v="12000"/>
    <n v="34"/>
    <x v="1314"/>
    <x v="4"/>
    <x v="1"/>
    <x v="1"/>
  </r>
  <r>
    <x v="96"/>
    <s v="ZTAN"/>
    <x v="7"/>
    <s v="KKPF51"/>
    <s v="95707734"/>
    <s v="CHILLAN"/>
    <x v="315"/>
    <x v="8"/>
    <x v="0"/>
    <x v="21"/>
    <x v="5"/>
    <n v="0"/>
    <n v="350000"/>
    <n v="0"/>
    <n v="350000"/>
    <n v="36.826599326599293"/>
    <n v="25000"/>
    <n v="38"/>
    <x v="1315"/>
    <x v="4"/>
    <x v="1"/>
    <x v="0"/>
  </r>
  <r>
    <x v="96"/>
    <s v="ZTAN"/>
    <x v="7"/>
    <s v="WC2233"/>
    <s v="125108660"/>
    <s v="SAN MIGUEL"/>
    <x v="1118"/>
    <x v="4"/>
    <x v="1"/>
    <x v="23"/>
    <x v="1"/>
    <n v="2"/>
    <n v="48374.149999999994"/>
    <m/>
    <n v="48374.149999999994"/>
    <n v="11"/>
    <n v="5782"/>
    <n v="76"/>
    <x v="1316"/>
    <x v="4"/>
    <x v="1"/>
    <x v="1"/>
  </r>
  <r>
    <x v="97"/>
    <s v="ZPEP"/>
    <x v="12"/>
    <s v="SU9354"/>
    <n v="72564391"/>
    <s v="VITACURA"/>
    <x v="1119"/>
    <x v="2"/>
    <x v="1"/>
    <x v="27"/>
    <x v="1"/>
    <n v="4"/>
    <n v="111591.48000000001"/>
    <n v="0"/>
    <n v="111591.48000000001"/>
    <n v="11"/>
    <n v="8011"/>
    <n v="100"/>
    <x v="1317"/>
    <x v="4"/>
    <x v="1"/>
    <x v="1"/>
  </r>
  <r>
    <x v="97"/>
    <s v="ZPEP"/>
    <x v="12"/>
    <s v="WC2233"/>
    <n v="125108660"/>
    <s v="VITACURA"/>
    <x v="1119"/>
    <x v="4"/>
    <x v="1"/>
    <x v="27"/>
    <x v="1"/>
    <n v="4"/>
    <n v="111591.48000000001"/>
    <n v="0"/>
    <n v="111591.48000000001"/>
    <n v="11"/>
    <n v="8011"/>
    <n v="100"/>
    <x v="1318"/>
    <x v="4"/>
    <x v="1"/>
    <x v="1"/>
  </r>
  <r>
    <x v="97"/>
    <s v="ZPEP"/>
    <x v="12"/>
    <s v="WG4022"/>
    <n v="81417709"/>
    <s v="VITACURA"/>
    <x v="1120"/>
    <x v="1"/>
    <x v="0"/>
    <x v="27"/>
    <x v="1"/>
    <n v="4"/>
    <n v="58967"/>
    <n v="33695.56"/>
    <n v="92662.56"/>
    <n v="10.999972696699507"/>
    <n v="8011"/>
    <n v="100"/>
    <x v="1319"/>
    <x v="4"/>
    <x v="1"/>
    <x v="1"/>
  </r>
  <r>
    <x v="97"/>
    <s v="ZPEP"/>
    <x v="9"/>
    <s v="XR6339"/>
    <n v="78907355"/>
    <s v="SAN BERNARDO"/>
    <x v="1121"/>
    <x v="1"/>
    <x v="1"/>
    <x v="4"/>
    <x v="1"/>
    <n v="4"/>
    <n v="56075"/>
    <n v="30779.040000000001"/>
    <n v="86854.040000000008"/>
    <n v="11.287426768346252"/>
    <n v="8011"/>
    <n v="96"/>
    <x v="1320"/>
    <x v="4"/>
    <x v="1"/>
    <x v="1"/>
  </r>
  <r>
    <x v="98"/>
    <s v="ZNL"/>
    <x v="0"/>
    <s v="CJXX49"/>
    <n v="167832741"/>
    <s v="TALCAHUANO"/>
    <x v="1122"/>
    <x v="5"/>
    <x v="0"/>
    <x v="0"/>
    <x v="0"/>
    <n v="0"/>
    <n v="380000"/>
    <n v="0"/>
    <n v="380000"/>
    <n v="36.256774292038777"/>
    <n v="25000"/>
    <n v="42"/>
    <x v="1321"/>
    <x v="4"/>
    <x v="1"/>
    <x v="0"/>
  </r>
  <r>
    <x v="98"/>
    <s v="ZTAN"/>
    <x v="47"/>
    <s v="DJLF85"/>
    <n v="125108660"/>
    <s v="SAN JOAQUIN"/>
    <x v="1123"/>
    <x v="4"/>
    <x v="1"/>
    <x v="67"/>
    <x v="1"/>
    <n v="3"/>
    <n v="55000"/>
    <n v="0"/>
    <n v="55000"/>
    <n v="17.355358861488458"/>
    <n v="6868"/>
    <n v="46"/>
    <x v="1322"/>
    <x v="4"/>
    <x v="1"/>
    <x v="1"/>
  </r>
  <r>
    <x v="98"/>
    <s v="ZTAN"/>
    <x v="7"/>
    <s v="RK5135"/>
    <n v="138841065"/>
    <s v="SAN MIGUEL"/>
    <x v="1124"/>
    <x v="3"/>
    <x v="1"/>
    <x v="23"/>
    <x v="1"/>
    <n v="2"/>
    <n v="43714"/>
    <n v="18734"/>
    <n v="62448"/>
    <n v="9.9999999999999982"/>
    <n v="5782"/>
    <n v="100"/>
    <x v="1323"/>
    <x v="4"/>
    <x v="1"/>
    <x v="1"/>
  </r>
  <r>
    <x v="98"/>
    <s v="ZTAN"/>
    <x v="8"/>
    <s v="SV2718"/>
    <n v="78907355"/>
    <s v="QUILICURA"/>
    <x v="1125"/>
    <x v="1"/>
    <x v="1"/>
    <x v="8"/>
    <x v="1"/>
    <n v="1"/>
    <n v="33750"/>
    <n v="12000"/>
    <n v="45750"/>
    <n v="35.358219336888475"/>
    <n v="4821"/>
    <n v="27"/>
    <x v="1324"/>
    <x v="4"/>
    <x v="1"/>
    <x v="1"/>
  </r>
  <r>
    <x v="98"/>
    <s v="ZTAN"/>
    <x v="8"/>
    <s v="TP3884"/>
    <n v="154837728"/>
    <s v="PUDAHUEL"/>
    <x v="1126"/>
    <x v="1"/>
    <x v="1"/>
    <x v="10"/>
    <x v="1"/>
    <n v="1"/>
    <n v="33750"/>
    <n v="12000"/>
    <n v="45750"/>
    <n v="17.207010681510454"/>
    <n v="4821"/>
    <n v="55"/>
    <x v="1325"/>
    <x v="4"/>
    <x v="1"/>
    <x v="1"/>
  </r>
  <r>
    <x v="98"/>
    <s v="ZTAN"/>
    <x v="8"/>
    <s v="UA7248"/>
    <n v="107643206"/>
    <s v="CERRILLOS"/>
    <x v="1127"/>
    <x v="1"/>
    <x v="1"/>
    <x v="9"/>
    <x v="1"/>
    <n v="2"/>
    <n v="40475"/>
    <n v="12000"/>
    <n v="52475"/>
    <n v="28.123157725494398"/>
    <n v="5782"/>
    <n v="32"/>
    <x v="1326"/>
    <x v="4"/>
    <x v="1"/>
    <x v="1"/>
  </r>
  <r>
    <x v="99"/>
    <s v="ZPEP"/>
    <x v="3"/>
    <s v="HLBX77"/>
    <n v="161268070"/>
    <s v="LAS CONDES"/>
    <x v="1128"/>
    <x v="1"/>
    <x v="1"/>
    <x v="3"/>
    <x v="1"/>
    <n v="4"/>
    <n v="93324"/>
    <n v="53328"/>
    <n v="146652"/>
    <n v="11"/>
    <n v="8011"/>
    <n v="100"/>
    <x v="1327"/>
    <x v="4"/>
    <x v="1"/>
    <x v="1"/>
  </r>
  <r>
    <x v="99"/>
    <s v="ZPEP"/>
    <x v="5"/>
    <s v="WC2233"/>
    <n v="125108660"/>
    <s v="BUIN"/>
    <x v="1129"/>
    <x v="4"/>
    <x v="0"/>
    <x v="56"/>
    <x v="1"/>
    <n v="5"/>
    <n v="126457.1"/>
    <n v="0"/>
    <n v="126457.1"/>
    <n v="11"/>
    <n v="12000"/>
    <n v="96"/>
    <x v="1328"/>
    <x v="4"/>
    <x v="1"/>
    <x v="1"/>
  </r>
  <r>
    <x v="99"/>
    <s v="ZTAN"/>
    <x v="36"/>
    <s v="CJFZ67"/>
    <n v="115812335"/>
    <s v="PADRE LAS CASAS"/>
    <x v="831"/>
    <x v="5"/>
    <x v="0"/>
    <x v="52"/>
    <x v="4"/>
    <n v="0"/>
    <n v="620000"/>
    <n v="0"/>
    <n v="620000"/>
    <n v="31.770433000256212"/>
    <n v="25000"/>
    <n v="78"/>
    <x v="1329"/>
    <x v="4"/>
    <x v="1"/>
    <x v="0"/>
  </r>
  <r>
    <x v="99"/>
    <s v="ZTAN"/>
    <x v="7"/>
    <s v="KKPF51"/>
    <n v="95707734"/>
    <s v="CHILLAN"/>
    <x v="1130"/>
    <x v="8"/>
    <x v="0"/>
    <x v="21"/>
    <x v="5"/>
    <n v="0"/>
    <n v="350000"/>
    <n v="0"/>
    <n v="350000"/>
    <n v="26.590693257359924"/>
    <n v="25000"/>
    <n v="53"/>
    <x v="1330"/>
    <x v="4"/>
    <x v="1"/>
    <x v="0"/>
  </r>
  <r>
    <x v="99"/>
    <s v="ZTAN"/>
    <x v="7"/>
    <s v="WG4022"/>
    <n v="81417709"/>
    <s v="RANCAGUA"/>
    <x v="1131"/>
    <x v="1"/>
    <x v="0"/>
    <x v="28"/>
    <x v="6"/>
    <n v="0"/>
    <n v="230000"/>
    <n v="52213.2"/>
    <n v="282213.2"/>
    <n v="21.620065424069011"/>
    <n v="25000"/>
    <n v="52"/>
    <x v="1331"/>
    <x v="4"/>
    <x v="1"/>
    <x v="0"/>
  </r>
  <r>
    <x v="99"/>
    <s v="ZTAN"/>
    <x v="8"/>
    <s v="DP5738"/>
    <n v="35488103"/>
    <s v="SAN BERNARDO"/>
    <x v="1132"/>
    <x v="7"/>
    <x v="1"/>
    <x v="4"/>
    <x v="1"/>
    <n v="4"/>
    <n v="55000"/>
    <n v="0"/>
    <n v="55000"/>
    <n v="53.847660074407678"/>
    <n v="8011"/>
    <n v="13"/>
    <x v="1332"/>
    <x v="4"/>
    <x v="1"/>
    <x v="1"/>
  </r>
  <r>
    <x v="99"/>
    <s v="ZTAN"/>
    <x v="8"/>
    <s v="SV2718"/>
    <n v="99626232"/>
    <s v="ÑUÑOA"/>
    <x v="1133"/>
    <x v="1"/>
    <x v="1"/>
    <x v="15"/>
    <x v="1"/>
    <n v="4"/>
    <n v="56075"/>
    <n v="12000"/>
    <n v="68075"/>
    <n v="59.036510276645572"/>
    <n v="8011"/>
    <n v="14"/>
    <x v="1333"/>
    <x v="4"/>
    <x v="1"/>
    <x v="1"/>
  </r>
  <r>
    <x v="99"/>
    <s v="ZTAN"/>
    <x v="8"/>
    <s v="TP3884"/>
    <n v="154837728"/>
    <s v="PUDAHUEL"/>
    <x v="447"/>
    <x v="1"/>
    <x v="1"/>
    <x v="10"/>
    <x v="1"/>
    <n v="1"/>
    <n v="33750"/>
    <n v="12000"/>
    <n v="45750"/>
    <n v="33.296943231441048"/>
    <n v="4821"/>
    <n v="29"/>
    <x v="1334"/>
    <x v="4"/>
    <x v="1"/>
    <x v="1"/>
  </r>
  <r>
    <x v="99"/>
    <s v="ZTAN"/>
    <x v="8"/>
    <s v="UA7248"/>
    <n v="107643206"/>
    <s v="MAIPU"/>
    <x v="1134"/>
    <x v="1"/>
    <x v="1"/>
    <x v="2"/>
    <x v="1"/>
    <n v="2"/>
    <n v="40475"/>
    <n v="12000"/>
    <n v="52475"/>
    <n v="30.715874502458441"/>
    <n v="5782"/>
    <n v="30"/>
    <x v="1335"/>
    <x v="4"/>
    <x v="1"/>
    <x v="1"/>
  </r>
  <r>
    <x v="100"/>
    <s v="ZPEP"/>
    <x v="3"/>
    <s v="RK5135"/>
    <s v="138841065"/>
    <s v="LAS CONDES"/>
    <x v="1135"/>
    <x v="3"/>
    <x v="1"/>
    <x v="3"/>
    <x v="1"/>
    <n v="4"/>
    <n v="131098"/>
    <n v="0"/>
    <n v="131098"/>
    <n v="11"/>
    <n v="8011"/>
    <n v="100"/>
    <x v="1336"/>
    <x v="4"/>
    <x v="1"/>
    <x v="1"/>
  </r>
  <r>
    <x v="100"/>
    <s v="ZPEP"/>
    <x v="5"/>
    <s v="WC2233"/>
    <s v="125108660"/>
    <s v="BUIN"/>
    <x v="1136"/>
    <x v="4"/>
    <x v="1"/>
    <x v="56"/>
    <x v="1"/>
    <n v="5"/>
    <n v="86076.98000000001"/>
    <n v="0"/>
    <n v="86076.98000000001"/>
    <n v="11.000000000000002"/>
    <n v="12000"/>
    <n v="65"/>
    <x v="1337"/>
    <x v="4"/>
    <x v="1"/>
    <x v="1"/>
  </r>
  <r>
    <x v="100"/>
    <s v="ZPEP"/>
    <x v="32"/>
    <s v="XR6339"/>
    <s v="78907355"/>
    <s v="LAMPA"/>
    <x v="1137"/>
    <x v="1"/>
    <x v="1"/>
    <x v="17"/>
    <x v="1"/>
    <n v="5"/>
    <n v="70000"/>
    <n v="22407.32"/>
    <n v="92407.32"/>
    <n v="16.495916512996647"/>
    <n v="12000"/>
    <n v="47"/>
    <x v="1338"/>
    <x v="4"/>
    <x v="1"/>
    <x v="1"/>
  </r>
  <r>
    <x v="100"/>
    <s v="ZPEP"/>
    <x v="18"/>
    <s v="WG4022"/>
    <s v="81417709"/>
    <s v="CARTAGENA"/>
    <x v="227"/>
    <x v="1"/>
    <x v="0"/>
    <x v="40"/>
    <x v="2"/>
    <n v="0"/>
    <n v="180000"/>
    <n v="47611.199999999997"/>
    <n v="227611.2"/>
    <n v="19.122492186712371"/>
    <n v="25000"/>
    <n v="48"/>
    <x v="1339"/>
    <x v="4"/>
    <x v="1"/>
    <x v="0"/>
  </r>
  <r>
    <x v="100"/>
    <s v="ZPEP"/>
    <x v="33"/>
    <s v="DJLF85"/>
    <s v="53173292"/>
    <s v="BUIN"/>
    <x v="1138"/>
    <x v="4"/>
    <x v="1"/>
    <x v="56"/>
    <x v="1"/>
    <n v="5"/>
    <n v="90000"/>
    <n v="0"/>
    <n v="90000"/>
    <n v="17.344181797859342"/>
    <n v="12000"/>
    <n v="43"/>
    <x v="1340"/>
    <x v="4"/>
    <x v="1"/>
    <x v="1"/>
  </r>
  <r>
    <x v="100"/>
    <s v="ZTAN"/>
    <x v="54"/>
    <s v="BDCH61"/>
    <s v="161268070"/>
    <s v="SANTIAGO"/>
    <x v="1139"/>
    <x v="1"/>
    <x v="1"/>
    <x v="20"/>
    <x v="1"/>
    <n v="1"/>
    <n v="33750"/>
    <n v="12000"/>
    <n v="45750"/>
    <n v="38.987600664706633"/>
    <n v="4821"/>
    <n v="24"/>
    <x v="1341"/>
    <x v="4"/>
    <x v="1"/>
    <x v="1"/>
  </r>
  <r>
    <x v="100"/>
    <s v="ZTAN"/>
    <x v="7"/>
    <s v="PKYS74"/>
    <s v="6270439K"/>
    <s v="SAN CARLOS"/>
    <x v="1140"/>
    <x v="0"/>
    <x v="0"/>
    <x v="32"/>
    <x v="5"/>
    <n v="0"/>
    <n v="350000"/>
    <n v="0"/>
    <n v="350000"/>
    <n v="34.632891351672271"/>
    <n v="25000"/>
    <n v="40"/>
    <x v="1342"/>
    <x v="4"/>
    <x v="1"/>
    <x v="0"/>
  </r>
  <r>
    <x v="100"/>
    <s v="ZTAN"/>
    <x v="8"/>
    <s v="DP5738"/>
    <s v="35488103"/>
    <s v="ÑUÑOA"/>
    <x v="1141"/>
    <x v="7"/>
    <x v="1"/>
    <x v="15"/>
    <x v="1"/>
    <n v="4"/>
    <n v="55000"/>
    <n v="0"/>
    <n v="55000"/>
    <n v="50.635242128521448"/>
    <n v="8011"/>
    <n v="14"/>
    <x v="1343"/>
    <x v="4"/>
    <x v="1"/>
    <x v="1"/>
  </r>
  <r>
    <x v="100"/>
    <s v="ZTAN"/>
    <x v="8"/>
    <s v="SV2718"/>
    <s v="78907355"/>
    <s v="PUDAHUEL"/>
    <x v="1142"/>
    <x v="1"/>
    <x v="1"/>
    <x v="10"/>
    <x v="1"/>
    <n v="1"/>
    <n v="33750"/>
    <n v="12000"/>
    <n v="45750"/>
    <n v="23.509763617677287"/>
    <n v="4821"/>
    <n v="40"/>
    <x v="1344"/>
    <x v="4"/>
    <x v="1"/>
    <x v="1"/>
  </r>
  <r>
    <x v="100"/>
    <s v="ZTAN"/>
    <x v="8"/>
    <s v="UA7248"/>
    <s v="154837728"/>
    <s v="SAN MIGUEL"/>
    <x v="1143"/>
    <x v="1"/>
    <x v="1"/>
    <x v="23"/>
    <x v="1"/>
    <n v="2"/>
    <n v="40475"/>
    <n v="12000"/>
    <n v="52475"/>
    <n v="43.160881723967762"/>
    <n v="5782"/>
    <n v="21"/>
    <x v="1345"/>
    <x v="4"/>
    <x v="1"/>
    <x v="1"/>
  </r>
  <r>
    <x v="101"/>
    <s v="ZNL"/>
    <x v="0"/>
    <s v="JTGL12"/>
    <n v="115381083"/>
    <s v="TALCAHUANO"/>
    <x v="1144"/>
    <x v="0"/>
    <x v="0"/>
    <x v="0"/>
    <x v="0"/>
    <n v="0"/>
    <n v="380000"/>
    <n v="0"/>
    <n v="380000"/>
    <n v="36.8753032508491"/>
    <n v="25000"/>
    <n v="41"/>
    <x v="1346"/>
    <x v="4"/>
    <x v="1"/>
    <x v="0"/>
  </r>
  <r>
    <x v="101"/>
    <s v="ZPEP"/>
    <x v="33"/>
    <s v="HLBX77"/>
    <n v="161268070"/>
    <s v="BUIN"/>
    <x v="1145"/>
    <x v="1"/>
    <x v="1"/>
    <x v="56"/>
    <x v="1"/>
    <n v="5"/>
    <n v="90000"/>
    <n v="25175.360000000004"/>
    <n v="115175.36"/>
    <n v="18.299696210898272"/>
    <n v="12000"/>
    <n v="52"/>
    <x v="1347"/>
    <x v="4"/>
    <x v="1"/>
    <x v="1"/>
  </r>
  <r>
    <x v="101"/>
    <s v="ZPEP"/>
    <x v="33"/>
    <s v="XR6339"/>
    <n v="78907355"/>
    <s v="BUIN"/>
    <x v="1146"/>
    <x v="1"/>
    <x v="1"/>
    <x v="56"/>
    <x v="1"/>
    <n v="5"/>
    <n v="90000"/>
    <n v="9560"/>
    <n v="99560"/>
    <n v="41.656903765690373"/>
    <n v="12000"/>
    <n v="20"/>
    <x v="1348"/>
    <x v="4"/>
    <x v="1"/>
    <x v="1"/>
  </r>
  <r>
    <x v="101"/>
    <s v="ZTAN"/>
    <x v="7"/>
    <s v="WC2233"/>
    <n v="125108660"/>
    <s v="TIL TIL"/>
    <x v="1147"/>
    <x v="4"/>
    <x v="1"/>
    <x v="70"/>
    <x v="1"/>
    <n v="5"/>
    <n v="90000"/>
    <n v="0"/>
    <n v="90000"/>
    <n v="16.209790713591008"/>
    <n v="12000"/>
    <n v="46"/>
    <x v="1349"/>
    <x v="4"/>
    <x v="1"/>
    <x v="1"/>
  </r>
  <r>
    <x v="101"/>
    <s v="ZTAN"/>
    <x v="8"/>
    <s v="SV2718"/>
    <n v="78907355"/>
    <s v="PUDAHUEL"/>
    <x v="1148"/>
    <x v="1"/>
    <x v="1"/>
    <x v="10"/>
    <x v="1"/>
    <n v="1"/>
    <n v="33750"/>
    <n v="12000"/>
    <n v="45750"/>
    <n v="33.971931387836932"/>
    <n v="4821"/>
    <n v="28"/>
    <x v="1350"/>
    <x v="4"/>
    <x v="1"/>
    <x v="1"/>
  </r>
  <r>
    <x v="102"/>
    <s v="ZNL"/>
    <x v="0"/>
    <s v="VE9862"/>
    <n v="98494073"/>
    <s v="TALCAHUANO"/>
    <x v="1149"/>
    <x v="5"/>
    <x v="0"/>
    <x v="0"/>
    <x v="0"/>
    <n v="0"/>
    <n v="380000"/>
    <n v="0"/>
    <n v="380000"/>
    <n v="24.9390306330051"/>
    <n v="25000"/>
    <n v="46"/>
    <x v="1351"/>
    <x v="4"/>
    <x v="1"/>
    <x v="0"/>
  </r>
  <r>
    <x v="102"/>
    <s v="ZPEP"/>
    <x v="32"/>
    <s v="XR6339"/>
    <n v="78907355"/>
    <s v="LAMPA"/>
    <x v="1150"/>
    <x v="1"/>
    <x v="1"/>
    <x v="17"/>
    <x v="1"/>
    <n v="5"/>
    <n v="70000"/>
    <n v="22689.520000000004"/>
    <n v="92689.52"/>
    <n v="16.34049904978157"/>
    <n v="12000"/>
    <n v="47"/>
    <x v="1352"/>
    <x v="4"/>
    <x v="1"/>
    <x v="1"/>
  </r>
  <r>
    <x v="102"/>
    <s v="ZPEP"/>
    <x v="2"/>
    <s v="CJFZ67"/>
    <n v="115812335"/>
    <s v="TEMUCO"/>
    <x v="1151"/>
    <x v="5"/>
    <x v="0"/>
    <x v="14"/>
    <x v="4"/>
    <n v="0"/>
    <n v="620000"/>
    <n v="0"/>
    <n v="620000"/>
    <n v="33.873413959343161"/>
    <n v="25000"/>
    <n v="73"/>
    <x v="1353"/>
    <x v="4"/>
    <x v="1"/>
    <x v="0"/>
  </r>
  <r>
    <x v="102"/>
    <s v="ZPEP"/>
    <x v="18"/>
    <s v="SU9354"/>
    <n v="72564391"/>
    <s v="CARTAGENA"/>
    <x v="1152"/>
    <x v="2"/>
    <x v="1"/>
    <x v="40"/>
    <x v="2"/>
    <n v="0"/>
    <n v="180000"/>
    <n v="0"/>
    <n v="180000"/>
    <n v="25.584099198080626"/>
    <n v="25000"/>
    <n v="28"/>
    <x v="1354"/>
    <x v="4"/>
    <x v="1"/>
    <x v="0"/>
  </r>
  <r>
    <x v="102"/>
    <s v="ZPEP"/>
    <x v="33"/>
    <s v="WC2233"/>
    <n v="53173292"/>
    <s v="SAN BERNARDO"/>
    <x v="1153"/>
    <x v="4"/>
    <x v="1"/>
    <x v="4"/>
    <x v="1"/>
    <n v="4"/>
    <n v="74982.819999999992"/>
    <n v="0"/>
    <n v="74982.819999999992"/>
    <n v="11"/>
    <n v="8011"/>
    <n v="85"/>
    <x v="1355"/>
    <x v="4"/>
    <x v="1"/>
    <x v="1"/>
  </r>
  <r>
    <x v="102"/>
    <s v="ZTAN"/>
    <x v="13"/>
    <s v="BDCH61"/>
    <n v="154837728"/>
    <s v="SANTIAGO"/>
    <x v="1154"/>
    <x v="1"/>
    <x v="1"/>
    <x v="20"/>
    <x v="1"/>
    <n v="1"/>
    <n v="33750"/>
    <n v="5639.2"/>
    <n v="39389.199999999997"/>
    <n v="27.939565895871755"/>
    <n v="4821"/>
    <n v="29"/>
    <x v="1356"/>
    <x v="4"/>
    <x v="1"/>
    <x v="1"/>
  </r>
  <r>
    <x v="102"/>
    <s v="ZTAN"/>
    <x v="47"/>
    <s v="DJLF85"/>
    <n v="53173292"/>
    <s v="SAN JOAQUIN"/>
    <x v="1155"/>
    <x v="4"/>
    <x v="1"/>
    <x v="67"/>
    <x v="1"/>
    <n v="3"/>
    <n v="55000"/>
    <n v="0"/>
    <n v="55000"/>
    <n v="11.404163556440242"/>
    <n v="6868"/>
    <n v="70"/>
    <x v="1357"/>
    <x v="4"/>
    <x v="1"/>
    <x v="1"/>
  </r>
  <r>
    <x v="102"/>
    <s v="ZTAN"/>
    <x v="7"/>
    <s v="DFRV76"/>
    <n v="113693568"/>
    <s v="RENCA"/>
    <x v="1156"/>
    <x v="5"/>
    <x v="0"/>
    <x v="0"/>
    <x v="0"/>
    <n v="1"/>
    <n v="380000"/>
    <n v="0"/>
    <n v="380000"/>
    <n v="15.878852711105175"/>
    <n v="4821"/>
    <n v="100"/>
    <x v="1358"/>
    <x v="4"/>
    <x v="1"/>
    <x v="0"/>
  </r>
  <r>
    <x v="102"/>
    <s v="ZTAN"/>
    <x v="7"/>
    <s v="HLBX77"/>
    <n v="161268070"/>
    <s v="TIL TIL"/>
    <x v="968"/>
    <x v="1"/>
    <x v="1"/>
    <x v="70"/>
    <x v="1"/>
    <n v="5"/>
    <n v="90000"/>
    <n v="38814"/>
    <n v="128814"/>
    <n v="13.275140672341657"/>
    <n v="12000"/>
    <n v="81"/>
    <x v="1359"/>
    <x v="4"/>
    <x v="1"/>
    <x v="1"/>
  </r>
  <r>
    <x v="102"/>
    <s v="ZTAN"/>
    <x v="8"/>
    <s v="BDCH61"/>
    <n v="154837728"/>
    <s v="REÑACA"/>
    <x v="1157"/>
    <x v="1"/>
    <x v="1"/>
    <x v="6"/>
    <x v="2"/>
    <n v="0"/>
    <n v="180000"/>
    <n v="17236.400000000001"/>
    <n v="197236.4"/>
    <n v="45.772063772017354"/>
    <n v="25000"/>
    <n v="17"/>
    <x v="1360"/>
    <x v="4"/>
    <x v="1"/>
    <x v="0"/>
  </r>
  <r>
    <x v="102"/>
    <s v="ZTAN"/>
    <x v="8"/>
    <s v="DP5738"/>
    <n v="35488103"/>
    <s v="SAN BERNARDO"/>
    <x v="49"/>
    <x v="7"/>
    <x v="1"/>
    <x v="4"/>
    <x v="1"/>
    <n v="4"/>
    <n v="55000"/>
    <n v="0"/>
    <n v="55000"/>
    <n v="30.249364763339969"/>
    <n v="8011"/>
    <n v="23"/>
    <x v="1361"/>
    <x v="4"/>
    <x v="1"/>
    <x v="1"/>
  </r>
  <r>
    <x v="102"/>
    <s v="ZTAN"/>
    <x v="8"/>
    <s v="HLBX77"/>
    <n v="161268070"/>
    <s v="QUILIN"/>
    <x v="1158"/>
    <x v="1"/>
    <x v="1"/>
    <x v="34"/>
    <x v="1"/>
    <n v="4"/>
    <n v="56075"/>
    <n v="28274"/>
    <n v="84349"/>
    <n v="11.933083398175004"/>
    <n v="8011"/>
    <n v="88"/>
    <x v="1362"/>
    <x v="4"/>
    <x v="1"/>
    <x v="1"/>
  </r>
  <r>
    <x v="102"/>
    <s v="ZTAN"/>
    <x v="8"/>
    <s v="SV2718"/>
    <n v="81417709"/>
    <s v="ÑUÑOA"/>
    <x v="1159"/>
    <x v="1"/>
    <x v="1"/>
    <x v="15"/>
    <x v="1"/>
    <n v="4"/>
    <n v="56075"/>
    <n v="12000"/>
    <n v="68075"/>
    <n v="29.347479328510705"/>
    <n v="8011"/>
    <n v="29"/>
    <x v="1363"/>
    <x v="4"/>
    <x v="1"/>
    <x v="1"/>
  </r>
  <r>
    <x v="102"/>
    <s v="ZTAN"/>
    <x v="8"/>
    <s v="TP3884"/>
    <n v="99626232"/>
    <s v="PUDAHUEL"/>
    <x v="1160"/>
    <x v="1"/>
    <x v="1"/>
    <x v="10"/>
    <x v="1"/>
    <n v="1"/>
    <n v="33750"/>
    <n v="17200"/>
    <n v="50950"/>
    <n v="11.849002544221548"/>
    <n v="4821"/>
    <n v="89"/>
    <x v="1364"/>
    <x v="4"/>
    <x v="1"/>
    <x v="1"/>
  </r>
  <r>
    <x v="102"/>
    <s v="ZTAN"/>
    <x v="8"/>
    <s v="UA7248"/>
    <n v="107643206"/>
    <s v="LAS CONDES"/>
    <x v="1161"/>
    <x v="1"/>
    <x v="1"/>
    <x v="3"/>
    <x v="1"/>
    <n v="4"/>
    <n v="56075"/>
    <n v="12000"/>
    <n v="68075"/>
    <n v="52.268085563796625"/>
    <n v="8011"/>
    <n v="16"/>
    <x v="1365"/>
    <x v="4"/>
    <x v="1"/>
    <x v="1"/>
  </r>
  <r>
    <x v="102"/>
    <s v="ZTAN"/>
    <x v="8"/>
    <s v="XR6339"/>
    <n v="78907355"/>
    <s v="CERRILLOS"/>
    <x v="1162"/>
    <x v="1"/>
    <x v="1"/>
    <x v="9"/>
    <x v="1"/>
    <n v="2"/>
    <n v="40475"/>
    <n v="12000"/>
    <n v="52475"/>
    <n v="18.215805661045426"/>
    <n v="5782"/>
    <n v="50"/>
    <x v="1366"/>
    <x v="4"/>
    <x v="1"/>
    <x v="1"/>
  </r>
  <r>
    <x v="103"/>
    <s v="ZPEP"/>
    <x v="33"/>
    <s v="HLBX77"/>
    <n v="161268070"/>
    <s v="BUIN"/>
    <x v="1163"/>
    <x v="1"/>
    <x v="1"/>
    <x v="56"/>
    <x v="1"/>
    <n v="5"/>
    <n v="90000"/>
    <n v="12000"/>
    <n v="102000"/>
    <n v="50.584950481300922"/>
    <n v="12000"/>
    <n v="17"/>
    <x v="1367"/>
    <x v="4"/>
    <x v="1"/>
    <x v="1"/>
  </r>
  <r>
    <x v="103"/>
    <s v="ZPEP"/>
    <x v="33"/>
    <s v="HLBX77"/>
    <n v="161268070"/>
    <s v="SAN BERNARDO"/>
    <x v="1164"/>
    <x v="1"/>
    <x v="1"/>
    <x v="4"/>
    <x v="1"/>
    <n v="4"/>
    <n v="56075"/>
    <n v="17224.48"/>
    <n v="73299.48"/>
    <n v="17.0221638040742"/>
    <n v="8011"/>
    <n v="54"/>
    <x v="1368"/>
    <x v="4"/>
    <x v="1"/>
    <x v="1"/>
  </r>
  <r>
    <x v="103"/>
    <s v="ZTAN"/>
    <x v="55"/>
    <s v="DJLF85"/>
    <n v="53173292"/>
    <s v="LA PINTANA"/>
    <x v="1165"/>
    <x v="4"/>
    <x v="1"/>
    <x v="31"/>
    <x v="1"/>
    <n v="4"/>
    <n v="68842.399999999994"/>
    <n v="0"/>
    <n v="68842.399999999994"/>
    <n v="11"/>
    <n v="8011"/>
    <n v="78"/>
    <x v="1369"/>
    <x v="4"/>
    <x v="1"/>
    <x v="1"/>
  </r>
  <r>
    <x v="103"/>
    <s v="ZTAN"/>
    <x v="8"/>
    <s v="DP5738"/>
    <n v="35488103"/>
    <s v="ÑUÑOA"/>
    <x v="1166"/>
    <x v="7"/>
    <x v="1"/>
    <x v="15"/>
    <x v="1"/>
    <n v="4"/>
    <n v="56075"/>
    <n v="12000"/>
    <n v="68075"/>
    <n v="50.707635009310984"/>
    <n v="8011"/>
    <n v="17"/>
    <x v="1370"/>
    <x v="4"/>
    <x v="1"/>
    <x v="1"/>
  </r>
  <r>
    <x v="103"/>
    <s v="ZTAN"/>
    <x v="8"/>
    <s v="SV2718"/>
    <n v="99626232"/>
    <s v="LAS CONDES"/>
    <x v="1167"/>
    <x v="1"/>
    <x v="1"/>
    <x v="3"/>
    <x v="1"/>
    <n v="4"/>
    <n v="56075"/>
    <n v="12000"/>
    <n v="68075"/>
    <n v="41.568965096113921"/>
    <n v="8011"/>
    <n v="20"/>
    <x v="1371"/>
    <x v="4"/>
    <x v="1"/>
    <x v="1"/>
  </r>
  <r>
    <x v="103"/>
    <s v="ZTAN"/>
    <x v="8"/>
    <s v="UA7248"/>
    <n v="78907355"/>
    <s v="PUDAHUEL"/>
    <x v="1168"/>
    <x v="1"/>
    <x v="1"/>
    <x v="10"/>
    <x v="1"/>
    <n v="1"/>
    <n v="33750"/>
    <n v="12000"/>
    <n v="45750"/>
    <n v="21.764985727878212"/>
    <n v="4821"/>
    <n v="44"/>
    <x v="1372"/>
    <x v="4"/>
    <x v="1"/>
    <x v="1"/>
  </r>
  <r>
    <x v="104"/>
    <s v="ZPEP"/>
    <x v="32"/>
    <s v="WG4022"/>
    <n v="81417709"/>
    <s v="LAMPA"/>
    <x v="1169"/>
    <x v="1"/>
    <x v="0"/>
    <x v="17"/>
    <x v="1"/>
    <n v="5"/>
    <n v="120000"/>
    <n v="55605.4"/>
    <n v="175605.4"/>
    <n v="12.632255140687775"/>
    <n v="12000"/>
    <n v="100"/>
    <x v="1373"/>
    <x v="4"/>
    <x v="1"/>
    <x v="1"/>
  </r>
  <r>
    <x v="104"/>
    <s v="ZTAN"/>
    <x v="13"/>
    <s v="XR6339"/>
    <n v="78907355"/>
    <s v="SANTIAGO"/>
    <x v="1170"/>
    <x v="1"/>
    <x v="1"/>
    <x v="20"/>
    <x v="1"/>
    <n v="1"/>
    <n v="33750"/>
    <n v="12000"/>
    <n v="45750"/>
    <n v="24.696356275303643"/>
    <n v="4821"/>
    <n v="38"/>
    <x v="1374"/>
    <x v="4"/>
    <x v="1"/>
    <x v="1"/>
  </r>
  <r>
    <x v="104"/>
    <s v="ZTAN"/>
    <x v="32"/>
    <s v="SU9354"/>
    <n v="72564391"/>
    <s v="LAMPA"/>
    <x v="1171"/>
    <x v="2"/>
    <x v="1"/>
    <x v="17"/>
    <x v="1"/>
    <n v="5"/>
    <n v="70000"/>
    <n v="0"/>
    <n v="70000"/>
    <n v="14.405070584845866"/>
    <n v="12000"/>
    <n v="40"/>
    <x v="1375"/>
    <x v="4"/>
    <x v="1"/>
    <x v="1"/>
  </r>
  <r>
    <x v="104"/>
    <s v="ZTAN"/>
    <x v="56"/>
    <s v="WC2233"/>
    <n v="125108660"/>
    <s v="RANCAGUA"/>
    <x v="1172"/>
    <x v="4"/>
    <x v="1"/>
    <x v="28"/>
    <x v="6"/>
    <n v="0"/>
    <n v="180000"/>
    <n v="0"/>
    <n v="180000"/>
    <n v="16.770316539724686"/>
    <n v="14000"/>
    <n v="76.666071428571428"/>
    <x v="1376"/>
    <x v="4"/>
    <x v="1"/>
    <x v="0"/>
  </r>
  <r>
    <x v="104"/>
    <s v="ZTAN"/>
    <x v="8"/>
    <s v="BDCH61"/>
    <n v="78907355"/>
    <s v="CERRILLOS"/>
    <x v="1173"/>
    <x v="1"/>
    <x v="1"/>
    <x v="9"/>
    <x v="1"/>
    <n v="2"/>
    <n v="40475"/>
    <n v="12000"/>
    <n v="52475"/>
    <n v="24.626438399879859"/>
    <n v="5782"/>
    <n v="37"/>
    <x v="1377"/>
    <x v="4"/>
    <x v="1"/>
    <x v="1"/>
  </r>
  <r>
    <x v="104"/>
    <s v="ZTAN"/>
    <x v="8"/>
    <s v="SV2718"/>
    <n v="161268070"/>
    <s v="LAS CONDES"/>
    <x v="1174"/>
    <x v="1"/>
    <x v="1"/>
    <x v="3"/>
    <x v="1"/>
    <n v="4"/>
    <n v="56075"/>
    <n v="12000"/>
    <n v="68075"/>
    <n v="45.138980982945661"/>
    <n v="8011"/>
    <n v="19"/>
    <x v="1378"/>
    <x v="4"/>
    <x v="1"/>
    <x v="1"/>
  </r>
  <r>
    <x v="104"/>
    <s v="ZTAN"/>
    <x v="8"/>
    <s v="TP3884"/>
    <n v="154837728"/>
    <s v="ÑUÑOA"/>
    <x v="1175"/>
    <x v="1"/>
    <x v="1"/>
    <x v="15"/>
    <x v="1"/>
    <n v="4"/>
    <n v="56075"/>
    <n v="16287"/>
    <n v="72362"/>
    <n v="17.772199899794678"/>
    <n v="8011"/>
    <n v="51"/>
    <x v="1379"/>
    <x v="4"/>
    <x v="1"/>
    <x v="1"/>
  </r>
  <r>
    <x v="104"/>
    <s v="ZTAN"/>
    <x v="8"/>
    <s v="UA7248"/>
    <n v="107643206"/>
    <s v="SAN BERNARDO"/>
    <x v="1176"/>
    <x v="1"/>
    <x v="1"/>
    <x v="4"/>
    <x v="1"/>
    <n v="4"/>
    <n v="56075"/>
    <n v="12000"/>
    <n v="68075"/>
    <n v="49.6593329637303"/>
    <n v="8011"/>
    <n v="17"/>
    <x v="1380"/>
    <x v="4"/>
    <x v="1"/>
    <x v="1"/>
  </r>
  <r>
    <x v="105"/>
    <s v="ZNL"/>
    <x v="0"/>
    <s v="CJFZ67"/>
    <n v="115812335"/>
    <s v="TALCAHUANO"/>
    <x v="1177"/>
    <x v="5"/>
    <x v="0"/>
    <x v="0"/>
    <x v="0"/>
    <n v="0"/>
    <n v="380000"/>
    <n v="0"/>
    <n v="380000"/>
    <n v="42.230949951878941"/>
    <n v="25000"/>
    <n v="36"/>
    <x v="1381"/>
    <x v="4"/>
    <x v="1"/>
    <x v="0"/>
  </r>
  <r>
    <x v="105"/>
    <s v="ZPEP"/>
    <x v="17"/>
    <s v="RK5135"/>
    <n v="138841065"/>
    <s v="LAMPA"/>
    <x v="1178"/>
    <x v="3"/>
    <x v="1"/>
    <x v="17"/>
    <x v="1"/>
    <n v="5"/>
    <n v="111826"/>
    <n v="0"/>
    <n v="111826"/>
    <n v="11"/>
    <n v="12000"/>
    <n v="85"/>
    <x v="1382"/>
    <x v="4"/>
    <x v="1"/>
    <x v="1"/>
  </r>
  <r>
    <x v="105"/>
    <s v="ZTAN"/>
    <x v="21"/>
    <s v="WC2233"/>
    <n v="53173292"/>
    <s v="LA REINA"/>
    <x v="1179"/>
    <x v="4"/>
    <x v="1"/>
    <x v="11"/>
    <x v="1"/>
    <n v="3"/>
    <n v="61872.800000000003"/>
    <n v="0"/>
    <n v="61872.800000000003"/>
    <n v="11"/>
    <n v="6868"/>
    <n v="82"/>
    <x v="1383"/>
    <x v="4"/>
    <x v="1"/>
    <x v="1"/>
  </r>
  <r>
    <x v="105"/>
    <s v="ZTAN"/>
    <x v="8"/>
    <s v="BDCH61"/>
    <n v="99626232"/>
    <s v="QUILICURA"/>
    <x v="1180"/>
    <x v="1"/>
    <x v="1"/>
    <x v="8"/>
    <x v="1"/>
    <n v="1"/>
    <n v="33750"/>
    <n v="12000"/>
    <n v="45750"/>
    <n v="25.790630813461863"/>
    <n v="4821"/>
    <n v="37"/>
    <x v="1384"/>
    <x v="4"/>
    <x v="1"/>
    <x v="1"/>
  </r>
  <r>
    <x v="105"/>
    <s v="ZTAN"/>
    <x v="8"/>
    <s v="DP5738"/>
    <n v="35488103"/>
    <s v="MAIPU"/>
    <x v="1181"/>
    <x v="7"/>
    <x v="1"/>
    <x v="2"/>
    <x v="1"/>
    <n v="2"/>
    <n v="55000"/>
    <n v="0"/>
    <n v="55000"/>
    <n v="54.163712282360351"/>
    <n v="5782"/>
    <n v="18"/>
    <x v="1385"/>
    <x v="4"/>
    <x v="1"/>
    <x v="1"/>
  </r>
  <r>
    <x v="105"/>
    <s v="ZTAN"/>
    <x v="8"/>
    <s v="SV2718"/>
    <n v="78907355"/>
    <s v="LA REINA"/>
    <x v="1182"/>
    <x v="1"/>
    <x v="1"/>
    <x v="11"/>
    <x v="1"/>
    <n v="3"/>
    <n v="48075"/>
    <n v="16803"/>
    <n v="64878"/>
    <n v="15.444715830369514"/>
    <n v="6868"/>
    <n v="61"/>
    <x v="1386"/>
    <x v="4"/>
    <x v="1"/>
    <x v="1"/>
  </r>
  <r>
    <x v="105"/>
    <s v="ZTAN"/>
    <x v="8"/>
    <s v="TP3884"/>
    <n v="154827728"/>
    <s v="PUDAHUEL"/>
    <x v="1183"/>
    <x v="1"/>
    <x v="1"/>
    <x v="10"/>
    <x v="1"/>
    <n v="1"/>
    <n v="33750"/>
    <n v="12000"/>
    <n v="45750"/>
    <n v="35.351662107654498"/>
    <n v="4821"/>
    <n v="27"/>
    <x v="1387"/>
    <x v="4"/>
    <x v="1"/>
    <x v="1"/>
  </r>
  <r>
    <x v="105"/>
    <s v="ZTAN"/>
    <x v="8"/>
    <s v="TP3884"/>
    <n v="154837728"/>
    <s v="PUDAHUEL"/>
    <x v="1184"/>
    <x v="1"/>
    <x v="1"/>
    <x v="10"/>
    <x v="1"/>
    <n v="1"/>
    <n v="33750"/>
    <n v="12000"/>
    <n v="45750"/>
    <n v="16.043512108906523"/>
    <n v="4821"/>
    <n v="59"/>
    <x v="1388"/>
    <x v="4"/>
    <x v="1"/>
    <x v="1"/>
  </r>
  <r>
    <x v="105"/>
    <s v="ZTAN"/>
    <x v="8"/>
    <s v="UA7248"/>
    <n v="107643206"/>
    <s v="PUENTE ALTO"/>
    <x v="1185"/>
    <x v="1"/>
    <x v="1"/>
    <x v="30"/>
    <x v="1"/>
    <n v="4"/>
    <n v="56075"/>
    <n v="12000"/>
    <n v="68075"/>
    <n v="30.383571670862121"/>
    <n v="8011"/>
    <n v="28"/>
    <x v="1389"/>
    <x v="4"/>
    <x v="1"/>
    <x v="1"/>
  </r>
  <r>
    <x v="106"/>
    <s v="ZNL"/>
    <x v="0"/>
    <s v="KKPF51"/>
    <n v="95707734"/>
    <s v="TALCAHUANO"/>
    <x v="1186"/>
    <x v="8"/>
    <x v="0"/>
    <x v="0"/>
    <x v="0"/>
    <n v="0"/>
    <n v="380000"/>
    <n v="0"/>
    <n v="380000"/>
    <n v="58.205434549520589"/>
    <n v="25000"/>
    <n v="26"/>
    <x v="1390"/>
    <x v="4"/>
    <x v="1"/>
    <x v="0"/>
  </r>
  <r>
    <x v="106"/>
    <s v="ZPEP"/>
    <x v="17"/>
    <s v="RK5135"/>
    <n v="138841065"/>
    <s v="LAMPA"/>
    <x v="1178"/>
    <x v="3"/>
    <x v="1"/>
    <x v="17"/>
    <x v="1"/>
    <n v="5"/>
    <n v="111826"/>
    <n v="0"/>
    <n v="111826"/>
    <n v="11"/>
    <n v="12000"/>
    <n v="85"/>
    <x v="1391"/>
    <x v="4"/>
    <x v="1"/>
    <x v="1"/>
  </r>
  <r>
    <x v="106"/>
    <s v="ZPEP"/>
    <x v="32"/>
    <s v="SU9354"/>
    <n v="72564391"/>
    <s v="LAMPA"/>
    <x v="1187"/>
    <x v="2"/>
    <x v="1"/>
    <x v="17"/>
    <x v="1"/>
    <n v="5"/>
    <n v="78801.030000000013"/>
    <n v="0"/>
    <n v="78801.030000000013"/>
    <n v="11"/>
    <n v="12000"/>
    <n v="60"/>
    <x v="1392"/>
    <x v="4"/>
    <x v="1"/>
    <x v="1"/>
  </r>
  <r>
    <x v="106"/>
    <s v="ZPEP"/>
    <x v="11"/>
    <s v="WC2233"/>
    <n v="53173292"/>
    <s v="PADRE HURTADO"/>
    <x v="1188"/>
    <x v="4"/>
    <x v="1"/>
    <x v="26"/>
    <x v="1"/>
    <n v="5"/>
    <n v="55000"/>
    <n v="0"/>
    <n v="55000"/>
    <n v="27.017600738808571"/>
    <n v="12000"/>
    <n v="17"/>
    <x v="1393"/>
    <x v="4"/>
    <x v="1"/>
    <x v="1"/>
  </r>
  <r>
    <x v="106"/>
    <s v="ZPEP"/>
    <x v="11"/>
    <s v="XR6369"/>
    <n v="161268070"/>
    <s v="PADRE HURTADO"/>
    <x v="1189"/>
    <x v="1"/>
    <x v="0"/>
    <x v="26"/>
    <x v="1"/>
    <n v="5"/>
    <n v="120000"/>
    <n v="12000"/>
    <n v="132000"/>
    <n v="46.576289845663112"/>
    <n v="12000"/>
    <n v="24"/>
    <x v="1394"/>
    <x v="4"/>
    <x v="1"/>
    <x v="1"/>
  </r>
  <r>
    <x v="106"/>
    <s v="ZPEP"/>
    <x v="18"/>
    <s v="HLBX77"/>
    <n v="161268070"/>
    <s v="CARTAGENA"/>
    <x v="1190"/>
    <x v="1"/>
    <x v="1"/>
    <x v="40"/>
    <x v="2"/>
    <n v="0"/>
    <n v="180000"/>
    <n v="45518.239999999998"/>
    <n v="225518.24"/>
    <n v="19.817834784473213"/>
    <n v="25000"/>
    <n v="46"/>
    <x v="1395"/>
    <x v="4"/>
    <x v="1"/>
    <x v="0"/>
  </r>
  <r>
    <x v="106"/>
    <s v="ZPEP"/>
    <x v="33"/>
    <s v="DJLF85"/>
    <n v="53173292"/>
    <s v="SAN BERNARDO"/>
    <x v="1191"/>
    <x v="4"/>
    <x v="1"/>
    <x v="4"/>
    <x v="1"/>
    <n v="4"/>
    <n v="55000"/>
    <n v="0"/>
    <n v="55000"/>
    <n v="26.143790849673202"/>
    <n v="8011"/>
    <n v="26"/>
    <x v="1396"/>
    <x v="4"/>
    <x v="1"/>
    <x v="1"/>
  </r>
  <r>
    <x v="106"/>
    <s v="ZTAN"/>
    <x v="8"/>
    <s v="BDCH61"/>
    <n v="81417709"/>
    <s v="SAN MIGUEL"/>
    <x v="1192"/>
    <x v="1"/>
    <x v="1"/>
    <x v="23"/>
    <x v="1"/>
    <n v="2"/>
    <n v="40475"/>
    <n v="12886"/>
    <n v="53361"/>
    <n v="16.564125805530377"/>
    <n v="5782"/>
    <n v="56"/>
    <x v="1397"/>
    <x v="4"/>
    <x v="1"/>
    <x v="1"/>
  </r>
  <r>
    <x v="106"/>
    <s v="ZTAN"/>
    <x v="8"/>
    <s v="DP5738"/>
    <n v="35488103"/>
    <s v="EL BOSQUE"/>
    <x v="1193"/>
    <x v="7"/>
    <x v="1"/>
    <x v="25"/>
    <x v="1"/>
    <n v="3"/>
    <n v="55000"/>
    <n v="0"/>
    <n v="55000"/>
    <n v="13.800371355447382"/>
    <n v="6868"/>
    <n v="58"/>
    <x v="1398"/>
    <x v="4"/>
    <x v="1"/>
    <x v="1"/>
  </r>
  <r>
    <x v="106"/>
    <s v="ZTAN"/>
    <x v="8"/>
    <s v="SV2718"/>
    <n v="99626232"/>
    <s v="LA FLORIDA"/>
    <x v="1194"/>
    <x v="1"/>
    <x v="1"/>
    <x v="33"/>
    <x v="1"/>
    <n v="3"/>
    <n v="48075"/>
    <n v="12000"/>
    <n v="60075"/>
    <n v="21.442797789865935"/>
    <n v="6868"/>
    <n v="41"/>
    <x v="1399"/>
    <x v="4"/>
    <x v="1"/>
    <x v="1"/>
  </r>
  <r>
    <x v="106"/>
    <s v="ZTAN"/>
    <x v="8"/>
    <s v="TP3884"/>
    <n v="154837728"/>
    <s v="PUDAHUEL"/>
    <x v="1195"/>
    <x v="1"/>
    <x v="1"/>
    <x v="10"/>
    <x v="1"/>
    <n v="1"/>
    <n v="33750"/>
    <n v="14041"/>
    <n v="47791"/>
    <n v="13.615126462192391"/>
    <n v="4821"/>
    <n v="73"/>
    <x v="1400"/>
    <x v="4"/>
    <x v="1"/>
    <x v="1"/>
  </r>
  <r>
    <x v="106"/>
    <s v="ZTAN"/>
    <x v="8"/>
    <s v="UA7248"/>
    <n v="107643206"/>
    <s v="QUILIN"/>
    <x v="1196"/>
    <x v="1"/>
    <x v="1"/>
    <x v="34"/>
    <x v="1"/>
    <n v="4"/>
    <n v="56075"/>
    <n v="12000"/>
    <n v="68075"/>
    <n v="24.029127927088407"/>
    <n v="8011"/>
    <n v="35"/>
    <x v="1401"/>
    <x v="4"/>
    <x v="1"/>
    <x v="1"/>
  </r>
  <r>
    <x v="106"/>
    <s v="ZTAN"/>
    <x v="8"/>
    <s v="XR6339"/>
    <n v="78907355"/>
    <s v="CERRILLOS"/>
    <x v="1197"/>
    <x v="1"/>
    <x v="1"/>
    <x v="9"/>
    <x v="1"/>
    <n v="2"/>
    <n v="40475"/>
    <n v="13194"/>
    <n v="53669"/>
    <n v="16.271222410865871"/>
    <n v="5782"/>
    <n v="57"/>
    <x v="1402"/>
    <x v="4"/>
    <x v="1"/>
    <x v="1"/>
  </r>
  <r>
    <x v="106"/>
    <s v="ZTAN"/>
    <x v="57"/>
    <s v="XR6339"/>
    <n v="78907355"/>
    <s v="SANTIAGO"/>
    <x v="252"/>
    <x v="1"/>
    <x v="1"/>
    <x v="20"/>
    <x v="1"/>
    <n v="1"/>
    <n v="33750"/>
    <n v="12000"/>
    <n v="45750"/>
    <n v="12.193496801705757"/>
    <n v="4821"/>
    <n v="78"/>
    <x v="1403"/>
    <x v="4"/>
    <x v="1"/>
    <x v="1"/>
  </r>
  <r>
    <x v="107"/>
    <s v="ZPEP"/>
    <x v="5"/>
    <s v="SU9354"/>
    <s v="72564391"/>
    <s v="BUIN"/>
    <x v="1198"/>
    <x v="2"/>
    <x v="1"/>
    <x v="56"/>
    <x v="1"/>
    <n v="5"/>
    <n v="94602.640000000014"/>
    <n v="0"/>
    <n v="94602.640000000014"/>
    <n v="11"/>
    <n v="12000"/>
    <n v="72"/>
    <x v="1404"/>
    <x v="5"/>
    <x v="1"/>
    <x v="1"/>
  </r>
  <r>
    <x v="107"/>
    <s v="ZPEP"/>
    <x v="32"/>
    <s v="RK5135"/>
    <s v="138841065"/>
    <s v="LAMPA"/>
    <x v="1199"/>
    <x v="3"/>
    <x v="1"/>
    <x v="17"/>
    <x v="1"/>
    <n v="5"/>
    <n v="55000"/>
    <n v="0"/>
    <n v="55000"/>
    <n v="12.747415751170443"/>
    <n v="12000"/>
    <n v="36"/>
    <x v="1405"/>
    <x v="5"/>
    <x v="1"/>
    <x v="1"/>
  </r>
  <r>
    <x v="107"/>
    <s v="ZPEP"/>
    <x v="18"/>
    <s v="HLBX77"/>
    <s v="16093509K"/>
    <s v="CARTAGENA"/>
    <x v="1200"/>
    <x v="1"/>
    <x v="1"/>
    <x v="40"/>
    <x v="2"/>
    <n v="0"/>
    <n v="180000"/>
    <n v="0"/>
    <n v="180000"/>
    <n v="18.800290777830696"/>
    <n v="25000"/>
    <n v="38"/>
    <x v="1406"/>
    <x v="5"/>
    <x v="1"/>
    <x v="0"/>
  </r>
  <r>
    <x v="107"/>
    <s v="ZPEP"/>
    <x v="33"/>
    <s v="XR6339"/>
    <s v="78907355"/>
    <s v="SAN BERNARDO"/>
    <x v="1201"/>
    <x v="1"/>
    <x v="1"/>
    <x v="4"/>
    <x v="1"/>
    <n v="4"/>
    <n v="56075"/>
    <n v="16894.71999999999"/>
    <n v="72969.719999999987"/>
    <n v="17.276337222516865"/>
    <n v="8011"/>
    <n v="53"/>
    <x v="1407"/>
    <x v="5"/>
    <x v="1"/>
    <x v="1"/>
  </r>
  <r>
    <x v="107"/>
    <s v="ZTAN"/>
    <x v="8"/>
    <s v="BDCH61"/>
    <s v="161268070"/>
    <s v="REÑACA"/>
    <x v="1202"/>
    <x v="1"/>
    <x v="1"/>
    <x v="6"/>
    <x v="2"/>
    <n v="0"/>
    <n v="180000"/>
    <n v="16153.2"/>
    <n v="196153.2"/>
    <n v="48.573211499888565"/>
    <n v="25000"/>
    <n v="13"/>
    <x v="1408"/>
    <x v="5"/>
    <x v="1"/>
    <x v="0"/>
  </r>
  <r>
    <x v="107"/>
    <s v="ZTAN"/>
    <x v="8"/>
    <s v="DP5738"/>
    <s v="35488103"/>
    <s v="LAS CONDES"/>
    <x v="1203"/>
    <x v="7"/>
    <x v="1"/>
    <x v="3"/>
    <x v="1"/>
    <n v="4"/>
    <n v="55000"/>
    <n v="0"/>
    <n v="55000"/>
    <n v="23.115653920835189"/>
    <n v="8011"/>
    <n v="30"/>
    <x v="1409"/>
    <x v="5"/>
    <x v="1"/>
    <x v="1"/>
  </r>
  <r>
    <x v="107"/>
    <s v="ZTAN"/>
    <x v="8"/>
    <s v="SV2718"/>
    <s v="99626232"/>
    <s v="ÑUÑOA"/>
    <x v="1204"/>
    <x v="1"/>
    <x v="1"/>
    <x v="15"/>
    <x v="1"/>
    <n v="4"/>
    <n v="56075"/>
    <n v="12000"/>
    <n v="68075"/>
    <n v="24.362094263321762"/>
    <n v="8011"/>
    <n v="35"/>
    <x v="1410"/>
    <x v="5"/>
    <x v="1"/>
    <x v="1"/>
  </r>
  <r>
    <x v="107"/>
    <s v="ZTAN"/>
    <x v="8"/>
    <s v="TP3884"/>
    <s v="154837728"/>
    <s v="PUDAHUEL"/>
    <x v="1205"/>
    <x v="1"/>
    <x v="1"/>
    <x v="10"/>
    <x v="1"/>
    <n v="1"/>
    <n v="39826"/>
    <n v="22758"/>
    <n v="62584"/>
    <n v="11.000144128182686"/>
    <n v="4821"/>
    <n v="100"/>
    <x v="1411"/>
    <x v="5"/>
    <x v="1"/>
    <x v="1"/>
  </r>
  <r>
    <x v="107"/>
    <s v="ZTAN"/>
    <x v="8"/>
    <s v="UA7248"/>
    <s v="107643206"/>
    <s v="SAN BERNARDO"/>
    <x v="1206"/>
    <x v="1"/>
    <x v="1"/>
    <x v="4"/>
    <x v="1"/>
    <n v="4"/>
    <n v="56075"/>
    <n v="13422"/>
    <n v="69497"/>
    <n v="20.71186319447342"/>
    <n v="8011"/>
    <n v="42"/>
    <x v="1412"/>
    <x v="5"/>
    <x v="1"/>
    <x v="1"/>
  </r>
  <r>
    <x v="108"/>
    <s v="ZPEP"/>
    <x v="5"/>
    <s v="SU9354"/>
    <s v="72564391"/>
    <s v="BUIN"/>
    <x v="1207"/>
    <x v="2"/>
    <x v="1"/>
    <x v="56"/>
    <x v="1"/>
    <n v="5"/>
    <n v="123558.93"/>
    <n v="0"/>
    <n v="123558.93"/>
    <n v="11"/>
    <n v="12000"/>
    <n v="94"/>
    <x v="1413"/>
    <x v="5"/>
    <x v="1"/>
    <x v="1"/>
  </r>
  <r>
    <x v="108"/>
    <s v="ZPEP"/>
    <x v="11"/>
    <s v="DJLF85"/>
    <s v="53173292"/>
    <s v="MACHALI"/>
    <x v="1208"/>
    <x v="4"/>
    <x v="1"/>
    <x v="43"/>
    <x v="6"/>
    <n v="0"/>
    <n v="180000"/>
    <n v="0"/>
    <n v="180000"/>
    <n v="21.017037811986253"/>
    <n v="25000"/>
    <n v="34"/>
    <x v="1414"/>
    <x v="5"/>
    <x v="1"/>
    <x v="0"/>
  </r>
  <r>
    <x v="108"/>
    <s v="ZPEP"/>
    <x v="33"/>
    <s v="HLBX77"/>
    <s v="16093509K"/>
    <s v="SAN BERNARDO"/>
    <x v="1209"/>
    <x v="1"/>
    <x v="1"/>
    <x v="4"/>
    <x v="1"/>
    <n v="4"/>
    <n v="56075"/>
    <n v="22751.439999999999"/>
    <n v="78826.44"/>
    <n v="13.858716635078924"/>
    <n v="8011"/>
    <n v="71"/>
    <x v="1415"/>
    <x v="5"/>
    <x v="1"/>
    <x v="1"/>
  </r>
  <r>
    <x v="108"/>
    <s v="ZPEP"/>
    <x v="33"/>
    <s v="PN4466"/>
    <s v="81417709"/>
    <s v="SAN BERNARDO"/>
    <x v="1210"/>
    <x v="1"/>
    <x v="0"/>
    <x v="4"/>
    <x v="1"/>
    <n v="4"/>
    <n v="60437"/>
    <n v="34535.360000000008"/>
    <n v="94972.360000000015"/>
    <n v="11.000013898798217"/>
    <n v="8011"/>
    <n v="100"/>
    <x v="1416"/>
    <x v="5"/>
    <x v="1"/>
    <x v="1"/>
  </r>
  <r>
    <x v="108"/>
    <s v="ZTAN"/>
    <x v="8"/>
    <s v="BDCH61"/>
    <s v="81417709"/>
    <s v="PUENTE ALTO"/>
    <x v="1211"/>
    <x v="1"/>
    <x v="1"/>
    <x v="30"/>
    <x v="1"/>
    <n v="4"/>
    <n v="56075"/>
    <n v="12000"/>
    <n v="68075"/>
    <n v="40.373757502431623"/>
    <n v="8011"/>
    <n v="21"/>
    <x v="1417"/>
    <x v="5"/>
    <x v="1"/>
    <x v="1"/>
  </r>
  <r>
    <x v="108"/>
    <s v="ZTAN"/>
    <x v="8"/>
    <s v="SV2718"/>
    <s v="161268070"/>
    <s v="ÑUÑOA"/>
    <x v="1212"/>
    <x v="1"/>
    <x v="1"/>
    <x v="15"/>
    <x v="1"/>
    <n v="4"/>
    <n v="56075"/>
    <n v="12000"/>
    <n v="68075"/>
    <n v="37.568984547461369"/>
    <n v="8011"/>
    <n v="23"/>
    <x v="1418"/>
    <x v="5"/>
    <x v="1"/>
    <x v="1"/>
  </r>
  <r>
    <x v="108"/>
    <s v="ZTAN"/>
    <x v="8"/>
    <s v="TP3884"/>
    <s v="99626232"/>
    <s v="PUDAHUEL"/>
    <x v="1213"/>
    <x v="1"/>
    <x v="1"/>
    <x v="10"/>
    <x v="1"/>
    <n v="1"/>
    <n v="33750"/>
    <n v="12000"/>
    <n v="45750"/>
    <n v="27.177787282577718"/>
    <n v="4821"/>
    <n v="35"/>
    <x v="1419"/>
    <x v="5"/>
    <x v="1"/>
    <x v="1"/>
  </r>
  <r>
    <x v="108"/>
    <s v="ZTAN"/>
    <x v="8"/>
    <s v="UA7248"/>
    <s v="154837728"/>
    <s v="QUILICURA"/>
    <x v="1214"/>
    <x v="1"/>
    <x v="1"/>
    <x v="8"/>
    <x v="1"/>
    <n v="1"/>
    <n v="33750"/>
    <n v="12000"/>
    <n v="45750"/>
    <n v="24.213267282715695"/>
    <n v="4821"/>
    <n v="39"/>
    <x v="1420"/>
    <x v="5"/>
    <x v="1"/>
    <x v="1"/>
  </r>
  <r>
    <x v="109"/>
    <s v="ZNL"/>
    <x v="0"/>
    <s v="BPKD94"/>
    <s v="125897258"/>
    <s v="TALCAHUANO"/>
    <x v="1215"/>
    <x v="0"/>
    <x v="0"/>
    <x v="0"/>
    <x v="0"/>
    <n v="0"/>
    <n v="380000"/>
    <n v="0"/>
    <n v="380000"/>
    <n v="51.292434365931008"/>
    <n v="25000"/>
    <n v="30"/>
    <x v="1421"/>
    <x v="5"/>
    <x v="1"/>
    <x v="0"/>
  </r>
  <r>
    <x v="109"/>
    <s v="ZPEP"/>
    <x v="5"/>
    <s v="DJLF85"/>
    <s v="53173262"/>
    <s v="BUIN"/>
    <x v="1216"/>
    <x v="4"/>
    <x v="1"/>
    <x v="56"/>
    <x v="1"/>
    <n v="5"/>
    <n v="105858.5"/>
    <n v="0"/>
    <n v="105858.5"/>
    <n v="11"/>
    <n v="12000"/>
    <n v="57"/>
    <x v="1422"/>
    <x v="5"/>
    <x v="1"/>
    <x v="1"/>
  </r>
  <r>
    <x v="109"/>
    <s v="ZTAN"/>
    <x v="3"/>
    <s v="HLBX77"/>
    <s v="16093509K"/>
    <s v="LAS CONDES"/>
    <x v="1217"/>
    <x v="1"/>
    <x v="1"/>
    <x v="3"/>
    <x v="1"/>
    <n v="4"/>
    <n v="82141"/>
    <n v="46938"/>
    <n v="129079"/>
    <n v="10.999957390600366"/>
    <n v="8011"/>
    <n v="100"/>
    <x v="1423"/>
    <x v="5"/>
    <x v="1"/>
    <x v="1"/>
  </r>
  <r>
    <x v="109"/>
    <s v="ZTAN"/>
    <x v="3"/>
    <s v="SU9354"/>
    <s v="72564391"/>
    <s v="LAS CONDES"/>
    <x v="1217"/>
    <x v="2"/>
    <x v="1"/>
    <x v="3"/>
    <x v="1"/>
    <n v="4"/>
    <n v="129079.5"/>
    <n v="0"/>
    <n v="129079.5"/>
    <n v="11"/>
    <n v="8011"/>
    <n v="100"/>
    <x v="1424"/>
    <x v="5"/>
    <x v="1"/>
    <x v="1"/>
  </r>
  <r>
    <x v="109"/>
    <s v="ZTAN"/>
    <x v="14"/>
    <s v="XR6339"/>
    <s v="78907355"/>
    <s v="LA PINTANA"/>
    <x v="1032"/>
    <x v="1"/>
    <x v="1"/>
    <x v="31"/>
    <x v="1"/>
    <n v="4"/>
    <n v="56075"/>
    <n v="7980"/>
    <n v="64055"/>
    <n v="32.107769423558899"/>
    <n v="8011"/>
    <n v="25"/>
    <x v="1425"/>
    <x v="5"/>
    <x v="1"/>
    <x v="1"/>
  </r>
  <r>
    <x v="109"/>
    <s v="ZTAN"/>
    <x v="36"/>
    <s v="DFEV76"/>
    <s v="113693568"/>
    <s v="PADRE LAS CASAS"/>
    <x v="1218"/>
    <x v="0"/>
    <x v="0"/>
    <x v="52"/>
    <x v="4"/>
    <n v="0"/>
    <n v="620000"/>
    <n v="0"/>
    <n v="620000"/>
    <n v="26.924095762929007"/>
    <n v="25000"/>
    <n v="92"/>
    <x v="1426"/>
    <x v="5"/>
    <x v="1"/>
    <x v="0"/>
  </r>
  <r>
    <x v="109"/>
    <s v="ZTAN"/>
    <x v="7"/>
    <s v="DP5738"/>
    <s v="35488103"/>
    <s v="SANTIAGO"/>
    <x v="1219"/>
    <x v="7"/>
    <x v="1"/>
    <x v="20"/>
    <x v="1"/>
    <n v="1"/>
    <n v="55000"/>
    <n v="0"/>
    <n v="55000"/>
    <n v="20.014556040756915"/>
    <n v="4821"/>
    <n v="57"/>
    <x v="1427"/>
    <x v="5"/>
    <x v="1"/>
    <x v="1"/>
  </r>
  <r>
    <x v="109"/>
    <s v="ZTAN"/>
    <x v="7"/>
    <s v="PN4466"/>
    <s v="81417709"/>
    <s v="RANCAGUA"/>
    <x v="1220"/>
    <x v="1"/>
    <x v="0"/>
    <x v="28"/>
    <x v="6"/>
    <n v="0"/>
    <n v="230000"/>
    <n v="0"/>
    <n v="230000"/>
    <n v="31.138729810595287"/>
    <n v="25000"/>
    <n v="30"/>
    <x v="1428"/>
    <x v="5"/>
    <x v="1"/>
    <x v="0"/>
  </r>
  <r>
    <x v="109"/>
    <s v="ZTAN"/>
    <x v="7"/>
    <s v="RK5135"/>
    <s v="138841065"/>
    <s v="MELIPILLA"/>
    <x v="1221"/>
    <x v="3"/>
    <x v="1"/>
    <x v="29"/>
    <x v="1"/>
    <n v="5"/>
    <n v="90000"/>
    <n v="0"/>
    <n v="90000"/>
    <n v="22.308149910767394"/>
    <n v="12000"/>
    <n v="34"/>
    <x v="1429"/>
    <x v="5"/>
    <x v="1"/>
    <x v="1"/>
  </r>
  <r>
    <x v="109"/>
    <s v="ZTAN"/>
    <x v="8"/>
    <s v="BPKD94"/>
    <s v="125897258"/>
    <s v="TALCAHUANO"/>
    <x v="1222"/>
    <x v="0"/>
    <x v="0"/>
    <x v="0"/>
    <x v="0"/>
    <n v="0"/>
    <n v="380000"/>
    <n v="0"/>
    <n v="380000"/>
    <n v="36.53846153846154"/>
    <n v="25000"/>
    <n v="42"/>
    <x v="1430"/>
    <x v="5"/>
    <x v="1"/>
    <x v="0"/>
  </r>
  <r>
    <x v="109"/>
    <s v="ZTAN"/>
    <x v="8"/>
    <s v="SV2718"/>
    <s v="99626232"/>
    <s v="CERRILLOS"/>
    <x v="1223"/>
    <x v="1"/>
    <x v="1"/>
    <x v="9"/>
    <x v="1"/>
    <n v="2"/>
    <n v="40475"/>
    <n v="12000"/>
    <n v="52475"/>
    <n v="37.561558724159653"/>
    <n v="5782"/>
    <n v="24"/>
    <x v="1431"/>
    <x v="5"/>
    <x v="1"/>
    <x v="1"/>
  </r>
  <r>
    <x v="109"/>
    <s v="ZTAN"/>
    <x v="8"/>
    <s v="UA7248"/>
    <s v="154837728"/>
    <s v="SANTIAGO"/>
    <x v="1224"/>
    <x v="1"/>
    <x v="1"/>
    <x v="20"/>
    <x v="1"/>
    <n v="1"/>
    <n v="33750"/>
    <n v="12000"/>
    <n v="45750"/>
    <n v="29.322411936625134"/>
    <n v="4821"/>
    <n v="32"/>
    <x v="1432"/>
    <x v="5"/>
    <x v="1"/>
    <x v="1"/>
  </r>
  <r>
    <x v="110"/>
    <s v="ZPEP"/>
    <x v="3"/>
    <s v="HLBX77"/>
    <s v="16093509K"/>
    <s v="LAS CONDES"/>
    <x v="1225"/>
    <x v="1"/>
    <x v="1"/>
    <x v="3"/>
    <x v="1"/>
    <n v="4"/>
    <n v="88191"/>
    <n v="50394.8"/>
    <n v="138585.79999999999"/>
    <n v="11.000007937326865"/>
    <n v="8011"/>
    <n v="100"/>
    <x v="1433"/>
    <x v="5"/>
    <x v="1"/>
    <x v="1"/>
  </r>
  <r>
    <x v="110"/>
    <s v="ZPEP"/>
    <x v="3"/>
    <s v="RK5135"/>
    <s v="138841065"/>
    <s v="LAS CONDES"/>
    <x v="1225"/>
    <x v="3"/>
    <x v="1"/>
    <x v="3"/>
    <x v="1"/>
    <n v="4"/>
    <n v="138585.70000000001"/>
    <n v="0"/>
    <n v="138585.70000000001"/>
    <n v="11"/>
    <n v="8011"/>
    <n v="100"/>
    <x v="1434"/>
    <x v="5"/>
    <x v="1"/>
    <x v="1"/>
  </r>
  <r>
    <x v="110"/>
    <s v="ZPEP"/>
    <x v="1"/>
    <s v="SU9354"/>
    <s v="72564391"/>
    <s v="ISLA DE MAIPO"/>
    <x v="1226"/>
    <x v="2"/>
    <x v="1"/>
    <x v="1"/>
    <x v="1"/>
    <n v="5"/>
    <n v="90000"/>
    <n v="0"/>
    <n v="90000"/>
    <n v="16.984721299595389"/>
    <n v="12000"/>
    <n v="44"/>
    <x v="1435"/>
    <x v="5"/>
    <x v="1"/>
    <x v="1"/>
  </r>
  <r>
    <x v="110"/>
    <s v="ZTAN"/>
    <x v="3"/>
    <s v="DJLF85"/>
    <s v="53173292"/>
    <s v="LAS CONDES"/>
    <x v="173"/>
    <x v="4"/>
    <x v="1"/>
    <x v="3"/>
    <x v="1"/>
    <n v="4"/>
    <n v="96909.119999999995"/>
    <n v="0"/>
    <n v="96909.119999999995"/>
    <n v="11"/>
    <n v="8011"/>
    <n v="100"/>
    <x v="1436"/>
    <x v="5"/>
    <x v="1"/>
    <x v="1"/>
  </r>
  <r>
    <x v="110"/>
    <s v="ZTAN"/>
    <x v="3"/>
    <s v="SU9354"/>
    <s v="72564391"/>
    <s v="LAS CONDES"/>
    <x v="172"/>
    <x v="2"/>
    <x v="1"/>
    <x v="3"/>
    <x v="1"/>
    <n v="4"/>
    <n v="104984.88"/>
    <n v="0"/>
    <n v="104984.88"/>
    <n v="11"/>
    <n v="8011"/>
    <n v="100"/>
    <x v="1437"/>
    <x v="5"/>
    <x v="1"/>
    <x v="1"/>
  </r>
  <r>
    <x v="110"/>
    <s v="ZTAN"/>
    <x v="7"/>
    <s v="KKPF51"/>
    <s v="95707334"/>
    <s v="MELIPILLA"/>
    <x v="447"/>
    <x v="8"/>
    <x v="0"/>
    <x v="29"/>
    <x v="1"/>
    <n v="5"/>
    <n v="120000"/>
    <n v="4122"/>
    <n v="124122"/>
    <n v="90.336244541484717"/>
    <n v="12000"/>
    <n v="11"/>
    <x v="1438"/>
    <x v="5"/>
    <x v="1"/>
    <x v="1"/>
  </r>
  <r>
    <x v="110"/>
    <s v="ZTAN"/>
    <x v="7"/>
    <s v="KKPF51"/>
    <s v="95707734"/>
    <s v="CHILLAN"/>
    <x v="1227"/>
    <x v="8"/>
    <x v="0"/>
    <x v="21"/>
    <x v="5"/>
    <n v="0"/>
    <n v="350000"/>
    <n v="0"/>
    <n v="350000"/>
    <n v="51.361068310220858"/>
    <n v="25000"/>
    <n v="27"/>
    <x v="1439"/>
    <x v="5"/>
    <x v="1"/>
    <x v="0"/>
  </r>
  <r>
    <x v="110"/>
    <s v="ZTAN"/>
    <x v="7"/>
    <s v="KKPF51"/>
    <s v="95707734"/>
    <s v="MELIPILLA"/>
    <x v="1228"/>
    <x v="8"/>
    <x v="0"/>
    <x v="29"/>
    <x v="1"/>
    <n v="5"/>
    <n v="120000"/>
    <n v="19066"/>
    <n v="139066"/>
    <n v="21.881618408340639"/>
    <n v="12000"/>
    <n v="53"/>
    <x v="1440"/>
    <x v="5"/>
    <x v="1"/>
    <x v="1"/>
  </r>
  <r>
    <x v="110"/>
    <s v="ZTAN"/>
    <x v="7"/>
    <s v="SV2718"/>
    <s v="99626232"/>
    <s v="SAN MIGUEL"/>
    <x v="1229"/>
    <x v="1"/>
    <x v="1"/>
    <x v="23"/>
    <x v="1"/>
    <n v="2"/>
    <n v="49178"/>
    <n v="28102"/>
    <n v="77280"/>
    <n v="11.000085404389782"/>
    <n v="5782"/>
    <n v="100"/>
    <x v="1441"/>
    <x v="5"/>
    <x v="1"/>
    <x v="1"/>
  </r>
  <r>
    <x v="110"/>
    <s v="ZTAN"/>
    <x v="7"/>
    <s v="XR6339"/>
    <s v="78907355"/>
    <s v="TIL TIL"/>
    <x v="1068"/>
    <x v="1"/>
    <x v="1"/>
    <x v="70"/>
    <x v="1"/>
    <n v="5"/>
    <n v="90000"/>
    <n v="23806"/>
    <n v="113806"/>
    <n v="19.122559397788756"/>
    <n v="12000"/>
    <n v="50"/>
    <x v="1442"/>
    <x v="5"/>
    <x v="1"/>
    <x v="1"/>
  </r>
  <r>
    <x v="110"/>
    <s v="ZTAN"/>
    <x v="8"/>
    <s v="DP5738"/>
    <s v="35488103"/>
    <s v="ÑUÑOA"/>
    <x v="1230"/>
    <x v="7"/>
    <x v="1"/>
    <x v="15"/>
    <x v="1"/>
    <n v="4"/>
    <n v="55000"/>
    <n v="0"/>
    <n v="55000"/>
    <n v="23.371833116612695"/>
    <n v="8011"/>
    <n v="29"/>
    <x v="1443"/>
    <x v="5"/>
    <x v="1"/>
    <x v="1"/>
  </r>
  <r>
    <x v="110"/>
    <s v="ZTAN"/>
    <x v="8"/>
    <s v="PKYS74"/>
    <s v="6270439K"/>
    <s v="LA SERENA"/>
    <x v="1231"/>
    <x v="0"/>
    <x v="0"/>
    <x v="63"/>
    <x v="8"/>
    <n v="0"/>
    <n v="600000"/>
    <n v="0"/>
    <n v="600000"/>
    <n v="22.433890130023073"/>
    <n v="25000"/>
    <n v="100"/>
    <x v="1444"/>
    <x v="5"/>
    <x v="1"/>
    <x v="0"/>
  </r>
  <r>
    <x v="110"/>
    <s v="ZTAN"/>
    <x v="8"/>
    <s v="TP3884"/>
    <s v="154837728"/>
    <s v="PUDAHUEL"/>
    <x v="1232"/>
    <x v="1"/>
    <x v="1"/>
    <x v="10"/>
    <x v="1"/>
    <n v="1"/>
    <n v="33750"/>
    <n v="12000"/>
    <n v="45750"/>
    <n v="23.363770069861502"/>
    <n v="4821"/>
    <n v="41"/>
    <x v="1445"/>
    <x v="5"/>
    <x v="1"/>
    <x v="1"/>
  </r>
  <r>
    <x v="110"/>
    <s v="ZTAN"/>
    <x v="8"/>
    <s v="UA7248"/>
    <s v="99626232"/>
    <s v="LA REINA"/>
    <x v="1233"/>
    <x v="1"/>
    <x v="1"/>
    <x v="11"/>
    <x v="1"/>
    <n v="3"/>
    <n v="48075"/>
    <n v="12000"/>
    <n v="60075"/>
    <n v="32.533467637119834"/>
    <n v="6868"/>
    <n v="27"/>
    <x v="1446"/>
    <x v="5"/>
    <x v="1"/>
    <x v="1"/>
  </r>
  <r>
    <x v="111"/>
    <s v="ZPEP"/>
    <x v="3"/>
    <s v="HLBX77"/>
    <s v="16093509K"/>
    <s v="LAS CONDES"/>
    <x v="1234"/>
    <x v="1"/>
    <x v="1"/>
    <x v="3"/>
    <x v="1"/>
    <n v="4"/>
    <n v="83003"/>
    <n v="47430.400000000001"/>
    <n v="130433.4"/>
    <n v="10.999983133180407"/>
    <n v="8011"/>
    <n v="100"/>
    <x v="1447"/>
    <x v="5"/>
    <x v="1"/>
    <x v="1"/>
  </r>
  <r>
    <x v="111"/>
    <s v="ZPEP"/>
    <x v="33"/>
    <s v="DJLF85"/>
    <s v="53173292"/>
    <s v="SAN BERNARDO"/>
    <x v="1235"/>
    <x v="4"/>
    <x v="1"/>
    <x v="4"/>
    <x v="1"/>
    <n v="4"/>
    <n v="5396.91"/>
    <n v="0"/>
    <n v="5396.91"/>
    <n v="1.0020423660996935"/>
    <n v="8011"/>
    <n v="67"/>
    <x v="1448"/>
    <x v="5"/>
    <x v="1"/>
    <x v="1"/>
  </r>
  <r>
    <x v="111"/>
    <s v="ZPEP"/>
    <x v="33"/>
    <s v="XR6339"/>
    <s v="78907355"/>
    <s v="BUIN"/>
    <x v="1236"/>
    <x v="1"/>
    <x v="1"/>
    <x v="56"/>
    <x v="1"/>
    <n v="5"/>
    <n v="90000"/>
    <n v="20441.599999999999"/>
    <n v="110441.60000000001"/>
    <n v="21.611145898559801"/>
    <n v="12000"/>
    <n v="33"/>
    <x v="1449"/>
    <x v="5"/>
    <x v="1"/>
    <x v="1"/>
  </r>
  <r>
    <x v="111"/>
    <s v="ZTAN"/>
    <x v="3"/>
    <s v="HLBX77"/>
    <s v="16093509K"/>
    <s v="LAS CONDES"/>
    <x v="836"/>
    <x v="1"/>
    <x v="1"/>
    <x v="3"/>
    <x v="1"/>
    <n v="4"/>
    <n v="64050"/>
    <n v="36600"/>
    <n v="100650"/>
    <n v="11"/>
    <n v="8011"/>
    <n v="100"/>
    <x v="1450"/>
    <x v="5"/>
    <x v="1"/>
    <x v="1"/>
  </r>
  <r>
    <x v="111"/>
    <s v="ZTAN"/>
    <x v="3"/>
    <s v="SU9354"/>
    <s v="72564391"/>
    <s v="LAS CONDES"/>
    <x v="836"/>
    <x v="2"/>
    <x v="1"/>
    <x v="3"/>
    <x v="1"/>
    <n v="4"/>
    <n v="100650"/>
    <n v="0"/>
    <n v="100650"/>
    <n v="11"/>
    <n v="8011"/>
    <n v="100"/>
    <x v="1451"/>
    <x v="5"/>
    <x v="1"/>
    <x v="1"/>
  </r>
  <r>
    <x v="111"/>
    <s v="ZTAN"/>
    <x v="8"/>
    <s v="BDCH61"/>
    <s v="81417709"/>
    <s v="CERRILLOS"/>
    <x v="1237"/>
    <x v="1"/>
    <x v="1"/>
    <x v="9"/>
    <x v="1"/>
    <n v="2"/>
    <n v="40475"/>
    <n v="10741"/>
    <n v="51216"/>
    <n v="19.07315547213657"/>
    <n v="5782"/>
    <n v="46"/>
    <x v="1452"/>
    <x v="5"/>
    <x v="1"/>
    <x v="1"/>
  </r>
  <r>
    <x v="111"/>
    <s v="ZTAN"/>
    <x v="8"/>
    <s v="DP5738"/>
    <s v="35488103"/>
    <s v="QUILICURA"/>
    <x v="1238"/>
    <x v="7"/>
    <x v="1"/>
    <x v="8"/>
    <x v="1"/>
    <n v="1"/>
    <n v="33750"/>
    <n v="7652"/>
    <n v="41402"/>
    <n v="16.232259076295769"/>
    <n v="4821"/>
    <n v="53"/>
    <x v="1453"/>
    <x v="5"/>
    <x v="1"/>
    <x v="1"/>
  </r>
  <r>
    <x v="111"/>
    <s v="ZTAN"/>
    <x v="8"/>
    <s v="SV2718"/>
    <s v="78907355"/>
    <s v="EL BOSQUE"/>
    <x v="613"/>
    <x v="1"/>
    <x v="1"/>
    <x v="25"/>
    <x v="1"/>
    <n v="3"/>
    <n v="48075"/>
    <n v="12000"/>
    <n v="60075"/>
    <n v="35.32992237120677"/>
    <n v="6868"/>
    <n v="25"/>
    <x v="1454"/>
    <x v="5"/>
    <x v="1"/>
    <x v="1"/>
  </r>
  <r>
    <x v="111"/>
    <s v="ZTAN"/>
    <x v="8"/>
    <s v="TP3884"/>
    <s v="154837728"/>
    <s v="PUDAHUEL"/>
    <x v="1239"/>
    <x v="1"/>
    <x v="1"/>
    <x v="10"/>
    <x v="1"/>
    <n v="1"/>
    <n v="33750"/>
    <n v="14348"/>
    <n v="48098"/>
    <n v="13.408603049817405"/>
    <n v="4821"/>
    <n v="74"/>
    <x v="1455"/>
    <x v="5"/>
    <x v="1"/>
    <x v="1"/>
  </r>
  <r>
    <x v="111"/>
    <s v="ZTAN"/>
    <x v="8"/>
    <s v="UA7248"/>
    <s v="161268070"/>
    <s v="PUENTE ALTO"/>
    <x v="388"/>
    <x v="1"/>
    <x v="1"/>
    <x v="30"/>
    <x v="1"/>
    <n v="4"/>
    <n v="56075"/>
    <n v="12000"/>
    <n v="68075"/>
    <n v="34.464864317537462"/>
    <n v="8011"/>
    <n v="25"/>
    <x v="1456"/>
    <x v="5"/>
    <x v="1"/>
    <x v="1"/>
  </r>
  <r>
    <x v="112"/>
    <s v="ZPEP"/>
    <x v="11"/>
    <s v="PN4466"/>
    <n v="81417709"/>
    <s v="MACHALI"/>
    <x v="1240"/>
    <x v="1"/>
    <x v="0"/>
    <x v="43"/>
    <x v="6"/>
    <n v="0"/>
    <n v="230000"/>
    <n v="77802.92"/>
    <n v="307802.92"/>
    <n v="15.824748993996625"/>
    <n v="25000"/>
    <n v="78"/>
    <x v="1457"/>
    <x v="5"/>
    <x v="1"/>
    <x v="0"/>
  </r>
  <r>
    <x v="112"/>
    <s v="ZTAN"/>
    <x v="3"/>
    <s v="RK5135"/>
    <n v="138841065"/>
    <s v="LAS CONDES"/>
    <x v="807"/>
    <x v="3"/>
    <x v="1"/>
    <x v="3"/>
    <x v="1"/>
    <n v="4"/>
    <n v="169590.96000000002"/>
    <n v="0"/>
    <n v="169590.96000000002"/>
    <n v="11.000000000000002"/>
    <n v="8011"/>
    <n v="100"/>
    <x v="1458"/>
    <x v="5"/>
    <x v="1"/>
    <x v="1"/>
  </r>
  <r>
    <x v="112"/>
    <s v="ZTAN"/>
    <x v="8"/>
    <s v="BDCH61"/>
    <n v="161268070"/>
    <s v="REÑACA"/>
    <x v="1237"/>
    <x v="1"/>
    <x v="1"/>
    <x v="6"/>
    <x v="2"/>
    <n v="0"/>
    <n v="180000"/>
    <n v="0"/>
    <n v="180000"/>
    <n v="67.033114358493094"/>
    <n v="25000"/>
    <n v="11"/>
    <x v="1459"/>
    <x v="5"/>
    <x v="1"/>
    <x v="0"/>
  </r>
  <r>
    <x v="112"/>
    <s v="ZTAN"/>
    <x v="8"/>
    <s v="DP5738"/>
    <n v="35488103"/>
    <s v="QUILIN"/>
    <x v="613"/>
    <x v="7"/>
    <x v="1"/>
    <x v="34"/>
    <x v="1"/>
    <n v="4"/>
    <n v="56075"/>
    <n v="5101"/>
    <n v="61176"/>
    <n v="35.977417078334504"/>
    <n v="8011"/>
    <n v="21"/>
    <x v="1460"/>
    <x v="5"/>
    <x v="1"/>
    <x v="1"/>
  </r>
  <r>
    <x v="112"/>
    <s v="ZTAN"/>
    <x v="8"/>
    <s v="SV2718"/>
    <n v="81417709"/>
    <s v="LAS CONDES"/>
    <x v="1241"/>
    <x v="1"/>
    <x v="1"/>
    <x v="3"/>
    <x v="1"/>
    <n v="4"/>
    <n v="56075"/>
    <n v="9000"/>
    <n v="65075"/>
    <n v="28.922222222222221"/>
    <n v="8011"/>
    <n v="28"/>
    <x v="1461"/>
    <x v="5"/>
    <x v="1"/>
    <x v="1"/>
  </r>
  <r>
    <x v="112"/>
    <s v="ZTAN"/>
    <x v="8"/>
    <s v="TP3884"/>
    <n v="154837728"/>
    <s v="PUDAHUEL"/>
    <x v="1242"/>
    <x v="1"/>
    <x v="1"/>
    <x v="10"/>
    <x v="1"/>
    <n v="1"/>
    <n v="33750"/>
    <n v="15349"/>
    <n v="49099"/>
    <n v="12.795594681510897"/>
    <n v="4821"/>
    <n v="80"/>
    <x v="1462"/>
    <x v="5"/>
    <x v="1"/>
    <x v="1"/>
  </r>
  <r>
    <x v="112"/>
    <s v="ZTAN"/>
    <x v="8"/>
    <s v="UA7248"/>
    <n v="78907355"/>
    <s v="SAN BERNARDO"/>
    <x v="1243"/>
    <x v="1"/>
    <x v="1"/>
    <x v="4"/>
    <x v="1"/>
    <n v="4"/>
    <n v="56075"/>
    <n v="10021"/>
    <n v="66096"/>
    <n v="26.383101020261535"/>
    <n v="8011"/>
    <n v="31"/>
    <x v="1463"/>
    <x v="5"/>
    <x v="1"/>
    <x v="1"/>
  </r>
  <r>
    <x v="113"/>
    <s v="ZPEP"/>
    <x v="18"/>
    <s v="SU9354"/>
    <s v="72564391"/>
    <s v="CARTAGENA"/>
    <x v="1244"/>
    <x v="2"/>
    <x v="1"/>
    <x v="40"/>
    <x v="2"/>
    <n v="0"/>
    <n v="180000"/>
    <n v="0"/>
    <n v="180000"/>
    <n v="23.970468382952202"/>
    <n v="25000"/>
    <n v="30"/>
    <x v="1464"/>
    <x v="5"/>
    <x v="1"/>
    <x v="0"/>
  </r>
  <r>
    <x v="113"/>
    <s v="ZPEP"/>
    <x v="12"/>
    <s v="HLBX77"/>
    <s v="16093509K"/>
    <s v="VITACURA"/>
    <x v="1245"/>
    <x v="1"/>
    <x v="1"/>
    <x v="27"/>
    <x v="1"/>
    <n v="4"/>
    <n v="59276"/>
    <n v="33871.999999999993"/>
    <n v="93148"/>
    <n v="11.000000000000002"/>
    <n v="8011"/>
    <n v="100"/>
    <x v="1465"/>
    <x v="5"/>
    <x v="1"/>
    <x v="1"/>
  </r>
  <r>
    <x v="113"/>
    <s v="ZPEP"/>
    <x v="12"/>
    <s v="RK5135"/>
    <s v="138841065"/>
    <s v="VITACURA"/>
    <x v="1246"/>
    <x v="3"/>
    <x v="1"/>
    <x v="27"/>
    <x v="1"/>
    <n v="4"/>
    <n v="91872"/>
    <n v="0"/>
    <n v="91872"/>
    <n v="11"/>
    <n v="8011"/>
    <n v="100"/>
    <x v="1466"/>
    <x v="5"/>
    <x v="1"/>
    <x v="1"/>
  </r>
  <r>
    <x v="113"/>
    <s v="ZPEP"/>
    <x v="12"/>
    <s v="XR6339"/>
    <s v="78907355"/>
    <s v="VITACURA"/>
    <x v="1247"/>
    <x v="1"/>
    <x v="1"/>
    <x v="27"/>
    <x v="1"/>
    <n v="4"/>
    <n v="56075"/>
    <n v="18792"/>
    <n v="74867"/>
    <n v="15.93593018305662"/>
    <n v="8011"/>
    <n v="59"/>
    <x v="1467"/>
    <x v="5"/>
    <x v="1"/>
    <x v="1"/>
  </r>
  <r>
    <x v="113"/>
    <s v="ZPEP"/>
    <x v="33"/>
    <s v="DJLF85"/>
    <s v="53173292"/>
    <s v="BUIN"/>
    <x v="1248"/>
    <x v="4"/>
    <x v="1"/>
    <x v="56"/>
    <x v="1"/>
    <n v="5"/>
    <n v="90000"/>
    <n v="0"/>
    <n v="90000"/>
    <n v="10.602330156561074"/>
    <n v="12000"/>
    <n v="43"/>
    <x v="1468"/>
    <x v="5"/>
    <x v="1"/>
    <x v="1"/>
  </r>
  <r>
    <x v="113"/>
    <s v="ZPEP"/>
    <x v="33"/>
    <s v="TP3884"/>
    <s v="154837728"/>
    <s v="SAN BERNARDO"/>
    <x v="1249"/>
    <x v="1"/>
    <x v="1"/>
    <x v="4"/>
    <x v="1"/>
    <n v="4"/>
    <n v="56075"/>
    <n v="0"/>
    <n v="56075"/>
    <n v="26.454464824879214"/>
    <n v="8011"/>
    <n v="26"/>
    <x v="1469"/>
    <x v="5"/>
    <x v="1"/>
    <x v="1"/>
  </r>
  <r>
    <x v="113"/>
    <s v="ZTAN"/>
    <x v="10"/>
    <s v="BDCH61"/>
    <s v="81417709"/>
    <s v="QUILICURA"/>
    <x v="504"/>
    <x v="1"/>
    <x v="1"/>
    <x v="8"/>
    <x v="1"/>
    <n v="1"/>
    <n v="33750"/>
    <n v="12091"/>
    <n v="45841"/>
    <n v="15.165078734947725"/>
    <n v="4821"/>
    <n v="63"/>
    <x v="1470"/>
    <x v="5"/>
    <x v="1"/>
    <x v="1"/>
  </r>
  <r>
    <x v="113"/>
    <s v="ZTAN"/>
    <x v="10"/>
    <s v="DP5738"/>
    <s v="35488103"/>
    <s v="QUILICURA"/>
    <x v="1250"/>
    <x v="7"/>
    <x v="1"/>
    <x v="8"/>
    <x v="1"/>
    <n v="1"/>
    <n v="55000"/>
    <n v="0"/>
    <n v="55000"/>
    <n v="84.244707900621876"/>
    <n v="4821"/>
    <n v="14"/>
    <x v="1471"/>
    <x v="5"/>
    <x v="1"/>
    <x v="1"/>
  </r>
  <r>
    <x v="113"/>
    <s v="ZTAN"/>
    <x v="10"/>
    <s v="TP3884"/>
    <s v="154837728"/>
    <s v="QUILICURA"/>
    <x v="1251"/>
    <x v="1"/>
    <x v="1"/>
    <x v="8"/>
    <x v="1"/>
    <n v="1"/>
    <n v="33750"/>
    <n v="12000"/>
    <n v="45750"/>
    <n v="15.730082105871189"/>
    <n v="4821"/>
    <n v="60"/>
    <x v="1472"/>
    <x v="5"/>
    <x v="1"/>
    <x v="1"/>
  </r>
  <r>
    <x v="113"/>
    <s v="ZTAN"/>
    <x v="7"/>
    <s v="KKPF51"/>
    <s v="95707734"/>
    <s v="CHILLAN"/>
    <x v="419"/>
    <x v="8"/>
    <x v="0"/>
    <x v="21"/>
    <x v="5"/>
    <n v="0"/>
    <n v="350000"/>
    <n v="0"/>
    <n v="350000"/>
    <n v="42.455118874332832"/>
    <n v="25000"/>
    <n v="33"/>
    <x v="1473"/>
    <x v="5"/>
    <x v="1"/>
    <x v="0"/>
  </r>
  <r>
    <x v="113"/>
    <s v="ZTAN"/>
    <x v="8"/>
    <s v="SV2718"/>
    <s v="81417709"/>
    <s v="LAS CONDES"/>
    <x v="1252"/>
    <x v="1"/>
    <x v="1"/>
    <x v="3"/>
    <x v="1"/>
    <n v="4"/>
    <n v="56075"/>
    <n v="12000"/>
    <n v="68075"/>
    <n v="51.280602636534837"/>
    <n v="8011"/>
    <n v="17"/>
    <x v="1474"/>
    <x v="5"/>
    <x v="1"/>
    <x v="1"/>
  </r>
  <r>
    <x v="113"/>
    <s v="ZTAN"/>
    <x v="8"/>
    <s v="UA7248"/>
    <s v="78907355"/>
    <s v="LA REINA"/>
    <x v="1253"/>
    <x v="1"/>
    <x v="1"/>
    <x v="11"/>
    <x v="1"/>
    <n v="3"/>
    <n v="48075"/>
    <n v="12000"/>
    <n v="60075"/>
    <n v="31.823093792708896"/>
    <n v="6868"/>
    <n v="27"/>
    <x v="1475"/>
    <x v="5"/>
    <x v="1"/>
    <x v="1"/>
  </r>
  <r>
    <x v="114"/>
    <s v="ZNL"/>
    <x v="0"/>
    <s v="KKPX70"/>
    <s v="119615755"/>
    <s v="TALCAHUANO"/>
    <x v="1254"/>
    <x v="0"/>
    <x v="0"/>
    <x v="0"/>
    <x v="0"/>
    <n v="0"/>
    <n v="380000"/>
    <n v="0"/>
    <n v="380000"/>
    <n v="19.256106212627952"/>
    <n v="25000"/>
    <n v="79"/>
    <x v="1476"/>
    <x v="5"/>
    <x v="1"/>
    <x v="0"/>
  </r>
  <r>
    <x v="114"/>
    <s v="ZPEP"/>
    <x v="1"/>
    <s v="RK5135"/>
    <s v="138841065"/>
    <s v="ISLA DE MAIPO"/>
    <x v="1255"/>
    <x v="3"/>
    <x v="1"/>
    <x v="1"/>
    <x v="1"/>
    <n v="5"/>
    <n v="121680.01999999999"/>
    <n v="0"/>
    <n v="121680.01999999999"/>
    <n v="11"/>
    <n v="12000"/>
    <n v="92"/>
    <x v="1477"/>
    <x v="5"/>
    <x v="1"/>
    <x v="1"/>
  </r>
  <r>
    <x v="114"/>
    <s v="ZPEP"/>
    <x v="5"/>
    <s v="XR6339"/>
    <s v="78907355"/>
    <s v="BUIN"/>
    <x v="1256"/>
    <x v="1"/>
    <x v="1"/>
    <x v="56"/>
    <x v="1"/>
    <n v="5"/>
    <n v="90000"/>
    <n v="29169.279999999999"/>
    <n v="119169.28"/>
    <n v="16.341751321938698"/>
    <n v="12000"/>
    <n v="61"/>
    <x v="1478"/>
    <x v="5"/>
    <x v="1"/>
    <x v="1"/>
  </r>
  <r>
    <x v="114"/>
    <s v="ZPEP"/>
    <x v="33"/>
    <s v="HLBX77"/>
    <s v="16093509K"/>
    <s v="BUIN"/>
    <x v="1257"/>
    <x v="1"/>
    <x v="1"/>
    <x v="56"/>
    <x v="1"/>
    <n v="5"/>
    <n v="90000"/>
    <n v="19951.48"/>
    <n v="109951.48"/>
    <n v="22.04377419619998"/>
    <n v="12000"/>
    <n v="42"/>
    <x v="1479"/>
    <x v="5"/>
    <x v="1"/>
    <x v="1"/>
  </r>
  <r>
    <x v="114"/>
    <s v="ZPEP"/>
    <x v="33"/>
    <s v="SU9354"/>
    <s v="72564391"/>
    <s v="BUIN"/>
    <x v="1258"/>
    <x v="2"/>
    <x v="1"/>
    <x v="56"/>
    <x v="1"/>
    <n v="5"/>
    <n v="89163.25"/>
    <n v="0"/>
    <n v="89163.25"/>
    <n v="11"/>
    <n v="12000"/>
    <n v="68"/>
    <x v="1480"/>
    <x v="5"/>
    <x v="1"/>
    <x v="1"/>
  </r>
  <r>
    <x v="114"/>
    <s v="ZTAN"/>
    <x v="10"/>
    <s v="DP5738"/>
    <s v="35488103"/>
    <s v="QUILICURA"/>
    <x v="447"/>
    <x v="7"/>
    <x v="1"/>
    <x v="8"/>
    <x v="1"/>
    <n v="1"/>
    <n v="55000"/>
    <n v="0"/>
    <n v="55000"/>
    <n v="40.02911208151383"/>
    <n v="4821"/>
    <n v="29"/>
    <x v="1481"/>
    <x v="5"/>
    <x v="1"/>
    <x v="1"/>
  </r>
  <r>
    <x v="114"/>
    <s v="ZTAN"/>
    <x v="43"/>
    <s v="DJLF85"/>
    <s v="53173292"/>
    <s v="MELIPILLA"/>
    <x v="1259"/>
    <x v="4"/>
    <x v="1"/>
    <x v="29"/>
    <x v="1"/>
    <n v="5"/>
    <n v="90000"/>
    <n v="0"/>
    <n v="90000"/>
    <n v="28.677946659019206"/>
    <n v="12000"/>
    <n v="26"/>
    <x v="1482"/>
    <x v="5"/>
    <x v="1"/>
    <x v="1"/>
  </r>
  <r>
    <x v="114"/>
    <s v="ZTAN"/>
    <x v="7"/>
    <s v="WG4022"/>
    <s v="81417709"/>
    <s v="RANCAGUA"/>
    <x v="419"/>
    <x v="1"/>
    <x v="0"/>
    <x v="28"/>
    <x v="6"/>
    <n v="0"/>
    <n v="230000"/>
    <n v="32976.000000000015"/>
    <n v="262976"/>
    <n v="31.899078117418714"/>
    <n v="25000"/>
    <n v="33"/>
    <x v="1483"/>
    <x v="5"/>
    <x v="1"/>
    <x v="0"/>
  </r>
  <r>
    <x v="114"/>
    <s v="ZTAN"/>
    <x v="8"/>
    <s v="BDCH61"/>
    <s v="78907355"/>
    <s v="QUILICURA"/>
    <x v="1260"/>
    <x v="1"/>
    <x v="1"/>
    <x v="8"/>
    <x v="1"/>
    <n v="1"/>
    <n v="33750"/>
    <n v="12000"/>
    <n v="45750"/>
    <n v="28.55270548586407"/>
    <n v="4821"/>
    <n v="33"/>
    <x v="1484"/>
    <x v="5"/>
    <x v="1"/>
    <x v="1"/>
  </r>
  <r>
    <x v="114"/>
    <s v="ZTAN"/>
    <x v="8"/>
    <s v="DP5738"/>
    <s v="35488103"/>
    <s v="SAN MIGUEL"/>
    <x v="1261"/>
    <x v="7"/>
    <x v="1"/>
    <x v="23"/>
    <x v="1"/>
    <n v="2"/>
    <n v="55000"/>
    <n v="0"/>
    <n v="55000"/>
    <n v="32.930976672893614"/>
    <n v="5782"/>
    <n v="29"/>
    <x v="1485"/>
    <x v="5"/>
    <x v="1"/>
    <x v="1"/>
  </r>
  <r>
    <x v="114"/>
    <s v="ZTAN"/>
    <x v="8"/>
    <s v="SV2718"/>
    <s v="99626232"/>
    <s v="PUENTE ALTO"/>
    <x v="1262"/>
    <x v="1"/>
    <x v="1"/>
    <x v="30"/>
    <x v="1"/>
    <n v="4"/>
    <n v="56075"/>
    <n v="12000"/>
    <n v="68075"/>
    <n v="25.001285413131779"/>
    <n v="8011"/>
    <n v="34"/>
    <x v="1486"/>
    <x v="5"/>
    <x v="1"/>
    <x v="1"/>
  </r>
  <r>
    <x v="114"/>
    <s v="ZTAN"/>
    <x v="8"/>
    <s v="TP3884"/>
    <s v="154837728"/>
    <s v="LA FLORIDA"/>
    <x v="1263"/>
    <x v="1"/>
    <x v="1"/>
    <x v="33"/>
    <x v="1"/>
    <n v="3"/>
    <n v="48075"/>
    <n v="12000"/>
    <n v="60075"/>
    <n v="27.779319146574924"/>
    <n v="6868"/>
    <n v="31"/>
    <x v="1487"/>
    <x v="5"/>
    <x v="1"/>
    <x v="1"/>
  </r>
  <r>
    <x v="114"/>
    <s v="ZTAN"/>
    <x v="8"/>
    <s v="UA7248"/>
    <s v="107643206"/>
    <s v="MAIPU"/>
    <x v="1261"/>
    <x v="1"/>
    <x v="1"/>
    <x v="2"/>
    <x v="1"/>
    <n v="2"/>
    <n v="40475"/>
    <n v="12000"/>
    <n v="52475"/>
    <n v="31.419145471092587"/>
    <n v="5782"/>
    <n v="29"/>
    <x v="1488"/>
    <x v="5"/>
    <x v="1"/>
    <x v="1"/>
  </r>
  <r>
    <x v="115"/>
    <s v="ZPEP"/>
    <x v="17"/>
    <s v="HLBX77"/>
    <s v="16093509K"/>
    <s v="LO BARNECHEA"/>
    <x v="1264"/>
    <x v="1"/>
    <x v="1"/>
    <x v="41"/>
    <x v="1"/>
    <n v="4"/>
    <n v="61404"/>
    <n v="35088"/>
    <n v="96492"/>
    <n v="11"/>
    <n v="8011"/>
    <n v="100"/>
    <x v="1489"/>
    <x v="5"/>
    <x v="1"/>
    <x v="1"/>
  </r>
  <r>
    <x v="115"/>
    <s v="ZPEP"/>
    <x v="1"/>
    <s v="RK5135"/>
    <s v="138841065"/>
    <s v="ISLA DE MAIPO"/>
    <x v="1265"/>
    <x v="3"/>
    <x v="1"/>
    <x v="1"/>
    <x v="1"/>
    <n v="5"/>
    <n v="116722.43"/>
    <n v="0"/>
    <n v="116722.43"/>
    <n v="11"/>
    <n v="12000"/>
    <n v="88"/>
    <x v="1490"/>
    <x v="5"/>
    <x v="1"/>
    <x v="1"/>
  </r>
  <r>
    <x v="115"/>
    <s v="ZPEP"/>
    <x v="1"/>
    <s v="WG4022"/>
    <s v="81417709"/>
    <s v="ISLA DE MAIPO"/>
    <x v="1266"/>
    <x v="1"/>
    <x v="0"/>
    <x v="1"/>
    <x v="1"/>
    <n v="5"/>
    <n v="120000"/>
    <n v="31440.639999999996"/>
    <n v="151440.63999999998"/>
    <n v="19.266864796645361"/>
    <n v="12000"/>
    <n v="66"/>
    <x v="1491"/>
    <x v="5"/>
    <x v="1"/>
    <x v="1"/>
  </r>
  <r>
    <x v="115"/>
    <s v="ZPEP"/>
    <x v="37"/>
    <s v="DJLF85"/>
    <s v="53173292"/>
    <s v="PROVIDENCIA"/>
    <x v="1267"/>
    <x v="4"/>
    <x v="1"/>
    <x v="54"/>
    <x v="1"/>
    <n v="2"/>
    <n v="55000"/>
    <n v="0"/>
    <n v="55000"/>
    <n v="14.777676573083671"/>
    <n v="5782"/>
    <n v="64"/>
    <x v="1492"/>
    <x v="5"/>
    <x v="1"/>
    <x v="1"/>
  </r>
  <r>
    <x v="115"/>
    <s v="ZTAN"/>
    <x v="7"/>
    <s v="PN4466"/>
    <s v="81417709"/>
    <s v="RANCAGUA"/>
    <x v="1268"/>
    <x v="1"/>
    <x v="0"/>
    <x v="28"/>
    <x v="6"/>
    <n v="0"/>
    <n v="230000"/>
    <n v="43496.160000000003"/>
    <n v="273496.16000000003"/>
    <n v="25.151292435929978"/>
    <n v="25000"/>
    <n v="43"/>
    <x v="1493"/>
    <x v="5"/>
    <x v="1"/>
    <x v="0"/>
  </r>
  <r>
    <x v="115"/>
    <s v="ZTAN"/>
    <x v="7"/>
    <s v="XR6339"/>
    <s v="78907355"/>
    <s v="MELIPILLA"/>
    <x v="1269"/>
    <x v="1"/>
    <x v="1"/>
    <x v="29"/>
    <x v="1"/>
    <n v="5"/>
    <n v="90000"/>
    <n v="13276"/>
    <n v="103276"/>
    <n v="31.116976402246479"/>
    <n v="12000"/>
    <n v="28"/>
    <x v="1494"/>
    <x v="5"/>
    <x v="1"/>
    <x v="1"/>
  </r>
  <r>
    <x v="116"/>
    <s v="ZPEP"/>
    <x v="1"/>
    <s v="HLBX77"/>
    <s v="16093509K"/>
    <s v="ISLA DE MAIPO"/>
    <x v="1270"/>
    <x v="1"/>
    <x v="1"/>
    <x v="1"/>
    <x v="1"/>
    <n v="5"/>
    <n v="90000"/>
    <n v="42822.84"/>
    <n v="132822.84"/>
    <n v="12.406728745688049"/>
    <n v="12000"/>
    <n v="89"/>
    <x v="1495"/>
    <x v="5"/>
    <x v="1"/>
    <x v="1"/>
  </r>
  <r>
    <x v="116"/>
    <s v="ZPEP"/>
    <x v="1"/>
    <s v="WG4022"/>
    <s v="81417709"/>
    <s v="ISLA DE MAIPO"/>
    <x v="1271"/>
    <x v="1"/>
    <x v="0"/>
    <x v="1"/>
    <x v="1"/>
    <n v="5"/>
    <n v="90000"/>
    <n v="12000"/>
    <n v="102000"/>
    <n v="65.736050423417495"/>
    <n v="12000"/>
    <n v="13"/>
    <x v="1496"/>
    <x v="5"/>
    <x v="1"/>
    <x v="1"/>
  </r>
  <r>
    <x v="116"/>
    <s v="ZPEP"/>
    <x v="11"/>
    <s v="WG4022"/>
    <s v="81417709"/>
    <s v="MACHALI"/>
    <x v="1272"/>
    <x v="1"/>
    <x v="0"/>
    <x v="43"/>
    <x v="6"/>
    <n v="0"/>
    <n v="230000"/>
    <n v="0"/>
    <n v="230000"/>
    <n v="21.025130515783015"/>
    <n v="25000"/>
    <n v="44"/>
    <x v="1497"/>
    <x v="5"/>
    <x v="1"/>
    <x v="0"/>
  </r>
  <r>
    <x v="116"/>
    <s v="ZPEP"/>
    <x v="33"/>
    <s v="SU9354"/>
    <s v="72564391"/>
    <s v="SAN BERNARDO"/>
    <x v="1273"/>
    <x v="2"/>
    <x v="1"/>
    <x v="4"/>
    <x v="1"/>
    <n v="4"/>
    <n v="55000"/>
    <n v="0"/>
    <n v="55000"/>
    <n v="13.439480796203712"/>
    <n v="8011"/>
    <n v="51"/>
    <x v="1498"/>
    <x v="5"/>
    <x v="1"/>
    <x v="1"/>
  </r>
  <r>
    <x v="116"/>
    <s v="ZTAN"/>
    <x v="7"/>
    <s v="BDCH61"/>
    <s v="99626232"/>
    <s v="SAN MIGUEL"/>
    <x v="1274"/>
    <x v="1"/>
    <x v="1"/>
    <x v="23"/>
    <x v="1"/>
    <n v="2"/>
    <n v="55524"/>
    <n v="31728"/>
    <n v="87252"/>
    <n v="10.999999999999996"/>
    <n v="5782"/>
    <n v="100"/>
    <x v="1499"/>
    <x v="5"/>
    <x v="1"/>
    <x v="1"/>
  </r>
  <r>
    <x v="116"/>
    <s v="ZTAN"/>
    <x v="7"/>
    <s v="UA7248"/>
    <s v="154837728"/>
    <s v="SAN MIGUEL"/>
    <x v="1275"/>
    <x v="1"/>
    <x v="1"/>
    <x v="23"/>
    <x v="1"/>
    <n v="2"/>
    <n v="60657"/>
    <n v="34661"/>
    <n v="95318"/>
    <n v="10.999901908174508"/>
    <n v="5782"/>
    <n v="100"/>
    <x v="1500"/>
    <x v="5"/>
    <x v="1"/>
    <x v="1"/>
  </r>
  <r>
    <x v="117"/>
    <s v="ZPEP"/>
    <x v="17"/>
    <s v="XR6339"/>
    <s v="78907355"/>
    <s v="LO BARNECHEA"/>
    <x v="1276"/>
    <x v="1"/>
    <x v="1"/>
    <x v="41"/>
    <x v="1"/>
    <n v="4"/>
    <n v="56075"/>
    <n v="29240"/>
    <n v="85315"/>
    <n v="11.670998632010944"/>
    <n v="8011"/>
    <n v="91"/>
    <x v="1501"/>
    <x v="5"/>
    <x v="1"/>
    <x v="1"/>
  </r>
  <r>
    <x v="117"/>
    <s v="ZPEP"/>
    <x v="1"/>
    <s v="RK5135"/>
    <s v="138841065"/>
    <s v="ISLA DE MAIPO"/>
    <x v="1277"/>
    <x v="3"/>
    <x v="1"/>
    <x v="1"/>
    <x v="1"/>
    <n v="5"/>
    <n v="112167.65999999999"/>
    <n v="0"/>
    <n v="112167.65999999999"/>
    <n v="11"/>
    <n v="12000"/>
    <n v="85"/>
    <x v="1502"/>
    <x v="5"/>
    <x v="1"/>
    <x v="1"/>
  </r>
  <r>
    <x v="117"/>
    <s v="ZTAN"/>
    <x v="10"/>
    <s v="HLBX77"/>
    <s v="16093509K"/>
    <s v="QUILICURA"/>
    <x v="199"/>
    <x v="1"/>
    <x v="1"/>
    <x v="8"/>
    <x v="1"/>
    <n v="1"/>
    <n v="71417"/>
    <n v="40810"/>
    <n v="112227"/>
    <n v="11.000058809691838"/>
    <n v="4821"/>
    <n v="100"/>
    <x v="1503"/>
    <x v="5"/>
    <x v="1"/>
    <x v="1"/>
  </r>
  <r>
    <x v="117"/>
    <s v="ZTAN"/>
    <x v="44"/>
    <s v="XR6339"/>
    <s v="81417709"/>
    <s v="LAS CONDES"/>
    <x v="199"/>
    <x v="1"/>
    <x v="1"/>
    <x v="3"/>
    <x v="1"/>
    <n v="4"/>
    <n v="71417"/>
    <n v="40809.599999999999"/>
    <n v="112226.6"/>
    <n v="11.000019603230614"/>
    <n v="8011"/>
    <n v="100"/>
    <x v="1504"/>
    <x v="5"/>
    <x v="1"/>
    <x v="1"/>
  </r>
  <r>
    <x v="117"/>
    <s v="ZTAN"/>
    <x v="7"/>
    <s v="CJFZ67"/>
    <s v="115812335"/>
    <s v="CHILLAN"/>
    <x v="1278"/>
    <x v="5"/>
    <x v="0"/>
    <x v="21"/>
    <x v="5"/>
    <n v="0"/>
    <n v="350000"/>
    <n v="0"/>
    <n v="350000"/>
    <n v="26.125641944344938"/>
    <n v="25000"/>
    <n v="54"/>
    <x v="1505"/>
    <x v="5"/>
    <x v="1"/>
    <x v="0"/>
  </r>
  <r>
    <x v="117"/>
    <s v="ZTAN"/>
    <x v="7"/>
    <s v="DJLF85"/>
    <s v="53173292"/>
    <s v="MELIPILLA"/>
    <x v="1279"/>
    <x v="4"/>
    <x v="1"/>
    <x v="29"/>
    <x v="1"/>
    <n v="5"/>
    <n v="90000"/>
    <n v="0"/>
    <n v="90000"/>
    <n v="13.739618954567659"/>
    <n v="12000"/>
    <n v="55"/>
    <x v="1506"/>
    <x v="5"/>
    <x v="1"/>
    <x v="1"/>
  </r>
  <r>
    <x v="117"/>
    <s v="ZTAN"/>
    <x v="7"/>
    <s v="DP5738"/>
    <s v="35488103"/>
    <s v="SAN MIGUEL"/>
    <x v="1280"/>
    <x v="7"/>
    <x v="1"/>
    <x v="23"/>
    <x v="1"/>
    <n v="2"/>
    <n v="62867.09"/>
    <n v="0"/>
    <n v="62867.09"/>
    <n v="11"/>
    <n v="5782"/>
    <n v="99"/>
    <x v="1507"/>
    <x v="5"/>
    <x v="1"/>
    <x v="1"/>
  </r>
  <r>
    <x v="117"/>
    <s v="ZTAN"/>
    <x v="7"/>
    <s v="TW7053"/>
    <s v="172861164"/>
    <s v="RANCAGUA"/>
    <x v="1281"/>
    <x v="6"/>
    <x v="1"/>
    <x v="28"/>
    <x v="6"/>
    <n v="0"/>
    <n v="180000"/>
    <n v="0"/>
    <n v="180000"/>
    <n v="17.416849059780432"/>
    <n v="25000"/>
    <n v="41"/>
    <x v="1508"/>
    <x v="5"/>
    <x v="1"/>
    <x v="0"/>
  </r>
  <r>
    <x v="117"/>
    <s v="ZTAN"/>
    <x v="7"/>
    <s v="UA7248"/>
    <s v="81417709"/>
    <s v="SAN MIGUEL"/>
    <x v="1282"/>
    <x v="1"/>
    <x v="1"/>
    <x v="23"/>
    <x v="1"/>
    <n v="2"/>
    <n v="50996"/>
    <n v="29141"/>
    <n v="80137"/>
    <n v="10.999972547081757"/>
    <n v="5782"/>
    <n v="100"/>
    <x v="1509"/>
    <x v="5"/>
    <x v="1"/>
    <x v="1"/>
  </r>
  <r>
    <x v="117"/>
    <s v="ZTAN"/>
    <x v="7"/>
    <s v="VE9862"/>
    <s v="98494073"/>
    <s v="CHILLAN"/>
    <x v="1283"/>
    <x v="5"/>
    <x v="0"/>
    <x v="21"/>
    <x v="5"/>
    <n v="0"/>
    <n v="350000"/>
    <n v="0"/>
    <n v="350000"/>
    <n v="20.772499584550022"/>
    <n v="25000"/>
    <n v="67"/>
    <x v="1510"/>
    <x v="5"/>
    <x v="1"/>
    <x v="0"/>
  </r>
  <r>
    <x v="117"/>
    <s v="ZTAN"/>
    <x v="8"/>
    <s v="BDCH61"/>
    <s v="99626232"/>
    <s v="PUDAHUEL"/>
    <x v="1284"/>
    <x v="1"/>
    <x v="1"/>
    <x v="10"/>
    <x v="1"/>
    <n v="1"/>
    <n v="33750"/>
    <n v="15600"/>
    <n v="49350"/>
    <n v="12.653846153846152"/>
    <n v="4821"/>
    <n v="81"/>
    <x v="1511"/>
    <x v="5"/>
    <x v="1"/>
    <x v="1"/>
  </r>
  <r>
    <x v="117"/>
    <s v="ZTAN"/>
    <x v="8"/>
    <s v="SV2718"/>
    <s v="81417709"/>
    <s v="SAN BERNARDO"/>
    <x v="925"/>
    <x v="1"/>
    <x v="1"/>
    <x v="4"/>
    <x v="1"/>
    <n v="4"/>
    <n v="56075"/>
    <n v="12302"/>
    <n v="68377"/>
    <n v="22.232084796462473"/>
    <n v="8011"/>
    <n v="38"/>
    <x v="1512"/>
    <x v="5"/>
    <x v="1"/>
    <x v="1"/>
  </r>
  <r>
    <x v="117"/>
    <s v="ZTAN"/>
    <x v="8"/>
    <s v="TP3884"/>
    <s v="154837728"/>
    <s v="REÑACA"/>
    <x v="1285"/>
    <x v="1"/>
    <x v="1"/>
    <x v="6"/>
    <x v="2"/>
    <n v="0"/>
    <n v="180000"/>
    <n v="24604.799999999999"/>
    <n v="204604.79999999999"/>
    <n v="33.262582910651581"/>
    <n v="25000"/>
    <n v="25"/>
    <x v="1513"/>
    <x v="5"/>
    <x v="1"/>
    <x v="0"/>
  </r>
  <r>
    <x v="118"/>
    <s v="ZPEP"/>
    <x v="34"/>
    <s v="SU9354"/>
    <s v="72564391"/>
    <s v="QUINTA NORMAL"/>
    <x v="1286"/>
    <x v="2"/>
    <x v="1"/>
    <x v="62"/>
    <x v="1"/>
    <n v="1"/>
    <n v="55000"/>
    <n v="0"/>
    <n v="55000"/>
    <n v="11.458333333333334"/>
    <n v="4821"/>
    <n v="100"/>
    <x v="1514"/>
    <x v="5"/>
    <x v="1"/>
    <x v="1"/>
  </r>
  <r>
    <x v="118"/>
    <s v="ZPEP"/>
    <x v="1"/>
    <s v="PN4466"/>
    <s v="81417709"/>
    <s v="ISLA DE MAIPO"/>
    <x v="1287"/>
    <x v="1"/>
    <x v="0"/>
    <x v="1"/>
    <x v="1"/>
    <n v="5"/>
    <n v="120000"/>
    <n v="65917.51999999996"/>
    <n v="185917.51999999996"/>
    <n v="11.281827350300805"/>
    <n v="12000"/>
    <n v="100"/>
    <x v="1515"/>
    <x v="5"/>
    <x v="1"/>
    <x v="1"/>
  </r>
  <r>
    <x v="118"/>
    <s v="ZPEP"/>
    <x v="27"/>
    <s v="PKYS74"/>
    <s v="6270439K"/>
    <s v="SAN PEDRO DE LA PAZ"/>
    <x v="1288"/>
    <x v="0"/>
    <x v="0"/>
    <x v="47"/>
    <x v="0"/>
    <n v="0"/>
    <n v="400000"/>
    <n v="0"/>
    <n v="400000"/>
    <n v="46.886282011609048"/>
    <n v="25000"/>
    <n v="34"/>
    <x v="1516"/>
    <x v="5"/>
    <x v="1"/>
    <x v="0"/>
  </r>
  <r>
    <x v="118"/>
    <s v="ZPEP"/>
    <x v="52"/>
    <s v="BWPL69"/>
    <s v="78551976"/>
    <s v="PUERTO MONTT"/>
    <x v="1289"/>
    <x v="5"/>
    <x v="0"/>
    <x v="53"/>
    <x v="10"/>
    <n v="0"/>
    <n v="1020000"/>
    <n v="0"/>
    <n v="1020000"/>
    <n v="44.651065059228323"/>
    <n v="25000"/>
    <n v="91"/>
    <x v="1517"/>
    <x v="5"/>
    <x v="1"/>
    <x v="0"/>
  </r>
  <r>
    <x v="118"/>
    <s v="ZPEP"/>
    <x v="33"/>
    <s v="RK5135"/>
    <s v="138841065"/>
    <s v="SAN BERNARDO"/>
    <x v="1290"/>
    <x v="3"/>
    <x v="1"/>
    <x v="4"/>
    <x v="1"/>
    <n v="4"/>
    <n v="55000"/>
    <n v="0"/>
    <n v="55000"/>
    <n v="20.635266044857314"/>
    <n v="8011"/>
    <n v="33"/>
    <x v="1518"/>
    <x v="5"/>
    <x v="1"/>
    <x v="1"/>
  </r>
  <r>
    <x v="118"/>
    <s v="ZTAN"/>
    <x v="21"/>
    <s v="DJLF85"/>
    <s v="53173292"/>
    <s v="LA REINA"/>
    <x v="227"/>
    <x v="4"/>
    <x v="1"/>
    <x v="11"/>
    <x v="1"/>
    <n v="3"/>
    <n v="130930.79999999999"/>
    <n v="0"/>
    <n v="130930.79999999999"/>
    <n v="11"/>
    <n v="6868"/>
    <n v="100"/>
    <x v="1519"/>
    <x v="5"/>
    <x v="1"/>
    <x v="1"/>
  </r>
  <r>
    <x v="118"/>
    <s v="ZTAN"/>
    <x v="47"/>
    <s v="XR6339"/>
    <s v="78907355"/>
    <s v="SAN JOAQUIN"/>
    <x v="1291"/>
    <x v="1"/>
    <x v="1"/>
    <x v="67"/>
    <x v="1"/>
    <n v="3"/>
    <n v="48075"/>
    <n v="12000"/>
    <n v="60075"/>
    <n v="21.197953422724066"/>
    <n v="6868"/>
    <n v="41"/>
    <x v="1520"/>
    <x v="5"/>
    <x v="1"/>
    <x v="1"/>
  </r>
  <r>
    <x v="118"/>
    <s v="ZTAN"/>
    <x v="7"/>
    <s v="DP5738"/>
    <s v="35488103"/>
    <s v="SANTIAGO"/>
    <x v="1292"/>
    <x v="7"/>
    <x v="1"/>
    <x v="20"/>
    <x v="1"/>
    <n v="1"/>
    <n v="86087.870000000024"/>
    <n v="0"/>
    <n v="86087.870000000024"/>
    <n v="11"/>
    <n v="4821"/>
    <n v="100"/>
    <x v="1521"/>
    <x v="5"/>
    <x v="1"/>
    <x v="1"/>
  </r>
  <r>
    <x v="118"/>
    <s v="ZTAN"/>
    <x v="7"/>
    <s v="HLBX77"/>
    <s v="16093509K"/>
    <s v="MELIPILLA"/>
    <x v="1293"/>
    <x v="1"/>
    <x v="1"/>
    <x v="29"/>
    <x v="1"/>
    <n v="5"/>
    <n v="90000"/>
    <n v="19958"/>
    <n v="109958"/>
    <n v="22.037437870771203"/>
    <n v="12000"/>
    <n v="42"/>
    <x v="1522"/>
    <x v="5"/>
    <x v="1"/>
    <x v="1"/>
  </r>
  <r>
    <x v="118"/>
    <s v="ZTAN"/>
    <x v="7"/>
    <s v="KKPF51"/>
    <s v="95707734"/>
    <s v="RANCAGUA"/>
    <x v="315"/>
    <x v="8"/>
    <x v="0"/>
    <x v="28"/>
    <x v="6"/>
    <n v="0"/>
    <n v="230000"/>
    <n v="0"/>
    <n v="230000"/>
    <n v="24.200336700336678"/>
    <n v="25000"/>
    <n v="38"/>
    <x v="1523"/>
    <x v="5"/>
    <x v="1"/>
    <x v="0"/>
  </r>
  <r>
    <x v="118"/>
    <s v="ZTAN"/>
    <x v="8"/>
    <s v="BDCH61"/>
    <s v="99626232"/>
    <s v="CERRILLOS"/>
    <x v="695"/>
    <x v="1"/>
    <x v="1"/>
    <x v="9"/>
    <x v="1"/>
    <n v="2"/>
    <n v="40475"/>
    <n v="12000"/>
    <n v="52475"/>
    <n v="21.414871041462618"/>
    <n v="5782"/>
    <n v="42"/>
    <x v="1524"/>
    <x v="5"/>
    <x v="1"/>
    <x v="1"/>
  </r>
  <r>
    <x v="118"/>
    <s v="ZTAN"/>
    <x v="8"/>
    <s v="DP5738"/>
    <s v="35488103"/>
    <s v="LAS CONDES"/>
    <x v="107"/>
    <x v="7"/>
    <x v="1"/>
    <x v="3"/>
    <x v="1"/>
    <n v="4"/>
    <n v="55000"/>
    <n v="0"/>
    <n v="55000"/>
    <n v="29.32707689026341"/>
    <n v="8011"/>
    <n v="23"/>
    <x v="1525"/>
    <x v="5"/>
    <x v="1"/>
    <x v="1"/>
  </r>
  <r>
    <x v="118"/>
    <s v="ZTAN"/>
    <x v="8"/>
    <s v="SV2718"/>
    <s v="107643206"/>
    <s v="LA REINA"/>
    <x v="1294"/>
    <x v="1"/>
    <x v="1"/>
    <x v="11"/>
    <x v="1"/>
    <n v="3"/>
    <n v="48075"/>
    <n v="12000"/>
    <n v="60075"/>
    <n v="24.508404046997391"/>
    <n v="6868"/>
    <n v="36"/>
    <x v="1526"/>
    <x v="5"/>
    <x v="1"/>
    <x v="1"/>
  </r>
  <r>
    <x v="118"/>
    <s v="ZTAN"/>
    <x v="8"/>
    <s v="TP3884"/>
    <s v="154837728"/>
    <s v="PUDAHUEL"/>
    <x v="1295"/>
    <x v="1"/>
    <x v="1"/>
    <x v="10"/>
    <x v="1"/>
    <n v="1"/>
    <n v="38934"/>
    <n v="22248"/>
    <n v="61182"/>
    <n v="10.999999999999995"/>
    <n v="4821"/>
    <n v="100"/>
    <x v="1527"/>
    <x v="5"/>
    <x v="1"/>
    <x v="1"/>
  </r>
  <r>
    <x v="118"/>
    <s v="ZTAN"/>
    <x v="8"/>
    <s v="UA7248"/>
    <s v="78907355"/>
    <s v="QUILIN"/>
    <x v="1296"/>
    <x v="1"/>
    <x v="1"/>
    <x v="34"/>
    <x v="1"/>
    <n v="4"/>
    <n v="56075"/>
    <n v="12000"/>
    <n v="68075"/>
    <n v="26.297998918334237"/>
    <n v="8011"/>
    <n v="32"/>
    <x v="1528"/>
    <x v="5"/>
    <x v="1"/>
    <x v="1"/>
  </r>
  <r>
    <x v="119"/>
    <s v="ZPEP"/>
    <x v="3"/>
    <s v="DJLF85"/>
    <s v="53173292"/>
    <s v="LAS CONDES"/>
    <x v="1297"/>
    <x v="4"/>
    <x v="1"/>
    <x v="3"/>
    <x v="1"/>
    <n v="4"/>
    <n v="142208"/>
    <n v="0"/>
    <n v="142208"/>
    <n v="11"/>
    <n v="8011"/>
    <n v="100"/>
    <x v="1529"/>
    <x v="5"/>
    <x v="1"/>
    <x v="1"/>
  </r>
  <r>
    <x v="119"/>
    <s v="ZPEP"/>
    <x v="9"/>
    <s v="DJLF85"/>
    <s v="53173292"/>
    <s v="SAN BERNARDO"/>
    <x v="1298"/>
    <x v="4"/>
    <x v="1"/>
    <x v="4"/>
    <x v="1"/>
    <n v="4"/>
    <n v="65819.600000000006"/>
    <n v="0"/>
    <n v="65819.600000000006"/>
    <n v="11"/>
    <n v="8011"/>
    <n v="75"/>
    <x v="1530"/>
    <x v="5"/>
    <x v="1"/>
    <x v="1"/>
  </r>
  <r>
    <x v="119"/>
    <s v="ZPEP"/>
    <x v="8"/>
    <s v="WG4022"/>
    <s v="172861164"/>
    <s v="COQUIMBO"/>
    <x v="1299"/>
    <x v="1"/>
    <x v="0"/>
    <x v="42"/>
    <x v="8"/>
    <n v="0"/>
    <n v="600000"/>
    <n v="53407.199999999997"/>
    <n v="653407.19999999995"/>
    <n v="48.937761200736979"/>
    <n v="25000"/>
    <n v="39"/>
    <x v="1531"/>
    <x v="5"/>
    <x v="1"/>
    <x v="0"/>
  </r>
  <r>
    <x v="119"/>
    <s v="ZTAN"/>
    <x v="58"/>
    <s v="SU9354"/>
    <s v="72564391"/>
    <s v="COLINA"/>
    <x v="371"/>
    <x v="2"/>
    <x v="1"/>
    <x v="5"/>
    <x v="1"/>
    <n v="5"/>
    <n v="115561.60000000001"/>
    <n v="0"/>
    <n v="115561.60000000001"/>
    <n v="11"/>
    <n v="12000"/>
    <n v="88"/>
    <x v="1532"/>
    <x v="5"/>
    <x v="1"/>
    <x v="1"/>
  </r>
  <r>
    <x v="119"/>
    <s v="ZTAN"/>
    <x v="10"/>
    <s v="BDCH61"/>
    <s v="78907355"/>
    <s v="QUILICURA"/>
    <x v="1300"/>
    <x v="1"/>
    <x v="1"/>
    <x v="8"/>
    <x v="1"/>
    <n v="1"/>
    <n v="33750"/>
    <n v="12000"/>
    <n v="45750"/>
    <n v="41.62117903930131"/>
    <n v="4821"/>
    <n v="23"/>
    <x v="1533"/>
    <x v="5"/>
    <x v="1"/>
    <x v="1"/>
  </r>
  <r>
    <x v="119"/>
    <s v="ZTAN"/>
    <x v="10"/>
    <s v="XR6339"/>
    <s v="78907355"/>
    <s v="QUILICURA"/>
    <x v="1301"/>
    <x v="1"/>
    <x v="1"/>
    <x v="8"/>
    <x v="1"/>
    <n v="1"/>
    <n v="33750"/>
    <n v="12000"/>
    <n v="45750"/>
    <n v="24.332517817253482"/>
    <n v="4821"/>
    <n v="23"/>
    <x v="1534"/>
    <x v="5"/>
    <x v="1"/>
    <x v="1"/>
  </r>
  <r>
    <x v="119"/>
    <s v="ZTAN"/>
    <x v="6"/>
    <s v="BPKD94"/>
    <s v="125897258"/>
    <s v="PUERTO MONTT"/>
    <x v="721"/>
    <x v="5"/>
    <x v="0"/>
    <x v="53"/>
    <x v="10"/>
    <n v="0"/>
    <n v="1020000"/>
    <n v="0"/>
    <n v="1020000"/>
    <n v="65.260787224241227"/>
    <n v="25000"/>
    <n v="63"/>
    <x v="1535"/>
    <x v="5"/>
    <x v="1"/>
    <x v="0"/>
  </r>
  <r>
    <x v="119"/>
    <s v="ZTAN"/>
    <x v="6"/>
    <s v="KKPF51"/>
    <s v="95707734"/>
    <s v="RANCAGUA"/>
    <x v="1302"/>
    <x v="8"/>
    <x v="0"/>
    <x v="28"/>
    <x v="6"/>
    <n v="0"/>
    <n v="230000"/>
    <n v="0"/>
    <n v="230000"/>
    <n v="23.407286790148575"/>
    <n v="25000"/>
    <n v="39"/>
    <x v="1536"/>
    <x v="5"/>
    <x v="1"/>
    <x v="0"/>
  </r>
  <r>
    <x v="119"/>
    <s v="ZTAN"/>
    <x v="6"/>
    <s v="WG4022"/>
    <s v="81417709"/>
    <s v="QUILLOTA"/>
    <x v="1303"/>
    <x v="1"/>
    <x v="0"/>
    <x v="19"/>
    <x v="2"/>
    <n v="0"/>
    <n v="230000"/>
    <n v="42948.800000000003"/>
    <n v="272948.8"/>
    <n v="25.420854598964347"/>
    <n v="25000"/>
    <n v="43"/>
    <x v="1537"/>
    <x v="5"/>
    <x v="1"/>
    <x v="0"/>
  </r>
  <r>
    <x v="119"/>
    <s v="ZTAN"/>
    <x v="9"/>
    <s v="HLBX77"/>
    <s v="16093509K"/>
    <s v="CALERA DE TANGO"/>
    <x v="1304"/>
    <x v="1"/>
    <x v="1"/>
    <x v="71"/>
    <x v="1"/>
    <n v="5"/>
    <n v="90000"/>
    <n v="32032.000000000004"/>
    <n v="122032"/>
    <n v="15.238761238761237"/>
    <n v="12000"/>
    <n v="67"/>
    <x v="1538"/>
    <x v="5"/>
    <x v="1"/>
    <x v="1"/>
  </r>
  <r>
    <x v="119"/>
    <s v="ZTAN"/>
    <x v="7"/>
    <s v="SU9354"/>
    <s v="72564391"/>
    <s v="TIL TIL"/>
    <x v="371"/>
    <x v="2"/>
    <x v="1"/>
    <x v="70"/>
    <x v="1"/>
    <n v="5"/>
    <n v="115561.60000000001"/>
    <n v="0"/>
    <n v="115561.60000000001"/>
    <n v="11"/>
    <n v="12000"/>
    <n v="88"/>
    <x v="1539"/>
    <x v="5"/>
    <x v="1"/>
    <x v="1"/>
  </r>
  <r>
    <x v="119"/>
    <s v="ZTAN"/>
    <x v="8"/>
    <s v="BDCH61"/>
    <s v="99626232"/>
    <s v="LA FLORIDA"/>
    <x v="1305"/>
    <x v="1"/>
    <x v="1"/>
    <x v="33"/>
    <x v="1"/>
    <n v="3"/>
    <n v="48075"/>
    <n v="12957"/>
    <n v="61032"/>
    <n v="18.841689306001474"/>
    <n v="6868"/>
    <n v="47"/>
    <x v="1540"/>
    <x v="5"/>
    <x v="1"/>
    <x v="1"/>
  </r>
  <r>
    <x v="119"/>
    <s v="ZTAN"/>
    <x v="8"/>
    <s v="DP5738"/>
    <s v="35488103"/>
    <s v="HUECHURABA"/>
    <x v="1306"/>
    <x v="7"/>
    <x v="1"/>
    <x v="24"/>
    <x v="1"/>
    <n v="1"/>
    <n v="55000"/>
    <n v="0"/>
    <n v="55000"/>
    <n v="21.460902138286247"/>
    <n v="4821"/>
    <n v="53"/>
    <x v="1541"/>
    <x v="5"/>
    <x v="1"/>
    <x v="1"/>
  </r>
  <r>
    <x v="119"/>
    <s v="ZTAN"/>
    <x v="8"/>
    <s v="SV2718"/>
    <s v="99626232"/>
    <s v="MAIPU"/>
    <x v="1307"/>
    <x v="1"/>
    <x v="1"/>
    <x v="2"/>
    <x v="1"/>
    <n v="2"/>
    <n v="40475"/>
    <n v="18726"/>
    <n v="59201"/>
    <n v="12.645409067801314"/>
    <n v="5782"/>
    <n v="81"/>
    <x v="1542"/>
    <x v="5"/>
    <x v="1"/>
    <x v="1"/>
  </r>
  <r>
    <x v="119"/>
    <s v="ZTAN"/>
    <x v="8"/>
    <s v="TP3884"/>
    <s v="154837728"/>
    <s v="PUDAHUEL"/>
    <x v="1308"/>
    <x v="1"/>
    <x v="1"/>
    <x v="10"/>
    <x v="1"/>
    <n v="1"/>
    <n v="39040"/>
    <n v="22309"/>
    <n v="61349"/>
    <n v="10.999964139711681"/>
    <n v="4821"/>
    <n v="100"/>
    <x v="1543"/>
    <x v="5"/>
    <x v="1"/>
    <x v="1"/>
  </r>
  <r>
    <x v="119"/>
    <s v="ZTAN"/>
    <x v="8"/>
    <s v="UA7248"/>
    <s v="107643206"/>
    <s v="ÑUÑOA"/>
    <x v="1309"/>
    <x v="1"/>
    <x v="1"/>
    <x v="15"/>
    <x v="1"/>
    <n v="4"/>
    <n v="56075"/>
    <n v="19747"/>
    <n v="75822"/>
    <n v="15.358407402305934"/>
    <n v="8011"/>
    <n v="62"/>
    <x v="1544"/>
    <x v="5"/>
    <x v="1"/>
    <x v="1"/>
  </r>
  <r>
    <x v="119"/>
    <s v="ZTAN"/>
    <x v="8"/>
    <s v="VE9862"/>
    <s v="98494073"/>
    <s v="OSORNO"/>
    <x v="1310"/>
    <x v="5"/>
    <x v="0"/>
    <x v="64"/>
    <x v="10"/>
    <n v="0"/>
    <n v="900000"/>
    <n v="0"/>
    <n v="900000"/>
    <n v="51.9294682422452"/>
    <n v="25000"/>
    <n v="41"/>
    <x v="1545"/>
    <x v="5"/>
    <x v="1"/>
    <x v="0"/>
  </r>
  <r>
    <x v="119"/>
    <s v="ZTAN"/>
    <x v="8"/>
    <s v="WG4022"/>
    <s v="81417709"/>
    <s v="GRANEROS"/>
    <x v="881"/>
    <x v="1"/>
    <x v="0"/>
    <x v="46"/>
    <x v="6"/>
    <n v="0"/>
    <n v="230000"/>
    <n v="84304.8"/>
    <n v="314304.8"/>
    <n v="14.912783139275581"/>
    <n v="25000"/>
    <n v="84"/>
    <x v="1546"/>
    <x v="5"/>
    <x v="1"/>
    <x v="0"/>
  </r>
  <r>
    <x v="120"/>
    <s v="ZPEP"/>
    <x v="3"/>
    <s v="DJLF85"/>
    <n v="53173292"/>
    <s v="LAS CONDES"/>
    <x v="1311"/>
    <x v="4"/>
    <x v="1"/>
    <x v="3"/>
    <x v="1"/>
    <n v="4"/>
    <n v="168872"/>
    <n v="0"/>
    <n v="168872"/>
    <n v="11"/>
    <n v="8011"/>
    <n v="100"/>
    <x v="1547"/>
    <x v="5"/>
    <x v="1"/>
    <x v="1"/>
  </r>
  <r>
    <x v="120"/>
    <s v="ZPEP"/>
    <x v="3"/>
    <s v="HLBX77"/>
    <n v="129897"/>
    <s v="LAS CONDES"/>
    <x v="1312"/>
    <x v="1"/>
    <x v="1"/>
    <x v="3"/>
    <x v="1"/>
    <n v="4"/>
    <n v="101808"/>
    <n v="58176"/>
    <n v="159984"/>
    <n v="11"/>
    <n v="8011"/>
    <n v="100"/>
    <x v="1548"/>
    <x v="5"/>
    <x v="1"/>
    <x v="1"/>
  </r>
  <r>
    <x v="120"/>
    <s v="ZPEP"/>
    <x v="3"/>
    <s v="RK5135"/>
    <n v="138841065"/>
    <s v="LAS CONDES"/>
    <x v="1312"/>
    <x v="3"/>
    <x v="1"/>
    <x v="3"/>
    <x v="1"/>
    <n v="4"/>
    <n v="159984"/>
    <n v="0"/>
    <n v="159984"/>
    <n v="11"/>
    <n v="8011"/>
    <n v="100"/>
    <x v="1549"/>
    <x v="5"/>
    <x v="1"/>
    <x v="1"/>
  </r>
  <r>
    <x v="120"/>
    <s v="ZPEP"/>
    <x v="3"/>
    <s v="SU9354"/>
    <n v="72564391"/>
    <s v="LAS CONDES"/>
    <x v="1312"/>
    <x v="2"/>
    <x v="1"/>
    <x v="3"/>
    <x v="1"/>
    <n v="4"/>
    <n v="159984"/>
    <n v="0"/>
    <n v="159984"/>
    <n v="11"/>
    <n v="8011"/>
    <n v="100"/>
    <x v="1550"/>
    <x v="5"/>
    <x v="1"/>
    <x v="1"/>
  </r>
  <r>
    <x v="120"/>
    <s v="ZTAN"/>
    <x v="58"/>
    <s v="DJLF85"/>
    <n v="53173292"/>
    <s v="COLINA"/>
    <x v="371"/>
    <x v="4"/>
    <x v="1"/>
    <x v="5"/>
    <x v="1"/>
    <n v="5"/>
    <n v="115561.60000000001"/>
    <n v="0"/>
    <n v="115561.60000000001"/>
    <n v="11"/>
    <n v="12000"/>
    <n v="88"/>
    <x v="1551"/>
    <x v="5"/>
    <x v="1"/>
    <x v="1"/>
  </r>
  <r>
    <x v="120"/>
    <s v="ZTAN"/>
    <x v="50"/>
    <s v="CJFZ67"/>
    <n v="115812335"/>
    <s v="CHILLAN"/>
    <x v="1313"/>
    <x v="5"/>
    <x v="0"/>
    <x v="21"/>
    <x v="5"/>
    <n v="0"/>
    <n v="350000"/>
    <n v="0"/>
    <n v="350000"/>
    <n v="19.15574606705168"/>
    <n v="25000"/>
    <n v="73"/>
    <x v="1552"/>
    <x v="5"/>
    <x v="1"/>
    <x v="0"/>
  </r>
  <r>
    <x v="120"/>
    <s v="ZTAN"/>
    <x v="11"/>
    <s v="XR6339"/>
    <n v="78907355"/>
    <s v="PADRE HURTADO"/>
    <x v="1314"/>
    <x v="1"/>
    <x v="1"/>
    <x v="26"/>
    <x v="1"/>
    <n v="5"/>
    <n v="70000"/>
    <n v="8164.8"/>
    <n v="78164.800000000003"/>
    <n v="38.293552812071333"/>
    <n v="12000"/>
    <n v="17"/>
    <x v="1553"/>
    <x v="5"/>
    <x v="1"/>
    <x v="1"/>
  </r>
  <r>
    <x v="120"/>
    <s v="ZTAN"/>
    <x v="12"/>
    <s v="DP5738"/>
    <n v="35488103"/>
    <s v="VITACURA"/>
    <x v="1315"/>
    <x v="7"/>
    <x v="1"/>
    <x v="27"/>
    <x v="1"/>
    <n v="4"/>
    <n v="55000"/>
    <n v="0"/>
    <n v="55000"/>
    <n v="25.323449514250196"/>
    <n v="8011"/>
    <n v="27"/>
    <x v="1554"/>
    <x v="5"/>
    <x v="1"/>
    <x v="1"/>
  </r>
  <r>
    <x v="120"/>
    <s v="ZTAN"/>
    <x v="7"/>
    <s v="BDCH61"/>
    <n v="99626232"/>
    <s v="SAN MIGUEL"/>
    <x v="1316"/>
    <x v="1"/>
    <x v="1"/>
    <x v="23"/>
    <x v="1"/>
    <n v="2"/>
    <n v="48639"/>
    <n v="27794"/>
    <n v="76433"/>
    <n v="11.000007195849431"/>
    <n v="5782"/>
    <n v="100"/>
    <x v="1555"/>
    <x v="5"/>
    <x v="1"/>
    <x v="1"/>
  </r>
  <r>
    <x v="120"/>
    <s v="ZTAN"/>
    <x v="7"/>
    <s v="TP3884"/>
    <n v="154837728"/>
    <s v="RANCAGUA"/>
    <x v="1317"/>
    <x v="1"/>
    <x v="1"/>
    <x v="28"/>
    <x v="6"/>
    <n v="0"/>
    <n v="180000"/>
    <n v="0"/>
    <n v="180000"/>
    <n v="18.746289796811052"/>
    <n v="25000"/>
    <n v="38"/>
    <x v="1556"/>
    <x v="5"/>
    <x v="1"/>
    <x v="0"/>
  </r>
  <r>
    <x v="120"/>
    <s v="ZTAN"/>
    <x v="8"/>
    <s v="DP5738"/>
    <n v="35488103"/>
    <s v="SAN BERNARDO"/>
    <x v="435"/>
    <x v="7"/>
    <x v="1"/>
    <x v="4"/>
    <x v="1"/>
    <n v="4"/>
    <n v="55000"/>
    <n v="0"/>
    <n v="55000"/>
    <n v="36.647121535181235"/>
    <n v="8011"/>
    <n v="19"/>
    <x v="1557"/>
    <x v="5"/>
    <x v="1"/>
    <x v="1"/>
  </r>
  <r>
    <x v="120"/>
    <s v="ZTAN"/>
    <x v="8"/>
    <s v="SV2718"/>
    <n v="99626232"/>
    <s v="LAS CONDES"/>
    <x v="1318"/>
    <x v="1"/>
    <x v="1"/>
    <x v="3"/>
    <x v="1"/>
    <n v="4"/>
    <n v="56075"/>
    <n v="16106"/>
    <n v="72181"/>
    <n v="17.926932247168686"/>
    <n v="8011"/>
    <n v="50"/>
    <x v="1558"/>
    <x v="5"/>
    <x v="1"/>
    <x v="1"/>
  </r>
  <r>
    <x v="120"/>
    <s v="ZTAN"/>
    <x v="8"/>
    <s v="UA7248"/>
    <n v="107643206"/>
    <s v="PUENTE ALTO"/>
    <x v="523"/>
    <x v="1"/>
    <x v="1"/>
    <x v="30"/>
    <x v="1"/>
    <n v="4"/>
    <n v="56075"/>
    <n v="12000"/>
    <n v="68075"/>
    <n v="24.968823356807512"/>
    <n v="8011"/>
    <n v="34"/>
    <x v="1559"/>
    <x v="5"/>
    <x v="1"/>
    <x v="1"/>
  </r>
  <r>
    <x v="120"/>
    <s v="ZTAN"/>
    <x v="8"/>
    <s v="UK7193"/>
    <n v="172861164"/>
    <s v="CORONEL"/>
    <x v="1319"/>
    <x v="1"/>
    <x v="0"/>
    <x v="16"/>
    <x v="0"/>
    <n v="0"/>
    <n v="380000"/>
    <n v="0"/>
    <n v="380000"/>
    <n v="25.075887554441088"/>
    <n v="25000"/>
    <n v="61"/>
    <x v="1560"/>
    <x v="5"/>
    <x v="1"/>
    <x v="0"/>
  </r>
  <r>
    <x v="120"/>
    <s v="ZTAN"/>
    <x v="8"/>
    <s v="XR6339"/>
    <n v="78907355"/>
    <s v="QUILICURA"/>
    <x v="547"/>
    <x v="1"/>
    <x v="1"/>
    <x v="8"/>
    <x v="1"/>
    <n v="1"/>
    <n v="33750"/>
    <n v="15957"/>
    <n v="49707"/>
    <n v="12.460393061265417"/>
    <n v="4821"/>
    <n v="83"/>
    <x v="1561"/>
    <x v="5"/>
    <x v="1"/>
    <x v="1"/>
  </r>
  <r>
    <x v="121"/>
    <s v="ZPEP"/>
    <x v="3"/>
    <s v="DJLF85"/>
    <s v="53173292"/>
    <s v="LAS CONDES"/>
    <x v="1312"/>
    <x v="4"/>
    <x v="1"/>
    <x v="3"/>
    <x v="1"/>
    <n v="4"/>
    <n v="159984"/>
    <n v="0"/>
    <n v="159984"/>
    <n v="11"/>
    <n v="8011"/>
    <n v="100"/>
    <x v="1562"/>
    <x v="5"/>
    <x v="1"/>
    <x v="1"/>
  </r>
  <r>
    <x v="121"/>
    <s v="ZPEP"/>
    <x v="33"/>
    <s v="PN4466"/>
    <s v="81417709"/>
    <s v="BUIN"/>
    <x v="1320"/>
    <x v="1"/>
    <x v="0"/>
    <x v="56"/>
    <x v="1"/>
    <n v="5"/>
    <n v="120000"/>
    <n v="31906.2"/>
    <n v="151906.20000000001"/>
    <n v="19.044098012298551"/>
    <n v="12000"/>
    <n v="60"/>
    <x v="1563"/>
    <x v="5"/>
    <x v="1"/>
    <x v="1"/>
  </r>
  <r>
    <x v="121"/>
    <s v="ZTAN"/>
    <x v="4"/>
    <s v="XR6339"/>
    <s v="78907355"/>
    <s v="SAN BERNARDO"/>
    <x v="1321"/>
    <x v="1"/>
    <x v="1"/>
    <x v="4"/>
    <x v="1"/>
    <n v="4"/>
    <n v="56075"/>
    <n v="30015.999999999993"/>
    <n v="86091"/>
    <n v="11.472681236673777"/>
    <n v="8011"/>
    <n v="94"/>
    <x v="1564"/>
    <x v="5"/>
    <x v="1"/>
    <x v="1"/>
  </r>
  <r>
    <x v="121"/>
    <s v="ZTAN"/>
    <x v="47"/>
    <s v="SV2718"/>
    <s v="154837728"/>
    <s v="SAN JOAQUIN"/>
    <x v="1322"/>
    <x v="1"/>
    <x v="1"/>
    <x v="67"/>
    <x v="1"/>
    <n v="3"/>
    <n v="48075"/>
    <n v="14569.6"/>
    <n v="62644.6"/>
    <n v="17.198715132879418"/>
    <n v="6868"/>
    <n v="53"/>
    <x v="1565"/>
    <x v="5"/>
    <x v="1"/>
    <x v="1"/>
  </r>
  <r>
    <x v="121"/>
    <s v="ZTAN"/>
    <x v="58"/>
    <s v="HLBX77"/>
    <s v="16093509K"/>
    <s v="COLINA"/>
    <x v="371"/>
    <x v="1"/>
    <x v="1"/>
    <x v="5"/>
    <x v="1"/>
    <n v="5"/>
    <n v="70000"/>
    <n v="42022.400000000001"/>
    <n v="112022.39999999999"/>
    <n v="10.663113006396587"/>
    <n v="12000"/>
    <n v="88"/>
    <x v="1566"/>
    <x v="5"/>
    <x v="1"/>
    <x v="1"/>
  </r>
  <r>
    <x v="121"/>
    <s v="ZTAN"/>
    <x v="7"/>
    <s v="KKPF51"/>
    <s v="95707734"/>
    <s v="CHILLAN"/>
    <x v="1323"/>
    <x v="8"/>
    <x v="0"/>
    <x v="21"/>
    <x v="5"/>
    <n v="0"/>
    <n v="350000"/>
    <n v="0"/>
    <n v="350000"/>
    <n v="22.47421886036447"/>
    <n v="25000"/>
    <n v="62"/>
    <x v="1567"/>
    <x v="5"/>
    <x v="1"/>
    <x v="0"/>
  </r>
  <r>
    <x v="121"/>
    <s v="ZTAN"/>
    <x v="7"/>
    <s v="SU9354"/>
    <s v="72564391"/>
    <s v="SANTIAGO"/>
    <x v="1324"/>
    <x v="2"/>
    <x v="1"/>
    <x v="20"/>
    <x v="1"/>
    <n v="1"/>
    <n v="101475.33"/>
    <n v="0"/>
    <n v="101475.33"/>
    <n v="11"/>
    <n v="4821"/>
    <n v="100"/>
    <x v="1568"/>
    <x v="5"/>
    <x v="1"/>
    <x v="1"/>
  </r>
  <r>
    <x v="121"/>
    <s v="ZTAN"/>
    <x v="8"/>
    <s v="BDCH61"/>
    <s v="99626232"/>
    <s v="QUILIN"/>
    <x v="1325"/>
    <x v="1"/>
    <x v="1"/>
    <x v="34"/>
    <x v="1"/>
    <n v="4"/>
    <n v="56075"/>
    <n v="21960"/>
    <n v="78035"/>
    <n v="14.214025500910747"/>
    <n v="8011"/>
    <n v="69"/>
    <x v="1569"/>
    <x v="5"/>
    <x v="1"/>
    <x v="1"/>
  </r>
  <r>
    <x v="121"/>
    <s v="ZTAN"/>
    <x v="8"/>
    <s v="DP5738"/>
    <s v="35488103"/>
    <s v="HUECHURABA"/>
    <x v="1326"/>
    <x v="7"/>
    <x v="1"/>
    <x v="24"/>
    <x v="1"/>
    <n v="1"/>
    <n v="55000"/>
    <n v="0"/>
    <n v="55000"/>
    <n v="55.668016194331983"/>
    <n v="4821"/>
    <n v="20"/>
    <x v="1570"/>
    <x v="5"/>
    <x v="1"/>
    <x v="1"/>
  </r>
  <r>
    <x v="121"/>
    <s v="ZTAN"/>
    <x v="8"/>
    <s v="HLBX77"/>
    <s v="16093509K"/>
    <s v="CERRILLOS"/>
    <x v="1327"/>
    <x v="1"/>
    <x v="1"/>
    <x v="9"/>
    <x v="1"/>
    <n v="2"/>
    <n v="40475"/>
    <n v="22909"/>
    <n v="63384"/>
    <n v="11.06718815477022"/>
    <n v="5782"/>
    <n v="99"/>
    <x v="1571"/>
    <x v="5"/>
    <x v="1"/>
    <x v="1"/>
  </r>
  <r>
    <x v="121"/>
    <s v="ZTAN"/>
    <x v="8"/>
    <s v="SV2718"/>
    <s v="78907355"/>
    <s v="LA REINA"/>
    <x v="347"/>
    <x v="1"/>
    <x v="1"/>
    <x v="11"/>
    <x v="1"/>
    <n v="3"/>
    <n v="48075"/>
    <n v="12000"/>
    <n v="60075"/>
    <n v="20.268218623481783"/>
    <n v="6868"/>
    <n v="43"/>
    <x v="1572"/>
    <x v="5"/>
    <x v="1"/>
    <x v="1"/>
  </r>
  <r>
    <x v="121"/>
    <s v="ZTAN"/>
    <x v="8"/>
    <s v="TP3884"/>
    <s v="154837728"/>
    <s v="PUDAHUEL"/>
    <x v="1328"/>
    <x v="1"/>
    <x v="1"/>
    <x v="10"/>
    <x v="1"/>
    <n v="1"/>
    <n v="48675"/>
    <n v="27814"/>
    <n v="76489"/>
    <n v="10.999913713759778"/>
    <n v="4821"/>
    <n v="100"/>
    <x v="1573"/>
    <x v="5"/>
    <x v="1"/>
    <x v="1"/>
  </r>
  <r>
    <x v="121"/>
    <s v="ZTAN"/>
    <x v="8"/>
    <s v="UA7248"/>
    <s v="107643206"/>
    <s v="EL BOSQUE"/>
    <x v="226"/>
    <x v="1"/>
    <x v="1"/>
    <x v="25"/>
    <x v="1"/>
    <n v="3"/>
    <n v="48075"/>
    <n v="12000"/>
    <n v="60075"/>
    <n v="30.402327935222672"/>
    <n v="6868"/>
    <n v="29"/>
    <x v="1574"/>
    <x v="5"/>
    <x v="1"/>
    <x v="1"/>
  </r>
  <r>
    <x v="122"/>
    <s v="ZPEP"/>
    <x v="17"/>
    <s v="HLBX77"/>
    <s v="16093509K"/>
    <s v="LO BARNECHEA"/>
    <x v="1329"/>
    <x v="1"/>
    <x v="1"/>
    <x v="41"/>
    <x v="1"/>
    <n v="4"/>
    <n v="56075"/>
    <n v="23392"/>
    <n v="79467"/>
    <n v="13.58874829001368"/>
    <n v="8011"/>
    <n v="73"/>
    <x v="1575"/>
    <x v="5"/>
    <x v="1"/>
    <x v="1"/>
  </r>
  <r>
    <x v="122"/>
    <s v="ZPEP"/>
    <x v="3"/>
    <s v="SU9354"/>
    <s v="72564391"/>
    <s v="LAS CONDES"/>
    <x v="1312"/>
    <x v="2"/>
    <x v="1"/>
    <x v="3"/>
    <x v="1"/>
    <n v="4"/>
    <n v="159984"/>
    <n v="0"/>
    <n v="159984"/>
    <n v="11"/>
    <n v="8011"/>
    <n v="100"/>
    <x v="1576"/>
    <x v="5"/>
    <x v="1"/>
    <x v="1"/>
  </r>
  <r>
    <x v="122"/>
    <s v="ZPEP"/>
    <x v="5"/>
    <s v="BDCH61"/>
    <s v="154837728"/>
    <s v="LAMPA"/>
    <x v="1330"/>
    <x v="1"/>
    <x v="1"/>
    <x v="17"/>
    <x v="1"/>
    <n v="5"/>
    <n v="70000"/>
    <n v="12000"/>
    <n v="82000"/>
    <n v="47.706037722676662"/>
    <n v="12000"/>
    <n v="14"/>
    <x v="1577"/>
    <x v="5"/>
    <x v="1"/>
    <x v="1"/>
  </r>
  <r>
    <x v="122"/>
    <s v="ZPEP"/>
    <x v="59"/>
    <s v="RZ4484"/>
    <s v="93321006"/>
    <s v="CAUQUENES"/>
    <x v="1331"/>
    <x v="5"/>
    <x v="0"/>
    <x v="72"/>
    <x v="3"/>
    <n v="0"/>
    <n v="230000"/>
    <n v="0"/>
    <n v="230000"/>
    <n v="31.796062817960628"/>
    <n v="25000"/>
    <n v="29"/>
    <x v="1578"/>
    <x v="5"/>
    <x v="1"/>
    <x v="0"/>
  </r>
  <r>
    <x v="122"/>
    <s v="ZTAN"/>
    <x v="58"/>
    <s v="XR6339"/>
    <s v="78907355"/>
    <s v="COLINA"/>
    <x v="1332"/>
    <x v="1"/>
    <x v="1"/>
    <x v="5"/>
    <x v="1"/>
    <n v="5"/>
    <n v="70000"/>
    <n v="18384.8"/>
    <n v="88384.8"/>
    <n v="19.229972586049346"/>
    <n v="12000"/>
    <n v="38"/>
    <x v="1579"/>
    <x v="5"/>
    <x v="1"/>
    <x v="1"/>
  </r>
  <r>
    <x v="122"/>
    <s v="ZTAN"/>
    <x v="5"/>
    <s v="BDCH61"/>
    <s v="154837728"/>
    <s v="LAMPA"/>
    <x v="1333"/>
    <x v="1"/>
    <x v="1"/>
    <x v="17"/>
    <x v="1"/>
    <n v="5"/>
    <n v="70000"/>
    <n v="16392.48"/>
    <n v="86392.48"/>
    <n v="21.081002996495954"/>
    <n v="12000"/>
    <n v="34"/>
    <x v="1580"/>
    <x v="5"/>
    <x v="1"/>
    <x v="1"/>
  </r>
  <r>
    <x v="122"/>
    <s v="ZTAN"/>
    <x v="6"/>
    <s v="DJLF85"/>
    <s v="53173292"/>
    <s v="CALAMA"/>
    <x v="1334"/>
    <x v="4"/>
    <x v="1"/>
    <x v="3"/>
    <x v="1"/>
    <n v="0"/>
    <n v="61907.999999999993"/>
    <n v="0"/>
    <n v="61907.999999999993"/>
    <n v="11"/>
    <n v="25000"/>
    <n v="23"/>
    <x v="1581"/>
    <x v="5"/>
    <x v="1"/>
    <x v="1"/>
  </r>
  <r>
    <x v="122"/>
    <s v="ZTAN"/>
    <x v="6"/>
    <s v="TW7053"/>
    <s v="172861164"/>
    <s v="CURICO"/>
    <x v="1335"/>
    <x v="6"/>
    <x v="1"/>
    <x v="73"/>
    <x v="3"/>
    <n v="0"/>
    <n v="280000"/>
    <n v="0"/>
    <n v="280000"/>
    <n v="30.905077262693144"/>
    <n v="25000"/>
    <n v="36"/>
    <x v="1582"/>
    <x v="5"/>
    <x v="1"/>
    <x v="0"/>
  </r>
  <r>
    <x v="122"/>
    <s v="ZTAN"/>
    <x v="60"/>
    <s v="VE9862"/>
    <s v="98494073"/>
    <s v="ARAUCO"/>
    <x v="1336"/>
    <x v="5"/>
    <x v="0"/>
    <x v="74"/>
    <x v="0"/>
    <n v="0"/>
    <n v="480000"/>
    <n v="0"/>
    <n v="480000"/>
    <n v="67.936128716318521"/>
    <n v="25000"/>
    <n v="28"/>
    <x v="1583"/>
    <x v="5"/>
    <x v="1"/>
    <x v="0"/>
  </r>
  <r>
    <x v="122"/>
    <s v="ZTAN"/>
    <x v="8"/>
    <s v="DP5738"/>
    <s v="35488103"/>
    <s v="LAS CONDES"/>
    <x v="362"/>
    <x v="7"/>
    <x v="1"/>
    <x v="3"/>
    <x v="1"/>
    <n v="4"/>
    <n v="55000"/>
    <n v="0"/>
    <n v="55000"/>
    <n v="43.554006968641119"/>
    <n v="8011"/>
    <n v="16"/>
    <x v="1584"/>
    <x v="5"/>
    <x v="1"/>
    <x v="1"/>
  </r>
  <r>
    <x v="122"/>
    <s v="ZTAN"/>
    <x v="8"/>
    <s v="PKSY74"/>
    <s v="6270439K"/>
    <s v="CORONEL"/>
    <x v="1337"/>
    <x v="0"/>
    <x v="0"/>
    <x v="16"/>
    <x v="0"/>
    <n v="0"/>
    <n v="380000"/>
    <n v="0"/>
    <n v="380000"/>
    <n v="27.239362312191766"/>
    <n v="25000"/>
    <n v="56"/>
    <x v="1585"/>
    <x v="5"/>
    <x v="1"/>
    <x v="0"/>
  </r>
  <r>
    <x v="122"/>
    <s v="ZTAN"/>
    <x v="8"/>
    <s v="SV2718"/>
    <s v="99626232"/>
    <s v="ÑUÑOA"/>
    <x v="1338"/>
    <x v="1"/>
    <x v="1"/>
    <x v="15"/>
    <x v="1"/>
    <n v="4"/>
    <n v="56075"/>
    <n v="17606"/>
    <n v="73681"/>
    <n v="16.740355341482257"/>
    <n v="8011"/>
    <n v="55"/>
    <x v="1586"/>
    <x v="5"/>
    <x v="1"/>
    <x v="1"/>
  </r>
  <r>
    <x v="122"/>
    <s v="ZTAN"/>
    <x v="8"/>
    <s v="TP3884"/>
    <s v="154837728"/>
    <s v="REÑACA"/>
    <x v="1339"/>
    <x v="1"/>
    <x v="1"/>
    <x v="6"/>
    <x v="2"/>
    <n v="0"/>
    <n v="180000"/>
    <n v="29059.200000000004"/>
    <n v="209059.20000000001"/>
    <n v="28.777006937561939"/>
    <n v="25000"/>
    <n v="29"/>
    <x v="1587"/>
    <x v="5"/>
    <x v="1"/>
    <x v="0"/>
  </r>
  <r>
    <x v="122"/>
    <s v="ZTAN"/>
    <x v="8"/>
    <s v="UA7248"/>
    <s v="107643206"/>
    <s v="SAN BERNARDO"/>
    <x v="1340"/>
    <x v="1"/>
    <x v="1"/>
    <x v="4"/>
    <x v="1"/>
    <n v="4"/>
    <n v="56075"/>
    <n v="20880"/>
    <n v="76955"/>
    <n v="14.742054749909"/>
    <n v="8011"/>
    <n v="65"/>
    <x v="1588"/>
    <x v="5"/>
    <x v="1"/>
    <x v="1"/>
  </r>
  <r>
    <x v="122"/>
    <s v="ZTAN"/>
    <x v="8"/>
    <s v="WC2233"/>
    <s v="125108660"/>
    <s v="SANTA CRUZ"/>
    <x v="448"/>
    <x v="4"/>
    <x v="1"/>
    <x v="75"/>
    <x v="6"/>
    <n v="0"/>
    <n v="180000"/>
    <n v="0"/>
    <n v="180000"/>
    <n v="29.984008528784653"/>
    <n v="25000"/>
    <n v="24"/>
    <x v="1589"/>
    <x v="5"/>
    <x v="1"/>
    <x v="0"/>
  </r>
  <r>
    <x v="122"/>
    <s v="ZTAN"/>
    <x v="53"/>
    <s v="PN4466"/>
    <s v="81417709"/>
    <s v="LAS CONDES"/>
    <x v="1341"/>
    <x v="1"/>
    <x v="0"/>
    <x v="3"/>
    <x v="1"/>
    <n v="4"/>
    <n v="113719"/>
    <n v="64982.16000000004"/>
    <n v="178701.16000000003"/>
    <n v="11.00001354217834"/>
    <n v="8011"/>
    <n v="100"/>
    <x v="1590"/>
    <x v="5"/>
    <x v="1"/>
    <x v="1"/>
  </r>
  <r>
    <x v="123"/>
    <s v="ZTAN"/>
    <x v="3"/>
    <s v="XR6339"/>
    <s v="78907355"/>
    <s v="LAS CONDES"/>
    <x v="1342"/>
    <x v="1"/>
    <x v="1"/>
    <x v="3"/>
    <x v="1"/>
    <n v="4"/>
    <n v="65524"/>
    <n v="37442.160000000003"/>
    <n v="102966.16"/>
    <n v="11.000023502917566"/>
    <n v="8011"/>
    <n v="100"/>
    <x v="1591"/>
    <x v="5"/>
    <x v="1"/>
    <x v="1"/>
  </r>
  <r>
    <x v="123"/>
    <s v="ZTAN"/>
    <x v="6"/>
    <s v="DJLF85"/>
    <s v="125108660"/>
    <s v="VIÑA DEL MAR"/>
    <x v="1343"/>
    <x v="4"/>
    <x v="1"/>
    <x v="6"/>
    <x v="2"/>
    <n v="0"/>
    <n v="180000"/>
    <n v="0"/>
    <n v="180000"/>
    <n v="21.363463729586023"/>
    <n v="25000"/>
    <n v="34"/>
    <x v="1592"/>
    <x v="5"/>
    <x v="1"/>
    <x v="0"/>
  </r>
  <r>
    <x v="123"/>
    <s v="ZTAN"/>
    <x v="6"/>
    <s v="DJLF85"/>
    <s v="53173294"/>
    <s v="QUILICURA"/>
    <x v="1344"/>
    <x v="4"/>
    <x v="1"/>
    <x v="8"/>
    <x v="1"/>
    <n v="1"/>
    <n v="88572.000000000029"/>
    <n v="0"/>
    <n v="88572.000000000029"/>
    <n v="11"/>
    <n v="4821"/>
    <n v="100"/>
    <x v="1593"/>
    <x v="5"/>
    <x v="1"/>
    <x v="1"/>
  </r>
  <r>
    <x v="123"/>
    <s v="ZTAN"/>
    <x v="6"/>
    <s v="HLBX77"/>
    <s v="16093509K"/>
    <s v="LOS ANDES"/>
    <x v="1345"/>
    <x v="1"/>
    <x v="1"/>
    <x v="38"/>
    <x v="2"/>
    <n v="0"/>
    <n v="180000"/>
    <n v="42817.599999999999"/>
    <n v="222817.6"/>
    <n v="20.815515115279698"/>
    <n v="25000"/>
    <n v="43"/>
    <x v="1594"/>
    <x v="5"/>
    <x v="1"/>
    <x v="0"/>
  </r>
  <r>
    <x v="123"/>
    <s v="ZTAN"/>
    <x v="6"/>
    <s v="RK5135"/>
    <s v="138841065"/>
    <s v="LA DEHESA"/>
    <x v="1345"/>
    <x v="3"/>
    <x v="1"/>
    <x v="41"/>
    <x v="1"/>
    <n v="4"/>
    <n v="117748.4"/>
    <n v="0"/>
    <n v="117748.4"/>
    <n v="11"/>
    <n v="8011"/>
    <n v="100"/>
    <x v="1595"/>
    <x v="5"/>
    <x v="1"/>
    <x v="1"/>
  </r>
  <r>
    <x v="123"/>
    <s v="ZTAN"/>
    <x v="6"/>
    <s v="TP3884"/>
    <s v="154837728"/>
    <s v="VALPARAISO"/>
    <x v="1346"/>
    <x v="1"/>
    <x v="1"/>
    <x v="36"/>
    <x v="2"/>
    <n v="0"/>
    <n v="180000"/>
    <n v="29600.000000000004"/>
    <n v="209600"/>
    <n v="28.324324324324319"/>
    <n v="25000"/>
    <n v="30"/>
    <x v="1596"/>
    <x v="5"/>
    <x v="1"/>
    <x v="0"/>
  </r>
  <r>
    <x v="123"/>
    <s v="ZTAN"/>
    <x v="16"/>
    <s v="DJLF85"/>
    <s v="53173292"/>
    <s v="MAIPU"/>
    <x v="1347"/>
    <x v="4"/>
    <x v="1"/>
    <x v="2"/>
    <x v="1"/>
    <n v="2"/>
    <n v="44492"/>
    <n v="0"/>
    <n v="44492"/>
    <n v="7"/>
    <n v="5782"/>
    <n v="100"/>
    <x v="1597"/>
    <x v="5"/>
    <x v="1"/>
    <x v="1"/>
  </r>
  <r>
    <x v="123"/>
    <s v="ZTAN"/>
    <x v="8"/>
    <s v="BDCH61"/>
    <s v="99626232"/>
    <s v="PUENTE ALTO"/>
    <x v="1348"/>
    <x v="1"/>
    <x v="1"/>
    <x v="30"/>
    <x v="1"/>
    <n v="4"/>
    <n v="56075"/>
    <n v="12000"/>
    <n v="68075"/>
    <n v="22.970373869618033"/>
    <n v="8011"/>
    <n v="37"/>
    <x v="1598"/>
    <x v="5"/>
    <x v="1"/>
    <x v="1"/>
  </r>
  <r>
    <x v="123"/>
    <s v="ZTAN"/>
    <x v="8"/>
    <s v="DP5738"/>
    <s v="35488103"/>
    <s v="LAS CONDES"/>
    <x v="226"/>
    <x v="7"/>
    <x v="1"/>
    <x v="3"/>
    <x v="1"/>
    <n v="4"/>
    <n v="55000"/>
    <n v="0"/>
    <n v="55000"/>
    <n v="27.834008097165992"/>
    <n v="8011"/>
    <n v="25"/>
    <x v="1599"/>
    <x v="5"/>
    <x v="1"/>
    <x v="1"/>
  </r>
  <r>
    <x v="123"/>
    <s v="ZTAN"/>
    <x v="8"/>
    <s v="HLBX77"/>
    <s v="16093509K"/>
    <s v="QUILICURA"/>
    <x v="1349"/>
    <x v="1"/>
    <x v="1"/>
    <x v="8"/>
    <x v="1"/>
    <n v="1"/>
    <n v="33750"/>
    <n v="12000"/>
    <n v="45750"/>
    <n v="15.572877663557763"/>
    <n v="4821"/>
    <n v="61"/>
    <x v="1600"/>
    <x v="5"/>
    <x v="1"/>
    <x v="1"/>
  </r>
  <r>
    <x v="123"/>
    <s v="ZTAN"/>
    <x v="8"/>
    <s v="JJHS30"/>
    <s v="105195567"/>
    <s v="CORONEL"/>
    <x v="1350"/>
    <x v="0"/>
    <x v="0"/>
    <x v="16"/>
    <x v="0"/>
    <n v="0"/>
    <n v="380000"/>
    <n v="0"/>
    <n v="380000"/>
    <n v="27.961530820229431"/>
    <n v="25000"/>
    <n v="51"/>
    <x v="1601"/>
    <x v="5"/>
    <x v="1"/>
    <x v="0"/>
  </r>
  <r>
    <x v="123"/>
    <s v="ZTAN"/>
    <x v="8"/>
    <s v="SU9354"/>
    <s v="72564391"/>
    <s v="MELIPILLA"/>
    <x v="1351"/>
    <x v="2"/>
    <x v="1"/>
    <x v="29"/>
    <x v="1"/>
    <n v="5"/>
    <n v="106475.6"/>
    <n v="0"/>
    <n v="106475.6"/>
    <n v="11"/>
    <n v="12000"/>
    <n v="81"/>
    <x v="1602"/>
    <x v="5"/>
    <x v="1"/>
    <x v="1"/>
  </r>
  <r>
    <x v="123"/>
    <s v="ZTAN"/>
    <x v="8"/>
    <s v="SV2718"/>
    <s v="81417709"/>
    <s v="ÑUÑOA"/>
    <x v="1352"/>
    <x v="1"/>
    <x v="1"/>
    <x v="15"/>
    <x v="1"/>
    <n v="4"/>
    <n v="56075"/>
    <n v="12000"/>
    <n v="68075"/>
    <n v="42.380003735292291"/>
    <n v="8011"/>
    <n v="20"/>
    <x v="1603"/>
    <x v="5"/>
    <x v="1"/>
    <x v="1"/>
  </r>
  <r>
    <x v="123"/>
    <s v="ZTAN"/>
    <x v="8"/>
    <s v="UA7248"/>
    <s v="107643206"/>
    <s v="SANTIAGO"/>
    <x v="1353"/>
    <x v="1"/>
    <x v="1"/>
    <x v="20"/>
    <x v="1"/>
    <n v="1"/>
    <n v="33750"/>
    <n v="12000"/>
    <n v="45750"/>
    <n v="20.326106273325038"/>
    <n v="4821"/>
    <n v="47"/>
    <x v="1604"/>
    <x v="5"/>
    <x v="1"/>
    <x v="1"/>
  </r>
  <r>
    <x v="124"/>
    <s v="ZNL"/>
    <x v="0"/>
    <s v="RZ4484"/>
    <n v="93321006"/>
    <s v="TALCAHUANO"/>
    <x v="1354"/>
    <x v="5"/>
    <x v="0"/>
    <x v="0"/>
    <x v="0"/>
    <n v="0"/>
    <n v="380000"/>
    <n v="0"/>
    <n v="380000"/>
    <n v="37.981768750999521"/>
    <n v="25000"/>
    <n v="30"/>
    <x v="1605"/>
    <x v="5"/>
    <x v="1"/>
    <x v="0"/>
  </r>
  <r>
    <x v="124"/>
    <s v="ZPEP"/>
    <x v="1"/>
    <s v="RK5135"/>
    <n v="138841065"/>
    <s v="ISLA DE MAIPO"/>
    <x v="1355"/>
    <x v="3"/>
    <x v="1"/>
    <x v="1"/>
    <x v="1"/>
    <n v="5"/>
    <n v="100402.28"/>
    <n v="0"/>
    <n v="100402.28"/>
    <n v="11"/>
    <n v="12000"/>
    <n v="76"/>
    <x v="1606"/>
    <x v="5"/>
    <x v="1"/>
    <x v="1"/>
  </r>
  <r>
    <x v="124"/>
    <s v="ZPEP"/>
    <x v="1"/>
    <s v="XR6339"/>
    <n v="78907355"/>
    <s v="ISLA DE MAIPO"/>
    <x v="1356"/>
    <x v="1"/>
    <x v="1"/>
    <x v="1"/>
    <x v="1"/>
    <n v="5"/>
    <n v="90000"/>
    <n v="19134.960000000003"/>
    <n v="109134.96"/>
    <n v="22.813731515508785"/>
    <n v="12000"/>
    <n v="40"/>
    <x v="1607"/>
    <x v="5"/>
    <x v="1"/>
    <x v="1"/>
  </r>
  <r>
    <x v="124"/>
    <s v="ZPEP"/>
    <x v="33"/>
    <s v="PN4466"/>
    <n v="81417709"/>
    <s v="BUIN"/>
    <x v="1357"/>
    <x v="1"/>
    <x v="0"/>
    <x v="56"/>
    <x v="1"/>
    <n v="5"/>
    <n v="120000"/>
    <n v="34044.360000000008"/>
    <n v="154044.36000000002"/>
    <n v="18.099251682216963"/>
    <n v="12000"/>
    <n v="71"/>
    <x v="1608"/>
    <x v="5"/>
    <x v="1"/>
    <x v="1"/>
  </r>
  <r>
    <x v="124"/>
    <s v="ZTAN"/>
    <x v="3"/>
    <s v="WC2233"/>
    <n v="125108660"/>
    <s v="LAS CONDES"/>
    <x v="1358"/>
    <x v="4"/>
    <x v="1"/>
    <x v="3"/>
    <x v="1"/>
    <n v="4"/>
    <n v="131231.1"/>
    <n v="0"/>
    <n v="131231.1"/>
    <n v="11"/>
    <n v="8011"/>
    <n v="100"/>
    <x v="1609"/>
    <x v="5"/>
    <x v="1"/>
    <x v="1"/>
  </r>
  <r>
    <x v="124"/>
    <s v="ZTAN"/>
    <x v="6"/>
    <s v="BPKD94"/>
    <n v="125897258"/>
    <s v="LINARES"/>
    <x v="1359"/>
    <x v="0"/>
    <x v="0"/>
    <x v="59"/>
    <x v="3"/>
    <n v="0"/>
    <n v="330000"/>
    <n v="0"/>
    <n v="330000"/>
    <n v="24.409728386295047"/>
    <n v="25000"/>
    <n v="54"/>
    <x v="1610"/>
    <x v="5"/>
    <x v="1"/>
    <x v="0"/>
  </r>
  <r>
    <x v="124"/>
    <s v="ZTAN"/>
    <x v="6"/>
    <s v="SV2718"/>
    <n v="81417709"/>
    <s v="LA REINA"/>
    <x v="1360"/>
    <x v="1"/>
    <x v="1"/>
    <x v="11"/>
    <x v="1"/>
    <n v="3"/>
    <n v="48075"/>
    <n v="12000"/>
    <n v="60075"/>
    <n v="22.34268074977685"/>
    <n v="6868"/>
    <n v="39"/>
    <x v="1611"/>
    <x v="5"/>
    <x v="1"/>
    <x v="1"/>
  </r>
  <r>
    <x v="124"/>
    <s v="ZTAN"/>
    <x v="7"/>
    <s v="WC2233"/>
    <n v="53173292"/>
    <s v="SAN MIGUEL"/>
    <x v="1361"/>
    <x v="4"/>
    <x v="1"/>
    <x v="23"/>
    <x v="1"/>
    <n v="2"/>
    <n v="75618.39999999998"/>
    <n v="0"/>
    <n v="75618.39999999998"/>
    <n v="10.999999999999998"/>
    <n v="5782"/>
    <n v="100"/>
    <x v="1612"/>
    <x v="5"/>
    <x v="1"/>
    <x v="1"/>
  </r>
  <r>
    <x v="124"/>
    <s v="ZTAN"/>
    <x v="8"/>
    <s v="BDCH61"/>
    <n v="99626232"/>
    <s v="LA REINA"/>
    <x v="1362"/>
    <x v="1"/>
    <x v="1"/>
    <x v="11"/>
    <x v="1"/>
    <n v="3"/>
    <n v="48075"/>
    <n v="12000"/>
    <n v="60075"/>
    <n v="25.899978443630093"/>
    <n v="6868"/>
    <n v="34"/>
    <x v="1613"/>
    <x v="5"/>
    <x v="1"/>
    <x v="1"/>
  </r>
  <r>
    <x v="124"/>
    <s v="ZTAN"/>
    <x v="8"/>
    <s v="DP5738"/>
    <n v="35488103"/>
    <s v="SAN BERNARDO"/>
    <x v="570"/>
    <x v="7"/>
    <x v="1"/>
    <x v="4"/>
    <x v="1"/>
    <n v="4"/>
    <n v="55000"/>
    <n v="0"/>
    <n v="55000"/>
    <n v="41.306796845662788"/>
    <n v="8011"/>
    <n v="17"/>
    <x v="1614"/>
    <x v="5"/>
    <x v="1"/>
    <x v="1"/>
  </r>
  <r>
    <x v="124"/>
    <s v="ZTAN"/>
    <x v="8"/>
    <s v="TP3884"/>
    <n v="154837728"/>
    <s v="MAIPU"/>
    <x v="1363"/>
    <x v="1"/>
    <x v="1"/>
    <x v="2"/>
    <x v="1"/>
    <n v="2"/>
    <n v="40475"/>
    <n v="12149"/>
    <n v="52624"/>
    <n v="17.326484920321349"/>
    <n v="5782"/>
    <n v="53"/>
    <x v="1615"/>
    <x v="5"/>
    <x v="1"/>
    <x v="1"/>
  </r>
  <r>
    <x v="124"/>
    <s v="ZTAN"/>
    <x v="8"/>
    <s v="UA7248"/>
    <n v="107643206"/>
    <s v="LA FLORIDA"/>
    <x v="570"/>
    <x v="1"/>
    <x v="1"/>
    <x v="33"/>
    <x v="1"/>
    <n v="3"/>
    <n v="48075"/>
    <n v="12000"/>
    <n v="60075"/>
    <n v="45.118287645512581"/>
    <n v="6868"/>
    <n v="19"/>
    <x v="1616"/>
    <x v="5"/>
    <x v="1"/>
    <x v="1"/>
  </r>
  <r>
    <x v="124"/>
    <s v="ZTAN"/>
    <x v="8"/>
    <s v="VE9862"/>
    <n v="98494073"/>
    <s v="CORONEL"/>
    <x v="1364"/>
    <x v="5"/>
    <x v="0"/>
    <x v="16"/>
    <x v="0"/>
    <n v="0"/>
    <n v="380000"/>
    <n v="0"/>
    <n v="380000"/>
    <n v="31.341498618499731"/>
    <n v="25000"/>
    <n v="48"/>
    <x v="1617"/>
    <x v="5"/>
    <x v="1"/>
    <x v="0"/>
  </r>
  <r>
    <x v="124"/>
    <s v="ZTAN"/>
    <x v="45"/>
    <s v="KKPF51"/>
    <n v="95707734"/>
    <s v="SAN JOSE DE MAIPO"/>
    <x v="1365"/>
    <x v="8"/>
    <x v="0"/>
    <x v="66"/>
    <x v="1"/>
    <n v="5"/>
    <n v="120000"/>
    <n v="0"/>
    <n v="120000"/>
    <n v="6.2092003791751695"/>
    <n v="12000"/>
    <n v="100"/>
    <x v="1618"/>
    <x v="5"/>
    <x v="1"/>
    <x v="1"/>
  </r>
  <r>
    <x v="124"/>
    <s v="ZTAN"/>
    <x v="45"/>
    <s v="SU9354"/>
    <n v="72564391"/>
    <s v="SAN JOSE DE MAIPO"/>
    <x v="1366"/>
    <x v="2"/>
    <x v="1"/>
    <x v="66"/>
    <x v="1"/>
    <n v="5"/>
    <n v="90000"/>
    <n v="0"/>
    <n v="90000"/>
    <n v="7.3770491803278686"/>
    <n v="12000"/>
    <n v="100"/>
    <x v="1619"/>
    <x v="5"/>
    <x v="1"/>
    <x v="1"/>
  </r>
  <r>
    <x v="125"/>
    <s v="ZPEP"/>
    <x v="18"/>
    <s v="RK5135"/>
    <s v="138841065"/>
    <s v="CARTAGENA"/>
    <x v="1367"/>
    <x v="3"/>
    <x v="1"/>
    <x v="40"/>
    <x v="2"/>
    <n v="0"/>
    <n v="180000"/>
    <n v="0"/>
    <n v="180000"/>
    <n v="20.702862170695102"/>
    <n v="25000"/>
    <n v="35"/>
    <x v="1620"/>
    <x v="5"/>
    <x v="1"/>
    <x v="0"/>
  </r>
  <r>
    <x v="125"/>
    <s v="ZPEP"/>
    <x v="12"/>
    <s v="HLBX77"/>
    <s v="16093509K"/>
    <s v="VITACURA"/>
    <x v="1368"/>
    <x v="1"/>
    <x v="1"/>
    <x v="27"/>
    <x v="1"/>
    <n v="4"/>
    <n v="79356"/>
    <n v="45346.559999999998"/>
    <n v="124702.56"/>
    <n v="10.999957659412313"/>
    <n v="8011"/>
    <n v="100"/>
    <x v="1621"/>
    <x v="5"/>
    <x v="1"/>
    <x v="1"/>
  </r>
  <r>
    <x v="125"/>
    <s v="ZPEP"/>
    <x v="52"/>
    <s v="DFRV76"/>
    <s v="113693568"/>
    <s v="PUERTO MONTT"/>
    <x v="1369"/>
    <x v="5"/>
    <x v="0"/>
    <x v="53"/>
    <x v="10"/>
    <n v="0"/>
    <n v="1020000"/>
    <n v="0"/>
    <n v="1020000"/>
    <n v="55.269634537669511"/>
    <n v="25000"/>
    <n v="74"/>
    <x v="1622"/>
    <x v="5"/>
    <x v="1"/>
    <x v="0"/>
  </r>
  <r>
    <x v="125"/>
    <s v="ZTAN"/>
    <x v="10"/>
    <s v="DJLF85"/>
    <s v="53173292"/>
    <s v="QUILICURA"/>
    <x v="1370"/>
    <x v="4"/>
    <x v="1"/>
    <x v="8"/>
    <x v="1"/>
    <n v="1"/>
    <n v="82328.399999999994"/>
    <n v="0"/>
    <n v="82328.399999999994"/>
    <n v="11"/>
    <n v="4821"/>
    <n v="100"/>
    <x v="1623"/>
    <x v="5"/>
    <x v="1"/>
    <x v="1"/>
  </r>
  <r>
    <x v="125"/>
    <s v="ZTAN"/>
    <x v="10"/>
    <s v="HLBX77"/>
    <s v="16093509K"/>
    <s v="QUILICURA"/>
    <x v="1371"/>
    <x v="1"/>
    <x v="1"/>
    <x v="8"/>
    <x v="1"/>
    <n v="1"/>
    <n v="96628"/>
    <n v="55216"/>
    <n v="151844"/>
    <n v="11"/>
    <n v="4821"/>
    <n v="100"/>
    <x v="1624"/>
    <x v="5"/>
    <x v="1"/>
    <x v="1"/>
  </r>
  <r>
    <x v="125"/>
    <s v="ZTAN"/>
    <x v="10"/>
    <s v="WC2233"/>
    <s v="53173292"/>
    <s v="QUILICURA"/>
    <x v="1371"/>
    <x v="4"/>
    <x v="1"/>
    <x v="8"/>
    <x v="1"/>
    <n v="1"/>
    <n v="96628"/>
    <n v="41412"/>
    <n v="138040"/>
    <n v="10"/>
    <n v="4821"/>
    <n v="100"/>
    <x v="1625"/>
    <x v="5"/>
    <x v="1"/>
    <x v="1"/>
  </r>
  <r>
    <x v="125"/>
    <s v="ZTAN"/>
    <x v="7"/>
    <s v="TP3839"/>
    <s v="78907355"/>
    <s v="TIL TIL"/>
    <x v="1321"/>
    <x v="1"/>
    <x v="0"/>
    <x v="70"/>
    <x v="1"/>
    <n v="5"/>
    <n v="120000"/>
    <n v="22512"/>
    <n v="142512"/>
    <n v="18.991471215351815"/>
    <n v="12000"/>
    <n v="63"/>
    <x v="1626"/>
    <x v="5"/>
    <x v="1"/>
    <x v="1"/>
  </r>
  <r>
    <x v="125"/>
    <s v="ZTAN"/>
    <x v="8"/>
    <s v="DP5738"/>
    <s v="35488103"/>
    <s v="CERRILLOS"/>
    <x v="471"/>
    <x v="7"/>
    <x v="1"/>
    <x v="9"/>
    <x v="1"/>
    <n v="2"/>
    <n v="55000"/>
    <n v="0"/>
    <n v="55000"/>
    <n v="24.431414356787492"/>
    <n v="5782"/>
    <n v="39"/>
    <x v="1627"/>
    <x v="5"/>
    <x v="1"/>
    <x v="1"/>
  </r>
  <r>
    <x v="125"/>
    <s v="ZTAN"/>
    <x v="8"/>
    <s v="PKYS74"/>
    <s v="6270439K"/>
    <s v="CORONEL"/>
    <x v="1372"/>
    <x v="0"/>
    <x v="0"/>
    <x v="16"/>
    <x v="0"/>
    <n v="0"/>
    <n v="380000"/>
    <n v="0"/>
    <n v="380000"/>
    <n v="56.778280813423578"/>
    <n v="25000"/>
    <n v="27"/>
    <x v="1628"/>
    <x v="5"/>
    <x v="1"/>
    <x v="0"/>
  </r>
  <r>
    <x v="125"/>
    <s v="ZTAN"/>
    <x v="8"/>
    <s v="PN4466"/>
    <s v="81417709"/>
    <s v="GRANEROS"/>
    <x v="1373"/>
    <x v="1"/>
    <x v="0"/>
    <x v="46"/>
    <x v="6"/>
    <n v="0"/>
    <n v="230000"/>
    <n v="85085.4"/>
    <n v="315085.40000000002"/>
    <n v="14.812665862768467"/>
    <n v="25000"/>
    <n v="85"/>
    <x v="1629"/>
    <x v="5"/>
    <x v="1"/>
    <x v="0"/>
  </r>
  <r>
    <x v="125"/>
    <s v="ZTAN"/>
    <x v="8"/>
    <s v="SV2718"/>
    <s v="103018366"/>
    <s v="ÑUÑOA"/>
    <x v="226"/>
    <x v="1"/>
    <x v="1"/>
    <x v="15"/>
    <x v="1"/>
    <n v="4"/>
    <n v="56075"/>
    <n v="12000"/>
    <n v="68075"/>
    <n v="34.450910931174086"/>
    <n v="8011"/>
    <n v="25"/>
    <x v="1630"/>
    <x v="5"/>
    <x v="1"/>
    <x v="1"/>
  </r>
  <r>
    <x v="125"/>
    <s v="ZTAN"/>
    <x v="8"/>
    <s v="TP3884"/>
    <s v="154837728"/>
    <s v="PUDAHUEL"/>
    <x v="1374"/>
    <x v="1"/>
    <x v="1"/>
    <x v="10"/>
    <x v="1"/>
    <n v="1"/>
    <n v="33750"/>
    <n v="12000"/>
    <n v="45750"/>
    <n v="20.911417862693114"/>
    <n v="4821"/>
    <n v="45"/>
    <x v="1631"/>
    <x v="5"/>
    <x v="1"/>
    <x v="1"/>
  </r>
  <r>
    <x v="125"/>
    <s v="ZTAN"/>
    <x v="8"/>
    <s v="UA7248"/>
    <s v="107643206"/>
    <s v="LAS CONDES"/>
    <x v="1375"/>
    <x v="1"/>
    <x v="1"/>
    <x v="3"/>
    <x v="1"/>
    <n v="4"/>
    <n v="56075"/>
    <n v="12000"/>
    <n v="68075"/>
    <n v="36.911023152415552"/>
    <n v="8011"/>
    <n v="23"/>
    <x v="1632"/>
    <x v="5"/>
    <x v="1"/>
    <x v="1"/>
  </r>
  <r>
    <x v="126"/>
    <s v="ZPEP"/>
    <x v="12"/>
    <s v="RK5135"/>
    <n v="138841065"/>
    <s v="VITACURA"/>
    <x v="1376"/>
    <x v="3"/>
    <x v="1"/>
    <x v="27"/>
    <x v="1"/>
    <n v="4"/>
    <n v="89073.60000000002"/>
    <n v="0"/>
    <n v="89073.60000000002"/>
    <n v="11"/>
    <n v="8011"/>
    <n v="100"/>
    <x v="1633"/>
    <x v="5"/>
    <x v="1"/>
    <x v="1"/>
  </r>
  <r>
    <x v="126"/>
    <s v="ZPEP"/>
    <x v="12"/>
    <s v="SU9354"/>
    <n v="72564391"/>
    <s v="VITACURA"/>
    <x v="1377"/>
    <x v="2"/>
    <x v="1"/>
    <x v="27"/>
    <x v="1"/>
    <n v="4"/>
    <n v="120249.36"/>
    <n v="0"/>
    <n v="120249.36"/>
    <n v="11"/>
    <n v="8011"/>
    <n v="100"/>
    <x v="1634"/>
    <x v="5"/>
    <x v="1"/>
    <x v="1"/>
  </r>
  <r>
    <x v="126"/>
    <s v="ZPEP"/>
    <x v="52"/>
    <s v="CJXX49"/>
    <n v="167832741"/>
    <s v="PUERTO MONTT"/>
    <x v="1378"/>
    <x v="5"/>
    <x v="0"/>
    <x v="53"/>
    <x v="10"/>
    <n v="0"/>
    <n v="1020000"/>
    <n v="0"/>
    <n v="1020000"/>
    <n v="92.642799338421412"/>
    <n v="25000"/>
    <n v="44"/>
    <x v="1635"/>
    <x v="5"/>
    <x v="1"/>
    <x v="0"/>
  </r>
  <r>
    <x v="126"/>
    <s v="ZTAN"/>
    <x v="3"/>
    <s v="DJLF85"/>
    <n v="125108660"/>
    <s v="LAS CONDES"/>
    <x v="1379"/>
    <x v="4"/>
    <x v="1"/>
    <x v="3"/>
    <x v="1"/>
    <n v="4"/>
    <n v="107597.6"/>
    <n v="0"/>
    <n v="107597.6"/>
    <n v="11"/>
    <n v="8011"/>
    <n v="100"/>
    <x v="1636"/>
    <x v="5"/>
    <x v="1"/>
    <x v="1"/>
  </r>
  <r>
    <x v="126"/>
    <s v="ZTAN"/>
    <x v="12"/>
    <s v="RK5135"/>
    <n v="138841065"/>
    <s v="VITACURA"/>
    <x v="924"/>
    <x v="3"/>
    <x v="1"/>
    <x v="27"/>
    <x v="1"/>
    <n v="4"/>
    <n v="50473.5"/>
    <n v="0"/>
    <n v="50473.5"/>
    <n v="11"/>
    <n v="8011"/>
    <n v="57"/>
    <x v="1637"/>
    <x v="5"/>
    <x v="1"/>
    <x v="1"/>
  </r>
  <r>
    <x v="126"/>
    <s v="ZTAN"/>
    <x v="10"/>
    <s v="WC2233"/>
    <n v="125108660"/>
    <s v="QUILICURA"/>
    <x v="1380"/>
    <x v="4"/>
    <x v="1"/>
    <x v="8"/>
    <x v="1"/>
    <n v="1"/>
    <n v="113883"/>
    <n v="0"/>
    <n v="113883"/>
    <n v="11"/>
    <n v="4821"/>
    <n v="100"/>
    <x v="1638"/>
    <x v="5"/>
    <x v="1"/>
    <x v="1"/>
  </r>
  <r>
    <x v="126"/>
    <s v="ZTAN"/>
    <x v="10"/>
    <s v="XR6339"/>
    <n v="78907355"/>
    <s v="QUILICURA"/>
    <x v="1381"/>
    <x v="0"/>
    <x v="0"/>
    <x v="8"/>
    <x v="1"/>
    <n v="1"/>
    <n v="33750"/>
    <n v="13804"/>
    <n v="47554"/>
    <n v="13.779773978556941"/>
    <n v="4821"/>
    <n v="72"/>
    <x v="1639"/>
    <x v="5"/>
    <x v="1"/>
    <x v="1"/>
  </r>
  <r>
    <x v="126"/>
    <s v="ZTAN"/>
    <x v="10"/>
    <s v="XR6339"/>
    <n v="78907355"/>
    <s v="QUILICURA"/>
    <x v="1382"/>
    <x v="1"/>
    <x v="1"/>
    <x v="8"/>
    <x v="1"/>
    <n v="1"/>
    <n v="48314"/>
    <n v="27607.999999999996"/>
    <n v="75922"/>
    <n v="11.000000000000002"/>
    <n v="4821"/>
    <n v="100"/>
    <x v="1640"/>
    <x v="5"/>
    <x v="1"/>
    <x v="1"/>
  </r>
  <r>
    <x v="126"/>
    <s v="ZTAN"/>
    <x v="16"/>
    <s v="DJLF85"/>
    <n v="53173292"/>
    <s v="MAIPU"/>
    <x v="1383"/>
    <x v="4"/>
    <x v="1"/>
    <x v="2"/>
    <x v="1"/>
    <n v="2"/>
    <n v="55000"/>
    <n v="0"/>
    <n v="55000"/>
    <n v="18.829168093118795"/>
    <n v="5782"/>
    <n v="51"/>
    <x v="1641"/>
    <x v="5"/>
    <x v="1"/>
    <x v="1"/>
  </r>
  <r>
    <x v="126"/>
    <s v="ZTAN"/>
    <x v="16"/>
    <s v="DJLF85"/>
    <n v="53173292"/>
    <s v="RENCA"/>
    <x v="921"/>
    <x v="4"/>
    <x v="1"/>
    <x v="7"/>
    <x v="1"/>
    <n v="1"/>
    <n v="89074"/>
    <n v="0"/>
    <n v="89074"/>
    <n v="15.133197417601087"/>
    <n v="4821"/>
    <n v="100"/>
    <x v="1642"/>
    <x v="5"/>
    <x v="1"/>
    <x v="1"/>
  </r>
  <r>
    <x v="126"/>
    <s v="ZTAN"/>
    <x v="8"/>
    <s v="BDCH61"/>
    <n v="107643206"/>
    <s v="REÑACA"/>
    <x v="1384"/>
    <x v="1"/>
    <x v="1"/>
    <x v="6"/>
    <x v="2"/>
    <n v="0"/>
    <n v="180000"/>
    <n v="18348"/>
    <n v="198348"/>
    <n v="43.241334205362982"/>
    <n v="25000"/>
    <n v="18"/>
    <x v="1643"/>
    <x v="5"/>
    <x v="1"/>
    <x v="0"/>
  </r>
  <r>
    <x v="126"/>
    <s v="ZTAN"/>
    <x v="8"/>
    <s v="DP5738"/>
    <n v="35488103"/>
    <s v="EL BOSQUE"/>
    <x v="1385"/>
    <x v="7"/>
    <x v="1"/>
    <x v="25"/>
    <x v="1"/>
    <n v="3"/>
    <n v="55000"/>
    <n v="0"/>
    <n v="55000"/>
    <n v="24.106947183870261"/>
    <n v="6868"/>
    <n v="33"/>
    <x v="1644"/>
    <x v="5"/>
    <x v="1"/>
    <x v="1"/>
  </r>
  <r>
    <x v="126"/>
    <s v="ZTAN"/>
    <x v="8"/>
    <s v="KKPF51"/>
    <n v="95707734"/>
    <s v="CORONEL"/>
    <x v="1386"/>
    <x v="8"/>
    <x v="0"/>
    <x v="16"/>
    <x v="0"/>
    <n v="0"/>
    <n v="380000"/>
    <n v="0"/>
    <n v="380000"/>
    <n v="23.545448912572031"/>
    <n v="25000"/>
    <n v="65"/>
    <x v="1645"/>
    <x v="5"/>
    <x v="1"/>
    <x v="0"/>
  </r>
  <r>
    <x v="126"/>
    <s v="ZTAN"/>
    <x v="8"/>
    <s v="SV2718"/>
    <n v="78907355"/>
    <s v="QUILICURA"/>
    <x v="618"/>
    <x v="1"/>
    <x v="1"/>
    <x v="8"/>
    <x v="1"/>
    <n v="1"/>
    <n v="33750"/>
    <n v="12000"/>
    <n v="45750"/>
    <n v="21.028681742967457"/>
    <n v="4821"/>
    <n v="45"/>
    <x v="1646"/>
    <x v="5"/>
    <x v="1"/>
    <x v="1"/>
  </r>
  <r>
    <x v="126"/>
    <s v="ZTAN"/>
    <x v="8"/>
    <s v="TP3884"/>
    <n v="154837728"/>
    <s v="SAN MIGUEL"/>
    <x v="1387"/>
    <x v="1"/>
    <x v="1"/>
    <x v="23"/>
    <x v="1"/>
    <n v="2"/>
    <n v="40475"/>
    <n v="15202"/>
    <n v="55677"/>
    <n v="14.649914484936193"/>
    <n v="5782"/>
    <n v="66"/>
    <x v="1647"/>
    <x v="5"/>
    <x v="1"/>
    <x v="1"/>
  </r>
  <r>
    <x v="126"/>
    <s v="ZTAN"/>
    <x v="8"/>
    <s v="UA7248"/>
    <n v="81417709"/>
    <s v="QUILIN"/>
    <x v="1388"/>
    <x v="1"/>
    <x v="1"/>
    <x v="34"/>
    <x v="1"/>
    <n v="4"/>
    <n v="56075"/>
    <n v="15950"/>
    <n v="72025"/>
    <n v="18.062242953154779"/>
    <n v="8011"/>
    <n v="50"/>
    <x v="1648"/>
    <x v="5"/>
    <x v="1"/>
    <x v="1"/>
  </r>
  <r>
    <x v="127"/>
    <s v="ZPEP"/>
    <x v="42"/>
    <s v="DJLF85"/>
    <s v="16093509K"/>
    <s v="QUINTA NORMAL"/>
    <x v="1389"/>
    <x v="4"/>
    <x v="1"/>
    <x v="62"/>
    <x v="1"/>
    <n v="1"/>
    <n v="55000"/>
    <n v="0"/>
    <n v="55000"/>
    <n v="11.029116868532926"/>
    <n v="4821"/>
    <n v="100"/>
    <x v="1649"/>
    <x v="5"/>
    <x v="1"/>
    <x v="1"/>
  </r>
  <r>
    <x v="127"/>
    <s v="ZTAN"/>
    <x v="6"/>
    <s v="TW7053"/>
    <s v="172861162"/>
    <s v="CHILLAN"/>
    <x v="1390"/>
    <x v="6"/>
    <x v="1"/>
    <x v="21"/>
    <x v="5"/>
    <n v="0"/>
    <n v="350000"/>
    <n v="0"/>
    <n v="350000"/>
    <n v="28.267752148349189"/>
    <n v="25000"/>
    <n v="50"/>
    <x v="1650"/>
    <x v="5"/>
    <x v="1"/>
    <x v="0"/>
  </r>
  <r>
    <x v="127"/>
    <s v="ZTAN"/>
    <x v="41"/>
    <s v="PN4466"/>
    <s v="81417709"/>
    <s v="LAS CABRAS"/>
    <x v="397"/>
    <x v="1"/>
    <x v="0"/>
    <x v="61"/>
    <x v="6"/>
    <n v="0"/>
    <n v="230000"/>
    <n v="75040"/>
    <n v="305040"/>
    <n v="16.260127931769723"/>
    <n v="25000"/>
    <n v="75"/>
    <x v="1651"/>
    <x v="5"/>
    <x v="1"/>
    <x v="0"/>
  </r>
  <r>
    <x v="127"/>
    <s v="ZTAN"/>
    <x v="7"/>
    <s v="HLBX77"/>
    <s v="16093509K"/>
    <s v="LA CISTERNA, SANTIAGO"/>
    <x v="1391"/>
    <x v="1"/>
    <x v="1"/>
    <x v="76"/>
    <x v="1"/>
    <n v="4"/>
    <n v="56075"/>
    <n v="12000"/>
    <n v="68075"/>
    <n v="100.46191080546619"/>
    <n v="8011"/>
    <n v="8"/>
    <x v="1652"/>
    <x v="5"/>
    <x v="1"/>
    <x v="1"/>
  </r>
  <r>
    <x v="127"/>
    <s v="ZTAN"/>
    <x v="7"/>
    <s v="HLBX77"/>
    <s v="16093509K"/>
    <s v="SAN MIGUEL"/>
    <x v="1392"/>
    <x v="1"/>
    <x v="1"/>
    <x v="23"/>
    <x v="1"/>
    <n v="2"/>
    <n v="40475"/>
    <n v="17915"/>
    <n v="58390"/>
    <n v="13.03726527787081"/>
    <n v="5782"/>
    <n v="77"/>
    <x v="1653"/>
    <x v="5"/>
    <x v="1"/>
    <x v="1"/>
  </r>
  <r>
    <x v="127"/>
    <s v="ZTAN"/>
    <x v="8"/>
    <s v="BDCH61"/>
    <s v="161268070"/>
    <s v="LA REINA"/>
    <x v="1393"/>
    <x v="1"/>
    <x v="1"/>
    <x v="11"/>
    <x v="1"/>
    <n v="3"/>
    <n v="48075"/>
    <n v="19130"/>
    <n v="67205"/>
    <n v="14.052273915316258"/>
    <n v="6868"/>
    <n v="70"/>
    <x v="1654"/>
    <x v="5"/>
    <x v="1"/>
    <x v="1"/>
  </r>
  <r>
    <x v="127"/>
    <s v="ZTAN"/>
    <x v="8"/>
    <s v="DP5738"/>
    <s v="35488103"/>
    <s v="ÑUÑOA"/>
    <x v="1394"/>
    <x v="7"/>
    <x v="1"/>
    <x v="15"/>
    <x v="1"/>
    <n v="4"/>
    <n v="55000"/>
    <n v="0"/>
    <n v="55000"/>
    <n v="21.197055536285507"/>
    <n v="8011"/>
    <n v="32"/>
    <x v="1655"/>
    <x v="5"/>
    <x v="1"/>
    <x v="1"/>
  </r>
  <r>
    <x v="127"/>
    <s v="ZTAN"/>
    <x v="8"/>
    <s v="RK5135"/>
    <s v="138841065"/>
    <s v="HUECHURABA"/>
    <x v="1393"/>
    <x v="3"/>
    <x v="1"/>
    <x v="24"/>
    <x v="1"/>
    <n v="1"/>
    <n v="55999"/>
    <n v="0"/>
    <n v="55999"/>
    <n v="11.709147935180345"/>
    <n v="4821"/>
    <n v="99"/>
    <x v="1656"/>
    <x v="5"/>
    <x v="1"/>
    <x v="1"/>
  </r>
  <r>
    <x v="127"/>
    <s v="ZTAN"/>
    <x v="8"/>
    <s v="SU9354"/>
    <s v="72564391"/>
    <s v="LAS CONDES"/>
    <x v="960"/>
    <x v="2"/>
    <x v="1"/>
    <x v="3"/>
    <x v="1"/>
    <n v="4"/>
    <n v="55000"/>
    <n v="12905"/>
    <n v="67905"/>
    <n v="15.785986609633623"/>
    <n v="8011"/>
    <n v="54"/>
    <x v="1657"/>
    <x v="5"/>
    <x v="1"/>
    <x v="1"/>
  </r>
  <r>
    <x v="127"/>
    <s v="ZTAN"/>
    <x v="8"/>
    <s v="SV2718"/>
    <s v="78907355"/>
    <s v="SAN BERNARDO"/>
    <x v="1395"/>
    <x v="1"/>
    <x v="1"/>
    <x v="4"/>
    <x v="1"/>
    <n v="4"/>
    <n v="56075"/>
    <n v="13380"/>
    <n v="69455"/>
    <n v="20.763205883232192"/>
    <n v="8011"/>
    <n v="42"/>
    <x v="1658"/>
    <x v="5"/>
    <x v="1"/>
    <x v="1"/>
  </r>
  <r>
    <x v="127"/>
    <s v="ZTAN"/>
    <x v="8"/>
    <s v="TP3884"/>
    <s v="154837728"/>
    <s v="PUDAHUEL"/>
    <x v="1396"/>
    <x v="1"/>
    <x v="1"/>
    <x v="10"/>
    <x v="1"/>
    <n v="1"/>
    <n v="33750"/>
    <n v="18094"/>
    <n v="51844"/>
    <n v="11.460783446812272"/>
    <n v="4821"/>
    <n v="94"/>
    <x v="1659"/>
    <x v="5"/>
    <x v="1"/>
    <x v="1"/>
  </r>
  <r>
    <x v="127"/>
    <s v="ZTAN"/>
    <x v="8"/>
    <s v="UA7248"/>
    <s v="99626232"/>
    <s v="LAS CONDES"/>
    <x v="1397"/>
    <x v="1"/>
    <x v="1"/>
    <x v="3"/>
    <x v="1"/>
    <n v="4"/>
    <n v="56075"/>
    <n v="12000"/>
    <n v="68075"/>
    <n v="41.420748402798907"/>
    <n v="8011"/>
    <n v="21"/>
    <x v="1660"/>
    <x v="5"/>
    <x v="1"/>
    <x v="1"/>
  </r>
  <r>
    <x v="127"/>
    <s v="ZTAN"/>
    <x v="8"/>
    <s v="VE9862"/>
    <s v="98444073"/>
    <s v="CORONEL"/>
    <x v="1398"/>
    <x v="5"/>
    <x v="0"/>
    <x v="16"/>
    <x v="0"/>
    <n v="0"/>
    <n v="380000"/>
    <n v="0"/>
    <n v="380000"/>
    <n v="27.797487984901576"/>
    <n v="25000"/>
    <n v="37"/>
    <x v="1661"/>
    <x v="5"/>
    <x v="1"/>
    <x v="0"/>
  </r>
  <r>
    <x v="127"/>
    <s v="ZTAN"/>
    <x v="8"/>
    <s v="XR6339"/>
    <s v="107643206"/>
    <s v="CERRILLOS"/>
    <x v="1399"/>
    <x v="1"/>
    <x v="1"/>
    <x v="9"/>
    <x v="1"/>
    <n v="2"/>
    <n v="40475"/>
    <n v="12000"/>
    <n v="52475"/>
    <n v="18.28715804147064"/>
    <n v="5782"/>
    <n v="50"/>
    <x v="1662"/>
    <x v="5"/>
    <x v="1"/>
    <x v="1"/>
  </r>
  <r>
    <x v="128"/>
    <s v="ZPEP"/>
    <x v="13"/>
    <s v="SV2718"/>
    <s v="107643206"/>
    <s v="SANTIAGO"/>
    <x v="1400"/>
    <x v="1"/>
    <x v="1"/>
    <x v="20"/>
    <x v="1"/>
    <n v="1"/>
    <n v="33750"/>
    <n v="12000"/>
    <n v="45750"/>
    <n v="52.345537757437071"/>
    <n v="4821"/>
    <n v="18"/>
    <x v="1663"/>
    <x v="5"/>
    <x v="1"/>
    <x v="1"/>
  </r>
  <r>
    <x v="128"/>
    <s v="ZPEP"/>
    <x v="58"/>
    <s v="BDCH61"/>
    <s v="154837728"/>
    <s v="COLINA"/>
    <x v="1401"/>
    <x v="1"/>
    <x v="1"/>
    <x v="5"/>
    <x v="1"/>
    <n v="5"/>
    <n v="70000"/>
    <n v="12000"/>
    <n v="82000"/>
    <n v="29.285714285714285"/>
    <n v="12000"/>
    <n v="23"/>
    <x v="1664"/>
    <x v="5"/>
    <x v="1"/>
    <x v="1"/>
  </r>
  <r>
    <x v="128"/>
    <s v="ZPEP"/>
    <x v="42"/>
    <s v="HLBX77"/>
    <s v="16093509K"/>
    <s v="QUINTA NORMAL"/>
    <x v="1402"/>
    <x v="1"/>
    <x v="1"/>
    <x v="62"/>
    <x v="1"/>
    <n v="1"/>
    <n v="33750"/>
    <n v="12000"/>
    <n v="45750"/>
    <n v="9.9387382690302406"/>
    <n v="4821"/>
    <n v="95"/>
    <x v="1665"/>
    <x v="5"/>
    <x v="1"/>
    <x v="1"/>
  </r>
  <r>
    <x v="128"/>
    <s v="ZTAN"/>
    <x v="11"/>
    <s v="DJLF85"/>
    <s v="53173292"/>
    <s v="PADRE HURTADO"/>
    <x v="1403"/>
    <x v="4"/>
    <x v="1"/>
    <x v="26"/>
    <x v="1"/>
    <n v="5"/>
    <n v="70000"/>
    <n v="0"/>
    <n v="70000"/>
    <n v="22.364217252396166"/>
    <n v="12000"/>
    <n v="26"/>
    <x v="1666"/>
    <x v="5"/>
    <x v="1"/>
    <x v="1"/>
  </r>
  <r>
    <x v="128"/>
    <s v="ZTAN"/>
    <x v="10"/>
    <s v="XR6339"/>
    <s v="78907355"/>
    <s v="QUILICURA"/>
    <x v="1404"/>
    <x v="1"/>
    <x v="1"/>
    <x v="8"/>
    <x v="1"/>
    <n v="1"/>
    <n v="33750"/>
    <n v="12000"/>
    <n v="45750"/>
    <n v="32.286520818630912"/>
    <n v="4821"/>
    <n v="29"/>
    <x v="1667"/>
    <x v="5"/>
    <x v="1"/>
    <x v="1"/>
  </r>
  <r>
    <x v="128"/>
    <s v="ZTAN"/>
    <x v="7"/>
    <s v="DJLF85"/>
    <s v="53173292"/>
    <s v="SAN MIGUEL"/>
    <x v="1382"/>
    <x v="4"/>
    <x v="1"/>
    <x v="23"/>
    <x v="1"/>
    <n v="2"/>
    <n v="75921.999999999985"/>
    <n v="0"/>
    <n v="75921.999999999985"/>
    <n v="11"/>
    <n v="5782"/>
    <n v="100"/>
    <x v="1668"/>
    <x v="5"/>
    <x v="1"/>
    <x v="1"/>
  </r>
  <r>
    <x v="128"/>
    <s v="ZTAN"/>
    <x v="7"/>
    <s v="WC2233"/>
    <s v="125108660"/>
    <s v="SAN MIGUEL"/>
    <x v="1405"/>
    <x v="4"/>
    <x v="1"/>
    <x v="23"/>
    <x v="1"/>
    <n v="2"/>
    <n v="83877.200000000012"/>
    <n v="0"/>
    <n v="83877.200000000012"/>
    <n v="11"/>
    <n v="5782"/>
    <n v="100"/>
    <x v="1669"/>
    <x v="5"/>
    <x v="1"/>
    <x v="1"/>
  </r>
  <r>
    <x v="128"/>
    <s v="ZTAN"/>
    <x v="8"/>
    <s v="BWPL69"/>
    <s v="78551976"/>
    <s v="CORONEL"/>
    <x v="1406"/>
    <x v="5"/>
    <x v="0"/>
    <x v="16"/>
    <x v="0"/>
    <n v="0"/>
    <n v="380000"/>
    <n v="0"/>
    <n v="380000"/>
    <n v="24.83010977522218"/>
    <n v="25000"/>
    <n v="61"/>
    <x v="1670"/>
    <x v="5"/>
    <x v="1"/>
    <x v="0"/>
  </r>
  <r>
    <x v="128"/>
    <s v="ZTAN"/>
    <x v="8"/>
    <s v="DP5738"/>
    <s v="35488103"/>
    <s v="ÑUÑOA"/>
    <x v="1394"/>
    <x v="7"/>
    <x v="1"/>
    <x v="15"/>
    <x v="1"/>
    <n v="4"/>
    <n v="55000"/>
    <n v="0"/>
    <n v="55000"/>
    <n v="21.197055536285507"/>
    <n v="8011"/>
    <n v="32"/>
    <x v="1671"/>
    <x v="5"/>
    <x v="1"/>
    <x v="1"/>
  </r>
  <r>
    <x v="128"/>
    <s v="ZTAN"/>
    <x v="8"/>
    <s v="TP3884"/>
    <s v="154837728"/>
    <s v="PUDAHUEL"/>
    <x v="1374"/>
    <x v="1"/>
    <x v="1"/>
    <x v="10"/>
    <x v="1"/>
    <n v="1"/>
    <n v="33750"/>
    <n v="12000"/>
    <n v="45750"/>
    <n v="20.911417862693114"/>
    <n v="4821"/>
    <n v="45"/>
    <x v="1672"/>
    <x v="5"/>
    <x v="1"/>
    <x v="1"/>
  </r>
  <r>
    <x v="128"/>
    <s v="ZTAN"/>
    <x v="8"/>
    <s v="UA7248"/>
    <s v="107643206"/>
    <s v="PUENTE ALTO"/>
    <x v="1407"/>
    <x v="1"/>
    <x v="1"/>
    <x v="30"/>
    <x v="1"/>
    <n v="4"/>
    <n v="56075"/>
    <n v="12000"/>
    <n v="68075"/>
    <n v="23.168946974338031"/>
    <n v="8011"/>
    <n v="37"/>
    <x v="1673"/>
    <x v="5"/>
    <x v="1"/>
    <x v="1"/>
  </r>
  <r>
    <x v="128"/>
    <s v="ZTAN"/>
    <x v="45"/>
    <s v="KKPF51"/>
    <s v="95707734"/>
    <s v="SAN JOSE DE MAIPO"/>
    <x v="1408"/>
    <x v="8"/>
    <x v="0"/>
    <x v="66"/>
    <x v="1"/>
    <n v="5"/>
    <n v="190960"/>
    <n v="0"/>
    <n v="190960"/>
    <n v="11"/>
    <n v="12000"/>
    <n v="100"/>
    <x v="1674"/>
    <x v="5"/>
    <x v="1"/>
    <x v="1"/>
  </r>
  <r>
    <x v="128"/>
    <s v="ZTAN"/>
    <x v="45"/>
    <s v="SU9354"/>
    <s v="72564391"/>
    <s v="SAN JOSE DE MAIPO"/>
    <x v="1409"/>
    <x v="2"/>
    <x v="1"/>
    <x v="66"/>
    <x v="1"/>
    <n v="5"/>
    <n v="142074.23999999999"/>
    <n v="0"/>
    <n v="142074.23999999999"/>
    <n v="11"/>
    <n v="12000"/>
    <n v="100"/>
    <x v="1675"/>
    <x v="5"/>
    <x v="1"/>
    <x v="1"/>
  </r>
  <r>
    <x v="129"/>
    <s v="ZPEP"/>
    <x v="33"/>
    <s v="DJLF85"/>
    <s v="53173292"/>
    <s v="BUIN"/>
    <x v="1410"/>
    <x v="4"/>
    <x v="1"/>
    <x v="56"/>
    <x v="1"/>
    <n v="5"/>
    <n v="113838.12"/>
    <n v="0"/>
    <n v="113838.12"/>
    <n v="11"/>
    <n v="12000"/>
    <n v="86"/>
    <x v="1676"/>
    <x v="5"/>
    <x v="1"/>
    <x v="1"/>
  </r>
  <r>
    <x v="129"/>
    <s v="ZPEP"/>
    <x v="33"/>
    <s v="WG4022"/>
    <s v="81417709"/>
    <s v="BUIN"/>
    <x v="1411"/>
    <x v="1"/>
    <x v="0"/>
    <x v="56"/>
    <x v="1"/>
    <n v="5"/>
    <n v="120000"/>
    <n v="23445.760000000006"/>
    <n v="143445.76000000001"/>
    <n v="24.472784844679801"/>
    <n v="12000"/>
    <n v="49"/>
    <x v="1677"/>
    <x v="5"/>
    <x v="1"/>
    <x v="1"/>
  </r>
  <r>
    <x v="129"/>
    <s v="ZTAN"/>
    <x v="4"/>
    <s v="WC2233"/>
    <s v="53173292"/>
    <s v="SAN BERNARDO"/>
    <x v="1412"/>
    <x v="4"/>
    <x v="1"/>
    <x v="4"/>
    <x v="1"/>
    <n v="4"/>
    <n v="62348"/>
    <n v="0"/>
    <n v="62348"/>
    <n v="11"/>
    <n v="8011"/>
    <n v="71"/>
    <x v="1678"/>
    <x v="5"/>
    <x v="1"/>
    <x v="1"/>
  </r>
  <r>
    <x v="129"/>
    <s v="ZTAN"/>
    <x v="12"/>
    <s v="SU9354"/>
    <s v="72564391"/>
    <s v="VITACURA"/>
    <x v="1413"/>
    <x v="2"/>
    <x v="1"/>
    <x v="27"/>
    <x v="1"/>
    <n v="4"/>
    <n v="128542.70000000001"/>
    <n v="0"/>
    <n v="128542.70000000001"/>
    <n v="11"/>
    <n v="8011"/>
    <n v="100"/>
    <x v="1679"/>
    <x v="5"/>
    <x v="1"/>
    <x v="1"/>
  </r>
  <r>
    <x v="129"/>
    <s v="ZTAN"/>
    <x v="10"/>
    <s v="HLBX77"/>
    <s v="16093509K"/>
    <s v="QUILICURA"/>
    <x v="1000"/>
    <x v="1"/>
    <x v="1"/>
    <x v="8"/>
    <x v="1"/>
    <n v="1"/>
    <n v="47275"/>
    <n v="27014"/>
    <n v="74289"/>
    <n v="10.99991115849325"/>
    <n v="4821"/>
    <n v="100"/>
    <x v="1680"/>
    <x v="5"/>
    <x v="1"/>
    <x v="1"/>
  </r>
  <r>
    <x v="129"/>
    <s v="ZTAN"/>
    <x v="10"/>
    <s v="RK5135"/>
    <s v="138841065"/>
    <s v="QUILICURA"/>
    <x v="1414"/>
    <x v="3"/>
    <x v="1"/>
    <x v="8"/>
    <x v="1"/>
    <n v="1"/>
    <n v="94635.199999999968"/>
    <n v="0"/>
    <n v="94635.199999999968"/>
    <n v="11"/>
    <n v="4821"/>
    <n v="100"/>
    <x v="1681"/>
    <x v="5"/>
    <x v="1"/>
    <x v="1"/>
  </r>
  <r>
    <x v="129"/>
    <s v="ZTAN"/>
    <x v="10"/>
    <s v="XR6339"/>
    <s v="78907355"/>
    <s v="QUILICURA"/>
    <x v="1415"/>
    <x v="1"/>
    <x v="1"/>
    <x v="8"/>
    <x v="1"/>
    <n v="1"/>
    <n v="33750"/>
    <n v="18014"/>
    <n v="51764"/>
    <n v="11.493915978328447"/>
    <n v="4821"/>
    <n v="93"/>
    <x v="1682"/>
    <x v="5"/>
    <x v="1"/>
    <x v="1"/>
  </r>
  <r>
    <x v="129"/>
    <s v="ZTAN"/>
    <x v="7"/>
    <s v="AU7248"/>
    <s v="107643206"/>
    <s v="SAN MIGUEL"/>
    <x v="448"/>
    <x v="0"/>
    <x v="0"/>
    <x v="23"/>
    <x v="1"/>
    <n v="2"/>
    <n v="42022"/>
    <n v="18010"/>
    <n v="60032"/>
    <n v="10.000000000000002"/>
    <n v="5782"/>
    <n v="100"/>
    <x v="1683"/>
    <x v="5"/>
    <x v="1"/>
    <x v="1"/>
  </r>
  <r>
    <x v="129"/>
    <s v="ZTAN"/>
    <x v="7"/>
    <s v="BDCH61"/>
    <s v="154837728"/>
    <s v="SAN MIGUEL"/>
    <x v="448"/>
    <x v="1"/>
    <x v="1"/>
    <x v="23"/>
    <x v="1"/>
    <n v="2"/>
    <n v="42022"/>
    <n v="24013"/>
    <n v="66035"/>
    <n v="10.99996668443497"/>
    <n v="5782"/>
    <n v="100"/>
    <x v="1684"/>
    <x v="5"/>
    <x v="1"/>
    <x v="1"/>
  </r>
  <r>
    <x v="129"/>
    <s v="ZTAN"/>
    <x v="7"/>
    <s v="DFRV76"/>
    <s v="113693568"/>
    <s v="CHILLAN"/>
    <x v="1416"/>
    <x v="5"/>
    <x v="0"/>
    <x v="21"/>
    <x v="5"/>
    <n v="0"/>
    <n v="350000"/>
    <n v="0"/>
    <n v="350000"/>
    <n v="31.704334435436362"/>
    <n v="25000"/>
    <n v="44"/>
    <x v="1685"/>
    <x v="5"/>
    <x v="1"/>
    <x v="0"/>
  </r>
  <r>
    <x v="129"/>
    <s v="ZTAN"/>
    <x v="8"/>
    <s v="BDCH61"/>
    <s v="78907355"/>
    <s v="LA FLORIDA"/>
    <x v="1417"/>
    <x v="1"/>
    <x v="1"/>
    <x v="33"/>
    <x v="1"/>
    <n v="3"/>
    <n v="48075"/>
    <n v="13235"/>
    <n v="61310"/>
    <n v="18.529376208897485"/>
    <n v="6868"/>
    <n v="48"/>
    <x v="1686"/>
    <x v="5"/>
    <x v="1"/>
    <x v="1"/>
  </r>
  <r>
    <x v="129"/>
    <s v="ZTAN"/>
    <x v="8"/>
    <s v="CJXX49"/>
    <s v="167832741"/>
    <s v="CORONEL"/>
    <x v="1418"/>
    <x v="5"/>
    <x v="0"/>
    <x v="16"/>
    <x v="0"/>
    <n v="0"/>
    <n v="380000"/>
    <n v="0"/>
    <n v="380000"/>
    <n v="27.427317608337905"/>
    <n v="25000"/>
    <n v="55"/>
    <x v="1687"/>
    <x v="5"/>
    <x v="1"/>
    <x v="0"/>
  </r>
  <r>
    <x v="129"/>
    <s v="ZTAN"/>
    <x v="8"/>
    <s v="DP5738"/>
    <s v="35488103"/>
    <s v="QUILICURA"/>
    <x v="1419"/>
    <x v="7"/>
    <x v="1"/>
    <x v="8"/>
    <x v="1"/>
    <n v="1"/>
    <n v="55000"/>
    <n v="0"/>
    <n v="55000"/>
    <n v="46.175803878767532"/>
    <n v="4821"/>
    <n v="25"/>
    <x v="1688"/>
    <x v="5"/>
    <x v="1"/>
    <x v="1"/>
  </r>
  <r>
    <x v="129"/>
    <s v="ZTAN"/>
    <x v="8"/>
    <s v="SV2718"/>
    <s v="78907355"/>
    <s v="LAS CONDES"/>
    <x v="1420"/>
    <x v="1"/>
    <x v="1"/>
    <x v="3"/>
    <x v="1"/>
    <n v="4"/>
    <n v="56075"/>
    <n v="12000"/>
    <n v="68075"/>
    <n v="55.050137473718266"/>
    <n v="8011"/>
    <n v="15"/>
    <x v="1689"/>
    <x v="5"/>
    <x v="1"/>
    <x v="1"/>
  </r>
  <r>
    <x v="129"/>
    <s v="ZTAN"/>
    <x v="8"/>
    <s v="SV2718"/>
    <s v="99626232"/>
    <s v="MAIPU"/>
    <x v="1421"/>
    <x v="1"/>
    <x v="1"/>
    <x v="2"/>
    <x v="1"/>
    <n v="2"/>
    <n v="40475"/>
    <n v="12000"/>
    <n v="52475"/>
    <n v="23.676848802057481"/>
    <n v="5782"/>
    <n v="38"/>
    <x v="1690"/>
    <x v="5"/>
    <x v="1"/>
    <x v="1"/>
  </r>
  <r>
    <x v="129"/>
    <s v="ZTAN"/>
    <x v="8"/>
    <s v="TP3884"/>
    <s v="154837728"/>
    <s v="PUDAHUEL"/>
    <x v="1422"/>
    <x v="1"/>
    <x v="1"/>
    <x v="10"/>
    <x v="1"/>
    <n v="1"/>
    <n v="33750"/>
    <n v="12000"/>
    <n v="45750"/>
    <n v="23.78353087960075"/>
    <n v="4821"/>
    <n v="40"/>
    <x v="1691"/>
    <x v="5"/>
    <x v="1"/>
    <x v="1"/>
  </r>
  <r>
    <x v="130"/>
    <s v="ZPEP"/>
    <x v="12"/>
    <s v="HLBX77"/>
    <s v="16093509K"/>
    <s v="VITACURA"/>
    <x v="1423"/>
    <x v="1"/>
    <x v="1"/>
    <x v="27"/>
    <x v="1"/>
    <n v="4"/>
    <n v="152768"/>
    <n v="0"/>
    <n v="152768"/>
    <n v="11"/>
    <n v="8011"/>
    <n v="100"/>
    <x v="1692"/>
    <x v="6"/>
    <x v="1"/>
    <x v="1"/>
  </r>
  <r>
    <x v="130"/>
    <s v="ZPEP"/>
    <x v="12"/>
    <s v="WC2233"/>
    <s v="125108660"/>
    <s v="VITACURA"/>
    <x v="1424"/>
    <x v="4"/>
    <x v="1"/>
    <x v="27"/>
    <x v="1"/>
    <n v="4"/>
    <n v="105409.92"/>
    <n v="0"/>
    <n v="105409.92"/>
    <n v="11"/>
    <n v="8011"/>
    <n v="100"/>
    <x v="1693"/>
    <x v="6"/>
    <x v="1"/>
    <x v="1"/>
  </r>
  <r>
    <x v="130"/>
    <s v="ZPEP"/>
    <x v="12"/>
    <s v="XR6339"/>
    <s v="78907355"/>
    <s v="VITACURA"/>
    <x v="1425"/>
    <x v="1"/>
    <x v="1"/>
    <x v="27"/>
    <x v="1"/>
    <n v="4"/>
    <n v="100826.88"/>
    <n v="0"/>
    <n v="100826.88"/>
    <n v="11"/>
    <n v="8011"/>
    <n v="100"/>
    <x v="1694"/>
    <x v="6"/>
    <x v="1"/>
    <x v="1"/>
  </r>
  <r>
    <x v="130"/>
    <s v="ZTAN"/>
    <x v="7"/>
    <s v="BWPL69"/>
    <s v="78551976"/>
    <s v="CHILLAN"/>
    <x v="1144"/>
    <x v="5"/>
    <x v="0"/>
    <x v="21"/>
    <x v="5"/>
    <n v="0"/>
    <n v="350000"/>
    <n v="0"/>
    <n v="350000"/>
    <n v="33.964095099466277"/>
    <n v="25000"/>
    <n v="41"/>
    <x v="1695"/>
    <x v="6"/>
    <x v="1"/>
    <x v="0"/>
  </r>
  <r>
    <x v="131"/>
    <s v="ZPEP"/>
    <x v="5"/>
    <s v="DJLF85"/>
    <s v="53173292"/>
    <s v="BUIN"/>
    <x v="1426"/>
    <x v="4"/>
    <x v="1"/>
    <x v="56"/>
    <x v="1"/>
    <n v="5"/>
    <n v="90000"/>
    <n v="0"/>
    <n v="90000"/>
    <n v="18.611191529839939"/>
    <n v="12000"/>
    <n v="40"/>
    <x v="1696"/>
    <x v="6"/>
    <x v="1"/>
    <x v="1"/>
  </r>
  <r>
    <x v="131"/>
    <s v="ZPEP"/>
    <x v="33"/>
    <s v="SU9354"/>
    <s v="72564391"/>
    <s v="BUIN"/>
    <x v="1427"/>
    <x v="2"/>
    <x v="1"/>
    <x v="56"/>
    <x v="1"/>
    <n v="5"/>
    <n v="90000"/>
    <n v="0"/>
    <n v="90000"/>
    <n v="19.751395765300746"/>
    <n v="12000"/>
    <n v="38"/>
    <x v="1697"/>
    <x v="6"/>
    <x v="1"/>
    <x v="1"/>
  </r>
  <r>
    <x v="131"/>
    <s v="ZTAN"/>
    <x v="3"/>
    <s v="WC2233"/>
    <s v="125108660"/>
    <s v="LAS CONDES"/>
    <x v="1428"/>
    <x v="4"/>
    <x v="1"/>
    <x v="3"/>
    <x v="1"/>
    <n v="4"/>
    <n v="154146.29999999999"/>
    <n v="0"/>
    <n v="154146.29999999999"/>
    <n v="11"/>
    <n v="8011"/>
    <n v="100"/>
    <x v="1698"/>
    <x v="6"/>
    <x v="1"/>
    <x v="1"/>
  </r>
  <r>
    <x v="131"/>
    <s v="ZTAN"/>
    <x v="8"/>
    <s v="DP5738"/>
    <s v="35488103"/>
    <s v="LAS CONDES"/>
    <x v="1375"/>
    <x v="7"/>
    <x v="1"/>
    <x v="3"/>
    <x v="1"/>
    <n v="4"/>
    <n v="55000"/>
    <n v="0"/>
    <n v="55000"/>
    <n v="29.821612535921489"/>
    <n v="8011"/>
    <n v="23"/>
    <x v="1699"/>
    <x v="6"/>
    <x v="1"/>
    <x v="1"/>
  </r>
  <r>
    <x v="131"/>
    <s v="ZTAN"/>
    <x v="8"/>
    <s v="PKYS74"/>
    <s v="6270439K"/>
    <s v="CORONEL"/>
    <x v="1429"/>
    <x v="0"/>
    <x v="0"/>
    <x v="16"/>
    <x v="0"/>
    <n v="0"/>
    <n v="380000"/>
    <n v="0"/>
    <n v="380000"/>
    <n v="24.214926590538351"/>
    <n v="25000"/>
    <n v="63"/>
    <x v="1700"/>
    <x v="6"/>
    <x v="1"/>
    <x v="0"/>
  </r>
  <r>
    <x v="131"/>
    <s v="ZTAN"/>
    <x v="8"/>
    <s v="SV2718"/>
    <s v="107643206"/>
    <s v="PUDAHUEL"/>
    <x v="1430"/>
    <x v="1"/>
    <x v="1"/>
    <x v="10"/>
    <x v="1"/>
    <n v="1"/>
    <n v="55000"/>
    <n v="0"/>
    <n v="55000"/>
    <n v="18.978605935127675"/>
    <n v="4821"/>
    <n v="60"/>
    <x v="1701"/>
    <x v="6"/>
    <x v="1"/>
    <x v="1"/>
  </r>
  <r>
    <x v="131"/>
    <s v="ZTAN"/>
    <x v="8"/>
    <s v="TP3884"/>
    <s v="154837728"/>
    <s v="REÑACA"/>
    <x v="1431"/>
    <x v="1"/>
    <x v="1"/>
    <x v="6"/>
    <x v="2"/>
    <n v="0"/>
    <n v="180000"/>
    <n v="0"/>
    <n v="180000"/>
    <n v="38.727167107726075"/>
    <n v="25000"/>
    <n v="19"/>
    <x v="1702"/>
    <x v="6"/>
    <x v="1"/>
    <x v="0"/>
  </r>
  <r>
    <x v="132"/>
    <s v="ZPEP"/>
    <x v="12"/>
    <s v="WC4022"/>
    <s v="81417709"/>
    <s v="VITACURA"/>
    <x v="1432"/>
    <x v="0"/>
    <x v="0"/>
    <x v="27"/>
    <x v="1"/>
    <n v="4"/>
    <n v="232760"/>
    <n v="0"/>
    <n v="232760"/>
    <n v="11"/>
    <n v="8011"/>
    <n v="100"/>
    <x v="1703"/>
    <x v="6"/>
    <x v="1"/>
    <x v="1"/>
  </r>
  <r>
    <x v="132"/>
    <s v="ZPEP"/>
    <x v="33"/>
    <s v="RK5135"/>
    <s v="138841065"/>
    <s v="BUIN"/>
    <x v="1433"/>
    <x v="3"/>
    <x v="1"/>
    <x v="56"/>
    <x v="1"/>
    <n v="5"/>
    <n v="90000"/>
    <n v="0"/>
    <n v="90000"/>
    <n v="24.006145573266757"/>
    <n v="12000"/>
    <n v="31"/>
    <x v="1704"/>
    <x v="6"/>
    <x v="1"/>
    <x v="1"/>
  </r>
  <r>
    <x v="132"/>
    <s v="ZTAN"/>
    <x v="59"/>
    <s v="HLBX77"/>
    <s v="16093509K"/>
    <s v="TALCA"/>
    <x v="1434"/>
    <x v="1"/>
    <x v="1"/>
    <x v="12"/>
    <x v="3"/>
    <n v="0"/>
    <n v="260000"/>
    <n v="0"/>
    <n v="260000"/>
    <n v="102.88065843621401"/>
    <n v="25000"/>
    <n v="10"/>
    <x v="1705"/>
    <x v="6"/>
    <x v="1"/>
    <x v="0"/>
  </r>
  <r>
    <x v="132"/>
    <s v="ZTAN"/>
    <x v="7"/>
    <s v="TP3884"/>
    <s v="154837728"/>
    <s v="SAN MIGUEL"/>
    <x v="1435"/>
    <x v="1"/>
    <x v="1"/>
    <x v="23"/>
    <x v="1"/>
    <n v="2"/>
    <n v="55000"/>
    <n v="0"/>
    <n v="55000"/>
    <n v="12.187015289164636"/>
    <n v="5782"/>
    <n v="78"/>
    <x v="1706"/>
    <x v="6"/>
    <x v="1"/>
    <x v="1"/>
  </r>
  <r>
    <x v="132"/>
    <s v="ZTAN"/>
    <x v="7"/>
    <s v="XR6339"/>
    <s v="78907355"/>
    <s v="SAN MIGUEL"/>
    <x v="1436"/>
    <x v="1"/>
    <x v="1"/>
    <x v="23"/>
    <x v="1"/>
    <n v="2"/>
    <n v="58014"/>
    <n v="0"/>
    <n v="58014"/>
    <n v="11"/>
    <n v="5782"/>
    <n v="91"/>
    <x v="1707"/>
    <x v="6"/>
    <x v="1"/>
    <x v="1"/>
  </r>
  <r>
    <x v="132"/>
    <s v="ZTAN"/>
    <x v="8"/>
    <s v="BDCH61"/>
    <s v="81417709"/>
    <s v="ÑUÑOA"/>
    <x v="1437"/>
    <x v="1"/>
    <x v="1"/>
    <x v="15"/>
    <x v="1"/>
    <n v="4"/>
    <n v="73180.800000000003"/>
    <n v="0"/>
    <n v="73180.800000000003"/>
    <n v="11"/>
    <n v="8011"/>
    <n v="83"/>
    <x v="1708"/>
    <x v="6"/>
    <x v="1"/>
    <x v="1"/>
  </r>
  <r>
    <x v="132"/>
    <s v="ZTAN"/>
    <x v="8"/>
    <s v="BPKD94"/>
    <s v="125897258"/>
    <s v="CORONEL"/>
    <x v="1438"/>
    <x v="0"/>
    <x v="0"/>
    <x v="16"/>
    <x v="0"/>
    <n v="0"/>
    <n v="380000"/>
    <n v="0"/>
    <n v="380000"/>
    <n v="24.392122628187025"/>
    <n v="25000"/>
    <n v="62"/>
    <x v="1709"/>
    <x v="6"/>
    <x v="1"/>
    <x v="0"/>
  </r>
  <r>
    <x v="132"/>
    <s v="ZTAN"/>
    <x v="8"/>
    <s v="DJLF85"/>
    <s v="53173292"/>
    <s v="LA REINA"/>
    <x v="1439"/>
    <x v="4"/>
    <x v="1"/>
    <x v="11"/>
    <x v="1"/>
    <n v="3"/>
    <n v="59593.599999999991"/>
    <n v="0"/>
    <n v="59593.599999999991"/>
    <n v="11"/>
    <n v="6868"/>
    <n v="79"/>
    <x v="1710"/>
    <x v="6"/>
    <x v="1"/>
    <x v="1"/>
  </r>
  <r>
    <x v="132"/>
    <s v="ZTAN"/>
    <x v="8"/>
    <s v="DP5738"/>
    <s v="35488103"/>
    <s v="QUILIN"/>
    <x v="1440"/>
    <x v="7"/>
    <x v="1"/>
    <x v="34"/>
    <x v="1"/>
    <n v="4"/>
    <n v="55000"/>
    <n v="0"/>
    <n v="55000"/>
    <n v="14.409976944036888"/>
    <n v="8011"/>
    <n v="48"/>
    <x v="1711"/>
    <x v="6"/>
    <x v="1"/>
    <x v="1"/>
  </r>
  <r>
    <x v="132"/>
    <s v="ZTAN"/>
    <x v="8"/>
    <s v="SV2718"/>
    <s v="99626232"/>
    <s v="PUENTE ALTO"/>
    <x v="1441"/>
    <x v="1"/>
    <x v="1"/>
    <x v="30"/>
    <x v="1"/>
    <n v="4"/>
    <n v="55000"/>
    <n v="0"/>
    <n v="55000"/>
    <n v="20.188672319494916"/>
    <n v="8011"/>
    <n v="34"/>
    <x v="1712"/>
    <x v="6"/>
    <x v="1"/>
    <x v="1"/>
  </r>
  <r>
    <x v="132"/>
    <s v="ZTAN"/>
    <x v="8"/>
    <s v="TP3884"/>
    <s v="154837728"/>
    <s v="PUDAHUEL"/>
    <x v="1442"/>
    <x v="1"/>
    <x v="1"/>
    <x v="10"/>
    <x v="1"/>
    <n v="1"/>
    <n v="56502.600000000006"/>
    <n v="0"/>
    <n v="56502.600000000006"/>
    <n v="11"/>
    <n v="4821"/>
    <n v="100"/>
    <x v="1713"/>
    <x v="6"/>
    <x v="1"/>
    <x v="1"/>
  </r>
  <r>
    <x v="132"/>
    <s v="ZTAN"/>
    <x v="8"/>
    <s v="UA7248"/>
    <s v="107643206"/>
    <s v="HUECHURABA"/>
    <x v="1443"/>
    <x v="1"/>
    <x v="1"/>
    <x v="24"/>
    <x v="1"/>
    <n v="1"/>
    <n v="55000"/>
    <n v="0"/>
    <n v="55000"/>
    <n v="22.814950014518605"/>
    <n v="4821"/>
    <n v="50"/>
    <x v="1714"/>
    <x v="6"/>
    <x v="1"/>
    <x v="1"/>
  </r>
  <r>
    <x v="133"/>
    <s v="ZPEP"/>
    <x v="12"/>
    <s v="WC4022"/>
    <n v="81417709"/>
    <s v="VITACURA"/>
    <x v="1444"/>
    <x v="1"/>
    <x v="0"/>
    <x v="27"/>
    <x v="1"/>
    <n v="4"/>
    <n v="111724.79999999999"/>
    <n v="0"/>
    <n v="111724.79999999999"/>
    <n v="11"/>
    <n v="8011"/>
    <n v="100"/>
    <x v="1715"/>
    <x v="6"/>
    <x v="1"/>
    <x v="1"/>
  </r>
  <r>
    <x v="133"/>
    <s v="ZPEP"/>
    <x v="33"/>
    <s v="DJLF85"/>
    <n v="53173292"/>
    <s v="BUIN"/>
    <x v="1445"/>
    <x v="4"/>
    <x v="1"/>
    <x v="56"/>
    <x v="1"/>
    <n v="5"/>
    <n v="66937.859999999986"/>
    <n v="0"/>
    <n v="66937.859999999986"/>
    <n v="10.999999999999998"/>
    <n v="12000"/>
    <n v="51"/>
    <x v="1716"/>
    <x v="6"/>
    <x v="1"/>
    <x v="1"/>
  </r>
  <r>
    <x v="133"/>
    <s v="ZPEP"/>
    <x v="33"/>
    <s v="RK5135"/>
    <n v="138841065"/>
    <s v="BUIN"/>
    <x v="1446"/>
    <x v="3"/>
    <x v="1"/>
    <x v="56"/>
    <x v="1"/>
    <n v="5"/>
    <n v="55000"/>
    <n v="0"/>
    <n v="55000"/>
    <n v="19.63304062254587"/>
    <n v="12000"/>
    <n v="23"/>
    <x v="1717"/>
    <x v="6"/>
    <x v="1"/>
    <x v="1"/>
  </r>
  <r>
    <x v="133"/>
    <s v="ZTAN"/>
    <x v="3"/>
    <s v="TP3884"/>
    <n v="154837728"/>
    <s v="LAS CONDES"/>
    <x v="1447"/>
    <x v="1"/>
    <x v="1"/>
    <x v="3"/>
    <x v="1"/>
    <n v="4"/>
    <n v="76383.999999999985"/>
    <n v="0"/>
    <n v="76383.999999999985"/>
    <n v="11"/>
    <n v="8011"/>
    <n v="87"/>
    <x v="1718"/>
    <x v="6"/>
    <x v="1"/>
    <x v="1"/>
  </r>
  <r>
    <x v="133"/>
    <s v="ZTAN"/>
    <x v="59"/>
    <s v="SU9354"/>
    <n v="72564391"/>
    <s v="CAUQUENES"/>
    <x v="1448"/>
    <x v="2"/>
    <x v="1"/>
    <x v="72"/>
    <x v="3"/>
    <n v="0"/>
    <n v="350000"/>
    <n v="0"/>
    <n v="350000"/>
    <n v="93.505882855829967"/>
    <n v="25000"/>
    <n v="15"/>
    <x v="1719"/>
    <x v="6"/>
    <x v="1"/>
    <x v="0"/>
  </r>
  <r>
    <x v="133"/>
    <s v="ZTAN"/>
    <x v="10"/>
    <s v="DJLF85"/>
    <n v="53173292"/>
    <s v="QUILICURA"/>
    <x v="1449"/>
    <x v="4"/>
    <x v="1"/>
    <x v="8"/>
    <x v="1"/>
    <n v="1"/>
    <n v="55000"/>
    <n v="0"/>
    <n v="55000"/>
    <n v="14.116318464144552"/>
    <n v="4821"/>
    <n v="81"/>
    <x v="1720"/>
    <x v="6"/>
    <x v="1"/>
    <x v="1"/>
  </r>
  <r>
    <x v="133"/>
    <s v="ZTAN"/>
    <x v="10"/>
    <s v="XR6339"/>
    <n v="78907355"/>
    <s v="QUILICURA"/>
    <x v="1450"/>
    <x v="1"/>
    <x v="1"/>
    <x v="8"/>
    <x v="1"/>
    <n v="1"/>
    <n v="55000"/>
    <n v="0"/>
    <n v="55000"/>
    <n v="11.651554952970088"/>
    <n v="4821"/>
    <n v="98"/>
    <x v="1721"/>
    <x v="6"/>
    <x v="1"/>
    <x v="1"/>
  </r>
  <r>
    <x v="133"/>
    <s v="ZTAN"/>
    <x v="7"/>
    <s v="KKPF51"/>
    <n v="95707734"/>
    <s v="MELIPILLA"/>
    <x v="104"/>
    <x v="8"/>
    <x v="0"/>
    <x v="29"/>
    <x v="1"/>
    <n v="5"/>
    <n v="214614.40000000002"/>
    <n v="0"/>
    <n v="214614.40000000002"/>
    <n v="11"/>
    <n v="12000"/>
    <n v="100"/>
    <x v="1722"/>
    <x v="6"/>
    <x v="1"/>
    <x v="1"/>
  </r>
  <r>
    <x v="133"/>
    <s v="ZTAN"/>
    <x v="8"/>
    <s v="BDCH61"/>
    <n v="99626232"/>
    <s v="ÑUÑOA"/>
    <x v="1451"/>
    <x v="1"/>
    <x v="1"/>
    <x v="15"/>
    <x v="1"/>
    <n v="4"/>
    <n v="55000"/>
    <n v="0"/>
    <n v="55000"/>
    <n v="13.220200466312525"/>
    <n v="8011"/>
    <n v="52"/>
    <x v="1723"/>
    <x v="6"/>
    <x v="1"/>
    <x v="1"/>
  </r>
  <r>
    <x v="133"/>
    <s v="ZTAN"/>
    <x v="8"/>
    <s v="CJXX49"/>
    <n v="167832741"/>
    <s v="CORONEL"/>
    <x v="418"/>
    <x v="5"/>
    <x v="0"/>
    <x v="16"/>
    <x v="0"/>
    <n v="0"/>
    <n v="380000"/>
    <n v="0"/>
    <n v="380000"/>
    <n v="24.830109775222166"/>
    <n v="25000"/>
    <n v="61"/>
    <x v="1724"/>
    <x v="6"/>
    <x v="1"/>
    <x v="0"/>
  </r>
  <r>
    <x v="133"/>
    <s v="ZTAN"/>
    <x v="8"/>
    <s v="DP5738"/>
    <n v="35488103"/>
    <s v="QUILICURA"/>
    <x v="471"/>
    <x v="7"/>
    <x v="1"/>
    <x v="8"/>
    <x v="1"/>
    <n v="1"/>
    <n v="55000"/>
    <n v="0"/>
    <n v="55000"/>
    <n v="24.431414356787492"/>
    <n v="4821"/>
    <n v="47"/>
    <x v="1725"/>
    <x v="6"/>
    <x v="1"/>
    <x v="1"/>
  </r>
  <r>
    <x v="133"/>
    <s v="ZTAN"/>
    <x v="8"/>
    <s v="RK5135"/>
    <n v="138841065"/>
    <s v="LAS CONDES"/>
    <x v="435"/>
    <x v="3"/>
    <x v="1"/>
    <x v="3"/>
    <x v="1"/>
    <n v="4"/>
    <n v="55000"/>
    <n v="0"/>
    <n v="55000"/>
    <n v="36.647121535181235"/>
    <n v="8011"/>
    <n v="19"/>
    <x v="1726"/>
    <x v="6"/>
    <x v="1"/>
    <x v="1"/>
  </r>
  <r>
    <x v="133"/>
    <s v="ZTAN"/>
    <x v="8"/>
    <s v="SV2718"/>
    <n v="107643206"/>
    <s v="LAS CONDES"/>
    <x v="1452"/>
    <x v="1"/>
    <x v="1"/>
    <x v="3"/>
    <x v="1"/>
    <n v="4"/>
    <n v="55000"/>
    <n v="0"/>
    <n v="55000"/>
    <n v="37.453183520599254"/>
    <n v="8011"/>
    <n v="18"/>
    <x v="1727"/>
    <x v="6"/>
    <x v="1"/>
    <x v="1"/>
  </r>
  <r>
    <x v="133"/>
    <s v="ZTAN"/>
    <x v="8"/>
    <s v="TP3884"/>
    <n v="154837728"/>
    <s v="MAIPU"/>
    <x v="472"/>
    <x v="1"/>
    <x v="1"/>
    <x v="2"/>
    <x v="1"/>
    <n v="2"/>
    <n v="55000"/>
    <n v="0"/>
    <n v="55000"/>
    <n v="53.648068669527895"/>
    <n v="5782"/>
    <n v="18"/>
    <x v="1728"/>
    <x v="6"/>
    <x v="1"/>
    <x v="1"/>
  </r>
  <r>
    <x v="133"/>
    <s v="ZTAN"/>
    <x v="8"/>
    <s v="UA7248"/>
    <n v="107643206"/>
    <s v="SAN BERNARDO"/>
    <x v="1453"/>
    <x v="1"/>
    <x v="1"/>
    <x v="4"/>
    <x v="1"/>
    <n v="4"/>
    <n v="55000"/>
    <n v="0"/>
    <n v="55000"/>
    <n v="18.418673185760692"/>
    <n v="8011"/>
    <n v="37"/>
    <x v="1729"/>
    <x v="6"/>
    <x v="1"/>
    <x v="1"/>
  </r>
  <r>
    <x v="134"/>
    <s v="ZPEP"/>
    <x v="61"/>
    <s v="BPKD94"/>
    <s v="125897258"/>
    <s v="LABRANZA"/>
    <x v="1454"/>
    <x v="0"/>
    <x v="0"/>
    <x v="14"/>
    <x v="4"/>
    <n v="0"/>
    <n v="620000"/>
    <n v="0"/>
    <n v="620000"/>
    <n v="66.223609357609632"/>
    <n v="25000"/>
    <n v="37"/>
    <x v="1730"/>
    <x v="6"/>
    <x v="1"/>
    <x v="0"/>
  </r>
  <r>
    <x v="134"/>
    <s v="ZPEP"/>
    <x v="18"/>
    <s v="HLBX77"/>
    <s v="16093509K"/>
    <s v="CARTAGENA"/>
    <x v="1455"/>
    <x v="1"/>
    <x v="1"/>
    <x v="40"/>
    <x v="2"/>
    <n v="0"/>
    <n v="230000"/>
    <n v="0"/>
    <n v="230000"/>
    <n v="24.703106254504291"/>
    <n v="25000"/>
    <n v="37"/>
    <x v="1731"/>
    <x v="6"/>
    <x v="1"/>
    <x v="0"/>
  </r>
  <r>
    <x v="134"/>
    <s v="ZPEP"/>
    <x v="12"/>
    <s v="WC4022"/>
    <s v="81417709"/>
    <s v="VITACURA"/>
    <x v="1456"/>
    <x v="1"/>
    <x v="1"/>
    <x v="27"/>
    <x v="1"/>
    <n v="4"/>
    <n v="121035"/>
    <n v="0"/>
    <n v="121035"/>
    <n v="10.999981823469536"/>
    <n v="5000"/>
    <n v="100"/>
    <x v="1732"/>
    <x v="6"/>
    <x v="1"/>
    <x v="1"/>
  </r>
  <r>
    <x v="134"/>
    <s v="ZTAN"/>
    <x v="3"/>
    <s v="WC2233"/>
    <s v="125108660"/>
    <s v="LAS CONDES"/>
    <x v="1457"/>
    <x v="4"/>
    <x v="1"/>
    <x v="3"/>
    <x v="1"/>
    <n v="4"/>
    <n v="114576"/>
    <n v="0"/>
    <n v="114576"/>
    <n v="11"/>
    <n v="5000"/>
    <n v="100"/>
    <x v="1733"/>
    <x v="6"/>
    <x v="1"/>
    <x v="1"/>
  </r>
  <r>
    <x v="134"/>
    <s v="ZTAN"/>
    <x v="7"/>
    <s v="DJLF85"/>
    <s v="53173292"/>
    <s v="SAN MIGUEL"/>
    <x v="1458"/>
    <x v="4"/>
    <x v="1"/>
    <x v="23"/>
    <x v="1"/>
    <n v="2"/>
    <n v="74818"/>
    <n v="0"/>
    <n v="74818"/>
    <n v="11.000058809691838"/>
    <n v="5000"/>
    <n v="100"/>
    <x v="1734"/>
    <x v="6"/>
    <x v="1"/>
    <x v="1"/>
  </r>
  <r>
    <x v="134"/>
    <s v="ZTAN"/>
    <x v="7"/>
    <s v="KKPF51"/>
    <s v="95707734"/>
    <s v="RANCAGUA"/>
    <x v="1459"/>
    <x v="8"/>
    <x v="0"/>
    <x v="28"/>
    <x v="6"/>
    <n v="0"/>
    <n v="230000"/>
    <n v="0"/>
    <n v="230000"/>
    <n v="13.274847050675294"/>
    <n v="25000"/>
    <n v="69"/>
    <x v="1735"/>
    <x v="6"/>
    <x v="1"/>
    <x v="0"/>
  </r>
  <r>
    <x v="134"/>
    <s v="ZTAN"/>
    <x v="7"/>
    <s v="XR6339"/>
    <s v="78907355"/>
    <s v="TIL TIL"/>
    <x v="234"/>
    <x v="1"/>
    <x v="1"/>
    <x v="70"/>
    <x v="1"/>
    <n v="5"/>
    <n v="90000"/>
    <n v="0"/>
    <n v="90000"/>
    <n v="9.9946695095948854"/>
    <n v="10000"/>
    <n v="90"/>
    <x v="1736"/>
    <x v="6"/>
    <x v="1"/>
    <x v="1"/>
  </r>
  <r>
    <x v="134"/>
    <s v="ZTAN"/>
    <x v="8"/>
    <s v="BFRV76"/>
    <s v="113693568"/>
    <s v="CORONEL"/>
    <x v="1406"/>
    <x v="0"/>
    <x v="0"/>
    <x v="16"/>
    <x v="0"/>
    <n v="0"/>
    <n v="380000"/>
    <n v="0"/>
    <n v="380000"/>
    <n v="24.83010977522218"/>
    <n v="25000"/>
    <n v="61"/>
    <x v="1737"/>
    <x v="6"/>
    <x v="1"/>
    <x v="0"/>
  </r>
  <r>
    <x v="134"/>
    <s v="ZTAN"/>
    <x v="8"/>
    <s v="SV2718"/>
    <s v="107643206"/>
    <s v="PUDAHUEL"/>
    <x v="1460"/>
    <x v="1"/>
    <x v="1"/>
    <x v="10"/>
    <x v="1"/>
    <n v="1"/>
    <n v="55372"/>
    <n v="0"/>
    <n v="55372"/>
    <n v="11.000039731415631"/>
    <n v="5000"/>
    <n v="100"/>
    <x v="1738"/>
    <x v="6"/>
    <x v="1"/>
    <x v="1"/>
  </r>
  <r>
    <x v="134"/>
    <s v="ZTAN"/>
    <x v="8"/>
    <s v="UA7248"/>
    <s v="107643206"/>
    <s v="LA FLORIDA"/>
    <x v="1461"/>
    <x v="1"/>
    <x v="1"/>
    <x v="33"/>
    <x v="1"/>
    <n v="3"/>
    <n v="55000"/>
    <n v="0"/>
    <n v="55000"/>
    <n v="33.680342927127988"/>
    <n v="5000"/>
    <n v="33"/>
    <x v="1739"/>
    <x v="6"/>
    <x v="1"/>
    <x v="1"/>
  </r>
  <r>
    <x v="134"/>
    <s v="ZTAN"/>
    <x v="8"/>
    <s v="UA7248"/>
    <s v="99626232"/>
    <s v="LA FLORIDA"/>
    <x v="97"/>
    <x v="1"/>
    <x v="1"/>
    <x v="33"/>
    <x v="1"/>
    <n v="3"/>
    <n v="55000"/>
    <n v="0"/>
    <n v="55000"/>
    <n v="13.918412794817289"/>
    <n v="5000"/>
    <n v="79"/>
    <x v="1740"/>
    <x v="6"/>
    <x v="1"/>
    <x v="1"/>
  </r>
  <r>
    <x v="135"/>
    <s v="ZNL"/>
    <x v="0"/>
    <s v="KKPF51"/>
    <n v="95707734"/>
    <s v="TALCAHUANO"/>
    <x v="1462"/>
    <x v="8"/>
    <x v="0"/>
    <x v="0"/>
    <x v="0"/>
    <n v="0"/>
    <n v="380000"/>
    <n v="0"/>
    <n v="380000"/>
    <n v="26.20545073375262"/>
    <n v="25000"/>
    <n v="58"/>
    <x v="1741"/>
    <x v="6"/>
    <x v="1"/>
    <x v="0"/>
  </r>
  <r>
    <x v="135"/>
    <s v="ZPEP"/>
    <x v="3"/>
    <s v="DJLF85"/>
    <n v="53173292"/>
    <s v="LAS CONDES"/>
    <x v="1463"/>
    <x v="4"/>
    <x v="1"/>
    <x v="3"/>
    <x v="1"/>
    <n v="4"/>
    <n v="161412"/>
    <n v="0"/>
    <n v="161412"/>
    <n v="11.000028622481732"/>
    <n v="5000"/>
    <n v="100"/>
    <x v="1742"/>
    <x v="6"/>
    <x v="1"/>
    <x v="1"/>
  </r>
  <r>
    <x v="135"/>
    <s v="ZPEP"/>
    <x v="3"/>
    <s v="WC2233"/>
    <n v="125108660"/>
    <s v="LAS CONDES"/>
    <x v="1463"/>
    <x v="4"/>
    <x v="1"/>
    <x v="3"/>
    <x v="1"/>
    <n v="4"/>
    <n v="161412"/>
    <n v="0"/>
    <n v="161412"/>
    <n v="11.000028622481732"/>
    <n v="5000"/>
    <n v="100"/>
    <x v="1743"/>
    <x v="6"/>
    <x v="1"/>
    <x v="1"/>
  </r>
  <r>
    <x v="135"/>
    <s v="ZPEP"/>
    <x v="5"/>
    <s v="WG4022"/>
    <n v="81417709"/>
    <s v="BUIN"/>
    <x v="1464"/>
    <x v="1"/>
    <x v="0"/>
    <x v="56"/>
    <x v="1"/>
    <n v="5"/>
    <n v="120000"/>
    <n v="0"/>
    <n v="120000"/>
    <n v="11.781037634524722"/>
    <n v="10000"/>
    <n v="100"/>
    <x v="1744"/>
    <x v="6"/>
    <x v="1"/>
    <x v="1"/>
  </r>
  <r>
    <x v="135"/>
    <s v="ZPEP"/>
    <x v="18"/>
    <s v="SU9354"/>
    <n v="72564391"/>
    <s v="CARTAGENA"/>
    <x v="1465"/>
    <x v="2"/>
    <x v="1"/>
    <x v="40"/>
    <x v="2"/>
    <n v="0"/>
    <n v="180000"/>
    <n v="0"/>
    <n v="180000"/>
    <n v="19.286361756430395"/>
    <n v="25000"/>
    <n v="37"/>
    <x v="1745"/>
    <x v="6"/>
    <x v="1"/>
    <x v="0"/>
  </r>
  <r>
    <x v="135"/>
    <s v="ZTAN"/>
    <x v="3"/>
    <s v="RK5135"/>
    <n v="138841065"/>
    <s v="LAS CONDES"/>
    <x v="836"/>
    <x v="3"/>
    <x v="1"/>
    <x v="3"/>
    <x v="1"/>
    <n v="4"/>
    <n v="100650"/>
    <n v="0"/>
    <n v="100650"/>
    <n v="11"/>
    <n v="5000"/>
    <n v="100"/>
    <x v="1746"/>
    <x v="6"/>
    <x v="1"/>
    <x v="1"/>
  </r>
  <r>
    <x v="135"/>
    <s v="ZTAN"/>
    <x v="8"/>
    <s v="BDCH61"/>
    <n v="81417709"/>
    <s v="PUDAHUEL"/>
    <x v="936"/>
    <x v="1"/>
    <x v="1"/>
    <x v="10"/>
    <x v="1"/>
    <n v="1"/>
    <n v="66849"/>
    <n v="0"/>
    <n v="66849"/>
    <n v="10.999967090107287"/>
    <n v="5000"/>
    <n v="100"/>
    <x v="1747"/>
    <x v="6"/>
    <x v="1"/>
    <x v="1"/>
  </r>
  <r>
    <x v="135"/>
    <s v="ZTAN"/>
    <x v="8"/>
    <s v="CVSK23"/>
    <n v="95439802"/>
    <s v="CORONEL"/>
    <x v="1466"/>
    <x v="0"/>
    <x v="0"/>
    <x v="16"/>
    <x v="0"/>
    <n v="0"/>
    <n v="380000"/>
    <n v="0"/>
    <n v="380000"/>
    <n v="23.486365546737868"/>
    <n v="25000"/>
    <n v="52"/>
    <x v="1748"/>
    <x v="6"/>
    <x v="1"/>
    <x v="0"/>
  </r>
  <r>
    <x v="135"/>
    <s v="ZTAN"/>
    <x v="8"/>
    <s v="DP5738"/>
    <n v="35488103"/>
    <s v="LAS CONDES"/>
    <x v="248"/>
    <x v="7"/>
    <x v="1"/>
    <x v="3"/>
    <x v="1"/>
    <n v="4"/>
    <n v="55000"/>
    <n v="0"/>
    <n v="55000"/>
    <n v="18.323560767590617"/>
    <n v="5000"/>
    <n v="60"/>
    <x v="1749"/>
    <x v="6"/>
    <x v="1"/>
    <x v="1"/>
  </r>
  <r>
    <x v="135"/>
    <s v="ZTAN"/>
    <x v="8"/>
    <s v="SV2718"/>
    <n v="99626232"/>
    <s v="CERRILLOS"/>
    <x v="1467"/>
    <x v="1"/>
    <x v="1"/>
    <x v="9"/>
    <x v="1"/>
    <n v="2"/>
    <n v="55000"/>
    <n v="0"/>
    <n v="55000"/>
    <n v="20.179043146463165"/>
    <n v="5000"/>
    <n v="55"/>
    <x v="1750"/>
    <x v="6"/>
    <x v="1"/>
    <x v="1"/>
  </r>
  <r>
    <x v="135"/>
    <s v="ZTAN"/>
    <x v="8"/>
    <s v="TP3884"/>
    <n v="154837728"/>
    <s v="REÑACA"/>
    <x v="919"/>
    <x v="1"/>
    <x v="1"/>
    <x v="6"/>
    <x v="2"/>
    <n v="0"/>
    <n v="180000"/>
    <n v="0"/>
    <n v="180000"/>
    <n v="25.343545843658482"/>
    <n v="25000"/>
    <n v="28"/>
    <x v="1751"/>
    <x v="6"/>
    <x v="1"/>
    <x v="0"/>
  </r>
  <r>
    <x v="135"/>
    <s v="ZTAN"/>
    <x v="8"/>
    <s v="UA7248"/>
    <n v="107643206"/>
    <s v="LA REINA"/>
    <x v="1468"/>
    <x v="1"/>
    <x v="1"/>
    <x v="11"/>
    <x v="1"/>
    <n v="3"/>
    <n v="55000"/>
    <n v="0"/>
    <n v="55000"/>
    <n v="16.172665255234062"/>
    <n v="5000"/>
    <n v="68"/>
    <x v="1752"/>
    <x v="6"/>
    <x v="1"/>
    <x v="1"/>
  </r>
  <r>
    <x v="136"/>
    <s v="ZPEP"/>
    <x v="3"/>
    <s v="HLBX77"/>
    <s v="16093509K"/>
    <s v="LAS CONDES"/>
    <x v="1469"/>
    <x v="1"/>
    <x v="1"/>
    <x v="3"/>
    <x v="1"/>
    <n v="4"/>
    <n v="166303"/>
    <n v="0"/>
    <n v="166303"/>
    <n v="11.000010583102489"/>
    <n v="5000"/>
    <n v="100"/>
    <x v="1753"/>
    <x v="6"/>
    <x v="1"/>
    <x v="1"/>
  </r>
  <r>
    <x v="136"/>
    <s v="ZPEP"/>
    <x v="18"/>
    <s v="DJLF85"/>
    <s v="125108660"/>
    <s v="CARTAGENA"/>
    <x v="1470"/>
    <x v="4"/>
    <x v="1"/>
    <x v="40"/>
    <x v="2"/>
    <n v="0"/>
    <n v="180000"/>
    <n v="0"/>
    <n v="180000"/>
    <n v="23.185269625364686"/>
    <n v="25000"/>
    <n v="31"/>
    <x v="1754"/>
    <x v="6"/>
    <x v="1"/>
    <x v="0"/>
  </r>
  <r>
    <x v="136"/>
    <s v="ZTAN"/>
    <x v="10"/>
    <s v="XR6339"/>
    <s v="78907355"/>
    <s v="QUILICURA"/>
    <x v="790"/>
    <x v="1"/>
    <x v="1"/>
    <x v="8"/>
    <x v="1"/>
    <n v="1"/>
    <n v="55000"/>
    <n v="0"/>
    <n v="55000"/>
    <n v="24.258997882851094"/>
    <n v="5000"/>
    <n v="45"/>
    <x v="1755"/>
    <x v="6"/>
    <x v="1"/>
    <x v="1"/>
  </r>
  <r>
    <x v="136"/>
    <s v="ZTAN"/>
    <x v="60"/>
    <s v="BWPL69"/>
    <s v="78551976"/>
    <s v="ARAUCO"/>
    <x v="1471"/>
    <x v="5"/>
    <x v="0"/>
    <x v="74"/>
    <x v="0"/>
    <n v="0"/>
    <n v="480000"/>
    <n v="0"/>
    <n v="480000"/>
    <n v="59.51155888048838"/>
    <n v="25000"/>
    <n v="10"/>
    <x v="1756"/>
    <x v="6"/>
    <x v="1"/>
    <x v="0"/>
  </r>
  <r>
    <x v="136"/>
    <s v="ZTAN"/>
    <x v="7"/>
    <s v="BYZH29"/>
    <s v="122975819"/>
    <s v="RENCA"/>
    <x v="1472"/>
    <x v="0"/>
    <x v="0"/>
    <x v="7"/>
    <x v="1"/>
    <n v="1"/>
    <n v="160431"/>
    <n v="0"/>
    <n v="160431"/>
    <n v="10.999997257388602"/>
    <n v="5000"/>
    <n v="100"/>
    <x v="1757"/>
    <x v="6"/>
    <x v="1"/>
    <x v="1"/>
  </r>
  <r>
    <x v="136"/>
    <s v="ZTAN"/>
    <x v="8"/>
    <s v="BDCH61"/>
    <s v="99626232"/>
    <s v="SAN BERNARDO"/>
    <x v="1473"/>
    <x v="1"/>
    <x v="1"/>
    <x v="4"/>
    <x v="1"/>
    <n v="4"/>
    <n v="55000"/>
    <n v="0"/>
    <n v="55000"/>
    <n v="11.698145312234132"/>
    <n v="5000"/>
    <n v="79"/>
    <x v="1758"/>
    <x v="6"/>
    <x v="1"/>
    <x v="1"/>
  </r>
  <r>
    <x v="136"/>
    <s v="ZTAN"/>
    <x v="8"/>
    <s v="DP5738"/>
    <s v="35488103"/>
    <s v="SANTIAGO"/>
    <x v="1474"/>
    <x v="7"/>
    <x v="1"/>
    <x v="20"/>
    <x v="1"/>
    <n v="1"/>
    <n v="55000"/>
    <n v="0"/>
    <n v="55000"/>
    <n v="13.693855193705803"/>
    <n v="5000"/>
    <n v="80"/>
    <x v="1759"/>
    <x v="6"/>
    <x v="1"/>
    <x v="1"/>
  </r>
  <r>
    <x v="136"/>
    <s v="ZTAN"/>
    <x v="8"/>
    <s v="FGBD51"/>
    <s v="183612816"/>
    <s v="CORONEL"/>
    <x v="1475"/>
    <x v="0"/>
    <x v="0"/>
    <x v="16"/>
    <x v="0"/>
    <n v="0"/>
    <n v="380000"/>
    <n v="0"/>
    <n v="380000"/>
    <n v="25.978287620662307"/>
    <n v="25000"/>
    <n v="59"/>
    <x v="1760"/>
    <x v="6"/>
    <x v="1"/>
    <x v="0"/>
  </r>
  <r>
    <x v="136"/>
    <s v="ZTAN"/>
    <x v="8"/>
    <s v="SV2718"/>
    <s v="78907355"/>
    <s v="QUILIN"/>
    <x v="1476"/>
    <x v="1"/>
    <x v="1"/>
    <x v="34"/>
    <x v="1"/>
    <n v="4"/>
    <n v="59976"/>
    <n v="0"/>
    <n v="59976"/>
    <n v="10.999926637810873"/>
    <n v="5000"/>
    <n v="100"/>
    <x v="1761"/>
    <x v="6"/>
    <x v="1"/>
    <x v="1"/>
  </r>
  <r>
    <x v="136"/>
    <s v="ZTAN"/>
    <x v="8"/>
    <s v="TP3884"/>
    <s v="154837728"/>
    <s v="LAS CONDES"/>
    <x v="1477"/>
    <x v="1"/>
    <x v="1"/>
    <x v="3"/>
    <x v="1"/>
    <n v="4"/>
    <n v="56527"/>
    <n v="0"/>
    <n v="56527"/>
    <n v="11.000038919592122"/>
    <n v="5000"/>
    <n v="100"/>
    <x v="1762"/>
    <x v="6"/>
    <x v="1"/>
    <x v="1"/>
  </r>
  <r>
    <x v="136"/>
    <s v="ZTAN"/>
    <x v="8"/>
    <s v="UA7248"/>
    <s v="107643206"/>
    <s v="PUDAHUEL"/>
    <x v="1478"/>
    <x v="1"/>
    <x v="1"/>
    <x v="10"/>
    <x v="1"/>
    <n v="1"/>
    <n v="55000"/>
    <n v="0"/>
    <n v="55000"/>
    <n v="12.114003788379364"/>
    <n v="5000"/>
    <n v="91"/>
    <x v="1763"/>
    <x v="6"/>
    <x v="1"/>
    <x v="1"/>
  </r>
  <r>
    <x v="136"/>
    <s v="ZTAN"/>
    <x v="45"/>
    <s v="SU9354"/>
    <s v="72564391"/>
    <s v="SAN JOSE DE MAIPO"/>
    <x v="1479"/>
    <x v="2"/>
    <x v="1"/>
    <x v="66"/>
    <x v="1"/>
    <n v="5"/>
    <n v="137491.20000000001"/>
    <n v="0"/>
    <n v="137491.20000000001"/>
    <n v="11"/>
    <n v="10000"/>
    <n v="100"/>
    <x v="1764"/>
    <x v="6"/>
    <x v="1"/>
    <x v="1"/>
  </r>
  <r>
    <x v="137"/>
    <s v="ZPEP"/>
    <x v="3"/>
    <s v="HLBX77"/>
    <s v="16093509K"/>
    <s v="LAS CONDES"/>
    <x v="1312"/>
    <x v="1"/>
    <x v="1"/>
    <x v="3"/>
    <x v="1"/>
    <n v="4"/>
    <n v="159984"/>
    <n v="0"/>
    <n v="159984"/>
    <n v="11"/>
    <n v="5000"/>
    <n v="100"/>
    <x v="1765"/>
    <x v="6"/>
    <x v="1"/>
    <x v="1"/>
  </r>
  <r>
    <x v="137"/>
    <s v="ZPEP"/>
    <x v="3"/>
    <s v="RK5135"/>
    <s v="138841065"/>
    <s v="LAS CONDES"/>
    <x v="1312"/>
    <x v="3"/>
    <x v="1"/>
    <x v="3"/>
    <x v="1"/>
    <n v="4"/>
    <n v="159984"/>
    <n v="0"/>
    <n v="159984"/>
    <n v="11"/>
    <n v="5000"/>
    <n v="100"/>
    <x v="1766"/>
    <x v="6"/>
    <x v="1"/>
    <x v="1"/>
  </r>
  <r>
    <x v="137"/>
    <s v="ZPEP"/>
    <x v="3"/>
    <s v="WC2233"/>
    <s v="125108660"/>
    <s v="LAS CONDES"/>
    <x v="1312"/>
    <x v="4"/>
    <x v="1"/>
    <x v="3"/>
    <x v="1"/>
    <n v="4"/>
    <n v="159984"/>
    <n v="0"/>
    <n v="159984"/>
    <n v="11"/>
    <n v="5000"/>
    <n v="100"/>
    <x v="1767"/>
    <x v="6"/>
    <x v="1"/>
    <x v="1"/>
  </r>
  <r>
    <x v="137"/>
    <s v="ZPEP"/>
    <x v="61"/>
    <s v="JJHS30"/>
    <s v="105195567"/>
    <s v="LABRANZA"/>
    <x v="1480"/>
    <x v="0"/>
    <x v="0"/>
    <x v="14"/>
    <x v="4"/>
    <n v="0"/>
    <n v="620000"/>
    <n v="0"/>
    <n v="620000"/>
    <n v="47.444791862759054"/>
    <n v="25000"/>
    <n v="52"/>
    <x v="1768"/>
    <x v="6"/>
    <x v="1"/>
    <x v="0"/>
  </r>
  <r>
    <x v="137"/>
    <s v="ZPEP"/>
    <x v="33"/>
    <s v="PN4466"/>
    <s v="81417709"/>
    <s v="BUIN"/>
    <x v="1481"/>
    <x v="1"/>
    <x v="0"/>
    <x v="56"/>
    <x v="1"/>
    <n v="5"/>
    <n v="120000"/>
    <n v="0"/>
    <n v="120000"/>
    <n v="17.231599882250734"/>
    <n v="10000"/>
    <n v="70"/>
    <x v="1769"/>
    <x v="6"/>
    <x v="1"/>
    <x v="1"/>
  </r>
  <r>
    <x v="137"/>
    <s v="ZTAN"/>
    <x v="10"/>
    <s v="DJLF85"/>
    <s v="53173292"/>
    <s v="QUILICURA"/>
    <x v="1482"/>
    <x v="4"/>
    <x v="1"/>
    <x v="8"/>
    <x v="1"/>
    <n v="1"/>
    <n v="72895"/>
    <n v="0"/>
    <n v="72895"/>
    <n v="11.000030180479266"/>
    <n v="5000"/>
    <n v="100"/>
    <x v="1770"/>
    <x v="6"/>
    <x v="1"/>
    <x v="1"/>
  </r>
  <r>
    <x v="137"/>
    <s v="ZTAN"/>
    <x v="10"/>
    <s v="RK5135"/>
    <s v="138841065"/>
    <s v="QUILICURA"/>
    <x v="1483"/>
    <x v="3"/>
    <x v="1"/>
    <x v="8"/>
    <x v="1"/>
    <n v="1"/>
    <n v="59409"/>
    <n v="0"/>
    <n v="59409"/>
    <n v="11.00003703155088"/>
    <n v="5000"/>
    <n v="100"/>
    <x v="1771"/>
    <x v="6"/>
    <x v="1"/>
    <x v="1"/>
  </r>
  <r>
    <x v="137"/>
    <s v="ZTAN"/>
    <x v="10"/>
    <s v="TP3884"/>
    <s v="154837728"/>
    <s v="QUILICURA"/>
    <x v="1484"/>
    <x v="1"/>
    <x v="1"/>
    <x v="8"/>
    <x v="1"/>
    <n v="1"/>
    <n v="60804"/>
    <n v="0"/>
    <n v="60804"/>
    <n v="11.000072364136335"/>
    <n v="5000"/>
    <n v="100"/>
    <x v="1772"/>
    <x v="6"/>
    <x v="1"/>
    <x v="1"/>
  </r>
  <r>
    <x v="137"/>
    <s v="ZTAN"/>
    <x v="10"/>
    <s v="TP3884"/>
    <s v="78907355"/>
    <s v="QUILICURA"/>
    <x v="1300"/>
    <x v="1"/>
    <x v="1"/>
    <x v="8"/>
    <x v="1"/>
    <n v="1"/>
    <n v="55000"/>
    <n v="0"/>
    <n v="55000"/>
    <n v="50.03639010189228"/>
    <n v="5000"/>
    <n v="22"/>
    <x v="1773"/>
    <x v="6"/>
    <x v="1"/>
    <x v="1"/>
  </r>
  <r>
    <x v="137"/>
    <s v="ZTAN"/>
    <x v="10"/>
    <s v="XR6339"/>
    <s v="78907355"/>
    <s v="QUILICURA"/>
    <x v="1482"/>
    <x v="1"/>
    <x v="1"/>
    <x v="8"/>
    <x v="1"/>
    <n v="1"/>
    <n v="72895"/>
    <n v="0"/>
    <n v="72895"/>
    <n v="11.000030180479266"/>
    <n v="5000"/>
    <n v="100"/>
    <x v="1774"/>
    <x v="6"/>
    <x v="1"/>
    <x v="1"/>
  </r>
  <r>
    <x v="137"/>
    <s v="ZTAN"/>
    <x v="7"/>
    <s v="BPKD94"/>
    <s v="125897258"/>
    <s v="CHILLAN"/>
    <x v="1485"/>
    <x v="0"/>
    <x v="0"/>
    <x v="21"/>
    <x v="5"/>
    <n v="0"/>
    <n v="350000"/>
    <n v="0"/>
    <n v="350000"/>
    <n v="18.469267139479914"/>
    <n v="25000"/>
    <n v="76"/>
    <x v="1775"/>
    <x v="6"/>
    <x v="1"/>
    <x v="0"/>
  </r>
  <r>
    <x v="137"/>
    <s v="ZTAN"/>
    <x v="8"/>
    <s v="BDCH61"/>
    <s v="99626232"/>
    <s v="ÑUÑOA"/>
    <x v="1476"/>
    <x v="1"/>
    <x v="1"/>
    <x v="15"/>
    <x v="1"/>
    <n v="4"/>
    <n v="59976"/>
    <n v="0"/>
    <n v="59976"/>
    <n v="10.999926637810873"/>
    <n v="5000"/>
    <n v="100"/>
    <x v="1776"/>
    <x v="6"/>
    <x v="1"/>
    <x v="1"/>
  </r>
  <r>
    <x v="137"/>
    <s v="ZTAN"/>
    <x v="8"/>
    <s v="DP5738"/>
    <s v="35488103"/>
    <s v="PUENTE ALTO"/>
    <x v="1474"/>
    <x v="7"/>
    <x v="1"/>
    <x v="30"/>
    <x v="1"/>
    <n v="4"/>
    <n v="55000"/>
    <n v="0"/>
    <n v="55000"/>
    <n v="13.693855193705803"/>
    <n v="5000"/>
    <n v="80"/>
    <x v="1777"/>
    <x v="6"/>
    <x v="1"/>
    <x v="1"/>
  </r>
  <r>
    <x v="137"/>
    <s v="ZTAN"/>
    <x v="8"/>
    <s v="KKPF51"/>
    <s v="95707734"/>
    <s v="CORONEL"/>
    <x v="1486"/>
    <x v="8"/>
    <x v="0"/>
    <x v="16"/>
    <x v="0"/>
    <n v="0"/>
    <n v="380000"/>
    <n v="0"/>
    <n v="380000"/>
    <n v="35.163696259693147"/>
    <n v="25000"/>
    <n v="43"/>
    <x v="1778"/>
    <x v="6"/>
    <x v="1"/>
    <x v="0"/>
  </r>
  <r>
    <x v="137"/>
    <s v="ZTAN"/>
    <x v="8"/>
    <s v="SV2718"/>
    <s v="738907355"/>
    <s v="QUILICURA"/>
    <x v="1028"/>
    <x v="1"/>
    <x v="1"/>
    <x v="8"/>
    <x v="1"/>
    <n v="1"/>
    <n v="55000"/>
    <n v="0"/>
    <n v="55000"/>
    <n v="23.394300297745641"/>
    <n v="5000"/>
    <n v="47"/>
    <x v="1779"/>
    <x v="6"/>
    <x v="1"/>
    <x v="1"/>
  </r>
  <r>
    <x v="137"/>
    <s v="ZTAN"/>
    <x v="8"/>
    <s v="SV2718"/>
    <s v="78907355"/>
    <s v="QUILICURA"/>
    <x v="472"/>
    <x v="1"/>
    <x v="1"/>
    <x v="8"/>
    <x v="1"/>
    <n v="1"/>
    <n v="55000"/>
    <n v="0"/>
    <n v="55000"/>
    <n v="53.648068669527895"/>
    <n v="5000"/>
    <n v="21"/>
    <x v="1780"/>
    <x v="6"/>
    <x v="1"/>
    <x v="1"/>
  </r>
  <r>
    <x v="137"/>
    <s v="ZTAN"/>
    <x v="8"/>
    <s v="UA7248"/>
    <s v="107643206"/>
    <s v="ÑUÑOA"/>
    <x v="1487"/>
    <x v="1"/>
    <x v="0"/>
    <x v="15"/>
    <x v="1"/>
    <n v="4"/>
    <n v="55000"/>
    <n v="0"/>
    <n v="55000"/>
    <n v="15.83280557314756"/>
    <n v="5000"/>
    <n v="52"/>
    <x v="1781"/>
    <x v="6"/>
    <x v="1"/>
    <x v="1"/>
  </r>
  <r>
    <x v="137"/>
    <s v="ZTAN"/>
    <x v="45"/>
    <s v="SU9354"/>
    <s v="72564391"/>
    <s v="SAN JOSE DE MAIPO"/>
    <x v="1457"/>
    <x v="2"/>
    <x v="1"/>
    <x v="66"/>
    <x v="1"/>
    <n v="5"/>
    <n v="90000"/>
    <n v="0"/>
    <n v="90000"/>
    <n v="8.6405529953917046"/>
    <n v="10000"/>
    <n v="100"/>
    <x v="1782"/>
    <x v="6"/>
    <x v="1"/>
    <x v="1"/>
  </r>
  <r>
    <x v="138"/>
    <s v="ZPEP"/>
    <x v="3"/>
    <s v="DJLF85"/>
    <s v="53173292"/>
    <s v="LAS CONDES"/>
    <x v="1312"/>
    <x v="4"/>
    <x v="1"/>
    <x v="3"/>
    <x v="1"/>
    <n v="4"/>
    <n v="159984"/>
    <n v="0"/>
    <n v="159984"/>
    <n v="11"/>
    <n v="5000"/>
    <n v="100"/>
    <x v="1783"/>
    <x v="6"/>
    <x v="1"/>
    <x v="1"/>
  </r>
  <r>
    <x v="138"/>
    <s v="ZPEP"/>
    <x v="3"/>
    <s v="HLBX77"/>
    <s v="16093509K"/>
    <s v="LAS CONDES"/>
    <x v="1488"/>
    <x v="1"/>
    <x v="1"/>
    <x v="3"/>
    <x v="1"/>
    <n v="4"/>
    <n v="319968"/>
    <n v="0"/>
    <n v="319968"/>
    <n v="11"/>
    <n v="5000"/>
    <n v="100"/>
    <x v="1784"/>
    <x v="6"/>
    <x v="1"/>
    <x v="1"/>
  </r>
  <r>
    <x v="138"/>
    <s v="ZPEP"/>
    <x v="58"/>
    <s v="DP5738"/>
    <s v="35488103"/>
    <s v="COLINA"/>
    <x v="1489"/>
    <x v="7"/>
    <x v="1"/>
    <x v="5"/>
    <x v="1"/>
    <n v="5"/>
    <n v="70000"/>
    <n v="0"/>
    <n v="70000"/>
    <n v="29.922202274087372"/>
    <n v="10000"/>
    <n v="23"/>
    <x v="1785"/>
    <x v="6"/>
    <x v="1"/>
    <x v="1"/>
  </r>
  <r>
    <x v="138"/>
    <s v="ZTAN"/>
    <x v="4"/>
    <s v="RK5135"/>
    <s v="138841065"/>
    <s v="SAN BERNARDO"/>
    <x v="1490"/>
    <x v="3"/>
    <x v="1"/>
    <x v="4"/>
    <x v="1"/>
    <n v="4"/>
    <n v="107307"/>
    <n v="0"/>
    <n v="107307"/>
    <n v="10.999979498113833"/>
    <n v="5000"/>
    <n v="100"/>
    <x v="1786"/>
    <x v="6"/>
    <x v="1"/>
    <x v="1"/>
  </r>
  <r>
    <x v="138"/>
    <s v="ZTAN"/>
    <x v="58"/>
    <s v="DP5738"/>
    <s v="35488103"/>
    <s v="COLINA"/>
    <x v="1491"/>
    <x v="7"/>
    <x v="1"/>
    <x v="5"/>
    <x v="1"/>
    <n v="5"/>
    <n v="70000"/>
    <n v="0"/>
    <n v="70000"/>
    <n v="14.343674439572149"/>
    <n v="10000"/>
    <n v="49"/>
    <x v="1787"/>
    <x v="6"/>
    <x v="1"/>
    <x v="1"/>
  </r>
  <r>
    <x v="138"/>
    <s v="ZTAN"/>
    <x v="62"/>
    <s v="WC2233"/>
    <s v="125108660"/>
    <s v="SANTIAGO"/>
    <x v="435"/>
    <x v="4"/>
    <x v="1"/>
    <x v="20"/>
    <x v="1"/>
    <n v="1"/>
    <n v="70000"/>
    <n v="0"/>
    <n v="70000"/>
    <n v="46.64179104477612"/>
    <n v="5000"/>
    <n v="30"/>
    <x v="1788"/>
    <x v="6"/>
    <x v="1"/>
    <x v="1"/>
  </r>
  <r>
    <x v="138"/>
    <s v="ZTAN"/>
    <x v="12"/>
    <s v="XR6339"/>
    <s v="53173292"/>
    <s v="VITACURA"/>
    <x v="1492"/>
    <x v="1"/>
    <x v="1"/>
    <x v="27"/>
    <x v="1"/>
    <n v="4"/>
    <n v="55000"/>
    <n v="0"/>
    <n v="55000"/>
    <n v="14.83339401539976"/>
    <n v="5000"/>
    <n v="74"/>
    <x v="1789"/>
    <x v="6"/>
    <x v="1"/>
    <x v="1"/>
  </r>
  <r>
    <x v="138"/>
    <s v="ZTAN"/>
    <x v="10"/>
    <s v="TP3884"/>
    <s v="99626232"/>
    <s v="QUILICURA"/>
    <x v="1493"/>
    <x v="1"/>
    <x v="1"/>
    <x v="8"/>
    <x v="1"/>
    <n v="1"/>
    <n v="88590"/>
    <n v="0"/>
    <n v="88590"/>
    <n v="11.000049667229563"/>
    <n v="5000"/>
    <n v="100"/>
    <x v="1790"/>
    <x v="6"/>
    <x v="1"/>
    <x v="1"/>
  </r>
  <r>
    <x v="138"/>
    <s v="ZTAN"/>
    <x v="55"/>
    <s v="WC2233"/>
    <s v="53173292"/>
    <s v="LA PINTANA"/>
    <x v="1494"/>
    <x v="4"/>
    <x v="1"/>
    <x v="31"/>
    <x v="1"/>
    <n v="4"/>
    <n v="103264"/>
    <n v="0"/>
    <n v="103264"/>
    <n v="11.000042609399634"/>
    <n v="5000"/>
    <n v="100"/>
    <x v="1791"/>
    <x v="6"/>
    <x v="1"/>
    <x v="1"/>
  </r>
  <r>
    <x v="138"/>
    <s v="ZTAN"/>
    <x v="9"/>
    <s v="XR6339"/>
    <s v="78907355"/>
    <s v="SAN BERNARDO"/>
    <x v="1495"/>
    <x v="1"/>
    <x v="1"/>
    <x v="4"/>
    <x v="1"/>
    <n v="4"/>
    <n v="93522"/>
    <n v="0"/>
    <n v="93522"/>
    <n v="11.000000000000002"/>
    <n v="5000"/>
    <n v="100"/>
    <x v="1792"/>
    <x v="6"/>
    <x v="1"/>
    <x v="1"/>
  </r>
  <r>
    <x v="138"/>
    <s v="ZTAN"/>
    <x v="7"/>
    <s v="SV2718"/>
    <s v="107643206"/>
    <s v="SAN MIGUEL"/>
    <x v="1496"/>
    <x v="1"/>
    <x v="1"/>
    <x v="23"/>
    <x v="1"/>
    <n v="2"/>
    <n v="97293"/>
    <n v="0"/>
    <n v="97293"/>
    <n v="11.000022612156293"/>
    <n v="5000"/>
    <n v="100"/>
    <x v="1793"/>
    <x v="6"/>
    <x v="1"/>
    <x v="1"/>
  </r>
  <r>
    <x v="138"/>
    <s v="ZTAN"/>
    <x v="7"/>
    <s v="UA7248"/>
    <s v="154837728"/>
    <s v="SAN MIGUEL"/>
    <x v="1000"/>
    <x v="1"/>
    <x v="1"/>
    <x v="23"/>
    <x v="1"/>
    <n v="2"/>
    <n v="74290"/>
    <n v="0"/>
    <n v="74290"/>
    <n v="11.000059227671169"/>
    <n v="5000"/>
    <n v="100"/>
    <x v="1794"/>
    <x v="6"/>
    <x v="1"/>
    <x v="1"/>
  </r>
  <r>
    <x v="138"/>
    <s v="ZTAN"/>
    <x v="8"/>
    <s v="BDCH61"/>
    <s v="99626232"/>
    <s v="MAIPU"/>
    <x v="1497"/>
    <x v="1"/>
    <x v="1"/>
    <x v="2"/>
    <x v="1"/>
    <n v="2"/>
    <n v="55000"/>
    <n v="0"/>
    <n v="55000"/>
    <n v="18.111169652265541"/>
    <n v="5000"/>
    <n v="61"/>
    <x v="1795"/>
    <x v="6"/>
    <x v="1"/>
    <x v="1"/>
  </r>
  <r>
    <x v="138"/>
    <s v="ZTAN"/>
    <x v="8"/>
    <s v="CJXX49"/>
    <s v="167832741"/>
    <s v="VALDIVIA"/>
    <x v="1498"/>
    <x v="5"/>
    <x v="0"/>
    <x v="77"/>
    <x v="11"/>
    <n v="0"/>
    <n v="750000"/>
    <n v="0"/>
    <n v="750000"/>
    <n v="54.045484679906608"/>
    <n v="25000"/>
    <n v="56"/>
    <x v="1796"/>
    <x v="6"/>
    <x v="1"/>
    <x v="0"/>
  </r>
  <r>
    <x v="138"/>
    <s v="ZTAN"/>
    <x v="8"/>
    <s v="DP5738"/>
    <s v="35488103"/>
    <s v="LA REINA"/>
    <x v="1374"/>
    <x v="7"/>
    <x v="1"/>
    <x v="11"/>
    <x v="1"/>
    <n v="3"/>
    <n v="55000"/>
    <n v="0"/>
    <n v="55000"/>
    <n v="25.139409452417951"/>
    <n v="5000"/>
    <n v="44"/>
    <x v="1797"/>
    <x v="6"/>
    <x v="1"/>
    <x v="1"/>
  </r>
  <r>
    <x v="138"/>
    <s v="ZTAN"/>
    <x v="8"/>
    <s v="JTYB84"/>
    <s v="6270439K"/>
    <s v="CORONEL"/>
    <x v="1499"/>
    <x v="5"/>
    <x v="0"/>
    <x v="16"/>
    <x v="0"/>
    <n v="0"/>
    <n v="380000"/>
    <n v="0"/>
    <n v="380000"/>
    <n v="33.636653330028679"/>
    <n v="25000"/>
    <n v="45"/>
    <x v="1798"/>
    <x v="6"/>
    <x v="1"/>
    <x v="0"/>
  </r>
  <r>
    <x v="138"/>
    <s v="ZTAN"/>
    <x v="8"/>
    <s v="PN4466"/>
    <s v="81417709"/>
    <s v="MELIPILLA"/>
    <x v="397"/>
    <x v="1"/>
    <x v="0"/>
    <x v="29"/>
    <x v="1"/>
    <n v="5"/>
    <n v="120000"/>
    <n v="0"/>
    <n v="120000"/>
    <n v="6.3965884861407245"/>
    <n v="10000"/>
    <n v="100"/>
    <x v="1799"/>
    <x v="6"/>
    <x v="1"/>
    <x v="1"/>
  </r>
  <r>
    <x v="138"/>
    <s v="ZTAN"/>
    <x v="8"/>
    <s v="SV2718"/>
    <s v="78907355"/>
    <s v="LA FLORIDA"/>
    <x v="1500"/>
    <x v="1"/>
    <x v="1"/>
    <x v="33"/>
    <x v="1"/>
    <n v="3"/>
    <n v="55000"/>
    <n v="0"/>
    <n v="55000"/>
    <n v="18.539117538005193"/>
    <n v="5000"/>
    <n v="59"/>
    <x v="1800"/>
    <x v="6"/>
    <x v="1"/>
    <x v="1"/>
  </r>
  <r>
    <x v="138"/>
    <s v="ZTAN"/>
    <x v="8"/>
    <s v="TP3884"/>
    <s v="154837728"/>
    <s v="SAN MIGUEL"/>
    <x v="1501"/>
    <x v="1"/>
    <x v="1"/>
    <x v="23"/>
    <x v="1"/>
    <n v="2"/>
    <n v="55000"/>
    <n v="0"/>
    <n v="55000"/>
    <n v="23.087901939383766"/>
    <n v="5000"/>
    <n v="48"/>
    <x v="1801"/>
    <x v="6"/>
    <x v="1"/>
    <x v="1"/>
  </r>
  <r>
    <x v="138"/>
    <s v="ZTAN"/>
    <x v="8"/>
    <s v="UA7248"/>
    <s v="107643206"/>
    <s v="CERRILLOS"/>
    <x v="1502"/>
    <x v="1"/>
    <x v="1"/>
    <x v="9"/>
    <x v="1"/>
    <n v="2"/>
    <n v="55000"/>
    <n v="0"/>
    <n v="55000"/>
    <n v="11.280200172279422"/>
    <n v="5000"/>
    <n v="98"/>
    <x v="1802"/>
    <x v="6"/>
    <x v="1"/>
    <x v="1"/>
  </r>
  <r>
    <x v="139"/>
    <s v="ZPEP"/>
    <x v="17"/>
    <s v="XR6339"/>
    <s v="78907355"/>
    <s v="LAMPA"/>
    <x v="1503"/>
    <x v="1"/>
    <x v="1"/>
    <x v="17"/>
    <x v="1"/>
    <n v="5"/>
    <n v="70000"/>
    <n v="0"/>
    <n v="70000"/>
    <n v="11.083244667375993"/>
    <n v="10000"/>
    <n v="63"/>
    <x v="1803"/>
    <x v="6"/>
    <x v="1"/>
    <x v="1"/>
  </r>
  <r>
    <x v="139"/>
    <s v="ZPEP"/>
    <x v="11"/>
    <s v="BYZH29"/>
    <s v="122975819"/>
    <s v="PARRAL"/>
    <x v="1504"/>
    <x v="0"/>
    <x v="0"/>
    <x v="78"/>
    <x v="3"/>
    <n v="0"/>
    <n v="340000"/>
    <n v="0"/>
    <n v="340000"/>
    <n v="18.608866796636828"/>
    <n v="25000"/>
    <n v="73"/>
    <x v="1804"/>
    <x v="6"/>
    <x v="1"/>
    <x v="0"/>
  </r>
  <r>
    <x v="139"/>
    <s v="ZPEP"/>
    <x v="18"/>
    <s v="SU9354"/>
    <s v="72564391"/>
    <s v="CARTAGENA"/>
    <x v="1505"/>
    <x v="2"/>
    <x v="1"/>
    <x v="40"/>
    <x v="2"/>
    <n v="0"/>
    <n v="180000"/>
    <n v="0"/>
    <n v="180000"/>
    <n v="23.563818019251645"/>
    <n v="25000"/>
    <n v="31"/>
    <x v="1805"/>
    <x v="6"/>
    <x v="1"/>
    <x v="0"/>
  </r>
  <r>
    <x v="139"/>
    <s v="ZPEP"/>
    <x v="12"/>
    <s v="WC2233"/>
    <s v="53173292"/>
    <s v="VITACURA"/>
    <x v="1506"/>
    <x v="4"/>
    <x v="1"/>
    <x v="27"/>
    <x v="1"/>
    <n v="4"/>
    <n v="108043"/>
    <n v="0"/>
    <n v="108043"/>
    <n v="11.000045815282961"/>
    <n v="5000"/>
    <n v="100"/>
    <x v="1806"/>
    <x v="6"/>
    <x v="1"/>
    <x v="1"/>
  </r>
  <r>
    <x v="139"/>
    <s v="ZPEP"/>
    <x v="33"/>
    <s v="RK5135"/>
    <s v="138841065"/>
    <s v="PUENTE ALTA"/>
    <x v="1507"/>
    <x v="3"/>
    <x v="1"/>
    <x v="30"/>
    <x v="1"/>
    <n v="4"/>
    <n v="123631"/>
    <n v="0"/>
    <n v="123631"/>
    <n v="10.999991992305494"/>
    <n v="5000"/>
    <n v="100"/>
    <x v="1807"/>
    <x v="6"/>
    <x v="1"/>
    <x v="1"/>
  </r>
  <r>
    <x v="139"/>
    <s v="ZTAN"/>
    <x v="3"/>
    <s v="DJLF85"/>
    <s v="53173292"/>
    <s v="LAS CONDES"/>
    <x v="1366"/>
    <x v="4"/>
    <x v="1"/>
    <x v="3"/>
    <x v="1"/>
    <n v="4"/>
    <n v="134200"/>
    <n v="0"/>
    <n v="134200"/>
    <n v="11"/>
    <n v="5000"/>
    <n v="100"/>
    <x v="1808"/>
    <x v="6"/>
    <x v="1"/>
    <x v="1"/>
  </r>
  <r>
    <x v="139"/>
    <s v="ZTAN"/>
    <x v="6"/>
    <s v="BDCH61"/>
    <s v="81417709"/>
    <s v="PEÑALOLEN"/>
    <x v="1508"/>
    <x v="1"/>
    <x v="1"/>
    <x v="34"/>
    <x v="1"/>
    <n v="4"/>
    <n v="55000"/>
    <n v="0"/>
    <n v="55000"/>
    <n v="18.961594152933877"/>
    <n v="5000"/>
    <n v="58"/>
    <x v="1809"/>
    <x v="6"/>
    <x v="1"/>
    <x v="1"/>
  </r>
  <r>
    <x v="139"/>
    <s v="ZTAN"/>
    <x v="6"/>
    <s v="DP5738"/>
    <s v="35488103"/>
    <s v="LA DEHESA"/>
    <x v="1028"/>
    <x v="7"/>
    <x v="1"/>
    <x v="41"/>
    <x v="1"/>
    <n v="4"/>
    <n v="55000"/>
    <n v="0"/>
    <n v="55000"/>
    <n v="23.394300297745641"/>
    <n v="5000"/>
    <n v="47"/>
    <x v="1810"/>
    <x v="6"/>
    <x v="1"/>
    <x v="1"/>
  </r>
  <r>
    <x v="139"/>
    <s v="ZTAN"/>
    <x v="6"/>
    <s v="XR6339"/>
    <s v="78907355"/>
    <s v="MAIPU"/>
    <x v="1509"/>
    <x v="1"/>
    <x v="1"/>
    <x v="2"/>
    <x v="1"/>
    <n v="2"/>
    <n v="55000"/>
    <n v="0"/>
    <n v="55000"/>
    <n v="16.792867611138245"/>
    <n v="5000"/>
    <n v="66"/>
    <x v="1811"/>
    <x v="6"/>
    <x v="1"/>
    <x v="1"/>
  </r>
  <r>
    <x v="139"/>
    <s v="ZTAN"/>
    <x v="43"/>
    <s v="WG4022"/>
    <s v="81417709"/>
    <s v="MELIPILLA"/>
    <x v="1510"/>
    <x v="1"/>
    <x v="0"/>
    <x v="29"/>
    <x v="1"/>
    <n v="5"/>
    <n v="120000"/>
    <n v="0"/>
    <n v="120000"/>
    <n v="9.1526897466993109"/>
    <n v="10000"/>
    <n v="100"/>
    <x v="1812"/>
    <x v="6"/>
    <x v="1"/>
    <x v="1"/>
  </r>
  <r>
    <x v="139"/>
    <s v="ZTAN"/>
    <x v="7"/>
    <s v="DJLF85"/>
    <s v="53173192"/>
    <s v="SAN MIGUEL"/>
    <x v="1511"/>
    <x v="4"/>
    <x v="1"/>
    <x v="23"/>
    <x v="1"/>
    <n v="2"/>
    <n v="74290"/>
    <n v="0"/>
    <n v="74290"/>
    <n v="9.8038956925675667"/>
    <n v="5000"/>
    <n v="100"/>
    <x v="1813"/>
    <x v="6"/>
    <x v="1"/>
    <x v="1"/>
  </r>
  <r>
    <x v="139"/>
    <s v="ZTAN"/>
    <x v="7"/>
    <s v="HLBX77"/>
    <s v="16093509K"/>
    <s v="SANTIAGO"/>
    <x v="1512"/>
    <x v="1"/>
    <x v="1"/>
    <x v="20"/>
    <x v="1"/>
    <n v="1"/>
    <n v="154895"/>
    <n v="0"/>
    <n v="154895"/>
    <n v="10.999971593733578"/>
    <n v="5000"/>
    <n v="100"/>
    <x v="1814"/>
    <x v="6"/>
    <x v="1"/>
    <x v="1"/>
  </r>
  <r>
    <x v="139"/>
    <s v="ZTAN"/>
    <x v="7"/>
    <s v="UK7193"/>
    <s v="172861164"/>
    <s v="RANCAGUA"/>
    <x v="1406"/>
    <x v="1"/>
    <x v="0"/>
    <x v="28"/>
    <x v="6"/>
    <n v="0"/>
    <n v="230000"/>
    <n v="0"/>
    <n v="230000"/>
    <n v="15.02875065342395"/>
    <n v="25000"/>
    <n v="61"/>
    <x v="1815"/>
    <x v="6"/>
    <x v="1"/>
    <x v="0"/>
  </r>
  <r>
    <x v="139"/>
    <s v="ZTAN"/>
    <x v="7"/>
    <s v="WC2233"/>
    <s v="125108660"/>
    <s v="SAN MIGUEL"/>
    <x v="90"/>
    <x v="4"/>
    <x v="1"/>
    <x v="23"/>
    <x v="1"/>
    <n v="2"/>
    <n v="83358"/>
    <n v="0"/>
    <n v="83358"/>
    <n v="11.000000000000002"/>
    <n v="5000"/>
    <n v="100"/>
    <x v="1816"/>
    <x v="6"/>
    <x v="1"/>
    <x v="1"/>
  </r>
  <r>
    <x v="139"/>
    <s v="ZTAN"/>
    <x v="8"/>
    <s v="BPKD94"/>
    <s v="125897258"/>
    <s v="CORONEL"/>
    <x v="1513"/>
    <x v="0"/>
    <x v="0"/>
    <x v="16"/>
    <x v="0"/>
    <n v="0"/>
    <n v="380000"/>
    <n v="0"/>
    <n v="380000"/>
    <n v="28.912069267231214"/>
    <n v="25000"/>
    <n v="53"/>
    <x v="1817"/>
    <x v="6"/>
    <x v="1"/>
    <x v="0"/>
  </r>
  <r>
    <x v="139"/>
    <s v="ZTAN"/>
    <x v="8"/>
    <s v="SV2718"/>
    <s v="99626232"/>
    <s v="QUILIN"/>
    <x v="1514"/>
    <x v="1"/>
    <x v="1"/>
    <x v="34"/>
    <x v="1"/>
    <n v="4"/>
    <n v="55000"/>
    <n v="0"/>
    <n v="55000"/>
    <n v="17.45034583412653"/>
    <n v="5000"/>
    <n v="63"/>
    <x v="1818"/>
    <x v="6"/>
    <x v="1"/>
    <x v="1"/>
  </r>
  <r>
    <x v="139"/>
    <s v="ZTAN"/>
    <x v="8"/>
    <s v="TP3884"/>
    <s v="154837728"/>
    <s v="PUDAHUEL"/>
    <x v="1515"/>
    <x v="1"/>
    <x v="1"/>
    <x v="10"/>
    <x v="1"/>
    <n v="1"/>
    <n v="71244"/>
    <n v="0"/>
    <n v="71244"/>
    <n v="11.000046319885127"/>
    <n v="5000"/>
    <n v="100"/>
    <x v="1819"/>
    <x v="6"/>
    <x v="1"/>
    <x v="1"/>
  </r>
  <r>
    <x v="139"/>
    <s v="ZTAN"/>
    <x v="8"/>
    <s v="UA7248"/>
    <s v="107643206"/>
    <s v="LAS CONDES"/>
    <x v="1516"/>
    <x v="1"/>
    <x v="1"/>
    <x v="3"/>
    <x v="1"/>
    <n v="4"/>
    <n v="55000"/>
    <n v="0"/>
    <n v="55000"/>
    <n v="21.083298194503012"/>
    <n v="5000"/>
    <n v="52"/>
    <x v="1820"/>
    <x v="6"/>
    <x v="1"/>
    <x v="1"/>
  </r>
  <r>
    <x v="140"/>
    <s v="ZPEP"/>
    <x v="5"/>
    <s v="WG4022"/>
    <s v="81417709"/>
    <s v="LAMPA"/>
    <x v="1517"/>
    <x v="1"/>
    <x v="0"/>
    <x v="17"/>
    <x v="1"/>
    <n v="5"/>
    <n v="169032.05"/>
    <n v="0"/>
    <n v="169032.05"/>
    <n v="11"/>
    <n v="10000"/>
    <n v="100"/>
    <x v="1821"/>
    <x v="6"/>
    <x v="1"/>
    <x v="1"/>
  </r>
  <r>
    <x v="140"/>
    <s v="ZTAN"/>
    <x v="12"/>
    <s v="HLBX77"/>
    <s v="16093509K"/>
    <s v="VITACURA"/>
    <x v="1518"/>
    <x v="1"/>
    <x v="1"/>
    <x v="27"/>
    <x v="1"/>
    <n v="4"/>
    <n v="116798"/>
    <n v="0"/>
    <n v="116798"/>
    <n v="11"/>
    <n v="5000"/>
    <n v="100"/>
    <x v="1822"/>
    <x v="6"/>
    <x v="1"/>
    <x v="1"/>
  </r>
  <r>
    <x v="140"/>
    <s v="ZTAN"/>
    <x v="14"/>
    <s v="SU9354"/>
    <s v="72564391"/>
    <s v="LA PINTANA"/>
    <x v="1032"/>
    <x v="2"/>
    <x v="1"/>
    <x v="31"/>
    <x v="1"/>
    <n v="4"/>
    <n v="55000"/>
    <n v="0"/>
    <n v="55000"/>
    <n v="27.56892230576441"/>
    <n v="5000"/>
    <n v="40"/>
    <x v="1823"/>
    <x v="6"/>
    <x v="1"/>
    <x v="1"/>
  </r>
  <r>
    <x v="140"/>
    <s v="ZTAN"/>
    <x v="7"/>
    <s v="HLBX77"/>
    <s v="16093509K"/>
    <s v="SAN MIGUEL"/>
    <x v="1519"/>
    <x v="1"/>
    <x v="1"/>
    <x v="23"/>
    <x v="1"/>
    <n v="2"/>
    <n v="122638"/>
    <n v="0"/>
    <n v="122638"/>
    <n v="11.000008969494749"/>
    <n v="5000"/>
    <n v="100"/>
    <x v="1824"/>
    <x v="6"/>
    <x v="1"/>
    <x v="1"/>
  </r>
  <r>
    <x v="140"/>
    <s v="ZTAN"/>
    <x v="7"/>
    <s v="KKPF51"/>
    <s v="95707734"/>
    <s v="MELIPILLA"/>
    <x v="104"/>
    <x v="8"/>
    <x v="0"/>
    <x v="29"/>
    <x v="1"/>
    <n v="5"/>
    <n v="214614.40000000002"/>
    <n v="0"/>
    <n v="214614.40000000002"/>
    <n v="11"/>
    <n v="10000"/>
    <n v="100"/>
    <x v="1825"/>
    <x v="6"/>
    <x v="1"/>
    <x v="1"/>
  </r>
  <r>
    <x v="140"/>
    <s v="ZTAN"/>
    <x v="8"/>
    <s v="BDCH61"/>
    <s v="99626232"/>
    <s v="PUDAHUEL"/>
    <x v="1520"/>
    <x v="1"/>
    <x v="1"/>
    <x v="10"/>
    <x v="1"/>
    <n v="1"/>
    <n v="55000"/>
    <n v="0"/>
    <n v="55000"/>
    <n v="11.95678166916672"/>
    <n v="5000"/>
    <n v="92"/>
    <x v="1826"/>
    <x v="6"/>
    <x v="1"/>
    <x v="1"/>
  </r>
  <r>
    <x v="140"/>
    <s v="ZTAN"/>
    <x v="8"/>
    <s v="DP5738"/>
    <s v="35488103"/>
    <s v="EL BOSQUE"/>
    <x v="548"/>
    <x v="7"/>
    <x v="1"/>
    <x v="25"/>
    <x v="1"/>
    <n v="3"/>
    <n v="55000"/>
    <n v="0"/>
    <n v="55000"/>
    <n v="14.518002322880371"/>
    <n v="5000"/>
    <n v="76"/>
    <x v="1827"/>
    <x v="6"/>
    <x v="1"/>
    <x v="1"/>
  </r>
  <r>
    <x v="140"/>
    <s v="ZTAN"/>
    <x v="8"/>
    <s v="DV2718"/>
    <s v="107643206"/>
    <s v="QUILICURA"/>
    <x v="1521"/>
    <x v="0"/>
    <x v="0"/>
    <x v="8"/>
    <x v="1"/>
    <n v="1"/>
    <n v="55000"/>
    <n v="0"/>
    <n v="55000"/>
    <n v="31.861893175761789"/>
    <n v="5000"/>
    <n v="35"/>
    <x v="1828"/>
    <x v="6"/>
    <x v="1"/>
    <x v="1"/>
  </r>
  <r>
    <x v="140"/>
    <s v="ZTAN"/>
    <x v="8"/>
    <s v="SV2718"/>
    <s v="107643206"/>
    <s v="QUILICURA"/>
    <x v="1522"/>
    <x v="1"/>
    <x v="1"/>
    <x v="8"/>
    <x v="1"/>
    <n v="1"/>
    <n v="55000"/>
    <n v="0"/>
    <n v="55000"/>
    <n v="29.596943442931714"/>
    <n v="5000"/>
    <n v="37"/>
    <x v="1829"/>
    <x v="6"/>
    <x v="1"/>
    <x v="1"/>
  </r>
  <r>
    <x v="140"/>
    <s v="ZTAN"/>
    <x v="8"/>
    <s v="TP3884"/>
    <s v="154837728"/>
    <s v="REÑACA"/>
    <x v="1523"/>
    <x v="1"/>
    <x v="1"/>
    <x v="6"/>
    <x v="2"/>
    <n v="0"/>
    <n v="180000"/>
    <n v="0"/>
    <n v="180000"/>
    <n v="21.589464341401403"/>
    <n v="25000"/>
    <n v="33"/>
    <x v="1830"/>
    <x v="6"/>
    <x v="1"/>
    <x v="0"/>
  </r>
  <r>
    <x v="140"/>
    <s v="ZTAN"/>
    <x v="8"/>
    <s v="TW7053"/>
    <s v="172861164"/>
    <s v="CORONEL"/>
    <x v="1524"/>
    <x v="6"/>
    <x v="1"/>
    <x v="16"/>
    <x v="0"/>
    <n v="0"/>
    <n v="380000"/>
    <n v="0"/>
    <n v="380000"/>
    <n v="23.800576224477012"/>
    <n v="25000"/>
    <n v="64"/>
    <x v="1831"/>
    <x v="6"/>
    <x v="1"/>
    <x v="0"/>
  </r>
  <r>
    <x v="140"/>
    <s v="ZTAN"/>
    <x v="8"/>
    <s v="UA7248"/>
    <s v="78907355"/>
    <s v="ÑUÑOA"/>
    <x v="883"/>
    <x v="1"/>
    <x v="1"/>
    <x v="15"/>
    <x v="1"/>
    <n v="4"/>
    <n v="55000"/>
    <n v="0"/>
    <n v="55000"/>
    <n v="18.904891210944211"/>
    <n v="5000"/>
    <n v="58"/>
    <x v="1832"/>
    <x v="6"/>
    <x v="1"/>
    <x v="1"/>
  </r>
  <r>
    <x v="141"/>
    <s v="ZPEP"/>
    <x v="32"/>
    <s v="WG4022"/>
    <s v="81417709"/>
    <s v="LAMPA"/>
    <x v="1525"/>
    <x v="1"/>
    <x v="0"/>
    <x v="17"/>
    <x v="1"/>
    <n v="5"/>
    <n v="150985.12000000011"/>
    <n v="0"/>
    <n v="150985.12000000011"/>
    <n v="11"/>
    <n v="10000"/>
    <n v="100"/>
    <x v="1833"/>
    <x v="6"/>
    <x v="1"/>
    <x v="1"/>
  </r>
  <r>
    <x v="141"/>
    <s v="ZPEP"/>
    <x v="14"/>
    <s v="HLBX77"/>
    <s v="16093509K"/>
    <s v="LA PINTANA"/>
    <x v="1526"/>
    <x v="1"/>
    <x v="1"/>
    <x v="31"/>
    <x v="1"/>
    <n v="4"/>
    <n v="99096"/>
    <n v="0"/>
    <n v="99096"/>
    <n v="11.000008880284874"/>
    <n v="5000"/>
    <n v="100"/>
    <x v="1834"/>
    <x v="6"/>
    <x v="1"/>
    <x v="1"/>
  </r>
  <r>
    <x v="141"/>
    <s v="ZTAN"/>
    <x v="3"/>
    <s v="WC2233"/>
    <s v="125108660"/>
    <s v="LAS CONDES"/>
    <x v="1527"/>
    <x v="4"/>
    <x v="1"/>
    <x v="3"/>
    <x v="1"/>
    <n v="4"/>
    <n v="55000"/>
    <n v="0"/>
    <n v="55000"/>
    <n v="23.486207191049619"/>
    <n v="5000"/>
    <n v="47"/>
    <x v="1835"/>
    <x v="6"/>
    <x v="1"/>
    <x v="1"/>
  </r>
  <r>
    <x v="141"/>
    <s v="ZTAN"/>
    <x v="16"/>
    <s v="DJLF85"/>
    <s v="53173292"/>
    <s v="RENCA"/>
    <x v="1490"/>
    <x v="4"/>
    <x v="1"/>
    <x v="7"/>
    <x v="1"/>
    <n v="1"/>
    <n v="107307"/>
    <n v="0"/>
    <n v="107307"/>
    <n v="10.999979498113833"/>
    <n v="5000"/>
    <n v="100"/>
    <x v="1836"/>
    <x v="6"/>
    <x v="1"/>
    <x v="1"/>
  </r>
  <r>
    <x v="141"/>
    <s v="ZTAN"/>
    <x v="16"/>
    <s v="RK5135"/>
    <s v="138841065"/>
    <s v="RENCA"/>
    <x v="1490"/>
    <x v="3"/>
    <x v="1"/>
    <x v="7"/>
    <x v="1"/>
    <n v="1"/>
    <n v="107307"/>
    <n v="0"/>
    <n v="107307"/>
    <n v="10.999979498113833"/>
    <n v="5000"/>
    <n v="100"/>
    <x v="1837"/>
    <x v="6"/>
    <x v="1"/>
    <x v="1"/>
  </r>
  <r>
    <x v="141"/>
    <s v="ZTAN"/>
    <x v="7"/>
    <s v="BWPL69"/>
    <s v="78551976"/>
    <s v="CHILLAN"/>
    <x v="1528"/>
    <x v="5"/>
    <x v="0"/>
    <x v="21"/>
    <x v="5"/>
    <n v="0"/>
    <n v="350000"/>
    <n v="0"/>
    <n v="350000"/>
    <n v="20.734597156398117"/>
    <n v="25000"/>
    <n v="68"/>
    <x v="1838"/>
    <x v="6"/>
    <x v="1"/>
    <x v="0"/>
  </r>
  <r>
    <x v="141"/>
    <s v="ZTAN"/>
    <x v="7"/>
    <s v="DFRV76"/>
    <s v="113693568"/>
    <s v="CHILLAN"/>
    <x v="1529"/>
    <x v="5"/>
    <x v="0"/>
    <x v="21"/>
    <x v="5"/>
    <n v="0"/>
    <n v="350000"/>
    <n v="0"/>
    <n v="350000"/>
    <n v="22.077004592016969"/>
    <n v="25000"/>
    <n v="63"/>
    <x v="1839"/>
    <x v="6"/>
    <x v="1"/>
    <x v="0"/>
  </r>
  <r>
    <x v="141"/>
    <s v="ZTAN"/>
    <x v="7"/>
    <s v="KKPF51"/>
    <s v="95707734"/>
    <s v="RANCAGUA"/>
    <x v="1530"/>
    <x v="8"/>
    <x v="0"/>
    <x v="28"/>
    <x v="6"/>
    <n v="0"/>
    <n v="230000"/>
    <n v="0"/>
    <n v="230000"/>
    <n v="12.776429154700352"/>
    <n v="25000"/>
    <n v="72"/>
    <x v="1840"/>
    <x v="6"/>
    <x v="1"/>
    <x v="0"/>
  </r>
  <r>
    <x v="141"/>
    <s v="ZTAN"/>
    <x v="7"/>
    <s v="SU9354"/>
    <s v="72564391"/>
    <s v="SAN MIGUEL"/>
    <x v="1000"/>
    <x v="2"/>
    <x v="1"/>
    <x v="23"/>
    <x v="1"/>
    <n v="2"/>
    <n v="74290"/>
    <n v="0"/>
    <n v="74290"/>
    <n v="11.000059227671169"/>
    <n v="5000"/>
    <n v="100"/>
    <x v="1841"/>
    <x v="6"/>
    <x v="1"/>
    <x v="1"/>
  </r>
  <r>
    <x v="141"/>
    <s v="ZTAN"/>
    <x v="7"/>
    <s v="SV2718"/>
    <s v="78907355"/>
    <s v="SAN MIGUEL"/>
    <x v="1000"/>
    <x v="1"/>
    <x v="1"/>
    <x v="23"/>
    <x v="1"/>
    <n v="2"/>
    <n v="74290"/>
    <n v="0"/>
    <n v="74290"/>
    <n v="11.000059227671169"/>
    <n v="5000"/>
    <n v="100"/>
    <x v="1842"/>
    <x v="6"/>
    <x v="1"/>
    <x v="1"/>
  </r>
  <r>
    <x v="141"/>
    <s v="ZTAN"/>
    <x v="8"/>
    <s v="CJXX49"/>
    <s v="167832741"/>
    <s v="CORONEL"/>
    <x v="1531"/>
    <x v="5"/>
    <x v="0"/>
    <x v="16"/>
    <x v="0"/>
    <n v="0"/>
    <n v="380000"/>
    <n v="0"/>
    <n v="380000"/>
    <n v="26.171339628229234"/>
    <n v="25000"/>
    <n v="27"/>
    <x v="1843"/>
    <x v="6"/>
    <x v="1"/>
    <x v="0"/>
  </r>
  <r>
    <x v="141"/>
    <s v="ZTAN"/>
    <x v="8"/>
    <s v="DJLF85"/>
    <s v="53173292"/>
    <s v="LA REINA"/>
    <x v="1532"/>
    <x v="4"/>
    <x v="1"/>
    <x v="11"/>
    <x v="1"/>
    <n v="3"/>
    <n v="72752"/>
    <n v="0"/>
    <n v="72752"/>
    <n v="11.000030239801628"/>
    <n v="5000"/>
    <n v="100"/>
    <x v="1844"/>
    <x v="6"/>
    <x v="1"/>
    <x v="1"/>
  </r>
  <r>
    <x v="141"/>
    <s v="ZTAN"/>
    <x v="8"/>
    <s v="SV2718"/>
    <s v="99626232"/>
    <s v="SAN BERNARDO"/>
    <x v="1533"/>
    <x v="1"/>
    <x v="1"/>
    <x v="4"/>
    <x v="1"/>
    <n v="4"/>
    <n v="55000"/>
    <n v="0"/>
    <n v="55000"/>
    <n v="15.899170352383429"/>
    <n v="5000"/>
    <n v="69"/>
    <x v="1845"/>
    <x v="6"/>
    <x v="1"/>
    <x v="1"/>
  </r>
  <r>
    <x v="141"/>
    <s v="ZTAN"/>
    <x v="8"/>
    <s v="TP3884"/>
    <s v="154837728"/>
    <s v="PUDAHUEL"/>
    <x v="1534"/>
    <x v="1"/>
    <x v="1"/>
    <x v="10"/>
    <x v="1"/>
    <n v="1"/>
    <n v="60347"/>
    <n v="0"/>
    <n v="60347"/>
    <n v="10.99998177211498"/>
    <n v="5000"/>
    <n v="100"/>
    <x v="1846"/>
    <x v="6"/>
    <x v="1"/>
    <x v="1"/>
  </r>
  <r>
    <x v="141"/>
    <s v="ZTAN"/>
    <x v="8"/>
    <s v="UA7248"/>
    <s v="107643206"/>
    <s v="LAS CONDES"/>
    <x v="1535"/>
    <x v="1"/>
    <x v="1"/>
    <x v="3"/>
    <x v="1"/>
    <n v="4"/>
    <n v="55000"/>
    <n v="0"/>
    <n v="55000"/>
    <n v="13.330747976150079"/>
    <n v="5000"/>
    <n v="83"/>
    <x v="1847"/>
    <x v="6"/>
    <x v="1"/>
    <x v="1"/>
  </r>
  <r>
    <x v="141"/>
    <s v="ZTAN"/>
    <x v="8"/>
    <s v="XR6339"/>
    <s v="78907355"/>
    <s v="CERRILLOS"/>
    <x v="1536"/>
    <x v="1"/>
    <x v="1"/>
    <x v="9"/>
    <x v="1"/>
    <n v="2"/>
    <n v="55000"/>
    <n v="0"/>
    <n v="55000"/>
    <n v="13.150344299923489"/>
    <n v="5000"/>
    <n v="84"/>
    <x v="1848"/>
    <x v="6"/>
    <x v="1"/>
    <x v="1"/>
  </r>
  <r>
    <x v="142"/>
    <s v="ZPEP"/>
    <x v="17"/>
    <s v="XR6339"/>
    <s v="78907355"/>
    <s v="LAMPA"/>
    <x v="1537"/>
    <x v="1"/>
    <x v="1"/>
    <x v="17"/>
    <x v="1"/>
    <n v="5"/>
    <n v="67544.400000000009"/>
    <n v="0"/>
    <n v="67544.400000000009"/>
    <n v="11"/>
    <n v="10000"/>
    <n v="61"/>
    <x v="1849"/>
    <x v="6"/>
    <x v="1"/>
    <x v="1"/>
  </r>
  <r>
    <x v="142"/>
    <s v="ZPEP"/>
    <x v="5"/>
    <s v="SU9354"/>
    <s v="72564391"/>
    <s v="LAMPA"/>
    <x v="1538"/>
    <x v="2"/>
    <x v="1"/>
    <x v="17"/>
    <x v="1"/>
    <n v="5"/>
    <n v="138755.87"/>
    <n v="0"/>
    <n v="138755.87"/>
    <n v="11"/>
    <n v="10000"/>
    <n v="100"/>
    <x v="1850"/>
    <x v="6"/>
    <x v="1"/>
    <x v="1"/>
  </r>
  <r>
    <x v="142"/>
    <s v="ZPEP"/>
    <x v="32"/>
    <s v="WG4022"/>
    <s v="81417709"/>
    <s v="LAMPA"/>
    <x v="1539"/>
    <x v="1"/>
    <x v="0"/>
    <x v="17"/>
    <x v="1"/>
    <n v="5"/>
    <n v="114167.79"/>
    <n v="0"/>
    <n v="114167.79"/>
    <n v="11"/>
    <n v="10000"/>
    <n v="94"/>
    <x v="1851"/>
    <x v="6"/>
    <x v="1"/>
    <x v="1"/>
  </r>
  <r>
    <x v="142"/>
    <s v="ZPEP"/>
    <x v="14"/>
    <s v="WC4022"/>
    <s v="125108660"/>
    <s v="LA PINTANA"/>
    <x v="1540"/>
    <x v="1"/>
    <x v="1"/>
    <x v="31"/>
    <x v="1"/>
    <n v="4"/>
    <n v="78386"/>
    <n v="0"/>
    <n v="78386"/>
    <n v="11"/>
    <n v="5000"/>
    <n v="100"/>
    <x v="1852"/>
    <x v="6"/>
    <x v="1"/>
    <x v="1"/>
  </r>
  <r>
    <x v="142"/>
    <s v="ZTAN"/>
    <x v="51"/>
    <s v="CBSK23"/>
    <s v="95439802"/>
    <s v="CERRILLOS"/>
    <x v="1541"/>
    <x v="0"/>
    <x v="0"/>
    <x v="9"/>
    <x v="1"/>
    <n v="2"/>
    <n v="110011"/>
    <n v="0"/>
    <n v="110011"/>
    <n v="11"/>
    <n v="5000"/>
    <n v="100"/>
    <x v="1853"/>
    <x v="6"/>
    <x v="1"/>
    <x v="1"/>
  </r>
  <r>
    <x v="142"/>
    <s v="ZTAN"/>
    <x v="10"/>
    <s v="DP5738"/>
    <s v="35488103"/>
    <s v="QUILICURA"/>
    <x v="1542"/>
    <x v="7"/>
    <x v="1"/>
    <x v="8"/>
    <x v="1"/>
    <n v="1"/>
    <n v="73720"/>
    <n v="0"/>
    <n v="73720"/>
    <n v="11.00002984272882"/>
    <n v="5000"/>
    <n v="100"/>
    <x v="1854"/>
    <x v="6"/>
    <x v="1"/>
    <x v="1"/>
  </r>
  <r>
    <x v="142"/>
    <s v="ZTAN"/>
    <x v="10"/>
    <s v="HLBX77"/>
    <s v="16093509K"/>
    <s v="QUILICURA"/>
    <x v="1543"/>
    <x v="1"/>
    <x v="1"/>
    <x v="8"/>
    <x v="1"/>
    <n v="1"/>
    <n v="94092"/>
    <n v="0"/>
    <n v="94092"/>
    <n v="11.000023381421125"/>
    <n v="5000"/>
    <n v="100"/>
    <x v="1855"/>
    <x v="6"/>
    <x v="1"/>
    <x v="1"/>
  </r>
  <r>
    <x v="142"/>
    <s v="ZTAN"/>
    <x v="10"/>
    <s v="RK5135"/>
    <s v="138841065"/>
    <s v="QUILICURA"/>
    <x v="1544"/>
    <x v="3"/>
    <x v="1"/>
    <x v="8"/>
    <x v="1"/>
    <n v="1"/>
    <n v="99385"/>
    <n v="0"/>
    <n v="99385"/>
    <n v="11.000000000000002"/>
    <n v="5000"/>
    <n v="100"/>
    <x v="1856"/>
    <x v="6"/>
    <x v="1"/>
    <x v="1"/>
  </r>
  <r>
    <x v="142"/>
    <s v="ZTAN"/>
    <x v="10"/>
    <s v="TP3884"/>
    <s v="154837728"/>
    <s v="QUILICURA"/>
    <x v="1545"/>
    <x v="1"/>
    <x v="1"/>
    <x v="8"/>
    <x v="1"/>
    <n v="1"/>
    <n v="69329"/>
    <n v="0"/>
    <n v="69329"/>
    <n v="11.000063465871229"/>
    <n v="5000"/>
    <n v="100"/>
    <x v="1857"/>
    <x v="6"/>
    <x v="1"/>
    <x v="1"/>
  </r>
  <r>
    <x v="142"/>
    <s v="ZTAN"/>
    <x v="7"/>
    <s v="UA7248"/>
    <s v="107643206"/>
    <s v="SAN MIGUEL"/>
    <x v="1546"/>
    <x v="1"/>
    <x v="1"/>
    <x v="23"/>
    <x v="1"/>
    <n v="2"/>
    <n v="72521"/>
    <n v="0"/>
    <n v="72521"/>
    <n v="11.000030336124258"/>
    <n v="5000"/>
    <n v="100"/>
    <x v="1858"/>
    <x v="6"/>
    <x v="1"/>
    <x v="1"/>
  </r>
  <r>
    <x v="142"/>
    <s v="ZTAN"/>
    <x v="8"/>
    <s v="BDCH61"/>
    <s v="99626232"/>
    <s v="ÑUÑOA"/>
    <x v="1547"/>
    <x v="1"/>
    <x v="1"/>
    <x v="15"/>
    <x v="1"/>
    <n v="4"/>
    <n v="55000"/>
    <n v="0"/>
    <n v="55000"/>
    <n v="21.584540759461877"/>
    <n v="5000"/>
    <n v="51"/>
    <x v="1859"/>
    <x v="6"/>
    <x v="1"/>
    <x v="1"/>
  </r>
  <r>
    <x v="142"/>
    <s v="ZTAN"/>
    <x v="8"/>
    <s v="BPKD94"/>
    <s v="125897258"/>
    <s v="CORONEL"/>
    <x v="1548"/>
    <x v="0"/>
    <x v="0"/>
    <x v="16"/>
    <x v="0"/>
    <n v="0"/>
    <n v="380000"/>
    <n v="0"/>
    <n v="380000"/>
    <n v="51.102743410435721"/>
    <n v="25000"/>
    <n v="30"/>
    <x v="1860"/>
    <x v="6"/>
    <x v="1"/>
    <x v="0"/>
  </r>
  <r>
    <x v="142"/>
    <s v="ZTAN"/>
    <x v="8"/>
    <s v="GKRB84"/>
    <s v="122975819"/>
    <s v="OSORNO"/>
    <x v="1498"/>
    <x v="5"/>
    <x v="0"/>
    <x v="64"/>
    <x v="10"/>
    <n v="0"/>
    <n v="900000"/>
    <n v="0"/>
    <n v="900000"/>
    <n v="64.854581615887923"/>
    <n v="25000"/>
    <n v="56"/>
    <x v="1861"/>
    <x v="6"/>
    <x v="1"/>
    <x v="0"/>
  </r>
  <r>
    <x v="142"/>
    <s v="ZTAN"/>
    <x v="8"/>
    <s v="SV2718"/>
    <s v="78907355"/>
    <s v="QUILIN"/>
    <x v="1549"/>
    <x v="1"/>
    <x v="1"/>
    <x v="34"/>
    <x v="1"/>
    <n v="4"/>
    <n v="55000"/>
    <n v="0"/>
    <n v="55000"/>
    <n v="13.779833339179323"/>
    <n v="5000"/>
    <n v="80"/>
    <x v="1862"/>
    <x v="6"/>
    <x v="1"/>
    <x v="1"/>
  </r>
  <r>
    <x v="142"/>
    <s v="ZTAN"/>
    <x v="8"/>
    <s v="TP3884"/>
    <s v="154837728"/>
    <s v="PUDAHUEL"/>
    <x v="1550"/>
    <x v="1"/>
    <x v="1"/>
    <x v="10"/>
    <x v="1"/>
    <n v="1"/>
    <n v="71106"/>
    <n v="0"/>
    <n v="71106"/>
    <n v="10.999969060363231"/>
    <n v="5000"/>
    <n v="100"/>
    <x v="1863"/>
    <x v="6"/>
    <x v="1"/>
    <x v="1"/>
  </r>
  <r>
    <x v="142"/>
    <s v="ZTAN"/>
    <x v="8"/>
    <s v="UA7248"/>
    <s v="107643206"/>
    <s v="LAS CONDES"/>
    <x v="1551"/>
    <x v="1"/>
    <x v="1"/>
    <x v="3"/>
    <x v="1"/>
    <n v="4"/>
    <n v="55000"/>
    <n v="0"/>
    <n v="55000"/>
    <n v="16.945601538044418"/>
    <n v="5000"/>
    <n v="65"/>
    <x v="1864"/>
    <x v="6"/>
    <x v="1"/>
    <x v="1"/>
  </r>
  <r>
    <x v="143"/>
    <s v="ZPEP"/>
    <x v="3"/>
    <s v="DJLF85"/>
    <s v="53173292"/>
    <s v="LAS CONDES"/>
    <x v="1552"/>
    <x v="4"/>
    <x v="1"/>
    <x v="3"/>
    <x v="1"/>
    <n v="4"/>
    <n v="157762"/>
    <n v="0"/>
    <n v="157762"/>
    <n v="11"/>
    <n v="5000"/>
    <n v="100"/>
    <x v="1865"/>
    <x v="6"/>
    <x v="1"/>
    <x v="1"/>
  </r>
  <r>
    <x v="143"/>
    <s v="ZPEP"/>
    <x v="3"/>
    <s v="WC2233"/>
    <s v="125108660"/>
    <s v="LAS CONDES"/>
    <x v="1312"/>
    <x v="4"/>
    <x v="1"/>
    <x v="3"/>
    <x v="1"/>
    <n v="4"/>
    <n v="159984"/>
    <n v="0"/>
    <n v="159984"/>
    <n v="11"/>
    <n v="5000"/>
    <n v="100"/>
    <x v="1866"/>
    <x v="6"/>
    <x v="1"/>
    <x v="1"/>
  </r>
  <r>
    <x v="143"/>
    <s v="ZPEP"/>
    <x v="18"/>
    <s v="HLBX77"/>
    <s v="16093509K"/>
    <s v="CARTAGENA"/>
    <x v="1553"/>
    <x v="1"/>
    <x v="1"/>
    <x v="40"/>
    <x v="2"/>
    <n v="0"/>
    <n v="180000"/>
    <n v="0"/>
    <n v="180000"/>
    <n v="35.69941095971916"/>
    <n v="25000"/>
    <n v="20"/>
    <x v="1867"/>
    <x v="6"/>
    <x v="1"/>
    <x v="0"/>
  </r>
  <r>
    <x v="143"/>
    <s v="ZPEP"/>
    <x v="12"/>
    <s v="WG4022"/>
    <s v="81417709"/>
    <s v="VITACURA"/>
    <x v="1554"/>
    <x v="1"/>
    <x v="0"/>
    <x v="27"/>
    <x v="1"/>
    <n v="4"/>
    <n v="114708"/>
    <n v="0"/>
    <n v="114708"/>
    <n v="11"/>
    <n v="5000"/>
    <n v="100"/>
    <x v="1868"/>
    <x v="6"/>
    <x v="1"/>
    <x v="1"/>
  </r>
  <r>
    <x v="143"/>
    <s v="ZTAN"/>
    <x v="12"/>
    <s v="XR6339"/>
    <s v="78907355"/>
    <s v="VITACURA"/>
    <x v="1555"/>
    <x v="1"/>
    <x v="1"/>
    <x v="27"/>
    <x v="1"/>
    <n v="4"/>
    <n v="62362"/>
    <n v="0"/>
    <n v="62362"/>
    <n v="10.999947083414179"/>
    <n v="5000"/>
    <n v="100"/>
    <x v="1869"/>
    <x v="6"/>
    <x v="1"/>
    <x v="1"/>
  </r>
  <r>
    <x v="143"/>
    <s v="ZTAN"/>
    <x v="10"/>
    <s v="DP5738"/>
    <s v="35488103"/>
    <s v="QUILICURA"/>
    <x v="1556"/>
    <x v="7"/>
    <x v="1"/>
    <x v="8"/>
    <x v="1"/>
    <n v="1"/>
    <n v="83514"/>
    <n v="0"/>
    <n v="83514"/>
    <n v="10.99997365717447"/>
    <n v="5000"/>
    <n v="100"/>
    <x v="1870"/>
    <x v="6"/>
    <x v="1"/>
    <x v="1"/>
  </r>
  <r>
    <x v="143"/>
    <s v="ZTAN"/>
    <x v="10"/>
    <s v="RK5135"/>
    <s v="138841065"/>
    <s v="QUILICURA"/>
    <x v="1557"/>
    <x v="3"/>
    <x v="1"/>
    <x v="8"/>
    <x v="1"/>
    <n v="1"/>
    <n v="91106"/>
    <n v="0"/>
    <n v="91106"/>
    <n v="10.999951704819859"/>
    <n v="5000"/>
    <n v="100"/>
    <x v="1871"/>
    <x v="6"/>
    <x v="1"/>
    <x v="1"/>
  </r>
  <r>
    <x v="143"/>
    <s v="ZTAN"/>
    <x v="7"/>
    <s v="KKPF51"/>
    <s v="95707734"/>
    <s v="RANCAGUA"/>
    <x v="1558"/>
    <x v="8"/>
    <x v="0"/>
    <x v="28"/>
    <x v="6"/>
    <n v="0"/>
    <n v="230000"/>
    <n v="0"/>
    <n v="230000"/>
    <n v="15.756986168106479"/>
    <n v="25000"/>
    <n v="58"/>
    <x v="1872"/>
    <x v="6"/>
    <x v="1"/>
    <x v="0"/>
  </r>
  <r>
    <x v="143"/>
    <s v="ZTAN"/>
    <x v="8"/>
    <s v="BDCH61"/>
    <s v="99626232"/>
    <s v="SANTIAGO"/>
    <x v="860"/>
    <x v="1"/>
    <x v="1"/>
    <x v="20"/>
    <x v="1"/>
    <n v="1"/>
    <n v="55000"/>
    <n v="0"/>
    <n v="55000"/>
    <n v="16.003072589937268"/>
    <n v="5000"/>
    <n v="69"/>
    <x v="1873"/>
    <x v="6"/>
    <x v="1"/>
    <x v="1"/>
  </r>
  <r>
    <x v="143"/>
    <s v="ZTAN"/>
    <x v="8"/>
    <s v="PKYS74"/>
    <s v="6270439K"/>
    <s v="CORONEL"/>
    <x v="1559"/>
    <x v="0"/>
    <x v="0"/>
    <x v="16"/>
    <x v="0"/>
    <n v="0"/>
    <n v="380000"/>
    <n v="0"/>
    <n v="380000"/>
    <n v="27.284502689677556"/>
    <n v="25000"/>
    <n v="56"/>
    <x v="1874"/>
    <x v="6"/>
    <x v="1"/>
    <x v="0"/>
  </r>
  <r>
    <x v="143"/>
    <s v="ZTAN"/>
    <x v="8"/>
    <s v="RK5135"/>
    <s v="138841065"/>
    <s v="MAIPU"/>
    <x v="1375"/>
    <x v="3"/>
    <x v="1"/>
    <x v="2"/>
    <x v="1"/>
    <n v="2"/>
    <n v="55000"/>
    <n v="0"/>
    <n v="55000"/>
    <n v="29.821612535921489"/>
    <n v="5000"/>
    <n v="37"/>
    <x v="1875"/>
    <x v="6"/>
    <x v="1"/>
    <x v="1"/>
  </r>
  <r>
    <x v="143"/>
    <s v="ZTAN"/>
    <x v="8"/>
    <s v="RK5135"/>
    <s v="1388431065"/>
    <s v="MAIPU"/>
    <x v="1560"/>
    <x v="3"/>
    <x v="1"/>
    <x v="2"/>
    <x v="1"/>
    <n v="2"/>
    <n v="55000"/>
    <n v="0"/>
    <n v="55000"/>
    <n v="21.230439045479461"/>
    <n v="5000"/>
    <n v="52"/>
    <x v="1876"/>
    <x v="6"/>
    <x v="1"/>
    <x v="1"/>
  </r>
  <r>
    <x v="143"/>
    <s v="ZTAN"/>
    <x v="8"/>
    <s v="SU9354"/>
    <s v="72564391"/>
    <s v="SANTA CRUZ"/>
    <x v="448"/>
    <x v="2"/>
    <x v="1"/>
    <x v="75"/>
    <x v="6"/>
    <n v="0"/>
    <n v="230000"/>
    <n v="0"/>
    <n v="230000"/>
    <n v="38.312899786780392"/>
    <n v="25000"/>
    <n v="24"/>
    <x v="1877"/>
    <x v="6"/>
    <x v="1"/>
    <x v="0"/>
  </r>
  <r>
    <x v="143"/>
    <s v="ZTAN"/>
    <x v="8"/>
    <s v="SV2718"/>
    <s v="78907355"/>
    <s v="PUENTE ALTO"/>
    <x v="1561"/>
    <x v="1"/>
    <x v="1"/>
    <x v="30"/>
    <x v="1"/>
    <n v="4"/>
    <n v="55000"/>
    <n v="0"/>
    <n v="55000"/>
    <n v="15.184812978321609"/>
    <n v="5000"/>
    <n v="72"/>
    <x v="1878"/>
    <x v="6"/>
    <x v="1"/>
    <x v="1"/>
  </r>
  <r>
    <x v="143"/>
    <s v="ZTAN"/>
    <x v="8"/>
    <s v="TP3884"/>
    <s v="154837728"/>
    <s v="LAS CONDES"/>
    <x v="842"/>
    <x v="1"/>
    <x v="1"/>
    <x v="3"/>
    <x v="1"/>
    <n v="4"/>
    <n v="55000"/>
    <n v="0"/>
    <n v="55000"/>
    <n v="44.254196102412259"/>
    <n v="5000"/>
    <n v="25"/>
    <x v="1879"/>
    <x v="6"/>
    <x v="1"/>
    <x v="1"/>
  </r>
  <r>
    <x v="143"/>
    <s v="ZTAN"/>
    <x v="8"/>
    <s v="UA7248"/>
    <s v="107643206"/>
    <s v="SAN BERNARDO"/>
    <x v="1562"/>
    <x v="1"/>
    <x v="1"/>
    <x v="4"/>
    <x v="1"/>
    <n v="4"/>
    <n v="55000"/>
    <n v="0"/>
    <n v="55000"/>
    <n v="22.951859517927488"/>
    <n v="5000"/>
    <n v="48"/>
    <x v="1880"/>
    <x v="6"/>
    <x v="1"/>
    <x v="1"/>
  </r>
  <r>
    <x v="143"/>
    <s v="ZTAN"/>
    <x v="8"/>
    <s v="XR6339"/>
    <s v="99626232"/>
    <s v="ÑUÑOA"/>
    <x v="1563"/>
    <x v="1"/>
    <x v="1"/>
    <x v="15"/>
    <x v="1"/>
    <n v="4"/>
    <n v="55000"/>
    <n v="0"/>
    <n v="55000"/>
    <n v="18.712320191614161"/>
    <n v="5000"/>
    <n v="59"/>
    <x v="1881"/>
    <x v="6"/>
    <x v="1"/>
    <x v="1"/>
  </r>
  <r>
    <x v="144"/>
    <s v="ZPEP"/>
    <x v="5"/>
    <s v="HLBX77"/>
    <s v="16093509K"/>
    <s v="LAMPA"/>
    <x v="1564"/>
    <x v="1"/>
    <x v="1"/>
    <x v="17"/>
    <x v="1"/>
    <n v="5"/>
    <n v="70000"/>
    <n v="0"/>
    <n v="70000"/>
    <n v="15.201000660157741"/>
    <n v="10000"/>
    <n v="46"/>
    <x v="1882"/>
    <x v="6"/>
    <x v="1"/>
    <x v="1"/>
  </r>
  <r>
    <x v="144"/>
    <s v="ZPEP"/>
    <x v="5"/>
    <s v="WC4022"/>
    <s v="81417709"/>
    <s v="LAMPA"/>
    <x v="1565"/>
    <x v="1"/>
    <x v="1"/>
    <x v="17"/>
    <x v="1"/>
    <n v="5"/>
    <n v="79983.64"/>
    <n v="0"/>
    <n v="79983.64"/>
    <n v="11"/>
    <n v="10000"/>
    <n v="73"/>
    <x v="1883"/>
    <x v="6"/>
    <x v="1"/>
    <x v="1"/>
  </r>
  <r>
    <x v="144"/>
    <s v="ZPEP"/>
    <x v="8"/>
    <s v="BPKD94"/>
    <s v="125897258"/>
    <s v="LA SERENA"/>
    <x v="1566"/>
    <x v="0"/>
    <x v="0"/>
    <x v="63"/>
    <x v="8"/>
    <n v="0"/>
    <n v="600000"/>
    <n v="0"/>
    <n v="600000"/>
    <n v="36.62422326126498"/>
    <n v="25000"/>
    <n v="66"/>
    <x v="1884"/>
    <x v="6"/>
    <x v="1"/>
    <x v="0"/>
  </r>
  <r>
    <x v="144"/>
    <s v="ZTAN"/>
    <x v="51"/>
    <s v="TW7053"/>
    <s v="172861164"/>
    <s v="CERRILLOS"/>
    <x v="1567"/>
    <x v="6"/>
    <x v="1"/>
    <x v="9"/>
    <x v="1"/>
    <n v="2"/>
    <n v="55000"/>
    <n v="0"/>
    <n v="55000"/>
    <n v="15.918497293855461"/>
    <n v="5000"/>
    <n v="69"/>
    <x v="1885"/>
    <x v="6"/>
    <x v="1"/>
    <x v="1"/>
  </r>
  <r>
    <x v="144"/>
    <s v="ZTAN"/>
    <x v="3"/>
    <s v="SU9354"/>
    <s v="72564391"/>
    <s v="LAS CONDES"/>
    <x v="1568"/>
    <x v="2"/>
    <x v="1"/>
    <x v="3"/>
    <x v="1"/>
    <n v="4"/>
    <n v="138656"/>
    <n v="0"/>
    <n v="138656"/>
    <n v="10.999992066703159"/>
    <n v="5000"/>
    <n v="100"/>
    <x v="1886"/>
    <x v="6"/>
    <x v="1"/>
    <x v="1"/>
  </r>
  <r>
    <x v="144"/>
    <s v="ZTAN"/>
    <x v="3"/>
    <s v="WC2233"/>
    <s v="53173292"/>
    <s v="LAS CONDES"/>
    <x v="1569"/>
    <x v="4"/>
    <x v="1"/>
    <x v="3"/>
    <x v="1"/>
    <n v="4"/>
    <n v="141826"/>
    <n v="0"/>
    <n v="141826"/>
    <n v="10.999976732101169"/>
    <n v="5000"/>
    <n v="100"/>
    <x v="1887"/>
    <x v="6"/>
    <x v="1"/>
    <x v="1"/>
  </r>
  <r>
    <x v="144"/>
    <s v="ZTAN"/>
    <x v="10"/>
    <s v="DJLF85"/>
    <s v="53173292"/>
    <s v="QUILICURA"/>
    <x v="1570"/>
    <x v="4"/>
    <x v="1"/>
    <x v="8"/>
    <x v="1"/>
    <n v="1"/>
    <n v="94577"/>
    <n v="0"/>
    <n v="94577"/>
    <n v="11.000011630747046"/>
    <n v="5000"/>
    <n v="100"/>
    <x v="1888"/>
    <x v="6"/>
    <x v="1"/>
    <x v="1"/>
  </r>
  <r>
    <x v="144"/>
    <s v="ZTAN"/>
    <x v="10"/>
    <s v="HLBX77"/>
    <s v="16093509K"/>
    <s v="QUILICURA"/>
    <x v="1490"/>
    <x v="1"/>
    <x v="1"/>
    <x v="8"/>
    <x v="1"/>
    <n v="1"/>
    <n v="107307"/>
    <n v="0"/>
    <n v="107307"/>
    <n v="10.999979498113833"/>
    <n v="5000"/>
    <n v="100"/>
    <x v="1889"/>
    <x v="6"/>
    <x v="1"/>
    <x v="1"/>
  </r>
  <r>
    <x v="144"/>
    <s v="ZTAN"/>
    <x v="10"/>
    <s v="TP3884"/>
    <s v="154837728"/>
    <s v="QUILICURA"/>
    <x v="1571"/>
    <x v="1"/>
    <x v="1"/>
    <x v="8"/>
    <x v="1"/>
    <n v="1"/>
    <n v="84681"/>
    <n v="0"/>
    <n v="84681"/>
    <n v="10.999961030357355"/>
    <n v="5000"/>
    <n v="100"/>
    <x v="1890"/>
    <x v="6"/>
    <x v="1"/>
    <x v="1"/>
  </r>
  <r>
    <x v="144"/>
    <s v="ZTAN"/>
    <x v="9"/>
    <s v="RK5135"/>
    <s v="138841065"/>
    <s v="CALERA DE TANGO"/>
    <x v="1304"/>
    <x v="3"/>
    <x v="1"/>
    <x v="71"/>
    <x v="1"/>
    <n v="5"/>
    <n v="90000"/>
    <n v="0"/>
    <n v="90000"/>
    <n v="11.238761238761237"/>
    <n v="10000"/>
    <n v="80"/>
    <x v="1891"/>
    <x v="6"/>
    <x v="1"/>
    <x v="1"/>
  </r>
  <r>
    <x v="144"/>
    <s v="ZTAN"/>
    <x v="9"/>
    <s v="XR6339"/>
    <s v="78907355"/>
    <s v="CALERA DE TANGO"/>
    <x v="1304"/>
    <x v="1"/>
    <x v="1"/>
    <x v="71"/>
    <x v="1"/>
    <n v="5"/>
    <n v="90000"/>
    <n v="0"/>
    <n v="90000"/>
    <n v="11.238761238761237"/>
    <n v="10000"/>
    <n v="80"/>
    <x v="1892"/>
    <x v="6"/>
    <x v="1"/>
    <x v="1"/>
  </r>
  <r>
    <x v="144"/>
    <s v="ZTAN"/>
    <x v="7"/>
    <s v="DJLF85"/>
    <s v="53173292"/>
    <s v="SAN MIGUEL"/>
    <x v="1572"/>
    <x v="4"/>
    <x v="1"/>
    <x v="23"/>
    <x v="1"/>
    <n v="2"/>
    <n v="96603"/>
    <n v="0"/>
    <n v="96603"/>
    <n v="10.999988613201854"/>
    <n v="5000"/>
    <n v="100"/>
    <x v="1893"/>
    <x v="6"/>
    <x v="1"/>
    <x v="1"/>
  </r>
  <r>
    <x v="144"/>
    <s v="ZTAN"/>
    <x v="7"/>
    <s v="DP5738"/>
    <s v="35488103"/>
    <s v="SAN MIGUEL"/>
    <x v="1573"/>
    <x v="7"/>
    <x v="1"/>
    <x v="23"/>
    <x v="1"/>
    <n v="2"/>
    <n v="92695"/>
    <n v="0"/>
    <n v="92695"/>
    <n v="11.00002373380168"/>
    <n v="5000"/>
    <n v="100"/>
    <x v="1894"/>
    <x v="6"/>
    <x v="1"/>
    <x v="1"/>
  </r>
  <r>
    <x v="144"/>
    <s v="ZTAN"/>
    <x v="7"/>
    <s v="KKPF51"/>
    <s v="95707734"/>
    <s v="MELIPILLA"/>
    <x v="397"/>
    <x v="8"/>
    <x v="0"/>
    <x v="29"/>
    <x v="1"/>
    <n v="5"/>
    <n v="206360"/>
    <n v="0"/>
    <n v="206360"/>
    <n v="11"/>
    <n v="10000"/>
    <n v="100"/>
    <x v="1895"/>
    <x v="6"/>
    <x v="1"/>
    <x v="1"/>
  </r>
  <r>
    <x v="144"/>
    <s v="ZTAN"/>
    <x v="7"/>
    <s v="UA7248"/>
    <s v="154837728"/>
    <s v="RENCA"/>
    <x v="1574"/>
    <x v="1"/>
    <x v="1"/>
    <x v="7"/>
    <x v="1"/>
    <n v="1"/>
    <n v="55000"/>
    <n v="0"/>
    <n v="55000"/>
    <n v="60.626102292768955"/>
    <n v="5000"/>
    <n v="18"/>
    <x v="1896"/>
    <x v="6"/>
    <x v="1"/>
    <x v="1"/>
  </r>
  <r>
    <x v="144"/>
    <s v="ZTAN"/>
    <x v="7"/>
    <s v="WG4022"/>
    <s v="81417709"/>
    <s v="RANCAGUA"/>
    <x v="1575"/>
    <x v="1"/>
    <x v="0"/>
    <x v="28"/>
    <x v="6"/>
    <n v="0"/>
    <n v="230000"/>
    <n v="0"/>
    <n v="230000"/>
    <n v="16.730484980388962"/>
    <n v="25000"/>
    <n v="55"/>
    <x v="1897"/>
    <x v="6"/>
    <x v="1"/>
    <x v="0"/>
  </r>
  <r>
    <x v="144"/>
    <s v="ZTAN"/>
    <x v="8"/>
    <s v="CJFZ67"/>
    <s v="115812335"/>
    <s v="CORONEL"/>
    <x v="1576"/>
    <x v="5"/>
    <x v="0"/>
    <x v="16"/>
    <x v="0"/>
    <n v="0"/>
    <n v="380000"/>
    <n v="0"/>
    <n v="380000"/>
    <n v="22.536868537701203"/>
    <n v="25000"/>
    <n v="67"/>
    <x v="1898"/>
    <x v="6"/>
    <x v="1"/>
    <x v="0"/>
  </r>
  <r>
    <x v="145"/>
    <s v="ZPEP"/>
    <x v="5"/>
    <s v="PN4466"/>
    <s v="120327283"/>
    <s v="LAMPA"/>
    <x v="1577"/>
    <x v="1"/>
    <x v="0"/>
    <x v="17"/>
    <x v="1"/>
    <n v="5"/>
    <n v="120000"/>
    <n v="0"/>
    <n v="120000"/>
    <n v="15.326198987704558"/>
    <n v="10000"/>
    <n v="78"/>
    <x v="1899"/>
    <x v="6"/>
    <x v="1"/>
    <x v="1"/>
  </r>
  <r>
    <x v="145"/>
    <s v="ZPEP"/>
    <x v="18"/>
    <s v="SU9354"/>
    <s v="72564391"/>
    <s v="CARTAGENA"/>
    <x v="1578"/>
    <x v="2"/>
    <x v="1"/>
    <x v="40"/>
    <x v="2"/>
    <n v="0"/>
    <n v="180000"/>
    <n v="0"/>
    <n v="180000"/>
    <n v="21.220159151193638"/>
    <n v="25000"/>
    <n v="34"/>
    <x v="1900"/>
    <x v="6"/>
    <x v="1"/>
    <x v="0"/>
  </r>
  <r>
    <x v="145"/>
    <s v="ZPEP"/>
    <x v="8"/>
    <s v="WC2233"/>
    <s v="125108660"/>
    <s v="RENCA"/>
    <x v="1579"/>
    <x v="4"/>
    <x v="1"/>
    <x v="7"/>
    <x v="1"/>
    <n v="1"/>
    <n v="88836"/>
    <n v="0"/>
    <n v="88836"/>
    <n v="11.000040861964568"/>
    <n v="5000"/>
    <n v="100"/>
    <x v="1901"/>
    <x v="6"/>
    <x v="1"/>
    <x v="1"/>
  </r>
  <r>
    <x v="145"/>
    <s v="ZTAN"/>
    <x v="63"/>
    <s v="UA7248"/>
    <s v="107643206"/>
    <s v="MAIPU"/>
    <x v="1580"/>
    <x v="1"/>
    <x v="1"/>
    <x v="2"/>
    <x v="1"/>
    <n v="2"/>
    <n v="55000"/>
    <n v="0"/>
    <n v="55000"/>
    <n v="43.443917851500792"/>
    <n v="5000"/>
    <n v="25"/>
    <x v="1902"/>
    <x v="6"/>
    <x v="1"/>
    <x v="1"/>
  </r>
  <r>
    <x v="145"/>
    <s v="ZTAN"/>
    <x v="10"/>
    <s v="DJLF85"/>
    <s v="53173292"/>
    <s v="QUILICURA"/>
    <x v="1490"/>
    <x v="4"/>
    <x v="1"/>
    <x v="8"/>
    <x v="1"/>
    <n v="1"/>
    <n v="107307"/>
    <n v="0"/>
    <n v="107307"/>
    <n v="10.999979498113833"/>
    <n v="5000"/>
    <n v="100"/>
    <x v="1903"/>
    <x v="6"/>
    <x v="1"/>
    <x v="1"/>
  </r>
  <r>
    <x v="145"/>
    <s v="ZTAN"/>
    <x v="10"/>
    <s v="DP5738"/>
    <s v="35488103"/>
    <s v="SANTIAGO"/>
    <x v="1581"/>
    <x v="7"/>
    <x v="1"/>
    <x v="20"/>
    <x v="1"/>
    <n v="1"/>
    <n v="55000"/>
    <n v="0"/>
    <n v="55000"/>
    <n v="13.28117453878103"/>
    <n v="5000"/>
    <n v="83"/>
    <x v="1904"/>
    <x v="6"/>
    <x v="1"/>
    <x v="1"/>
  </r>
  <r>
    <x v="145"/>
    <s v="ZTAN"/>
    <x v="10"/>
    <s v="HLBX77"/>
    <s v="16093509K"/>
    <s v="QUILICURA"/>
    <x v="1490"/>
    <x v="1"/>
    <x v="1"/>
    <x v="8"/>
    <x v="1"/>
    <n v="1"/>
    <n v="107307"/>
    <n v="0"/>
    <n v="107307"/>
    <n v="10.999979498113833"/>
    <n v="5000"/>
    <n v="100"/>
    <x v="1905"/>
    <x v="6"/>
    <x v="1"/>
    <x v="1"/>
  </r>
  <r>
    <x v="145"/>
    <s v="ZTAN"/>
    <x v="10"/>
    <s v="TP3884"/>
    <s v="154837728"/>
    <s v="QUILICURA"/>
    <x v="1490"/>
    <x v="1"/>
    <x v="1"/>
    <x v="8"/>
    <x v="1"/>
    <n v="1"/>
    <n v="107307"/>
    <n v="0"/>
    <n v="107307"/>
    <n v="10.999979498113833"/>
    <n v="5000"/>
    <n v="100"/>
    <x v="1906"/>
    <x v="6"/>
    <x v="1"/>
    <x v="1"/>
  </r>
  <r>
    <x v="145"/>
    <s v="ZTAN"/>
    <x v="10"/>
    <s v="XR6339"/>
    <s v="78907355"/>
    <s v="QUILICURA"/>
    <x v="1490"/>
    <x v="1"/>
    <x v="1"/>
    <x v="8"/>
    <x v="1"/>
    <n v="1"/>
    <n v="107307"/>
    <n v="0"/>
    <n v="107307"/>
    <n v="10.999979498113833"/>
    <n v="5000"/>
    <n v="100"/>
    <x v="1907"/>
    <x v="6"/>
    <x v="1"/>
    <x v="1"/>
  </r>
  <r>
    <x v="145"/>
    <s v="ZTAN"/>
    <x v="7"/>
    <s v="BDCH61"/>
    <s v="78907355"/>
    <s v="SAN MIGUEL"/>
    <x v="1000"/>
    <x v="1"/>
    <x v="1"/>
    <x v="23"/>
    <x v="1"/>
    <n v="2"/>
    <n v="74290"/>
    <n v="0"/>
    <n v="74290"/>
    <n v="11.000059227671169"/>
    <n v="5000"/>
    <n v="100"/>
    <x v="1908"/>
    <x v="6"/>
    <x v="1"/>
    <x v="1"/>
  </r>
  <r>
    <x v="145"/>
    <s v="ZTAN"/>
    <x v="7"/>
    <s v="DP5738"/>
    <s v="35488103"/>
    <s v="SAN MIGUEL"/>
    <x v="1000"/>
    <x v="7"/>
    <x v="1"/>
    <x v="23"/>
    <x v="1"/>
    <n v="2"/>
    <n v="74290"/>
    <n v="0"/>
    <n v="74290"/>
    <n v="11.000059227671169"/>
    <n v="5000"/>
    <n v="100"/>
    <x v="1909"/>
    <x v="6"/>
    <x v="1"/>
    <x v="1"/>
  </r>
  <r>
    <x v="145"/>
    <s v="ZTAN"/>
    <x v="7"/>
    <s v="SV2718"/>
    <s v="154837728"/>
    <s v="SAN MIGUEL"/>
    <x v="1382"/>
    <x v="1"/>
    <x v="1"/>
    <x v="23"/>
    <x v="1"/>
    <n v="2"/>
    <n v="75922"/>
    <n v="0"/>
    <n v="75922"/>
    <n v="11.000000000000002"/>
    <n v="5000"/>
    <n v="100"/>
    <x v="1910"/>
    <x v="6"/>
    <x v="1"/>
    <x v="1"/>
  </r>
  <r>
    <x v="145"/>
    <s v="ZTAN"/>
    <x v="64"/>
    <s v="RK5135"/>
    <s v="138841065"/>
    <s v="PAINE"/>
    <x v="1582"/>
    <x v="3"/>
    <x v="1"/>
    <x v="13"/>
    <x v="1"/>
    <n v="5"/>
    <n v="90000"/>
    <n v="0"/>
    <n v="90000"/>
    <n v="16.288059766320636"/>
    <n v="10000"/>
    <n v="55"/>
    <x v="1911"/>
    <x v="6"/>
    <x v="1"/>
    <x v="1"/>
  </r>
  <r>
    <x v="145"/>
    <s v="ZTAN"/>
    <x v="64"/>
    <s v="WC2233"/>
    <s v="125108660"/>
    <s v="MAIPU"/>
    <x v="1583"/>
    <x v="4"/>
    <x v="1"/>
    <x v="2"/>
    <x v="1"/>
    <n v="2"/>
    <n v="73553"/>
    <n v="0"/>
    <n v="73553"/>
    <n v="10.999928215497077"/>
    <n v="5000"/>
    <n v="100"/>
    <x v="1912"/>
    <x v="6"/>
    <x v="1"/>
    <x v="1"/>
  </r>
  <r>
    <x v="145"/>
    <s v="ZTAN"/>
    <x v="64"/>
    <s v="XR6339"/>
    <s v="78907355"/>
    <s v="PAINE"/>
    <x v="1584"/>
    <x v="1"/>
    <x v="1"/>
    <x v="13"/>
    <x v="1"/>
    <n v="5"/>
    <n v="90000"/>
    <n v="0"/>
    <n v="90000"/>
    <n v="14.048451548451547"/>
    <n v="10000"/>
    <n v="64"/>
    <x v="1913"/>
    <x v="6"/>
    <x v="1"/>
    <x v="1"/>
  </r>
  <r>
    <x v="145"/>
    <s v="ZTAN"/>
    <x v="8"/>
    <s v="DFRV76"/>
    <s v="113393568"/>
    <s v="CORONEL"/>
    <x v="1585"/>
    <x v="5"/>
    <x v="0"/>
    <x v="16"/>
    <x v="0"/>
    <n v="0"/>
    <n v="380000"/>
    <n v="0"/>
    <n v="380000"/>
    <n v="38.358885734936059"/>
    <n v="25000"/>
    <n v="34"/>
    <x v="1914"/>
    <x v="6"/>
    <x v="1"/>
    <x v="0"/>
  </r>
  <r>
    <x v="146"/>
    <s v="ZPEP"/>
    <x v="5"/>
    <s v="XR6339"/>
    <s v="78907355"/>
    <s v="LAMPA"/>
    <x v="1586"/>
    <x v="1"/>
    <x v="1"/>
    <x v="17"/>
    <x v="1"/>
    <n v="5"/>
    <n v="70000"/>
    <n v="0"/>
    <n v="70000"/>
    <n v="14.33418724134471"/>
    <n v="10000"/>
    <n v="49"/>
    <x v="1915"/>
    <x v="6"/>
    <x v="1"/>
    <x v="1"/>
  </r>
  <r>
    <x v="146"/>
    <s v="ZPEP"/>
    <x v="32"/>
    <s v="PN4466"/>
    <s v="81417709"/>
    <s v="LAMPA"/>
    <x v="1587"/>
    <x v="1"/>
    <x v="0"/>
    <x v="17"/>
    <x v="1"/>
    <n v="5"/>
    <n v="139426.98000000001"/>
    <n v="0"/>
    <n v="139426.98000000001"/>
    <n v="11"/>
    <n v="10000"/>
    <n v="100"/>
    <x v="1916"/>
    <x v="6"/>
    <x v="1"/>
    <x v="1"/>
  </r>
  <r>
    <x v="146"/>
    <s v="ZPEP"/>
    <x v="18"/>
    <s v="SU9354"/>
    <s v="72564391"/>
    <s v="CARTAGENA"/>
    <x v="1588"/>
    <x v="2"/>
    <x v="1"/>
    <x v="40"/>
    <x v="2"/>
    <n v="0"/>
    <n v="180000"/>
    <n v="0"/>
    <n v="180000"/>
    <n v="19.010945023515482"/>
    <n v="25000"/>
    <n v="38"/>
    <x v="1917"/>
    <x v="6"/>
    <x v="1"/>
    <x v="0"/>
  </r>
  <r>
    <x v="146"/>
    <s v="ZTAN"/>
    <x v="10"/>
    <s v="DJLF85"/>
    <s v="53173292"/>
    <s v="QUILICURA"/>
    <x v="1490"/>
    <x v="4"/>
    <x v="1"/>
    <x v="8"/>
    <x v="1"/>
    <n v="1"/>
    <n v="107307"/>
    <n v="0"/>
    <n v="107307"/>
    <n v="10.999979498113833"/>
    <n v="5000"/>
    <n v="100"/>
    <x v="1918"/>
    <x v="6"/>
    <x v="1"/>
    <x v="1"/>
  </r>
  <r>
    <x v="146"/>
    <s v="ZTAN"/>
    <x v="10"/>
    <s v="HLBX77"/>
    <s v="154837728"/>
    <s v="QUILICURA"/>
    <x v="248"/>
    <x v="1"/>
    <x v="1"/>
    <x v="8"/>
    <x v="1"/>
    <n v="1"/>
    <n v="55000"/>
    <n v="0"/>
    <n v="55000"/>
    <n v="18.323560767590617"/>
    <n v="5000"/>
    <n v="60"/>
    <x v="1919"/>
    <x v="6"/>
    <x v="1"/>
    <x v="1"/>
  </r>
  <r>
    <x v="146"/>
    <s v="ZTAN"/>
    <x v="10"/>
    <s v="HLBX77"/>
    <s v="16093509K"/>
    <s v="QUILICURA"/>
    <x v="1490"/>
    <x v="1"/>
    <x v="1"/>
    <x v="8"/>
    <x v="1"/>
    <n v="1"/>
    <n v="107307"/>
    <n v="0"/>
    <n v="107307"/>
    <n v="10.999979498113833"/>
    <n v="5000"/>
    <n v="100"/>
    <x v="1920"/>
    <x v="6"/>
    <x v="1"/>
    <x v="1"/>
  </r>
  <r>
    <x v="146"/>
    <s v="ZTAN"/>
    <x v="10"/>
    <s v="SV2718"/>
    <s v="99626232"/>
    <s v="QUILICURA"/>
    <x v="1589"/>
    <x v="1"/>
    <x v="1"/>
    <x v="8"/>
    <x v="1"/>
    <n v="1"/>
    <n v="55000"/>
    <n v="0"/>
    <n v="55000"/>
    <n v="16.678796700630759"/>
    <n v="5000"/>
    <n v="66"/>
    <x v="1921"/>
    <x v="6"/>
    <x v="1"/>
    <x v="1"/>
  </r>
  <r>
    <x v="146"/>
    <s v="ZTAN"/>
    <x v="10"/>
    <s v="TP3884"/>
    <s v="154837728"/>
    <s v="QUILICURA"/>
    <x v="1000"/>
    <x v="1"/>
    <x v="1"/>
    <x v="8"/>
    <x v="1"/>
    <n v="1"/>
    <n v="74290"/>
    <n v="0"/>
    <n v="74290"/>
    <n v="11.000059227671169"/>
    <n v="5000"/>
    <n v="100"/>
    <x v="1922"/>
    <x v="6"/>
    <x v="1"/>
    <x v="1"/>
  </r>
  <r>
    <x v="146"/>
    <s v="ZTAN"/>
    <x v="10"/>
    <s v="UA7248"/>
    <s v="107643206"/>
    <s v="QUILICURA"/>
    <x v="45"/>
    <x v="1"/>
    <x v="1"/>
    <x v="8"/>
    <x v="1"/>
    <n v="1"/>
    <n v="55000"/>
    <n v="0"/>
    <n v="55000"/>
    <n v="25.01819505094614"/>
    <n v="5000"/>
    <n v="44"/>
    <x v="1923"/>
    <x v="6"/>
    <x v="1"/>
    <x v="1"/>
  </r>
  <r>
    <x v="146"/>
    <s v="ZTAN"/>
    <x v="10"/>
    <s v="WC2233"/>
    <s v="125108660"/>
    <s v="QUILICURA"/>
    <x v="1490"/>
    <x v="4"/>
    <x v="1"/>
    <x v="8"/>
    <x v="1"/>
    <n v="1"/>
    <n v="107307"/>
    <n v="0"/>
    <n v="107307"/>
    <n v="10.999979498113833"/>
    <n v="5000"/>
    <n v="100"/>
    <x v="1924"/>
    <x v="6"/>
    <x v="1"/>
    <x v="1"/>
  </r>
  <r>
    <x v="146"/>
    <s v="ZTAN"/>
    <x v="7"/>
    <s v="RK5135"/>
    <s v="138841065"/>
    <s v="TIL TIL"/>
    <x v="1590"/>
    <x v="3"/>
    <x v="1"/>
    <x v="70"/>
    <x v="1"/>
    <n v="5"/>
    <n v="102874.20000000001"/>
    <n v="0"/>
    <n v="102874.20000000001"/>
    <n v="11"/>
    <n v="10000"/>
    <n v="94"/>
    <x v="1925"/>
    <x v="6"/>
    <x v="1"/>
    <x v="1"/>
  </r>
  <r>
    <x v="146"/>
    <s v="ZTAN"/>
    <x v="7"/>
    <s v="SV2718"/>
    <s v="154837728"/>
    <s v="SAN MIGUEL"/>
    <x v="1458"/>
    <x v="1"/>
    <x v="1"/>
    <x v="23"/>
    <x v="1"/>
    <n v="2"/>
    <n v="74818"/>
    <n v="0"/>
    <n v="74818"/>
    <n v="11.000058809691838"/>
    <n v="5000"/>
    <n v="100"/>
    <x v="1926"/>
    <x v="6"/>
    <x v="1"/>
    <x v="1"/>
  </r>
  <r>
    <x v="146"/>
    <s v="ZTAN"/>
    <x v="7"/>
    <s v="TW7053"/>
    <s v="172861164"/>
    <s v="CHILLAN"/>
    <x v="1591"/>
    <x v="6"/>
    <x v="1"/>
    <x v="21"/>
    <x v="5"/>
    <n v="0"/>
    <n v="350000"/>
    <n v="0"/>
    <n v="350000"/>
    <n v="21.901829741433268"/>
    <n v="25000"/>
    <n v="64"/>
    <x v="1927"/>
    <x v="6"/>
    <x v="1"/>
    <x v="0"/>
  </r>
  <r>
    <x v="146"/>
    <s v="ZTAN"/>
    <x v="7"/>
    <s v="UA7248"/>
    <s v="107643206"/>
    <s v="SAN MIGUEL"/>
    <x v="1458"/>
    <x v="1"/>
    <x v="1"/>
    <x v="23"/>
    <x v="1"/>
    <n v="2"/>
    <n v="74818"/>
    <n v="0"/>
    <n v="74818"/>
    <n v="11.000058809691838"/>
    <n v="5000"/>
    <n v="100"/>
    <x v="1928"/>
    <x v="6"/>
    <x v="1"/>
    <x v="1"/>
  </r>
  <r>
    <x v="146"/>
    <s v="ZTAN"/>
    <x v="7"/>
    <s v="WG4022"/>
    <s v="100327283"/>
    <s v="RANCAGUA"/>
    <x v="1591"/>
    <x v="1"/>
    <x v="0"/>
    <x v="28"/>
    <x v="6"/>
    <n v="0"/>
    <n v="230000"/>
    <n v="0"/>
    <n v="230000"/>
    <n v="14.392630972941863"/>
    <n v="25000"/>
    <n v="64"/>
    <x v="1929"/>
    <x v="6"/>
    <x v="1"/>
    <x v="0"/>
  </r>
  <r>
    <x v="146"/>
    <s v="ZTAN"/>
    <x v="8"/>
    <s v="CJXX49"/>
    <s v="167832741"/>
    <s v="CORONEL"/>
    <x v="1592"/>
    <x v="5"/>
    <x v="0"/>
    <x v="16"/>
    <x v="0"/>
    <n v="0"/>
    <n v="380000"/>
    <n v="0"/>
    <n v="380000"/>
    <n v="38.600704158108464"/>
    <n v="25000"/>
    <n v="39"/>
    <x v="1930"/>
    <x v="6"/>
    <x v="1"/>
    <x v="0"/>
  </r>
  <r>
    <x v="146"/>
    <s v="ZTAN"/>
    <x v="8"/>
    <s v="PKYS74"/>
    <s v="6270439K"/>
    <s v="LA SERENA"/>
    <x v="1593"/>
    <x v="0"/>
    <x v="0"/>
    <x v="63"/>
    <x v="8"/>
    <n v="0"/>
    <n v="600000"/>
    <n v="0"/>
    <n v="600000"/>
    <n v="87.527352297592998"/>
    <n v="25000"/>
    <n v="27"/>
    <x v="1931"/>
    <x v="6"/>
    <x v="1"/>
    <x v="0"/>
  </r>
  <r>
    <x v="147"/>
    <s v="ZPEP"/>
    <x v="17"/>
    <s v="XR6339"/>
    <s v="78907355"/>
    <s v="LAMPA"/>
    <x v="1503"/>
    <x v="1"/>
    <x v="1"/>
    <x v="17"/>
    <x v="1"/>
    <n v="5"/>
    <n v="69474.240000000005"/>
    <n v="0"/>
    <n v="69474.240000000005"/>
    <n v="11"/>
    <n v="10000"/>
    <n v="63"/>
    <x v="1932"/>
    <x v="6"/>
    <x v="1"/>
    <x v="1"/>
  </r>
  <r>
    <x v="147"/>
    <s v="ZPEP"/>
    <x v="32"/>
    <s v="RK5135"/>
    <s v="138841065"/>
    <s v="LAMPA"/>
    <x v="1594"/>
    <x v="3"/>
    <x v="1"/>
    <x v="17"/>
    <x v="1"/>
    <n v="5"/>
    <n v="91951.64"/>
    <n v="0"/>
    <n v="91951.64"/>
    <n v="11"/>
    <n v="10000"/>
    <n v="84"/>
    <x v="1933"/>
    <x v="6"/>
    <x v="1"/>
    <x v="1"/>
  </r>
  <r>
    <x v="147"/>
    <s v="ZPEP"/>
    <x v="32"/>
    <s v="SU9354"/>
    <s v="72564391"/>
    <s v="LAMPA"/>
    <x v="1595"/>
    <x v="2"/>
    <x v="1"/>
    <x v="17"/>
    <x v="1"/>
    <n v="5"/>
    <n v="101475.11"/>
    <n v="0"/>
    <n v="101475.11"/>
    <n v="11"/>
    <n v="10000"/>
    <n v="92"/>
    <x v="1934"/>
    <x v="6"/>
    <x v="1"/>
    <x v="1"/>
  </r>
  <r>
    <x v="147"/>
    <s v="ZPEP"/>
    <x v="12"/>
    <s v="WG4022"/>
    <s v="81417709"/>
    <s v="VITACURA"/>
    <x v="1596"/>
    <x v="1"/>
    <x v="0"/>
    <x v="27"/>
    <x v="1"/>
    <n v="4"/>
    <n v="160190"/>
    <n v="0"/>
    <n v="160190"/>
    <n v="11.000020600575443"/>
    <n v="5000"/>
    <n v="100"/>
    <x v="1935"/>
    <x v="6"/>
    <x v="1"/>
    <x v="1"/>
  </r>
  <r>
    <x v="147"/>
    <s v="ZTAN"/>
    <x v="7"/>
    <s v="DJLF85"/>
    <s v="53173292"/>
    <s v="SAN MIGUEL"/>
    <x v="1000"/>
    <x v="4"/>
    <x v="1"/>
    <x v="23"/>
    <x v="1"/>
    <n v="2"/>
    <n v="74290"/>
    <n v="0"/>
    <n v="74290"/>
    <n v="11.000059227671169"/>
    <n v="5000"/>
    <n v="100"/>
    <x v="1936"/>
    <x v="6"/>
    <x v="1"/>
    <x v="1"/>
  </r>
  <r>
    <x v="147"/>
    <s v="ZTAN"/>
    <x v="7"/>
    <s v="DP5738"/>
    <s v="35488103"/>
    <s v="SAN MIGUEL"/>
    <x v="1000"/>
    <x v="7"/>
    <x v="1"/>
    <x v="23"/>
    <x v="1"/>
    <n v="2"/>
    <n v="74290"/>
    <n v="0"/>
    <n v="74290"/>
    <n v="11.000059227671169"/>
    <n v="5000"/>
    <n v="100"/>
    <x v="1937"/>
    <x v="6"/>
    <x v="1"/>
    <x v="1"/>
  </r>
  <r>
    <x v="147"/>
    <s v="ZTAN"/>
    <x v="7"/>
    <s v="HLBX77"/>
    <s v="16093509K"/>
    <s v="SAN MIGUEL"/>
    <x v="1597"/>
    <x v="1"/>
    <x v="1"/>
    <x v="23"/>
    <x v="1"/>
    <n v="2"/>
    <n v="77279"/>
    <n v="0"/>
    <n v="77279"/>
    <n v="10.999943063740142"/>
    <n v="5000"/>
    <n v="100"/>
    <x v="1938"/>
    <x v="6"/>
    <x v="1"/>
    <x v="1"/>
  </r>
  <r>
    <x v="147"/>
    <s v="ZTAN"/>
    <x v="7"/>
    <s v="TP3884"/>
    <s v="154837728"/>
    <s v="MELIPILLA"/>
    <x v="1321"/>
    <x v="1"/>
    <x v="1"/>
    <x v="29"/>
    <x v="1"/>
    <n v="5"/>
    <n v="90000"/>
    <n v="0"/>
    <n v="90000"/>
    <n v="11.993603411513861"/>
    <n v="10000"/>
    <n v="75"/>
    <x v="1939"/>
    <x v="6"/>
    <x v="1"/>
    <x v="1"/>
  </r>
  <r>
    <x v="147"/>
    <s v="ZTAN"/>
    <x v="7"/>
    <s v="WC2233"/>
    <s v="125108660"/>
    <s v="SANTIAGO"/>
    <x v="234"/>
    <x v="4"/>
    <x v="1"/>
    <x v="20"/>
    <x v="1"/>
    <n v="1"/>
    <n v="99053"/>
    <n v="0"/>
    <n v="99053"/>
    <n v="11.000022210376692"/>
    <n v="5000"/>
    <n v="100"/>
    <x v="1940"/>
    <x v="6"/>
    <x v="1"/>
    <x v="1"/>
  </r>
  <r>
    <x v="147"/>
    <s v="ZTAN"/>
    <x v="8"/>
    <s v="BWPL69"/>
    <s v="78551976"/>
    <s v="CORONEL"/>
    <x v="1598"/>
    <x v="5"/>
    <x v="0"/>
    <x v="16"/>
    <x v="0"/>
    <n v="0"/>
    <n v="380000"/>
    <n v="0"/>
    <n v="380000"/>
    <n v="23.650843837212488"/>
    <n v="25000"/>
    <n v="64"/>
    <x v="1941"/>
    <x v="6"/>
    <x v="1"/>
    <x v="0"/>
  </r>
  <r>
    <x v="147"/>
    <s v="ZTAN"/>
    <x v="8"/>
    <s v="SV2718"/>
    <s v="738907355"/>
    <s v="PUDAHUEL"/>
    <x v="1599"/>
    <x v="1"/>
    <x v="1"/>
    <x v="10"/>
    <x v="1"/>
    <n v="1"/>
    <n v="72193"/>
    <n v="0"/>
    <n v="72193"/>
    <n v="11"/>
    <n v="5000"/>
    <n v="100"/>
    <x v="1942"/>
    <x v="6"/>
    <x v="1"/>
    <x v="1"/>
  </r>
  <r>
    <x v="148"/>
    <s v="ZPEP"/>
    <x v="32"/>
    <s v="HLBX77"/>
    <s v="16093509K"/>
    <s v="LAMPA"/>
    <x v="1600"/>
    <x v="1"/>
    <x v="1"/>
    <x v="17"/>
    <x v="1"/>
    <n v="5"/>
    <n v="70000"/>
    <n v="0"/>
    <n v="70000"/>
    <n v="13.850415512465373"/>
    <n v="10000"/>
    <n v="46"/>
    <x v="1943"/>
    <x v="6"/>
    <x v="1"/>
    <x v="1"/>
  </r>
  <r>
    <x v="148"/>
    <s v="ZPEP"/>
    <x v="12"/>
    <s v="WC2233"/>
    <s v="125108860"/>
    <s v="VITACURA"/>
    <x v="799"/>
    <x v="4"/>
    <x v="1"/>
    <x v="27"/>
    <x v="1"/>
    <n v="4"/>
    <n v="106938"/>
    <n v="0"/>
    <n v="106938"/>
    <n v="11.000041145490458"/>
    <n v="5000"/>
    <n v="100"/>
    <x v="1944"/>
    <x v="6"/>
    <x v="1"/>
    <x v="1"/>
  </r>
  <r>
    <x v="148"/>
    <s v="ZPEP"/>
    <x v="12"/>
    <s v="XR6339"/>
    <s v="67907355"/>
    <s v="VITACURA"/>
    <x v="1601"/>
    <x v="1"/>
    <x v="1"/>
    <x v="27"/>
    <x v="1"/>
    <n v="4"/>
    <n v="55000"/>
    <n v="0"/>
    <n v="55000"/>
    <n v="11.315009874917711"/>
    <n v="5000"/>
    <n v="97"/>
    <x v="1945"/>
    <x v="6"/>
    <x v="1"/>
    <x v="1"/>
  </r>
  <r>
    <x v="148"/>
    <s v="ZPEP"/>
    <x v="33"/>
    <s v="WG4022"/>
    <s v="81417709"/>
    <s v="PUENTE ALTA"/>
    <x v="1602"/>
    <x v="1"/>
    <x v="0"/>
    <x v="30"/>
    <x v="1"/>
    <n v="4"/>
    <n v="98268"/>
    <n v="0"/>
    <n v="98268"/>
    <n v="11.000030223553551"/>
    <n v="5000"/>
    <n v="100"/>
    <x v="1946"/>
    <x v="6"/>
    <x v="1"/>
    <x v="1"/>
  </r>
  <r>
    <x v="148"/>
    <s v="ZTAN"/>
    <x v="6"/>
    <s v="PKYS74"/>
    <s v="62714391"/>
    <s v="LA SERENA"/>
    <x v="1603"/>
    <x v="0"/>
    <x v="0"/>
    <x v="63"/>
    <x v="8"/>
    <n v="0"/>
    <n v="600000"/>
    <n v="0"/>
    <n v="600000"/>
    <n v="48.080005128533877"/>
    <n v="25000"/>
    <n v="100"/>
    <x v="1947"/>
    <x v="6"/>
    <x v="1"/>
    <x v="0"/>
  </r>
  <r>
    <x v="148"/>
    <s v="ZTAN"/>
    <x v="22"/>
    <s v="RK5135"/>
    <s v="138841065"/>
    <s v="SAN BERNARDO"/>
    <x v="1604"/>
    <x v="3"/>
    <x v="1"/>
    <x v="4"/>
    <x v="1"/>
    <n v="4"/>
    <n v="55000"/>
    <n v="0"/>
    <n v="55000"/>
    <n v="11.415525114155251"/>
    <n v="5000"/>
    <n v="96"/>
    <x v="1948"/>
    <x v="6"/>
    <x v="1"/>
    <x v="1"/>
  </r>
  <r>
    <x v="148"/>
    <s v="ZTAN"/>
    <x v="7"/>
    <s v="DJLF85"/>
    <s v="53173292"/>
    <s v="SANTIAGO"/>
    <x v="1490"/>
    <x v="4"/>
    <x v="1"/>
    <x v="20"/>
    <x v="1"/>
    <n v="1"/>
    <n v="107307"/>
    <n v="0"/>
    <n v="107307"/>
    <n v="10.999979498113833"/>
    <n v="5000"/>
    <n v="100"/>
    <x v="1949"/>
    <x v="6"/>
    <x v="1"/>
    <x v="1"/>
  </r>
  <r>
    <x v="148"/>
    <s v="ZTAN"/>
    <x v="7"/>
    <s v="DP5738"/>
    <s v="35488103"/>
    <s v="SANTIAGO"/>
    <x v="1321"/>
    <x v="7"/>
    <x v="1"/>
    <x v="20"/>
    <x v="1"/>
    <n v="1"/>
    <n v="82544"/>
    <n v="0"/>
    <n v="82544"/>
    <n v="11.000000000000004"/>
    <n v="5000"/>
    <n v="100"/>
    <x v="1950"/>
    <x v="6"/>
    <x v="1"/>
    <x v="1"/>
  </r>
  <r>
    <x v="148"/>
    <s v="ZTAN"/>
    <x v="8"/>
    <s v="UA7248"/>
    <s v="154837728"/>
    <s v="PUDAHUEL"/>
    <x v="1605"/>
    <x v="1"/>
    <x v="1"/>
    <x v="10"/>
    <x v="1"/>
    <n v="1"/>
    <n v="55000"/>
    <n v="0"/>
    <n v="55000"/>
    <n v="19.004180919802359"/>
    <n v="5000"/>
    <n v="58"/>
    <x v="1951"/>
    <x v="6"/>
    <x v="1"/>
    <x v="1"/>
  </r>
  <r>
    <x v="148"/>
    <s v="ZTAN"/>
    <x v="8"/>
    <s v="VE9862"/>
    <s v="98494073"/>
    <s v="CORONEL"/>
    <x v="1606"/>
    <x v="5"/>
    <x v="0"/>
    <x v="16"/>
    <x v="0"/>
    <n v="0"/>
    <n v="380000"/>
    <n v="0"/>
    <n v="380000"/>
    <n v="26.531125198983457"/>
    <n v="25000"/>
    <n v="57"/>
    <x v="1952"/>
    <x v="6"/>
    <x v="1"/>
    <x v="0"/>
  </r>
  <r>
    <x v="148"/>
    <s v="ZTAN"/>
    <x v="45"/>
    <s v="SU9354"/>
    <s v="72564391"/>
    <s v="SAN JOSE DE MAIPO"/>
    <x v="1607"/>
    <x v="2"/>
    <x v="1"/>
    <x v="66"/>
    <x v="1"/>
    <n v="5"/>
    <n v="350000"/>
    <n v="0"/>
    <n v="350000"/>
    <n v="14.011657699205745"/>
    <n v="10000"/>
    <n v="100"/>
    <x v="1953"/>
    <x v="6"/>
    <x v="1"/>
    <x v="1"/>
  </r>
  <r>
    <x v="149"/>
    <s v="ZPEP"/>
    <x v="32"/>
    <s v="HLBX77"/>
    <s v="16093509K"/>
    <s v="LAMPA"/>
    <x v="1608"/>
    <x v="1"/>
    <x v="1"/>
    <x v="17"/>
    <x v="1"/>
    <n v="5"/>
    <n v="70000"/>
    <n v="0"/>
    <n v="70000"/>
    <n v="20.906880753125581"/>
    <n v="10000"/>
    <n v="33"/>
    <x v="1954"/>
    <x v="6"/>
    <x v="1"/>
    <x v="1"/>
  </r>
  <r>
    <x v="149"/>
    <s v="ZPEP"/>
    <x v="33"/>
    <s v="WG4022"/>
    <s v="81417709"/>
    <s v="PUENTE ALTA"/>
    <x v="1609"/>
    <x v="1"/>
    <x v="0"/>
    <x v="30"/>
    <x v="1"/>
    <n v="4"/>
    <n v="75805"/>
    <n v="0"/>
    <n v="75805"/>
    <n v="11.000053690651876"/>
    <n v="5000"/>
    <n v="100"/>
    <x v="1955"/>
    <x v="6"/>
    <x v="1"/>
    <x v="1"/>
  </r>
  <r>
    <x v="149"/>
    <s v="ZTAN"/>
    <x v="7"/>
    <s v="BYZH29"/>
    <s v="122975819"/>
    <s v="CHILLAN"/>
    <x v="1610"/>
    <x v="0"/>
    <x v="0"/>
    <x v="21"/>
    <x v="5"/>
    <n v="0"/>
    <n v="350000"/>
    <n v="0"/>
    <n v="350000"/>
    <n v="28.075692065809445"/>
    <n v="25000"/>
    <n v="50"/>
    <x v="1956"/>
    <x v="6"/>
    <x v="1"/>
    <x v="0"/>
  </r>
  <r>
    <x v="149"/>
    <s v="ZTAN"/>
    <x v="7"/>
    <s v="SV2718"/>
    <s v="107643206"/>
    <s v="SAN MIGUEL"/>
    <x v="1000"/>
    <x v="1"/>
    <x v="1"/>
    <x v="23"/>
    <x v="1"/>
    <n v="2"/>
    <n v="74290"/>
    <n v="0"/>
    <n v="74290"/>
    <n v="11.000059227671169"/>
    <n v="5000"/>
    <n v="100"/>
    <x v="1957"/>
    <x v="6"/>
    <x v="1"/>
    <x v="1"/>
  </r>
  <r>
    <x v="149"/>
    <s v="ZTAN"/>
    <x v="7"/>
    <s v="TP3884"/>
    <s v="154837728"/>
    <s v="SAN MIGUEL"/>
    <x v="1000"/>
    <x v="1"/>
    <x v="1"/>
    <x v="23"/>
    <x v="1"/>
    <n v="2"/>
    <n v="74290"/>
    <n v="0"/>
    <n v="74290"/>
    <n v="11.000059227671169"/>
    <n v="5000"/>
    <n v="100"/>
    <x v="1958"/>
    <x v="6"/>
    <x v="1"/>
    <x v="1"/>
  </r>
  <r>
    <x v="149"/>
    <s v="ZTAN"/>
    <x v="7"/>
    <s v="UK7193"/>
    <s v="120327283"/>
    <s v="RANCAGUA"/>
    <x v="1611"/>
    <x v="1"/>
    <x v="0"/>
    <x v="28"/>
    <x v="6"/>
    <n v="0"/>
    <n v="230000"/>
    <n v="0"/>
    <n v="230000"/>
    <n v="17.90343045295679"/>
    <n v="25000"/>
    <n v="51"/>
    <x v="1959"/>
    <x v="6"/>
    <x v="1"/>
    <x v="0"/>
  </r>
  <r>
    <x v="149"/>
    <s v="ZTAN"/>
    <x v="7"/>
    <s v="UK7193"/>
    <s v="120327283"/>
    <s v="RENCA"/>
    <x v="665"/>
    <x v="1"/>
    <x v="0"/>
    <x v="7"/>
    <x v="1"/>
    <n v="1"/>
    <n v="55000"/>
    <n v="0"/>
    <n v="55000"/>
    <n v="12.93813220418725"/>
    <n v="5000"/>
    <n v="85"/>
    <x v="1960"/>
    <x v="6"/>
    <x v="1"/>
    <x v="1"/>
  </r>
  <r>
    <x v="149"/>
    <s v="ZTAN"/>
    <x v="7"/>
    <s v="WC2233"/>
    <s v="125108660"/>
    <s v="SANTIAGO"/>
    <x v="1612"/>
    <x v="4"/>
    <x v="1"/>
    <x v="20"/>
    <x v="1"/>
    <n v="1"/>
    <n v="93879"/>
    <n v="0"/>
    <n v="93879"/>
    <n v="10.999941414259771"/>
    <n v="5000"/>
    <n v="100"/>
    <x v="1961"/>
    <x v="6"/>
    <x v="1"/>
    <x v="1"/>
  </r>
  <r>
    <x v="149"/>
    <s v="ZTAN"/>
    <x v="8"/>
    <s v="PN4466"/>
    <s v="81417709"/>
    <s v="PUDAHUEL"/>
    <x v="1613"/>
    <x v="1"/>
    <x v="0"/>
    <x v="10"/>
    <x v="1"/>
    <n v="1"/>
    <n v="136838"/>
    <n v="0"/>
    <n v="136838"/>
    <n v="11.000016077428906"/>
    <n v="5000"/>
    <n v="100"/>
    <x v="1962"/>
    <x v="6"/>
    <x v="1"/>
    <x v="1"/>
  </r>
  <r>
    <x v="149"/>
    <s v="ZTAN"/>
    <x v="8"/>
    <s v="TW7053"/>
    <s v="172861164"/>
    <s v="CORONEL"/>
    <x v="1614"/>
    <x v="6"/>
    <x v="1"/>
    <x v="16"/>
    <x v="0"/>
    <n v="0"/>
    <n v="380000"/>
    <n v="0"/>
    <n v="380000"/>
    <n v="30.906118598163502"/>
    <n v="25000"/>
    <n v="49"/>
    <x v="1963"/>
    <x v="6"/>
    <x v="1"/>
    <x v="0"/>
  </r>
  <r>
    <x v="149"/>
    <s v="ZTAN"/>
    <x v="45"/>
    <s v="SU9354"/>
    <s v="72564391"/>
    <s v="SAN JOSE DE MAIPO"/>
    <x v="1015"/>
    <x v="2"/>
    <x v="1"/>
    <x v="66"/>
    <x v="1"/>
    <n v="5"/>
    <n v="137385.60000000001"/>
    <n v="0"/>
    <n v="137385.60000000001"/>
    <n v="11"/>
    <n v="10000"/>
    <n v="100"/>
    <x v="1964"/>
    <x v="6"/>
    <x v="1"/>
    <x v="1"/>
  </r>
  <r>
    <x v="150"/>
    <s v="ZPEP"/>
    <x v="32"/>
    <s v="RK5135"/>
    <s v="138841065"/>
    <s v="LAMPA"/>
    <x v="1615"/>
    <x v="3"/>
    <x v="1"/>
    <x v="17"/>
    <x v="1"/>
    <n v="5"/>
    <n v="70000"/>
    <n v="0"/>
    <n v="70000"/>
    <n v="15.944313346756928"/>
    <n v="10000"/>
    <n v="44"/>
    <x v="1965"/>
    <x v="6"/>
    <x v="1"/>
    <x v="1"/>
  </r>
  <r>
    <x v="150"/>
    <s v="ZPEP"/>
    <x v="33"/>
    <s v="XR6339"/>
    <s v="78907355"/>
    <s v="PUENTE ALTA"/>
    <x v="1616"/>
    <x v="1"/>
    <x v="1"/>
    <x v="30"/>
    <x v="1"/>
    <n v="4"/>
    <n v="55804"/>
    <n v="0"/>
    <n v="55804"/>
    <n v="10.999980288186709"/>
    <n v="5000"/>
    <n v="100"/>
    <x v="1966"/>
    <x v="6"/>
    <x v="1"/>
    <x v="1"/>
  </r>
  <r>
    <x v="150"/>
    <s v="ZTAN"/>
    <x v="65"/>
    <s v="DJLF85"/>
    <s v="125108660"/>
    <s v="CODEGUA"/>
    <x v="1617"/>
    <x v="4"/>
    <x v="1"/>
    <x v="79"/>
    <x v="6"/>
    <n v="0"/>
    <n v="230000"/>
    <n v="0"/>
    <n v="230000"/>
    <n v="24.755805505475873"/>
    <n v="25000"/>
    <n v="37"/>
    <x v="1967"/>
    <x v="6"/>
    <x v="1"/>
    <x v="0"/>
  </r>
  <r>
    <x v="150"/>
    <s v="ZTAN"/>
    <x v="65"/>
    <s v="HLBX77"/>
    <s v="16093509K"/>
    <s v="CODEGUA"/>
    <x v="1618"/>
    <x v="1"/>
    <x v="1"/>
    <x v="79"/>
    <x v="6"/>
    <n v="0"/>
    <n v="230000"/>
    <n v="0"/>
    <n v="230000"/>
    <n v="27.076662271614236"/>
    <n v="25000"/>
    <n v="34"/>
    <x v="1968"/>
    <x v="6"/>
    <x v="1"/>
    <x v="0"/>
  </r>
  <r>
    <x v="150"/>
    <s v="ZTAN"/>
    <x v="7"/>
    <s v="BWPL69"/>
    <s v="78551976"/>
    <s v="CHILLAN"/>
    <x v="1619"/>
    <x v="5"/>
    <x v="0"/>
    <x v="21"/>
    <x v="5"/>
    <n v="0"/>
    <n v="350000"/>
    <n v="0"/>
    <n v="350000"/>
    <n v="24.964514725497366"/>
    <n v="25000"/>
    <n v="56"/>
    <x v="1969"/>
    <x v="6"/>
    <x v="1"/>
    <x v="0"/>
  </r>
  <r>
    <x v="150"/>
    <s v="ZTAN"/>
    <x v="7"/>
    <s v="WC2233"/>
    <s v="53173292"/>
    <s v="SANTIAGO"/>
    <x v="1620"/>
    <x v="4"/>
    <x v="1"/>
    <x v="20"/>
    <x v="1"/>
    <n v="1"/>
    <n v="93124"/>
    <n v="0"/>
    <n v="93124"/>
    <n v="11.000023624465497"/>
    <n v="5000"/>
    <n v="100"/>
    <x v="1970"/>
    <x v="6"/>
    <x v="1"/>
    <x v="1"/>
  </r>
  <r>
    <x v="150"/>
    <s v="ZTAN"/>
    <x v="7"/>
    <s v="WG4022"/>
    <s v="16093509K"/>
    <s v="RENCA"/>
    <x v="104"/>
    <x v="1"/>
    <x v="0"/>
    <x v="7"/>
    <x v="1"/>
    <n v="1"/>
    <n v="214614"/>
    <n v="0"/>
    <n v="214614"/>
    <n v="10.999979498113825"/>
    <n v="5000"/>
    <n v="100"/>
    <x v="1971"/>
    <x v="6"/>
    <x v="1"/>
    <x v="1"/>
  </r>
  <r>
    <x v="150"/>
    <s v="ZTAN"/>
    <x v="8"/>
    <s v="PKYS74"/>
    <s v="6270439K"/>
    <s v="CORONEL"/>
    <x v="1621"/>
    <x v="0"/>
    <x v="0"/>
    <x v="16"/>
    <x v="0"/>
    <n v="0"/>
    <n v="380000"/>
    <n v="0"/>
    <n v="380000"/>
    <n v="23.875195556700465"/>
    <n v="25000"/>
    <n v="64"/>
    <x v="1972"/>
    <x v="6"/>
    <x v="1"/>
    <x v="0"/>
  </r>
  <r>
    <x v="150"/>
    <s v="ZTAN"/>
    <x v="8"/>
    <s v="PN4466"/>
    <s v="100327283"/>
    <s v="PUDAHUEL"/>
    <x v="1622"/>
    <x v="1"/>
    <x v="0"/>
    <x v="10"/>
    <x v="1"/>
    <n v="1"/>
    <n v="149568"/>
    <n v="0"/>
    <n v="149568"/>
    <n v="10.999992645490583"/>
    <n v="5000"/>
    <n v="100"/>
    <x v="1973"/>
    <x v="6"/>
    <x v="1"/>
    <x v="1"/>
  </r>
  <r>
    <x v="151"/>
    <s v="ZPEP"/>
    <x v="17"/>
    <s v="WC2233"/>
    <s v="125108660"/>
    <s v="LAMPA"/>
    <x v="1623"/>
    <x v="4"/>
    <x v="1"/>
    <x v="17"/>
    <x v="1"/>
    <n v="5"/>
    <n v="70000"/>
    <n v="0"/>
    <n v="70000"/>
    <n v="22.166489334751986"/>
    <n v="10000"/>
    <n v="32"/>
    <x v="1974"/>
    <x v="7"/>
    <x v="1"/>
    <x v="1"/>
  </r>
  <r>
    <x v="151"/>
    <s v="ZPEP"/>
    <x v="33"/>
    <s v="WG4022"/>
    <s v="81417709"/>
    <s v="PUENTE ALTA"/>
    <x v="1624"/>
    <x v="1"/>
    <x v="0"/>
    <x v="30"/>
    <x v="1"/>
    <n v="4"/>
    <n v="74090"/>
    <n v="0"/>
    <n v="74090"/>
    <n v="11.00005641815952"/>
    <n v="5000"/>
    <n v="100"/>
    <x v="1975"/>
    <x v="7"/>
    <x v="1"/>
    <x v="1"/>
  </r>
  <r>
    <x v="151"/>
    <s v="ZTAN"/>
    <x v="7"/>
    <s v="DJLF85"/>
    <s v="53173292"/>
    <s v="SAN MIGUEL"/>
    <x v="1625"/>
    <x v="4"/>
    <x v="1"/>
    <x v="23"/>
    <x v="1"/>
    <n v="2"/>
    <n v="55000"/>
    <n v="0"/>
    <n v="55000"/>
    <n v="14.129010712359031"/>
    <n v="5000"/>
    <n v="32"/>
    <x v="1976"/>
    <x v="7"/>
    <x v="1"/>
    <x v="1"/>
  </r>
  <r>
    <x v="151"/>
    <s v="ZTAN"/>
    <x v="8"/>
    <s v="BDCH61"/>
    <s v="99626232"/>
    <s v="LAS CONDES"/>
    <x v="1168"/>
    <x v="1"/>
    <x v="1"/>
    <x v="3"/>
    <x v="1"/>
    <n v="4"/>
    <n v="55000"/>
    <n v="0"/>
    <n v="55000"/>
    <n v="26.165556612749761"/>
    <n v="5000"/>
    <n v="42"/>
    <x v="1977"/>
    <x v="7"/>
    <x v="1"/>
    <x v="1"/>
  </r>
  <r>
    <x v="151"/>
    <s v="ZTAN"/>
    <x v="8"/>
    <s v="DP5738"/>
    <s v="35488103"/>
    <s v="QUILIN"/>
    <x v="471"/>
    <x v="7"/>
    <x v="1"/>
    <x v="34"/>
    <x v="1"/>
    <n v="4"/>
    <n v="55000"/>
    <n v="0"/>
    <n v="55000"/>
    <n v="24.431414356787492"/>
    <n v="5000"/>
    <n v="45"/>
    <x v="1978"/>
    <x v="7"/>
    <x v="1"/>
    <x v="1"/>
  </r>
  <r>
    <x v="151"/>
    <s v="ZTAN"/>
    <x v="8"/>
    <s v="SU9354"/>
    <s v="72564391"/>
    <s v="ÑUÑOA"/>
    <x v="248"/>
    <x v="2"/>
    <x v="1"/>
    <x v="15"/>
    <x v="1"/>
    <n v="4"/>
    <n v="55000"/>
    <n v="0"/>
    <n v="55000"/>
    <n v="18.323560767590617"/>
    <n v="5000"/>
    <n v="60"/>
    <x v="1979"/>
    <x v="7"/>
    <x v="1"/>
    <x v="1"/>
  </r>
  <r>
    <x v="151"/>
    <s v="ZTAN"/>
    <x v="8"/>
    <s v="SV2718"/>
    <s v="81417709"/>
    <s v="SAN BERNARDO"/>
    <x v="1626"/>
    <x v="1"/>
    <x v="1"/>
    <x v="4"/>
    <x v="1"/>
    <n v="4"/>
    <n v="55000"/>
    <n v="0"/>
    <n v="55000"/>
    <n v="14.663538445131705"/>
    <n v="5000"/>
    <n v="75"/>
    <x v="1980"/>
    <x v="7"/>
    <x v="1"/>
    <x v="1"/>
  </r>
  <r>
    <x v="151"/>
    <s v="ZTAN"/>
    <x v="8"/>
    <s v="TP3884"/>
    <s v="154837728"/>
    <s v="PUDAHUEL"/>
    <x v="961"/>
    <x v="1"/>
    <x v="1"/>
    <x v="10"/>
    <x v="1"/>
    <n v="1"/>
    <n v="55000"/>
    <n v="0"/>
    <n v="55000"/>
    <n v="14.375326711970724"/>
    <n v="5000"/>
    <n v="77"/>
    <x v="1981"/>
    <x v="7"/>
    <x v="1"/>
    <x v="1"/>
  </r>
  <r>
    <x v="151"/>
    <s v="ZTAN"/>
    <x v="8"/>
    <s v="UA7248"/>
    <s v="107643206"/>
    <s v="PUENTE ALTO"/>
    <x v="1627"/>
    <x v="1"/>
    <x v="1"/>
    <x v="30"/>
    <x v="1"/>
    <n v="4"/>
    <n v="55000"/>
    <n v="0"/>
    <n v="55000"/>
    <n v="22.334118411435071"/>
    <n v="5000"/>
    <n v="49"/>
    <x v="1982"/>
    <x v="7"/>
    <x v="1"/>
    <x v="1"/>
  </r>
  <r>
    <x v="151"/>
    <s v="ZTAN"/>
    <x v="45"/>
    <s v="HLBX77"/>
    <s v="16093509K"/>
    <s v="PUDAHUEL"/>
    <x v="1628"/>
    <x v="1"/>
    <x v="1"/>
    <x v="10"/>
    <x v="1"/>
    <n v="1"/>
    <n v="153439"/>
    <n v="0"/>
    <n v="153439"/>
    <n v="10.999968456610633"/>
    <n v="5000"/>
    <n v="100"/>
    <x v="1983"/>
    <x v="7"/>
    <x v="1"/>
    <x v="1"/>
  </r>
  <r>
    <x v="151"/>
    <s v="ZTAN"/>
    <x v="45"/>
    <s v="RK5135"/>
    <s v="138841065"/>
    <s v="PUDAHUEL"/>
    <x v="562"/>
    <x v="3"/>
    <x v="1"/>
    <x v="10"/>
    <x v="1"/>
    <n v="1"/>
    <n v="137288"/>
    <n v="0"/>
    <n v="137288"/>
    <n v="11.000006409886609"/>
    <n v="5000"/>
    <n v="100"/>
    <x v="1984"/>
    <x v="7"/>
    <x v="1"/>
    <x v="1"/>
  </r>
  <r>
    <x v="151"/>
    <s v="ZTAN"/>
    <x v="45"/>
    <s v="XR6339"/>
    <s v="78907355"/>
    <s v="PUDAHUEL"/>
    <x v="648"/>
    <x v="1"/>
    <x v="1"/>
    <x v="10"/>
    <x v="1"/>
    <n v="1"/>
    <n v="113061"/>
    <n v="0"/>
    <n v="113061"/>
    <n v="11.000035025451828"/>
    <n v="5000"/>
    <n v="100"/>
    <x v="1985"/>
    <x v="7"/>
    <x v="1"/>
    <x v="1"/>
  </r>
  <r>
    <x v="152"/>
    <s v="ZPEP"/>
    <x v="4"/>
    <s v="FGBD51"/>
    <n v="183612816"/>
    <s v="LOS ANGELES"/>
    <x v="1629"/>
    <x v="0"/>
    <x v="0"/>
    <x v="57"/>
    <x v="0"/>
    <n v="0"/>
    <n v="420000"/>
    <n v="0"/>
    <n v="420000"/>
    <n v="45.983656094805163"/>
    <n v="25000"/>
    <n v="18"/>
    <x v="1986"/>
    <x v="7"/>
    <x v="1"/>
    <x v="0"/>
  </r>
  <r>
    <x v="152"/>
    <s v="ZPEP"/>
    <x v="33"/>
    <s v="WG4022"/>
    <n v="81417709"/>
    <s v="PUENTE ALTA"/>
    <x v="1630"/>
    <x v="1"/>
    <x v="0"/>
    <x v="30"/>
    <x v="1"/>
    <n v="4"/>
    <n v="76786"/>
    <n v="0"/>
    <n v="76786"/>
    <n v="11.000008595323571"/>
    <n v="5000"/>
    <n v="100"/>
    <x v="1987"/>
    <x v="7"/>
    <x v="1"/>
    <x v="1"/>
  </r>
  <r>
    <x v="152"/>
    <s v="ZTAN"/>
    <x v="7"/>
    <s v="DJLF85"/>
    <n v="125108660"/>
    <s v="SAN MIGUEL"/>
    <x v="1000"/>
    <x v="4"/>
    <x v="1"/>
    <x v="23"/>
    <x v="1"/>
    <n v="2"/>
    <n v="74290"/>
    <n v="0"/>
    <n v="74290"/>
    <n v="11.000059227671169"/>
    <n v="5000"/>
    <n v="100"/>
    <x v="1988"/>
    <x v="7"/>
    <x v="1"/>
    <x v="1"/>
  </r>
  <r>
    <x v="152"/>
    <s v="ZTAN"/>
    <x v="7"/>
    <s v="TP3888"/>
    <n v="154837728"/>
    <s v="SAN MIGUEL"/>
    <x v="1000"/>
    <x v="0"/>
    <x v="0"/>
    <x v="23"/>
    <x v="1"/>
    <n v="2"/>
    <n v="74290"/>
    <n v="0"/>
    <n v="74290"/>
    <n v="11.000059227671169"/>
    <n v="5000"/>
    <n v="100"/>
    <x v="1989"/>
    <x v="7"/>
    <x v="1"/>
    <x v="1"/>
  </r>
  <r>
    <x v="152"/>
    <s v="ZTAN"/>
    <x v="7"/>
    <s v="WC2233"/>
    <n v="53173292"/>
    <s v="SAN MIGUEL"/>
    <x v="1000"/>
    <x v="4"/>
    <x v="1"/>
    <x v="23"/>
    <x v="1"/>
    <n v="2"/>
    <n v="74290"/>
    <n v="0"/>
    <n v="74290"/>
    <n v="11.000059227671169"/>
    <n v="5000"/>
    <n v="100"/>
    <x v="1990"/>
    <x v="7"/>
    <x v="1"/>
    <x v="1"/>
  </r>
  <r>
    <x v="152"/>
    <s v="ZTAN"/>
    <x v="7"/>
    <s v="XR6339"/>
    <n v="78907355"/>
    <s v="SAN MIGUEL"/>
    <x v="1518"/>
    <x v="1"/>
    <x v="1"/>
    <x v="23"/>
    <x v="1"/>
    <n v="2"/>
    <n v="116798"/>
    <n v="0"/>
    <n v="116798"/>
    <n v="11"/>
    <n v="5000"/>
    <n v="100"/>
    <x v="1991"/>
    <x v="7"/>
    <x v="1"/>
    <x v="1"/>
  </r>
  <r>
    <x v="152"/>
    <s v="ZTAN"/>
    <x v="8"/>
    <s v="CJXX49"/>
    <n v="167832741"/>
    <s v="CORONEL"/>
    <x v="1631"/>
    <x v="5"/>
    <x v="0"/>
    <x v="16"/>
    <x v="0"/>
    <n v="0"/>
    <n v="380000"/>
    <n v="0"/>
    <n v="380000"/>
    <n v="26.456131556595235"/>
    <n v="25000"/>
    <n v="57"/>
    <x v="1992"/>
    <x v="7"/>
    <x v="1"/>
    <x v="0"/>
  </r>
  <r>
    <x v="152"/>
    <s v="ZTAN"/>
    <x v="8"/>
    <s v="TP3884"/>
    <n v="154837728"/>
    <s v="PUDAHUEL"/>
    <x v="1632"/>
    <x v="1"/>
    <x v="1"/>
    <x v="10"/>
    <x v="1"/>
    <n v="1"/>
    <n v="57190"/>
    <n v="0"/>
    <n v="57190"/>
    <n v="10.999980765901791"/>
    <n v="5000"/>
    <n v="100"/>
    <x v="1993"/>
    <x v="7"/>
    <x v="1"/>
    <x v="1"/>
  </r>
  <r>
    <x v="153"/>
    <s v="ZPEP"/>
    <x v="5"/>
    <s v="XR6339"/>
    <s v="78907355"/>
    <s v="LAMPA"/>
    <x v="1633"/>
    <x v="1"/>
    <x v="1"/>
    <x v="17"/>
    <x v="1"/>
    <n v="5"/>
    <n v="70000"/>
    <n v="0"/>
    <n v="70000"/>
    <n v="16.281493059432101"/>
    <n v="10000"/>
    <n v="43"/>
    <x v="1994"/>
    <x v="7"/>
    <x v="1"/>
    <x v="1"/>
  </r>
  <r>
    <x v="153"/>
    <s v="ZPEP"/>
    <x v="59"/>
    <s v="SU9354"/>
    <s v="72564391"/>
    <s v="CAUQUENES"/>
    <x v="1634"/>
    <x v="2"/>
    <x v="1"/>
    <x v="72"/>
    <x v="3"/>
    <n v="0"/>
    <n v="180000"/>
    <n v="0"/>
    <n v="180000"/>
    <n v="52.62050094716902"/>
    <n v="25000"/>
    <n v="14"/>
    <x v="1995"/>
    <x v="7"/>
    <x v="1"/>
    <x v="0"/>
  </r>
  <r>
    <x v="153"/>
    <s v="ZTAN"/>
    <x v="16"/>
    <s v="DJLF85"/>
    <s v="53173292"/>
    <s v="RENCA"/>
    <x v="1490"/>
    <x v="4"/>
    <x v="1"/>
    <x v="7"/>
    <x v="1"/>
    <n v="1"/>
    <n v="107307"/>
    <n v="0"/>
    <n v="107307"/>
    <n v="10.999979498113833"/>
    <n v="5000"/>
    <n v="100"/>
    <x v="1996"/>
    <x v="7"/>
    <x v="1"/>
    <x v="1"/>
  </r>
  <r>
    <x v="153"/>
    <s v="ZTAN"/>
    <x v="16"/>
    <s v="WC2233"/>
    <s v="125108660"/>
    <s v="RENCA"/>
    <x v="1490"/>
    <x v="4"/>
    <x v="1"/>
    <x v="7"/>
    <x v="1"/>
    <n v="1"/>
    <n v="107307"/>
    <n v="0"/>
    <n v="107307"/>
    <n v="10.999979498113833"/>
    <n v="5000"/>
    <n v="100"/>
    <x v="1997"/>
    <x v="7"/>
    <x v="1"/>
    <x v="1"/>
  </r>
  <r>
    <x v="153"/>
    <s v="ZTAN"/>
    <x v="7"/>
    <s v="BYZH29"/>
    <s v="122975819"/>
    <s v="RANCAGUA"/>
    <x v="1635"/>
    <x v="0"/>
    <x v="0"/>
    <x v="28"/>
    <x v="6"/>
    <n v="0"/>
    <n v="230000"/>
    <n v="0"/>
    <n v="230000"/>
    <n v="14.383090488399732"/>
    <n v="25000"/>
    <n v="64"/>
    <x v="1998"/>
    <x v="7"/>
    <x v="1"/>
    <x v="0"/>
  </r>
  <r>
    <x v="153"/>
    <s v="ZTAN"/>
    <x v="7"/>
    <s v="HLBX77"/>
    <s v="16093509K"/>
    <s v="SAN MIGUEL"/>
    <x v="252"/>
    <x v="1"/>
    <x v="1"/>
    <x v="23"/>
    <x v="1"/>
    <n v="2"/>
    <n v="55000"/>
    <n v="0"/>
    <n v="55000"/>
    <n v="14.658848614072495"/>
    <n v="5000"/>
    <n v="75"/>
    <x v="1999"/>
    <x v="7"/>
    <x v="1"/>
    <x v="1"/>
  </r>
  <r>
    <x v="153"/>
    <s v="ZTAN"/>
    <x v="7"/>
    <s v="HLBX77"/>
    <s v="78907355"/>
    <s v="SAN MIGUEL"/>
    <x v="1636"/>
    <x v="1"/>
    <x v="1"/>
    <x v="23"/>
    <x v="1"/>
    <n v="2"/>
    <n v="55479"/>
    <n v="0"/>
    <n v="55479"/>
    <n v="10.999990086347909"/>
    <n v="5000"/>
    <n v="100"/>
    <x v="2000"/>
    <x v="7"/>
    <x v="1"/>
    <x v="1"/>
  </r>
  <r>
    <x v="153"/>
    <s v="ZTAN"/>
    <x v="7"/>
    <s v="RK5135"/>
    <s v="138841065"/>
    <s v="MELIPILLA"/>
    <x v="234"/>
    <x v="3"/>
    <x v="1"/>
    <x v="29"/>
    <x v="1"/>
    <n v="5"/>
    <n v="90000"/>
    <n v="0"/>
    <n v="90000"/>
    <n v="9.9946695095948854"/>
    <n v="10000"/>
    <n v="90"/>
    <x v="2001"/>
    <x v="7"/>
    <x v="1"/>
    <x v="1"/>
  </r>
  <r>
    <x v="153"/>
    <s v="ZTAN"/>
    <x v="7"/>
    <s v="SU9354"/>
    <s v="72564391"/>
    <s v="SAN MIGUEL"/>
    <x v="1637"/>
    <x v="2"/>
    <x v="1"/>
    <x v="23"/>
    <x v="1"/>
    <n v="2"/>
    <n v="94337"/>
    <n v="0"/>
    <n v="94337"/>
    <n v="11.000052471709004"/>
    <n v="5000"/>
    <n v="100"/>
    <x v="2002"/>
    <x v="7"/>
    <x v="1"/>
    <x v="1"/>
  </r>
  <r>
    <x v="153"/>
    <s v="ZTAN"/>
    <x v="8"/>
    <s v="TP3884"/>
    <s v="154837728"/>
    <s v="PUDAHUEL"/>
    <x v="1638"/>
    <x v="1"/>
    <x v="1"/>
    <x v="10"/>
    <x v="1"/>
    <n v="1"/>
    <n v="64932"/>
    <n v="0"/>
    <n v="64932"/>
    <n v="11.000016940825695"/>
    <n v="5000"/>
    <n v="100"/>
    <x v="2003"/>
    <x v="7"/>
    <x v="1"/>
    <x v="1"/>
  </r>
  <r>
    <x v="154"/>
    <s v="ZTAN"/>
    <x v="39"/>
    <s v="HLBX77"/>
    <s v="16093509K"/>
    <s v="PEÑAFLOR"/>
    <x v="1639"/>
    <x v="1"/>
    <x v="1"/>
    <x v="80"/>
    <x v="1"/>
    <n v="5"/>
    <n v="124857.37"/>
    <n v="0"/>
    <n v="124857.37"/>
    <n v="11"/>
    <n v="10000"/>
    <n v="100"/>
    <x v="2004"/>
    <x v="7"/>
    <x v="1"/>
    <x v="1"/>
  </r>
  <r>
    <x v="154"/>
    <s v="ZTAN"/>
    <x v="6"/>
    <s v="TW7053"/>
    <s v="172861164"/>
    <s v="TALCA"/>
    <x v="1640"/>
    <x v="6"/>
    <x v="1"/>
    <x v="12"/>
    <x v="3"/>
    <n v="0"/>
    <n v="260000"/>
    <n v="0"/>
    <n v="260000"/>
    <n v="19.874940757388128"/>
    <n v="25000"/>
    <n v="52"/>
    <x v="2005"/>
    <x v="7"/>
    <x v="1"/>
    <x v="0"/>
  </r>
  <r>
    <x v="154"/>
    <s v="ZTAN"/>
    <x v="41"/>
    <s v="WC4022"/>
    <s v="81417709"/>
    <s v="LAS CABRAS"/>
    <x v="397"/>
    <x v="1"/>
    <x v="1"/>
    <x v="61"/>
    <x v="6"/>
    <n v="0"/>
    <n v="180000"/>
    <n v="0"/>
    <n v="180000"/>
    <n v="9.5948827292110881"/>
    <n v="25000"/>
    <n v="75"/>
    <x v="2006"/>
    <x v="7"/>
    <x v="1"/>
    <x v="0"/>
  </r>
  <r>
    <x v="154"/>
    <s v="ZTAN"/>
    <x v="7"/>
    <s v="WC2233"/>
    <s v="125108660"/>
    <s v="RENCA"/>
    <x v="1641"/>
    <x v="4"/>
    <x v="1"/>
    <x v="7"/>
    <x v="1"/>
    <n v="1"/>
    <n v="55000"/>
    <n v="0"/>
    <n v="55000"/>
    <n v="11.797511797511797"/>
    <n v="5000"/>
    <n v="93"/>
    <x v="2007"/>
    <x v="7"/>
    <x v="1"/>
    <x v="1"/>
  </r>
  <r>
    <x v="154"/>
    <s v="ZTAN"/>
    <x v="7"/>
    <s v="XR6339"/>
    <s v="78907355"/>
    <s v="RENCA"/>
    <x v="1641"/>
    <x v="1"/>
    <x v="1"/>
    <x v="7"/>
    <x v="1"/>
    <n v="1"/>
    <n v="55000"/>
    <n v="0"/>
    <n v="55000"/>
    <n v="11.797511797511797"/>
    <n v="5000"/>
    <n v="93"/>
    <x v="2008"/>
    <x v="7"/>
    <x v="1"/>
    <x v="1"/>
  </r>
  <r>
    <x v="154"/>
    <s v="ZTAN"/>
    <x v="8"/>
    <s v="CBDR22"/>
    <s v="19964844K"/>
    <s v="CORONEL"/>
    <x v="1642"/>
    <x v="0"/>
    <x v="0"/>
    <x v="16"/>
    <x v="0"/>
    <n v="0"/>
    <n v="380000"/>
    <n v="0"/>
    <n v="380000"/>
    <n v="30.680295176734671"/>
    <n v="25000"/>
    <n v="50"/>
    <x v="2009"/>
    <x v="7"/>
    <x v="1"/>
    <x v="0"/>
  </r>
  <r>
    <x v="154"/>
    <s v="ZTAN"/>
    <x v="8"/>
    <s v="TP3884"/>
    <s v="154837728"/>
    <s v="PUDAHUEL"/>
    <x v="1643"/>
    <x v="1"/>
    <x v="1"/>
    <x v="10"/>
    <x v="1"/>
    <n v="1"/>
    <n v="55000"/>
    <n v="0"/>
    <n v="55000"/>
    <n v="11.503147679501392"/>
    <n v="5000"/>
    <n v="96"/>
    <x v="2010"/>
    <x v="7"/>
    <x v="1"/>
    <x v="1"/>
  </r>
  <r>
    <x v="154"/>
    <s v="ZTAN"/>
    <x v="45"/>
    <s v="DJLF85"/>
    <s v="53173292"/>
    <s v="SAN JOSE DE MAIPO"/>
    <x v="1644"/>
    <x v="4"/>
    <x v="1"/>
    <x v="66"/>
    <x v="1"/>
    <n v="5"/>
    <n v="90000"/>
    <n v="0"/>
    <n v="90000"/>
    <n v="16.470846601515316"/>
    <n v="10000"/>
    <n v="55"/>
    <x v="2011"/>
    <x v="7"/>
    <x v="1"/>
    <x v="1"/>
  </r>
  <r>
    <x v="155"/>
    <s v="ZPEP"/>
    <x v="5"/>
    <s v="RK5135"/>
    <n v="138841065"/>
    <s v="LAMPA"/>
    <x v="1645"/>
    <x v="3"/>
    <x v="1"/>
    <x v="17"/>
    <x v="1"/>
    <n v="5"/>
    <n v="70000"/>
    <n v="0"/>
    <n v="70000"/>
    <n v="11.694382352842904"/>
    <n v="10000"/>
    <n v="60"/>
    <x v="2012"/>
    <x v="7"/>
    <x v="1"/>
    <x v="1"/>
  </r>
  <r>
    <x v="155"/>
    <s v="ZTAN"/>
    <x v="3"/>
    <s v="XR6339"/>
    <n v="78907355"/>
    <s v="LAS CONDES"/>
    <x v="1646"/>
    <x v="1"/>
    <x v="1"/>
    <x v="3"/>
    <x v="1"/>
    <n v="4"/>
    <n v="104334"/>
    <n v="0"/>
    <n v="104334"/>
    <n v="10.999987348338204"/>
    <n v="5000"/>
    <n v="100"/>
    <x v="2013"/>
    <x v="7"/>
    <x v="1"/>
    <x v="1"/>
  </r>
  <r>
    <x v="155"/>
    <s v="ZTAN"/>
    <x v="7"/>
    <s v="DFRV76"/>
    <n v="113693868"/>
    <s v="CHILLAN"/>
    <x v="1647"/>
    <x v="5"/>
    <x v="0"/>
    <x v="21"/>
    <x v="5"/>
    <n v="0"/>
    <n v="350000"/>
    <n v="0"/>
    <n v="350000"/>
    <n v="26.663010025291772"/>
    <n v="25000"/>
    <n v="53"/>
    <x v="2014"/>
    <x v="7"/>
    <x v="1"/>
    <x v="0"/>
  </r>
  <r>
    <x v="155"/>
    <s v="ZTAN"/>
    <x v="8"/>
    <s v="CJXX49"/>
    <n v="167832741"/>
    <s v="CORONEL"/>
    <x v="1648"/>
    <x v="5"/>
    <x v="0"/>
    <x v="16"/>
    <x v="0"/>
    <n v="0"/>
    <n v="380000"/>
    <n v="0"/>
    <n v="380000"/>
    <n v="25.716335286872486"/>
    <n v="25000"/>
    <n v="59"/>
    <x v="2015"/>
    <x v="7"/>
    <x v="1"/>
    <x v="0"/>
  </r>
  <r>
    <x v="155"/>
    <s v="ZTAN"/>
    <x v="8"/>
    <s v="TP3884"/>
    <n v="154837728"/>
    <s v="PUDAHUEL"/>
    <x v="1649"/>
    <x v="1"/>
    <x v="1"/>
    <x v="10"/>
    <x v="1"/>
    <n v="1"/>
    <n v="97658"/>
    <n v="0"/>
    <n v="97658"/>
    <n v="11.000000000000002"/>
    <n v="5000"/>
    <n v="100"/>
    <x v="2016"/>
    <x v="7"/>
    <x v="1"/>
    <x v="1"/>
  </r>
  <r>
    <x v="156"/>
    <s v="ZTAN"/>
    <x v="7"/>
    <s v="DJLF85"/>
    <n v="125108660"/>
    <s v="MELIPILLA"/>
    <x v="234"/>
    <x v="4"/>
    <x v="1"/>
    <x v="29"/>
    <x v="1"/>
    <n v="5"/>
    <n v="99052.799999999974"/>
    <n v="0"/>
    <n v="99052.799999999974"/>
    <n v="11"/>
    <n v="10000"/>
    <n v="90"/>
    <x v="2017"/>
    <x v="7"/>
    <x v="1"/>
    <x v="1"/>
  </r>
  <r>
    <x v="156"/>
    <s v="ZTAN"/>
    <x v="7"/>
    <s v="RK5135"/>
    <n v="138841065"/>
    <s v="SAN MIGUEL"/>
    <x v="1650"/>
    <x v="3"/>
    <x v="1"/>
    <x v="23"/>
    <x v="1"/>
    <n v="2"/>
    <n v="69872"/>
    <n v="0"/>
    <n v="69872"/>
    <n v="11"/>
    <n v="5000"/>
    <n v="100"/>
    <x v="2018"/>
    <x v="7"/>
    <x v="1"/>
    <x v="1"/>
  </r>
  <r>
    <x v="156"/>
    <s v="ZTAN"/>
    <x v="7"/>
    <s v="SU9354"/>
    <n v="72564391"/>
    <s v="SAN MIGUEL"/>
    <x v="1650"/>
    <x v="2"/>
    <x v="1"/>
    <x v="23"/>
    <x v="1"/>
    <n v="2"/>
    <n v="69872"/>
    <n v="0"/>
    <n v="69872"/>
    <n v="11"/>
    <n v="5000"/>
    <n v="100"/>
    <x v="2019"/>
    <x v="7"/>
    <x v="1"/>
    <x v="1"/>
  </r>
  <r>
    <x v="156"/>
    <s v="ZTAN"/>
    <x v="7"/>
    <s v="WC2233"/>
    <n v="53173292"/>
    <s v="SAN MIGUEL"/>
    <x v="1651"/>
    <x v="4"/>
    <x v="1"/>
    <x v="23"/>
    <x v="1"/>
    <n v="2"/>
    <n v="64640"/>
    <n v="0"/>
    <n v="64640"/>
    <n v="10.999931931114288"/>
    <n v="5000"/>
    <n v="100"/>
    <x v="2020"/>
    <x v="7"/>
    <x v="1"/>
    <x v="1"/>
  </r>
  <r>
    <x v="156"/>
    <s v="ZTAN"/>
    <x v="7"/>
    <s v="WG4022"/>
    <n v="81417709"/>
    <s v="RANCAGUA"/>
    <x v="1652"/>
    <x v="1"/>
    <x v="0"/>
    <x v="28"/>
    <x v="6"/>
    <n v="0"/>
    <n v="230000"/>
    <n v="0"/>
    <n v="230000"/>
    <n v="15.175508049617322"/>
    <n v="25000"/>
    <n v="61"/>
    <x v="2021"/>
    <x v="7"/>
    <x v="1"/>
    <x v="0"/>
  </r>
  <r>
    <x v="156"/>
    <s v="ZTAN"/>
    <x v="7"/>
    <s v="XR6339"/>
    <n v="78907355"/>
    <s v="SAN MIGUEL"/>
    <x v="1653"/>
    <x v="1"/>
    <x v="1"/>
    <x v="23"/>
    <x v="1"/>
    <n v="2"/>
    <n v="80403"/>
    <n v="0"/>
    <n v="80403"/>
    <n v="10.999945275946041"/>
    <n v="5000"/>
    <n v="100"/>
    <x v="2022"/>
    <x v="7"/>
    <x v="1"/>
    <x v="1"/>
  </r>
  <r>
    <x v="156"/>
    <s v="ZTAN"/>
    <x v="8"/>
    <s v="BWPL69"/>
    <n v="78551976"/>
    <s v="CORONEL"/>
    <x v="1654"/>
    <x v="5"/>
    <x v="0"/>
    <x v="16"/>
    <x v="0"/>
    <n v="0"/>
    <n v="380000"/>
    <n v="0"/>
    <n v="380000"/>
    <n v="26.070610189492189"/>
    <n v="25000"/>
    <n v="58"/>
    <x v="2023"/>
    <x v="7"/>
    <x v="1"/>
    <x v="0"/>
  </r>
  <r>
    <x v="156"/>
    <s v="ZTAN"/>
    <x v="8"/>
    <s v="DP5738"/>
    <n v="35488103"/>
    <s v="SAN BERNARDO"/>
    <x v="1655"/>
    <x v="7"/>
    <x v="1"/>
    <x v="4"/>
    <x v="1"/>
    <n v="4"/>
    <n v="55000"/>
    <n v="0"/>
    <n v="55000"/>
    <n v="12.805289748783496"/>
    <n v="5000"/>
    <n v="86"/>
    <x v="2024"/>
    <x v="7"/>
    <x v="1"/>
    <x v="1"/>
  </r>
  <r>
    <x v="156"/>
    <s v="ZTAN"/>
    <x v="8"/>
    <s v="FRTZ19"/>
    <n v="79602280"/>
    <s v="CORONEL"/>
    <x v="1656"/>
    <x v="0"/>
    <x v="0"/>
    <x v="16"/>
    <x v="0"/>
    <n v="0"/>
    <n v="380000"/>
    <n v="0"/>
    <n v="380000"/>
    <n v="31.41456478427288"/>
    <n v="25000"/>
    <n v="48"/>
    <x v="2025"/>
    <x v="7"/>
    <x v="1"/>
    <x v="0"/>
  </r>
  <r>
    <x v="156"/>
    <s v="ZTAN"/>
    <x v="8"/>
    <s v="SV2718"/>
    <n v="78907355"/>
    <s v="CERRILLOS"/>
    <x v="1657"/>
    <x v="1"/>
    <x v="1"/>
    <x v="9"/>
    <x v="1"/>
    <n v="2"/>
    <n v="55617"/>
    <n v="0"/>
    <n v="55617"/>
    <n v="10.999980221910167"/>
    <n v="5000"/>
    <n v="100"/>
    <x v="2026"/>
    <x v="7"/>
    <x v="1"/>
    <x v="1"/>
  </r>
  <r>
    <x v="156"/>
    <s v="ZTAN"/>
    <x v="8"/>
    <s v="TP3884"/>
    <n v="154837728"/>
    <s v="PUDAHUEL"/>
    <x v="1658"/>
    <x v="1"/>
    <x v="1"/>
    <x v="10"/>
    <x v="1"/>
    <n v="1"/>
    <n v="55000"/>
    <n v="0"/>
    <n v="55000"/>
    <n v="14.889412274290041"/>
    <n v="5000"/>
    <n v="74"/>
    <x v="2027"/>
    <x v="7"/>
    <x v="1"/>
    <x v="1"/>
  </r>
  <r>
    <x v="157"/>
    <s v="ZPEP"/>
    <x v="34"/>
    <s v="XR6339"/>
    <n v="78907355"/>
    <s v="LAS CONDES"/>
    <x v="1286"/>
    <x v="1"/>
    <x v="1"/>
    <x v="3"/>
    <x v="1"/>
    <n v="4"/>
    <n v="55000"/>
    <n v="0"/>
    <n v="55000"/>
    <n v="11.458333333333334"/>
    <n v="5000"/>
    <n v="96"/>
    <x v="2028"/>
    <x v="7"/>
    <x v="1"/>
    <x v="1"/>
  </r>
  <r>
    <x v="157"/>
    <s v="ZPEP"/>
    <x v="12"/>
    <s v="WG4022"/>
    <n v="81417709"/>
    <s v="VITACURA"/>
    <x v="1659"/>
    <x v="1"/>
    <x v="0"/>
    <x v="27"/>
    <x v="1"/>
    <n v="4"/>
    <n v="172062"/>
    <n v="0"/>
    <n v="172062"/>
    <n v="11"/>
    <n v="5000"/>
    <n v="100"/>
    <x v="2029"/>
    <x v="7"/>
    <x v="1"/>
    <x v="1"/>
  </r>
  <r>
    <x v="157"/>
    <s v="ZTAN"/>
    <x v="16"/>
    <s v="SU9354"/>
    <n v="72564391"/>
    <s v="RENCA"/>
    <x v="1321"/>
    <x v="2"/>
    <x v="1"/>
    <x v="7"/>
    <x v="1"/>
    <n v="1"/>
    <n v="82544"/>
    <n v="0"/>
    <n v="82544"/>
    <n v="11.000000000000004"/>
    <n v="5000"/>
    <n v="100"/>
    <x v="2030"/>
    <x v="7"/>
    <x v="1"/>
    <x v="1"/>
  </r>
  <r>
    <x v="157"/>
    <s v="ZTAN"/>
    <x v="8"/>
    <s v="SV2718"/>
    <n v="81417709"/>
    <s v="ÑUÑOA"/>
    <x v="1660"/>
    <x v="0"/>
    <x v="0"/>
    <x v="15"/>
    <x v="1"/>
    <n v="4"/>
    <n v="55506"/>
    <n v="0"/>
    <n v="55506"/>
    <n v="11"/>
    <n v="5000"/>
    <n v="94"/>
    <x v="2031"/>
    <x v="7"/>
    <x v="1"/>
    <x v="1"/>
  </r>
  <r>
    <x v="157"/>
    <s v="ZTAN"/>
    <x v="8"/>
    <s v="BDCH61"/>
    <n v="78907355"/>
    <s v="HUECHURABA"/>
    <x v="1661"/>
    <x v="1"/>
    <x v="1"/>
    <x v="24"/>
    <x v="1"/>
    <n v="1"/>
    <n v="55000"/>
    <n v="0"/>
    <n v="55000"/>
    <n v="11.193877966377661"/>
    <n v="5000"/>
    <n v="98"/>
    <x v="2032"/>
    <x v="7"/>
    <x v="1"/>
    <x v="1"/>
  </r>
  <r>
    <x v="157"/>
    <s v="ZTAN"/>
    <x v="8"/>
    <s v="DJLF85"/>
    <n v="53173292"/>
    <s v="QUILIN"/>
    <x v="1321"/>
    <x v="4"/>
    <x v="1"/>
    <x v="34"/>
    <x v="1"/>
    <n v="4"/>
    <n v="82544"/>
    <n v="0"/>
    <n v="82544"/>
    <n v="11.000000000000004"/>
    <n v="5000"/>
    <n v="100"/>
    <x v="2033"/>
    <x v="7"/>
    <x v="1"/>
    <x v="1"/>
  </r>
  <r>
    <x v="157"/>
    <s v="ZTAN"/>
    <x v="8"/>
    <s v="DP5738"/>
    <n v="35488103"/>
    <s v="QUILICURA"/>
    <x v="97"/>
    <x v="7"/>
    <x v="1"/>
    <x v="8"/>
    <x v="1"/>
    <n v="1"/>
    <n v="55000"/>
    <n v="0"/>
    <n v="55000"/>
    <n v="13.918412794817289"/>
    <n v="5000"/>
    <n v="79"/>
    <x v="2034"/>
    <x v="7"/>
    <x v="1"/>
    <x v="1"/>
  </r>
  <r>
    <x v="157"/>
    <s v="ZTAN"/>
    <x v="8"/>
    <s v="RK5135"/>
    <n v="138841065"/>
    <s v="LAS CONDES"/>
    <x v="1662"/>
    <x v="3"/>
    <x v="1"/>
    <x v="3"/>
    <x v="1"/>
    <n v="4"/>
    <n v="68231"/>
    <n v="0"/>
    <n v="68231"/>
    <n v="11.000032243502936"/>
    <n v="5000"/>
    <n v="100"/>
    <x v="2035"/>
    <x v="7"/>
    <x v="1"/>
    <x v="1"/>
  </r>
  <r>
    <x v="157"/>
    <s v="ZTAN"/>
    <x v="8"/>
    <s v="TP3884"/>
    <n v="154837728"/>
    <s v="REÑACA"/>
    <x v="1663"/>
    <x v="1"/>
    <x v="1"/>
    <x v="6"/>
    <x v="2"/>
    <n v="0"/>
    <n v="180000"/>
    <n v="0"/>
    <n v="180000"/>
    <n v="22.527596305474209"/>
    <n v="25000"/>
    <n v="32"/>
    <x v="2036"/>
    <x v="7"/>
    <x v="1"/>
    <x v="0"/>
  </r>
  <r>
    <x v="157"/>
    <s v="ZTAN"/>
    <x v="8"/>
    <s v="UA7248"/>
    <n v="99626232"/>
    <s v="MAIPU"/>
    <x v="1664"/>
    <x v="1"/>
    <x v="1"/>
    <x v="2"/>
    <x v="1"/>
    <n v="2"/>
    <n v="55000"/>
    <n v="0"/>
    <n v="55000"/>
    <n v="15.822784810126583"/>
    <n v="5000"/>
    <n v="70"/>
    <x v="2037"/>
    <x v="7"/>
    <x v="1"/>
    <x v="1"/>
  </r>
  <r>
    <x v="157"/>
    <s v="ZTAN"/>
    <x v="8"/>
    <s v="WC2233"/>
    <n v="125108660"/>
    <s v="LA REINA"/>
    <x v="1665"/>
    <x v="4"/>
    <x v="1"/>
    <x v="11"/>
    <x v="1"/>
    <n v="3"/>
    <n v="64640"/>
    <n v="0"/>
    <n v="64640"/>
    <n v="10.99993193111429"/>
    <n v="5000"/>
    <n v="100"/>
    <x v="2038"/>
    <x v="7"/>
    <x v="1"/>
    <x v="1"/>
  </r>
  <r>
    <x v="157"/>
    <s v="ZTAN"/>
    <x v="8"/>
    <s v="XR6339"/>
    <n v="78907355"/>
    <s v="PUDAHUEL"/>
    <x v="1666"/>
    <x v="1"/>
    <x v="1"/>
    <x v="10"/>
    <x v="1"/>
    <n v="1"/>
    <n v="56444"/>
    <n v="0"/>
    <n v="56444"/>
    <n v="10.999941535283455"/>
    <n v="5000"/>
    <n v="100"/>
    <x v="2039"/>
    <x v="7"/>
    <x v="1"/>
    <x v="1"/>
  </r>
  <r>
    <x v="158"/>
    <s v="ZPEP"/>
    <x v="5"/>
    <s v="RK5135"/>
    <n v="138841065"/>
    <s v="LAMPA"/>
    <x v="1667"/>
    <x v="3"/>
    <x v="1"/>
    <x v="17"/>
    <x v="1"/>
    <n v="5"/>
    <n v="70000"/>
    <n v="0"/>
    <n v="70000"/>
    <n v="15.088353084706014"/>
    <n v="10000"/>
    <n v="46"/>
    <x v="2040"/>
    <x v="7"/>
    <x v="1"/>
    <x v="1"/>
  </r>
  <r>
    <x v="158"/>
    <s v="ZTAN"/>
    <x v="10"/>
    <s v="DJLF85"/>
    <n v="53173292"/>
    <s v="QUILICURA"/>
    <x v="1668"/>
    <x v="4"/>
    <x v="1"/>
    <x v="8"/>
    <x v="1"/>
    <n v="1"/>
    <n v="94635"/>
    <n v="0"/>
    <n v="94635"/>
    <n v="10.999976752836155"/>
    <n v="5000"/>
    <n v="100"/>
    <x v="2041"/>
    <x v="7"/>
    <x v="1"/>
    <x v="1"/>
  </r>
  <r>
    <x v="158"/>
    <s v="ZTAN"/>
    <x v="10"/>
    <s v="SU9354"/>
    <n v="72564391"/>
    <s v="QUILICURA"/>
    <x v="1668"/>
    <x v="2"/>
    <x v="1"/>
    <x v="8"/>
    <x v="1"/>
    <n v="1"/>
    <n v="94635"/>
    <n v="0"/>
    <n v="94635"/>
    <n v="10.999976752836155"/>
    <n v="5000"/>
    <n v="100"/>
    <x v="2042"/>
    <x v="7"/>
    <x v="1"/>
    <x v="1"/>
  </r>
  <r>
    <x v="158"/>
    <s v="ZTAN"/>
    <x v="10"/>
    <s v="TP3884"/>
    <n v="154837728"/>
    <s v="QUILICURA"/>
    <x v="433"/>
    <x v="1"/>
    <x v="1"/>
    <x v="8"/>
    <x v="1"/>
    <n v="1"/>
    <n v="80335"/>
    <n v="0"/>
    <n v="80335"/>
    <n v="10.999972614744223"/>
    <n v="5000"/>
    <n v="100"/>
    <x v="2043"/>
    <x v="7"/>
    <x v="1"/>
    <x v="1"/>
  </r>
  <r>
    <x v="158"/>
    <s v="ZTAN"/>
    <x v="10"/>
    <s v="WC2233"/>
    <n v="125108660"/>
    <s v="QUILICURA"/>
    <x v="1669"/>
    <x v="4"/>
    <x v="1"/>
    <x v="8"/>
    <x v="1"/>
    <n v="1"/>
    <n v="93303"/>
    <n v="0"/>
    <n v="93303"/>
    <n v="10.99998821046675"/>
    <n v="5000"/>
    <n v="100"/>
    <x v="2044"/>
    <x v="7"/>
    <x v="1"/>
    <x v="1"/>
  </r>
  <r>
    <x v="158"/>
    <s v="ZTAN"/>
    <x v="10"/>
    <s v="WG4022"/>
    <n v="81417709"/>
    <s v="SANTIAGO"/>
    <x v="1670"/>
    <x v="1"/>
    <x v="0"/>
    <x v="20"/>
    <x v="1"/>
    <n v="1"/>
    <n v="182213"/>
    <n v="0"/>
    <n v="182213"/>
    <n v="11.000012073795029"/>
    <n v="5000"/>
    <n v="100"/>
    <x v="2045"/>
    <x v="7"/>
    <x v="1"/>
    <x v="1"/>
  </r>
  <r>
    <x v="158"/>
    <s v="ZTAN"/>
    <x v="10"/>
    <s v="XR6339"/>
    <n v="78907355"/>
    <s v="QUILICURA"/>
    <x v="1671"/>
    <x v="1"/>
    <x v="1"/>
    <x v="8"/>
    <x v="1"/>
    <n v="1"/>
    <n v="91608"/>
    <n v="0"/>
    <n v="91608"/>
    <n v="11"/>
    <n v="5000"/>
    <n v="100"/>
    <x v="2046"/>
    <x v="7"/>
    <x v="1"/>
    <x v="1"/>
  </r>
  <r>
    <x v="158"/>
    <s v="ZTAN"/>
    <x v="66"/>
    <s v="WG4022"/>
    <n v="81417709"/>
    <s v="SANTIAGO"/>
    <x v="1672"/>
    <x v="1"/>
    <x v="0"/>
    <x v="20"/>
    <x v="1"/>
    <n v="1"/>
    <n v="183957"/>
    <n v="0"/>
    <n v="183957"/>
    <n v="11.000008969494742"/>
    <n v="5000"/>
    <n v="100"/>
    <x v="2047"/>
    <x v="7"/>
    <x v="1"/>
    <x v="1"/>
  </r>
  <r>
    <x v="158"/>
    <s v="ZTAN"/>
    <x v="7"/>
    <s v="DJLF85"/>
    <n v="53173292"/>
    <s v="MELIPILLA"/>
    <x v="234"/>
    <x v="4"/>
    <x v="1"/>
    <x v="29"/>
    <x v="1"/>
    <n v="5"/>
    <n v="99052.799999999974"/>
    <n v="0"/>
    <n v="99052.799999999974"/>
    <n v="11"/>
    <n v="10000"/>
    <n v="90"/>
    <x v="2048"/>
    <x v="7"/>
    <x v="1"/>
    <x v="1"/>
  </r>
  <r>
    <x v="158"/>
    <s v="ZTAN"/>
    <x v="7"/>
    <s v="DP5738"/>
    <n v="35488103"/>
    <s v="SAN MIGUEL"/>
    <x v="1673"/>
    <x v="7"/>
    <x v="1"/>
    <x v="23"/>
    <x v="1"/>
    <n v="2"/>
    <n v="74956"/>
    <n v="0"/>
    <n v="74956"/>
    <n v="10.999970649525991"/>
    <n v="5000"/>
    <n v="100"/>
    <x v="2049"/>
    <x v="7"/>
    <x v="1"/>
    <x v="1"/>
  </r>
  <r>
    <x v="158"/>
    <s v="ZTAN"/>
    <x v="7"/>
    <s v="WC2233"/>
    <n v="125108660"/>
    <s v="MELIPILLA"/>
    <x v="234"/>
    <x v="4"/>
    <x v="1"/>
    <x v="29"/>
    <x v="1"/>
    <n v="5"/>
    <n v="99052.799999999974"/>
    <n v="0"/>
    <n v="99052.799999999974"/>
    <n v="11"/>
    <n v="10000"/>
    <n v="90"/>
    <x v="2050"/>
    <x v="7"/>
    <x v="1"/>
    <x v="1"/>
  </r>
  <r>
    <x v="158"/>
    <s v="ZTAN"/>
    <x v="7"/>
    <s v="XR6339"/>
    <n v="154837728"/>
    <s v="SAN MIGUEL"/>
    <x v="1674"/>
    <x v="1"/>
    <x v="1"/>
    <x v="23"/>
    <x v="1"/>
    <n v="2"/>
    <n v="79233"/>
    <n v="0"/>
    <n v="79233"/>
    <n v="11.000000000000004"/>
    <n v="5000"/>
    <n v="100"/>
    <x v="2051"/>
    <x v="7"/>
    <x v="1"/>
    <x v="1"/>
  </r>
  <r>
    <x v="158"/>
    <s v="ZTAN"/>
    <x v="8"/>
    <s v="BDCH61"/>
    <n v="107643206"/>
    <s v="PUDAHUEL"/>
    <x v="1675"/>
    <x v="1"/>
    <x v="1"/>
    <x v="10"/>
    <x v="1"/>
    <n v="1"/>
    <n v="55000"/>
    <n v="0"/>
    <n v="55000"/>
    <n v="11.641689950046565"/>
    <n v="5000"/>
    <n v="94"/>
    <x v="2052"/>
    <x v="7"/>
    <x v="1"/>
    <x v="1"/>
  </r>
  <r>
    <x v="158"/>
    <s v="ZTAN"/>
    <x v="8"/>
    <s v="FSFS27"/>
    <n v="103576032"/>
    <s v="CORONEL"/>
    <x v="1676"/>
    <x v="0"/>
    <x v="0"/>
    <x v="16"/>
    <x v="0"/>
    <n v="0"/>
    <n v="380000"/>
    <n v="0"/>
    <n v="380000"/>
    <n v="26.573426573426591"/>
    <n v="25000"/>
    <n v="57"/>
    <x v="2053"/>
    <x v="7"/>
    <x v="1"/>
    <x v="0"/>
  </r>
  <r>
    <x v="159"/>
    <s v="ZPEP"/>
    <x v="12"/>
    <s v="WC2233"/>
    <n v="125108660"/>
    <s v="VITACURA"/>
    <x v="1677"/>
    <x v="4"/>
    <x v="1"/>
    <x v="27"/>
    <x v="1"/>
    <n v="4"/>
    <n v="82729"/>
    <n v="0"/>
    <n v="82729"/>
    <n v="11.000026592915646"/>
    <n v="5000"/>
    <n v="100"/>
    <x v="2054"/>
    <x v="7"/>
    <x v="1"/>
    <x v="1"/>
  </r>
  <r>
    <x v="159"/>
    <s v="ZPEP"/>
    <x v="8"/>
    <s v="CJXX49"/>
    <n v="167832741"/>
    <s v="COQUIMBO"/>
    <x v="1678"/>
    <x v="5"/>
    <x v="0"/>
    <x v="42"/>
    <x v="8"/>
    <n v="0"/>
    <n v="600000"/>
    <n v="0"/>
    <n v="600000"/>
    <n v="70.015426732356701"/>
    <n v="25000"/>
    <n v="34"/>
    <x v="2055"/>
    <x v="7"/>
    <x v="1"/>
    <x v="0"/>
  </r>
  <r>
    <x v="159"/>
    <s v="ZTAN"/>
    <x v="7"/>
    <s v="SV2718"/>
    <n v="154837728"/>
    <s v="SAN MIGUEL"/>
    <x v="1679"/>
    <x v="1"/>
    <x v="1"/>
    <x v="23"/>
    <x v="1"/>
    <n v="2"/>
    <n v="55000"/>
    <n v="0"/>
    <n v="55000"/>
    <n v="16.22849724115547"/>
    <n v="5000"/>
    <n v="68"/>
    <x v="2056"/>
    <x v="7"/>
    <x v="1"/>
    <x v="1"/>
  </r>
  <r>
    <x v="159"/>
    <s v="ZTAN"/>
    <x v="7"/>
    <s v="WG4022"/>
    <n v="81417709"/>
    <s v="RANCAGUA"/>
    <x v="104"/>
    <x v="1"/>
    <x v="0"/>
    <x v="28"/>
    <x v="6"/>
    <n v="0"/>
    <n v="230000"/>
    <n v="0"/>
    <n v="230000"/>
    <n v="11.788584549778578"/>
    <n v="25000"/>
    <n v="78"/>
    <x v="2057"/>
    <x v="7"/>
    <x v="1"/>
    <x v="0"/>
  </r>
  <r>
    <x v="159"/>
    <s v="ZTAN"/>
    <x v="8"/>
    <s v="DFRV76"/>
    <n v="113693568"/>
    <s v="CORONEL"/>
    <x v="1680"/>
    <x v="5"/>
    <x v="0"/>
    <x v="16"/>
    <x v="0"/>
    <n v="0"/>
    <n v="380000"/>
    <n v="0"/>
    <n v="380000"/>
    <n v="27.624911854722065"/>
    <n v="25000"/>
    <n v="55"/>
    <x v="2058"/>
    <x v="7"/>
    <x v="1"/>
    <x v="0"/>
  </r>
  <r>
    <x v="159"/>
    <s v="ZTAN"/>
    <x v="8"/>
    <s v="UA7248"/>
    <n v="99626232"/>
    <s v="PUDAHUEL"/>
    <x v="1681"/>
    <x v="1"/>
    <x v="1"/>
    <x v="10"/>
    <x v="1"/>
    <n v="1"/>
    <n v="55000"/>
    <n v="0"/>
    <n v="55000"/>
    <n v="21.682567215958372"/>
    <n v="5000"/>
    <n v="51"/>
    <x v="2059"/>
    <x v="7"/>
    <x v="1"/>
    <x v="1"/>
  </r>
  <r>
    <x v="160"/>
    <s v="ZPEP"/>
    <x v="12"/>
    <s v="XR6339"/>
    <n v="154837728"/>
    <s v="VITACURA"/>
    <x v="1682"/>
    <x v="1"/>
    <x v="1"/>
    <x v="27"/>
    <x v="1"/>
    <n v="4"/>
    <n v="79774"/>
    <n v="0"/>
    <n v="79774"/>
    <n v="10.99997242216155"/>
    <n v="5000"/>
    <n v="100"/>
    <x v="2060"/>
    <x v="7"/>
    <x v="1"/>
    <x v="1"/>
  </r>
  <r>
    <x v="160"/>
    <s v="ZTAN"/>
    <x v="67"/>
    <s v="SU9354"/>
    <n v="72564391"/>
    <s v="CALERA DE TANGO"/>
    <x v="1334"/>
    <x v="2"/>
    <x v="1"/>
    <x v="71"/>
    <x v="1"/>
    <n v="5"/>
    <n v="90000"/>
    <n v="0"/>
    <n v="90000"/>
    <n v="15.991471215351815"/>
    <n v="10000"/>
    <n v="56"/>
    <x v="2061"/>
    <x v="7"/>
    <x v="1"/>
    <x v="1"/>
  </r>
  <r>
    <x v="160"/>
    <s v="ZTAN"/>
    <x v="4"/>
    <s v="WC2233"/>
    <n v="125108660"/>
    <s v="SAN BERNARDO"/>
    <x v="1412"/>
    <x v="4"/>
    <x v="1"/>
    <x v="4"/>
    <x v="1"/>
    <n v="4"/>
    <n v="62348"/>
    <n v="0"/>
    <n v="62348"/>
    <n v="11"/>
    <n v="5000"/>
    <n v="100"/>
    <x v="2062"/>
    <x v="7"/>
    <x v="1"/>
    <x v="1"/>
  </r>
  <r>
    <x v="160"/>
    <s v="ZTAN"/>
    <x v="5"/>
    <s v="DJLF85"/>
    <n v="53173292"/>
    <s v="LAMPA"/>
    <x v="890"/>
    <x v="4"/>
    <x v="1"/>
    <x v="17"/>
    <x v="1"/>
    <n v="5"/>
    <n v="70000"/>
    <n v="0"/>
    <n v="70000"/>
    <n v="10.802469135802468"/>
    <n v="10000"/>
    <n v="65"/>
    <x v="2063"/>
    <x v="7"/>
    <x v="1"/>
    <x v="1"/>
  </r>
  <r>
    <x v="160"/>
    <s v="ZTAN"/>
    <x v="32"/>
    <s v="BDCH61"/>
    <n v="99626232"/>
    <s v="LAMPA"/>
    <x v="448"/>
    <x v="1"/>
    <x v="1"/>
    <x v="17"/>
    <x v="1"/>
    <n v="5"/>
    <n v="70000"/>
    <n v="0"/>
    <n v="70000"/>
    <n v="11.660447761194032"/>
    <n v="10000"/>
    <n v="60"/>
    <x v="2064"/>
    <x v="7"/>
    <x v="1"/>
    <x v="1"/>
  </r>
  <r>
    <x v="160"/>
    <s v="ZTAN"/>
    <x v="32"/>
    <s v="DP5738"/>
    <n v="35488103"/>
    <s v="LAMPA"/>
    <x v="1000"/>
    <x v="7"/>
    <x v="1"/>
    <x v="17"/>
    <x v="1"/>
    <n v="5"/>
    <n v="74289.599999999991"/>
    <n v="0"/>
    <n v="74289.599999999991"/>
    <n v="11"/>
    <n v="10000"/>
    <n v="68"/>
    <x v="2065"/>
    <x v="7"/>
    <x v="1"/>
    <x v="1"/>
  </r>
  <r>
    <x v="160"/>
    <s v="ZTAN"/>
    <x v="20"/>
    <s v="WC2233"/>
    <n v="125108660"/>
    <s v="II REGION"/>
    <x v="1683"/>
    <x v="4"/>
    <x v="1"/>
    <x v="17"/>
    <x v="1"/>
    <n v="5"/>
    <n v="79279.200000000012"/>
    <n v="0"/>
    <n v="79279.200000000012"/>
    <n v="11"/>
    <n v="10000"/>
    <n v="72"/>
    <x v="2066"/>
    <x v="7"/>
    <x v="1"/>
    <x v="1"/>
  </r>
  <r>
    <x v="160"/>
    <s v="ZTAN"/>
    <x v="7"/>
    <s v="RK5135"/>
    <n v="138841065"/>
    <s v="SAN MIGUEL"/>
    <x v="1684"/>
    <x v="3"/>
    <x v="1"/>
    <x v="23"/>
    <x v="1"/>
    <n v="2"/>
    <n v="55000"/>
    <n v="0"/>
    <n v="55000"/>
    <n v="11.446886446886447"/>
    <n v="5000"/>
    <n v="96"/>
    <x v="2067"/>
    <x v="7"/>
    <x v="1"/>
    <x v="1"/>
  </r>
  <r>
    <x v="160"/>
    <s v="ZTAN"/>
    <x v="8"/>
    <s v="SV2718"/>
    <n v="99626232"/>
    <s v="LA FLORIDA"/>
    <x v="1685"/>
    <x v="1"/>
    <x v="1"/>
    <x v="33"/>
    <x v="1"/>
    <n v="3"/>
    <n v="61559"/>
    <n v="0"/>
    <n v="61559"/>
    <n v="10.999946393152619"/>
    <n v="5000"/>
    <n v="100"/>
    <x v="2068"/>
    <x v="7"/>
    <x v="1"/>
    <x v="1"/>
  </r>
  <r>
    <x v="160"/>
    <s v="ZTAN"/>
    <x v="8"/>
    <s v="WG4022"/>
    <n v="81417709"/>
    <s v="PUDAHUEL"/>
    <x v="1686"/>
    <x v="1"/>
    <x v="0"/>
    <x v="10"/>
    <x v="1"/>
    <n v="1"/>
    <n v="159276"/>
    <n v="0"/>
    <n v="159276"/>
    <n v="11.000027625072516"/>
    <n v="5000"/>
    <n v="100"/>
    <x v="2069"/>
    <x v="7"/>
    <x v="1"/>
    <x v="1"/>
  </r>
  <r>
    <x v="161"/>
    <s v="ZPEP"/>
    <x v="5"/>
    <s v="WG4022"/>
    <n v="81417709"/>
    <s v="LAMPA"/>
    <x v="1687"/>
    <x v="1"/>
    <x v="0"/>
    <x v="17"/>
    <x v="1"/>
    <n v="5"/>
    <n v="120000"/>
    <n v="0"/>
    <n v="120000"/>
    <n v="15.201900237529692"/>
    <n v="10000"/>
    <n v="79"/>
    <x v="2070"/>
    <x v="7"/>
    <x v="1"/>
    <x v="1"/>
  </r>
  <r>
    <x v="161"/>
    <s v="ZPEP"/>
    <x v="12"/>
    <s v="RK5135"/>
    <n v="138841065"/>
    <s v="VITACURA"/>
    <x v="1688"/>
    <x v="3"/>
    <x v="1"/>
    <x v="27"/>
    <x v="1"/>
    <n v="4"/>
    <n v="73865"/>
    <n v="0"/>
    <n v="73865"/>
    <n v="10.999999999999998"/>
    <n v="5000"/>
    <n v="100"/>
    <x v="2071"/>
    <x v="7"/>
    <x v="1"/>
    <x v="1"/>
  </r>
  <r>
    <x v="161"/>
    <s v="ZPEP"/>
    <x v="8"/>
    <s v="BYCZ29"/>
    <n v="122975819"/>
    <s v="COQUIMBO"/>
    <x v="1689"/>
    <x v="0"/>
    <x v="0"/>
    <x v="42"/>
    <x v="8"/>
    <n v="0"/>
    <n v="600000"/>
    <n v="0"/>
    <n v="600000"/>
    <n v="115.43100977123498"/>
    <n v="25000"/>
    <n v="21"/>
    <x v="2072"/>
    <x v="7"/>
    <x v="1"/>
    <x v="0"/>
  </r>
  <r>
    <x v="161"/>
    <s v="ZTAN"/>
    <x v="10"/>
    <s v="DP5738"/>
    <n v="3548810"/>
    <s v="SANTIAGO"/>
    <x v="1690"/>
    <x v="7"/>
    <x v="1"/>
    <x v="20"/>
    <x v="1"/>
    <n v="1"/>
    <n v="55000"/>
    <n v="0"/>
    <n v="55000"/>
    <n v="14.488554042306578"/>
    <n v="5000"/>
    <n v="76"/>
    <x v="2073"/>
    <x v="7"/>
    <x v="1"/>
    <x v="1"/>
  </r>
  <r>
    <x v="161"/>
    <s v="ZTAN"/>
    <x v="16"/>
    <s v="TW7053"/>
    <n v="172861164"/>
    <s v="CONCEPCION"/>
    <x v="1691"/>
    <x v="6"/>
    <x v="1"/>
    <x v="81"/>
    <x v="0"/>
    <n v="0"/>
    <n v="380000"/>
    <n v="0"/>
    <n v="380000"/>
    <n v="22.433172759044123"/>
    <n v="25000"/>
    <n v="68"/>
    <x v="2074"/>
    <x v="7"/>
    <x v="1"/>
    <x v="0"/>
  </r>
  <r>
    <x v="161"/>
    <s v="ZTAN"/>
    <x v="7"/>
    <s v="SU9354"/>
    <n v="75264391"/>
    <s v="RENCA"/>
    <x v="1692"/>
    <x v="2"/>
    <x v="1"/>
    <x v="7"/>
    <x v="1"/>
    <n v="1"/>
    <n v="62269.350000000006"/>
    <n v="0"/>
    <n v="62269.350000000006"/>
    <n v="11"/>
    <n v="5000"/>
    <n v="99"/>
    <x v="2075"/>
    <x v="7"/>
    <x v="1"/>
    <x v="1"/>
  </r>
  <r>
    <x v="161"/>
    <s v="ZTAN"/>
    <x v="8"/>
    <s v="TP3884"/>
    <n v="154837728"/>
    <s v="PUDAHUEL"/>
    <x v="1693"/>
    <x v="1"/>
    <x v="1"/>
    <x v="10"/>
    <x v="1"/>
    <n v="1"/>
    <n v="55000"/>
    <n v="0"/>
    <n v="55000"/>
    <n v="12.01818022900096"/>
    <n v="5000"/>
    <n v="92"/>
    <x v="2076"/>
    <x v="7"/>
    <x v="1"/>
    <x v="1"/>
  </r>
  <r>
    <x v="161"/>
    <s v="ZTAN"/>
    <x v="8"/>
    <s v="VE9862"/>
    <n v="98494073"/>
    <s v="TALCAHUANO"/>
    <x v="1694"/>
    <x v="5"/>
    <x v="0"/>
    <x v="0"/>
    <x v="0"/>
    <n v="0"/>
    <n v="380000"/>
    <n v="0"/>
    <n v="380000"/>
    <n v="26.110378188214618"/>
    <n v="25000"/>
    <n v="58"/>
    <x v="2077"/>
    <x v="7"/>
    <x v="1"/>
    <x v="0"/>
  </r>
  <r>
    <x v="162"/>
    <s v="ZTAN"/>
    <x v="10"/>
    <s v="DJLF85"/>
    <s v="53173292"/>
    <s v="SANTIAGO"/>
    <x v="1695"/>
    <x v="4"/>
    <x v="1"/>
    <x v="20"/>
    <x v="1"/>
    <n v="1"/>
    <n v="87807"/>
    <n v="0"/>
    <n v="87807"/>
    <n v="10.999937362981523"/>
    <n v="5000"/>
    <n v="100"/>
    <x v="2078"/>
    <x v="7"/>
    <x v="1"/>
    <x v="1"/>
  </r>
  <r>
    <x v="162"/>
    <s v="ZTAN"/>
    <x v="10"/>
    <s v="RK5135"/>
    <s v="138841065"/>
    <s v="SANTIAGO"/>
    <x v="734"/>
    <x v="3"/>
    <x v="1"/>
    <x v="20"/>
    <x v="1"/>
    <n v="1"/>
    <n v="56364"/>
    <n v="0"/>
    <n v="56364"/>
    <n v="10.999999999999996"/>
    <n v="5000"/>
    <n v="100"/>
    <x v="2079"/>
    <x v="7"/>
    <x v="1"/>
    <x v="1"/>
  </r>
  <r>
    <x v="162"/>
    <s v="ZTAN"/>
    <x v="10"/>
    <s v="SU9354"/>
    <s v="72564391"/>
    <s v="SANTIAGO"/>
    <x v="1696"/>
    <x v="2"/>
    <x v="1"/>
    <x v="20"/>
    <x v="1"/>
    <n v="1"/>
    <n v="77202"/>
    <n v="0"/>
    <n v="77202"/>
    <n v="10.999943006953151"/>
    <n v="5000"/>
    <n v="100"/>
    <x v="2080"/>
    <x v="7"/>
    <x v="1"/>
    <x v="1"/>
  </r>
  <r>
    <x v="162"/>
    <s v="ZTAN"/>
    <x v="10"/>
    <s v="WG4022"/>
    <s v="81417709"/>
    <s v="SANTIAGO"/>
    <x v="1697"/>
    <x v="1"/>
    <x v="0"/>
    <x v="20"/>
    <x v="1"/>
    <n v="1"/>
    <n v="86592"/>
    <n v="0"/>
    <n v="86592"/>
    <n v="10.999999999999993"/>
    <n v="5000"/>
    <n v="100"/>
    <x v="2081"/>
    <x v="7"/>
    <x v="1"/>
    <x v="1"/>
  </r>
  <r>
    <x v="162"/>
    <s v="ZTAN"/>
    <x v="6"/>
    <s v="BDCH61"/>
    <s v="99626232"/>
    <s v="LA REINA"/>
    <x v="1698"/>
    <x v="1"/>
    <x v="1"/>
    <x v="11"/>
    <x v="1"/>
    <n v="3"/>
    <n v="55000"/>
    <n v="0"/>
    <n v="55000"/>
    <n v="12.360661632506289"/>
    <n v="5000"/>
    <n v="89"/>
    <x v="2082"/>
    <x v="7"/>
    <x v="1"/>
    <x v="1"/>
  </r>
  <r>
    <x v="162"/>
    <s v="ZTAN"/>
    <x v="6"/>
    <s v="KKPF51"/>
    <s v="95707734"/>
    <s v="RANCAGUA"/>
    <x v="769"/>
    <x v="8"/>
    <x v="0"/>
    <x v="28"/>
    <x v="6"/>
    <n v="0"/>
    <n v="230000"/>
    <n v="0"/>
    <n v="230000"/>
    <n v="37.704918032786885"/>
    <n v="25000"/>
    <n v="24"/>
    <x v="2083"/>
    <x v="7"/>
    <x v="1"/>
    <x v="0"/>
  </r>
  <r>
    <x v="162"/>
    <s v="ZTAN"/>
    <x v="8"/>
    <s v="CJXX49"/>
    <s v="167832741"/>
    <s v="TALCAHUANO"/>
    <x v="1475"/>
    <x v="5"/>
    <x v="0"/>
    <x v="0"/>
    <x v="0"/>
    <n v="0"/>
    <n v="380000"/>
    <n v="0"/>
    <n v="380000"/>
    <n v="25.978287620662307"/>
    <n v="25000"/>
    <n v="59"/>
    <x v="2084"/>
    <x v="7"/>
    <x v="1"/>
    <x v="0"/>
  </r>
  <r>
    <x v="162"/>
    <s v="ZTAN"/>
    <x v="8"/>
    <s v="DP5738"/>
    <s v="35488103"/>
    <s v="ÑUÑOA"/>
    <x v="960"/>
    <x v="7"/>
    <x v="1"/>
    <x v="15"/>
    <x v="1"/>
    <n v="4"/>
    <n v="55000"/>
    <n v="0"/>
    <n v="55000"/>
    <n v="12.785940115305932"/>
    <n v="5000"/>
    <n v="86"/>
    <x v="2085"/>
    <x v="7"/>
    <x v="1"/>
    <x v="1"/>
  </r>
  <r>
    <x v="162"/>
    <s v="ZTAN"/>
    <x v="8"/>
    <s v="JTYB84"/>
    <s v="6270439K"/>
    <s v="CORONEL"/>
    <x v="1699"/>
    <x v="5"/>
    <x v="0"/>
    <x v="16"/>
    <x v="0"/>
    <n v="0"/>
    <n v="380000"/>
    <n v="0"/>
    <n v="380000"/>
    <n v="41.216985736753621"/>
    <n v="25000"/>
    <n v="37"/>
    <x v="2086"/>
    <x v="7"/>
    <x v="1"/>
    <x v="0"/>
  </r>
  <r>
    <x v="163"/>
    <s v="ZTAN"/>
    <x v="12"/>
    <s v="SU9354"/>
    <s v="72564391"/>
    <s v="VITACURA"/>
    <x v="1700"/>
    <x v="2"/>
    <x v="1"/>
    <x v="27"/>
    <x v="1"/>
    <n v="4"/>
    <n v="99278"/>
    <n v="0"/>
    <n v="99278"/>
    <n v="10.999966760107691"/>
    <n v="5000"/>
    <n v="100"/>
    <x v="2087"/>
    <x v="7"/>
    <x v="1"/>
    <x v="1"/>
  </r>
  <r>
    <x v="163"/>
    <s v="ZTAN"/>
    <x v="6"/>
    <s v="SU2718"/>
    <s v="99626232"/>
    <s v="LA FLORIDA"/>
    <x v="1701"/>
    <x v="0"/>
    <x v="0"/>
    <x v="33"/>
    <x v="1"/>
    <n v="3"/>
    <n v="67943"/>
    <n v="0"/>
    <n v="67943"/>
    <n v="11.000064760547874"/>
    <n v="5000"/>
    <n v="100"/>
    <x v="2088"/>
    <x v="7"/>
    <x v="1"/>
    <x v="1"/>
  </r>
  <r>
    <x v="163"/>
    <s v="ZTAN"/>
    <x v="6"/>
    <s v="TP3884"/>
    <s v="154837728"/>
    <s v="MAIPU"/>
    <x v="1702"/>
    <x v="1"/>
    <x v="1"/>
    <x v="2"/>
    <x v="1"/>
    <n v="2"/>
    <n v="78758"/>
    <n v="0"/>
    <n v="78758"/>
    <n v="11.000027933741165"/>
    <n v="5000"/>
    <n v="100"/>
    <x v="2089"/>
    <x v="7"/>
    <x v="1"/>
    <x v="1"/>
  </r>
  <r>
    <x v="163"/>
    <s v="ZTAN"/>
    <x v="6"/>
    <s v="UA7248"/>
    <s v="78907355"/>
    <s v="PEÑALOLEN"/>
    <x v="1703"/>
    <x v="1"/>
    <x v="1"/>
    <x v="34"/>
    <x v="1"/>
    <n v="4"/>
    <n v="58590"/>
    <n v="0"/>
    <n v="58590"/>
    <n v="10.999924902373087"/>
    <n v="5000"/>
    <n v="100"/>
    <x v="2090"/>
    <x v="7"/>
    <x v="1"/>
    <x v="1"/>
  </r>
  <r>
    <x v="163"/>
    <s v="ZTAN"/>
    <x v="6"/>
    <s v="WC2233"/>
    <s v="53173292"/>
    <s v="PUENTE ALTO"/>
    <x v="1704"/>
    <x v="4"/>
    <x v="1"/>
    <x v="30"/>
    <x v="1"/>
    <n v="4"/>
    <n v="61613"/>
    <n v="0"/>
    <n v="61613"/>
    <n v="10.999964293365707"/>
    <n v="5000"/>
    <n v="100"/>
    <x v="2091"/>
    <x v="7"/>
    <x v="1"/>
    <x v="1"/>
  </r>
  <r>
    <x v="163"/>
    <s v="ZTAN"/>
    <x v="7"/>
    <s v="TW7053"/>
    <s v="172861164"/>
    <s v="MELIPILLA"/>
    <x v="248"/>
    <x v="6"/>
    <x v="1"/>
    <x v="29"/>
    <x v="1"/>
    <n v="5"/>
    <n v="90000"/>
    <n v="0"/>
    <n v="90000"/>
    <n v="29.984008528784649"/>
    <n v="10000"/>
    <n v="30"/>
    <x v="2092"/>
    <x v="7"/>
    <x v="1"/>
    <x v="1"/>
  </r>
  <r>
    <x v="163"/>
    <s v="ZTAN"/>
    <x v="7"/>
    <s v="UA7248"/>
    <s v="16093509K"/>
    <s v="SAN MIGUEL"/>
    <x v="1644"/>
    <x v="1"/>
    <x v="1"/>
    <x v="23"/>
    <x v="1"/>
    <n v="2"/>
    <n v="60106"/>
    <n v="0"/>
    <n v="60106"/>
    <n v="10.999963398118663"/>
    <n v="5000"/>
    <n v="100"/>
    <x v="2093"/>
    <x v="7"/>
    <x v="1"/>
    <x v="1"/>
  </r>
  <r>
    <x v="163"/>
    <s v="ZTAN"/>
    <x v="7"/>
    <s v="WC2233"/>
    <s v="125108660"/>
    <s v="SANTIAGO"/>
    <x v="1705"/>
    <x v="4"/>
    <x v="1"/>
    <x v="20"/>
    <x v="1"/>
    <n v="1"/>
    <n v="64533"/>
    <n v="0"/>
    <n v="64533"/>
    <n v="11.000068182592985"/>
    <n v="5000"/>
    <n v="100"/>
    <x v="2094"/>
    <x v="7"/>
    <x v="1"/>
    <x v="1"/>
  </r>
  <r>
    <x v="163"/>
    <s v="ZTAN"/>
    <x v="7"/>
    <s v="XR6339"/>
    <s v="78907355"/>
    <s v="SAN MIGUEL"/>
    <x v="1706"/>
    <x v="1"/>
    <x v="1"/>
    <x v="23"/>
    <x v="1"/>
    <n v="2"/>
    <n v="94453"/>
    <n v="0"/>
    <n v="94453"/>
    <n v="11.000046584212608"/>
    <n v="5000"/>
    <n v="100"/>
    <x v="2095"/>
    <x v="7"/>
    <x v="1"/>
    <x v="1"/>
  </r>
  <r>
    <x v="163"/>
    <s v="ZTAN"/>
    <x v="8"/>
    <s v="BWPL69"/>
    <s v="78551976"/>
    <s v="CORONEL"/>
    <x v="1707"/>
    <x v="5"/>
    <x v="0"/>
    <x v="16"/>
    <x v="0"/>
    <n v="0"/>
    <n v="380000"/>
    <n v="0"/>
    <n v="380000"/>
    <n v="44.335032842925614"/>
    <n v="25000"/>
    <n v="34"/>
    <x v="2096"/>
    <x v="7"/>
    <x v="1"/>
    <x v="0"/>
  </r>
  <r>
    <x v="163"/>
    <s v="ZTAN"/>
    <x v="8"/>
    <s v="RK5135"/>
    <s v="138841065"/>
    <s v="REÑACA"/>
    <x v="1708"/>
    <x v="3"/>
    <x v="1"/>
    <x v="6"/>
    <x v="2"/>
    <n v="0"/>
    <n v="180000"/>
    <n v="0"/>
    <n v="180000"/>
    <n v="22.855111291694701"/>
    <n v="25000"/>
    <n v="32"/>
    <x v="2097"/>
    <x v="7"/>
    <x v="1"/>
    <x v="0"/>
  </r>
  <r>
    <x v="164"/>
    <s v="ZTAN"/>
    <x v="6"/>
    <s v="BYZH29"/>
    <s v="122975819"/>
    <s v="CHILLAN"/>
    <x v="1709"/>
    <x v="0"/>
    <x v="0"/>
    <x v="21"/>
    <x v="5"/>
    <n v="0"/>
    <n v="350000"/>
    <n v="0"/>
    <n v="350000"/>
    <n v="56.533677919560652"/>
    <n v="25000"/>
    <n v="19"/>
    <x v="2098"/>
    <x v="7"/>
    <x v="1"/>
    <x v="0"/>
  </r>
  <r>
    <x v="164"/>
    <s v="ZTAN"/>
    <x v="66"/>
    <s v="SU9354"/>
    <s v="72564391"/>
    <s v="SANTIAGO"/>
    <x v="125"/>
    <x v="2"/>
    <x v="1"/>
    <x v="20"/>
    <x v="1"/>
    <n v="1"/>
    <n v="145998"/>
    <n v="0"/>
    <n v="145998"/>
    <n v="11.000037671877935"/>
    <n v="5000"/>
    <n v="100"/>
    <x v="2099"/>
    <x v="7"/>
    <x v="1"/>
    <x v="1"/>
  </r>
  <r>
    <x v="164"/>
    <s v="ZTAN"/>
    <x v="7"/>
    <s v="DFRN76"/>
    <s v="113693568"/>
    <s v="CHILLAN"/>
    <x v="734"/>
    <x v="0"/>
    <x v="0"/>
    <x v="21"/>
    <x v="5"/>
    <n v="0"/>
    <n v="350000"/>
    <n v="0"/>
    <n v="350000"/>
    <n v="68.306010928961726"/>
    <n v="25000"/>
    <n v="20"/>
    <x v="2100"/>
    <x v="7"/>
    <x v="1"/>
    <x v="0"/>
  </r>
  <r>
    <x v="164"/>
    <s v="ZTAN"/>
    <x v="7"/>
    <s v="HLBX77"/>
    <s v="16093509K"/>
    <s v="SAN MIGUEL"/>
    <x v="1000"/>
    <x v="1"/>
    <x v="1"/>
    <x v="23"/>
    <x v="1"/>
    <n v="2"/>
    <n v="74290"/>
    <n v="0"/>
    <n v="74290"/>
    <n v="11.000059227671169"/>
    <n v="5000"/>
    <n v="100"/>
    <x v="2101"/>
    <x v="7"/>
    <x v="1"/>
    <x v="1"/>
  </r>
  <r>
    <x v="164"/>
    <s v="ZTAN"/>
    <x v="7"/>
    <s v="XR6339"/>
    <s v="78907355"/>
    <s v="SAN MIGUEL"/>
    <x v="1710"/>
    <x v="1"/>
    <x v="1"/>
    <x v="23"/>
    <x v="1"/>
    <n v="2"/>
    <n v="78068"/>
    <n v="0"/>
    <n v="78068"/>
    <n v="10.999985909737781"/>
    <n v="5000"/>
    <n v="100"/>
    <x v="2102"/>
    <x v="7"/>
    <x v="1"/>
    <x v="1"/>
  </r>
  <r>
    <x v="164"/>
    <s v="ZTAN"/>
    <x v="8"/>
    <s v="JJHS30"/>
    <s v="105195567"/>
    <s v="CORONEL"/>
    <x v="1711"/>
    <x v="0"/>
    <x v="0"/>
    <x v="16"/>
    <x v="0"/>
    <n v="0"/>
    <n v="380000"/>
    <n v="0"/>
    <n v="380000"/>
    <n v="33.702284660139064"/>
    <n v="25000"/>
    <n v="45"/>
    <x v="2103"/>
    <x v="7"/>
    <x v="1"/>
    <x v="0"/>
  </r>
  <r>
    <x v="164"/>
    <s v="ZTAN"/>
    <x v="8"/>
    <s v="SV2718"/>
    <s v="99626232"/>
    <s v="PUDAHUEL"/>
    <x v="1712"/>
    <x v="1"/>
    <x v="1"/>
    <x v="10"/>
    <x v="1"/>
    <n v="1"/>
    <n v="55000"/>
    <n v="0"/>
    <n v="55000"/>
    <n v="13.931104356636272"/>
    <n v="5000"/>
    <n v="64"/>
    <x v="2104"/>
    <x v="7"/>
    <x v="1"/>
    <x v="1"/>
  </r>
  <r>
    <x v="164"/>
    <s v="ZTAN"/>
    <x v="8"/>
    <s v="WC2233"/>
    <s v="125108660"/>
    <s v="VIÑA DEL MAR"/>
    <x v="1067"/>
    <x v="4"/>
    <x v="1"/>
    <x v="6"/>
    <x v="2"/>
    <n v="0"/>
    <n v="180000"/>
    <n v="0"/>
    <n v="180000"/>
    <n v="21.171489061397317"/>
    <n v="25000"/>
    <n v="34"/>
    <x v="2105"/>
    <x v="7"/>
    <x v="1"/>
    <x v="0"/>
  </r>
  <r>
    <x v="165"/>
    <s v="ZPEP"/>
    <x v="5"/>
    <s v="WC4022"/>
    <s v="172861164"/>
    <s v="LAMPA"/>
    <x v="1713"/>
    <x v="1"/>
    <x v="1"/>
    <x v="17"/>
    <x v="1"/>
    <n v="5"/>
    <n v="70000"/>
    <n v="0"/>
    <n v="70000"/>
    <n v="9.4980807092623927"/>
    <n v="10000"/>
    <n v="74"/>
    <x v="2106"/>
    <x v="7"/>
    <x v="1"/>
    <x v="1"/>
  </r>
  <r>
    <x v="165"/>
    <s v="ZPEP"/>
    <x v="11"/>
    <s v="DJLF85"/>
    <s v="125108660"/>
    <s v="COLINA"/>
    <x v="1714"/>
    <x v="4"/>
    <x v="1"/>
    <x v="5"/>
    <x v="1"/>
    <n v="5"/>
    <n v="70000"/>
    <n v="0"/>
    <n v="70000"/>
    <n v="5.5462326026568087"/>
    <n v="10000"/>
    <n v="100"/>
    <x v="2107"/>
    <x v="7"/>
    <x v="1"/>
    <x v="1"/>
  </r>
  <r>
    <x v="165"/>
    <s v="ZPEP"/>
    <x v="11"/>
    <s v="HLBX77"/>
    <s v="16093509K"/>
    <s v="COLINA"/>
    <x v="1715"/>
    <x v="1"/>
    <x v="1"/>
    <x v="5"/>
    <x v="1"/>
    <n v="5"/>
    <n v="70000"/>
    <n v="0"/>
    <n v="70000"/>
    <n v="7.1677981548039611"/>
    <n v="10000"/>
    <n v="98"/>
    <x v="2108"/>
    <x v="7"/>
    <x v="1"/>
    <x v="1"/>
  </r>
  <r>
    <x v="165"/>
    <s v="ZTAN"/>
    <x v="12"/>
    <s v="SU9354"/>
    <s v="72564391"/>
    <s v="VITACURA"/>
    <x v="1716"/>
    <x v="2"/>
    <x v="1"/>
    <x v="27"/>
    <x v="1"/>
    <n v="4"/>
    <n v="99278"/>
    <n v="0"/>
    <n v="99278"/>
    <n v="10.999966760107693"/>
    <n v="5000"/>
    <n v="100"/>
    <x v="2109"/>
    <x v="7"/>
    <x v="1"/>
    <x v="1"/>
  </r>
  <r>
    <x v="165"/>
    <s v="ZTAN"/>
    <x v="12"/>
    <s v="WC2233"/>
    <s v="125108660"/>
    <s v="VITACURA"/>
    <x v="1717"/>
    <x v="4"/>
    <x v="1"/>
    <x v="27"/>
    <x v="1"/>
    <n v="4"/>
    <n v="105118"/>
    <n v="0"/>
    <n v="105118"/>
    <n v="10.999979071178915"/>
    <n v="5000"/>
    <n v="100"/>
    <x v="2110"/>
    <x v="7"/>
    <x v="1"/>
    <x v="1"/>
  </r>
  <r>
    <x v="165"/>
    <s v="ZTAN"/>
    <x v="10"/>
    <s v="DP5738"/>
    <s v="35488103"/>
    <s v="SANTIAGO"/>
    <x v="1718"/>
    <x v="7"/>
    <x v="1"/>
    <x v="20"/>
    <x v="1"/>
    <n v="1"/>
    <n v="95531"/>
    <n v="0"/>
    <n v="95531"/>
    <n v="11.000046058540402"/>
    <n v="5000"/>
    <n v="100"/>
    <x v="2111"/>
    <x v="7"/>
    <x v="1"/>
    <x v="1"/>
  </r>
  <r>
    <x v="165"/>
    <s v="ZTAN"/>
    <x v="10"/>
    <s v="RK5135"/>
    <s v="138841065"/>
    <s v="SANTIAGO"/>
    <x v="1719"/>
    <x v="3"/>
    <x v="1"/>
    <x v="20"/>
    <x v="1"/>
    <n v="1"/>
    <n v="108266"/>
    <n v="0"/>
    <n v="108266"/>
    <n v="10.999959359505809"/>
    <n v="5000"/>
    <n v="100"/>
    <x v="2112"/>
    <x v="7"/>
    <x v="1"/>
    <x v="1"/>
  </r>
  <r>
    <x v="165"/>
    <s v="ZTAN"/>
    <x v="10"/>
    <s v="TP3884"/>
    <s v="154837728"/>
    <s v="SANTIAGO"/>
    <x v="1720"/>
    <x v="1"/>
    <x v="1"/>
    <x v="20"/>
    <x v="1"/>
    <n v="1"/>
    <n v="55000"/>
    <n v="0"/>
    <n v="55000"/>
    <n v="15.621449670529431"/>
    <n v="5000"/>
    <n v="70"/>
    <x v="2113"/>
    <x v="7"/>
    <x v="1"/>
    <x v="1"/>
  </r>
  <r>
    <x v="165"/>
    <s v="ZTAN"/>
    <x v="10"/>
    <s v="WG4022"/>
    <s v="81417709"/>
    <s v="SANTIAGO"/>
    <x v="1721"/>
    <x v="1"/>
    <x v="0"/>
    <x v="20"/>
    <x v="1"/>
    <n v="1"/>
    <n v="146098"/>
    <n v="0"/>
    <n v="146098"/>
    <n v="11.000030116853392"/>
    <n v="5000"/>
    <n v="100"/>
    <x v="2114"/>
    <x v="7"/>
    <x v="1"/>
    <x v="1"/>
  </r>
  <r>
    <x v="165"/>
    <s v="ZTAN"/>
    <x v="8"/>
    <s v="BDCH61"/>
    <s v="99626232"/>
    <s v="PUDAHUEL"/>
    <x v="1722"/>
    <x v="1"/>
    <x v="1"/>
    <x v="10"/>
    <x v="1"/>
    <n v="1"/>
    <n v="72635"/>
    <n v="0"/>
    <n v="72635"/>
    <n v="10.999969711654957"/>
    <n v="5000"/>
    <n v="100"/>
    <x v="2115"/>
    <x v="7"/>
    <x v="1"/>
    <x v="1"/>
  </r>
  <r>
    <x v="165"/>
    <s v="ZTAN"/>
    <x v="8"/>
    <s v="CJFZ67"/>
    <s v="137879050"/>
    <s v="CORONEL"/>
    <x v="1723"/>
    <x v="5"/>
    <x v="0"/>
    <x v="16"/>
    <x v="0"/>
    <n v="0"/>
    <n v="380000"/>
    <n v="0"/>
    <n v="380000"/>
    <n v="18.640609057373823"/>
    <n v="25000"/>
    <n v="82"/>
    <x v="2116"/>
    <x v="7"/>
    <x v="1"/>
    <x v="0"/>
  </r>
  <r>
    <x v="165"/>
    <s v="ZTAN"/>
    <x v="8"/>
    <s v="PKYS74"/>
    <s v="6270439K"/>
    <s v="CONCEPCION"/>
    <x v="451"/>
    <x v="0"/>
    <x v="0"/>
    <x v="81"/>
    <x v="0"/>
    <n v="0"/>
    <n v="380000"/>
    <n v="0"/>
    <n v="380000"/>
    <n v="25.978287620662329"/>
    <n v="25000"/>
    <n v="59"/>
    <x v="2117"/>
    <x v="7"/>
    <x v="1"/>
    <x v="0"/>
  </r>
  <r>
    <x v="165"/>
    <s v="ZTAN"/>
    <x v="23"/>
    <s v="TP3884"/>
    <s v="99626232"/>
    <s v="PUDAHUEL"/>
    <x v="1724"/>
    <x v="1"/>
    <x v="1"/>
    <x v="10"/>
    <x v="1"/>
    <n v="1"/>
    <n v="109109"/>
    <n v="0"/>
    <n v="109109"/>
    <n v="11"/>
    <n v="5000"/>
    <n v="100"/>
    <x v="2118"/>
    <x v="7"/>
    <x v="1"/>
    <x v="1"/>
  </r>
  <r>
    <x v="166"/>
    <s v="ZPEP"/>
    <x v="11"/>
    <s v="SU9354"/>
    <s v="72564391"/>
    <s v="COLINA"/>
    <x v="1725"/>
    <x v="2"/>
    <x v="1"/>
    <x v="5"/>
    <x v="1"/>
    <n v="5"/>
    <n v="70000"/>
    <n v="0"/>
    <n v="70000"/>
    <n v="7.7842213832561402"/>
    <n v="10000"/>
    <n v="90"/>
    <x v="2119"/>
    <x v="7"/>
    <x v="1"/>
    <x v="1"/>
  </r>
  <r>
    <x v="166"/>
    <s v="ZTAN"/>
    <x v="10"/>
    <s v="DFRV76"/>
    <s v="113693568"/>
    <s v="TALCAHUANO"/>
    <x v="1726"/>
    <x v="5"/>
    <x v="0"/>
    <x v="0"/>
    <x v="0"/>
    <n v="0"/>
    <n v="380000"/>
    <n v="0"/>
    <n v="380000"/>
    <n v="20.098376262759842"/>
    <n v="25000"/>
    <n v="76"/>
    <x v="2120"/>
    <x v="7"/>
    <x v="1"/>
    <x v="0"/>
  </r>
  <r>
    <x v="166"/>
    <s v="ZTAN"/>
    <x v="10"/>
    <s v="DJLF85"/>
    <s v="53173292"/>
    <s v="QUILICURA"/>
    <x v="1727"/>
    <x v="4"/>
    <x v="1"/>
    <x v="8"/>
    <x v="1"/>
    <n v="1"/>
    <n v="100835"/>
    <n v="0"/>
    <n v="100835"/>
    <n v="10.16789351618433"/>
    <n v="5000"/>
    <n v="100"/>
    <x v="2121"/>
    <x v="7"/>
    <x v="1"/>
    <x v="1"/>
  </r>
  <r>
    <x v="166"/>
    <s v="ZTAN"/>
    <x v="10"/>
    <s v="XR6339"/>
    <s v="78907355"/>
    <s v="QUILICURA"/>
    <x v="1728"/>
    <x v="1"/>
    <x v="1"/>
    <x v="8"/>
    <x v="1"/>
    <n v="1"/>
    <n v="104399"/>
    <n v="0"/>
    <n v="104399"/>
    <n v="11.000021073039159"/>
    <n v="5000"/>
    <n v="100"/>
    <x v="2122"/>
    <x v="7"/>
    <x v="1"/>
    <x v="1"/>
  </r>
  <r>
    <x v="166"/>
    <s v="ZTAN"/>
    <x v="16"/>
    <s v="HLBX77"/>
    <s v="16093509K"/>
    <s v="VALDIVIA"/>
    <x v="1729"/>
    <x v="1"/>
    <x v="1"/>
    <x v="77"/>
    <x v="12"/>
    <n v="0"/>
    <n v="90000"/>
    <n v="0"/>
    <n v="90000"/>
    <n v="12.494793835901712"/>
    <n v="5000"/>
    <n v="100"/>
    <x v="2123"/>
    <x v="7"/>
    <x v="1"/>
    <x v="0"/>
  </r>
  <r>
    <x v="166"/>
    <s v="ZTAN"/>
    <x v="16"/>
    <s v="WC2233"/>
    <s v="125108660"/>
    <s v="VALDIVIA"/>
    <x v="385"/>
    <x v="4"/>
    <x v="1"/>
    <x v="77"/>
    <x v="12"/>
    <n v="0"/>
    <n v="90000"/>
    <n v="0"/>
    <n v="90000"/>
    <n v="11.993603411513863"/>
    <n v="5000"/>
    <n v="100"/>
    <x v="2124"/>
    <x v="7"/>
    <x v="1"/>
    <x v="0"/>
  </r>
  <r>
    <x v="166"/>
    <s v="ZTAN"/>
    <x v="68"/>
    <s v="HLBX77"/>
    <s v="16093509K"/>
    <s v="QUILICURA"/>
    <x v="1730"/>
    <x v="1"/>
    <x v="1"/>
    <x v="8"/>
    <x v="1"/>
    <n v="1"/>
    <n v="145284"/>
    <n v="0"/>
    <n v="145284"/>
    <n v="11.000030285593152"/>
    <n v="5000"/>
    <n v="100"/>
    <x v="2125"/>
    <x v="7"/>
    <x v="1"/>
    <x v="1"/>
  </r>
  <r>
    <x v="166"/>
    <s v="ZTAN"/>
    <x v="8"/>
    <s v="JJHS30"/>
    <s v="105195567"/>
    <s v="CORONEL"/>
    <x v="1731"/>
    <x v="0"/>
    <x v="0"/>
    <x v="16"/>
    <x v="0"/>
    <n v="0"/>
    <n v="380000"/>
    <n v="0"/>
    <n v="380000"/>
    <n v="26.556712558529615"/>
    <n v="25000"/>
    <n v="57"/>
    <x v="2126"/>
    <x v="7"/>
    <x v="1"/>
    <x v="0"/>
  </r>
  <r>
    <x v="166"/>
    <s v="ZTAN"/>
    <x v="8"/>
    <s v="TP3884"/>
    <s v="154837728"/>
    <s v="PUDAHUEL"/>
    <x v="1732"/>
    <x v="1"/>
    <x v="1"/>
    <x v="10"/>
    <x v="1"/>
    <n v="1"/>
    <n v="55000"/>
    <n v="0"/>
    <n v="55000"/>
    <n v="12.242081599038436"/>
    <n v="5000"/>
    <n v="90"/>
    <x v="2127"/>
    <x v="7"/>
    <x v="1"/>
    <x v="1"/>
  </r>
  <r>
    <x v="167"/>
    <s v="ZPEP"/>
    <x v="27"/>
    <s v="BPKD94"/>
    <s v="125897258"/>
    <s v="CHILLAN"/>
    <x v="1733"/>
    <x v="0"/>
    <x v="0"/>
    <x v="21"/>
    <x v="5"/>
    <n v="0"/>
    <n v="350000"/>
    <n v="0"/>
    <n v="350000"/>
    <n v="20.583392143025172"/>
    <n v="25000"/>
    <n v="47"/>
    <x v="2128"/>
    <x v="7"/>
    <x v="1"/>
    <x v="0"/>
  </r>
  <r>
    <x v="167"/>
    <s v="ZPEP"/>
    <x v="32"/>
    <s v="SU9354"/>
    <s v="72564391"/>
    <s v="LAMPA"/>
    <x v="1734"/>
    <x v="2"/>
    <x v="1"/>
    <x v="17"/>
    <x v="1"/>
    <n v="5"/>
    <n v="70000"/>
    <n v="0"/>
    <n v="70000"/>
    <n v="5.4665036086733103"/>
    <n v="10000"/>
    <n v="100"/>
    <x v="2129"/>
    <x v="7"/>
    <x v="1"/>
    <x v="1"/>
  </r>
  <r>
    <x v="167"/>
    <s v="ZPEP"/>
    <x v="11"/>
    <s v="WG4022"/>
    <s v="81417709"/>
    <s v="COLINA"/>
    <x v="1735"/>
    <x v="1"/>
    <x v="0"/>
    <x v="5"/>
    <x v="1"/>
    <n v="5"/>
    <n v="120000"/>
    <n v="0"/>
    <n v="120000"/>
    <n v="8.3887456588241225"/>
    <n v="10000"/>
    <n v="100"/>
    <x v="2130"/>
    <x v="7"/>
    <x v="1"/>
    <x v="1"/>
  </r>
  <r>
    <x v="167"/>
    <s v="ZPEP"/>
    <x v="7"/>
    <s v="XR6339"/>
    <s v="78907355"/>
    <s v="RENCA"/>
    <x v="1736"/>
    <x v="1"/>
    <x v="1"/>
    <x v="7"/>
    <x v="1"/>
    <n v="1"/>
    <n v="55000"/>
    <n v="0"/>
    <n v="55000"/>
    <n v="15.0519978106185"/>
    <n v="5000"/>
    <n v="73"/>
    <x v="2131"/>
    <x v="7"/>
    <x v="1"/>
    <x v="1"/>
  </r>
  <r>
    <x v="167"/>
    <s v="ZTAN"/>
    <x v="10"/>
    <s v="WG4022"/>
    <s v="81417709"/>
    <s v="SANTIAGO"/>
    <x v="227"/>
    <x v="1"/>
    <x v="0"/>
    <x v="20"/>
    <x v="1"/>
    <n v="1"/>
    <n v="130931"/>
    <n v="0"/>
    <n v="130931"/>
    <n v="11.000016802769098"/>
    <n v="5000"/>
    <n v="100"/>
    <x v="2132"/>
    <x v="7"/>
    <x v="1"/>
    <x v="1"/>
  </r>
  <r>
    <x v="167"/>
    <s v="ZTAN"/>
    <x v="6"/>
    <s v="DJLF85"/>
    <s v="53173292"/>
    <s v="SANTIAGO"/>
    <x v="385"/>
    <x v="4"/>
    <x v="1"/>
    <x v="20"/>
    <x v="1"/>
    <n v="0"/>
    <n v="55000"/>
    <n v="0"/>
    <n v="55000"/>
    <n v="7.3294243070362501"/>
    <n v="5000"/>
    <n v="100"/>
    <x v="2133"/>
    <x v="7"/>
    <x v="1"/>
    <x v="1"/>
  </r>
  <r>
    <x v="167"/>
    <s v="ZTAN"/>
    <x v="66"/>
    <s v="DJLF85"/>
    <s v="53173292"/>
    <s v="SANTIAGO"/>
    <x v="1737"/>
    <x v="4"/>
    <x v="1"/>
    <x v="20"/>
    <x v="1"/>
    <n v="1"/>
    <n v="142494"/>
    <n v="0"/>
    <n v="142494"/>
    <n v="11.000033966447326"/>
    <n v="5000"/>
    <n v="100"/>
    <x v="2134"/>
    <x v="7"/>
    <x v="1"/>
    <x v="1"/>
  </r>
  <r>
    <x v="167"/>
    <s v="ZTAN"/>
    <x v="7"/>
    <s v="HLBX77"/>
    <s v="16093509K"/>
    <s v="MELIPILLA"/>
    <x v="1738"/>
    <x v="1"/>
    <x v="1"/>
    <x v="29"/>
    <x v="1"/>
    <n v="5"/>
    <n v="90000"/>
    <n v="0"/>
    <n v="90000"/>
    <n v="9.607993850883938"/>
    <n v="10000"/>
    <n v="94"/>
    <x v="2135"/>
    <x v="7"/>
    <x v="1"/>
    <x v="1"/>
  </r>
  <r>
    <x v="167"/>
    <s v="ZTAN"/>
    <x v="7"/>
    <s v="KKPF51"/>
    <s v="95707334"/>
    <s v="RANCAGUA"/>
    <x v="1739"/>
    <x v="8"/>
    <x v="0"/>
    <x v="28"/>
    <x v="6"/>
    <n v="0"/>
    <n v="230000"/>
    <n v="0"/>
    <n v="230000"/>
    <n v="12.051475519785372"/>
    <n v="25000"/>
    <n v="76"/>
    <x v="2136"/>
    <x v="7"/>
    <x v="1"/>
    <x v="0"/>
  </r>
  <r>
    <x v="167"/>
    <s v="ZTAN"/>
    <x v="7"/>
    <s v="RK5135"/>
    <s v="138841065"/>
    <s v="SAN MIGUEL"/>
    <x v="1740"/>
    <x v="3"/>
    <x v="1"/>
    <x v="23"/>
    <x v="1"/>
    <n v="2"/>
    <n v="85257"/>
    <n v="0"/>
    <n v="85257"/>
    <n v="11.000051608907699"/>
    <n v="5000"/>
    <n v="100"/>
    <x v="2137"/>
    <x v="7"/>
    <x v="1"/>
    <x v="1"/>
  </r>
  <r>
    <x v="167"/>
    <s v="ZTAN"/>
    <x v="7"/>
    <s v="TP3884"/>
    <s v="154837728"/>
    <s v="MELIPILLA"/>
    <x v="1741"/>
    <x v="1"/>
    <x v="1"/>
    <x v="29"/>
    <x v="1"/>
    <n v="5"/>
    <n v="90000"/>
    <n v="0"/>
    <n v="90000"/>
    <n v="9.8580441640378531"/>
    <n v="10000"/>
    <n v="91"/>
    <x v="2138"/>
    <x v="7"/>
    <x v="1"/>
    <x v="1"/>
  </r>
  <r>
    <x v="167"/>
    <s v="ZTAN"/>
    <x v="68"/>
    <s v="WC2233"/>
    <s v="125108660"/>
    <s v="SAN BERNARDO"/>
    <x v="1742"/>
    <x v="4"/>
    <x v="1"/>
    <x v="4"/>
    <x v="1"/>
    <n v="4"/>
    <n v="88208"/>
    <n v="0"/>
    <n v="88208"/>
    <n v="11.00001247053835"/>
    <n v="5000"/>
    <n v="100"/>
    <x v="2139"/>
    <x v="7"/>
    <x v="1"/>
    <x v="1"/>
  </r>
  <r>
    <x v="167"/>
    <s v="ZTAN"/>
    <x v="8"/>
    <s v="DP5736"/>
    <s v="35488103"/>
    <s v="SAN BERNARDO"/>
    <x v="1743"/>
    <x v="0"/>
    <x v="0"/>
    <x v="4"/>
    <x v="1"/>
    <n v="4"/>
    <n v="55000"/>
    <n v="0"/>
    <n v="55000"/>
    <n v="13.093991048471576"/>
    <n v="5000"/>
    <n v="84"/>
    <x v="2140"/>
    <x v="7"/>
    <x v="1"/>
    <x v="1"/>
  </r>
  <r>
    <x v="167"/>
    <s v="ZTAN"/>
    <x v="8"/>
    <s v="DP5738"/>
    <s v="35488103"/>
    <s v="SAN BERNARDO"/>
    <x v="1744"/>
    <x v="7"/>
    <x v="1"/>
    <x v="4"/>
    <x v="1"/>
    <n v="4"/>
    <n v="55000"/>
    <n v="0"/>
    <n v="55000"/>
    <n v="17.778639772433412"/>
    <n v="5000"/>
    <n v="62"/>
    <x v="2141"/>
    <x v="7"/>
    <x v="1"/>
    <x v="1"/>
  </r>
  <r>
    <x v="167"/>
    <s v="ZTAN"/>
    <x v="8"/>
    <s v="SV2718"/>
    <s v="99626232"/>
    <s v="PUDAHUEL"/>
    <x v="1745"/>
    <x v="1"/>
    <x v="1"/>
    <x v="10"/>
    <x v="1"/>
    <n v="1"/>
    <n v="55000"/>
    <n v="0"/>
    <n v="55000"/>
    <n v="15.916194003935642"/>
    <n v="5000"/>
    <n v="69"/>
    <x v="2142"/>
    <x v="7"/>
    <x v="1"/>
    <x v="1"/>
  </r>
  <r>
    <x v="167"/>
    <s v="ZTAN"/>
    <x v="8"/>
    <s v="WC2233"/>
    <s v="125108660"/>
    <s v="PUENTE ALTO"/>
    <x v="360"/>
    <x v="4"/>
    <x v="1"/>
    <x v="30"/>
    <x v="1"/>
    <n v="4"/>
    <n v="55000"/>
    <n v="0"/>
    <n v="55000"/>
    <n v="14.807236700409218"/>
    <n v="5000"/>
    <n v="74"/>
    <x v="2143"/>
    <x v="7"/>
    <x v="1"/>
    <x v="1"/>
  </r>
  <r>
    <x v="168"/>
    <s v="ZPEP"/>
    <x v="11"/>
    <s v="XR6339"/>
    <s v="78907355"/>
    <s v="COLINA"/>
    <x v="1746"/>
    <x v="1"/>
    <x v="1"/>
    <x v="5"/>
    <x v="1"/>
    <n v="5"/>
    <n v="70000"/>
    <n v="0"/>
    <n v="70000"/>
    <n v="14.941716632478597"/>
    <n v="10000"/>
    <n v="47"/>
    <x v="2144"/>
    <x v="7"/>
    <x v="1"/>
    <x v="1"/>
  </r>
  <r>
    <x v="168"/>
    <s v="ZPEP"/>
    <x v="12"/>
    <s v="WC4022"/>
    <s v="81417709"/>
    <s v="VITACURA"/>
    <x v="1747"/>
    <x v="1"/>
    <x v="1"/>
    <x v="27"/>
    <x v="1"/>
    <n v="4"/>
    <n v="133742"/>
    <n v="0"/>
    <n v="133742"/>
    <n v="10.999967100934334"/>
    <n v="5000"/>
    <n v="100"/>
    <x v="2145"/>
    <x v="7"/>
    <x v="1"/>
    <x v="1"/>
  </r>
  <r>
    <x v="168"/>
    <s v="ZPEP"/>
    <x v="9"/>
    <s v="DJLF85"/>
    <s v="53173292"/>
    <s v="SAN BERNARDO"/>
    <x v="1748"/>
    <x v="4"/>
    <x v="1"/>
    <x v="4"/>
    <x v="1"/>
    <n v="4"/>
    <n v="108781"/>
    <n v="0"/>
    <n v="108781"/>
    <n v="10.999979775917158"/>
    <n v="5000"/>
    <n v="100"/>
    <x v="2146"/>
    <x v="7"/>
    <x v="1"/>
    <x v="1"/>
  </r>
  <r>
    <x v="168"/>
    <s v="ZPEP"/>
    <x v="33"/>
    <s v="WC2233"/>
    <s v="125108660"/>
    <s v="COLINA"/>
    <x v="1749"/>
    <x v="4"/>
    <x v="1"/>
    <x v="5"/>
    <x v="1"/>
    <n v="5"/>
    <n v="70000"/>
    <n v="0"/>
    <n v="70000"/>
    <n v="10.399782495977513"/>
    <n v="10000"/>
    <n v="67"/>
    <x v="2147"/>
    <x v="7"/>
    <x v="1"/>
    <x v="1"/>
  </r>
  <r>
    <x v="168"/>
    <s v="ZTAN"/>
    <x v="6"/>
    <s v="BWPL69"/>
    <s v="78551976"/>
    <s v="LOS ANGELES"/>
    <x v="1750"/>
    <x v="5"/>
    <x v="0"/>
    <x v="57"/>
    <x v="0"/>
    <n v="0"/>
    <n v="420000"/>
    <n v="0"/>
    <n v="420000"/>
    <n v="21.513748309634053"/>
    <n v="25000"/>
    <n v="78"/>
    <x v="2148"/>
    <x v="7"/>
    <x v="1"/>
    <x v="0"/>
  </r>
  <r>
    <x v="168"/>
    <s v="ZTAN"/>
    <x v="6"/>
    <s v="RZ4484"/>
    <s v="93321006"/>
    <s v="LOS ANGELES"/>
    <x v="1751"/>
    <x v="5"/>
    <x v="0"/>
    <x v="57"/>
    <x v="0"/>
    <n v="0"/>
    <n v="420000"/>
    <n v="0"/>
    <n v="420000"/>
    <n v="22.373748135520987"/>
    <n v="25000"/>
    <n v="75"/>
    <x v="2149"/>
    <x v="7"/>
    <x v="1"/>
    <x v="0"/>
  </r>
  <r>
    <x v="168"/>
    <s v="ZTAN"/>
    <x v="7"/>
    <s v="DP5738"/>
    <s v="35488103"/>
    <s v="SANTIAGO"/>
    <x v="1752"/>
    <x v="7"/>
    <x v="1"/>
    <x v="20"/>
    <x v="1"/>
    <n v="1"/>
    <n v="60232"/>
    <n v="0"/>
    <n v="60232"/>
    <n v="11.000073051355104"/>
    <n v="5000"/>
    <n v="100"/>
    <x v="2150"/>
    <x v="7"/>
    <x v="1"/>
    <x v="1"/>
  </r>
  <r>
    <x v="168"/>
    <s v="ZTAN"/>
    <x v="7"/>
    <s v="RK5135"/>
    <s v="138841065"/>
    <s v="SAN MIGUEL"/>
    <x v="1753"/>
    <x v="3"/>
    <x v="1"/>
    <x v="23"/>
    <x v="1"/>
    <n v="2"/>
    <n v="117190"/>
    <n v="0"/>
    <n v="117190"/>
    <n v="11.000037545993843"/>
    <n v="5000"/>
    <n v="100"/>
    <x v="2151"/>
    <x v="7"/>
    <x v="1"/>
    <x v="1"/>
  </r>
  <r>
    <x v="168"/>
    <s v="ZTAN"/>
    <x v="7"/>
    <s v="SU9354"/>
    <s v="72564391"/>
    <s v="SAN MIGUEL"/>
    <x v="1000"/>
    <x v="2"/>
    <x v="1"/>
    <x v="23"/>
    <x v="1"/>
    <n v="2"/>
    <n v="74290"/>
    <n v="0"/>
    <n v="74290"/>
    <n v="11.000059227671169"/>
    <n v="5000"/>
    <n v="100"/>
    <x v="2152"/>
    <x v="7"/>
    <x v="1"/>
    <x v="1"/>
  </r>
  <r>
    <x v="168"/>
    <s v="ZTAN"/>
    <x v="7"/>
    <s v="SV2718"/>
    <s v="99626232"/>
    <s v="SAN MIGUEL"/>
    <x v="1000"/>
    <x v="1"/>
    <x v="1"/>
    <x v="23"/>
    <x v="1"/>
    <n v="2"/>
    <n v="74290"/>
    <n v="0"/>
    <n v="74290"/>
    <n v="11.000059227671169"/>
    <n v="5000"/>
    <n v="100"/>
    <x v="2153"/>
    <x v="7"/>
    <x v="1"/>
    <x v="1"/>
  </r>
  <r>
    <x v="168"/>
    <s v="ZTAN"/>
    <x v="8"/>
    <s v="BDCH61"/>
    <s v="81417709"/>
    <s v="REÑACA"/>
    <x v="1754"/>
    <x v="1"/>
    <x v="1"/>
    <x v="6"/>
    <x v="2"/>
    <n v="0"/>
    <n v="180000"/>
    <n v="0"/>
    <n v="180000"/>
    <n v="32.13826596200542"/>
    <n v="25000"/>
    <n v="22"/>
    <x v="2154"/>
    <x v="7"/>
    <x v="1"/>
    <x v="0"/>
  </r>
  <r>
    <x v="168"/>
    <s v="ZTAN"/>
    <x v="8"/>
    <s v="SV2718"/>
    <s v="99626232"/>
    <s v="LAS CONDES"/>
    <x v="1755"/>
    <x v="1"/>
    <x v="1"/>
    <x v="3"/>
    <x v="1"/>
    <n v="4"/>
    <n v="57776"/>
    <n v="0"/>
    <n v="57776"/>
    <n v="10.999923844337827"/>
    <n v="5000"/>
    <n v="100"/>
    <x v="2155"/>
    <x v="7"/>
    <x v="1"/>
    <x v="1"/>
  </r>
  <r>
    <x v="168"/>
    <s v="ZTAN"/>
    <x v="8"/>
    <s v="TP3884"/>
    <s v="154837728"/>
    <s v="PUDAHUEL"/>
    <x v="1756"/>
    <x v="1"/>
    <x v="1"/>
    <x v="10"/>
    <x v="1"/>
    <n v="1"/>
    <n v="65608"/>
    <n v="0"/>
    <n v="65608"/>
    <n v="10.999932935416801"/>
    <n v="5000"/>
    <n v="100"/>
    <x v="2156"/>
    <x v="7"/>
    <x v="1"/>
    <x v="1"/>
  </r>
  <r>
    <x v="169"/>
    <s v="ZPEP"/>
    <x v="11"/>
    <s v="HLBX77"/>
    <s v="16093509K"/>
    <s v="COLINA"/>
    <x v="1757"/>
    <x v="1"/>
    <x v="1"/>
    <x v="5"/>
    <x v="1"/>
    <n v="5"/>
    <n v="70000"/>
    <n v="0"/>
    <n v="70000"/>
    <n v="9.4075020797299249"/>
    <n v="10000"/>
    <n v="74"/>
    <x v="2157"/>
    <x v="7"/>
    <x v="1"/>
    <x v="1"/>
  </r>
  <r>
    <x v="169"/>
    <s v="ZPEP"/>
    <x v="12"/>
    <s v="WG4022"/>
    <s v="81417709"/>
    <s v="VITACURA"/>
    <x v="1758"/>
    <x v="1"/>
    <x v="0"/>
    <x v="27"/>
    <x v="1"/>
    <n v="4"/>
    <n v="174626"/>
    <n v="0"/>
    <n v="174626"/>
    <n v="10.999993700827089"/>
    <n v="5000"/>
    <n v="100"/>
    <x v="2158"/>
    <x v="7"/>
    <x v="1"/>
    <x v="1"/>
  </r>
  <r>
    <x v="169"/>
    <s v="ZTAN"/>
    <x v="4"/>
    <s v="SV2718"/>
    <s v="99626232"/>
    <s v="SAN BERNARDO"/>
    <x v="97"/>
    <x v="1"/>
    <x v="1"/>
    <x v="4"/>
    <x v="1"/>
    <n v="4"/>
    <n v="55000"/>
    <n v="0"/>
    <n v="55000"/>
    <n v="13.918412794817289"/>
    <n v="5000"/>
    <n v="79"/>
    <x v="2159"/>
    <x v="7"/>
    <x v="1"/>
    <x v="1"/>
  </r>
  <r>
    <x v="169"/>
    <s v="ZTAN"/>
    <x v="4"/>
    <s v="XR6339"/>
    <s v="78907355"/>
    <s v="SAN BERNARDO"/>
    <x v="385"/>
    <x v="1"/>
    <x v="1"/>
    <x v="4"/>
    <x v="1"/>
    <n v="4"/>
    <n v="82544"/>
    <n v="0"/>
    <n v="82544"/>
    <n v="11.000000000000004"/>
    <n v="5000"/>
    <n v="100"/>
    <x v="2160"/>
    <x v="7"/>
    <x v="1"/>
    <x v="1"/>
  </r>
  <r>
    <x v="169"/>
    <s v="ZTAN"/>
    <x v="10"/>
    <s v="DJLF85"/>
    <s v="53173292"/>
    <s v="QUILICURA"/>
    <x v="1759"/>
    <x v="4"/>
    <x v="1"/>
    <x v="8"/>
    <x v="1"/>
    <n v="1"/>
    <n v="67663"/>
    <n v="0"/>
    <n v="67663"/>
    <n v="10.999967486018985"/>
    <n v="5000"/>
    <n v="100"/>
    <x v="2161"/>
    <x v="7"/>
    <x v="1"/>
    <x v="1"/>
  </r>
  <r>
    <x v="169"/>
    <s v="ZTAN"/>
    <x v="10"/>
    <s v="HLBX77"/>
    <s v="16093509K"/>
    <s v="QUILICURA"/>
    <x v="1760"/>
    <x v="1"/>
    <x v="1"/>
    <x v="8"/>
    <x v="1"/>
    <n v="1"/>
    <n v="80313"/>
    <n v="0"/>
    <n v="80313"/>
    <n v="9.9755309899391378"/>
    <n v="5000"/>
    <n v="100"/>
    <x v="2162"/>
    <x v="7"/>
    <x v="1"/>
    <x v="1"/>
  </r>
  <r>
    <x v="169"/>
    <s v="ZTAN"/>
    <x v="10"/>
    <s v="RK5135"/>
    <s v="138841065"/>
    <s v="QUILICURA"/>
    <x v="1761"/>
    <x v="3"/>
    <x v="1"/>
    <x v="8"/>
    <x v="1"/>
    <n v="1"/>
    <n v="88568"/>
    <n v="0"/>
    <n v="88568"/>
    <n v="11.000049679566789"/>
    <n v="5000"/>
    <n v="100"/>
    <x v="2163"/>
    <x v="7"/>
    <x v="1"/>
    <x v="1"/>
  </r>
  <r>
    <x v="169"/>
    <s v="ZTAN"/>
    <x v="10"/>
    <s v="SU9354"/>
    <s v="72564391"/>
    <s v="QUILICURA"/>
    <x v="1761"/>
    <x v="2"/>
    <x v="1"/>
    <x v="8"/>
    <x v="1"/>
    <n v="1"/>
    <n v="88568"/>
    <n v="0"/>
    <n v="88568"/>
    <n v="11.000049679566789"/>
    <n v="5000"/>
    <n v="100"/>
    <x v="2164"/>
    <x v="7"/>
    <x v="1"/>
    <x v="1"/>
  </r>
  <r>
    <x v="169"/>
    <s v="ZTAN"/>
    <x v="10"/>
    <s v="WC2233"/>
    <s v="125108660"/>
    <s v="QUILICURA"/>
    <x v="1762"/>
    <x v="4"/>
    <x v="1"/>
    <x v="8"/>
    <x v="1"/>
    <n v="1"/>
    <n v="78298"/>
    <n v="0"/>
    <n v="78298"/>
    <n v="11.000000000000004"/>
    <n v="5000"/>
    <n v="100"/>
    <x v="2165"/>
    <x v="7"/>
    <x v="1"/>
    <x v="1"/>
  </r>
  <r>
    <x v="169"/>
    <s v="ZTAN"/>
    <x v="6"/>
    <s v="PKYS74"/>
    <s v="62701439K"/>
    <s v="CHIGUAYANTE"/>
    <x v="1763"/>
    <x v="0"/>
    <x v="0"/>
    <x v="82"/>
    <x v="0"/>
    <n v="0"/>
    <n v="380000"/>
    <n v="0"/>
    <n v="380000"/>
    <n v="37.702152991368195"/>
    <n v="25000"/>
    <n v="7"/>
    <x v="2166"/>
    <x v="7"/>
    <x v="1"/>
    <x v="0"/>
  </r>
  <r>
    <x v="169"/>
    <s v="ZTAN"/>
    <x v="66"/>
    <s v="WC2233"/>
    <s v="125108660"/>
    <s v="SANTIAGO"/>
    <x v="1764"/>
    <x v="4"/>
    <x v="1"/>
    <x v="20"/>
    <x v="1"/>
    <n v="1"/>
    <n v="70079"/>
    <n v="0"/>
    <n v="70079"/>
    <n v="11.000031393231618"/>
    <n v="5000"/>
    <n v="100"/>
    <x v="2167"/>
    <x v="7"/>
    <x v="1"/>
    <x v="1"/>
  </r>
  <r>
    <x v="169"/>
    <s v="ZTAN"/>
    <x v="7"/>
    <s v="JJHS30"/>
    <s v="105195567"/>
    <s v="CHILLAN"/>
    <x v="1765"/>
    <x v="0"/>
    <x v="0"/>
    <x v="21"/>
    <x v="5"/>
    <n v="0"/>
    <n v="350000"/>
    <n v="0"/>
    <n v="350000"/>
    <n v="27.124213397811484"/>
    <n v="25000"/>
    <n v="52"/>
    <x v="2168"/>
    <x v="7"/>
    <x v="1"/>
    <x v="0"/>
  </r>
  <r>
    <x v="169"/>
    <s v="ZTAN"/>
    <x v="8"/>
    <s v="KKPF51"/>
    <s v="95707734"/>
    <s v="CORONEL"/>
    <x v="1766"/>
    <x v="8"/>
    <x v="0"/>
    <x v="16"/>
    <x v="0"/>
    <n v="0"/>
    <n v="380000"/>
    <n v="0"/>
    <n v="380000"/>
    <n v="30.553992120286242"/>
    <n v="25000"/>
    <n v="44"/>
    <x v="2169"/>
    <x v="7"/>
    <x v="1"/>
    <x v="0"/>
  </r>
  <r>
    <x v="169"/>
    <s v="ZTAN"/>
    <x v="8"/>
    <s v="WG4022"/>
    <s v="81417709"/>
    <s v="PUDAHUEL"/>
    <x v="1767"/>
    <x v="1"/>
    <x v="0"/>
    <x v="10"/>
    <x v="1"/>
    <n v="1"/>
    <n v="156660"/>
    <n v="0"/>
    <n v="156660"/>
    <n v="11.000014043168701"/>
    <n v="5000"/>
    <n v="100"/>
    <x v="2170"/>
    <x v="7"/>
    <x v="1"/>
    <x v="1"/>
  </r>
  <r>
    <x v="170"/>
    <s v="ZPEP"/>
    <x v="27"/>
    <s v="VE9862"/>
    <s v="98494073"/>
    <s v="LOS ANGELES"/>
    <x v="1768"/>
    <x v="5"/>
    <x v="0"/>
    <x v="57"/>
    <x v="0"/>
    <n v="0"/>
    <n v="420000"/>
    <n v="0"/>
    <n v="420000"/>
    <n v="35.965062510703888"/>
    <n v="25000"/>
    <n v="20"/>
    <x v="2171"/>
    <x v="7"/>
    <x v="1"/>
    <x v="0"/>
  </r>
  <r>
    <x v="170"/>
    <s v="ZPEP"/>
    <x v="12"/>
    <s v="WC4022"/>
    <s v="81417709"/>
    <s v="VITACURA"/>
    <x v="1769"/>
    <x v="1"/>
    <x v="1"/>
    <x v="27"/>
    <x v="1"/>
    <n v="4"/>
    <n v="258587"/>
    <n v="0"/>
    <n v="258587"/>
    <n v="10.999985536801608"/>
    <n v="5000"/>
    <n v="100"/>
    <x v="2172"/>
    <x v="7"/>
    <x v="1"/>
    <x v="1"/>
  </r>
  <r>
    <x v="170"/>
    <s v="ZPEP"/>
    <x v="12"/>
    <s v="WG4022"/>
    <s v="81417709"/>
    <s v="VITACURA"/>
    <x v="1770"/>
    <x v="1"/>
    <x v="0"/>
    <x v="27"/>
    <x v="1"/>
    <n v="4"/>
    <n v="248447"/>
    <n v="0"/>
    <n v="248447"/>
    <n v="11.000015053533019"/>
    <n v="5000"/>
    <n v="100"/>
    <x v="2173"/>
    <x v="7"/>
    <x v="1"/>
    <x v="1"/>
  </r>
  <r>
    <x v="170"/>
    <s v="ZTAN"/>
    <x v="21"/>
    <s v="SU9354"/>
    <s v="72564391"/>
    <s v="LA REINA"/>
    <x v="1771"/>
    <x v="2"/>
    <x v="1"/>
    <x v="11"/>
    <x v="1"/>
    <n v="3"/>
    <n v="124696"/>
    <n v="0"/>
    <n v="124696"/>
    <n v="10.999999999999991"/>
    <n v="5000"/>
    <n v="100"/>
    <x v="2174"/>
    <x v="7"/>
    <x v="1"/>
    <x v="1"/>
  </r>
  <r>
    <x v="170"/>
    <s v="ZTAN"/>
    <x v="6"/>
    <s v="BYZH29"/>
    <s v="122975819"/>
    <s v="OSORNO"/>
    <x v="1772"/>
    <x v="0"/>
    <x v="0"/>
    <x v="64"/>
    <x v="10"/>
    <n v="0"/>
    <n v="900000"/>
    <n v="0"/>
    <n v="900000"/>
    <n v="89.197224975222994"/>
    <n v="25000"/>
    <n v="19"/>
    <x v="2175"/>
    <x v="7"/>
    <x v="1"/>
    <x v="0"/>
  </r>
  <r>
    <x v="170"/>
    <s v="ZTAN"/>
    <x v="7"/>
    <s v="DJLF85"/>
    <s v="53173292"/>
    <s v="SAN MIGUEL"/>
    <x v="1773"/>
    <x v="4"/>
    <x v="1"/>
    <x v="23"/>
    <x v="1"/>
    <n v="2"/>
    <n v="126222"/>
    <n v="0"/>
    <n v="126222"/>
    <n v="11.000026144474365"/>
    <n v="5000"/>
    <n v="100"/>
    <x v="2176"/>
    <x v="7"/>
    <x v="1"/>
    <x v="1"/>
  </r>
  <r>
    <x v="170"/>
    <s v="ZTAN"/>
    <x v="7"/>
    <s v="DTCY42"/>
    <s v="92028607"/>
    <s v="CHILLAN"/>
    <x v="1774"/>
    <x v="5"/>
    <x v="0"/>
    <x v="21"/>
    <x v="5"/>
    <n v="0"/>
    <n v="350000"/>
    <n v="0"/>
    <n v="350000"/>
    <n v="15.700629370943071"/>
    <n v="25000"/>
    <n v="89"/>
    <x v="2177"/>
    <x v="7"/>
    <x v="1"/>
    <x v="0"/>
  </r>
  <r>
    <x v="170"/>
    <s v="ZTAN"/>
    <x v="8"/>
    <s v="BDCH61"/>
    <s v="81417709"/>
    <s v="QUILIN"/>
    <x v="1775"/>
    <x v="1"/>
    <x v="1"/>
    <x v="34"/>
    <x v="1"/>
    <n v="4"/>
    <n v="88033"/>
    <n v="0"/>
    <n v="88033"/>
    <n v="11.000000000000002"/>
    <n v="5000"/>
    <n v="100"/>
    <x v="2178"/>
    <x v="7"/>
    <x v="1"/>
    <x v="1"/>
  </r>
  <r>
    <x v="170"/>
    <s v="ZTAN"/>
    <x v="8"/>
    <s v="BPKD94"/>
    <s v="125897258"/>
    <s v="TEMUCO"/>
    <x v="1776"/>
    <x v="0"/>
    <x v="0"/>
    <x v="14"/>
    <x v="4"/>
    <n v="0"/>
    <n v="620000"/>
    <n v="0"/>
    <n v="620000"/>
    <n v="41.486001820031049"/>
    <n v="25000"/>
    <n v="60"/>
    <x v="2179"/>
    <x v="7"/>
    <x v="1"/>
    <x v="0"/>
  </r>
  <r>
    <x v="170"/>
    <s v="ZTAN"/>
    <x v="8"/>
    <s v="DP5738"/>
    <s v="35488103"/>
    <s v="LA REINA"/>
    <x v="1777"/>
    <x v="7"/>
    <x v="1"/>
    <x v="11"/>
    <x v="1"/>
    <n v="3"/>
    <n v="55000"/>
    <n v="0"/>
    <n v="55000"/>
    <n v="13.44940578079914"/>
    <n v="5000"/>
    <n v="82"/>
    <x v="2180"/>
    <x v="7"/>
    <x v="1"/>
    <x v="1"/>
  </r>
  <r>
    <x v="170"/>
    <s v="ZTAN"/>
    <x v="8"/>
    <s v="SV2718"/>
    <s v="99626232"/>
    <s v="QUILICURA"/>
    <x v="1778"/>
    <x v="1"/>
    <x v="1"/>
    <x v="8"/>
    <x v="1"/>
    <n v="1"/>
    <n v="68915"/>
    <n v="0"/>
    <n v="68915"/>
    <n v="11"/>
    <n v="5000"/>
    <n v="100"/>
    <x v="2181"/>
    <x v="7"/>
    <x v="1"/>
    <x v="1"/>
  </r>
  <r>
    <x v="170"/>
    <s v="ZTAN"/>
    <x v="8"/>
    <s v="TP3884"/>
    <s v="154837728"/>
    <s v="PUDAHUEL"/>
    <x v="1779"/>
    <x v="1"/>
    <x v="1"/>
    <x v="10"/>
    <x v="1"/>
    <n v="1"/>
    <n v="57763"/>
    <n v="0"/>
    <n v="57763"/>
    <n v="10.999961913467398"/>
    <n v="5000"/>
    <n v="100"/>
    <x v="2182"/>
    <x v="7"/>
    <x v="1"/>
    <x v="1"/>
  </r>
  <r>
    <x v="170"/>
    <s v="ZTAN"/>
    <x v="8"/>
    <s v="UA7248"/>
    <s v="78907355"/>
    <s v="ÑUÑOA"/>
    <x v="1780"/>
    <x v="1"/>
    <x v="1"/>
    <x v="15"/>
    <x v="1"/>
    <n v="4"/>
    <n v="55000"/>
    <n v="0"/>
    <n v="55000"/>
    <n v="11.134504818203904"/>
    <n v="5000"/>
    <n v="99"/>
    <x v="2183"/>
    <x v="7"/>
    <x v="1"/>
    <x v="1"/>
  </r>
  <r>
    <x v="170"/>
    <s v="ZTAN"/>
    <x v="8"/>
    <s v="XR6339"/>
    <s v="78907355"/>
    <s v="CERRILLOS"/>
    <x v="1781"/>
    <x v="1"/>
    <x v="1"/>
    <x v="9"/>
    <x v="1"/>
    <n v="2"/>
    <n v="55000"/>
    <n v="0"/>
    <n v="55000"/>
    <n v="12.820512820512821"/>
    <n v="5000"/>
    <n v="91"/>
    <x v="2184"/>
    <x v="7"/>
    <x v="1"/>
    <x v="1"/>
  </r>
  <r>
    <x v="171"/>
    <s v="ZTAN"/>
    <x v="24"/>
    <s v="TW7053"/>
    <n v="172861164"/>
    <s v="MACHALI"/>
    <x v="1782"/>
    <x v="6"/>
    <x v="1"/>
    <x v="43"/>
    <x v="6"/>
    <n v="0"/>
    <n v="160000"/>
    <n v="0"/>
    <n v="160000"/>
    <n v="14.477017734346713"/>
    <n v="25000"/>
    <n v="44"/>
    <x v="2185"/>
    <x v="8"/>
    <x v="1"/>
    <x v="0"/>
  </r>
  <r>
    <x v="171"/>
    <s v="ZTAN"/>
    <x v="16"/>
    <s v="RK5135"/>
    <n v="138841065"/>
    <s v="RENCA"/>
    <x v="1783"/>
    <x v="3"/>
    <x v="1"/>
    <x v="7"/>
    <x v="1"/>
    <n v="1"/>
    <n v="86671"/>
    <n v="0"/>
    <n v="86671"/>
    <n v="10.999974616712359"/>
    <n v="5000"/>
    <n v="100"/>
    <x v="2186"/>
    <x v="8"/>
    <x v="1"/>
    <x v="1"/>
  </r>
  <r>
    <x v="171"/>
    <s v="ZTAN"/>
    <x v="16"/>
    <s v="XR6339"/>
    <n v="78907355"/>
    <s v="RENCA"/>
    <x v="234"/>
    <x v="1"/>
    <x v="1"/>
    <x v="7"/>
    <x v="1"/>
    <n v="1"/>
    <n v="99053"/>
    <n v="0"/>
    <n v="99053"/>
    <n v="11.000022210376692"/>
    <n v="5000"/>
    <n v="100"/>
    <x v="2187"/>
    <x v="8"/>
    <x v="1"/>
    <x v="1"/>
  </r>
  <r>
    <x v="171"/>
    <s v="ZTAN"/>
    <x v="8"/>
    <s v="DFRV76"/>
    <n v="113693568"/>
    <s v="CORONEL"/>
    <x v="1784"/>
    <x v="5"/>
    <x v="0"/>
    <x v="16"/>
    <x v="0"/>
    <n v="0"/>
    <n v="380000"/>
    <n v="0"/>
    <n v="380000"/>
    <n v="25.519112472130445"/>
    <n v="25000"/>
    <n v="60"/>
    <x v="2188"/>
    <x v="8"/>
    <x v="1"/>
    <x v="0"/>
  </r>
  <r>
    <x v="171"/>
    <s v="ZTAN"/>
    <x v="8"/>
    <s v="DP5738"/>
    <n v="35488103"/>
    <s v="PUENTE ALTO"/>
    <x v="959"/>
    <x v="7"/>
    <x v="1"/>
    <x v="30"/>
    <x v="1"/>
    <n v="4"/>
    <n v="55000"/>
    <n v="0"/>
    <n v="55000"/>
    <n v="17.733926613787322"/>
    <n v="5000"/>
    <n v="62"/>
    <x v="2189"/>
    <x v="8"/>
    <x v="1"/>
    <x v="1"/>
  </r>
  <r>
    <x v="171"/>
    <s v="ZTAN"/>
    <x v="8"/>
    <s v="SV2718"/>
    <n v="99626232"/>
    <s v="PUDAHUEL"/>
    <x v="1785"/>
    <x v="1"/>
    <x v="1"/>
    <x v="10"/>
    <x v="1"/>
    <n v="1"/>
    <n v="55000"/>
    <n v="0"/>
    <n v="55000"/>
    <n v="16.60026560424966"/>
    <n v="5000"/>
    <n v="66"/>
    <x v="2190"/>
    <x v="8"/>
    <x v="1"/>
    <x v="1"/>
  </r>
  <r>
    <x v="171"/>
    <s v="ZTAN"/>
    <x v="8"/>
    <s v="TP3884"/>
    <n v="154837728"/>
    <s v="REÑACA"/>
    <x v="1786"/>
    <x v="1"/>
    <x v="1"/>
    <x v="6"/>
    <x v="2"/>
    <n v="0"/>
    <n v="180000"/>
    <n v="0"/>
    <n v="180000"/>
    <n v="34.950099025280572"/>
    <n v="25000"/>
    <n v="21"/>
    <x v="2191"/>
    <x v="8"/>
    <x v="1"/>
    <x v="0"/>
  </r>
  <r>
    <x v="171"/>
    <s v="ZTAN"/>
    <x v="8"/>
    <s v="UA7248"/>
    <n v="99626232"/>
    <s v="MAIPU"/>
    <x v="1787"/>
    <x v="1"/>
    <x v="1"/>
    <x v="2"/>
    <x v="1"/>
    <n v="2"/>
    <n v="55000"/>
    <n v="0"/>
    <n v="55000"/>
    <n v="13.130252100840341"/>
    <n v="5000"/>
    <n v="84"/>
    <x v="2192"/>
    <x v="8"/>
    <x v="1"/>
    <x v="1"/>
  </r>
  <r>
    <x v="172"/>
    <s v="ZPEP"/>
    <x v="9"/>
    <s v="XR6339"/>
    <s v="78907355"/>
    <s v="SAN BERNARDO"/>
    <x v="1788"/>
    <x v="1"/>
    <x v="1"/>
    <x v="4"/>
    <x v="1"/>
    <n v="4"/>
    <n v="88638"/>
    <n v="0"/>
    <n v="88638"/>
    <n v="11"/>
    <n v="5000"/>
    <n v="100"/>
    <x v="2193"/>
    <x v="8"/>
    <x v="1"/>
    <x v="1"/>
  </r>
  <r>
    <x v="172"/>
    <s v="ZPEP"/>
    <x v="33"/>
    <s v="HLBX77"/>
    <s v="16093509K"/>
    <s v="COLINA"/>
    <x v="1789"/>
    <x v="1"/>
    <x v="1"/>
    <x v="5"/>
    <x v="1"/>
    <n v="5"/>
    <n v="70000"/>
    <n v="0"/>
    <n v="96899"/>
    <n v="11.00038711772125"/>
    <n v="10000"/>
    <n v="88"/>
    <x v="2194"/>
    <x v="8"/>
    <x v="1"/>
    <x v="1"/>
  </r>
  <r>
    <x v="172"/>
    <s v="ZTAN"/>
    <x v="17"/>
    <s v="RK5135"/>
    <s v="138841065"/>
    <s v="LAMPA"/>
    <x v="835"/>
    <x v="3"/>
    <x v="1"/>
    <x v="17"/>
    <x v="1"/>
    <n v="5"/>
    <n v="70000"/>
    <n v="0"/>
    <n v="152768"/>
    <n v="11.000000000000007"/>
    <n v="10000"/>
    <n v="100"/>
    <x v="2195"/>
    <x v="8"/>
    <x v="1"/>
    <x v="1"/>
  </r>
  <r>
    <x v="172"/>
    <s v="ZTAN"/>
    <x v="10"/>
    <s v="BWPL69"/>
    <s v="78551976"/>
    <s v="TALCAHUANO"/>
    <x v="1790"/>
    <x v="5"/>
    <x v="0"/>
    <x v="0"/>
    <x v="0"/>
    <n v="0"/>
    <n v="380000"/>
    <n v="0"/>
    <n v="380000"/>
    <n v="22.91807391681947"/>
    <n v="25000"/>
    <n v="66"/>
    <x v="2196"/>
    <x v="8"/>
    <x v="1"/>
    <x v="0"/>
  </r>
  <r>
    <x v="172"/>
    <s v="ZTAN"/>
    <x v="10"/>
    <s v="PN4466"/>
    <s v="154837728"/>
    <s v="SANTIAGO"/>
    <x v="1033"/>
    <x v="1"/>
    <x v="0"/>
    <x v="20"/>
    <x v="1"/>
    <n v="1"/>
    <n v="140325"/>
    <n v="0"/>
    <n v="140325"/>
    <n v="11.000015677912957"/>
    <n v="5000"/>
    <n v="100"/>
    <x v="2197"/>
    <x v="8"/>
    <x v="1"/>
    <x v="1"/>
  </r>
  <r>
    <x v="172"/>
    <s v="ZTAN"/>
    <x v="10"/>
    <s v="WG4022"/>
    <s v="81417709"/>
    <s v="SANTIAGO"/>
    <x v="810"/>
    <x v="1"/>
    <x v="0"/>
    <x v="20"/>
    <x v="1"/>
    <n v="1"/>
    <n v="181597"/>
    <n v="0"/>
    <n v="181597"/>
    <n v="11.000012114750922"/>
    <n v="5000"/>
    <n v="100"/>
    <x v="2198"/>
    <x v="8"/>
    <x v="1"/>
    <x v="1"/>
  </r>
  <r>
    <x v="172"/>
    <s v="ZTAN"/>
    <x v="6"/>
    <s v="KKPF51"/>
    <s v="85707734"/>
    <s v="VIÑA DEL MAR"/>
    <x v="1791"/>
    <x v="8"/>
    <x v="0"/>
    <x v="6"/>
    <x v="2"/>
    <n v="0"/>
    <n v="230000"/>
    <n v="0"/>
    <n v="230000"/>
    <n v="14.736032803690415"/>
    <n v="25000"/>
    <n v="6"/>
    <x v="2199"/>
    <x v="8"/>
    <x v="1"/>
    <x v="0"/>
  </r>
  <r>
    <x v="172"/>
    <s v="ZTAN"/>
    <x v="66"/>
    <s v="DJLF85"/>
    <s v="53173292"/>
    <s v="SANTIAGO"/>
    <x v="1792"/>
    <x v="4"/>
    <x v="1"/>
    <x v="20"/>
    <x v="1"/>
    <n v="1"/>
    <n v="123082"/>
    <n v="0"/>
    <n v="123082"/>
    <n v="10.999973188671321"/>
    <n v="5000"/>
    <n v="100"/>
    <x v="2200"/>
    <x v="8"/>
    <x v="1"/>
    <x v="1"/>
  </r>
  <r>
    <x v="172"/>
    <s v="ZTAN"/>
    <x v="7"/>
    <s v="SV2718"/>
    <s v="154837728"/>
    <s v="SAN MIGUEL"/>
    <x v="22"/>
    <x v="1"/>
    <x v="1"/>
    <x v="23"/>
    <x v="1"/>
    <n v="2"/>
    <n v="56113"/>
    <n v="0"/>
    <n v="56113"/>
    <n v="10.999960793538776"/>
    <n v="5000"/>
    <n v="100"/>
    <x v="2201"/>
    <x v="8"/>
    <x v="1"/>
    <x v="1"/>
  </r>
  <r>
    <x v="172"/>
    <s v="ZTAN"/>
    <x v="7"/>
    <s v="UA7248"/>
    <s v="99626232"/>
    <s v="SAN MIGUEL"/>
    <x v="1458"/>
    <x v="1"/>
    <x v="1"/>
    <x v="23"/>
    <x v="1"/>
    <n v="2"/>
    <n v="74818"/>
    <n v="0"/>
    <n v="74818"/>
    <n v="11.000058809691838"/>
    <n v="5000"/>
    <n v="100"/>
    <x v="2202"/>
    <x v="8"/>
    <x v="1"/>
    <x v="1"/>
  </r>
  <r>
    <x v="172"/>
    <s v="ZTAN"/>
    <x v="68"/>
    <s v="WC2233"/>
    <s v="125108660"/>
    <s v="QUILICURA"/>
    <x v="1793"/>
    <x v="4"/>
    <x v="1"/>
    <x v="8"/>
    <x v="1"/>
    <n v="1"/>
    <n v="56942"/>
    <n v="0"/>
    <n v="56942"/>
    <n v="11.000096590360283"/>
    <n v="5000"/>
    <n v="100"/>
    <x v="2203"/>
    <x v="8"/>
    <x v="1"/>
    <x v="1"/>
  </r>
  <r>
    <x v="172"/>
    <s v="ZTAN"/>
    <x v="68"/>
    <s v="WC2233"/>
    <s v="125108660"/>
    <s v="SAN BERNARDO"/>
    <x v="1794"/>
    <x v="4"/>
    <x v="1"/>
    <x v="4"/>
    <x v="1"/>
    <n v="4"/>
    <n v="72508"/>
    <n v="0"/>
    <n v="72508"/>
    <n v="11.00006068329389"/>
    <n v="5000"/>
    <n v="100"/>
    <x v="2204"/>
    <x v="8"/>
    <x v="1"/>
    <x v="1"/>
  </r>
  <r>
    <x v="172"/>
    <s v="ZTAN"/>
    <x v="8"/>
    <s v="DP5737"/>
    <s v="35488103"/>
    <s v="LA FLORIDA"/>
    <x v="1795"/>
    <x v="0"/>
    <x v="0"/>
    <x v="33"/>
    <x v="1"/>
    <n v="3"/>
    <n v="55000"/>
    <n v="0"/>
    <n v="55000"/>
    <n v="11.050833835643962"/>
    <n v="5000"/>
    <n v="47"/>
    <x v="2205"/>
    <x v="8"/>
    <x v="1"/>
    <x v="1"/>
  </r>
  <r>
    <x v="172"/>
    <s v="ZTAN"/>
    <x v="8"/>
    <s v="SV2718"/>
    <s v="99626232"/>
    <s v="QUILICURA"/>
    <x v="1796"/>
    <x v="1"/>
    <x v="1"/>
    <x v="8"/>
    <x v="1"/>
    <n v="1"/>
    <n v="55000"/>
    <n v="0"/>
    <n v="55000"/>
    <n v="12.150399858613531"/>
    <n v="5000"/>
    <n v="91"/>
    <x v="2206"/>
    <x v="8"/>
    <x v="1"/>
    <x v="1"/>
  </r>
  <r>
    <x v="172"/>
    <s v="ZTAN"/>
    <x v="8"/>
    <s v="TP3884"/>
    <s v="154837722"/>
    <s v="PUDAHUEL"/>
    <x v="1797"/>
    <x v="1"/>
    <x v="1"/>
    <x v="10"/>
    <x v="1"/>
    <n v="1"/>
    <n v="55000"/>
    <n v="0"/>
    <n v="55000"/>
    <n v="10.460251046025105"/>
    <n v="5000"/>
    <n v="51"/>
    <x v="2207"/>
    <x v="8"/>
    <x v="1"/>
    <x v="1"/>
  </r>
  <r>
    <x v="172"/>
    <s v="ZTAN"/>
    <x v="8"/>
    <s v="UA7248"/>
    <s v="81417709"/>
    <s v="QUILIN"/>
    <x v="1798"/>
    <x v="1"/>
    <x v="1"/>
    <x v="34"/>
    <x v="1"/>
    <n v="4"/>
    <n v="55000"/>
    <n v="0"/>
    <n v="55000"/>
    <n v="11.205965648621667"/>
    <n v="5000"/>
    <n v="98"/>
    <x v="2208"/>
    <x v="8"/>
    <x v="1"/>
    <x v="1"/>
  </r>
  <r>
    <x v="173"/>
    <s v="ZPEP"/>
    <x v="5"/>
    <s v="SU9354"/>
    <s v="72564391"/>
    <s v="LAMPA"/>
    <x v="1799"/>
    <x v="2"/>
    <x v="1"/>
    <x v="17"/>
    <x v="1"/>
    <n v="5"/>
    <n v="70000"/>
    <n v="0"/>
    <n v="137151.63"/>
    <n v="11"/>
    <n v="10000"/>
    <n v="100"/>
    <x v="2209"/>
    <x v="8"/>
    <x v="1"/>
    <x v="1"/>
  </r>
  <r>
    <x v="173"/>
    <s v="ZPEP"/>
    <x v="12"/>
    <s v="PN4466"/>
    <s v="81417709"/>
    <s v="VITACURA"/>
    <x v="1769"/>
    <x v="1"/>
    <x v="0"/>
    <x v="27"/>
    <x v="1"/>
    <n v="4"/>
    <n v="258587"/>
    <n v="0"/>
    <n v="258587"/>
    <n v="10.999985536801608"/>
    <n v="5000"/>
    <n v="100"/>
    <x v="2210"/>
    <x v="8"/>
    <x v="1"/>
    <x v="1"/>
  </r>
  <r>
    <x v="173"/>
    <s v="ZPEP"/>
    <x v="33"/>
    <s v="HLBX77"/>
    <s v="16093509K"/>
    <s v="COLINA"/>
    <x v="1800"/>
    <x v="1"/>
    <x v="1"/>
    <x v="5"/>
    <x v="1"/>
    <n v="5"/>
    <n v="70000"/>
    <n v="0"/>
    <n v="70000"/>
    <n v="18.448239510858105"/>
    <n v="10000"/>
    <n v="38"/>
    <x v="2211"/>
    <x v="8"/>
    <x v="1"/>
    <x v="1"/>
  </r>
  <r>
    <x v="173"/>
    <s v="ZTAN"/>
    <x v="17"/>
    <s v="XR6339"/>
    <s v="78907355"/>
    <s v="LAMPA"/>
    <x v="1801"/>
    <x v="1"/>
    <x v="1"/>
    <x v="17"/>
    <x v="1"/>
    <n v="5"/>
    <n v="70000"/>
    <n v="0"/>
    <n v="85866.000000000029"/>
    <n v="11"/>
    <n v="10000"/>
    <n v="78"/>
    <x v="2212"/>
    <x v="8"/>
    <x v="1"/>
    <x v="1"/>
  </r>
  <r>
    <x v="173"/>
    <s v="ZTAN"/>
    <x v="10"/>
    <s v="PN4466"/>
    <s v="154837728"/>
    <s v="SANTIAGO"/>
    <x v="1802"/>
    <x v="1"/>
    <x v="0"/>
    <x v="20"/>
    <x v="1"/>
    <n v="1"/>
    <n v="55000"/>
    <n v="0"/>
    <n v="173349"/>
    <n v="11"/>
    <n v="5000"/>
    <n v="60"/>
    <x v="2213"/>
    <x v="8"/>
    <x v="1"/>
    <x v="1"/>
  </r>
  <r>
    <x v="173"/>
    <s v="ZTAN"/>
    <x v="10"/>
    <s v="WC2233"/>
    <s v="125108660"/>
    <s v="SANTIAGO"/>
    <x v="1803"/>
    <x v="4"/>
    <x v="1"/>
    <x v="20"/>
    <x v="1"/>
    <n v="1"/>
    <n v="95605"/>
    <n v="0"/>
    <n v="95605"/>
    <n v="10.999953977494995"/>
    <n v="5000"/>
    <n v="100"/>
    <x v="2214"/>
    <x v="8"/>
    <x v="1"/>
    <x v="1"/>
  </r>
  <r>
    <x v="173"/>
    <s v="ZTAN"/>
    <x v="10"/>
    <s v="XR6339"/>
    <s v="78907355"/>
    <s v="SANTIAGO"/>
    <x v="1804"/>
    <x v="1"/>
    <x v="1"/>
    <x v="20"/>
    <x v="1"/>
    <n v="1"/>
    <n v="95605"/>
    <n v="0"/>
    <n v="95605"/>
    <n v="10.999953977494998"/>
    <n v="5000"/>
    <n v="100"/>
    <x v="2215"/>
    <x v="8"/>
    <x v="1"/>
    <x v="1"/>
  </r>
  <r>
    <x v="173"/>
    <s v="ZTAN"/>
    <x v="66"/>
    <s v="RK5135"/>
    <s v="138841065"/>
    <s v="SANTIAGO"/>
    <x v="854"/>
    <x v="3"/>
    <x v="1"/>
    <x v="20"/>
    <x v="1"/>
    <n v="1"/>
    <n v="175197"/>
    <n v="0"/>
    <n v="175197"/>
    <n v="10.999999999999993"/>
    <n v="5000"/>
    <n v="100"/>
    <x v="2216"/>
    <x v="8"/>
    <x v="1"/>
    <x v="1"/>
  </r>
  <r>
    <x v="173"/>
    <s v="ZTAN"/>
    <x v="7"/>
    <s v="139094329"/>
    <s v="LUCIANOBENEBICH"/>
    <s v="CHILLAN"/>
    <x v="1805"/>
    <x v="0"/>
    <x v="0"/>
    <x v="21"/>
    <x v="5"/>
    <n v="0"/>
    <n v="350000"/>
    <n v="0"/>
    <n v="350000"/>
    <n v="18.508725542041248"/>
    <n v="25000"/>
    <n v="62"/>
    <x v="2217"/>
    <x v="8"/>
    <x v="1"/>
    <x v="0"/>
  </r>
  <r>
    <x v="173"/>
    <s v="ZTAN"/>
    <x v="7"/>
    <s v="DJLF85"/>
    <s v="125108660"/>
    <s v="SAN MIGUEL"/>
    <x v="400"/>
    <x v="4"/>
    <x v="1"/>
    <x v="23"/>
    <x v="1"/>
    <n v="2"/>
    <n v="90798"/>
    <n v="0"/>
    <n v="90798"/>
    <n v="10.999951540996321"/>
    <n v="5000"/>
    <n v="100"/>
    <x v="2218"/>
    <x v="8"/>
    <x v="1"/>
    <x v="1"/>
  </r>
  <r>
    <x v="173"/>
    <s v="ZTAN"/>
    <x v="7"/>
    <s v="KKPF51"/>
    <s v="95707334"/>
    <s v="CHILLAN"/>
    <x v="1806"/>
    <x v="8"/>
    <x v="0"/>
    <x v="21"/>
    <x v="5"/>
    <n v="0"/>
    <n v="350000"/>
    <n v="0"/>
    <n v="350000"/>
    <n v="18.384284063452032"/>
    <n v="25000"/>
    <n v="76"/>
    <x v="2219"/>
    <x v="8"/>
    <x v="1"/>
    <x v="0"/>
  </r>
  <r>
    <x v="173"/>
    <s v="ZTAN"/>
    <x v="7"/>
    <s v="SV2718"/>
    <s v="99626232"/>
    <s v="SAN MIGUEL"/>
    <x v="1589"/>
    <x v="1"/>
    <x v="1"/>
    <x v="23"/>
    <x v="1"/>
    <n v="2"/>
    <n v="55000"/>
    <n v="0"/>
    <n v="55000"/>
    <n v="16.678796700630759"/>
    <n v="5000"/>
    <n v="66"/>
    <x v="2220"/>
    <x v="8"/>
    <x v="1"/>
    <x v="1"/>
  </r>
  <r>
    <x v="173"/>
    <s v="ZTAN"/>
    <x v="68"/>
    <s v="DJLF85"/>
    <s v="53173292"/>
    <s v="QUILICURA"/>
    <x v="1807"/>
    <x v="4"/>
    <x v="1"/>
    <x v="8"/>
    <x v="1"/>
    <n v="1"/>
    <n v="55000"/>
    <n v="0"/>
    <n v="55000"/>
    <n v="7.5435468385680977"/>
    <n v="5000"/>
    <n v="56"/>
    <x v="2221"/>
    <x v="8"/>
    <x v="1"/>
    <x v="1"/>
  </r>
  <r>
    <x v="173"/>
    <s v="ZTAN"/>
    <x v="8"/>
    <s v="DP5738"/>
    <s v="35488103"/>
    <s v="SAN MIGUEL"/>
    <x v="387"/>
    <x v="7"/>
    <x v="1"/>
    <x v="23"/>
    <x v="1"/>
    <n v="2"/>
    <n v="55000"/>
    <n v="0"/>
    <n v="55000"/>
    <n v="13.412017167381974"/>
    <n v="5000"/>
    <n v="82"/>
    <x v="2222"/>
    <x v="8"/>
    <x v="1"/>
    <x v="1"/>
  </r>
  <r>
    <x v="173"/>
    <s v="ZTAN"/>
    <x v="8"/>
    <s v="TP3884"/>
    <s v="154837728"/>
    <s v="PUDAHUEL"/>
    <x v="942"/>
    <x v="1"/>
    <x v="1"/>
    <x v="10"/>
    <x v="1"/>
    <n v="1"/>
    <n v="55000"/>
    <n v="0"/>
    <n v="55000"/>
    <n v="13.839959738298941"/>
    <n v="5000"/>
    <n v="79"/>
    <x v="2223"/>
    <x v="8"/>
    <x v="1"/>
    <x v="1"/>
  </r>
  <r>
    <x v="173"/>
    <s v="ZTAN"/>
    <x v="8"/>
    <s v="UA7248"/>
    <s v="99626232"/>
    <s v="HUECHURABA"/>
    <x v="1808"/>
    <x v="1"/>
    <x v="1"/>
    <x v="24"/>
    <x v="1"/>
    <n v="1"/>
    <n v="55000"/>
    <n v="0"/>
    <n v="55000"/>
    <n v="12.116672541416991"/>
    <n v="5000"/>
    <n v="91"/>
    <x v="2224"/>
    <x v="8"/>
    <x v="1"/>
    <x v="1"/>
  </r>
  <r>
    <x v="174"/>
    <s v="ZPEP"/>
    <x v="12"/>
    <s v="WG4022"/>
    <s v="81417709"/>
    <s v="VITACURA"/>
    <x v="1770"/>
    <x v="1"/>
    <x v="0"/>
    <x v="27"/>
    <x v="1"/>
    <n v="4"/>
    <n v="248447"/>
    <n v="0"/>
    <n v="248447"/>
    <n v="11.000015053533019"/>
    <n v="5000"/>
    <n v="100"/>
    <x v="2225"/>
    <x v="8"/>
    <x v="1"/>
    <x v="1"/>
  </r>
  <r>
    <x v="174"/>
    <s v="ZTAN"/>
    <x v="5"/>
    <s v="RK5135"/>
    <s v="138841065"/>
    <s v="LAS CONDES"/>
    <x v="1809"/>
    <x v="3"/>
    <x v="1"/>
    <x v="3"/>
    <x v="1"/>
    <n v="4"/>
    <n v="55000"/>
    <n v="0"/>
    <n v="55000"/>
    <n v="11.316872427983538"/>
    <n v="5000"/>
    <n v="97"/>
    <x v="2226"/>
    <x v="8"/>
    <x v="1"/>
    <x v="1"/>
  </r>
  <r>
    <x v="174"/>
    <s v="ZTAN"/>
    <x v="66"/>
    <s v="DJLF85"/>
    <s v="53173292"/>
    <s v="SANTIAGO"/>
    <x v="1810"/>
    <x v="4"/>
    <x v="1"/>
    <x v="20"/>
    <x v="1"/>
    <n v="1"/>
    <n v="100271"/>
    <n v="0"/>
    <n v="100271"/>
    <n v="11.000030716843366"/>
    <n v="5000"/>
    <n v="100"/>
    <x v="2227"/>
    <x v="8"/>
    <x v="1"/>
    <x v="1"/>
  </r>
  <r>
    <x v="174"/>
    <s v="ZTAN"/>
    <x v="16"/>
    <s v="HLBX77"/>
    <s v="16093509K"/>
    <s v="RENCA"/>
    <x v="400"/>
    <x v="1"/>
    <x v="1"/>
    <x v="7"/>
    <x v="1"/>
    <n v="1"/>
    <n v="90798"/>
    <n v="0"/>
    <n v="90798"/>
    <n v="10.999951540996321"/>
    <n v="5000"/>
    <n v="100"/>
    <x v="2228"/>
    <x v="8"/>
    <x v="1"/>
    <x v="1"/>
  </r>
  <r>
    <x v="174"/>
    <s v="ZTAN"/>
    <x v="16"/>
    <s v="SU9354"/>
    <s v="72564391"/>
    <s v="RENCA"/>
    <x v="400"/>
    <x v="2"/>
    <x v="1"/>
    <x v="7"/>
    <x v="1"/>
    <n v="1"/>
    <n v="90798"/>
    <n v="0"/>
    <n v="90798"/>
    <n v="10.999951540996321"/>
    <n v="5000"/>
    <n v="100"/>
    <x v="2229"/>
    <x v="8"/>
    <x v="1"/>
    <x v="1"/>
  </r>
  <r>
    <x v="174"/>
    <s v="ZTAN"/>
    <x v="7"/>
    <s v="BWPL69"/>
    <s v="78551976"/>
    <s v="CHILLAN"/>
    <x v="1811"/>
    <x v="5"/>
    <x v="0"/>
    <x v="21"/>
    <x v="5"/>
    <n v="0"/>
    <n v="350000"/>
    <n v="0"/>
    <n v="350000"/>
    <n v="15.709861304367342"/>
    <n v="25000"/>
    <n v="100"/>
    <x v="2230"/>
    <x v="8"/>
    <x v="1"/>
    <x v="0"/>
  </r>
  <r>
    <x v="174"/>
    <s v="ZTAN"/>
    <x v="7"/>
    <s v="BWPL69"/>
    <s v="78551976"/>
    <s v="CHILLAN"/>
    <x v="1811"/>
    <x v="5"/>
    <x v="0"/>
    <x v="21"/>
    <x v="5"/>
    <n v="0"/>
    <n v="350000"/>
    <n v="0"/>
    <n v="350000"/>
    <n v="15.709861304367342"/>
    <n v="25000"/>
    <n v="100"/>
    <x v="2230"/>
    <x v="9"/>
    <x v="2"/>
    <x v="2"/>
  </r>
  <r>
    <x v="174"/>
    <s v="ZTAN"/>
    <x v="7"/>
    <s v="DRFV76"/>
    <s v="113693568"/>
    <s v="CHILLAN"/>
    <x v="1812"/>
    <x v="0"/>
    <x v="0"/>
    <x v="21"/>
    <x v="5"/>
    <n v="0"/>
    <n v="350000"/>
    <n v="0"/>
    <n v="350000"/>
    <n v="15.696615809631444"/>
    <n v="25000"/>
    <n v="89"/>
    <x v="2231"/>
    <x v="8"/>
    <x v="1"/>
    <x v="0"/>
  </r>
  <r>
    <x v="174"/>
    <s v="ZTAN"/>
    <x v="8"/>
    <s v="TP3884"/>
    <s v="154837728"/>
    <s v="PUDAHUEL"/>
    <x v="1813"/>
    <x v="1"/>
    <x v="1"/>
    <x v="10"/>
    <x v="1"/>
    <n v="1"/>
    <n v="94919"/>
    <n v="0"/>
    <n v="94919"/>
    <n v="11.000000000000002"/>
    <n v="5000"/>
    <n v="100"/>
    <x v="2232"/>
    <x v="8"/>
    <x v="1"/>
    <x v="1"/>
  </r>
  <r>
    <x v="175"/>
    <s v="ZPEP"/>
    <x v="12"/>
    <s v="WG4022"/>
    <s v="81417709"/>
    <s v="VITACURA"/>
    <x v="1814"/>
    <x v="1"/>
    <x v="0"/>
    <x v="27"/>
    <x v="1"/>
    <n v="4"/>
    <n v="86031"/>
    <n v="0"/>
    <n v="86031"/>
    <n v="10.999999999999996"/>
    <n v="5000"/>
    <n v="100"/>
    <x v="2233"/>
    <x v="8"/>
    <x v="1"/>
    <x v="1"/>
  </r>
  <r>
    <x v="175"/>
    <s v="ZPEP"/>
    <x v="9"/>
    <s v="XR6339"/>
    <s v="78907355"/>
    <s v="SAN BERNARDO"/>
    <x v="1815"/>
    <x v="1"/>
    <x v="1"/>
    <x v="4"/>
    <x v="1"/>
    <n v="4"/>
    <n v="131363"/>
    <n v="0"/>
    <n v="131363"/>
    <n v="10.999963993023021"/>
    <n v="5000"/>
    <n v="100"/>
    <x v="2234"/>
    <x v="8"/>
    <x v="1"/>
    <x v="1"/>
  </r>
  <r>
    <x v="175"/>
    <s v="ZTAN"/>
    <x v="3"/>
    <s v="RK5135"/>
    <s v="138841065"/>
    <s v="LAS CONDES"/>
    <x v="189"/>
    <x v="3"/>
    <x v="1"/>
    <x v="3"/>
    <x v="1"/>
    <n v="4"/>
    <n v="91661"/>
    <n v="0"/>
    <n v="91661"/>
    <n v="11.000024001536101"/>
    <n v="5000"/>
    <n v="100"/>
    <x v="2235"/>
    <x v="8"/>
    <x v="1"/>
    <x v="1"/>
  </r>
  <r>
    <x v="175"/>
    <s v="ZTAN"/>
    <x v="10"/>
    <s v="DJLF85"/>
    <s v="53173292"/>
    <s v="QUILICURA"/>
    <x v="1458"/>
    <x v="4"/>
    <x v="1"/>
    <x v="8"/>
    <x v="1"/>
    <n v="1"/>
    <n v="74818"/>
    <n v="0"/>
    <n v="74818"/>
    <n v="11.000058809691838"/>
    <n v="5000"/>
    <n v="100"/>
    <x v="2236"/>
    <x v="8"/>
    <x v="1"/>
    <x v="1"/>
  </r>
  <r>
    <x v="175"/>
    <s v="ZTAN"/>
    <x v="10"/>
    <s v="WC2233"/>
    <s v="125108660"/>
    <s v="QUILICURA"/>
    <x v="1067"/>
    <x v="4"/>
    <x v="1"/>
    <x v="8"/>
    <x v="1"/>
    <n v="1"/>
    <n v="93522"/>
    <n v="0"/>
    <n v="93522"/>
    <n v="11"/>
    <n v="5000"/>
    <n v="100"/>
    <x v="2237"/>
    <x v="8"/>
    <x v="1"/>
    <x v="1"/>
  </r>
  <r>
    <x v="175"/>
    <s v="ZTAN"/>
    <x v="7"/>
    <s v="DPKB94"/>
    <s v="125891258"/>
    <s v="CHILLAN"/>
    <x v="1816"/>
    <x v="0"/>
    <x v="0"/>
    <x v="21"/>
    <x v="5"/>
    <n v="0"/>
    <n v="350000"/>
    <n v="0"/>
    <n v="350000"/>
    <n v="18.659849601612212"/>
    <n v="25000"/>
    <n v="75"/>
    <x v="2238"/>
    <x v="8"/>
    <x v="1"/>
    <x v="0"/>
  </r>
  <r>
    <x v="175"/>
    <s v="ZTAN"/>
    <x v="7"/>
    <s v="HLBX77"/>
    <s v="16093509K"/>
    <s v="SAN MIGUEL"/>
    <x v="400"/>
    <x v="1"/>
    <x v="1"/>
    <x v="23"/>
    <x v="1"/>
    <n v="2"/>
    <n v="90798"/>
    <n v="0"/>
    <n v="90798"/>
    <n v="10.999951540996321"/>
    <n v="5000"/>
    <n v="100"/>
    <x v="2239"/>
    <x v="8"/>
    <x v="1"/>
    <x v="1"/>
  </r>
  <r>
    <x v="175"/>
    <s v="ZTAN"/>
    <x v="7"/>
    <s v="KKPF51"/>
    <s v="95707734"/>
    <s v="MELIPILLA"/>
    <x v="104"/>
    <x v="8"/>
    <x v="0"/>
    <x v="29"/>
    <x v="1"/>
    <n v="5"/>
    <n v="120000"/>
    <n v="0"/>
    <n v="214614.40000000002"/>
    <n v="11"/>
    <n v="10000"/>
    <n v="100"/>
    <x v="2240"/>
    <x v="8"/>
    <x v="1"/>
    <x v="1"/>
  </r>
  <r>
    <x v="175"/>
    <s v="ZTAN"/>
    <x v="8"/>
    <s v="PKYS74"/>
    <s v="6270439K"/>
    <s v="TALCAHUANO"/>
    <x v="1817"/>
    <x v="0"/>
    <x v="0"/>
    <x v="0"/>
    <x v="0"/>
    <n v="0"/>
    <n v="380000"/>
    <n v="0"/>
    <n v="380000"/>
    <n v="28.567132761990678"/>
    <n v="25000"/>
    <n v="53"/>
    <x v="2241"/>
    <x v="8"/>
    <x v="1"/>
    <x v="0"/>
  </r>
  <r>
    <x v="175"/>
    <s v="ZTAN"/>
    <x v="8"/>
    <s v="SU9354"/>
    <s v="72564391"/>
    <s v="QUILLOTA"/>
    <x v="1818"/>
    <x v="2"/>
    <x v="1"/>
    <x v="19"/>
    <x v="2"/>
    <n v="0"/>
    <n v="180000"/>
    <n v="0"/>
    <n v="180000"/>
    <n v="22.831339819125059"/>
    <n v="25000"/>
    <n v="32"/>
    <x v="2242"/>
    <x v="8"/>
    <x v="1"/>
    <x v="0"/>
  </r>
  <r>
    <x v="176"/>
    <s v="ZPEP"/>
    <x v="12"/>
    <s v="WG4022"/>
    <s v="81417709"/>
    <s v="VITACURA"/>
    <x v="1819"/>
    <x v="1"/>
    <x v="0"/>
    <x v="27"/>
    <x v="1"/>
    <n v="4"/>
    <n v="167587"/>
    <n v="0"/>
    <n v="167587"/>
    <n v="10.999986872505776"/>
    <n v="5000"/>
    <n v="100"/>
    <x v="2243"/>
    <x v="8"/>
    <x v="1"/>
    <x v="1"/>
  </r>
  <r>
    <x v="176"/>
    <s v="ZPEP"/>
    <x v="69"/>
    <s v="HLBX77"/>
    <s v="1609350K"/>
    <s v="SANTIAGO"/>
    <x v="1820"/>
    <x v="1"/>
    <x v="1"/>
    <x v="20"/>
    <x v="1"/>
    <n v="1"/>
    <n v="89595"/>
    <n v="0"/>
    <n v="89595"/>
    <n v="11"/>
    <n v="5000"/>
    <n v="100"/>
    <x v="2244"/>
    <x v="8"/>
    <x v="1"/>
    <x v="1"/>
  </r>
  <r>
    <x v="176"/>
    <s v="ZTAN"/>
    <x v="4"/>
    <s v="XR6339"/>
    <s v="78907355"/>
    <s v="SAN BERNARDO"/>
    <x v="1067"/>
    <x v="1"/>
    <x v="1"/>
    <x v="4"/>
    <x v="1"/>
    <n v="4"/>
    <n v="93522"/>
    <n v="0"/>
    <n v="93522"/>
    <n v="11"/>
    <n v="5000"/>
    <n v="100"/>
    <x v="2245"/>
    <x v="8"/>
    <x v="1"/>
    <x v="1"/>
  </r>
  <r>
    <x v="176"/>
    <s v="ZTAN"/>
    <x v="10"/>
    <s v="WG4022"/>
    <s v="81417709"/>
    <s v="SANTIAGO"/>
    <x v="419"/>
    <x v="1"/>
    <x v="0"/>
    <x v="20"/>
    <x v="1"/>
    <n v="1"/>
    <n v="90684"/>
    <n v="0"/>
    <n v="90684"/>
    <n v="10.999999999999995"/>
    <n v="5000"/>
    <n v="100"/>
    <x v="2246"/>
    <x v="8"/>
    <x v="1"/>
    <x v="1"/>
  </r>
  <r>
    <x v="176"/>
    <s v="ZTAN"/>
    <x v="7"/>
    <s v="DJLF85"/>
    <s v="53173292"/>
    <s v="SAN MIGUEL"/>
    <x v="400"/>
    <x v="4"/>
    <x v="1"/>
    <x v="23"/>
    <x v="1"/>
    <n v="2"/>
    <n v="90798"/>
    <n v="0"/>
    <n v="90798"/>
    <n v="10.999951540996321"/>
    <n v="5000"/>
    <n v="100"/>
    <x v="2247"/>
    <x v="8"/>
    <x v="1"/>
    <x v="1"/>
  </r>
  <r>
    <x v="176"/>
    <s v="ZTAN"/>
    <x v="7"/>
    <s v="WC2233"/>
    <s v="125108660"/>
    <s v="SAN MIGUEL"/>
    <x v="400"/>
    <x v="4"/>
    <x v="1"/>
    <x v="23"/>
    <x v="1"/>
    <n v="2"/>
    <n v="90798"/>
    <n v="0"/>
    <n v="90798"/>
    <n v="10.999951540996321"/>
    <n v="5000"/>
    <n v="100"/>
    <x v="2248"/>
    <x v="8"/>
    <x v="1"/>
    <x v="1"/>
  </r>
  <r>
    <x v="176"/>
    <s v="ZTAN"/>
    <x v="8"/>
    <s v="UA7248"/>
    <s v="99626232"/>
    <s v="PUENTE ALTO"/>
    <x v="1821"/>
    <x v="1"/>
    <x v="1"/>
    <x v="30"/>
    <x v="1"/>
    <n v="4"/>
    <n v="55000"/>
    <n v="0"/>
    <n v="55000"/>
    <n v="14.910806267960744"/>
    <n v="5000"/>
    <n v="74"/>
    <x v="2249"/>
    <x v="8"/>
    <x v="1"/>
    <x v="1"/>
  </r>
  <r>
    <x v="177"/>
    <s v="ZPEP"/>
    <x v="12"/>
    <s v="WG4422"/>
    <s v="81417709"/>
    <s v="VITACURA"/>
    <x v="1819"/>
    <x v="0"/>
    <x v="0"/>
    <x v="27"/>
    <x v="1"/>
    <n v="4"/>
    <n v="167587"/>
    <n v="0"/>
    <n v="167587"/>
    <n v="10.999986872505776"/>
    <n v="5000"/>
    <n v="100"/>
    <x v="2250"/>
    <x v="8"/>
    <x v="1"/>
    <x v="1"/>
  </r>
  <r>
    <x v="177"/>
    <s v="ZPEP"/>
    <x v="69"/>
    <s v="SU9354"/>
    <s v="72564391"/>
    <s v="SANTIAGO"/>
    <x v="1820"/>
    <x v="2"/>
    <x v="1"/>
    <x v="20"/>
    <x v="1"/>
    <n v="1"/>
    <n v="89595"/>
    <n v="0"/>
    <n v="89595"/>
    <n v="11"/>
    <n v="5000"/>
    <n v="100"/>
    <x v="2251"/>
    <x v="8"/>
    <x v="1"/>
    <x v="1"/>
  </r>
  <r>
    <x v="177"/>
    <s v="ZTAN"/>
    <x v="3"/>
    <s v="WC2233"/>
    <s v="125108660"/>
    <s v="LAS CONDES"/>
    <x v="1822"/>
    <x v="4"/>
    <x v="1"/>
    <x v="3"/>
    <x v="1"/>
    <n v="4"/>
    <n v="208960"/>
    <n v="0"/>
    <n v="208960"/>
    <n v="10.999984733941554"/>
    <n v="5000"/>
    <n v="100"/>
    <x v="2252"/>
    <x v="8"/>
    <x v="1"/>
    <x v="1"/>
  </r>
  <r>
    <x v="177"/>
    <s v="ZTAN"/>
    <x v="5"/>
    <s v="UA7248"/>
    <s v="99626232"/>
    <s v="LAS CONDES"/>
    <x v="1823"/>
    <x v="1"/>
    <x v="1"/>
    <x v="3"/>
    <x v="1"/>
    <n v="4"/>
    <n v="55000"/>
    <n v="0"/>
    <n v="55000"/>
    <n v="28.292181069958847"/>
    <n v="5000"/>
    <n v="39"/>
    <x v="2253"/>
    <x v="8"/>
    <x v="1"/>
    <x v="1"/>
  </r>
  <r>
    <x v="177"/>
    <s v="ZTAN"/>
    <x v="65"/>
    <s v="HLBX77"/>
    <s v="16093509K"/>
    <s v="CODEGUA"/>
    <x v="1824"/>
    <x v="1"/>
    <x v="1"/>
    <x v="79"/>
    <x v="6"/>
    <n v="0"/>
    <m/>
    <n v="0"/>
    <n v="144852.4"/>
    <n v="11"/>
    <n v="25000"/>
    <n v="53"/>
    <x v="2254"/>
    <x v="8"/>
    <x v="1"/>
    <x v="0"/>
  </r>
  <r>
    <x v="177"/>
    <s v="ZTAN"/>
    <x v="65"/>
    <s v="RK5135"/>
    <s v="138841065"/>
    <s v="CODEGUA"/>
    <x v="1825"/>
    <x v="3"/>
    <x v="1"/>
    <x v="79"/>
    <x v="6"/>
    <n v="0"/>
    <m/>
    <n v="0"/>
    <n v="111314.72"/>
    <n v="11"/>
    <n v="25000"/>
    <n v="40"/>
    <x v="2255"/>
    <x v="8"/>
    <x v="1"/>
    <x v="0"/>
  </r>
  <r>
    <x v="177"/>
    <s v="ZTAN"/>
    <x v="18"/>
    <s v="BDCH61"/>
    <s v="103018366"/>
    <s v="QUINTERO"/>
    <x v="940"/>
    <x v="1"/>
    <x v="1"/>
    <x v="69"/>
    <x v="2"/>
    <n v="0"/>
    <m/>
    <n v="0"/>
    <n v="59162.399999999994"/>
    <n v="11"/>
    <n v="25000"/>
    <n v="22"/>
    <x v="2256"/>
    <x v="8"/>
    <x v="1"/>
    <x v="0"/>
  </r>
  <r>
    <x v="177"/>
    <s v="ZTAN"/>
    <x v="10"/>
    <s v="DJLF85"/>
    <s v="53173292"/>
    <s v="QUILICURA"/>
    <x v="1482"/>
    <x v="4"/>
    <x v="1"/>
    <x v="8"/>
    <x v="1"/>
    <n v="1"/>
    <n v="72895"/>
    <n v="0"/>
    <n v="72895"/>
    <n v="11.000030180479266"/>
    <n v="5000"/>
    <n v="100"/>
    <x v="2257"/>
    <x v="8"/>
    <x v="1"/>
    <x v="1"/>
  </r>
  <r>
    <x v="177"/>
    <s v="ZTAN"/>
    <x v="10"/>
    <s v="XR6339"/>
    <s v="78907355"/>
    <s v="QUILICURA"/>
    <x v="1826"/>
    <x v="1"/>
    <x v="1"/>
    <x v="8"/>
    <x v="1"/>
    <n v="1"/>
    <n v="56386"/>
    <n v="0"/>
    <n v="72897"/>
    <n v="11"/>
    <n v="5000"/>
    <n v="100"/>
    <x v="2258"/>
    <x v="8"/>
    <x v="1"/>
    <x v="1"/>
  </r>
  <r>
    <x v="177"/>
    <s v="ZTAN"/>
    <x v="70"/>
    <s v="PN4466"/>
    <s v="154837728"/>
    <s v="SANTIAGO"/>
    <x v="397"/>
    <x v="1"/>
    <x v="0"/>
    <x v="20"/>
    <x v="1"/>
    <n v="1"/>
    <n v="206360"/>
    <n v="0"/>
    <n v="206360"/>
    <n v="11"/>
    <n v="5000"/>
    <n v="100"/>
    <x v="2259"/>
    <x v="8"/>
    <x v="1"/>
    <x v="1"/>
  </r>
  <r>
    <x v="177"/>
    <s v="ZTAN"/>
    <x v="7"/>
    <s v="WG4022"/>
    <s v="154837728"/>
    <s v="RENCA"/>
    <x v="1670"/>
    <x v="1"/>
    <x v="0"/>
    <x v="7"/>
    <x v="1"/>
    <n v="1"/>
    <n v="182213"/>
    <n v="0"/>
    <n v="182213"/>
    <n v="11.000012073795029"/>
    <n v="5000"/>
    <n v="100"/>
    <x v="2260"/>
    <x v="8"/>
    <x v="1"/>
    <x v="1"/>
  </r>
  <r>
    <x v="177"/>
    <s v="ZTAN"/>
    <x v="8"/>
    <s v="JJHS30"/>
    <s v="105195567"/>
    <s v="PUERTO MONTT"/>
    <x v="1827"/>
    <x v="0"/>
    <x v="0"/>
    <x v="53"/>
    <x v="10"/>
    <n v="0"/>
    <n v="1020000"/>
    <n v="0"/>
    <n v="1020000"/>
    <n v="67.535356745590335"/>
    <n v="25000"/>
    <n v="60"/>
    <x v="2261"/>
    <x v="8"/>
    <x v="1"/>
    <x v="0"/>
  </r>
  <r>
    <x v="178"/>
    <s v="ZPEP"/>
    <x v="5"/>
    <s v="HLBX77"/>
    <s v="16093509K"/>
    <s v="LAMPA"/>
    <x v="1828"/>
    <x v="1"/>
    <x v="1"/>
    <x v="17"/>
    <x v="1"/>
    <n v="5"/>
    <n v="70000"/>
    <n v="0"/>
    <n v="70000"/>
    <n v="17.324631418466574"/>
    <n v="10000"/>
    <n v="40"/>
    <x v="2262"/>
    <x v="8"/>
    <x v="1"/>
    <x v="1"/>
  </r>
  <r>
    <x v="178"/>
    <s v="ZPEP"/>
    <x v="12"/>
    <s v="WG4022"/>
    <s v="81417709"/>
    <s v="VITACURA"/>
    <x v="1829"/>
    <x v="1"/>
    <x v="0"/>
    <x v="27"/>
    <x v="1"/>
    <n v="4"/>
    <n v="130346"/>
    <n v="0"/>
    <n v="130346"/>
    <n v="11.000033756413728"/>
    <n v="5000"/>
    <n v="100"/>
    <x v="2263"/>
    <x v="8"/>
    <x v="1"/>
    <x v="1"/>
  </r>
  <r>
    <x v="178"/>
    <s v="ZPEP"/>
    <x v="69"/>
    <s v="RK5135"/>
    <s v="138841065"/>
    <s v="SANTIAGO"/>
    <x v="1820"/>
    <x v="3"/>
    <x v="1"/>
    <x v="20"/>
    <x v="1"/>
    <n v="1"/>
    <n v="89595"/>
    <n v="0"/>
    <n v="89595"/>
    <n v="11"/>
    <n v="5000"/>
    <n v="100"/>
    <x v="2264"/>
    <x v="8"/>
    <x v="1"/>
    <x v="1"/>
  </r>
  <r>
    <x v="178"/>
    <s v="ZTAN"/>
    <x v="67"/>
    <s v="DJLF85"/>
    <s v="125108660"/>
    <s v="CALERA DE TANGO"/>
    <x v="479"/>
    <x v="4"/>
    <x v="1"/>
    <x v="71"/>
    <x v="1"/>
    <n v="5"/>
    <n v="90000"/>
    <n v="0"/>
    <n v="103179.99999999999"/>
    <n v="11"/>
    <n v="10000"/>
    <n v="94"/>
    <x v="2265"/>
    <x v="8"/>
    <x v="1"/>
    <x v="1"/>
  </r>
  <r>
    <x v="178"/>
    <s v="ZTAN"/>
    <x v="5"/>
    <s v="BDCH61"/>
    <s v="154837728"/>
    <s v="MACHALI"/>
    <x v="1830"/>
    <x v="1"/>
    <x v="1"/>
    <x v="43"/>
    <x v="6"/>
    <n v="0"/>
    <n v="80000"/>
    <n v="0"/>
    <n v="180000"/>
    <n v="30.864197530864196"/>
    <n v="25000"/>
    <n v="23"/>
    <x v="2266"/>
    <x v="8"/>
    <x v="1"/>
    <x v="0"/>
  </r>
  <r>
    <x v="178"/>
    <s v="ZTAN"/>
    <x v="10"/>
    <s v="WG4022"/>
    <s v="154837728"/>
    <s v="SANTIAGO"/>
    <x v="104"/>
    <x v="1"/>
    <x v="0"/>
    <x v="20"/>
    <x v="1"/>
    <n v="1"/>
    <n v="214614"/>
    <n v="0"/>
    <n v="214614"/>
    <n v="10.999979498113825"/>
    <n v="5000"/>
    <n v="100"/>
    <x v="2267"/>
    <x v="8"/>
    <x v="1"/>
    <x v="1"/>
  </r>
  <r>
    <x v="178"/>
    <s v="ZTAN"/>
    <x v="70"/>
    <s v="XR6339"/>
    <s v="78907355"/>
    <s v="SANTIAGO"/>
    <x v="414"/>
    <x v="1"/>
    <x v="1"/>
    <x v="20"/>
    <x v="1"/>
    <n v="1"/>
    <n v="107307"/>
    <n v="0"/>
    <n v="107307"/>
    <n v="10.999979498113829"/>
    <n v="5000"/>
    <n v="100"/>
    <x v="2268"/>
    <x v="8"/>
    <x v="1"/>
    <x v="1"/>
  </r>
  <r>
    <x v="178"/>
    <s v="ZTAN"/>
    <x v="7"/>
    <s v="RK5135"/>
    <s v="138841065"/>
    <s v="RENCA"/>
    <x v="1831"/>
    <x v="3"/>
    <x v="1"/>
    <x v="7"/>
    <x v="1"/>
    <n v="1"/>
    <n v="75852"/>
    <n v="0"/>
    <n v="75852"/>
    <n v="11.000058008005103"/>
    <n v="5000"/>
    <n v="100"/>
    <x v="2269"/>
    <x v="8"/>
    <x v="1"/>
    <x v="1"/>
  </r>
  <r>
    <x v="178"/>
    <s v="ZTAN"/>
    <x v="7"/>
    <s v="WC2233"/>
    <s v="125108660"/>
    <s v="RENCA"/>
    <x v="1831"/>
    <x v="4"/>
    <x v="1"/>
    <x v="7"/>
    <x v="1"/>
    <n v="1"/>
    <n v="75852"/>
    <n v="0"/>
    <n v="75852"/>
    <n v="11.000058008005103"/>
    <n v="5000"/>
    <n v="100"/>
    <x v="2270"/>
    <x v="8"/>
    <x v="1"/>
    <x v="1"/>
  </r>
  <r>
    <x v="178"/>
    <s v="ZTAN"/>
    <x v="8"/>
    <s v="DP5738"/>
    <s v="35488103"/>
    <s v="LA REINA"/>
    <x v="1832"/>
    <x v="7"/>
    <x v="1"/>
    <x v="11"/>
    <x v="1"/>
    <n v="3"/>
    <n v="60488"/>
    <n v="0"/>
    <n v="60488"/>
    <n v="11.000018185455273"/>
    <n v="5000"/>
    <n v="100"/>
    <x v="2271"/>
    <x v="8"/>
    <x v="1"/>
    <x v="1"/>
  </r>
  <r>
    <x v="178"/>
    <s v="ZTAN"/>
    <x v="8"/>
    <s v="SV2718"/>
    <s v="99626232"/>
    <s v="SAN BERNARDO"/>
    <x v="1833"/>
    <x v="1"/>
    <x v="1"/>
    <x v="4"/>
    <x v="1"/>
    <n v="4"/>
    <n v="70851"/>
    <n v="0"/>
    <n v="70851"/>
    <n v="11.000000000000002"/>
    <n v="5000"/>
    <n v="100"/>
    <x v="2272"/>
    <x v="8"/>
    <x v="1"/>
    <x v="1"/>
  </r>
  <r>
    <x v="178"/>
    <s v="ZTAN"/>
    <x v="8"/>
    <s v="UA7248"/>
    <s v="78907355"/>
    <s v="ÑUÑOA"/>
    <x v="1834"/>
    <x v="1"/>
    <x v="1"/>
    <x v="15"/>
    <x v="1"/>
    <n v="4"/>
    <n v="55000"/>
    <n v="0"/>
    <n v="64966"/>
    <n v="11"/>
    <n v="5000"/>
    <n v="91"/>
    <x v="2273"/>
    <x v="8"/>
    <x v="1"/>
    <x v="1"/>
  </r>
  <r>
    <x v="179"/>
    <s v="ZPEP"/>
    <x v="58"/>
    <s v="SU9354"/>
    <s v="72564391"/>
    <s v="COLINA"/>
    <x v="1835"/>
    <x v="2"/>
    <x v="1"/>
    <x v="5"/>
    <x v="1"/>
    <n v="5"/>
    <n v="70000"/>
    <n v="0"/>
    <n v="125307.6"/>
    <n v="11"/>
    <n v="10000"/>
    <n v="100"/>
    <x v="2274"/>
    <x v="8"/>
    <x v="1"/>
    <x v="1"/>
  </r>
  <r>
    <x v="179"/>
    <s v="ZPEP"/>
    <x v="59"/>
    <s v="BYZH29"/>
    <s v="122975819"/>
    <s v="TALCA"/>
    <x v="1836"/>
    <x v="0"/>
    <x v="0"/>
    <x v="12"/>
    <x v="3"/>
    <n v="0"/>
    <n v="320000"/>
    <n v="0"/>
    <n v="320000"/>
    <n v="30.733325970140655"/>
    <n v="25000"/>
    <n v="22"/>
    <x v="2275"/>
    <x v="8"/>
    <x v="1"/>
    <x v="0"/>
  </r>
  <r>
    <x v="179"/>
    <s v="ZPEP"/>
    <x v="69"/>
    <s v="DJLF85"/>
    <s v="53173292"/>
    <s v="SANTIAGO"/>
    <x v="1837"/>
    <x v="4"/>
    <x v="1"/>
    <x v="20"/>
    <x v="1"/>
    <n v="1"/>
    <n v="55000"/>
    <n v="0"/>
    <n v="55000"/>
    <n v="13.505217925107427"/>
    <n v="5000"/>
    <n v="81"/>
    <x v="2276"/>
    <x v="8"/>
    <x v="1"/>
    <x v="1"/>
  </r>
  <r>
    <x v="179"/>
    <s v="ZTAN"/>
    <x v="51"/>
    <s v="CJXX49"/>
    <s v="167832741"/>
    <s v="CERRILLOS"/>
    <x v="1838"/>
    <x v="5"/>
    <x v="0"/>
    <x v="9"/>
    <x v="1"/>
    <n v="2"/>
    <n v="167403"/>
    <n v="0"/>
    <n v="167403"/>
    <n v="11.000029306601856"/>
    <n v="5000"/>
    <n v="100"/>
    <x v="2277"/>
    <x v="8"/>
    <x v="1"/>
    <x v="1"/>
  </r>
  <r>
    <x v="179"/>
    <s v="ZTAN"/>
    <x v="17"/>
    <s v="KKPF51"/>
    <s v="95707734"/>
    <s v="LAMPA"/>
    <x v="1839"/>
    <x v="8"/>
    <x v="0"/>
    <x v="17"/>
    <x v="1"/>
    <n v="5"/>
    <n v="120000"/>
    <n v="0"/>
    <n v="183293"/>
    <n v="11"/>
    <n v="10000"/>
    <n v="100"/>
    <x v="2278"/>
    <x v="8"/>
    <x v="1"/>
    <x v="1"/>
  </r>
  <r>
    <x v="179"/>
    <s v="ZTAN"/>
    <x v="3"/>
    <s v="HLBX77"/>
    <s v="154837728"/>
    <s v="LAS CONDES"/>
    <x v="1840"/>
    <x v="1"/>
    <x v="1"/>
    <x v="3"/>
    <x v="1"/>
    <n v="4"/>
    <n v="60568"/>
    <n v="0"/>
    <n v="60568"/>
    <n v="10.999963677309216"/>
    <n v="5000"/>
    <n v="100"/>
    <x v="2279"/>
    <x v="8"/>
    <x v="1"/>
    <x v="1"/>
  </r>
  <r>
    <x v="179"/>
    <s v="ZTAN"/>
    <x v="10"/>
    <s v="HLBX77"/>
    <s v="16093509K"/>
    <s v="QUILICURA"/>
    <x v="1841"/>
    <x v="1"/>
    <x v="1"/>
    <x v="8"/>
    <x v="1"/>
    <n v="1"/>
    <n v="78338"/>
    <n v="0"/>
    <n v="78338"/>
    <n v="11.000056167153449"/>
    <n v="5000"/>
    <n v="100"/>
    <x v="2280"/>
    <x v="8"/>
    <x v="1"/>
    <x v="1"/>
  </r>
  <r>
    <x v="179"/>
    <s v="ZTAN"/>
    <x v="10"/>
    <s v="RK5135"/>
    <s v="138841065"/>
    <s v="QUILICURA"/>
    <x v="1842"/>
    <x v="3"/>
    <x v="1"/>
    <x v="8"/>
    <x v="1"/>
    <n v="1"/>
    <n v="77827"/>
    <n v="0"/>
    <n v="77827"/>
    <n v="10.999971732247854"/>
    <n v="5000"/>
    <n v="100"/>
    <x v="2281"/>
    <x v="8"/>
    <x v="1"/>
    <x v="1"/>
  </r>
  <r>
    <x v="179"/>
    <s v="ZTAN"/>
    <x v="10"/>
    <s v="TP3884"/>
    <s v="154837728"/>
    <s v="QUILICURA"/>
    <x v="385"/>
    <x v="1"/>
    <x v="1"/>
    <x v="8"/>
    <x v="1"/>
    <n v="1"/>
    <n v="82544"/>
    <n v="0"/>
    <n v="82544"/>
    <n v="11.000000000000004"/>
    <n v="5000"/>
    <n v="100"/>
    <x v="2282"/>
    <x v="8"/>
    <x v="1"/>
    <x v="1"/>
  </r>
  <r>
    <x v="179"/>
    <s v="ZTAN"/>
    <x v="10"/>
    <s v="WC2233"/>
    <s v="125108660"/>
    <s v="QUILICURA"/>
    <x v="1843"/>
    <x v="4"/>
    <x v="1"/>
    <x v="8"/>
    <x v="1"/>
    <n v="1"/>
    <n v="75632"/>
    <n v="0"/>
    <n v="75632"/>
    <n v="11.000058176740938"/>
    <n v="5000"/>
    <n v="100"/>
    <x v="2283"/>
    <x v="8"/>
    <x v="1"/>
    <x v="1"/>
  </r>
  <r>
    <x v="179"/>
    <s v="ZTAN"/>
    <x v="10"/>
    <s v="XR6339"/>
    <s v="78907355"/>
    <s v="QUILICURA"/>
    <x v="1844"/>
    <x v="1"/>
    <x v="1"/>
    <x v="8"/>
    <x v="1"/>
    <n v="1"/>
    <n v="82544"/>
    <n v="0"/>
    <n v="114928"/>
    <n v="11"/>
    <n v="5000"/>
    <n v="100"/>
    <x v="2284"/>
    <x v="8"/>
    <x v="1"/>
    <x v="1"/>
  </r>
  <r>
    <x v="179"/>
    <s v="ZTAN"/>
    <x v="7"/>
    <s v="SU9354"/>
    <s v="72564391"/>
    <s v="RENCA"/>
    <x v="1845"/>
    <x v="2"/>
    <x v="1"/>
    <x v="7"/>
    <x v="1"/>
    <n v="1"/>
    <n v="83769"/>
    <n v="0"/>
    <n v="83769"/>
    <n v="10.999947474853585"/>
    <n v="5000"/>
    <n v="100"/>
    <x v="2285"/>
    <x v="8"/>
    <x v="1"/>
    <x v="1"/>
  </r>
  <r>
    <x v="179"/>
    <s v="ZTAN"/>
    <x v="7"/>
    <s v="SV2718"/>
    <s v="99626232"/>
    <s v="SAN MIGUEL"/>
    <x v="1846"/>
    <x v="1"/>
    <x v="1"/>
    <x v="23"/>
    <x v="1"/>
    <n v="2"/>
    <n v="64218"/>
    <n v="0"/>
    <n v="64218"/>
    <n v="11.000000000000002"/>
    <n v="5000"/>
    <n v="100"/>
    <x v="2286"/>
    <x v="8"/>
    <x v="1"/>
    <x v="1"/>
  </r>
  <r>
    <x v="179"/>
    <s v="ZTAN"/>
    <x v="7"/>
    <s v="WC2233"/>
    <s v="53173292"/>
    <s v="RENCA"/>
    <x v="1847"/>
    <x v="4"/>
    <x v="1"/>
    <x v="7"/>
    <x v="1"/>
    <n v="1"/>
    <n v="78243"/>
    <n v="0"/>
    <n v="78243"/>
    <n v="10.999999999999996"/>
    <n v="5000"/>
    <n v="100"/>
    <x v="2287"/>
    <x v="8"/>
    <x v="1"/>
    <x v="1"/>
  </r>
  <r>
    <x v="179"/>
    <s v="ZTAN"/>
    <x v="8"/>
    <s v="CJFZ67"/>
    <s v="115812335"/>
    <s v="CORONEL"/>
    <x v="1848"/>
    <x v="5"/>
    <x v="0"/>
    <x v="16"/>
    <x v="0"/>
    <n v="0"/>
    <n v="380000"/>
    <n v="0"/>
    <n v="380000"/>
    <n v="42.601374454870566"/>
    <n v="25000"/>
    <n v="36"/>
    <x v="2288"/>
    <x v="8"/>
    <x v="1"/>
    <x v="0"/>
  </r>
  <r>
    <x v="179"/>
    <s v="ZTAN"/>
    <x v="8"/>
    <s v="UA7248"/>
    <s v="99626232"/>
    <s v="PUDAHUEL"/>
    <x v="1849"/>
    <x v="1"/>
    <x v="1"/>
    <x v="10"/>
    <x v="1"/>
    <n v="1"/>
    <n v="71500"/>
    <n v="0"/>
    <n v="71500"/>
    <n v="11"/>
    <n v="5000"/>
    <n v="100"/>
    <x v="2289"/>
    <x v="8"/>
    <x v="1"/>
    <x v="1"/>
  </r>
  <r>
    <x v="180"/>
    <s v="ZPEP"/>
    <x v="5"/>
    <s v="DJLF85"/>
    <s v="53173292"/>
    <s v="LAMPA"/>
    <x v="1850"/>
    <x v="4"/>
    <x v="1"/>
    <x v="17"/>
    <x v="1"/>
    <n v="5"/>
    <n v="70000"/>
    <n v="0"/>
    <n v="89955.58"/>
    <n v="11"/>
    <n v="10000"/>
    <n v="82"/>
    <x v="2290"/>
    <x v="8"/>
    <x v="1"/>
    <x v="1"/>
  </r>
  <r>
    <x v="180"/>
    <s v="ZPEP"/>
    <x v="33"/>
    <s v="RK5135"/>
    <s v="138841065"/>
    <s v="PUENTE ALTA"/>
    <x v="1851"/>
    <x v="3"/>
    <x v="1"/>
    <x v="30"/>
    <x v="1"/>
    <n v="4"/>
    <n v="90917"/>
    <n v="0"/>
    <n v="90917"/>
    <n v="10.999962493390974"/>
    <n v="5000"/>
    <n v="100"/>
    <x v="2291"/>
    <x v="8"/>
    <x v="1"/>
    <x v="1"/>
  </r>
  <r>
    <x v="180"/>
    <s v="ZTAN"/>
    <x v="5"/>
    <s v="SV2718"/>
    <s v="154837728"/>
    <s v="LAMPA"/>
    <x v="1852"/>
    <x v="1"/>
    <x v="1"/>
    <x v="17"/>
    <x v="1"/>
    <n v="5"/>
    <n v="70000"/>
    <n v="0"/>
    <n v="70000"/>
    <n v="16.868892557203623"/>
    <n v="10000"/>
    <n v="41"/>
    <x v="2292"/>
    <x v="8"/>
    <x v="1"/>
    <x v="1"/>
  </r>
  <r>
    <x v="180"/>
    <s v="ZTAN"/>
    <x v="65"/>
    <s v="WC2233"/>
    <s v="125108660"/>
    <s v="CODEGUA"/>
    <x v="1853"/>
    <x v="4"/>
    <x v="1"/>
    <x v="79"/>
    <x v="6"/>
    <n v="0"/>
    <n v="180000"/>
    <n v="0"/>
    <n v="180000"/>
    <n v="16.412081845228595"/>
    <n v="25000"/>
    <n v="44"/>
    <x v="2293"/>
    <x v="8"/>
    <x v="1"/>
    <x v="0"/>
  </r>
  <r>
    <x v="180"/>
    <s v="ZTAN"/>
    <x v="16"/>
    <s v="SU9354"/>
    <s v="72564391"/>
    <s v="RENCA"/>
    <x v="1854"/>
    <x v="2"/>
    <x v="1"/>
    <x v="7"/>
    <x v="1"/>
    <n v="1"/>
    <n v="105376"/>
    <n v="0"/>
    <n v="105376"/>
    <n v="11.000041755396884"/>
    <n v="5000"/>
    <n v="100"/>
    <x v="2294"/>
    <x v="8"/>
    <x v="1"/>
    <x v="1"/>
  </r>
  <r>
    <x v="180"/>
    <s v="ZTAN"/>
    <x v="70"/>
    <s v="RK5135"/>
    <s v="138841065"/>
    <s v="SANTIAGO"/>
    <x v="414"/>
    <x v="3"/>
    <x v="1"/>
    <x v="20"/>
    <x v="1"/>
    <n v="1"/>
    <n v="107307"/>
    <n v="0"/>
    <n v="107307"/>
    <n v="10.999979498113829"/>
    <n v="5000"/>
    <n v="100"/>
    <x v="2295"/>
    <x v="8"/>
    <x v="1"/>
    <x v="1"/>
  </r>
  <r>
    <x v="180"/>
    <s v="ZTAN"/>
    <x v="7"/>
    <s v="HLBX77"/>
    <s v="16093509K"/>
    <s v="RENCA"/>
    <x v="1855"/>
    <x v="1"/>
    <x v="1"/>
    <x v="7"/>
    <x v="1"/>
    <n v="1"/>
    <n v="89259"/>
    <n v="0"/>
    <n v="130244.51"/>
    <n v="11"/>
    <n v="5000"/>
    <n v="100"/>
    <x v="2296"/>
    <x v="8"/>
    <x v="1"/>
    <x v="1"/>
  </r>
  <r>
    <x v="180"/>
    <s v="ZTAN"/>
    <x v="7"/>
    <s v="KKPF51"/>
    <s v="95707734"/>
    <s v="CHILLAN"/>
    <x v="1856"/>
    <x v="8"/>
    <x v="0"/>
    <x v="21"/>
    <x v="5"/>
    <n v="0"/>
    <n v="350000"/>
    <n v="0"/>
    <n v="350000"/>
    <n v="25.463619762679084"/>
    <n v="25000"/>
    <n v="55"/>
    <x v="2297"/>
    <x v="8"/>
    <x v="1"/>
    <x v="0"/>
  </r>
  <r>
    <x v="180"/>
    <s v="ZTAN"/>
    <x v="7"/>
    <s v="SU9354"/>
    <s v="72564391"/>
    <s v="RENCA"/>
    <x v="1857"/>
    <x v="2"/>
    <x v="1"/>
    <x v="7"/>
    <x v="1"/>
    <n v="1"/>
    <n v="73207"/>
    <n v="0"/>
    <n v="76881.2"/>
    <n v="11"/>
    <n v="5000"/>
    <n v="100"/>
    <x v="2298"/>
    <x v="8"/>
    <x v="1"/>
    <x v="1"/>
  </r>
  <r>
    <x v="180"/>
    <s v="ZTAN"/>
    <x v="7"/>
    <s v="WC2233"/>
    <s v="125108660"/>
    <s v="RENCA"/>
    <x v="1858"/>
    <x v="4"/>
    <x v="1"/>
    <x v="7"/>
    <x v="1"/>
    <n v="1"/>
    <n v="123559"/>
    <n v="0"/>
    <n v="123559"/>
    <n v="11.000035610633335"/>
    <n v="5000"/>
    <n v="100"/>
    <x v="2299"/>
    <x v="8"/>
    <x v="1"/>
    <x v="1"/>
  </r>
  <r>
    <x v="180"/>
    <s v="ZTAN"/>
    <x v="7"/>
    <s v="XR6339"/>
    <s v="78907355"/>
    <s v="SAN MIGUEL"/>
    <x v="400"/>
    <x v="1"/>
    <x v="1"/>
    <x v="23"/>
    <x v="1"/>
    <n v="2"/>
    <n v="90798"/>
    <n v="0"/>
    <n v="90798"/>
    <n v="10.999951540996321"/>
    <n v="5000"/>
    <n v="100"/>
    <x v="2300"/>
    <x v="8"/>
    <x v="1"/>
    <x v="1"/>
  </r>
  <r>
    <x v="180"/>
    <s v="ZTAN"/>
    <x v="8"/>
    <s v="BDCH61"/>
    <s v="99626232"/>
    <s v="CERRILLOS"/>
    <x v="1859"/>
    <x v="1"/>
    <x v="1"/>
    <x v="9"/>
    <x v="1"/>
    <n v="2"/>
    <n v="90942"/>
    <n v="0"/>
    <n v="90942"/>
    <n v="11.000045963553324"/>
    <n v="5000"/>
    <n v="100"/>
    <x v="2301"/>
    <x v="8"/>
    <x v="1"/>
    <x v="1"/>
  </r>
  <r>
    <x v="180"/>
    <s v="ZTAN"/>
    <x v="8"/>
    <s v="BWPL69"/>
    <s v="78551976"/>
    <s v="CORONEL"/>
    <x v="1860"/>
    <x v="5"/>
    <x v="0"/>
    <x v="16"/>
    <x v="0"/>
    <n v="0"/>
    <n v="380000"/>
    <n v="0"/>
    <n v="380000"/>
    <n v="26.743537916706547"/>
    <n v="25000"/>
    <n v="50"/>
    <x v="2302"/>
    <x v="8"/>
    <x v="1"/>
    <x v="0"/>
  </r>
  <r>
    <x v="180"/>
    <s v="ZTAN"/>
    <x v="8"/>
    <s v="TP3884"/>
    <s v="154837728"/>
    <s v="PUDAHUEL"/>
    <x v="1861"/>
    <x v="1"/>
    <x v="1"/>
    <x v="10"/>
    <x v="1"/>
    <n v="1"/>
    <n v="55000"/>
    <n v="0"/>
    <n v="63253.3"/>
    <n v="11"/>
    <n v="5000"/>
    <n v="78"/>
    <x v="2303"/>
    <x v="8"/>
    <x v="1"/>
    <x v="1"/>
  </r>
  <r>
    <x v="181"/>
    <s v="ZPEP"/>
    <x v="5"/>
    <s v="WC2233"/>
    <s v="125108660"/>
    <s v="LAMPA"/>
    <x v="1862"/>
    <x v="4"/>
    <x v="1"/>
    <x v="17"/>
    <x v="1"/>
    <n v="5"/>
    <n v="70000"/>
    <n v="0"/>
    <n v="87240.559999999969"/>
    <n v="11"/>
    <n v="10000"/>
    <n v="79"/>
    <x v="2304"/>
    <x v="8"/>
    <x v="1"/>
    <x v="1"/>
  </r>
  <r>
    <x v="181"/>
    <s v="ZPEP"/>
    <x v="12"/>
    <s v="WG4022"/>
    <s v="81417709"/>
    <s v="VITACURA"/>
    <x v="1863"/>
    <x v="1"/>
    <x v="0"/>
    <x v="27"/>
    <x v="1"/>
    <n v="4"/>
    <n v="256052"/>
    <n v="0"/>
    <n v="256052"/>
    <n v="10.999992696800811"/>
    <n v="5000"/>
    <n v="100"/>
    <x v="2305"/>
    <x v="8"/>
    <x v="1"/>
    <x v="1"/>
  </r>
  <r>
    <x v="181"/>
    <s v="ZPEP"/>
    <x v="14"/>
    <s v="HLBX77"/>
    <s v="16093509K"/>
    <s v="LA PINTANA"/>
    <x v="1864"/>
    <x v="1"/>
    <x v="1"/>
    <x v="31"/>
    <x v="1"/>
    <n v="4"/>
    <n v="122496"/>
    <n v="0"/>
    <n v="122496"/>
    <n v="11"/>
    <n v="5000"/>
    <n v="100"/>
    <x v="2306"/>
    <x v="8"/>
    <x v="1"/>
    <x v="1"/>
  </r>
  <r>
    <x v="181"/>
    <s v="ZPEP"/>
    <x v="14"/>
    <s v="RK5135"/>
    <s v="138841065"/>
    <s v="LA PINTANA"/>
    <x v="1865"/>
    <x v="3"/>
    <x v="1"/>
    <x v="31"/>
    <x v="1"/>
    <n v="4"/>
    <n v="84546"/>
    <n v="0"/>
    <n v="84546"/>
    <n v="11.000000000000004"/>
    <n v="5000"/>
    <n v="100"/>
    <x v="2307"/>
    <x v="8"/>
    <x v="1"/>
    <x v="1"/>
  </r>
  <r>
    <x v="181"/>
    <s v="ZPEP"/>
    <x v="9"/>
    <s v="XR6339"/>
    <s v="78907355"/>
    <s v="SAN BERNARDO"/>
    <x v="1866"/>
    <x v="1"/>
    <x v="1"/>
    <x v="4"/>
    <x v="1"/>
    <n v="4"/>
    <n v="88003"/>
    <n v="0"/>
    <n v="88003"/>
    <n v="10.999990000349989"/>
    <n v="5000"/>
    <n v="100"/>
    <x v="2308"/>
    <x v="8"/>
    <x v="1"/>
    <x v="1"/>
  </r>
  <r>
    <x v="181"/>
    <s v="ZTAN"/>
    <x v="6"/>
    <s v="DRFV76"/>
    <s v="113693568"/>
    <s v="TALCA"/>
    <x v="1867"/>
    <x v="0"/>
    <x v="0"/>
    <x v="12"/>
    <x v="3"/>
    <n v="0"/>
    <n v="320000"/>
    <n v="0"/>
    <n v="320000"/>
    <n v="23.227792053191642"/>
    <n v="25000"/>
    <n v="29"/>
    <x v="2309"/>
    <x v="8"/>
    <x v="1"/>
    <x v="0"/>
  </r>
  <r>
    <x v="181"/>
    <s v="ZTAN"/>
    <x v="6"/>
    <s v="SV2718"/>
    <s v="99626232"/>
    <s v="SAN BERNARDO"/>
    <x v="1868"/>
    <x v="1"/>
    <x v="1"/>
    <x v="4"/>
    <x v="1"/>
    <n v="4"/>
    <n v="55000"/>
    <n v="0"/>
    <n v="55000"/>
    <n v="14.414508858370899"/>
    <n v="5000"/>
    <n v="76"/>
    <x v="2310"/>
    <x v="8"/>
    <x v="1"/>
    <x v="1"/>
  </r>
  <r>
    <x v="181"/>
    <s v="ZTAN"/>
    <x v="6"/>
    <s v="UA7248"/>
    <s v="154837728"/>
    <s v="LA DEHESA"/>
    <x v="1869"/>
    <x v="1"/>
    <x v="1"/>
    <x v="41"/>
    <x v="1"/>
    <n v="4"/>
    <n v="55000"/>
    <n v="0"/>
    <n v="55000"/>
    <n v="14.293139293139289"/>
    <n v="5000"/>
    <n v="77"/>
    <x v="2311"/>
    <x v="8"/>
    <x v="1"/>
    <x v="1"/>
  </r>
  <r>
    <x v="181"/>
    <s v="ZTAN"/>
    <x v="41"/>
    <s v="WG4022"/>
    <s v="81417709"/>
    <s v="PEDRO AGUIRRE CERDA"/>
    <x v="1870"/>
    <x v="1"/>
    <x v="0"/>
    <x v="83"/>
    <x v="1"/>
    <n v="3"/>
    <n v="198106"/>
    <n v="0"/>
    <n v="198106"/>
    <n v="11.000022210376688"/>
    <n v="5000"/>
    <n v="100"/>
    <x v="2312"/>
    <x v="8"/>
    <x v="1"/>
    <x v="1"/>
  </r>
  <r>
    <x v="181"/>
    <s v="ZTAN"/>
    <x v="7"/>
    <s v="WC2233"/>
    <s v="125108660"/>
    <s v="RENCA"/>
    <x v="248"/>
    <x v="4"/>
    <x v="1"/>
    <x v="7"/>
    <x v="1"/>
    <n v="1"/>
    <n v="55000"/>
    <n v="0"/>
    <n v="55000"/>
    <n v="18.323560767590617"/>
    <n v="5000"/>
    <n v="60"/>
    <x v="2313"/>
    <x v="8"/>
    <x v="1"/>
    <x v="1"/>
  </r>
  <r>
    <x v="181"/>
    <s v="ZTAN"/>
    <x v="8"/>
    <s v="CJXX49"/>
    <s v="167832741"/>
    <s v="CORONEL"/>
    <x v="1871"/>
    <x v="5"/>
    <x v="0"/>
    <x v="16"/>
    <x v="0"/>
    <n v="0"/>
    <n v="380000"/>
    <n v="0"/>
    <n v="380000"/>
    <n v="23.843436466653699"/>
    <n v="25000"/>
    <n v="64"/>
    <x v="2314"/>
    <x v="8"/>
    <x v="1"/>
    <x v="0"/>
  </r>
  <r>
    <x v="181"/>
    <s v="ZTAN"/>
    <x v="8"/>
    <s v="DJLF85"/>
    <s v="53173292"/>
    <s v="ÑUÑOA"/>
    <x v="1872"/>
    <x v="4"/>
    <x v="1"/>
    <x v="15"/>
    <x v="1"/>
    <n v="4"/>
    <n v="56351"/>
    <n v="0"/>
    <n v="56351"/>
    <n v="10.999953150986565"/>
    <n v="5000"/>
    <n v="100"/>
    <x v="2315"/>
    <x v="8"/>
    <x v="1"/>
    <x v="1"/>
  </r>
  <r>
    <x v="181"/>
    <s v="ZTAN"/>
    <x v="8"/>
    <s v="DP5738"/>
    <s v="35488103"/>
    <s v="LAS CONDES"/>
    <x v="1873"/>
    <x v="7"/>
    <x v="1"/>
    <x v="3"/>
    <x v="1"/>
    <n v="4"/>
    <n v="57381"/>
    <n v="0"/>
    <n v="57381"/>
    <n v="11.000072846894998"/>
    <n v="5000"/>
    <n v="100"/>
    <x v="2316"/>
    <x v="8"/>
    <x v="1"/>
    <x v="1"/>
  </r>
  <r>
    <x v="181"/>
    <s v="ZTAN"/>
    <x v="8"/>
    <s v="SV2718"/>
    <s v="154837728"/>
    <s v="LA REINA"/>
    <x v="1874"/>
    <x v="1"/>
    <x v="1"/>
    <x v="11"/>
    <x v="1"/>
    <n v="3"/>
    <n v="55000"/>
    <n v="0"/>
    <n v="55000"/>
    <n v="12.648621300278268"/>
    <n v="5000"/>
    <n v="87"/>
    <x v="2317"/>
    <x v="8"/>
    <x v="1"/>
    <x v="1"/>
  </r>
  <r>
    <x v="181"/>
    <s v="ZTAN"/>
    <x v="8"/>
    <s v="UA7248"/>
    <s v="99626232"/>
    <s v="CERRILLOS"/>
    <x v="1875"/>
    <x v="1"/>
    <x v="1"/>
    <x v="9"/>
    <x v="1"/>
    <n v="2"/>
    <n v="55000"/>
    <n v="0"/>
    <n v="55000"/>
    <n v="15.285420488021783"/>
    <n v="5000"/>
    <n v="72"/>
    <x v="2318"/>
    <x v="8"/>
    <x v="1"/>
    <x v="1"/>
  </r>
  <r>
    <x v="181"/>
    <s v="ZTAN"/>
    <x v="8"/>
    <s v="XR6339"/>
    <s v="78907355"/>
    <s v="LAS CONDES"/>
    <x v="1876"/>
    <x v="1"/>
    <x v="1"/>
    <x v="3"/>
    <x v="1"/>
    <n v="4"/>
    <n v="72393"/>
    <n v="0"/>
    <n v="72393"/>
    <n v="11.000069896704828"/>
    <n v="5000"/>
    <n v="100"/>
    <x v="2319"/>
    <x v="8"/>
    <x v="1"/>
    <x v="1"/>
  </r>
  <r>
    <x v="182"/>
    <s v="ZPEP"/>
    <x v="58"/>
    <s v="DJLF85"/>
    <s v="53173292"/>
    <s v="COLINA"/>
    <x v="1877"/>
    <x v="4"/>
    <x v="1"/>
    <x v="5"/>
    <x v="1"/>
    <n v="5"/>
    <n v="70000"/>
    <n v="0"/>
    <n v="53669.440000000002"/>
    <n v="11"/>
    <n v="10000"/>
    <n v="49"/>
    <x v="2320"/>
    <x v="8"/>
    <x v="1"/>
    <x v="1"/>
  </r>
  <r>
    <x v="182"/>
    <s v="ZPEP"/>
    <x v="58"/>
    <s v="SU9354"/>
    <s v="72564391"/>
    <s v="COLINA"/>
    <x v="1878"/>
    <x v="2"/>
    <x v="1"/>
    <x v="5"/>
    <x v="1"/>
    <n v="5"/>
    <n v="70000"/>
    <n v="0"/>
    <n v="126216.42"/>
    <n v="11"/>
    <n v="10000"/>
    <n v="100"/>
    <x v="2321"/>
    <x v="8"/>
    <x v="1"/>
    <x v="1"/>
  </r>
  <r>
    <x v="182"/>
    <s v="ZPEP"/>
    <x v="12"/>
    <s v="WG4022"/>
    <s v="81417709"/>
    <s v="VITACURA"/>
    <x v="1879"/>
    <x v="1"/>
    <x v="0"/>
    <x v="27"/>
    <x v="1"/>
    <n v="4"/>
    <n v="250982"/>
    <n v="0"/>
    <n v="250982"/>
    <n v="11.000007450738567"/>
    <n v="5000"/>
    <n v="100"/>
    <x v="2322"/>
    <x v="8"/>
    <x v="1"/>
    <x v="1"/>
  </r>
  <r>
    <x v="182"/>
    <s v="ZPEP"/>
    <x v="42"/>
    <s v="HLBX77"/>
    <s v="16093509K"/>
    <s v="QUINTA NORMAL"/>
    <x v="1880"/>
    <x v="1"/>
    <x v="1"/>
    <x v="62"/>
    <x v="1"/>
    <n v="1"/>
    <n v="63294"/>
    <n v="0"/>
    <n v="63294"/>
    <n v="10.999999999999998"/>
    <n v="5000"/>
    <n v="100"/>
    <x v="2323"/>
    <x v="8"/>
    <x v="1"/>
    <x v="1"/>
  </r>
  <r>
    <x v="182"/>
    <s v="ZPEP"/>
    <x v="42"/>
    <s v="RK5135"/>
    <s v="138841065"/>
    <s v="QUINTA NORMAL"/>
    <x v="1881"/>
    <x v="3"/>
    <x v="1"/>
    <x v="62"/>
    <x v="1"/>
    <n v="1"/>
    <n v="55000"/>
    <n v="0"/>
    <n v="55000"/>
    <n v="14.337851929092805"/>
    <n v="5000"/>
    <n v="77"/>
    <x v="2324"/>
    <x v="8"/>
    <x v="1"/>
    <x v="1"/>
  </r>
  <r>
    <x v="182"/>
    <s v="ZPEP"/>
    <x v="33"/>
    <s v="WC2233"/>
    <s v="125108660"/>
    <s v="PUENTE ALTA"/>
    <x v="1882"/>
    <x v="4"/>
    <x v="1"/>
    <x v="30"/>
    <x v="1"/>
    <n v="4"/>
    <n v="55000"/>
    <n v="0"/>
    <n v="55000"/>
    <n v="12.439723883365149"/>
    <n v="5000"/>
    <n v="88"/>
    <x v="2325"/>
    <x v="8"/>
    <x v="1"/>
    <x v="1"/>
  </r>
  <r>
    <x v="182"/>
    <s v="ZTAN"/>
    <x v="47"/>
    <s v="UA7248"/>
    <s v="154837728"/>
    <s v="SAN JOAQUIN"/>
    <x v="1883"/>
    <x v="1"/>
    <x v="1"/>
    <x v="67"/>
    <x v="1"/>
    <n v="3"/>
    <n v="55000"/>
    <n v="0"/>
    <n v="55000"/>
    <n v="16.862889379445665"/>
    <n v="5000"/>
    <n v="65"/>
    <x v="2326"/>
    <x v="8"/>
    <x v="1"/>
    <x v="1"/>
  </r>
  <r>
    <x v="182"/>
    <s v="ZTAN"/>
    <x v="6"/>
    <s v="BDCH61"/>
    <s v="99626232"/>
    <s v="QUILICURA"/>
    <x v="1884"/>
    <x v="1"/>
    <x v="1"/>
    <x v="8"/>
    <x v="1"/>
    <n v="1"/>
    <n v="55000"/>
    <n v="0"/>
    <n v="55000"/>
    <n v="12.722057735011104"/>
    <n v="5000"/>
    <n v="86"/>
    <x v="2327"/>
    <x v="8"/>
    <x v="1"/>
    <x v="1"/>
  </r>
  <r>
    <x v="182"/>
    <s v="ZTAN"/>
    <x v="6"/>
    <s v="BPKD94"/>
    <s v="125897258"/>
    <s v="TEMUCO"/>
    <x v="1885"/>
    <x v="0"/>
    <x v="0"/>
    <x v="14"/>
    <x v="4"/>
    <n v="0"/>
    <n v="620000"/>
    <n v="0"/>
    <n v="620000"/>
    <n v="33.697117265968082"/>
    <n v="25000"/>
    <n v="61"/>
    <x v="2328"/>
    <x v="8"/>
    <x v="1"/>
    <x v="0"/>
  </r>
  <r>
    <x v="182"/>
    <s v="ZTAN"/>
    <x v="7"/>
    <s v="DJLF85"/>
    <s v="53173292"/>
    <s v="SAN MIGUEL"/>
    <x v="1886"/>
    <x v="4"/>
    <x v="1"/>
    <x v="23"/>
    <x v="1"/>
    <n v="2"/>
    <n v="55265"/>
    <n v="0"/>
    <n v="55265"/>
    <n v="10.999980095937582"/>
    <n v="5000"/>
    <n v="100"/>
    <x v="2329"/>
    <x v="8"/>
    <x v="1"/>
    <x v="1"/>
  </r>
  <r>
    <x v="182"/>
    <s v="ZTAN"/>
    <x v="7"/>
    <s v="SU9354"/>
    <s v="72564391"/>
    <s v="RENCA"/>
    <x v="1887"/>
    <x v="2"/>
    <x v="1"/>
    <x v="7"/>
    <x v="1"/>
    <n v="1"/>
    <n v="74484"/>
    <n v="0"/>
    <n v="74484"/>
    <n v="10.999988185394788"/>
    <n v="5000"/>
    <n v="100"/>
    <x v="2330"/>
    <x v="8"/>
    <x v="1"/>
    <x v="1"/>
  </r>
  <r>
    <x v="182"/>
    <s v="ZTAN"/>
    <x v="7"/>
    <s v="UK7193"/>
    <s v="120327233"/>
    <s v="RANCAGUA"/>
    <x v="1888"/>
    <x v="1"/>
    <x v="0"/>
    <x v="28"/>
    <x v="6"/>
    <n v="0"/>
    <n v="230000"/>
    <n v="0"/>
    <n v="230000"/>
    <n v="11.831214860005876"/>
    <n v="25000"/>
    <n v="78"/>
    <x v="2331"/>
    <x v="8"/>
    <x v="1"/>
    <x v="0"/>
  </r>
  <r>
    <x v="182"/>
    <s v="ZTAN"/>
    <x v="8"/>
    <s v="BDCH61"/>
    <s v="99626232"/>
    <s v="MAIPU"/>
    <x v="1889"/>
    <x v="1"/>
    <x v="1"/>
    <x v="2"/>
    <x v="1"/>
    <n v="2"/>
    <n v="55000"/>
    <n v="0"/>
    <n v="55000"/>
    <n v="15.259043063793897"/>
    <n v="5000"/>
    <n v="72"/>
    <x v="2332"/>
    <x v="8"/>
    <x v="1"/>
    <x v="1"/>
  </r>
  <r>
    <x v="182"/>
    <s v="ZTAN"/>
    <x v="8"/>
    <s v="CJFZ67"/>
    <s v="115812335"/>
    <s v="CORONEL"/>
    <x v="1890"/>
    <x v="5"/>
    <x v="0"/>
    <x v="16"/>
    <x v="0"/>
    <n v="0"/>
    <n v="380000"/>
    <n v="0"/>
    <n v="380000"/>
    <n v="28.015376017953432"/>
    <n v="25000"/>
    <n v="54"/>
    <x v="2333"/>
    <x v="8"/>
    <x v="1"/>
    <x v="0"/>
  </r>
  <r>
    <x v="182"/>
    <s v="ZTAN"/>
    <x v="8"/>
    <s v="HLBX77"/>
    <s v="16093509K"/>
    <s v="PUDAHUEL"/>
    <x v="1891"/>
    <x v="1"/>
    <x v="1"/>
    <x v="10"/>
    <x v="1"/>
    <n v="1"/>
    <n v="55000"/>
    <n v="0"/>
    <n v="55000"/>
    <n v="12.092057936347407"/>
    <n v="5000"/>
    <n v="91"/>
    <x v="2334"/>
    <x v="8"/>
    <x v="1"/>
    <x v="1"/>
  </r>
  <r>
    <x v="182"/>
    <s v="ZTAN"/>
    <x v="8"/>
    <s v="SV2718"/>
    <s v="81417709"/>
    <s v="LA FLORIDA"/>
    <x v="1892"/>
    <x v="1"/>
    <x v="1"/>
    <x v="33"/>
    <x v="1"/>
    <n v="3"/>
    <n v="55000"/>
    <n v="0"/>
    <n v="55000"/>
    <n v="12.521571252293723"/>
    <n v="5000"/>
    <n v="88"/>
    <x v="2335"/>
    <x v="8"/>
    <x v="1"/>
    <x v="1"/>
  </r>
  <r>
    <x v="182"/>
    <s v="ZTAN"/>
    <x v="8"/>
    <s v="TP3884"/>
    <s v="154837728"/>
    <s v="QUILIN"/>
    <x v="1893"/>
    <x v="1"/>
    <x v="1"/>
    <x v="34"/>
    <x v="1"/>
    <n v="4"/>
    <n v="104437"/>
    <n v="0"/>
    <n v="104437"/>
    <n v="10.999968402093888"/>
    <n v="5000"/>
    <n v="100"/>
    <x v="2336"/>
    <x v="8"/>
    <x v="1"/>
    <x v="1"/>
  </r>
  <r>
    <x v="182"/>
    <s v="ZTAN"/>
    <x v="8"/>
    <s v="UA7248"/>
    <s v="78907355"/>
    <s v="SAN BERNARDO"/>
    <x v="1894"/>
    <x v="1"/>
    <x v="1"/>
    <x v="4"/>
    <x v="1"/>
    <n v="4"/>
    <n v="55717"/>
    <n v="0"/>
    <n v="55717"/>
    <n v="11.000090816838233"/>
    <n v="5000"/>
    <n v="100"/>
    <x v="2337"/>
    <x v="8"/>
    <x v="1"/>
    <x v="1"/>
  </r>
  <r>
    <x v="182"/>
    <s v="ZTAN"/>
    <x v="8"/>
    <s v="WC2233"/>
    <s v="125108660"/>
    <s v="EL BOSQUE"/>
    <x v="1895"/>
    <x v="4"/>
    <x v="1"/>
    <x v="25"/>
    <x v="1"/>
    <n v="3"/>
    <n v="55689"/>
    <n v="0"/>
    <n v="55689"/>
    <n v="11.000079010784971"/>
    <n v="5000"/>
    <n v="100"/>
    <x v="2338"/>
    <x v="8"/>
    <x v="1"/>
    <x v="1"/>
  </r>
  <r>
    <x v="183"/>
    <s v="ZPEP"/>
    <x v="12"/>
    <s v="WG4022"/>
    <s v="81417709"/>
    <s v="VITACURA"/>
    <x v="1769"/>
    <x v="1"/>
    <x v="0"/>
    <x v="27"/>
    <x v="1"/>
    <n v="4"/>
    <n v="258587"/>
    <n v="0"/>
    <n v="258587"/>
    <n v="10.999985536801608"/>
    <n v="5000"/>
    <n v="100"/>
    <x v="2339"/>
    <x v="8"/>
    <x v="1"/>
    <x v="1"/>
  </r>
  <r>
    <x v="183"/>
    <s v="ZPEP"/>
    <x v="33"/>
    <s v="DJLF85"/>
    <s v="53173292"/>
    <s v="COLINA"/>
    <x v="1896"/>
    <x v="4"/>
    <x v="1"/>
    <x v="5"/>
    <x v="1"/>
    <n v="5"/>
    <n v="70000"/>
    <n v="0"/>
    <n v="81712.95"/>
    <n v="11"/>
    <n v="10000"/>
    <n v="74"/>
    <x v="2340"/>
    <x v="8"/>
    <x v="1"/>
    <x v="1"/>
  </r>
  <r>
    <x v="183"/>
    <s v="ZTAN"/>
    <x v="10"/>
    <s v="KKPF51"/>
    <s v="95707334"/>
    <s v="SANTIAGO"/>
    <x v="1897"/>
    <x v="8"/>
    <x v="0"/>
    <x v="20"/>
    <x v="1"/>
    <n v="1"/>
    <n v="118567"/>
    <n v="0"/>
    <n v="118567"/>
    <n v="10.999977734153211"/>
    <n v="5000"/>
    <n v="100"/>
    <x v="2341"/>
    <x v="8"/>
    <x v="1"/>
    <x v="1"/>
  </r>
  <r>
    <x v="183"/>
    <s v="ZTAN"/>
    <x v="66"/>
    <s v="XR6339"/>
    <s v="78907355"/>
    <s v="SANTIAGO"/>
    <x v="1801"/>
    <x v="1"/>
    <x v="1"/>
    <x v="20"/>
    <x v="1"/>
    <n v="1"/>
    <n v="85866"/>
    <n v="0"/>
    <n v="85866"/>
    <n v="10.999999999999996"/>
    <n v="5000"/>
    <n v="100"/>
    <x v="2342"/>
    <x v="8"/>
    <x v="1"/>
    <x v="1"/>
  </r>
  <r>
    <x v="183"/>
    <s v="ZTAN"/>
    <x v="7"/>
    <s v="HLBX77"/>
    <s v="16093509K"/>
    <s v="SAN MIGUEL"/>
    <x v="1000"/>
    <x v="1"/>
    <x v="1"/>
    <x v="23"/>
    <x v="1"/>
    <n v="2"/>
    <n v="74290"/>
    <n v="0"/>
    <n v="74290"/>
    <n v="11.000059227671169"/>
    <n v="5000"/>
    <n v="100"/>
    <x v="2343"/>
    <x v="8"/>
    <x v="1"/>
    <x v="1"/>
  </r>
  <r>
    <x v="183"/>
    <s v="ZTAN"/>
    <x v="7"/>
    <s v="RH1133"/>
    <s v="65941082"/>
    <s v="MELIPILLA"/>
    <x v="1898"/>
    <x v="0"/>
    <x v="0"/>
    <x v="29"/>
    <x v="1"/>
    <n v="5"/>
    <n v="120000"/>
    <n v="0"/>
    <n v="191223.99999999988"/>
    <n v="11"/>
    <n v="10000"/>
    <n v="100"/>
    <x v="2344"/>
    <x v="8"/>
    <x v="1"/>
    <x v="1"/>
  </r>
  <r>
    <x v="183"/>
    <s v="ZTAN"/>
    <x v="7"/>
    <s v="SV2718"/>
    <s v="154837728"/>
    <s v="SAN MIGUEL"/>
    <x v="1000"/>
    <x v="1"/>
    <x v="1"/>
    <x v="23"/>
    <x v="1"/>
    <n v="2"/>
    <n v="74290"/>
    <n v="0"/>
    <n v="74290"/>
    <n v="11.000059227671169"/>
    <n v="5000"/>
    <n v="100"/>
    <x v="2345"/>
    <x v="8"/>
    <x v="1"/>
    <x v="1"/>
  </r>
  <r>
    <x v="183"/>
    <s v="ZTAN"/>
    <x v="7"/>
    <s v="WC2233"/>
    <s v="53173292"/>
    <s v="SAN MIGUEL"/>
    <x v="1000"/>
    <x v="4"/>
    <x v="1"/>
    <x v="23"/>
    <x v="1"/>
    <n v="2"/>
    <n v="74290"/>
    <n v="0"/>
    <n v="74290"/>
    <n v="11.000059227671169"/>
    <n v="5000"/>
    <n v="100"/>
    <x v="2346"/>
    <x v="8"/>
    <x v="1"/>
    <x v="1"/>
  </r>
  <r>
    <x v="183"/>
    <s v="ZTAN"/>
    <x v="8"/>
    <s v="BDCH61"/>
    <s v="81417709"/>
    <s v="LA REINA"/>
    <x v="1899"/>
    <x v="1"/>
    <x v="1"/>
    <x v="11"/>
    <x v="1"/>
    <n v="3"/>
    <n v="55000"/>
    <n v="0"/>
    <n v="55000"/>
    <n v="11.161937387619586"/>
    <n v="5000"/>
    <n v="99"/>
    <x v="2347"/>
    <x v="8"/>
    <x v="1"/>
    <x v="1"/>
  </r>
  <r>
    <x v="183"/>
    <s v="ZTAN"/>
    <x v="8"/>
    <s v="DTCY42"/>
    <s v="92028607"/>
    <s v="CORONEL"/>
    <x v="1900"/>
    <x v="5"/>
    <x v="0"/>
    <x v="16"/>
    <x v="0"/>
    <n v="0"/>
    <n v="380000"/>
    <n v="0"/>
    <n v="380000"/>
    <n v="34.704147145583896"/>
    <n v="25000"/>
    <n v="44"/>
    <x v="2348"/>
    <x v="8"/>
    <x v="1"/>
    <x v="0"/>
  </r>
  <r>
    <x v="183"/>
    <s v="ZTAN"/>
    <x v="8"/>
    <s v="HLBX77"/>
    <s v="16093509K"/>
    <s v="PUDAHUEL"/>
    <x v="1901"/>
    <x v="1"/>
    <x v="1"/>
    <x v="10"/>
    <x v="1"/>
    <n v="1"/>
    <n v="122666"/>
    <n v="0"/>
    <n v="122666"/>
    <n v="10.999955162982559"/>
    <n v="5000"/>
    <n v="100"/>
    <x v="2349"/>
    <x v="8"/>
    <x v="1"/>
    <x v="1"/>
  </r>
  <r>
    <x v="183"/>
    <s v="ZTAN"/>
    <x v="8"/>
    <s v="SV2718"/>
    <s v="99626232"/>
    <s v="ÑUÑOA"/>
    <x v="1902"/>
    <x v="1"/>
    <x v="1"/>
    <x v="15"/>
    <x v="1"/>
    <n v="4"/>
    <n v="55000"/>
    <n v="0"/>
    <n v="47960"/>
    <n v="11"/>
    <n v="5000"/>
    <n v="40"/>
    <x v="2350"/>
    <x v="8"/>
    <x v="1"/>
    <x v="1"/>
  </r>
  <r>
    <x v="183"/>
    <s v="ZTAN"/>
    <x v="8"/>
    <s v="TP3884"/>
    <s v="154837728"/>
    <s v="REÑACA"/>
    <x v="1903"/>
    <x v="1"/>
    <x v="1"/>
    <x v="6"/>
    <x v="2"/>
    <n v="0"/>
    <n v="180000"/>
    <n v="0"/>
    <n v="180000"/>
    <n v="19.634921362139945"/>
    <n v="25000"/>
    <n v="37"/>
    <x v="2351"/>
    <x v="8"/>
    <x v="1"/>
    <x v="0"/>
  </r>
  <r>
    <x v="183"/>
    <s v="ZTAN"/>
    <x v="8"/>
    <s v="UA7248"/>
    <s v="78907355"/>
    <s v="QUILICURA"/>
    <x v="1904"/>
    <x v="1"/>
    <x v="1"/>
    <x v="8"/>
    <x v="1"/>
    <n v="1"/>
    <n v="66747"/>
    <n v="0"/>
    <n v="66747"/>
    <n v="10.99994396780456"/>
    <n v="5000"/>
    <n v="100"/>
    <x v="2352"/>
    <x v="8"/>
    <x v="1"/>
    <x v="1"/>
  </r>
  <r>
    <x v="184"/>
    <s v="ZPEP"/>
    <x v="58"/>
    <s v="WC2233"/>
    <s v="125108660"/>
    <s v="COLINA"/>
    <x v="1905"/>
    <x v="4"/>
    <x v="1"/>
    <x v="5"/>
    <x v="1"/>
    <n v="5"/>
    <n v="70000"/>
    <n v="0"/>
    <n v="133622.61000000002"/>
    <n v="11.000000000000002"/>
    <n v="10000"/>
    <n v="100"/>
    <x v="2353"/>
    <x v="8"/>
    <x v="1"/>
    <x v="1"/>
  </r>
  <r>
    <x v="184"/>
    <s v="ZPEP"/>
    <x v="14"/>
    <s v="XR6339"/>
    <s v="78907355"/>
    <s v="LA PINTANA"/>
    <x v="1906"/>
    <x v="1"/>
    <x v="1"/>
    <x v="31"/>
    <x v="1"/>
    <n v="4"/>
    <n v="55000"/>
    <n v="0"/>
    <n v="49174.400000000009"/>
    <n v="11"/>
    <n v="5000"/>
    <n v="89"/>
    <x v="2354"/>
    <x v="8"/>
    <x v="1"/>
    <x v="1"/>
  </r>
  <r>
    <x v="184"/>
    <s v="ZTAN"/>
    <x v="17"/>
    <s v="KKPF51"/>
    <s v="95707734"/>
    <s v="LAMPA"/>
    <x v="1907"/>
    <x v="8"/>
    <x v="0"/>
    <x v="17"/>
    <x v="1"/>
    <n v="5"/>
    <n v="120000"/>
    <n v="0"/>
    <n v="144474"/>
    <n v="11"/>
    <n v="10000"/>
    <n v="100"/>
    <x v="2355"/>
    <x v="8"/>
    <x v="1"/>
    <x v="1"/>
  </r>
  <r>
    <x v="184"/>
    <s v="ZTAN"/>
    <x v="10"/>
    <s v="DJLF85"/>
    <s v="53173292"/>
    <s v="QUILICURA"/>
    <x v="1908"/>
    <x v="4"/>
    <x v="1"/>
    <x v="8"/>
    <x v="1"/>
    <n v="1"/>
    <n v="83917"/>
    <n v="0"/>
    <n v="83917"/>
    <n v="11.000026216442951"/>
    <n v="5000"/>
    <n v="100"/>
    <x v="2356"/>
    <x v="8"/>
    <x v="1"/>
    <x v="1"/>
  </r>
  <r>
    <x v="184"/>
    <s v="ZTAN"/>
    <x v="10"/>
    <s v="HLBX77"/>
    <s v="16093509K"/>
    <s v="QUILICURA"/>
    <x v="1909"/>
    <x v="1"/>
    <x v="1"/>
    <x v="8"/>
    <x v="1"/>
    <n v="1"/>
    <n v="111707"/>
    <n v="0"/>
    <n v="111707"/>
    <n v="10.508457037496942"/>
    <n v="5000"/>
    <n v="100"/>
    <x v="2357"/>
    <x v="8"/>
    <x v="1"/>
    <x v="1"/>
  </r>
  <r>
    <x v="184"/>
    <s v="ZTAN"/>
    <x v="10"/>
    <s v="WC2233"/>
    <s v="125108660"/>
    <s v="QUILICURA"/>
    <x v="1910"/>
    <x v="4"/>
    <x v="1"/>
    <x v="8"/>
    <x v="1"/>
    <n v="1"/>
    <n v="78690"/>
    <n v="0"/>
    <n v="78690"/>
    <n v="11.000055915902479"/>
    <n v="5000"/>
    <n v="100"/>
    <x v="2358"/>
    <x v="8"/>
    <x v="1"/>
    <x v="1"/>
  </r>
  <r>
    <x v="184"/>
    <s v="ZTAN"/>
    <x v="10"/>
    <s v="XR6339"/>
    <s v="78907355"/>
    <s v="QUILICURA"/>
    <x v="1911"/>
    <x v="1"/>
    <x v="1"/>
    <x v="8"/>
    <x v="1"/>
    <n v="1"/>
    <n v="87153"/>
    <n v="0"/>
    <n v="87153"/>
    <n v="10.999999999999996"/>
    <n v="5000"/>
    <n v="100"/>
    <x v="2359"/>
    <x v="8"/>
    <x v="1"/>
    <x v="1"/>
  </r>
  <r>
    <x v="184"/>
    <s v="ZTAN"/>
    <x v="7"/>
    <s v="DJLF85"/>
    <s v="125108660"/>
    <s v="RENCA"/>
    <x v="1912"/>
    <x v="4"/>
    <x v="1"/>
    <x v="7"/>
    <x v="1"/>
    <n v="1"/>
    <n v="75349"/>
    <n v="0"/>
    <n v="80573.899999999994"/>
    <n v="11"/>
    <n v="5000"/>
    <n v="100"/>
    <x v="2360"/>
    <x v="8"/>
    <x v="1"/>
    <x v="1"/>
  </r>
  <r>
    <x v="184"/>
    <s v="ZTAN"/>
    <x v="7"/>
    <s v="HLBX77"/>
    <s v="16093509K"/>
    <s v="SAN MIGUEL"/>
    <x v="1000"/>
    <x v="1"/>
    <x v="1"/>
    <x v="23"/>
    <x v="1"/>
    <n v="2"/>
    <n v="74290"/>
    <n v="0"/>
    <n v="74290"/>
    <n v="11.000059227671169"/>
    <n v="5000"/>
    <n v="100"/>
    <x v="2361"/>
    <x v="8"/>
    <x v="1"/>
    <x v="1"/>
  </r>
  <r>
    <x v="184"/>
    <s v="ZTAN"/>
    <x v="7"/>
    <s v="RK5135"/>
    <s v="138841065"/>
    <s v="MELIPILLA"/>
    <x v="1913"/>
    <x v="3"/>
    <x v="1"/>
    <x v="29"/>
    <x v="1"/>
    <n v="5"/>
    <n v="90000"/>
    <n v="0"/>
    <n v="111293.6"/>
    <n v="11"/>
    <n v="10000"/>
    <n v="100"/>
    <x v="2362"/>
    <x v="8"/>
    <x v="1"/>
    <x v="1"/>
  </r>
  <r>
    <x v="184"/>
    <s v="ZTAN"/>
    <x v="7"/>
    <s v="SU9354"/>
    <s v="72564391"/>
    <s v="RENCA"/>
    <x v="1914"/>
    <x v="2"/>
    <x v="1"/>
    <x v="7"/>
    <x v="1"/>
    <n v="1"/>
    <n v="94466"/>
    <n v="0"/>
    <n v="94466"/>
    <n v="11.000023288851622"/>
    <n v="5000"/>
    <n v="100"/>
    <x v="2363"/>
    <x v="8"/>
    <x v="1"/>
    <x v="1"/>
  </r>
  <r>
    <x v="184"/>
    <s v="ZTAN"/>
    <x v="7"/>
    <s v="SU9354"/>
    <s v="72564391"/>
    <s v="SAN MIGUEL"/>
    <x v="1915"/>
    <x v="2"/>
    <x v="1"/>
    <x v="23"/>
    <x v="1"/>
    <n v="2"/>
    <n v="62062"/>
    <n v="0"/>
    <n v="62062"/>
    <n v="11.000000000000002"/>
    <n v="5000"/>
    <n v="100"/>
    <x v="2364"/>
    <x v="8"/>
    <x v="1"/>
    <x v="1"/>
  </r>
  <r>
    <x v="184"/>
    <s v="ZTAN"/>
    <x v="7"/>
    <s v="UK7193"/>
    <s v="172861164"/>
    <s v="RANCAGUA"/>
    <x v="1916"/>
    <x v="1"/>
    <x v="0"/>
    <x v="28"/>
    <x v="6"/>
    <n v="0"/>
    <n v="230000"/>
    <n v="0"/>
    <n v="230000"/>
    <n v="12.821013083007706"/>
    <n v="25000"/>
    <n v="72"/>
    <x v="2365"/>
    <x v="8"/>
    <x v="1"/>
    <x v="0"/>
  </r>
  <r>
    <x v="184"/>
    <s v="ZTAN"/>
    <x v="7"/>
    <s v="WC2233"/>
    <s v="53173292"/>
    <s v="RENCA"/>
    <x v="1917"/>
    <x v="4"/>
    <x v="1"/>
    <x v="7"/>
    <x v="1"/>
    <n v="1"/>
    <n v="100170"/>
    <n v="0"/>
    <n v="100170"/>
    <n v="10.999956074848461"/>
    <n v="5000"/>
    <n v="100"/>
    <x v="2366"/>
    <x v="8"/>
    <x v="1"/>
    <x v="1"/>
  </r>
  <r>
    <x v="184"/>
    <s v="ZTAN"/>
    <x v="7"/>
    <s v="WC2233"/>
    <s v="53173292"/>
    <s v="SAN MIGUEL"/>
    <x v="1000"/>
    <x v="4"/>
    <x v="1"/>
    <x v="23"/>
    <x v="1"/>
    <n v="2"/>
    <n v="74290"/>
    <n v="0"/>
    <n v="74290"/>
    <n v="11.000059227671169"/>
    <n v="5000"/>
    <n v="100"/>
    <x v="2367"/>
    <x v="8"/>
    <x v="1"/>
    <x v="1"/>
  </r>
  <r>
    <x v="184"/>
    <s v="ZTAN"/>
    <x v="8"/>
    <s v="BDCH61"/>
    <s v="99626232"/>
    <s v="PUDAHUEL"/>
    <x v="1918"/>
    <x v="1"/>
    <x v="1"/>
    <x v="10"/>
    <x v="1"/>
    <n v="1"/>
    <n v="81717"/>
    <n v="0"/>
    <n v="81717"/>
    <n v="9.2285540046076715"/>
    <n v="5000"/>
    <n v="100"/>
    <x v="2368"/>
    <x v="8"/>
    <x v="1"/>
    <x v="1"/>
  </r>
  <r>
    <x v="184"/>
    <s v="ZTAN"/>
    <x v="8"/>
    <s v="SV2718"/>
    <s v="154837728"/>
    <s v="LAS CONDES"/>
    <x v="1919"/>
    <x v="1"/>
    <x v="1"/>
    <x v="3"/>
    <x v="1"/>
    <n v="4"/>
    <n v="55000"/>
    <n v="0"/>
    <n v="55000"/>
    <n v="12.629335880632111"/>
    <n v="5000"/>
    <n v="87"/>
    <x v="2369"/>
    <x v="8"/>
    <x v="1"/>
    <x v="1"/>
  </r>
  <r>
    <x v="184"/>
    <s v="ZTAN"/>
    <x v="8"/>
    <s v="UA7248"/>
    <s v="78907355"/>
    <s v="QUILIN"/>
    <x v="237"/>
    <x v="1"/>
    <x v="1"/>
    <x v="34"/>
    <x v="1"/>
    <n v="4"/>
    <n v="55000"/>
    <n v="0"/>
    <n v="55000"/>
    <n v="11.049501767920281"/>
    <n v="5000"/>
    <n v="100"/>
    <x v="2370"/>
    <x v="8"/>
    <x v="1"/>
    <x v="1"/>
  </r>
  <r>
    <x v="185"/>
    <s v="ZPEP"/>
    <x v="17"/>
    <s v="KKPF51"/>
    <s v="95707734"/>
    <s v="LAMPA"/>
    <x v="1920"/>
    <x v="8"/>
    <x v="0"/>
    <x v="17"/>
    <x v="1"/>
    <n v="5"/>
    <n v="120000"/>
    <n v="0"/>
    <n v="151324.79999999999"/>
    <n v="11"/>
    <n v="10000"/>
    <n v="100"/>
    <x v="2371"/>
    <x v="8"/>
    <x v="1"/>
    <x v="1"/>
  </r>
  <r>
    <x v="185"/>
    <s v="ZTAN"/>
    <x v="34"/>
    <s v="XR6339"/>
    <s v="78907355"/>
    <s v="QUINTA NORMAL"/>
    <x v="1684"/>
    <x v="1"/>
    <x v="1"/>
    <x v="62"/>
    <x v="1"/>
    <n v="1"/>
    <n v="55000"/>
    <n v="0"/>
    <n v="55000"/>
    <n v="11.446886446886447"/>
    <n v="5000"/>
    <n v="96"/>
    <x v="2372"/>
    <x v="8"/>
    <x v="1"/>
    <x v="1"/>
  </r>
  <r>
    <x v="185"/>
    <s v="ZTAN"/>
    <x v="10"/>
    <s v="DJLF85"/>
    <s v="53173292"/>
    <s v="QUILICURA"/>
    <x v="1921"/>
    <x v="4"/>
    <x v="1"/>
    <x v="8"/>
    <x v="1"/>
    <n v="1"/>
    <n v="81303"/>
    <n v="0"/>
    <n v="81303"/>
    <n v="10.656818539296388"/>
    <n v="5000"/>
    <n v="100"/>
    <x v="2373"/>
    <x v="8"/>
    <x v="1"/>
    <x v="1"/>
  </r>
  <r>
    <x v="185"/>
    <s v="ZTAN"/>
    <x v="10"/>
    <s v="WG4022"/>
    <s v="81417709"/>
    <s v="SANTIAGO"/>
    <x v="315"/>
    <x v="1"/>
    <x v="0"/>
    <x v="20"/>
    <x v="1"/>
    <n v="1"/>
    <n v="104544"/>
    <n v="0"/>
    <n v="104544"/>
    <n v="10.999999999999989"/>
    <n v="5000"/>
    <n v="100"/>
    <x v="2374"/>
    <x v="8"/>
    <x v="1"/>
    <x v="1"/>
  </r>
  <r>
    <x v="185"/>
    <s v="ZTAN"/>
    <x v="7"/>
    <s v="SV2718"/>
    <s v="99626232"/>
    <s v="RENCA"/>
    <x v="1922"/>
    <x v="1"/>
    <x v="1"/>
    <x v="7"/>
    <x v="1"/>
    <n v="1"/>
    <n v="74980"/>
    <n v="0"/>
    <n v="89698.4"/>
    <n v="11"/>
    <n v="5000"/>
    <n v="100"/>
    <x v="2375"/>
    <x v="8"/>
    <x v="1"/>
    <x v="1"/>
  </r>
  <r>
    <x v="185"/>
    <s v="ZTAN"/>
    <x v="7"/>
    <s v="WC2233"/>
    <s v="125108660"/>
    <s v="SAN MIGUEL"/>
    <x v="448"/>
    <x v="4"/>
    <x v="1"/>
    <x v="23"/>
    <x v="1"/>
    <n v="2"/>
    <n v="66035"/>
    <n v="0"/>
    <n v="66035"/>
    <n v="10.99996668443497"/>
    <n v="5000"/>
    <n v="100"/>
    <x v="2376"/>
    <x v="8"/>
    <x v="1"/>
    <x v="1"/>
  </r>
  <r>
    <x v="185"/>
    <s v="ZTAN"/>
    <x v="7"/>
    <s v="XR6339"/>
    <s v="78907355"/>
    <s v="RENCA"/>
    <x v="1923"/>
    <x v="1"/>
    <x v="1"/>
    <x v="7"/>
    <x v="1"/>
    <n v="1"/>
    <n v="91364"/>
    <n v="0"/>
    <n v="91364"/>
    <n v="11.000024079558861"/>
    <n v="5000"/>
    <n v="100"/>
    <x v="2377"/>
    <x v="8"/>
    <x v="1"/>
    <x v="1"/>
  </r>
  <r>
    <x v="185"/>
    <s v="ZTAN"/>
    <x v="8"/>
    <s v="BPKD94"/>
    <s v="125897358"/>
    <s v="LA SERENA"/>
    <x v="1924"/>
    <x v="0"/>
    <x v="0"/>
    <x v="63"/>
    <x v="8"/>
    <n v="0"/>
    <n v="600000"/>
    <n v="0"/>
    <n v="600000"/>
    <n v="28.502208921191393"/>
    <n v="25000"/>
    <n v="84"/>
    <x v="2378"/>
    <x v="8"/>
    <x v="1"/>
    <x v="0"/>
  </r>
  <r>
    <x v="185"/>
    <s v="ZTAN"/>
    <x v="8"/>
    <s v="HLBX77"/>
    <s v="16093509K"/>
    <s v="PUDAHUEL"/>
    <x v="1925"/>
    <x v="1"/>
    <x v="1"/>
    <x v="10"/>
    <x v="1"/>
    <n v="1"/>
    <n v="70050"/>
    <n v="0"/>
    <n v="70050"/>
    <n v="11.000037687495286"/>
    <n v="5000"/>
    <n v="100"/>
    <x v="2379"/>
    <x v="8"/>
    <x v="1"/>
    <x v="1"/>
  </r>
  <r>
    <x v="185"/>
    <s v="ZTAN"/>
    <x v="45"/>
    <s v="SU9354"/>
    <s v="72564391"/>
    <s v="VITACURA"/>
    <x v="588"/>
    <x v="2"/>
    <x v="1"/>
    <x v="27"/>
    <x v="1"/>
    <n v="4"/>
    <n v="145364"/>
    <n v="0"/>
    <n v="145364"/>
    <n v="11.000024215127191"/>
    <n v="5000"/>
    <n v="100"/>
    <x v="2380"/>
    <x v="8"/>
    <x v="1"/>
    <x v="1"/>
  </r>
  <r>
    <x v="186"/>
    <s v="ZPEP"/>
    <x v="17"/>
    <s v="RK5435"/>
    <s v="138841065"/>
    <s v="LAMPA"/>
    <x v="1926"/>
    <x v="0"/>
    <x v="0"/>
    <x v="17"/>
    <x v="1"/>
    <n v="5"/>
    <n v="120000"/>
    <n v="0"/>
    <n v="90078.449999999983"/>
    <n v="11"/>
    <n v="10000"/>
    <n v="82"/>
    <x v="2381"/>
    <x v="8"/>
    <x v="1"/>
    <x v="1"/>
  </r>
  <r>
    <x v="186"/>
    <s v="ZPEP"/>
    <x v="35"/>
    <s v="HLBX77"/>
    <s v="16093509K"/>
    <s v="PADRE HURTADO"/>
    <x v="1927"/>
    <x v="1"/>
    <x v="1"/>
    <x v="26"/>
    <x v="1"/>
    <n v="5"/>
    <n v="70000"/>
    <n v="0"/>
    <n v="76964.58"/>
    <n v="11"/>
    <n v="10000"/>
    <n v="70"/>
    <x v="2382"/>
    <x v="8"/>
    <x v="1"/>
    <x v="1"/>
  </r>
  <r>
    <x v="186"/>
    <s v="ZPEP"/>
    <x v="35"/>
    <s v="XR6339"/>
    <s v="78907355"/>
    <s v="PADRE HURTADO"/>
    <x v="1928"/>
    <x v="1"/>
    <x v="1"/>
    <x v="26"/>
    <x v="1"/>
    <n v="5"/>
    <n v="79041.16"/>
    <n v="0"/>
    <n v="79041.16"/>
    <n v="11"/>
    <n v="10000"/>
    <n v="72"/>
    <x v="2383"/>
    <x v="8"/>
    <x v="1"/>
    <x v="1"/>
  </r>
  <r>
    <x v="186"/>
    <s v="ZTAN"/>
    <x v="65"/>
    <s v="WC2233"/>
    <s v="125108660"/>
    <s v="CODEGUA"/>
    <x v="1929"/>
    <x v="4"/>
    <x v="1"/>
    <x v="79"/>
    <x v="6"/>
    <n v="0"/>
    <n v="80000"/>
    <n v="0"/>
    <n v="80000"/>
    <n v="10.803802938634398"/>
    <n v="25000"/>
    <n v="30"/>
    <x v="2384"/>
    <x v="8"/>
    <x v="1"/>
    <x v="0"/>
  </r>
  <r>
    <x v="186"/>
    <s v="ZTAN"/>
    <x v="10"/>
    <s v="RH1133"/>
    <s v="65941082"/>
    <s v="SANTIAGO"/>
    <x v="1930"/>
    <x v="0"/>
    <x v="0"/>
    <x v="20"/>
    <x v="1"/>
    <n v="1"/>
    <n v="191720"/>
    <n v="0"/>
    <n v="191720"/>
    <n v="10.999994262469084"/>
    <n v="5000"/>
    <n v="100"/>
    <x v="2385"/>
    <x v="8"/>
    <x v="1"/>
    <x v="1"/>
  </r>
  <r>
    <x v="186"/>
    <s v="ZTAN"/>
    <x v="10"/>
    <s v="WG4022"/>
    <s v="81417709"/>
    <s v="SANTIAGO"/>
    <x v="1931"/>
    <x v="1"/>
    <x v="0"/>
    <x v="20"/>
    <x v="1"/>
    <n v="1"/>
    <n v="187044"/>
    <n v="0"/>
    <n v="187044"/>
    <n v="10.999999999999993"/>
    <n v="5000"/>
    <n v="100"/>
    <x v="2386"/>
    <x v="8"/>
    <x v="1"/>
    <x v="1"/>
  </r>
  <r>
    <x v="186"/>
    <s v="ZTAN"/>
    <x v="7"/>
    <s v="BDCH61"/>
    <s v="96626232"/>
    <s v="SAN MIGUEL"/>
    <x v="1932"/>
    <x v="1"/>
    <x v="1"/>
    <x v="23"/>
    <x v="1"/>
    <n v="2"/>
    <n v="55000"/>
    <n v="0"/>
    <n v="85404"/>
    <n v="11"/>
    <n v="5000"/>
    <n v="85"/>
    <x v="2387"/>
    <x v="8"/>
    <x v="1"/>
    <x v="1"/>
  </r>
  <r>
    <x v="186"/>
    <s v="ZTAN"/>
    <x v="7"/>
    <s v="DJLF85"/>
    <s v="53173292"/>
    <s v="RENCA"/>
    <x v="1933"/>
    <x v="4"/>
    <x v="1"/>
    <x v="7"/>
    <x v="1"/>
    <n v="1"/>
    <n v="101728"/>
    <n v="0"/>
    <n v="101728"/>
    <n v="11.000000000000002"/>
    <n v="5000"/>
    <n v="100"/>
    <x v="2388"/>
    <x v="8"/>
    <x v="1"/>
    <x v="1"/>
  </r>
  <r>
    <x v="186"/>
    <s v="ZTAN"/>
    <x v="7"/>
    <s v="KKPF51"/>
    <s v="957007734"/>
    <s v="CHILLAN"/>
    <x v="1934"/>
    <x v="8"/>
    <x v="0"/>
    <x v="21"/>
    <x v="5"/>
    <n v="0"/>
    <n v="350000"/>
    <n v="0"/>
    <n v="350000"/>
    <n v="16.179389676439943"/>
    <n v="25000"/>
    <n v="51"/>
    <x v="2389"/>
    <x v="8"/>
    <x v="1"/>
    <x v="0"/>
  </r>
  <r>
    <x v="186"/>
    <s v="ZTAN"/>
    <x v="7"/>
    <s v="SV2718"/>
    <s v="154837728"/>
    <s v="SAN MIGUEL"/>
    <x v="1935"/>
    <x v="1"/>
    <x v="1"/>
    <x v="23"/>
    <x v="1"/>
    <n v="2"/>
    <n v="72396"/>
    <n v="0"/>
    <n v="79546.5"/>
    <n v="11"/>
    <n v="5000"/>
    <n v="100"/>
    <x v="2390"/>
    <x v="8"/>
    <x v="1"/>
    <x v="1"/>
  </r>
  <r>
    <x v="186"/>
    <s v="ZTAN"/>
    <x v="7"/>
    <s v="UA7248"/>
    <s v="78907355"/>
    <s v="SAN MIGUEL"/>
    <x v="1936"/>
    <x v="1"/>
    <x v="1"/>
    <x v="23"/>
    <x v="1"/>
    <n v="2"/>
    <n v="68858"/>
    <n v="0"/>
    <n v="68858"/>
    <n v="11.000031949902553"/>
    <n v="5000"/>
    <n v="100"/>
    <x v="2391"/>
    <x v="8"/>
    <x v="1"/>
    <x v="1"/>
  </r>
  <r>
    <x v="186"/>
    <s v="ZTAN"/>
    <x v="7"/>
    <s v="WC2233"/>
    <s v="125108660"/>
    <s v="RENCA"/>
    <x v="1937"/>
    <x v="4"/>
    <x v="1"/>
    <x v="7"/>
    <x v="1"/>
    <n v="1"/>
    <n v="98628"/>
    <n v="0"/>
    <n v="98628"/>
    <n v="10.999977694006381"/>
    <n v="5000"/>
    <n v="100"/>
    <x v="2392"/>
    <x v="8"/>
    <x v="1"/>
    <x v="1"/>
  </r>
  <r>
    <x v="186"/>
    <s v="ZTAN"/>
    <x v="8"/>
    <s v="BDCH61"/>
    <s v="99626232"/>
    <s v="SAN MIGUEL"/>
    <x v="1938"/>
    <x v="1"/>
    <x v="1"/>
    <x v="23"/>
    <x v="1"/>
    <n v="2"/>
    <n v="55000"/>
    <n v="0"/>
    <n v="55000"/>
    <n v="12.295063643720352"/>
    <n v="5000"/>
    <n v="89"/>
    <x v="2393"/>
    <x v="8"/>
    <x v="1"/>
    <x v="1"/>
  </r>
  <r>
    <x v="186"/>
    <s v="ZTAN"/>
    <x v="45"/>
    <s v="SU9354"/>
    <s v="72564391"/>
    <s v="VITACURA"/>
    <x v="1939"/>
    <x v="2"/>
    <x v="1"/>
    <x v="27"/>
    <x v="1"/>
    <n v="4"/>
    <n v="132914"/>
    <n v="0"/>
    <n v="132914"/>
    <n v="10.999973516773812"/>
    <n v="5000"/>
    <n v="100"/>
    <x v="2394"/>
    <x v="8"/>
    <x v="1"/>
    <x v="1"/>
  </r>
  <r>
    <x v="187"/>
    <s v="ZPEP"/>
    <x v="35"/>
    <s v="DJLF85"/>
    <s v="125108660"/>
    <s v="PADRE HURTADO"/>
    <x v="1940"/>
    <x v="4"/>
    <x v="1"/>
    <x v="26"/>
    <x v="1"/>
    <n v="5"/>
    <n v="70000"/>
    <n v="0"/>
    <n v="57836.460000000006"/>
    <n v="11"/>
    <n v="10000"/>
    <n v="53"/>
    <x v="2395"/>
    <x v="8"/>
    <x v="1"/>
    <x v="1"/>
  </r>
  <r>
    <x v="187"/>
    <s v="ZPEP"/>
    <x v="35"/>
    <s v="RK5135"/>
    <s v="138841065"/>
    <s v="PADRE HURTADO"/>
    <x v="1941"/>
    <x v="3"/>
    <x v="1"/>
    <x v="26"/>
    <x v="1"/>
    <n v="5"/>
    <n v="70000"/>
    <n v="0"/>
    <n v="39397.050000000003"/>
    <n v="11"/>
    <n v="10000"/>
    <n v="36"/>
    <x v="2396"/>
    <x v="8"/>
    <x v="1"/>
    <x v="1"/>
  </r>
  <r>
    <x v="187"/>
    <s v="ZPEP"/>
    <x v="12"/>
    <s v="WG4022"/>
    <s v="81417709"/>
    <s v="VITACURA"/>
    <x v="1770"/>
    <x v="1"/>
    <x v="0"/>
    <x v="27"/>
    <x v="1"/>
    <n v="4"/>
    <n v="248447"/>
    <n v="0"/>
    <n v="248447"/>
    <n v="11.000015053533019"/>
    <n v="5000"/>
    <n v="100"/>
    <x v="2397"/>
    <x v="8"/>
    <x v="1"/>
    <x v="1"/>
  </r>
  <r>
    <x v="187"/>
    <s v="ZPEP"/>
    <x v="33"/>
    <s v="XR6339"/>
    <s v="78907355"/>
    <s v="PUENTE ALTA"/>
    <x v="1942"/>
    <x v="1"/>
    <x v="1"/>
    <x v="30"/>
    <x v="1"/>
    <n v="4"/>
    <n v="55000"/>
    <n v="0"/>
    <n v="55000"/>
    <n v="12.203428941652078"/>
    <n v="5000"/>
    <n v="90"/>
    <x v="2398"/>
    <x v="8"/>
    <x v="1"/>
    <x v="1"/>
  </r>
  <r>
    <x v="187"/>
    <s v="ZTAN"/>
    <x v="5"/>
    <s v="XR6339"/>
    <s v="78907355"/>
    <s v="COLINA"/>
    <x v="1943"/>
    <x v="1"/>
    <x v="1"/>
    <x v="5"/>
    <x v="1"/>
    <n v="5"/>
    <n v="70000"/>
    <n v="0"/>
    <n v="93020.4"/>
    <n v="11"/>
    <n v="10000"/>
    <n v="85"/>
    <x v="2399"/>
    <x v="8"/>
    <x v="1"/>
    <x v="1"/>
  </r>
  <r>
    <x v="187"/>
    <s v="ZTAN"/>
    <x v="10"/>
    <s v="JTYB84"/>
    <s v="6270439K"/>
    <s v="TALCAHUANO"/>
    <x v="1944"/>
    <x v="5"/>
    <x v="0"/>
    <x v="0"/>
    <x v="0"/>
    <n v="0"/>
    <n v="380000"/>
    <n v="0"/>
    <n v="380000"/>
    <n v="23.486801035891556"/>
    <n v="25000"/>
    <n v="65"/>
    <x v="2400"/>
    <x v="8"/>
    <x v="1"/>
    <x v="0"/>
  </r>
  <r>
    <x v="187"/>
    <s v="ZTAN"/>
    <x v="10"/>
    <s v="RH1133"/>
    <s v="65941082"/>
    <s v="SANTIAGO"/>
    <x v="1945"/>
    <x v="0"/>
    <x v="0"/>
    <x v="20"/>
    <x v="1"/>
    <n v="1"/>
    <n v="101112"/>
    <n v="0"/>
    <n v="101112"/>
    <n v="10.999999999999998"/>
    <n v="5000"/>
    <n v="100"/>
    <x v="2401"/>
    <x v="8"/>
    <x v="1"/>
    <x v="1"/>
  </r>
  <r>
    <x v="187"/>
    <s v="ZTAN"/>
    <x v="16"/>
    <s v="UA7248"/>
    <s v="154837728"/>
    <s v="RENCA"/>
    <x v="1067"/>
    <x v="1"/>
    <x v="1"/>
    <x v="7"/>
    <x v="1"/>
    <n v="1"/>
    <n v="93522"/>
    <n v="0"/>
    <n v="93522"/>
    <n v="11"/>
    <n v="5000"/>
    <n v="100"/>
    <x v="2402"/>
    <x v="8"/>
    <x v="1"/>
    <x v="1"/>
  </r>
  <r>
    <x v="187"/>
    <s v="ZTAN"/>
    <x v="7"/>
    <s v="CJFZ67"/>
    <s v="115812335"/>
    <s v="CHILLAN"/>
    <x v="1946"/>
    <x v="5"/>
    <x v="0"/>
    <x v="21"/>
    <x v="5"/>
    <n v="0"/>
    <n v="350000"/>
    <n v="0"/>
    <n v="350000"/>
    <n v="15.756680832673062"/>
    <n v="25000"/>
    <n v="89"/>
    <x v="2403"/>
    <x v="8"/>
    <x v="1"/>
    <x v="0"/>
  </r>
  <r>
    <x v="187"/>
    <s v="ZTAN"/>
    <x v="7"/>
    <s v="SU9354"/>
    <s v="72564391"/>
    <s v="RENCA"/>
    <x v="1947"/>
    <x v="2"/>
    <x v="1"/>
    <x v="7"/>
    <x v="1"/>
    <n v="1"/>
    <n v="114431"/>
    <n v="0"/>
    <n v="114431"/>
    <n v="11.00001922559311"/>
    <n v="5000"/>
    <n v="100"/>
    <x v="2404"/>
    <x v="8"/>
    <x v="1"/>
    <x v="1"/>
  </r>
  <r>
    <x v="187"/>
    <s v="ZTAN"/>
    <x v="7"/>
    <s v="WC2233"/>
    <s v="53173292"/>
    <s v="RENCA"/>
    <x v="1948"/>
    <x v="4"/>
    <x v="1"/>
    <x v="7"/>
    <x v="1"/>
    <n v="1"/>
    <n v="84016"/>
    <n v="0"/>
    <n v="84016"/>
    <n v="11.000026185550812"/>
    <n v="5000"/>
    <n v="100"/>
    <x v="2405"/>
    <x v="8"/>
    <x v="1"/>
    <x v="1"/>
  </r>
  <r>
    <x v="187"/>
    <s v="ZTAN"/>
    <x v="8"/>
    <s v="BDCH61"/>
    <s v="99626232"/>
    <s v="PUDAHUEL"/>
    <x v="1949"/>
    <x v="1"/>
    <x v="1"/>
    <x v="10"/>
    <x v="1"/>
    <n v="1"/>
    <n v="55000"/>
    <n v="0"/>
    <n v="55000"/>
    <n v="12.522426527508356"/>
    <n v="5000"/>
    <n v="51"/>
    <x v="2406"/>
    <x v="8"/>
    <x v="1"/>
    <x v="1"/>
  </r>
  <r>
    <x v="188"/>
    <s v="ZPEP"/>
    <x v="35"/>
    <s v="RH1133"/>
    <s v="65941082"/>
    <s v="PADRE HURTADO"/>
    <x v="1950"/>
    <x v="0"/>
    <x v="0"/>
    <x v="26"/>
    <x v="1"/>
    <n v="5"/>
    <n v="120000"/>
    <n v="0"/>
    <n v="120000"/>
    <n v="11.578563447633053"/>
    <n v="10000"/>
    <n v="100"/>
    <x v="2407"/>
    <x v="8"/>
    <x v="1"/>
    <x v="1"/>
  </r>
  <r>
    <x v="188"/>
    <s v="ZPEP"/>
    <x v="35"/>
    <s v="RK5135"/>
    <s v="138841065"/>
    <s v="PADRE HURTADO"/>
    <x v="1951"/>
    <x v="3"/>
    <x v="1"/>
    <x v="26"/>
    <x v="1"/>
    <n v="5"/>
    <n v="70000"/>
    <n v="0"/>
    <n v="70000"/>
    <n v="14.012947963918663"/>
    <n v="10000"/>
    <n v="50"/>
    <x v="2408"/>
    <x v="8"/>
    <x v="1"/>
    <x v="1"/>
  </r>
  <r>
    <x v="188"/>
    <s v="ZTAN"/>
    <x v="17"/>
    <s v="SU9354"/>
    <s v="72564391"/>
    <s v="LAMPA"/>
    <x v="835"/>
    <x v="2"/>
    <x v="1"/>
    <x v="17"/>
    <x v="1"/>
    <n v="5"/>
    <n v="70000"/>
    <n v="0"/>
    <n v="152767.99999999991"/>
    <n v="11.000000000000002"/>
    <n v="10000"/>
    <n v="100"/>
    <x v="2409"/>
    <x v="8"/>
    <x v="1"/>
    <x v="1"/>
  </r>
  <r>
    <x v="188"/>
    <s v="ZTAN"/>
    <x v="6"/>
    <s v="BYZH29"/>
    <s v="122975819"/>
    <s v="PUERTO MONTT"/>
    <x v="1952"/>
    <x v="0"/>
    <x v="0"/>
    <x v="53"/>
    <x v="10"/>
    <n v="0"/>
    <n v="1020000"/>
    <n v="0"/>
    <n v="1020000"/>
    <n v="65.320969311952453"/>
    <n v="25000"/>
    <n v="31"/>
    <x v="2410"/>
    <x v="8"/>
    <x v="1"/>
    <x v="0"/>
  </r>
  <r>
    <x v="188"/>
    <s v="ZTAN"/>
    <x v="7"/>
    <s v="CJXX49"/>
    <s v="167832741"/>
    <s v="CHILLAN"/>
    <x v="1953"/>
    <x v="5"/>
    <x v="0"/>
    <x v="21"/>
    <x v="5"/>
    <n v="0"/>
    <n v="350000"/>
    <n v="0"/>
    <n v="350000"/>
    <n v="17.152826785854302"/>
    <n v="25000"/>
    <n v="82"/>
    <x v="2411"/>
    <x v="8"/>
    <x v="1"/>
    <x v="0"/>
  </r>
  <r>
    <x v="188"/>
    <s v="ZTAN"/>
    <x v="7"/>
    <s v="WC2233"/>
    <s v="53173292"/>
    <s v="RENCA"/>
    <x v="1954"/>
    <x v="4"/>
    <x v="1"/>
    <x v="7"/>
    <x v="1"/>
    <n v="1"/>
    <n v="90902"/>
    <n v="0"/>
    <n v="90902"/>
    <n v="11.000024201941001"/>
    <n v="5000"/>
    <n v="100"/>
    <x v="2412"/>
    <x v="8"/>
    <x v="1"/>
    <x v="1"/>
  </r>
  <r>
    <x v="188"/>
    <s v="ZTAN"/>
    <x v="7"/>
    <s v="XR6339"/>
    <s v="78907355"/>
    <s v="RENCA"/>
    <x v="1955"/>
    <x v="1"/>
    <x v="1"/>
    <x v="7"/>
    <x v="1"/>
    <n v="1"/>
    <n v="78124"/>
    <n v="0"/>
    <n v="78124"/>
    <n v="10.999971839711634"/>
    <n v="5000"/>
    <n v="100"/>
    <x v="2413"/>
    <x v="8"/>
    <x v="1"/>
    <x v="1"/>
  </r>
  <r>
    <x v="188"/>
    <s v="ZTAN"/>
    <x v="8"/>
    <s v="BWPL69"/>
    <s v="78551976"/>
    <s v="CORONEL"/>
    <x v="1956"/>
    <x v="5"/>
    <x v="0"/>
    <x v="16"/>
    <x v="0"/>
    <n v="0"/>
    <n v="380000"/>
    <n v="0"/>
    <n v="380000"/>
    <n v="32.865149103992223"/>
    <n v="25000"/>
    <n v="46"/>
    <x v="2414"/>
    <x v="8"/>
    <x v="1"/>
    <x v="0"/>
  </r>
  <r>
    <x v="188"/>
    <s v="ZTAN"/>
    <x v="8"/>
    <s v="HLBX77"/>
    <s v="16093509K"/>
    <s v="REÑACA"/>
    <x v="1957"/>
    <x v="1"/>
    <x v="1"/>
    <x v="6"/>
    <x v="2"/>
    <n v="0"/>
    <n v="180000"/>
    <n v="0"/>
    <n v="180000"/>
    <n v="30.296807726359212"/>
    <n v="25000"/>
    <n v="24"/>
    <x v="2415"/>
    <x v="8"/>
    <x v="1"/>
    <x v="0"/>
  </r>
  <r>
    <x v="188"/>
    <s v="ZTAN"/>
    <x v="8"/>
    <s v="SV2718"/>
    <s v="99626232"/>
    <s v="CERRILLOS"/>
    <x v="1958"/>
    <x v="1"/>
    <x v="1"/>
    <x v="9"/>
    <x v="1"/>
    <n v="2"/>
    <n v="55000"/>
    <n v="0"/>
    <n v="55000"/>
    <n v="10.005603137757143"/>
    <n v="5000"/>
    <n v="89"/>
    <x v="2416"/>
    <x v="8"/>
    <x v="1"/>
    <x v="1"/>
  </r>
  <r>
    <x v="188"/>
    <s v="ZTAN"/>
    <x v="8"/>
    <s v="UA7248"/>
    <s v="78907355"/>
    <s v="QUILICURA"/>
    <x v="1959"/>
    <x v="1"/>
    <x v="1"/>
    <x v="8"/>
    <x v="1"/>
    <n v="1"/>
    <n v="61999"/>
    <n v="0"/>
    <n v="61999"/>
    <n v="11.000063872368816"/>
    <n v="5000"/>
    <n v="100"/>
    <x v="2417"/>
    <x v="8"/>
    <x v="1"/>
    <x v="1"/>
  </r>
  <r>
    <x v="189"/>
    <s v="ZPEP"/>
    <x v="58"/>
    <s v="HLBX77"/>
    <s v="16093509K"/>
    <s v="COLINA"/>
    <x v="1960"/>
    <x v="1"/>
    <x v="1"/>
    <x v="5"/>
    <x v="1"/>
    <n v="5"/>
    <n v="70000"/>
    <n v="0"/>
    <n v="151138.0199999999"/>
    <n v="11"/>
    <n v="10000"/>
    <n v="100"/>
    <x v="2418"/>
    <x v="8"/>
    <x v="1"/>
    <x v="1"/>
  </r>
  <r>
    <x v="189"/>
    <s v="ZPEP"/>
    <x v="5"/>
    <s v="WG4022"/>
    <s v="81417709"/>
    <s v="LAMPA"/>
    <x v="1961"/>
    <x v="1"/>
    <x v="0"/>
    <x v="17"/>
    <x v="1"/>
    <n v="5"/>
    <n v="120000"/>
    <n v="0"/>
    <n v="120000"/>
    <n v="14.09401885075021"/>
    <n v="10000"/>
    <n v="85"/>
    <x v="2419"/>
    <x v="8"/>
    <x v="1"/>
    <x v="1"/>
  </r>
  <r>
    <x v="189"/>
    <s v="ZPEP"/>
    <x v="12"/>
    <s v="WG4022"/>
    <s v="81417709"/>
    <s v="VITACURA"/>
    <x v="1769"/>
    <x v="1"/>
    <x v="0"/>
    <x v="27"/>
    <x v="1"/>
    <n v="4"/>
    <n v="258587"/>
    <n v="0"/>
    <n v="258587"/>
    <n v="10.999985536801608"/>
    <n v="5000"/>
    <n v="100"/>
    <x v="2420"/>
    <x v="8"/>
    <x v="1"/>
    <x v="1"/>
  </r>
  <r>
    <x v="189"/>
    <s v="ZPEP"/>
    <x v="71"/>
    <s v="DJLF85"/>
    <s v="53173292"/>
    <s v="MAIPU"/>
    <x v="1962"/>
    <x v="4"/>
    <x v="1"/>
    <x v="2"/>
    <x v="1"/>
    <n v="2"/>
    <n v="110653"/>
    <n v="0"/>
    <n v="110653"/>
    <n v="11.000036781773737"/>
    <n v="5000"/>
    <n v="100"/>
    <x v="2421"/>
    <x v="8"/>
    <x v="1"/>
    <x v="1"/>
  </r>
  <r>
    <x v="189"/>
    <s v="ZPEP"/>
    <x v="33"/>
    <s v="XR6339"/>
    <s v="78907355"/>
    <s v="COLINA"/>
    <x v="1963"/>
    <x v="1"/>
    <x v="1"/>
    <x v="5"/>
    <x v="1"/>
    <n v="5"/>
    <n v="70000"/>
    <n v="0"/>
    <n v="70000"/>
    <n v="11.854240261741625"/>
    <n v="10000"/>
    <n v="59"/>
    <x v="2422"/>
    <x v="8"/>
    <x v="1"/>
    <x v="1"/>
  </r>
  <r>
    <x v="189"/>
    <s v="ZTAN"/>
    <x v="6"/>
    <s v="BPKD94"/>
    <s v="125897258"/>
    <s v="LINARES"/>
    <x v="1964"/>
    <x v="0"/>
    <x v="0"/>
    <x v="59"/>
    <x v="3"/>
    <n v="0"/>
    <n v="330000"/>
    <n v="0"/>
    <n v="330000"/>
    <n v="30.807147258163898"/>
    <n v="25000"/>
    <n v="20"/>
    <x v="2423"/>
    <x v="8"/>
    <x v="1"/>
    <x v="0"/>
  </r>
  <r>
    <x v="189"/>
    <s v="ZTAN"/>
    <x v="6"/>
    <s v="JTYB84"/>
    <s v="6270439K"/>
    <s v="LA SERENA"/>
    <x v="1965"/>
    <x v="5"/>
    <x v="0"/>
    <x v="63"/>
    <x v="8"/>
    <n v="0"/>
    <n v="600000"/>
    <n v="0"/>
    <n v="600000"/>
    <n v="47.86368422732059"/>
    <n v="25000"/>
    <n v="30"/>
    <x v="2424"/>
    <x v="8"/>
    <x v="1"/>
    <x v="0"/>
  </r>
  <r>
    <x v="189"/>
    <s v="ZTAN"/>
    <x v="6"/>
    <s v="KKPF51"/>
    <s v="95707334"/>
    <s v="RANCAGUA"/>
    <x v="1966"/>
    <x v="8"/>
    <x v="0"/>
    <x v="28"/>
    <x v="6"/>
    <n v="0"/>
    <n v="230000"/>
    <n v="0"/>
    <n v="230000"/>
    <n v="27.640244195548721"/>
    <n v="25000"/>
    <n v="33"/>
    <x v="2425"/>
    <x v="8"/>
    <x v="1"/>
    <x v="0"/>
  </r>
  <r>
    <x v="189"/>
    <s v="ZTAN"/>
    <x v="7"/>
    <s v="DJLF85"/>
    <s v="53173292"/>
    <s v="RENCA"/>
    <x v="1967"/>
    <x v="4"/>
    <x v="1"/>
    <x v="7"/>
    <x v="1"/>
    <n v="1"/>
    <n v="64898"/>
    <n v="0"/>
    <n v="64898"/>
    <n v="11.000033899454216"/>
    <n v="5000"/>
    <n v="100"/>
    <x v="2426"/>
    <x v="8"/>
    <x v="1"/>
    <x v="1"/>
  </r>
  <r>
    <x v="189"/>
    <s v="ZTAN"/>
    <x v="7"/>
    <s v="WC2233"/>
    <s v="125108660"/>
    <s v="RENCA"/>
    <x v="1967"/>
    <x v="4"/>
    <x v="1"/>
    <x v="7"/>
    <x v="1"/>
    <n v="1"/>
    <n v="64898"/>
    <n v="0"/>
    <n v="64898"/>
    <n v="11.000033899454216"/>
    <n v="5000"/>
    <n v="100"/>
    <x v="2427"/>
    <x v="8"/>
    <x v="1"/>
    <x v="1"/>
  </r>
  <r>
    <x v="189"/>
    <s v="ZTAN"/>
    <x v="8"/>
    <s v="BDCH61"/>
    <s v="99626232"/>
    <s v="SANTIAGO"/>
    <x v="1968"/>
    <x v="1"/>
    <x v="1"/>
    <x v="20"/>
    <x v="1"/>
    <n v="1"/>
    <n v="77557"/>
    <n v="0"/>
    <n v="77557"/>
    <n v="11.00005673276033"/>
    <n v="5000"/>
    <n v="100"/>
    <x v="2428"/>
    <x v="8"/>
    <x v="1"/>
    <x v="1"/>
  </r>
  <r>
    <x v="189"/>
    <s v="ZTAN"/>
    <x v="8"/>
    <s v="CJFZ67"/>
    <s v="115812335"/>
    <s v="CORONEL"/>
    <x v="1969"/>
    <x v="5"/>
    <x v="0"/>
    <x v="16"/>
    <x v="0"/>
    <n v="0"/>
    <n v="380000"/>
    <n v="0"/>
    <n v="380000"/>
    <n v="25.111514951263821"/>
    <n v="25000"/>
    <n v="61"/>
    <x v="2429"/>
    <x v="8"/>
    <x v="1"/>
    <x v="0"/>
  </r>
  <r>
    <x v="189"/>
    <s v="ZTAN"/>
    <x v="8"/>
    <s v="SV2718"/>
    <s v="81417709"/>
    <s v="ÑUÑOA"/>
    <x v="1970"/>
    <x v="1"/>
    <x v="1"/>
    <x v="15"/>
    <x v="1"/>
    <n v="4"/>
    <n v="61019"/>
    <n v="0"/>
    <n v="61019"/>
    <n v="10.999963945774446"/>
    <n v="5000"/>
    <n v="100"/>
    <x v="2430"/>
    <x v="8"/>
    <x v="1"/>
    <x v="1"/>
  </r>
  <r>
    <x v="189"/>
    <s v="ZTAN"/>
    <x v="8"/>
    <s v="TP3884"/>
    <s v="154837728"/>
    <s v="PUDAHUEL"/>
    <x v="1971"/>
    <x v="1"/>
    <x v="1"/>
    <x v="10"/>
    <x v="1"/>
    <n v="1"/>
    <n v="96186"/>
    <n v="0"/>
    <n v="96186"/>
    <n v="10.99997712769607"/>
    <n v="5000"/>
    <n v="100"/>
    <x v="2431"/>
    <x v="8"/>
    <x v="1"/>
    <x v="1"/>
  </r>
  <r>
    <x v="189"/>
    <s v="ZTAN"/>
    <x v="8"/>
    <s v="UA7248"/>
    <s v="78907355"/>
    <s v="LAS CONDES"/>
    <x v="1972"/>
    <x v="1"/>
    <x v="1"/>
    <x v="3"/>
    <x v="1"/>
    <n v="4"/>
    <n v="55000"/>
    <n v="0"/>
    <n v="55000"/>
    <n v="15.658808791709372"/>
    <n v="5000"/>
    <n v="70"/>
    <x v="2432"/>
    <x v="8"/>
    <x v="1"/>
    <x v="1"/>
  </r>
  <r>
    <x v="189"/>
    <s v="ZTAN"/>
    <x v="45"/>
    <s v="SU9354"/>
    <s v="72564391"/>
    <s v="SAN JOSE DE MAIPO"/>
    <x v="899"/>
    <x v="2"/>
    <x v="1"/>
    <x v="66"/>
    <x v="1"/>
    <n v="5"/>
    <n v="90000"/>
    <n v="0"/>
    <n v="90000"/>
    <n v="12.960829493087562"/>
    <n v="10000"/>
    <n v="69"/>
    <x v="2433"/>
    <x v="8"/>
    <x v="1"/>
    <x v="1"/>
  </r>
  <r>
    <x v="190"/>
    <s v="ZPEP"/>
    <x v="58"/>
    <s v="RK5135"/>
    <s v="138841065"/>
    <s v="COLINA"/>
    <x v="1973"/>
    <x v="3"/>
    <x v="1"/>
    <x v="5"/>
    <x v="1"/>
    <n v="5"/>
    <n v="116567.99"/>
    <n v="0"/>
    <n v="116567.99"/>
    <n v="11"/>
    <n v="10000"/>
    <n v="100"/>
    <x v="2434"/>
    <x v="8"/>
    <x v="1"/>
    <x v="1"/>
  </r>
  <r>
    <x v="190"/>
    <s v="ZPEP"/>
    <x v="72"/>
    <s v="HLBX77"/>
    <s v="16093509K"/>
    <s v="COLINA"/>
    <x v="1974"/>
    <x v="1"/>
    <x v="1"/>
    <x v="5"/>
    <x v="1"/>
    <n v="5"/>
    <n v="70000"/>
    <n v="0"/>
    <n v="98608.949999999968"/>
    <n v="11"/>
    <n v="10000"/>
    <n v="90"/>
    <x v="2435"/>
    <x v="8"/>
    <x v="1"/>
    <x v="1"/>
  </r>
  <r>
    <x v="190"/>
    <s v="ZPEP"/>
    <x v="12"/>
    <s v="DJLF85"/>
    <s v="125108660"/>
    <s v="VITACURA"/>
    <x v="576"/>
    <x v="4"/>
    <x v="1"/>
    <x v="27"/>
    <x v="1"/>
    <n v="4"/>
    <n v="106888"/>
    <n v="0"/>
    <n v="106888"/>
    <n v="10.999967068431797"/>
    <n v="5000"/>
    <n v="100"/>
    <x v="2436"/>
    <x v="8"/>
    <x v="1"/>
    <x v="1"/>
  </r>
  <r>
    <x v="190"/>
    <s v="ZPEP"/>
    <x v="12"/>
    <s v="WC2233"/>
    <s v="125108660"/>
    <s v="VITACURA"/>
    <x v="1975"/>
    <x v="4"/>
    <x v="1"/>
    <x v="27"/>
    <x v="1"/>
    <n v="4"/>
    <n v="56413"/>
    <n v="0"/>
    <n v="56413"/>
    <n v="9.6938214410909573"/>
    <n v="5000"/>
    <n v="100"/>
    <x v="2437"/>
    <x v="8"/>
    <x v="1"/>
    <x v="1"/>
  </r>
  <r>
    <x v="190"/>
    <s v="ZPEP"/>
    <x v="71"/>
    <s v="WC2233"/>
    <s v="125108660"/>
    <s v="MAIPU"/>
    <x v="1976"/>
    <x v="4"/>
    <x v="1"/>
    <x v="2"/>
    <x v="1"/>
    <n v="2"/>
    <n v="79644"/>
    <n v="0"/>
    <n v="79644"/>
    <n v="11.000066295412354"/>
    <n v="5000"/>
    <n v="100"/>
    <x v="2438"/>
    <x v="8"/>
    <x v="1"/>
    <x v="1"/>
  </r>
  <r>
    <x v="190"/>
    <s v="ZPEP"/>
    <x v="9"/>
    <s v="TP3884"/>
    <s v="154837728"/>
    <s v="SAN BERNARDO"/>
    <x v="1977"/>
    <x v="1"/>
    <x v="1"/>
    <x v="4"/>
    <x v="1"/>
    <n v="4"/>
    <n v="162877"/>
    <n v="0"/>
    <n v="162877"/>
    <n v="11"/>
    <n v="5000"/>
    <n v="100"/>
    <x v="2439"/>
    <x v="8"/>
    <x v="1"/>
    <x v="1"/>
  </r>
  <r>
    <x v="190"/>
    <s v="ZPEP"/>
    <x v="33"/>
    <s v="XR6339"/>
    <s v="78907355"/>
    <s v="COLINA"/>
    <x v="1978"/>
    <x v="1"/>
    <x v="1"/>
    <x v="5"/>
    <x v="1"/>
    <n v="5"/>
    <n v="70000"/>
    <n v="0"/>
    <n v="70000"/>
    <n v="10.585371017254156"/>
    <n v="10000"/>
    <n v="66"/>
    <x v="2440"/>
    <x v="8"/>
    <x v="1"/>
    <x v="1"/>
  </r>
  <r>
    <x v="190"/>
    <s v="ZTAN"/>
    <x v="32"/>
    <s v="RH1133"/>
    <s v="65941082"/>
    <s v="LAMPA"/>
    <x v="1979"/>
    <x v="0"/>
    <x v="0"/>
    <x v="17"/>
    <x v="1"/>
    <n v="5"/>
    <n v="120000"/>
    <n v="0"/>
    <n v="120000"/>
    <n v="8.5720102435522421"/>
    <n v="10000"/>
    <n v="100"/>
    <x v="2441"/>
    <x v="8"/>
    <x v="1"/>
    <x v="1"/>
  </r>
  <r>
    <x v="190"/>
    <s v="ZTAN"/>
    <x v="10"/>
    <s v="SU9354"/>
    <s v="72564391"/>
    <s v="QUILICURA"/>
    <x v="1380"/>
    <x v="2"/>
    <x v="1"/>
    <x v="8"/>
    <x v="1"/>
    <n v="1"/>
    <n v="113883"/>
    <n v="0"/>
    <n v="113883"/>
    <n v="11"/>
    <n v="5000"/>
    <n v="100"/>
    <x v="2442"/>
    <x v="8"/>
    <x v="1"/>
    <x v="1"/>
  </r>
  <r>
    <x v="190"/>
    <s v="ZTAN"/>
    <x v="7"/>
    <s v="DJLF85"/>
    <s v="53173292"/>
    <s v="RENCA"/>
    <x v="1967"/>
    <x v="4"/>
    <x v="1"/>
    <x v="7"/>
    <x v="1"/>
    <n v="1"/>
    <n v="64898"/>
    <n v="0"/>
    <n v="64898"/>
    <n v="11.000033899454216"/>
    <n v="5000"/>
    <n v="100"/>
    <x v="2443"/>
    <x v="8"/>
    <x v="1"/>
    <x v="1"/>
  </r>
  <r>
    <x v="190"/>
    <s v="ZTAN"/>
    <x v="7"/>
    <s v="VE9862"/>
    <s v="98494073"/>
    <s v="CHILLAN"/>
    <x v="1980"/>
    <x v="5"/>
    <x v="0"/>
    <x v="21"/>
    <x v="5"/>
    <n v="0"/>
    <n v="350000"/>
    <n v="0"/>
    <n v="350000"/>
    <n v="23.104140261934955"/>
    <n v="25000"/>
    <n v="61"/>
    <x v="2444"/>
    <x v="8"/>
    <x v="1"/>
    <x v="0"/>
  </r>
  <r>
    <x v="190"/>
    <s v="ZTAN"/>
    <x v="7"/>
    <s v="WC2233"/>
    <s v="125108660"/>
    <s v="RENCA"/>
    <x v="1967"/>
    <x v="4"/>
    <x v="1"/>
    <x v="7"/>
    <x v="1"/>
    <n v="1"/>
    <n v="64898"/>
    <n v="0"/>
    <n v="64898"/>
    <n v="11.000033899454216"/>
    <n v="5000"/>
    <n v="100"/>
    <x v="2445"/>
    <x v="8"/>
    <x v="1"/>
    <x v="1"/>
  </r>
  <r>
    <x v="190"/>
    <s v="ZTAN"/>
    <x v="8"/>
    <s v="BDCH61"/>
    <s v="81417709"/>
    <s v="SAN BERNARDO"/>
    <x v="1981"/>
    <x v="1"/>
    <x v="1"/>
    <x v="4"/>
    <x v="1"/>
    <n v="4"/>
    <n v="55000"/>
    <n v="0"/>
    <n v="55000"/>
    <n v="12.965887927579621"/>
    <n v="5000"/>
    <n v="85"/>
    <x v="2446"/>
    <x v="8"/>
    <x v="1"/>
    <x v="1"/>
  </r>
  <r>
    <x v="190"/>
    <s v="ZTAN"/>
    <x v="8"/>
    <s v="KKPF51"/>
    <s v="95707734"/>
    <s v="CORONEL"/>
    <x v="1982"/>
    <x v="8"/>
    <x v="0"/>
    <x v="16"/>
    <x v="0"/>
    <n v="0"/>
    <n v="380000"/>
    <n v="0"/>
    <n v="380000"/>
    <n v="24.982249454335079"/>
    <n v="25000"/>
    <n v="41"/>
    <x v="2447"/>
    <x v="8"/>
    <x v="1"/>
    <x v="0"/>
  </r>
  <r>
    <x v="190"/>
    <s v="ZTAN"/>
    <x v="8"/>
    <s v="SV2718"/>
    <s v="99626232"/>
    <s v="PUDAHUEL"/>
    <x v="1983"/>
    <x v="1"/>
    <x v="1"/>
    <x v="10"/>
    <x v="1"/>
    <n v="1"/>
    <n v="64898"/>
    <n v="0"/>
    <n v="64898"/>
    <n v="11.000033899454218"/>
    <n v="5000"/>
    <n v="100"/>
    <x v="2448"/>
    <x v="8"/>
    <x v="1"/>
    <x v="1"/>
  </r>
  <r>
    <x v="190"/>
    <s v="ZTAN"/>
    <x v="8"/>
    <s v="UA7248"/>
    <s v="78907355"/>
    <s v="EL BOSQUE"/>
    <x v="640"/>
    <x v="1"/>
    <x v="1"/>
    <x v="25"/>
    <x v="1"/>
    <n v="3"/>
    <n v="55000"/>
    <n v="0"/>
    <n v="55000"/>
    <n v="14.189886480908152"/>
    <n v="5000"/>
    <n v="78"/>
    <x v="2449"/>
    <x v="8"/>
    <x v="1"/>
    <x v="1"/>
  </r>
  <r>
    <x v="191"/>
    <s v="ZPEP"/>
    <x v="35"/>
    <s v="RH1133"/>
    <s v="65941082"/>
    <s v="PADRE HURTADO"/>
    <x v="1984"/>
    <x v="0"/>
    <x v="0"/>
    <x v="26"/>
    <x v="1"/>
    <n v="5"/>
    <n v="120000"/>
    <n v="0"/>
    <n v="73686.91"/>
    <n v="11"/>
    <n v="10000"/>
    <n v="67"/>
    <x v="2450"/>
    <x v="10"/>
    <x v="1"/>
    <x v="1"/>
  </r>
  <r>
    <x v="191"/>
    <s v="ZPEP"/>
    <x v="35"/>
    <s v="RK5135"/>
    <s v="138841065"/>
    <s v="PADRE HURTADO"/>
    <x v="1985"/>
    <x v="3"/>
    <x v="1"/>
    <x v="26"/>
    <x v="1"/>
    <n v="5"/>
    <n v="70000"/>
    <n v="0"/>
    <n v="75476.72"/>
    <n v="11"/>
    <n v="10000"/>
    <n v="67"/>
    <x v="2451"/>
    <x v="10"/>
    <x v="1"/>
    <x v="1"/>
  </r>
  <r>
    <x v="191"/>
    <s v="ZPEP"/>
    <x v="58"/>
    <s v="DJLF85"/>
    <s v="53173292"/>
    <s v="COLINA"/>
    <x v="1986"/>
    <x v="4"/>
    <x v="1"/>
    <x v="5"/>
    <x v="1"/>
    <n v="5"/>
    <n v="70000"/>
    <n v="0"/>
    <n v="73948.38"/>
    <n v="11"/>
    <n v="10000"/>
    <n v="67"/>
    <x v="2452"/>
    <x v="10"/>
    <x v="1"/>
    <x v="1"/>
  </r>
  <r>
    <x v="191"/>
    <s v="ZPEP"/>
    <x v="58"/>
    <s v="HLBX77"/>
    <s v="16093509K"/>
    <s v="COLINA"/>
    <x v="1987"/>
    <x v="1"/>
    <x v="1"/>
    <x v="5"/>
    <x v="1"/>
    <n v="5"/>
    <n v="70000"/>
    <n v="0"/>
    <n v="105495.39000000001"/>
    <n v="11"/>
    <n v="10000"/>
    <n v="96"/>
    <x v="2453"/>
    <x v="10"/>
    <x v="1"/>
    <x v="1"/>
  </r>
  <r>
    <x v="191"/>
    <s v="ZPEP"/>
    <x v="11"/>
    <s v="BYZH29"/>
    <s v="122975819"/>
    <s v="PARRAL"/>
    <x v="1988"/>
    <x v="0"/>
    <x v="0"/>
    <x v="78"/>
    <x v="3"/>
    <n v="0"/>
    <n v="340000"/>
    <n v="0"/>
    <n v="340000"/>
    <n v="21.66721578189016"/>
    <n v="25000"/>
    <n v="63"/>
    <x v="2454"/>
    <x v="10"/>
    <x v="1"/>
    <x v="0"/>
  </r>
  <r>
    <x v="191"/>
    <s v="ZPEP"/>
    <x v="72"/>
    <s v="SU9354"/>
    <s v="72564391"/>
    <s v="COLINA"/>
    <x v="1989"/>
    <x v="2"/>
    <x v="1"/>
    <x v="5"/>
    <x v="1"/>
    <n v="5"/>
    <n v="70000"/>
    <n v="0"/>
    <n v="92595.469999999987"/>
    <n v="11"/>
    <n v="10000"/>
    <n v="84"/>
    <x v="2455"/>
    <x v="10"/>
    <x v="1"/>
    <x v="1"/>
  </r>
  <r>
    <x v="191"/>
    <s v="ZPEP"/>
    <x v="12"/>
    <s v="WG4022"/>
    <s v="81417709"/>
    <s v="VITACURA"/>
    <x v="1990"/>
    <x v="1"/>
    <x v="0"/>
    <x v="27"/>
    <x v="1"/>
    <n v="4"/>
    <n v="240841"/>
    <n v="0"/>
    <n v="240841"/>
    <n v="10.999993149011287"/>
    <n v="5000"/>
    <n v="100"/>
    <x v="2456"/>
    <x v="10"/>
    <x v="1"/>
    <x v="1"/>
  </r>
  <r>
    <x v="191"/>
    <s v="ZPEP"/>
    <x v="9"/>
    <s v="XR6339"/>
    <s v="78907355"/>
    <s v="SAN BERNARDO"/>
    <x v="1991"/>
    <x v="1"/>
    <x v="1"/>
    <x v="4"/>
    <x v="1"/>
    <n v="4"/>
    <n v="57115"/>
    <n v="0"/>
    <n v="57115"/>
    <n v="10.999942222136623"/>
    <n v="5000"/>
    <n v="100"/>
    <x v="2457"/>
    <x v="10"/>
    <x v="1"/>
    <x v="1"/>
  </r>
  <r>
    <x v="191"/>
    <s v="ZPEP"/>
    <x v="7"/>
    <s v="SV2718"/>
    <s v="154837728"/>
    <s v="SAN MIGUEL"/>
    <x v="1992"/>
    <x v="1"/>
    <x v="1"/>
    <x v="23"/>
    <x v="1"/>
    <n v="2"/>
    <n v="55000"/>
    <n v="0"/>
    <n v="55000"/>
    <n v="18.284574468085108"/>
    <n v="5000"/>
    <n v="60"/>
    <x v="2458"/>
    <x v="10"/>
    <x v="1"/>
    <x v="1"/>
  </r>
  <r>
    <x v="191"/>
    <s v="ZTAN"/>
    <x v="7"/>
    <s v="DJLF85"/>
    <s v="53173292"/>
    <s v="RENCA"/>
    <x v="1993"/>
    <x v="4"/>
    <x v="1"/>
    <x v="7"/>
    <x v="1"/>
    <n v="1"/>
    <n v="74250"/>
    <n v="0"/>
    <n v="74250"/>
    <n v="10.999999999999998"/>
    <n v="5000"/>
    <n v="100"/>
    <x v="2459"/>
    <x v="10"/>
    <x v="1"/>
    <x v="1"/>
  </r>
  <r>
    <x v="191"/>
    <s v="ZTAN"/>
    <x v="7"/>
    <s v="PKYB74"/>
    <s v="6270439K"/>
    <s v="CHILLAN"/>
    <x v="1994"/>
    <x v="0"/>
    <x v="0"/>
    <x v="21"/>
    <x v="5"/>
    <n v="0"/>
    <n v="350000"/>
    <n v="0"/>
    <n v="350000"/>
    <n v="17.630287827041858"/>
    <n v="25000"/>
    <n v="79"/>
    <x v="2460"/>
    <x v="10"/>
    <x v="1"/>
    <x v="0"/>
  </r>
  <r>
    <x v="191"/>
    <s v="ZTAN"/>
    <x v="7"/>
    <s v="XR6339"/>
    <s v="78907355"/>
    <s v="RENCA"/>
    <x v="1995"/>
    <x v="1"/>
    <x v="1"/>
    <x v="7"/>
    <x v="1"/>
    <n v="1"/>
    <n v="74250"/>
    <n v="0"/>
    <n v="74250"/>
    <n v="11.000000000000002"/>
    <n v="5000"/>
    <n v="100"/>
    <x v="2461"/>
    <x v="10"/>
    <x v="1"/>
    <x v="1"/>
  </r>
  <r>
    <x v="191"/>
    <s v="ZTAN"/>
    <x v="8"/>
    <s v="TP3884"/>
    <s v="154827738"/>
    <s v="PUDAHUEL"/>
    <x v="1996"/>
    <x v="1"/>
    <x v="1"/>
    <x v="10"/>
    <x v="1"/>
    <n v="1"/>
    <n v="58443"/>
    <n v="0"/>
    <n v="78375"/>
    <n v="11"/>
    <n v="5000"/>
    <n v="100"/>
    <x v="2462"/>
    <x v="10"/>
    <x v="1"/>
    <x v="1"/>
  </r>
  <r>
    <x v="192"/>
    <s v="ZPEP"/>
    <x v="17"/>
    <s v="RH1133"/>
    <n v="65941082"/>
    <s v="LAMPA"/>
    <x v="1997"/>
    <x v="0"/>
    <x v="0"/>
    <x v="17"/>
    <x v="1"/>
    <n v="5"/>
    <n v="120000"/>
    <n v="0"/>
    <n v="241403.25"/>
    <n v="11"/>
    <n v="10000"/>
    <n v="100"/>
    <x v="2463"/>
    <x v="10"/>
    <x v="1"/>
    <x v="1"/>
  </r>
  <r>
    <x v="192"/>
    <s v="ZPEP"/>
    <x v="35"/>
    <s v="WC2233"/>
    <n v="53173292"/>
    <s v="PADRE HURTADO"/>
    <x v="1998"/>
    <x v="4"/>
    <x v="1"/>
    <x v="26"/>
    <x v="1"/>
    <n v="5"/>
    <n v="70000"/>
    <n v="0"/>
    <n v="46260.5"/>
    <n v="11"/>
    <n v="10000"/>
    <n v="42"/>
    <x v="2464"/>
    <x v="10"/>
    <x v="1"/>
    <x v="1"/>
  </r>
  <r>
    <x v="192"/>
    <s v="ZPEP"/>
    <x v="5"/>
    <s v="DJLF85"/>
    <n v="53173292"/>
    <s v="LAMPA"/>
    <x v="1999"/>
    <x v="4"/>
    <x v="1"/>
    <x v="17"/>
    <x v="1"/>
    <n v="5"/>
    <n v="70000"/>
    <n v="0"/>
    <n v="70000"/>
    <n v="9.999714293877318"/>
    <n v="10000"/>
    <n v="70"/>
    <x v="2465"/>
    <x v="10"/>
    <x v="1"/>
    <x v="1"/>
  </r>
  <r>
    <x v="192"/>
    <s v="ZPEP"/>
    <x v="72"/>
    <s v="RK5135"/>
    <n v="138841065"/>
    <s v="COLINA"/>
    <x v="2000"/>
    <x v="3"/>
    <x v="1"/>
    <x v="5"/>
    <x v="1"/>
    <n v="5"/>
    <n v="70000"/>
    <n v="0"/>
    <n v="147657.72999999989"/>
    <n v="11"/>
    <n v="10000"/>
    <n v="100"/>
    <x v="2466"/>
    <x v="10"/>
    <x v="1"/>
    <x v="1"/>
  </r>
  <r>
    <x v="192"/>
    <s v="ZPEP"/>
    <x v="72"/>
    <s v="SU9354"/>
    <n v="72564391"/>
    <s v="COLINA"/>
    <x v="2001"/>
    <x v="2"/>
    <x v="1"/>
    <x v="5"/>
    <x v="1"/>
    <n v="5"/>
    <n v="70000"/>
    <n v="0"/>
    <n v="110402.15999999999"/>
    <n v="11"/>
    <n v="10000"/>
    <n v="100"/>
    <x v="2467"/>
    <x v="10"/>
    <x v="1"/>
    <x v="1"/>
  </r>
  <r>
    <x v="192"/>
    <s v="ZPEP"/>
    <x v="2"/>
    <s v="BPKD94"/>
    <n v="125897258"/>
    <s v="PUERTO MONTT"/>
    <x v="2002"/>
    <x v="0"/>
    <x v="0"/>
    <x v="53"/>
    <x v="10"/>
    <n v="0"/>
    <n v="1020000"/>
    <n v="0"/>
    <n v="1020000"/>
    <n v="43.328991938258717"/>
    <n v="25000"/>
    <n v="94"/>
    <x v="2468"/>
    <x v="10"/>
    <x v="1"/>
    <x v="0"/>
  </r>
  <r>
    <x v="192"/>
    <s v="ZPEP"/>
    <x v="2"/>
    <s v="CJFZ67"/>
    <n v="115812335"/>
    <s v="PUERTO MONTT"/>
    <x v="2003"/>
    <x v="5"/>
    <x v="0"/>
    <x v="53"/>
    <x v="10"/>
    <n v="0"/>
    <n v="1020000"/>
    <n v="0"/>
    <n v="1020000"/>
    <n v="38.716333396215745"/>
    <n v="25000"/>
    <n v="100"/>
    <x v="2469"/>
    <x v="10"/>
    <x v="1"/>
    <x v="0"/>
  </r>
  <r>
    <x v="192"/>
    <s v="ZPEP"/>
    <x v="12"/>
    <s v="WG4022"/>
    <n v="81417709"/>
    <s v="VITACURA"/>
    <x v="2004"/>
    <x v="1"/>
    <x v="0"/>
    <x v="27"/>
    <x v="1"/>
    <n v="4"/>
    <n v="253517"/>
    <n v="0"/>
    <n v="253517"/>
    <n v="11"/>
    <n v="5000"/>
    <n v="100"/>
    <x v="2470"/>
    <x v="10"/>
    <x v="1"/>
    <x v="1"/>
  </r>
  <r>
    <x v="192"/>
    <s v="ZTAN"/>
    <x v="7"/>
    <s v="HLBX77"/>
    <n v="154837738"/>
    <s v="SAN MIGUEL"/>
    <x v="2005"/>
    <x v="1"/>
    <x v="1"/>
    <x v="23"/>
    <x v="1"/>
    <n v="2"/>
    <n v="55000"/>
    <n v="0"/>
    <n v="131396.1"/>
    <n v="11"/>
    <n v="5000"/>
    <n v="96"/>
    <x v="2471"/>
    <x v="10"/>
    <x v="1"/>
    <x v="1"/>
  </r>
  <r>
    <x v="192"/>
    <s v="ZTAN"/>
    <x v="7"/>
    <s v="TP3884"/>
    <n v="99626232"/>
    <s v="SAN MIGUEL"/>
    <x v="2006"/>
    <x v="1"/>
    <x v="1"/>
    <x v="23"/>
    <x v="1"/>
    <n v="2"/>
    <n v="108622"/>
    <n v="0"/>
    <n v="108622"/>
    <n v="10.999985822411523"/>
    <n v="5000"/>
    <n v="100"/>
    <x v="2472"/>
    <x v="10"/>
    <x v="1"/>
    <x v="1"/>
  </r>
  <r>
    <x v="192"/>
    <s v="ZTAN"/>
    <x v="8"/>
    <s v="SV2718"/>
    <n v="99626232"/>
    <s v="QUILICURA"/>
    <x v="2007"/>
    <x v="1"/>
    <x v="1"/>
    <x v="8"/>
    <x v="1"/>
    <n v="1"/>
    <n v="55000"/>
    <n v="0"/>
    <n v="55000"/>
    <n v="12.475898831802199"/>
    <n v="5000"/>
    <n v="88"/>
    <x v="2473"/>
    <x v="10"/>
    <x v="1"/>
    <x v="1"/>
  </r>
  <r>
    <x v="192"/>
    <s v="ZTAN"/>
    <x v="8"/>
    <s v="TP3884"/>
    <n v="154837728"/>
    <s v="PUDAHUEL"/>
    <x v="2008"/>
    <x v="1"/>
    <x v="1"/>
    <x v="10"/>
    <x v="1"/>
    <n v="1"/>
    <n v="55000"/>
    <n v="0"/>
    <n v="65471.340000000004"/>
    <n v="11"/>
    <n v="5000"/>
    <n v="73"/>
    <x v="2474"/>
    <x v="10"/>
    <x v="1"/>
    <x v="1"/>
  </r>
  <r>
    <x v="192"/>
    <s v="ZTAN"/>
    <x v="8"/>
    <s v="TW7053"/>
    <n v="172861164"/>
    <s v="PUERTO MONTT"/>
    <x v="2009"/>
    <x v="6"/>
    <x v="1"/>
    <x v="53"/>
    <x v="10"/>
    <n v="0"/>
    <n v="1020000"/>
    <n v="0"/>
    <n v="1020000"/>
    <n v="66.328521264143546"/>
    <n v="25000"/>
    <n v="62"/>
    <x v="2475"/>
    <x v="10"/>
    <x v="1"/>
    <x v="0"/>
  </r>
  <r>
    <x v="192"/>
    <s v="ZTAN"/>
    <x v="8"/>
    <s v="UA7248"/>
    <n v="78907355"/>
    <s v="ÑUÑOA"/>
    <x v="2010"/>
    <x v="1"/>
    <x v="1"/>
    <x v="15"/>
    <x v="1"/>
    <n v="4"/>
    <n v="55000"/>
    <n v="0"/>
    <n v="40211.82"/>
    <n v="11"/>
    <n v="5000"/>
    <n v="73"/>
    <x v="2476"/>
    <x v="10"/>
    <x v="1"/>
    <x v="1"/>
  </r>
  <r>
    <x v="193"/>
    <s v="ZPEP"/>
    <x v="58"/>
    <s v="WC2233"/>
    <s v="125108/660"/>
    <s v="COLINA"/>
    <x v="2011"/>
    <x v="4"/>
    <x v="1"/>
    <x v="5"/>
    <x v="1"/>
    <n v="5"/>
    <n v="70000"/>
    <n v="0"/>
    <n v="61630.799999999981"/>
    <n v="11"/>
    <n v="10000"/>
    <n v="56"/>
    <x v="2477"/>
    <x v="10"/>
    <x v="1"/>
    <x v="1"/>
  </r>
  <r>
    <x v="193"/>
    <s v="ZPEP"/>
    <x v="58"/>
    <s v="WC2233"/>
    <s v="125108660"/>
    <s v="COLINA"/>
    <x v="2012"/>
    <x v="4"/>
    <x v="1"/>
    <x v="5"/>
    <x v="1"/>
    <n v="5"/>
    <n v="70000"/>
    <n v="0"/>
    <n v="129527.42"/>
    <n v="11"/>
    <n v="10000"/>
    <n v="100"/>
    <x v="2478"/>
    <x v="10"/>
    <x v="1"/>
    <x v="1"/>
  </r>
  <r>
    <x v="193"/>
    <s v="ZPEP"/>
    <x v="5"/>
    <s v="RK5135"/>
    <s v="138841065"/>
    <s v="LAMPA"/>
    <x v="2013"/>
    <x v="3"/>
    <x v="1"/>
    <x v="17"/>
    <x v="1"/>
    <n v="5"/>
    <n v="70000"/>
    <n v="0"/>
    <n v="70000"/>
    <n v="8.7233175524364839"/>
    <n v="10000"/>
    <n v="80"/>
    <x v="2479"/>
    <x v="10"/>
    <x v="1"/>
    <x v="1"/>
  </r>
  <r>
    <x v="193"/>
    <s v="ZPEP"/>
    <x v="72"/>
    <s v="DJLF85"/>
    <s v="53173292"/>
    <s v="COLINA"/>
    <x v="2014"/>
    <x v="4"/>
    <x v="1"/>
    <x v="5"/>
    <x v="1"/>
    <n v="5"/>
    <n v="70000"/>
    <n v="0"/>
    <n v="104924.15999999999"/>
    <n v="11"/>
    <n v="10000"/>
    <n v="95"/>
    <x v="2480"/>
    <x v="10"/>
    <x v="1"/>
    <x v="1"/>
  </r>
  <r>
    <x v="193"/>
    <s v="ZPEP"/>
    <x v="72"/>
    <s v="HLBX77"/>
    <s v="154837728"/>
    <s v="COLINA"/>
    <x v="2015"/>
    <x v="1"/>
    <x v="1"/>
    <x v="5"/>
    <x v="1"/>
    <n v="5"/>
    <n v="70000"/>
    <n v="0"/>
    <n v="149060.66999999998"/>
    <n v="11"/>
    <n v="10000"/>
    <n v="100"/>
    <x v="2481"/>
    <x v="10"/>
    <x v="1"/>
    <x v="1"/>
  </r>
  <r>
    <x v="193"/>
    <s v="ZPEP"/>
    <x v="72"/>
    <s v="XR6339"/>
    <s v="78907355"/>
    <s v="COLINA"/>
    <x v="2016"/>
    <x v="1"/>
    <x v="1"/>
    <x v="5"/>
    <x v="1"/>
    <n v="5"/>
    <n v="70000"/>
    <n v="0"/>
    <n v="118580.22"/>
    <n v="11"/>
    <n v="10000"/>
    <n v="100"/>
    <x v="2482"/>
    <x v="10"/>
    <x v="1"/>
    <x v="1"/>
  </r>
  <r>
    <x v="193"/>
    <s v="ZPEP"/>
    <x v="12"/>
    <s v="WG4022"/>
    <s v="81417709"/>
    <s v="VITACURA"/>
    <x v="2004"/>
    <x v="1"/>
    <x v="0"/>
    <x v="27"/>
    <x v="1"/>
    <n v="4"/>
    <n v="253517"/>
    <n v="0"/>
    <n v="253517"/>
    <n v="11"/>
    <n v="5000"/>
    <n v="100"/>
    <x v="2483"/>
    <x v="10"/>
    <x v="1"/>
    <x v="1"/>
  </r>
  <r>
    <x v="193"/>
    <s v="ZPEP"/>
    <x v="9"/>
    <s v="SV2718"/>
    <s v="99626232"/>
    <s v="SAN BERNARDO"/>
    <x v="2017"/>
    <x v="1"/>
    <x v="1"/>
    <x v="4"/>
    <x v="1"/>
    <n v="4"/>
    <n v="66003"/>
    <n v="0"/>
    <n v="66003"/>
    <n v="11.000059997600097"/>
    <n v="5000"/>
    <n v="100"/>
    <x v="2484"/>
    <x v="10"/>
    <x v="1"/>
    <x v="1"/>
  </r>
  <r>
    <x v="193"/>
    <s v="ZTAN"/>
    <x v="65"/>
    <s v="SU9354"/>
    <s v="72564391"/>
    <s v="CODEGUA"/>
    <x v="2018"/>
    <x v="2"/>
    <x v="1"/>
    <x v="79"/>
    <x v="6"/>
    <n v="0"/>
    <n v="180000"/>
    <n v="0"/>
    <n v="180000"/>
    <n v="16.3472890745618"/>
    <n v="25000"/>
    <n v="44"/>
    <x v="2485"/>
    <x v="10"/>
    <x v="1"/>
    <x v="0"/>
  </r>
  <r>
    <x v="193"/>
    <s v="ZTAN"/>
    <x v="7"/>
    <s v="DJLF85"/>
    <s v="53173292"/>
    <s v="SANTIAGO"/>
    <x v="2019"/>
    <x v="4"/>
    <x v="1"/>
    <x v="20"/>
    <x v="1"/>
    <n v="1"/>
    <n v="105144"/>
    <n v="0"/>
    <n v="105144"/>
    <n v="11.000052309462777"/>
    <n v="5000"/>
    <n v="100"/>
    <x v="2486"/>
    <x v="10"/>
    <x v="1"/>
    <x v="1"/>
  </r>
  <r>
    <x v="193"/>
    <s v="ZTAN"/>
    <x v="7"/>
    <s v="HLBX77"/>
    <s v="154837728"/>
    <s v="RENCA"/>
    <x v="2020"/>
    <x v="1"/>
    <x v="1"/>
    <x v="7"/>
    <x v="1"/>
    <n v="1"/>
    <n v="55000"/>
    <n v="0"/>
    <n v="55000"/>
    <n v="12.427131817976411"/>
    <n v="5000"/>
    <n v="89"/>
    <x v="2487"/>
    <x v="10"/>
    <x v="1"/>
    <x v="1"/>
  </r>
  <r>
    <x v="193"/>
    <s v="ZTAN"/>
    <x v="7"/>
    <s v="KKPF51"/>
    <s v="95707734"/>
    <s v="CHILLAN"/>
    <x v="2021"/>
    <x v="8"/>
    <x v="0"/>
    <x v="21"/>
    <x v="5"/>
    <n v="0"/>
    <n v="350000"/>
    <n v="0"/>
    <n v="350000"/>
    <n v="19.964406315597348"/>
    <n v="25000"/>
    <n v="70"/>
    <x v="2488"/>
    <x v="10"/>
    <x v="1"/>
    <x v="0"/>
  </r>
  <r>
    <x v="193"/>
    <s v="ZTAN"/>
    <x v="7"/>
    <s v="WC2233"/>
    <s v="125108660"/>
    <s v="RENCA"/>
    <x v="2022"/>
    <x v="4"/>
    <x v="1"/>
    <x v="7"/>
    <x v="1"/>
    <n v="1"/>
    <n v="90732"/>
    <n v="0"/>
    <n v="90732"/>
    <n v="10.999951505746568"/>
    <n v="5000"/>
    <n v="100"/>
    <x v="2489"/>
    <x v="10"/>
    <x v="1"/>
    <x v="1"/>
  </r>
  <r>
    <x v="193"/>
    <s v="ZTAN"/>
    <x v="7"/>
    <s v="XR6339"/>
    <s v="78907355"/>
    <s v="RENCA"/>
    <x v="2023"/>
    <x v="1"/>
    <x v="1"/>
    <x v="7"/>
    <x v="1"/>
    <n v="1"/>
    <n v="55000"/>
    <n v="0"/>
    <n v="55000"/>
    <n v="11.625449165081376"/>
    <n v="5000"/>
    <n v="95"/>
    <x v="2490"/>
    <x v="10"/>
    <x v="1"/>
    <x v="1"/>
  </r>
  <r>
    <x v="193"/>
    <s v="ZTAN"/>
    <x v="8"/>
    <s v="BDCH61"/>
    <s v="99626232"/>
    <s v="PUDAHUEL"/>
    <x v="2024"/>
    <x v="1"/>
    <x v="1"/>
    <x v="10"/>
    <x v="1"/>
    <n v="1"/>
    <n v="63900"/>
    <n v="0"/>
    <n v="63900"/>
    <n v="10.999982785629445"/>
    <n v="5000"/>
    <n v="100"/>
    <x v="2491"/>
    <x v="10"/>
    <x v="1"/>
    <x v="1"/>
  </r>
  <r>
    <x v="193"/>
    <s v="ZTAN"/>
    <x v="8"/>
    <s v="SV2718"/>
    <s v="81417709"/>
    <s v="LAS CONDES"/>
    <x v="2025"/>
    <x v="1"/>
    <x v="1"/>
    <x v="3"/>
    <x v="1"/>
    <n v="4"/>
    <n v="57153"/>
    <n v="0"/>
    <n v="57153"/>
    <n v="11.000057740054272"/>
    <n v="5000"/>
    <n v="100"/>
    <x v="2492"/>
    <x v="10"/>
    <x v="1"/>
    <x v="1"/>
  </r>
  <r>
    <x v="193"/>
    <s v="ZTAN"/>
    <x v="8"/>
    <s v="TP3884"/>
    <s v="154837728"/>
    <s v="REÑACA"/>
    <x v="2026"/>
    <x v="1"/>
    <x v="1"/>
    <x v="6"/>
    <x v="2"/>
    <n v="0"/>
    <n v="180000"/>
    <n v="0"/>
    <n v="180000"/>
    <n v="22.010271460014675"/>
    <n v="25000"/>
    <n v="33"/>
    <x v="2493"/>
    <x v="10"/>
    <x v="1"/>
    <x v="0"/>
  </r>
  <r>
    <x v="193"/>
    <s v="ZTAN"/>
    <x v="8"/>
    <s v="UA7248"/>
    <s v="78907355"/>
    <s v="QUILICURA"/>
    <x v="2027"/>
    <x v="1"/>
    <x v="1"/>
    <x v="8"/>
    <x v="1"/>
    <n v="1"/>
    <n v="56119"/>
    <n v="0"/>
    <n v="56119"/>
    <n v="11.000015680986024"/>
    <n v="5000"/>
    <n v="100"/>
    <x v="2494"/>
    <x v="10"/>
    <x v="1"/>
    <x v="1"/>
  </r>
  <r>
    <x v="194"/>
    <s v="ZPEP"/>
    <x v="5"/>
    <s v="RK5135"/>
    <s v="138841065"/>
    <s v="LAMPA"/>
    <x v="2028"/>
    <x v="3"/>
    <x v="1"/>
    <x v="17"/>
    <x v="1"/>
    <n v="5"/>
    <n v="70000"/>
    <n v="0"/>
    <n v="77346.28"/>
    <n v="11"/>
    <n v="10000"/>
    <n v="100"/>
    <x v="2495"/>
    <x v="10"/>
    <x v="1"/>
    <x v="1"/>
  </r>
  <r>
    <x v="194"/>
    <s v="ZPEP"/>
    <x v="72"/>
    <s v="DJLF85"/>
    <s v="53173292"/>
    <s v="COLINA"/>
    <x v="2029"/>
    <x v="4"/>
    <x v="1"/>
    <x v="5"/>
    <x v="1"/>
    <n v="5"/>
    <n v="70000"/>
    <n v="0"/>
    <n v="73860.38"/>
    <n v="11"/>
    <n v="10000"/>
    <n v="80"/>
    <x v="2496"/>
    <x v="10"/>
    <x v="1"/>
    <x v="1"/>
  </r>
  <r>
    <x v="194"/>
    <s v="ZPEP"/>
    <x v="72"/>
    <s v="SU9354"/>
    <s v="72564391"/>
    <s v="COLINA"/>
    <x v="2030"/>
    <x v="2"/>
    <x v="1"/>
    <x v="5"/>
    <x v="1"/>
    <n v="5"/>
    <n v="70000"/>
    <n v="0"/>
    <n v="101195.15999999999"/>
    <n v="11"/>
    <n v="10000"/>
    <n v="92"/>
    <x v="2497"/>
    <x v="10"/>
    <x v="1"/>
    <x v="1"/>
  </r>
  <r>
    <x v="194"/>
    <s v="ZPEP"/>
    <x v="12"/>
    <s v="RK5135"/>
    <s v="138841065"/>
    <s v="VITACURA"/>
    <x v="2031"/>
    <x v="3"/>
    <x v="1"/>
    <x v="27"/>
    <x v="1"/>
    <n v="4"/>
    <n v="88754"/>
    <n v="0"/>
    <n v="88753.500000000029"/>
    <n v="11"/>
    <n v="5000"/>
    <n v="100"/>
    <x v="2498"/>
    <x v="10"/>
    <x v="1"/>
    <x v="1"/>
  </r>
  <r>
    <x v="194"/>
    <s v="ZPEP"/>
    <x v="33"/>
    <s v="XR6339"/>
    <s v="78907355"/>
    <s v="COLINA"/>
    <x v="2032"/>
    <x v="1"/>
    <x v="1"/>
    <x v="5"/>
    <x v="1"/>
    <n v="5"/>
    <n v="70000"/>
    <n v="0"/>
    <n v="78693.34"/>
    <n v="11"/>
    <n v="10000"/>
    <n v="72"/>
    <x v="2499"/>
    <x v="10"/>
    <x v="1"/>
    <x v="1"/>
  </r>
  <r>
    <x v="194"/>
    <s v="ZTAN"/>
    <x v="17"/>
    <s v="WC2233"/>
    <s v="125108660"/>
    <s v="LAMPA"/>
    <x v="2033"/>
    <x v="4"/>
    <x v="1"/>
    <x v="17"/>
    <x v="1"/>
    <n v="5"/>
    <n v="70000"/>
    <n v="0"/>
    <n v="79090.000000000015"/>
    <n v="11"/>
    <n v="10000"/>
    <n v="72"/>
    <x v="2500"/>
    <x v="10"/>
    <x v="1"/>
    <x v="1"/>
  </r>
  <r>
    <x v="194"/>
    <s v="ZTAN"/>
    <x v="7"/>
    <s v="BYZH29"/>
    <s v="122975819"/>
    <s v="RANCAGUA"/>
    <x v="2034"/>
    <x v="0"/>
    <x v="0"/>
    <x v="28"/>
    <x v="6"/>
    <n v="0"/>
    <n v="230000"/>
    <n v="0"/>
    <n v="230000"/>
    <n v="15.177310580565123"/>
    <n v="25000"/>
    <n v="95"/>
    <x v="2501"/>
    <x v="10"/>
    <x v="1"/>
    <x v="0"/>
  </r>
  <r>
    <x v="194"/>
    <s v="ZTAN"/>
    <x v="7"/>
    <s v="SU9354"/>
    <s v="72564391"/>
    <s v="RENCA"/>
    <x v="2035"/>
    <x v="2"/>
    <x v="1"/>
    <x v="7"/>
    <x v="1"/>
    <n v="1"/>
    <n v="81389"/>
    <n v="0"/>
    <n v="81389"/>
    <n v="10.999999999999996"/>
    <n v="5000"/>
    <n v="100"/>
    <x v="2502"/>
    <x v="10"/>
    <x v="1"/>
    <x v="1"/>
  </r>
  <r>
    <x v="194"/>
    <s v="ZTAN"/>
    <x v="7"/>
    <s v="SV2718"/>
    <s v="154837728"/>
    <s v="SAN MIGUEL"/>
    <x v="1000"/>
    <x v="1"/>
    <x v="1"/>
    <x v="23"/>
    <x v="1"/>
    <n v="2"/>
    <n v="74290"/>
    <n v="0"/>
    <n v="74290"/>
    <n v="11.000059227671169"/>
    <n v="5000"/>
    <n v="100"/>
    <x v="2503"/>
    <x v="10"/>
    <x v="1"/>
    <x v="1"/>
  </r>
  <r>
    <x v="194"/>
    <s v="ZTAN"/>
    <x v="7"/>
    <s v="WC2233"/>
    <s v="125108660"/>
    <s v="SAN MIGUEL"/>
    <x v="234"/>
    <x v="4"/>
    <x v="1"/>
    <x v="23"/>
    <x v="1"/>
    <n v="2"/>
    <n v="99053"/>
    <n v="0"/>
    <n v="99053"/>
    <n v="11.000022210376692"/>
    <n v="5000"/>
    <n v="100"/>
    <x v="2504"/>
    <x v="10"/>
    <x v="1"/>
    <x v="1"/>
  </r>
  <r>
    <x v="194"/>
    <s v="ZTAN"/>
    <x v="7"/>
    <s v="WG4022"/>
    <s v="81417709"/>
    <s v="MELIPILLA"/>
    <x v="1870"/>
    <x v="1"/>
    <x v="0"/>
    <x v="29"/>
    <x v="1"/>
    <n v="5"/>
    <n v="120000"/>
    <n v="0"/>
    <n v="198105.59999999998"/>
    <n v="11"/>
    <n v="10000"/>
    <n v="100"/>
    <x v="2505"/>
    <x v="10"/>
    <x v="1"/>
    <x v="1"/>
  </r>
  <r>
    <x v="194"/>
    <s v="ZTAN"/>
    <x v="7"/>
    <s v="XR6339"/>
    <s v="78907355"/>
    <s v="RENCA"/>
    <x v="2036"/>
    <x v="1"/>
    <x v="1"/>
    <x v="7"/>
    <x v="1"/>
    <n v="1"/>
    <n v="80278"/>
    <n v="0"/>
    <n v="80278"/>
    <n v="11"/>
    <n v="5000"/>
    <n v="100"/>
    <x v="2506"/>
    <x v="10"/>
    <x v="1"/>
    <x v="1"/>
  </r>
  <r>
    <x v="194"/>
    <s v="ZTAN"/>
    <x v="8"/>
    <s v="PKYB74"/>
    <s v="6270439K"/>
    <s v="CORONEL"/>
    <x v="2037"/>
    <x v="0"/>
    <x v="0"/>
    <x v="16"/>
    <x v="0"/>
    <n v="0"/>
    <n v="380000"/>
    <n v="0"/>
    <n v="380000"/>
    <n v="29.728376517711855"/>
    <n v="25000"/>
    <n v="95"/>
    <x v="2507"/>
    <x v="10"/>
    <x v="1"/>
    <x v="0"/>
  </r>
  <r>
    <x v="194"/>
    <s v="ZTAN"/>
    <x v="8"/>
    <s v="RZ4484"/>
    <s v="93321006"/>
    <s v="ANGOL"/>
    <x v="2038"/>
    <x v="5"/>
    <x v="0"/>
    <x v="84"/>
    <x v="4"/>
    <n v="0"/>
    <n v="620000"/>
    <n v="0"/>
    <n v="620000"/>
    <n v="39.227844176879643"/>
    <n v="25000"/>
    <n v="95"/>
    <x v="2508"/>
    <x v="10"/>
    <x v="1"/>
    <x v="0"/>
  </r>
  <r>
    <x v="194"/>
    <s v="ZTAN"/>
    <x v="8"/>
    <s v="SV2718"/>
    <s v="99626232"/>
    <s v="MAIPU"/>
    <x v="1664"/>
    <x v="1"/>
    <x v="1"/>
    <x v="2"/>
    <x v="1"/>
    <n v="2"/>
    <n v="55000"/>
    <n v="0"/>
    <n v="55000"/>
    <n v="15.822784810126583"/>
    <n v="5000"/>
    <n v="70"/>
    <x v="2509"/>
    <x v="10"/>
    <x v="1"/>
    <x v="1"/>
  </r>
  <r>
    <x v="194"/>
    <s v="ZTAN"/>
    <x v="8"/>
    <s v="TP3884"/>
    <s v="154837728"/>
    <s v="SAN BERNARDO"/>
    <x v="2039"/>
    <x v="1"/>
    <x v="1"/>
    <x v="4"/>
    <x v="1"/>
    <n v="4"/>
    <n v="55000"/>
    <n v="0"/>
    <n v="55000"/>
    <n v="17.178910544727636"/>
    <n v="5000"/>
    <n v="64"/>
    <x v="2510"/>
    <x v="10"/>
    <x v="1"/>
    <x v="1"/>
  </r>
  <r>
    <x v="195"/>
    <s v="ZPEP"/>
    <x v="5"/>
    <s v="DJLF85"/>
    <n v="53173292"/>
    <s v="LAMPA"/>
    <x v="2040"/>
    <x v="4"/>
    <x v="1"/>
    <x v="17"/>
    <x v="1"/>
    <n v="5"/>
    <n v="70000"/>
    <n v="0"/>
    <n v="70000"/>
    <n v="15.973894093082164"/>
    <n v="10000"/>
    <n v="44"/>
    <x v="2511"/>
    <x v="10"/>
    <x v="1"/>
    <x v="1"/>
  </r>
  <r>
    <x v="195"/>
    <s v="ZPEP"/>
    <x v="72"/>
    <s v="WG4022"/>
    <n v="81417709"/>
    <s v="COLINA"/>
    <x v="2041"/>
    <x v="1"/>
    <x v="0"/>
    <x v="5"/>
    <x v="1"/>
    <n v="5"/>
    <n v="120000"/>
    <n v="0"/>
    <n v="236459.19"/>
    <n v="11"/>
    <n v="10000"/>
    <n v="100"/>
    <x v="2512"/>
    <x v="10"/>
    <x v="1"/>
    <x v="1"/>
  </r>
  <r>
    <x v="195"/>
    <s v="ZPEP"/>
    <x v="33"/>
    <s v="WC2233"/>
    <n v="125108660"/>
    <s v="COLINA"/>
    <x v="2042"/>
    <x v="4"/>
    <x v="1"/>
    <x v="5"/>
    <x v="1"/>
    <n v="5"/>
    <n v="70000"/>
    <n v="0"/>
    <n v="38537.18"/>
    <n v="11"/>
    <n v="10000"/>
    <n v="35"/>
    <x v="2513"/>
    <x v="10"/>
    <x v="1"/>
    <x v="1"/>
  </r>
  <r>
    <x v="195"/>
    <s v="ZTAN"/>
    <x v="10"/>
    <s v="RK5135"/>
    <n v="138841065"/>
    <s v="QUILICURA"/>
    <x v="2043"/>
    <x v="3"/>
    <x v="1"/>
    <x v="8"/>
    <x v="1"/>
    <n v="1"/>
    <n v="86777"/>
    <n v="0"/>
    <n v="86777"/>
    <n v="11.000025352398341"/>
    <n v="5000"/>
    <n v="100"/>
    <x v="2514"/>
    <x v="10"/>
    <x v="1"/>
    <x v="1"/>
  </r>
  <r>
    <x v="195"/>
    <s v="ZTAN"/>
    <x v="10"/>
    <s v="WC2233"/>
    <n v="125108660"/>
    <s v="QUILICURA"/>
    <x v="2044"/>
    <x v="4"/>
    <x v="1"/>
    <x v="8"/>
    <x v="1"/>
    <n v="1"/>
    <n v="85331"/>
    <n v="0"/>
    <n v="85331"/>
    <n v="11.000061877040011"/>
    <n v="5000"/>
    <n v="100"/>
    <x v="2515"/>
    <x v="10"/>
    <x v="1"/>
    <x v="1"/>
  </r>
  <r>
    <x v="195"/>
    <s v="ZTAN"/>
    <x v="10"/>
    <s v="WG4022"/>
    <n v="81417709"/>
    <s v="SANTIAGO"/>
    <x v="2045"/>
    <x v="1"/>
    <x v="0"/>
    <x v="20"/>
    <x v="1"/>
    <n v="1"/>
    <n v="232756"/>
    <n v="0"/>
    <n v="232756"/>
    <n v="11.000018903949035"/>
    <n v="5000"/>
    <n v="100"/>
    <x v="2516"/>
    <x v="10"/>
    <x v="1"/>
    <x v="1"/>
  </r>
  <r>
    <x v="195"/>
    <s v="ZTAN"/>
    <x v="7"/>
    <s v="BYZH29"/>
    <n v="122975819"/>
    <s v="CHILLAN"/>
    <x v="2046"/>
    <x v="0"/>
    <x v="0"/>
    <x v="21"/>
    <x v="5"/>
    <n v="0"/>
    <n v="350000"/>
    <n v="0"/>
    <n v="350000"/>
    <n v="22.24651683107902"/>
    <n v="25000"/>
    <n v="82"/>
    <x v="2517"/>
    <x v="10"/>
    <x v="1"/>
    <x v="0"/>
  </r>
  <r>
    <x v="195"/>
    <s v="ZTAN"/>
    <x v="7"/>
    <s v="DJLF85"/>
    <n v="53173292"/>
    <s v="RENCA"/>
    <x v="1641"/>
    <x v="4"/>
    <x v="1"/>
    <x v="7"/>
    <x v="1"/>
    <n v="1"/>
    <n v="55000"/>
    <n v="0"/>
    <n v="55000"/>
    <n v="11.797511797511797"/>
    <n v="5000"/>
    <n v="93"/>
    <x v="2518"/>
    <x v="10"/>
    <x v="1"/>
    <x v="1"/>
  </r>
  <r>
    <x v="195"/>
    <s v="ZTAN"/>
    <x v="7"/>
    <s v="SU9354"/>
    <n v="72564391"/>
    <s v="RENCA"/>
    <x v="2047"/>
    <x v="2"/>
    <x v="1"/>
    <x v="7"/>
    <x v="1"/>
    <n v="1"/>
    <n v="154559"/>
    <n v="0"/>
    <n v="154559"/>
    <n v="11.000014234064965"/>
    <n v="5000"/>
    <n v="100"/>
    <x v="2519"/>
    <x v="10"/>
    <x v="1"/>
    <x v="1"/>
  </r>
  <r>
    <x v="195"/>
    <s v="ZTAN"/>
    <x v="7"/>
    <s v="XR6339"/>
    <n v="78907355"/>
    <s v="RENCA"/>
    <x v="2036"/>
    <x v="1"/>
    <x v="1"/>
    <x v="7"/>
    <x v="1"/>
    <n v="1"/>
    <n v="80278"/>
    <n v="0"/>
    <n v="80278"/>
    <n v="11"/>
    <n v="5000"/>
    <n v="100"/>
    <x v="2520"/>
    <x v="10"/>
    <x v="1"/>
    <x v="1"/>
  </r>
  <r>
    <x v="195"/>
    <s v="ZTAN"/>
    <x v="8"/>
    <s v="CJXX49"/>
    <n v="167832741"/>
    <s v="TALCAHUANO"/>
    <x v="2048"/>
    <x v="5"/>
    <x v="0"/>
    <x v="0"/>
    <x v="0"/>
    <n v="0"/>
    <n v="380000"/>
    <n v="0"/>
    <n v="380000"/>
    <n v="27.887861441362119"/>
    <n v="25000"/>
    <n v="85"/>
    <x v="2521"/>
    <x v="10"/>
    <x v="1"/>
    <x v="0"/>
  </r>
  <r>
    <x v="195"/>
    <s v="ZTAN"/>
    <x v="8"/>
    <s v="SV2718"/>
    <n v="99626232"/>
    <s v="LA FLORIDA"/>
    <x v="2049"/>
    <x v="1"/>
    <x v="1"/>
    <x v="33"/>
    <x v="1"/>
    <n v="3"/>
    <n v="55000"/>
    <n v="0"/>
    <n v="55000"/>
    <n v="13.067547340160138"/>
    <n v="5000"/>
    <n v="84"/>
    <x v="2522"/>
    <x v="10"/>
    <x v="1"/>
    <x v="1"/>
  </r>
  <r>
    <x v="195"/>
    <s v="ZTAN"/>
    <x v="8"/>
    <s v="TP3884"/>
    <n v="154837728"/>
    <s v="ÑUÑOA"/>
    <x v="2050"/>
    <x v="1"/>
    <x v="1"/>
    <x v="15"/>
    <x v="1"/>
    <n v="4"/>
    <n v="67841"/>
    <n v="0"/>
    <n v="67841"/>
    <n v="10.99993514284788"/>
    <n v="5000"/>
    <n v="100"/>
    <x v="2523"/>
    <x v="10"/>
    <x v="1"/>
    <x v="1"/>
  </r>
  <r>
    <x v="195"/>
    <s v="ZTAN"/>
    <x v="8"/>
    <s v="TW7053"/>
    <n v="172861164"/>
    <s v="VIÑA DEL MAR"/>
    <x v="2051"/>
    <x v="6"/>
    <x v="1"/>
    <x v="6"/>
    <x v="2"/>
    <n v="0"/>
    <n v="180000"/>
    <n v="0"/>
    <n v="180000"/>
    <n v="11.406410402646287"/>
    <n v="25000"/>
    <n v="63"/>
    <x v="2524"/>
    <x v="10"/>
    <x v="1"/>
    <x v="0"/>
  </r>
  <r>
    <x v="196"/>
    <s v="ZPEP"/>
    <x v="5"/>
    <s v="RK5135"/>
    <n v="138841065"/>
    <s v="LAMPA"/>
    <x v="2052"/>
    <x v="3"/>
    <x v="1"/>
    <x v="17"/>
    <x v="1"/>
    <n v="5"/>
    <n v="70000"/>
    <n v="0"/>
    <n v="54224.390000000014"/>
    <n v="11"/>
    <n v="10000"/>
    <n v="49"/>
    <x v="2525"/>
    <x v="10"/>
    <x v="1"/>
    <x v="1"/>
  </r>
  <r>
    <x v="196"/>
    <s v="ZPEP"/>
    <x v="12"/>
    <s v="RK5135"/>
    <n v="138841065"/>
    <s v="VITACURA"/>
    <x v="2053"/>
    <x v="3"/>
    <x v="1"/>
    <x v="27"/>
    <x v="1"/>
    <n v="4"/>
    <n v="57354"/>
    <n v="0"/>
    <n v="57354"/>
    <n v="11"/>
    <n v="5000"/>
    <n v="100"/>
    <x v="2526"/>
    <x v="10"/>
    <x v="1"/>
    <x v="1"/>
  </r>
  <r>
    <x v="196"/>
    <s v="ZTAN"/>
    <x v="17"/>
    <s v="WG4022"/>
    <n v="154837728"/>
    <s v="LAMPA"/>
    <x v="2054"/>
    <x v="1"/>
    <x v="0"/>
    <x v="17"/>
    <x v="1"/>
    <n v="5"/>
    <n v="120000"/>
    <n v="0"/>
    <n v="120000"/>
    <n v="5.5632823365785811"/>
    <n v="10000"/>
    <n v="100"/>
    <x v="2527"/>
    <x v="10"/>
    <x v="1"/>
    <x v="1"/>
  </r>
  <r>
    <x v="196"/>
    <s v="ZTAN"/>
    <x v="4"/>
    <s v="DJLF85"/>
    <n v="53173292"/>
    <s v="SAN BERNARDO"/>
    <x v="385"/>
    <x v="4"/>
    <x v="1"/>
    <x v="4"/>
    <x v="1"/>
    <n v="4"/>
    <n v="82544"/>
    <n v="0"/>
    <n v="82544"/>
    <n v="11.000000000000004"/>
    <n v="5000"/>
    <n v="100"/>
    <x v="2528"/>
    <x v="10"/>
    <x v="1"/>
    <x v="1"/>
  </r>
  <r>
    <x v="196"/>
    <s v="ZTAN"/>
    <x v="4"/>
    <s v="UA7248"/>
    <n v="99626232"/>
    <s v="SAN BERNARDO"/>
    <x v="385"/>
    <x v="1"/>
    <x v="1"/>
    <x v="4"/>
    <x v="1"/>
    <n v="4"/>
    <n v="82544"/>
    <n v="0"/>
    <n v="82544"/>
    <n v="11.000000000000004"/>
    <n v="5000"/>
    <n v="100"/>
    <x v="2529"/>
    <x v="10"/>
    <x v="1"/>
    <x v="1"/>
  </r>
  <r>
    <x v="196"/>
    <s v="ZTAN"/>
    <x v="10"/>
    <s v="WG4022"/>
    <n v="81417709"/>
    <s v="SANTIAGO"/>
    <x v="2055"/>
    <x v="1"/>
    <x v="0"/>
    <x v="20"/>
    <x v="1"/>
    <n v="1"/>
    <n v="201201"/>
    <n v="0"/>
    <n v="201201"/>
    <n v="11"/>
    <n v="5000"/>
    <n v="100"/>
    <x v="2530"/>
    <x v="10"/>
    <x v="1"/>
    <x v="1"/>
  </r>
  <r>
    <x v="196"/>
    <s v="ZTAN"/>
    <x v="6"/>
    <s v="BPKD94"/>
    <n v="125897258"/>
    <s v="QUILLOTA"/>
    <x v="2056"/>
    <x v="0"/>
    <x v="0"/>
    <x v="19"/>
    <x v="2"/>
    <n v="0"/>
    <n v="230000"/>
    <n v="0"/>
    <n v="230000"/>
    <n v="46.218149666425525"/>
    <n v="25000"/>
    <n v="40"/>
    <x v="2531"/>
    <x v="10"/>
    <x v="1"/>
    <x v="0"/>
  </r>
  <r>
    <x v="196"/>
    <s v="ZTAN"/>
    <x v="6"/>
    <s v="KKPF51"/>
    <n v="95707734"/>
    <s v="QUILPUE"/>
    <x v="2057"/>
    <x v="8"/>
    <x v="0"/>
    <x v="58"/>
    <x v="2"/>
    <n v="0"/>
    <n v="230000"/>
    <n v="0"/>
    <n v="230000"/>
    <n v="28.624766645924083"/>
    <n v="25000"/>
    <n v="32"/>
    <x v="2532"/>
    <x v="10"/>
    <x v="1"/>
    <x v="0"/>
  </r>
  <r>
    <x v="196"/>
    <s v="ZTAN"/>
    <x v="6"/>
    <s v="UA7248"/>
    <n v="99626232"/>
    <s v="MAIPU"/>
    <x v="2058"/>
    <x v="1"/>
    <x v="1"/>
    <x v="2"/>
    <x v="1"/>
    <n v="2"/>
    <n v="55000"/>
    <n v="0"/>
    <n v="55000"/>
    <n v="18.56101511879049"/>
    <n v="5000"/>
    <n v="59"/>
    <x v="2533"/>
    <x v="10"/>
    <x v="1"/>
    <x v="1"/>
  </r>
  <r>
    <x v="196"/>
    <s v="ZTAN"/>
    <x v="7"/>
    <s v="DJLF85"/>
    <n v="53173292"/>
    <s v="RENCA"/>
    <x v="2059"/>
    <x v="4"/>
    <x v="1"/>
    <x v="7"/>
    <x v="1"/>
    <n v="1"/>
    <n v="55000"/>
    <n v="0"/>
    <n v="55000"/>
    <n v="27.527527527527528"/>
    <n v="5000"/>
    <n v="40"/>
    <x v="2534"/>
    <x v="10"/>
    <x v="1"/>
    <x v="1"/>
  </r>
  <r>
    <x v="196"/>
    <s v="ZTAN"/>
    <x v="7"/>
    <s v="SU9354"/>
    <n v="72564391"/>
    <s v="RENCA"/>
    <x v="2060"/>
    <x v="2"/>
    <x v="1"/>
    <x v="7"/>
    <x v="1"/>
    <n v="1"/>
    <n v="91586"/>
    <n v="0"/>
    <n v="91586"/>
    <n v="11"/>
    <n v="5000"/>
    <n v="100"/>
    <x v="2535"/>
    <x v="10"/>
    <x v="1"/>
    <x v="1"/>
  </r>
  <r>
    <x v="196"/>
    <s v="ZTAN"/>
    <x v="8"/>
    <s v="SU9354"/>
    <n v="72564391"/>
    <s v="PUENTE ALTO"/>
    <x v="2061"/>
    <x v="2"/>
    <x v="1"/>
    <x v="30"/>
    <x v="1"/>
    <n v="4"/>
    <n v="55000"/>
    <n v="0"/>
    <n v="55000"/>
    <n v="16.99104108742663"/>
    <n v="5000"/>
    <n v="46"/>
    <x v="2536"/>
    <x v="10"/>
    <x v="1"/>
    <x v="1"/>
  </r>
  <r>
    <x v="196"/>
    <s v="ZTAN"/>
    <x v="8"/>
    <s v="SV2718"/>
    <n v="99626232"/>
    <s v="QUILICURA"/>
    <x v="360"/>
    <x v="1"/>
    <x v="1"/>
    <x v="8"/>
    <x v="1"/>
    <n v="1"/>
    <n v="55000"/>
    <n v="0"/>
    <n v="55000"/>
    <n v="14.807236700409218"/>
    <n v="5000"/>
    <n v="74"/>
    <x v="2537"/>
    <x v="10"/>
    <x v="1"/>
    <x v="1"/>
  </r>
  <r>
    <x v="196"/>
    <s v="ZTAN"/>
    <x v="8"/>
    <s v="TP3884"/>
    <n v="154837728"/>
    <s v="CERRILLOS"/>
    <x v="2062"/>
    <x v="1"/>
    <x v="1"/>
    <x v="9"/>
    <x v="1"/>
    <n v="2"/>
    <n v="55000"/>
    <n v="0"/>
    <n v="55000"/>
    <n v="14.334862385321101"/>
    <n v="5000"/>
    <n v="77"/>
    <x v="2538"/>
    <x v="10"/>
    <x v="1"/>
    <x v="1"/>
  </r>
  <r>
    <x v="196"/>
    <s v="ZTAN"/>
    <x v="8"/>
    <s v="UA7248"/>
    <n v="78907355"/>
    <s v="SANTIAGO"/>
    <x v="961"/>
    <x v="1"/>
    <x v="1"/>
    <x v="20"/>
    <x v="1"/>
    <n v="1"/>
    <n v="55000"/>
    <n v="0"/>
    <n v="55000"/>
    <n v="14.375326711970724"/>
    <n v="5000"/>
    <n v="77"/>
    <x v="2539"/>
    <x v="10"/>
    <x v="1"/>
    <x v="1"/>
  </r>
  <r>
    <x v="196"/>
    <s v="ZTAN"/>
    <x v="8"/>
    <s v="WG4022"/>
    <n v="81417709"/>
    <s v="PUDAHUEL"/>
    <x v="2063"/>
    <x v="1"/>
    <x v="0"/>
    <x v="10"/>
    <x v="1"/>
    <n v="1"/>
    <n v="166530"/>
    <n v="0"/>
    <n v="166530"/>
    <n v="10.999993394587525"/>
    <n v="5000"/>
    <n v="100"/>
    <x v="2540"/>
    <x v="10"/>
    <x v="1"/>
    <x v="1"/>
  </r>
  <r>
    <x v="197"/>
    <s v="ZPEP"/>
    <x v="5"/>
    <s v="HLBX77"/>
    <n v="154837728"/>
    <s v="LAMPA"/>
    <x v="2064"/>
    <x v="1"/>
    <x v="1"/>
    <x v="17"/>
    <x v="1"/>
    <n v="5"/>
    <n v="70000"/>
    <n v="0"/>
    <n v="70000"/>
    <n v="13.677110768966244"/>
    <n v="10000"/>
    <n v="65"/>
    <x v="2541"/>
    <x v="10"/>
    <x v="1"/>
    <x v="1"/>
  </r>
  <r>
    <x v="197"/>
    <s v="ZPEP"/>
    <x v="59"/>
    <s v="BYZH29"/>
    <n v="122975819"/>
    <s v="TALCA"/>
    <x v="2065"/>
    <x v="0"/>
    <x v="0"/>
    <x v="12"/>
    <x v="3"/>
    <n v="0"/>
    <n v="320000"/>
    <n v="0"/>
    <n v="320000"/>
    <n v="44.205000690703137"/>
    <n v="25000"/>
    <n v="45"/>
    <x v="2542"/>
    <x v="10"/>
    <x v="1"/>
    <x v="0"/>
  </r>
  <r>
    <x v="197"/>
    <s v="ZPEP"/>
    <x v="27"/>
    <s v="CJXX49"/>
    <n v="167832741"/>
    <s v="LOS ANGELES"/>
    <x v="2066"/>
    <x v="5"/>
    <x v="0"/>
    <x v="57"/>
    <x v="0"/>
    <n v="0"/>
    <n v="420000"/>
    <n v="0"/>
    <n v="420000"/>
    <n v="25.194658732348742"/>
    <n v="25000"/>
    <n v="67"/>
    <x v="2543"/>
    <x v="10"/>
    <x v="1"/>
    <x v="0"/>
  </r>
  <r>
    <x v="197"/>
    <s v="ZPEP"/>
    <x v="72"/>
    <s v="DJLF85"/>
    <n v="53173292"/>
    <s v="COLINA"/>
    <x v="2067"/>
    <x v="4"/>
    <x v="1"/>
    <x v="5"/>
    <x v="1"/>
    <n v="5"/>
    <n v="70000"/>
    <n v="0"/>
    <n v="111767.03999999999"/>
    <n v="11"/>
    <n v="10000"/>
    <n v="100"/>
    <x v="2544"/>
    <x v="10"/>
    <x v="1"/>
    <x v="1"/>
  </r>
  <r>
    <x v="197"/>
    <s v="ZPEP"/>
    <x v="72"/>
    <s v="WC2233"/>
    <n v="125108660"/>
    <s v="COLINA"/>
    <x v="2068"/>
    <x v="4"/>
    <x v="1"/>
    <x v="5"/>
    <x v="1"/>
    <n v="5"/>
    <n v="70000"/>
    <n v="0"/>
    <n v="111006.72"/>
    <n v="11"/>
    <n v="10000"/>
    <n v="100"/>
    <x v="2545"/>
    <x v="10"/>
    <x v="1"/>
    <x v="1"/>
  </r>
  <r>
    <x v="197"/>
    <s v="ZTAN"/>
    <x v="4"/>
    <s v="UK7193"/>
    <n v="172861164"/>
    <s v="SAN BERNARDO"/>
    <x v="2069"/>
    <x v="1"/>
    <x v="0"/>
    <x v="4"/>
    <x v="1"/>
    <n v="4"/>
    <n v="156743"/>
    <n v="0"/>
    <n v="156743"/>
    <n v="10.999971928642625"/>
    <n v="5000"/>
    <n v="100"/>
    <x v="2546"/>
    <x v="10"/>
    <x v="1"/>
    <x v="1"/>
  </r>
  <r>
    <x v="197"/>
    <s v="ZTAN"/>
    <x v="10"/>
    <s v="WG4022"/>
    <n v="78907355"/>
    <s v="SANTIAGO"/>
    <x v="2070"/>
    <x v="1"/>
    <x v="0"/>
    <x v="20"/>
    <x v="1"/>
    <n v="1"/>
    <n v="78408"/>
    <n v="0"/>
    <n v="78408"/>
    <n v="10.999999999999995"/>
    <n v="5000"/>
    <n v="100"/>
    <x v="2547"/>
    <x v="10"/>
    <x v="1"/>
    <x v="1"/>
  </r>
  <r>
    <x v="197"/>
    <s v="ZTAN"/>
    <x v="7"/>
    <s v="RK5135"/>
    <n v="138841065"/>
    <s v="SAN MIGUEL"/>
    <x v="2071"/>
    <x v="3"/>
    <x v="1"/>
    <x v="23"/>
    <x v="1"/>
    <n v="2"/>
    <n v="100426"/>
    <n v="0"/>
    <n v="100426"/>
    <n v="11.000043813529617"/>
    <n v="5000"/>
    <n v="100"/>
    <x v="2548"/>
    <x v="10"/>
    <x v="1"/>
    <x v="1"/>
  </r>
  <r>
    <x v="197"/>
    <s v="ZTAN"/>
    <x v="7"/>
    <s v="SV2718"/>
    <n v="99626232"/>
    <s v="SAN MIGUEL"/>
    <x v="2072"/>
    <x v="1"/>
    <x v="1"/>
    <x v="23"/>
    <x v="1"/>
    <n v="2"/>
    <n v="79517"/>
    <n v="0"/>
    <n v="79517"/>
    <n v="11.000027667109343"/>
    <n v="5000"/>
    <n v="100"/>
    <x v="2549"/>
    <x v="10"/>
    <x v="1"/>
    <x v="1"/>
  </r>
  <r>
    <x v="197"/>
    <s v="ZTAN"/>
    <x v="8"/>
    <s v="WG4022"/>
    <n v="81417709"/>
    <s v="PUDAHUEL"/>
    <x v="2073"/>
    <x v="1"/>
    <x v="0"/>
    <x v="10"/>
    <x v="1"/>
    <n v="1"/>
    <n v="131406"/>
    <n v="0"/>
    <n v="131406"/>
    <n v="10.999999999999991"/>
    <n v="5000"/>
    <n v="100"/>
    <x v="2550"/>
    <x v="10"/>
    <x v="1"/>
    <x v="1"/>
  </r>
  <r>
    <x v="198"/>
    <s v="ZPEP"/>
    <x v="5"/>
    <s v="WC2233"/>
    <s v="125108660"/>
    <s v="LAMPA"/>
    <x v="2074"/>
    <x v="4"/>
    <x v="1"/>
    <x v="17"/>
    <x v="1"/>
    <n v="5"/>
    <n v="70000"/>
    <n v="0"/>
    <n v="70000"/>
    <n v="13.21627489851789"/>
    <n v="10000"/>
    <n v="53"/>
    <x v="2551"/>
    <x v="10"/>
    <x v="1"/>
    <x v="1"/>
  </r>
  <r>
    <x v="198"/>
    <s v="ZPEP"/>
    <x v="72"/>
    <s v="HLBX77"/>
    <s v="16093509K"/>
    <s v="COLINA"/>
    <x v="2075"/>
    <x v="1"/>
    <x v="1"/>
    <x v="5"/>
    <x v="1"/>
    <n v="5"/>
    <n v="70000"/>
    <n v="0"/>
    <n v="153686.5"/>
    <n v="11"/>
    <n v="10000"/>
    <n v="100"/>
    <x v="2552"/>
    <x v="10"/>
    <x v="1"/>
    <x v="1"/>
  </r>
  <r>
    <x v="198"/>
    <s v="ZPEP"/>
    <x v="72"/>
    <s v="SU9354"/>
    <s v="72564391"/>
    <s v="COLINA"/>
    <x v="2076"/>
    <x v="2"/>
    <x v="1"/>
    <x v="5"/>
    <x v="1"/>
    <n v="5"/>
    <n v="70000"/>
    <n v="0"/>
    <n v="97379.48000000001"/>
    <n v="11"/>
    <n v="10000"/>
    <n v="89"/>
    <x v="2553"/>
    <x v="10"/>
    <x v="1"/>
    <x v="1"/>
  </r>
  <r>
    <x v="198"/>
    <s v="ZPEP"/>
    <x v="33"/>
    <s v="RK5135"/>
    <s v="138841065"/>
    <s v="COLINA"/>
    <x v="2077"/>
    <x v="3"/>
    <x v="1"/>
    <x v="5"/>
    <x v="1"/>
    <n v="5"/>
    <n v="70000"/>
    <n v="0"/>
    <n v="70000"/>
    <n v="11.052497785553124"/>
    <n v="10000"/>
    <n v="63"/>
    <x v="2554"/>
    <x v="10"/>
    <x v="1"/>
    <x v="1"/>
  </r>
  <r>
    <x v="198"/>
    <s v="ZTAN"/>
    <x v="4"/>
    <s v="TP3884"/>
    <s v="99626232"/>
    <s v="SAN BERNARDO"/>
    <x v="2078"/>
    <x v="1"/>
    <x v="1"/>
    <x v="4"/>
    <x v="1"/>
    <n v="4"/>
    <n v="88033"/>
    <n v="0"/>
    <n v="88033"/>
    <n v="11.000000000000004"/>
    <n v="5000"/>
    <n v="100"/>
    <x v="2555"/>
    <x v="10"/>
    <x v="1"/>
    <x v="1"/>
  </r>
  <r>
    <x v="198"/>
    <s v="ZTAN"/>
    <x v="10"/>
    <s v="PKYS74"/>
    <s v="6270439K"/>
    <s v="TALCAHUANO"/>
    <x v="2079"/>
    <x v="0"/>
    <x v="0"/>
    <x v="0"/>
    <x v="0"/>
    <n v="0"/>
    <n v="380000"/>
    <n v="0"/>
    <n v="380000"/>
    <n v="24.23654871546292"/>
    <n v="25000"/>
    <n v="85"/>
    <x v="2556"/>
    <x v="10"/>
    <x v="1"/>
    <x v="0"/>
  </r>
  <r>
    <x v="198"/>
    <s v="ZTAN"/>
    <x v="10"/>
    <s v="RK5135"/>
    <s v="138841065"/>
    <s v="QUILICURA"/>
    <x v="2080"/>
    <x v="3"/>
    <x v="1"/>
    <x v="8"/>
    <x v="1"/>
    <n v="1"/>
    <n v="107290"/>
    <n v="0"/>
    <n v="107290"/>
    <n v="11.000041010498686"/>
    <n v="5000"/>
    <n v="100"/>
    <x v="2557"/>
    <x v="10"/>
    <x v="1"/>
    <x v="1"/>
  </r>
  <r>
    <x v="198"/>
    <s v="ZTAN"/>
    <x v="10"/>
    <s v="SU9354"/>
    <s v="72564391"/>
    <s v="QUILICURA"/>
    <x v="2081"/>
    <x v="2"/>
    <x v="1"/>
    <x v="8"/>
    <x v="1"/>
    <n v="1"/>
    <n v="107290"/>
    <n v="0"/>
    <n v="107290"/>
    <n v="11.000041010498688"/>
    <n v="5000"/>
    <n v="100"/>
    <x v="2558"/>
    <x v="10"/>
    <x v="1"/>
    <x v="1"/>
  </r>
  <r>
    <x v="198"/>
    <s v="ZTAN"/>
    <x v="16"/>
    <s v="WC2233"/>
    <s v="125108660"/>
    <s v="RENCA"/>
    <x v="385"/>
    <x v="4"/>
    <x v="1"/>
    <x v="7"/>
    <x v="1"/>
    <n v="1"/>
    <n v="82544"/>
    <n v="0"/>
    <n v="82544"/>
    <n v="11.000000000000004"/>
    <n v="5000"/>
    <n v="100"/>
    <x v="2559"/>
    <x v="10"/>
    <x v="1"/>
    <x v="1"/>
  </r>
  <r>
    <x v="198"/>
    <s v="ZTAN"/>
    <x v="16"/>
    <s v="XR6339"/>
    <s v="78907355"/>
    <s v="RENCA"/>
    <x v="234"/>
    <x v="1"/>
    <x v="1"/>
    <x v="7"/>
    <x v="1"/>
    <n v="1"/>
    <n v="99053"/>
    <n v="0"/>
    <n v="99053"/>
    <n v="11.000022210376692"/>
    <n v="5000"/>
    <n v="100"/>
    <x v="2560"/>
    <x v="10"/>
    <x v="1"/>
    <x v="1"/>
  </r>
  <r>
    <x v="198"/>
    <s v="ZTAN"/>
    <x v="70"/>
    <s v="DJLF85"/>
    <s v="53173292"/>
    <s v="OVALLE"/>
    <x v="2082"/>
    <x v="4"/>
    <x v="1"/>
    <x v="85"/>
    <x v="8"/>
    <n v="0"/>
    <n v="400000"/>
    <n v="0"/>
    <n v="400000"/>
    <n v="52.292366621782399"/>
    <n v="25000"/>
    <n v="50"/>
    <x v="2561"/>
    <x v="10"/>
    <x v="1"/>
    <x v="0"/>
  </r>
  <r>
    <x v="198"/>
    <s v="ZTAN"/>
    <x v="8"/>
    <s v="KKPF51"/>
    <s v="95707334"/>
    <s v="CORONEL"/>
    <x v="2083"/>
    <x v="8"/>
    <x v="0"/>
    <x v="16"/>
    <x v="0"/>
    <n v="0"/>
    <n v="380000"/>
    <n v="0"/>
    <n v="380000"/>
    <n v="27.375943749639791"/>
    <n v="25000"/>
    <n v="60"/>
    <x v="2562"/>
    <x v="10"/>
    <x v="1"/>
    <x v="0"/>
  </r>
  <r>
    <x v="198"/>
    <s v="ZTAN"/>
    <x v="8"/>
    <s v="RK5135"/>
    <s v="138841065"/>
    <s v="ÑUÑOA"/>
    <x v="2084"/>
    <x v="3"/>
    <x v="1"/>
    <x v="15"/>
    <x v="1"/>
    <n v="4"/>
    <n v="55000"/>
    <n v="0"/>
    <n v="55000"/>
    <n v="13.046159684994544"/>
    <n v="5000"/>
    <n v="84"/>
    <x v="2563"/>
    <x v="10"/>
    <x v="1"/>
    <x v="1"/>
  </r>
  <r>
    <x v="198"/>
    <s v="ZTAN"/>
    <x v="8"/>
    <s v="SU9354"/>
    <s v="72564391"/>
    <s v="REÑACA"/>
    <x v="2085"/>
    <x v="2"/>
    <x v="1"/>
    <x v="6"/>
    <x v="2"/>
    <n v="0"/>
    <n v="180000"/>
    <n v="0"/>
    <n v="180000"/>
    <n v="22.171310324440174"/>
    <n v="25000"/>
    <n v="80"/>
    <x v="2564"/>
    <x v="10"/>
    <x v="1"/>
    <x v="0"/>
  </r>
  <r>
    <x v="198"/>
    <s v="ZTAN"/>
    <x v="8"/>
    <s v="SV2718"/>
    <s v="99626232"/>
    <s v="LAS CONDES"/>
    <x v="2086"/>
    <x v="1"/>
    <x v="1"/>
    <x v="3"/>
    <x v="1"/>
    <n v="4"/>
    <n v="55000"/>
    <n v="0"/>
    <n v="55000"/>
    <n v="14.150457960275805"/>
    <n v="5000"/>
    <n v="78"/>
    <x v="2565"/>
    <x v="10"/>
    <x v="1"/>
    <x v="1"/>
  </r>
  <r>
    <x v="198"/>
    <s v="ZTAN"/>
    <x v="8"/>
    <s v="TP3884"/>
    <s v="154837728"/>
    <s v="PUDAHUEL"/>
    <x v="2087"/>
    <x v="1"/>
    <x v="1"/>
    <x v="10"/>
    <x v="1"/>
    <n v="1"/>
    <n v="98892"/>
    <n v="0"/>
    <n v="98892"/>
    <n v="10.999977753553871"/>
    <n v="5000"/>
    <n v="100"/>
    <x v="2566"/>
    <x v="10"/>
    <x v="1"/>
    <x v="1"/>
  </r>
  <r>
    <x v="199"/>
    <s v="ZPEP"/>
    <x v="27"/>
    <s v="GKRB84"/>
    <n v="122975819"/>
    <s v="LOS ANGELES"/>
    <x v="2088"/>
    <x v="5"/>
    <x v="0"/>
    <x v="57"/>
    <x v="0"/>
    <n v="0"/>
    <n v="420000"/>
    <n v="0"/>
    <n v="420000"/>
    <n v="17.948886698934778"/>
    <n v="25000"/>
    <n v="94"/>
    <x v="2567"/>
    <x v="10"/>
    <x v="1"/>
    <x v="0"/>
  </r>
  <r>
    <x v="199"/>
    <s v="ZPEP"/>
    <x v="72"/>
    <s v="DJLF85"/>
    <n v="53173292"/>
    <s v="COLINA"/>
    <x v="2089"/>
    <x v="4"/>
    <x v="1"/>
    <x v="5"/>
    <x v="1"/>
    <n v="5"/>
    <n v="70000"/>
    <n v="0"/>
    <n v="114681.60000000001"/>
    <n v="11"/>
    <n v="10000"/>
    <n v="100"/>
    <x v="2568"/>
    <x v="10"/>
    <x v="1"/>
    <x v="1"/>
  </r>
  <r>
    <x v="199"/>
    <s v="ZPEP"/>
    <x v="72"/>
    <s v="WC2233"/>
    <n v="125108660"/>
    <s v="COLINA"/>
    <x v="2090"/>
    <x v="4"/>
    <x v="1"/>
    <x v="5"/>
    <x v="1"/>
    <n v="5"/>
    <n v="70000"/>
    <n v="0"/>
    <n v="113667.84000000001"/>
    <n v="11"/>
    <n v="10000"/>
    <n v="100"/>
    <x v="2569"/>
    <x v="10"/>
    <x v="1"/>
    <x v="1"/>
  </r>
  <r>
    <x v="199"/>
    <s v="ZPEP"/>
    <x v="2"/>
    <s v="CJFZ69"/>
    <n v="137879050"/>
    <s v="PUERTO MONTT"/>
    <x v="2091"/>
    <x v="5"/>
    <x v="0"/>
    <x v="53"/>
    <x v="10"/>
    <n v="0"/>
    <n v="1020000"/>
    <n v="0"/>
    <n v="1020000"/>
    <n v="35.234231645037909"/>
    <n v="25000"/>
    <n v="100"/>
    <x v="2570"/>
    <x v="10"/>
    <x v="1"/>
    <x v="0"/>
  </r>
  <r>
    <x v="199"/>
    <s v="ZTAN"/>
    <x v="12"/>
    <s v="XR6339"/>
    <n v="78907355"/>
    <s v="VITACURA"/>
    <x v="2092"/>
    <x v="1"/>
    <x v="1"/>
    <x v="27"/>
    <x v="1"/>
    <n v="4"/>
    <n v="59488"/>
    <n v="0"/>
    <n v="59488"/>
    <n v="11"/>
    <n v="5000"/>
    <n v="100"/>
    <x v="2571"/>
    <x v="10"/>
    <x v="1"/>
    <x v="1"/>
  </r>
  <r>
    <x v="199"/>
    <s v="ZTAN"/>
    <x v="10"/>
    <s v="DJLF85"/>
    <n v="53173292"/>
    <s v="QUILICURA"/>
    <x v="387"/>
    <x v="4"/>
    <x v="1"/>
    <x v="8"/>
    <x v="1"/>
    <n v="1"/>
    <n v="55000"/>
    <n v="0"/>
    <n v="55000"/>
    <n v="13.412017167381974"/>
    <n v="5000"/>
    <n v="82"/>
    <x v="2572"/>
    <x v="10"/>
    <x v="1"/>
    <x v="1"/>
  </r>
  <r>
    <x v="199"/>
    <s v="ZTAN"/>
    <x v="10"/>
    <s v="WC2233"/>
    <n v="125108660"/>
    <s v="QUILICURA"/>
    <x v="748"/>
    <x v="4"/>
    <x v="1"/>
    <x v="8"/>
    <x v="1"/>
    <n v="1"/>
    <n v="86381"/>
    <n v="0"/>
    <n v="86381"/>
    <n v="11.00002546862266"/>
    <n v="5000"/>
    <n v="100"/>
    <x v="2573"/>
    <x v="10"/>
    <x v="1"/>
    <x v="1"/>
  </r>
  <r>
    <x v="199"/>
    <s v="ZTAN"/>
    <x v="6"/>
    <s v="SU9354"/>
    <n v="72564391"/>
    <s v="PEÑALOLEN"/>
    <x v="2058"/>
    <x v="2"/>
    <x v="1"/>
    <x v="34"/>
    <x v="1"/>
    <n v="4"/>
    <n v="55000"/>
    <n v="0"/>
    <n v="55000"/>
    <n v="18.56101511879049"/>
    <n v="5000"/>
    <n v="59"/>
    <x v="2574"/>
    <x v="10"/>
    <x v="1"/>
    <x v="1"/>
  </r>
  <r>
    <x v="199"/>
    <s v="ZTAN"/>
    <x v="6"/>
    <s v="UA7248"/>
    <n v="78907355"/>
    <s v="LA FLORIDA"/>
    <x v="608"/>
    <x v="1"/>
    <x v="1"/>
    <x v="33"/>
    <x v="1"/>
    <n v="3"/>
    <n v="55000"/>
    <n v="0"/>
    <n v="55000"/>
    <n v="21.777003484320549"/>
    <n v="5000"/>
    <n v="51"/>
    <x v="2575"/>
    <x v="10"/>
    <x v="1"/>
    <x v="1"/>
  </r>
  <r>
    <x v="199"/>
    <s v="ZTAN"/>
    <x v="16"/>
    <s v="TW7053"/>
    <n v="172861164"/>
    <s v="CONCEPCION"/>
    <x v="2093"/>
    <x v="6"/>
    <x v="1"/>
    <x v="81"/>
    <x v="0"/>
    <n v="0"/>
    <n v="380000"/>
    <n v="0"/>
    <n v="380000"/>
    <n v="24.832056878479758"/>
    <n v="25000"/>
    <n v="61"/>
    <x v="2576"/>
    <x v="10"/>
    <x v="1"/>
    <x v="0"/>
  </r>
  <r>
    <x v="199"/>
    <s v="ZTAN"/>
    <x v="8"/>
    <s v="RJ6819"/>
    <n v="94742285"/>
    <s v="CORONEL"/>
    <x v="2094"/>
    <x v="5"/>
    <x v="0"/>
    <x v="16"/>
    <x v="0"/>
    <n v="0"/>
    <n v="380000"/>
    <n v="0"/>
    <n v="380000"/>
    <n v="27.102203837101509"/>
    <n v="25000"/>
    <n v="56"/>
    <x v="2577"/>
    <x v="10"/>
    <x v="1"/>
    <x v="0"/>
  </r>
  <r>
    <x v="199"/>
    <s v="ZTAN"/>
    <x v="8"/>
    <s v="SV2718"/>
    <n v="99626232"/>
    <s v="MAIPU"/>
    <x v="2095"/>
    <x v="1"/>
    <x v="1"/>
    <x v="2"/>
    <x v="1"/>
    <n v="2"/>
    <n v="60724"/>
    <n v="0"/>
    <n v="60724"/>
    <n v="10.999927541482503"/>
    <n v="5000"/>
    <n v="100"/>
    <x v="2578"/>
    <x v="10"/>
    <x v="1"/>
    <x v="1"/>
  </r>
  <r>
    <x v="199"/>
    <s v="ZTAN"/>
    <x v="8"/>
    <s v="TP3884"/>
    <n v="154837728"/>
    <s v="LA REINA"/>
    <x v="2096"/>
    <x v="1"/>
    <x v="1"/>
    <x v="11"/>
    <x v="1"/>
    <n v="3"/>
    <n v="66268"/>
    <n v="0"/>
    <n v="66268"/>
    <n v="10.999933603346394"/>
    <n v="5000"/>
    <n v="100"/>
    <x v="2579"/>
    <x v="10"/>
    <x v="1"/>
    <x v="1"/>
  </r>
  <r>
    <x v="200"/>
    <s v="ZPEP"/>
    <x v="5"/>
    <s v="RK5135"/>
    <n v="138841065"/>
    <s v="LAMPA"/>
    <x v="2097"/>
    <x v="3"/>
    <x v="1"/>
    <x v="17"/>
    <x v="1"/>
    <n v="5"/>
    <n v="70000"/>
    <n v="0"/>
    <n v="70000"/>
    <n v="14.145043273728817"/>
    <n v="10000"/>
    <n v="49"/>
    <x v="2580"/>
    <x v="10"/>
    <x v="1"/>
    <x v="1"/>
  </r>
  <r>
    <x v="200"/>
    <s v="ZPEP"/>
    <x v="5"/>
    <s v="XR6339"/>
    <n v="78907355"/>
    <s v="BUIN"/>
    <x v="2098"/>
    <x v="1"/>
    <x v="1"/>
    <x v="56"/>
    <x v="1"/>
    <n v="5"/>
    <n v="90000"/>
    <n v="0"/>
    <n v="90000"/>
    <n v="10.038760770753743"/>
    <n v="10000"/>
    <n v="90"/>
    <x v="2581"/>
    <x v="10"/>
    <x v="1"/>
    <x v="1"/>
  </r>
  <r>
    <x v="200"/>
    <s v="ZPEP"/>
    <x v="27"/>
    <s v="RZ4484"/>
    <n v="93321006"/>
    <s v="NACIMIENTO"/>
    <x v="2099"/>
    <x v="5"/>
    <x v="0"/>
    <x v="86"/>
    <x v="0"/>
    <n v="0"/>
    <n v="420000"/>
    <n v="0"/>
    <n v="420000"/>
    <n v="16.647673784868459"/>
    <n v="25000"/>
    <n v="100"/>
    <x v="2582"/>
    <x v="10"/>
    <x v="1"/>
    <x v="0"/>
  </r>
  <r>
    <x v="200"/>
    <s v="ZPEP"/>
    <x v="27"/>
    <s v="VE9862"/>
    <n v="98494073"/>
    <s v="LOS ANGELES"/>
    <x v="2100"/>
    <x v="5"/>
    <x v="0"/>
    <x v="57"/>
    <x v="0"/>
    <n v="0"/>
    <n v="420000"/>
    <n v="0"/>
    <n v="420000"/>
    <n v="15.849032680705394"/>
    <n v="25000"/>
    <n v="100"/>
    <x v="2583"/>
    <x v="10"/>
    <x v="1"/>
    <x v="0"/>
  </r>
  <r>
    <x v="200"/>
    <s v="ZPEP"/>
    <x v="72"/>
    <s v="HLBX77"/>
    <n v="154837728"/>
    <s v="COLINA"/>
    <x v="2101"/>
    <x v="1"/>
    <x v="1"/>
    <x v="5"/>
    <x v="1"/>
    <n v="5"/>
    <n v="70000"/>
    <n v="0"/>
    <n v="70000"/>
    <n v="11.205773214360038"/>
    <n v="10000"/>
    <n v="62"/>
    <x v="2584"/>
    <x v="10"/>
    <x v="1"/>
    <x v="1"/>
  </r>
  <r>
    <x v="200"/>
    <s v="ZTAN"/>
    <x v="10"/>
    <s v="KKPF51"/>
    <n v="95707734"/>
    <s v="SANTIAGO"/>
    <x v="2102"/>
    <x v="8"/>
    <x v="0"/>
    <x v="20"/>
    <x v="1"/>
    <n v="1"/>
    <n v="162732"/>
    <n v="0"/>
    <n v="162732"/>
    <n v="11.000013519176953"/>
    <n v="5000"/>
    <n v="100"/>
    <x v="2585"/>
    <x v="10"/>
    <x v="1"/>
    <x v="1"/>
  </r>
  <r>
    <x v="200"/>
    <s v="ZTAN"/>
    <x v="6"/>
    <s v="BWPL69"/>
    <n v="78551976"/>
    <s v="LOS ANGELES"/>
    <x v="2103"/>
    <x v="5"/>
    <x v="0"/>
    <x v="57"/>
    <x v="0"/>
    <n v="0"/>
    <n v="420000"/>
    <n v="0"/>
    <n v="420000"/>
    <n v="37.485273642497589"/>
    <n v="25000"/>
    <n v="60"/>
    <x v="2586"/>
    <x v="10"/>
    <x v="1"/>
    <x v="0"/>
  </r>
  <r>
    <x v="200"/>
    <s v="ZTAN"/>
    <x v="6"/>
    <s v="SU9354"/>
    <n v="138841065"/>
    <s v="PEÑALOLEN"/>
    <x v="2104"/>
    <x v="2"/>
    <x v="1"/>
    <x v="34"/>
    <x v="1"/>
    <n v="4"/>
    <n v="55000"/>
    <n v="0"/>
    <n v="55000"/>
    <n v="18.561015118790497"/>
    <n v="5000"/>
    <n v="59"/>
    <x v="2587"/>
    <x v="10"/>
    <x v="1"/>
    <x v="1"/>
  </r>
  <r>
    <x v="200"/>
    <s v="ZTAN"/>
    <x v="9"/>
    <s v="DJLF85"/>
    <n v="125108660"/>
    <s v="SAN BERNARDO"/>
    <x v="2105"/>
    <x v="4"/>
    <x v="1"/>
    <x v="4"/>
    <x v="1"/>
    <n v="4"/>
    <n v="87999"/>
    <n v="0"/>
    <n v="87999"/>
    <n v="10.999943749648436"/>
    <n v="5000"/>
    <n v="100"/>
    <x v="2588"/>
    <x v="10"/>
    <x v="1"/>
    <x v="1"/>
  </r>
  <r>
    <x v="200"/>
    <s v="ZTAN"/>
    <x v="7"/>
    <s v="SV2718"/>
    <n v="99626232"/>
    <s v="SAN MIGUEL"/>
    <x v="1458"/>
    <x v="1"/>
    <x v="1"/>
    <x v="23"/>
    <x v="1"/>
    <n v="2"/>
    <n v="74818"/>
    <n v="0"/>
    <n v="74818"/>
    <n v="11.000058809691838"/>
    <n v="5000"/>
    <n v="100"/>
    <x v="2589"/>
    <x v="10"/>
    <x v="1"/>
    <x v="1"/>
  </r>
  <r>
    <x v="200"/>
    <s v="ZTAN"/>
    <x v="7"/>
    <s v="TP3884"/>
    <n v="154837728"/>
    <s v="SANTIAGO"/>
    <x v="2106"/>
    <x v="1"/>
    <x v="1"/>
    <x v="20"/>
    <x v="1"/>
    <n v="1"/>
    <n v="101592"/>
    <n v="0"/>
    <n v="101592"/>
    <n v="10.471588425922109"/>
    <n v="5000"/>
    <n v="100"/>
    <x v="2590"/>
    <x v="10"/>
    <x v="1"/>
    <x v="1"/>
  </r>
  <r>
    <x v="200"/>
    <s v="ZTAN"/>
    <x v="8"/>
    <s v="HLBX77"/>
    <n v="154837728"/>
    <s v="PUDAHUEL"/>
    <x v="2107"/>
    <x v="1"/>
    <x v="1"/>
    <x v="10"/>
    <x v="1"/>
    <n v="1"/>
    <n v="93276"/>
    <n v="0"/>
    <n v="93276"/>
    <n v="11.000047172036414"/>
    <n v="5000"/>
    <n v="100"/>
    <x v="2591"/>
    <x v="10"/>
    <x v="1"/>
    <x v="1"/>
  </r>
  <r>
    <x v="200"/>
    <s v="ZTAN"/>
    <x v="8"/>
    <s v="SV2718"/>
    <n v="99626232"/>
    <s v="HUECHURABA"/>
    <x v="2108"/>
    <x v="1"/>
    <x v="1"/>
    <x v="24"/>
    <x v="1"/>
    <n v="1"/>
    <n v="60573"/>
    <n v="0"/>
    <n v="87071.6"/>
    <n v="11"/>
    <n v="5000"/>
    <n v="100"/>
    <x v="2592"/>
    <x v="10"/>
    <x v="1"/>
    <x v="1"/>
  </r>
  <r>
    <x v="200"/>
    <s v="ZTAN"/>
    <x v="8"/>
    <s v="TP3884"/>
    <n v="78907355"/>
    <s v="LA CALERA"/>
    <x v="1345"/>
    <x v="1"/>
    <x v="1"/>
    <x v="19"/>
    <x v="2"/>
    <n v="0"/>
    <n v="180000"/>
    <n v="0"/>
    <n v="180000"/>
    <n v="16.815515115279698"/>
    <n v="25000"/>
    <n v="65"/>
    <x v="2593"/>
    <x v="10"/>
    <x v="1"/>
    <x v="0"/>
  </r>
  <r>
    <x v="201"/>
    <s v="ZPEP"/>
    <x v="5"/>
    <s v="DJLF85"/>
    <n v="53173292"/>
    <s v="LAMPA"/>
    <x v="2109"/>
    <x v="4"/>
    <x v="1"/>
    <x v="17"/>
    <x v="1"/>
    <n v="5"/>
    <n v="70000"/>
    <n v="0"/>
    <n v="70000"/>
    <n v="16.725604511134467"/>
    <n v="10000"/>
    <n v="42"/>
    <x v="2594"/>
    <x v="10"/>
    <x v="1"/>
    <x v="1"/>
  </r>
  <r>
    <x v="201"/>
    <s v="ZPEP"/>
    <x v="5"/>
    <s v="XR6339"/>
    <n v="78907355"/>
    <s v="BUIN"/>
    <x v="2110"/>
    <x v="1"/>
    <x v="1"/>
    <x v="56"/>
    <x v="1"/>
    <n v="5"/>
    <n v="90000"/>
    <n v="0"/>
    <n v="90000"/>
    <n v="16.7838740538091"/>
    <n v="10000"/>
    <n v="54"/>
    <x v="2595"/>
    <x v="10"/>
    <x v="1"/>
    <x v="1"/>
  </r>
  <r>
    <x v="201"/>
    <s v="ZPEP"/>
    <x v="27"/>
    <s v="CJXX49"/>
    <n v="167832741"/>
    <s v="LOS ANGELES"/>
    <x v="2111"/>
    <x v="5"/>
    <x v="0"/>
    <x v="57"/>
    <x v="0"/>
    <n v="0"/>
    <n v="420000"/>
    <n v="0"/>
    <n v="420000"/>
    <n v="23.196820047354652"/>
    <n v="25000"/>
    <n v="72"/>
    <x v="2596"/>
    <x v="10"/>
    <x v="1"/>
    <x v="0"/>
  </r>
  <r>
    <x v="201"/>
    <s v="ZTAN"/>
    <x v="4"/>
    <s v="WC2233"/>
    <n v="125108660"/>
    <s v="SAN BERNARDO"/>
    <x v="2112"/>
    <x v="4"/>
    <x v="1"/>
    <x v="4"/>
    <x v="1"/>
    <n v="4"/>
    <n v="55000"/>
    <n v="0"/>
    <n v="55000"/>
    <n v="6.8724228414344619"/>
    <n v="5000"/>
    <n v="100"/>
    <x v="2597"/>
    <x v="10"/>
    <x v="1"/>
    <x v="1"/>
  </r>
  <r>
    <x v="201"/>
    <s v="ZTAN"/>
    <x v="73"/>
    <s v="RK5135"/>
    <n v="138841065"/>
    <s v="SANTIAGO"/>
    <x v="299"/>
    <x v="3"/>
    <x v="1"/>
    <x v="20"/>
    <x v="1"/>
    <n v="1"/>
    <n v="68842"/>
    <n v="0"/>
    <n v="68842"/>
    <n v="10.999936085900549"/>
    <n v="5000"/>
    <n v="100"/>
    <x v="2598"/>
    <x v="10"/>
    <x v="1"/>
    <x v="1"/>
  </r>
  <r>
    <x v="201"/>
    <s v="ZTAN"/>
    <x v="7"/>
    <s v="SV2718"/>
    <n v="99626232"/>
    <s v="SAN MIGUEL"/>
    <x v="1000"/>
    <x v="1"/>
    <x v="1"/>
    <x v="23"/>
    <x v="1"/>
    <n v="2"/>
    <n v="74290"/>
    <n v="0"/>
    <n v="74290"/>
    <n v="11.000059227671169"/>
    <n v="5000"/>
    <n v="100"/>
    <x v="2599"/>
    <x v="10"/>
    <x v="1"/>
    <x v="1"/>
  </r>
  <r>
    <x v="201"/>
    <s v="ZTAN"/>
    <x v="7"/>
    <s v="TP3884"/>
    <n v="154837728"/>
    <s v="SANTIAGO"/>
    <x v="2113"/>
    <x v="1"/>
    <x v="1"/>
    <x v="20"/>
    <x v="1"/>
    <n v="1"/>
    <n v="61688"/>
    <n v="0"/>
    <n v="61688"/>
    <n v="11.000000000000005"/>
    <n v="5000"/>
    <n v="100"/>
    <x v="2600"/>
    <x v="10"/>
    <x v="1"/>
    <x v="1"/>
  </r>
  <r>
    <x v="201"/>
    <s v="ZTAN"/>
    <x v="8"/>
    <s v="DJLF85"/>
    <n v="99626232"/>
    <s v="QUILIN"/>
    <x v="2114"/>
    <x v="4"/>
    <x v="1"/>
    <x v="34"/>
    <x v="1"/>
    <n v="4"/>
    <n v="99044"/>
    <n v="0"/>
    <n v="99044"/>
    <n v="11.000000000000002"/>
    <n v="5000"/>
    <n v="100"/>
    <x v="2601"/>
    <x v="10"/>
    <x v="1"/>
    <x v="1"/>
  </r>
  <r>
    <x v="201"/>
    <s v="ZTAN"/>
    <x v="8"/>
    <s v="DRFV76"/>
    <n v="113693568"/>
    <s v="CORONEL"/>
    <x v="2115"/>
    <x v="0"/>
    <x v="0"/>
    <x v="16"/>
    <x v="0"/>
    <n v="0"/>
    <n v="380000"/>
    <n v="0"/>
    <n v="380000"/>
    <n v="31.213037192798005"/>
    <n v="25000"/>
    <n v="49"/>
    <x v="2602"/>
    <x v="10"/>
    <x v="1"/>
    <x v="0"/>
  </r>
  <r>
    <x v="201"/>
    <s v="ZTAN"/>
    <x v="8"/>
    <s v="RK5135"/>
    <n v="138841065"/>
    <s v="LAS CONDES"/>
    <x v="448"/>
    <x v="3"/>
    <x v="1"/>
    <x v="3"/>
    <x v="1"/>
    <n v="4"/>
    <n v="66035"/>
    <n v="0"/>
    <n v="66035"/>
    <n v="10.99996668443497"/>
    <n v="5000"/>
    <n v="100"/>
    <x v="2603"/>
    <x v="10"/>
    <x v="1"/>
    <x v="1"/>
  </r>
  <r>
    <x v="201"/>
    <s v="ZTAN"/>
    <x v="8"/>
    <s v="SV2718"/>
    <n v="99626232"/>
    <s v="PUDAHUEL"/>
    <x v="2116"/>
    <x v="1"/>
    <x v="1"/>
    <x v="10"/>
    <x v="1"/>
    <n v="1"/>
    <n v="67924"/>
    <n v="0"/>
    <n v="67924"/>
    <n v="11.000016194594243"/>
    <n v="5000"/>
    <n v="100"/>
    <x v="2604"/>
    <x v="10"/>
    <x v="1"/>
    <x v="1"/>
  </r>
  <r>
    <x v="201"/>
    <s v="ZTAN"/>
    <x v="8"/>
    <s v="TP3884"/>
    <n v="154837728"/>
    <s v="CERRILLOS"/>
    <x v="2117"/>
    <x v="1"/>
    <x v="1"/>
    <x v="9"/>
    <x v="1"/>
    <n v="2"/>
    <n v="107699"/>
    <n v="0"/>
    <n v="107699"/>
    <n v="11.000020427339953"/>
    <n v="5000"/>
    <n v="100"/>
    <x v="2605"/>
    <x v="10"/>
    <x v="1"/>
    <x v="1"/>
  </r>
  <r>
    <x v="202"/>
    <s v="ZPEP"/>
    <x v="5"/>
    <s v="HLBX77"/>
    <s v="16093509K"/>
    <s v="LAMPA"/>
    <x v="2118"/>
    <x v="1"/>
    <x v="1"/>
    <x v="17"/>
    <x v="1"/>
    <n v="5"/>
    <n v="70000"/>
    <n v="0"/>
    <n v="50092.46"/>
    <n v="11"/>
    <n v="10000"/>
    <n v="62"/>
    <x v="2606"/>
    <x v="10"/>
    <x v="1"/>
    <x v="1"/>
  </r>
  <r>
    <x v="202"/>
    <s v="ZPEP"/>
    <x v="5"/>
    <s v="RK5135"/>
    <s v="138841065"/>
    <s v="LAMPA"/>
    <x v="2119"/>
    <x v="3"/>
    <x v="1"/>
    <x v="17"/>
    <x v="1"/>
    <n v="5"/>
    <n v="70000"/>
    <n v="0"/>
    <n v="70000"/>
    <n v="12.35112483458315"/>
    <n v="10000"/>
    <n v="68"/>
    <x v="2607"/>
    <x v="10"/>
    <x v="1"/>
    <x v="1"/>
  </r>
  <r>
    <x v="202"/>
    <s v="ZPEP"/>
    <x v="5"/>
    <s v="SU9354"/>
    <s v="72564391"/>
    <s v="BUIN"/>
    <x v="2120"/>
    <x v="2"/>
    <x v="1"/>
    <x v="56"/>
    <x v="1"/>
    <n v="5"/>
    <n v="90000"/>
    <n v="0"/>
    <n v="125701.62"/>
    <n v="11"/>
    <n v="10000"/>
    <n v="100"/>
    <x v="2608"/>
    <x v="10"/>
    <x v="1"/>
    <x v="1"/>
  </r>
  <r>
    <x v="202"/>
    <s v="ZPEP"/>
    <x v="5"/>
    <s v="XR6339"/>
    <s v="78907355"/>
    <s v="LAMPA"/>
    <x v="2121"/>
    <x v="1"/>
    <x v="1"/>
    <x v="17"/>
    <x v="1"/>
    <n v="5"/>
    <n v="70000"/>
    <n v="0"/>
    <n v="70000"/>
    <n v="13.239421702060055"/>
    <n v="10000"/>
    <n v="53"/>
    <x v="2609"/>
    <x v="10"/>
    <x v="1"/>
    <x v="1"/>
  </r>
  <r>
    <x v="202"/>
    <s v="ZPEP"/>
    <x v="27"/>
    <s v="VE9862"/>
    <s v="984940743"/>
    <s v="LOS ANGELES"/>
    <x v="2122"/>
    <x v="5"/>
    <x v="0"/>
    <x v="57"/>
    <x v="0"/>
    <n v="0"/>
    <n v="420000"/>
    <n v="0"/>
    <n v="420000"/>
    <n v="23.407169950543985"/>
    <n v="25000"/>
    <n v="72"/>
    <x v="2610"/>
    <x v="10"/>
    <x v="1"/>
    <x v="0"/>
  </r>
  <r>
    <x v="202"/>
    <s v="ZTAN"/>
    <x v="4"/>
    <s v="KKPF51"/>
    <s v="95707734"/>
    <s v="MELIPILLA"/>
    <x v="104"/>
    <x v="8"/>
    <x v="0"/>
    <x v="29"/>
    <x v="1"/>
    <n v="5"/>
    <n v="120000"/>
    <n v="0"/>
    <n v="120000"/>
    <n v="6.1505658520583886"/>
    <n v="10000"/>
    <n v="100"/>
    <x v="2611"/>
    <x v="10"/>
    <x v="1"/>
    <x v="1"/>
  </r>
  <r>
    <x v="202"/>
    <s v="ZTAN"/>
    <x v="6"/>
    <s v="CJFZ67"/>
    <s v="115812335"/>
    <s v="COPIAPO"/>
    <x v="2123"/>
    <x v="5"/>
    <x v="0"/>
    <x v="60"/>
    <x v="9"/>
    <n v="0"/>
    <n v="900000"/>
    <n v="0"/>
    <n v="900000"/>
    <n v="48"/>
    <n v="25000"/>
    <n v="68"/>
    <x v="2612"/>
    <x v="10"/>
    <x v="1"/>
    <x v="0"/>
  </r>
  <r>
    <x v="202"/>
    <s v="ZTAN"/>
    <x v="6"/>
    <s v="SV2718"/>
    <s v="99626232"/>
    <s v="MAIPU"/>
    <x v="749"/>
    <x v="1"/>
    <x v="1"/>
    <x v="2"/>
    <x v="1"/>
    <n v="2"/>
    <n v="55000"/>
    <n v="0"/>
    <n v="55000"/>
    <n v="18.104015799868336"/>
    <n v="5000"/>
    <n v="61"/>
    <x v="2613"/>
    <x v="10"/>
    <x v="1"/>
    <x v="1"/>
  </r>
  <r>
    <x v="202"/>
    <s v="ZTAN"/>
    <x v="6"/>
    <s v="TP3884"/>
    <s v="154837728"/>
    <s v="CERRILLOS"/>
    <x v="505"/>
    <x v="1"/>
    <x v="1"/>
    <x v="9"/>
    <x v="1"/>
    <n v="2"/>
    <n v="55000"/>
    <n v="0"/>
    <n v="55000"/>
    <n v="21.777003484320559"/>
    <n v="5000"/>
    <n v="51"/>
    <x v="2614"/>
    <x v="10"/>
    <x v="1"/>
    <x v="1"/>
  </r>
  <r>
    <x v="202"/>
    <s v="ZTAN"/>
    <x v="16"/>
    <s v="NK5991"/>
    <s v="78778555"/>
    <s v="CONCEPCION"/>
    <x v="2124"/>
    <x v="0"/>
    <x v="0"/>
    <x v="81"/>
    <x v="0"/>
    <n v="0"/>
    <n v="380000"/>
    <n v="0"/>
    <n v="380000"/>
    <n v="19.1389487680561"/>
    <n v="25000"/>
    <n v="79"/>
    <x v="2615"/>
    <x v="10"/>
    <x v="1"/>
    <x v="0"/>
  </r>
  <r>
    <x v="202"/>
    <s v="ZTAN"/>
    <x v="7"/>
    <s v="BWPL69"/>
    <s v="78551976"/>
    <s v="CHILLAN"/>
    <x v="2125"/>
    <x v="5"/>
    <x v="0"/>
    <x v="21"/>
    <x v="5"/>
    <n v="0"/>
    <n v="350000"/>
    <n v="0"/>
    <n v="350000"/>
    <n v="25.286824841776724"/>
    <n v="25000"/>
    <n v="62"/>
    <x v="2616"/>
    <x v="10"/>
    <x v="1"/>
    <x v="0"/>
  </r>
  <r>
    <x v="202"/>
    <s v="ZTAN"/>
    <x v="68"/>
    <s v="SU9354"/>
    <s v="72564391"/>
    <s v="QUILICURA"/>
    <x v="2126"/>
    <x v="2"/>
    <x v="1"/>
    <x v="8"/>
    <x v="1"/>
    <n v="1"/>
    <n v="172248"/>
    <n v="0"/>
    <n v="172248"/>
    <n v="11.000006386144621"/>
    <n v="5000"/>
    <n v="100"/>
    <x v="2617"/>
    <x v="10"/>
    <x v="1"/>
    <x v="1"/>
  </r>
  <r>
    <x v="202"/>
    <s v="ZTAN"/>
    <x v="8"/>
    <s v="HLBX77"/>
    <s v="16093509K"/>
    <s v="PUDAHUEL"/>
    <x v="2127"/>
    <x v="1"/>
    <x v="1"/>
    <x v="10"/>
    <x v="1"/>
    <n v="1"/>
    <n v="76435"/>
    <n v="0"/>
    <n v="76435"/>
    <n v="11.000057565552774"/>
    <n v="5000"/>
    <n v="100"/>
    <x v="2618"/>
    <x v="10"/>
    <x v="1"/>
    <x v="1"/>
  </r>
  <r>
    <x v="202"/>
    <s v="ZTAN"/>
    <x v="8"/>
    <s v="WG45022"/>
    <s v="81417709"/>
    <s v="LA CALERA"/>
    <x v="2128"/>
    <x v="0"/>
    <x v="0"/>
    <x v="19"/>
    <x v="2"/>
    <n v="0"/>
    <n v="230000"/>
    <n v="0"/>
    <n v="230000"/>
    <n v="21.712451618993676"/>
    <n v="25000"/>
    <n v="58"/>
    <x v="2619"/>
    <x v="10"/>
    <x v="1"/>
    <x v="0"/>
  </r>
  <r>
    <x v="203"/>
    <s v="ZPEP"/>
    <x v="27"/>
    <s v="YP6892"/>
    <s v="124157498"/>
    <s v="LOS ANGELES"/>
    <x v="2129"/>
    <x v="0"/>
    <x v="0"/>
    <x v="57"/>
    <x v="0"/>
    <n v="0"/>
    <n v="420000"/>
    <n v="0"/>
    <n v="420000"/>
    <n v="29.442815742652964"/>
    <n v="25000"/>
    <n v="57"/>
    <x v="2620"/>
    <x v="10"/>
    <x v="1"/>
    <x v="0"/>
  </r>
  <r>
    <x v="203"/>
    <s v="ZPEP"/>
    <x v="7"/>
    <s v="DFRV76"/>
    <s v="113693568"/>
    <s v="RENCA"/>
    <x v="2130"/>
    <x v="5"/>
    <x v="0"/>
    <x v="7"/>
    <x v="1"/>
    <n v="1"/>
    <n v="55000"/>
    <n v="0"/>
    <n v="55000"/>
    <n v="17.230576441102755"/>
    <n v="5000"/>
    <n v="64"/>
    <x v="2621"/>
    <x v="10"/>
    <x v="1"/>
    <x v="1"/>
  </r>
  <r>
    <x v="203"/>
    <s v="ZTAN"/>
    <x v="17"/>
    <s v="WG4022"/>
    <s v="81417709"/>
    <s v="LAMPA"/>
    <x v="2131"/>
    <x v="1"/>
    <x v="0"/>
    <x v="17"/>
    <x v="1"/>
    <n v="5"/>
    <n v="120000"/>
    <n v="0"/>
    <n v="242297.00000000012"/>
    <n v="11"/>
    <n v="10000"/>
    <n v="100"/>
    <x v="2622"/>
    <x v="10"/>
    <x v="1"/>
    <x v="1"/>
  </r>
  <r>
    <x v="203"/>
    <s v="ZTAN"/>
    <x v="6"/>
    <s v="KKPF51"/>
    <s v="95707734"/>
    <s v="VIÑA DEL MAR"/>
    <x v="2132"/>
    <x v="8"/>
    <x v="0"/>
    <x v="6"/>
    <x v="2"/>
    <n v="0"/>
    <n v="230000"/>
    <n v="0"/>
    <n v="230000"/>
    <n v="18.846897636762922"/>
    <n v="25000"/>
    <n v="78"/>
    <x v="2623"/>
    <x v="10"/>
    <x v="1"/>
    <x v="0"/>
  </r>
  <r>
    <x v="203"/>
    <s v="ZTAN"/>
    <x v="6"/>
    <s v="SV2718"/>
    <s v="99626232"/>
    <s v="LA DEHESA"/>
    <x v="2133"/>
    <x v="1"/>
    <x v="1"/>
    <x v="41"/>
    <x v="1"/>
    <n v="4"/>
    <n v="55000"/>
    <n v="0"/>
    <n v="55000"/>
    <n v="16.292434385923336"/>
    <n v="5000"/>
    <n v="68"/>
    <x v="2624"/>
    <x v="10"/>
    <x v="1"/>
    <x v="1"/>
  </r>
  <r>
    <x v="203"/>
    <s v="ZTAN"/>
    <x v="6"/>
    <s v="XR6339"/>
    <s v="78907355"/>
    <s v="QUILICURA"/>
    <x v="2133"/>
    <x v="1"/>
    <x v="1"/>
    <x v="8"/>
    <x v="1"/>
    <n v="1"/>
    <n v="55000"/>
    <n v="0"/>
    <n v="55000"/>
    <n v="16.292434385923336"/>
    <n v="5000"/>
    <n v="68"/>
    <x v="2625"/>
    <x v="10"/>
    <x v="1"/>
    <x v="1"/>
  </r>
  <r>
    <x v="203"/>
    <s v="ZTAN"/>
    <x v="7"/>
    <s v="DFRV76"/>
    <s v="113693568"/>
    <s v="CHILLAN"/>
    <x v="2134"/>
    <x v="5"/>
    <x v="0"/>
    <x v="21"/>
    <x v="5"/>
    <n v="0"/>
    <n v="350000"/>
    <n v="0"/>
    <n v="350000"/>
    <n v="25.7407829610726"/>
    <n v="25000"/>
    <n v="54"/>
    <x v="2626"/>
    <x v="10"/>
    <x v="1"/>
    <x v="0"/>
  </r>
  <r>
    <x v="203"/>
    <s v="ZTAN"/>
    <x v="7"/>
    <s v="HLBX77"/>
    <s v="16093509K"/>
    <s v="SAN MIGUEL"/>
    <x v="2135"/>
    <x v="1"/>
    <x v="1"/>
    <x v="23"/>
    <x v="1"/>
    <n v="2"/>
    <n v="77831"/>
    <n v="0"/>
    <n v="77831"/>
    <n v="11.000070666384"/>
    <n v="5000"/>
    <n v="100"/>
    <x v="2627"/>
    <x v="10"/>
    <x v="1"/>
    <x v="1"/>
  </r>
  <r>
    <x v="203"/>
    <s v="ZTAN"/>
    <x v="7"/>
    <s v="RK5135"/>
    <s v="138841065"/>
    <s v="MELIPILLA"/>
    <x v="2136"/>
    <x v="3"/>
    <x v="1"/>
    <x v="29"/>
    <x v="1"/>
    <n v="5"/>
    <n v="90000"/>
    <n v="0"/>
    <n v="90000"/>
    <n v="10.245901639344265"/>
    <n v="10000"/>
    <n v="88"/>
    <x v="2628"/>
    <x v="10"/>
    <x v="1"/>
    <x v="1"/>
  </r>
  <r>
    <x v="203"/>
    <s v="ZTAN"/>
    <x v="68"/>
    <s v="DJLF85"/>
    <s v="53173292"/>
    <s v="SAN BERNARDO"/>
    <x v="2137"/>
    <x v="4"/>
    <x v="1"/>
    <x v="4"/>
    <x v="1"/>
    <n v="4"/>
    <n v="100714"/>
    <n v="0"/>
    <n v="100714"/>
    <n v="11.000021844076979"/>
    <n v="5000"/>
    <n v="100"/>
    <x v="2629"/>
    <x v="10"/>
    <x v="1"/>
    <x v="1"/>
  </r>
  <r>
    <x v="203"/>
    <s v="ZTAN"/>
    <x v="68"/>
    <s v="SU9354"/>
    <s v="72564391"/>
    <s v="SAN BERNARDO"/>
    <x v="385"/>
    <x v="2"/>
    <x v="1"/>
    <x v="4"/>
    <x v="1"/>
    <n v="4"/>
    <n v="82544"/>
    <n v="0"/>
    <n v="82544"/>
    <n v="11.000000000000004"/>
    <n v="5000"/>
    <n v="100"/>
    <x v="2630"/>
    <x v="10"/>
    <x v="1"/>
    <x v="1"/>
  </r>
  <r>
    <x v="203"/>
    <s v="ZTAN"/>
    <x v="8"/>
    <s v="SU9354"/>
    <s v="72564391"/>
    <s v="REÑACA"/>
    <x v="2138"/>
    <x v="2"/>
    <x v="1"/>
    <x v="6"/>
    <x v="2"/>
    <n v="0"/>
    <n v="180000"/>
    <n v="0"/>
    <n v="180000"/>
    <n v="31.419644259805544"/>
    <n v="25000"/>
    <n v="23"/>
    <x v="2631"/>
    <x v="10"/>
    <x v="1"/>
    <x v="0"/>
  </r>
  <r>
    <x v="203"/>
    <s v="ZTAN"/>
    <x v="8"/>
    <s v="TP3884"/>
    <s v="154837728"/>
    <s v="PUDAHUEL"/>
    <x v="2139"/>
    <x v="1"/>
    <x v="1"/>
    <x v="10"/>
    <x v="1"/>
    <n v="1"/>
    <n v="96946"/>
    <n v="0"/>
    <n v="96946"/>
    <n v="10.999965960536914"/>
    <n v="5000"/>
    <n v="100"/>
    <x v="2632"/>
    <x v="10"/>
    <x v="1"/>
    <x v="1"/>
  </r>
  <r>
    <x v="204"/>
    <s v="ZPEP"/>
    <x v="5"/>
    <s v="DJLF85"/>
    <n v="125108660"/>
    <s v="BUIN"/>
    <x v="2140"/>
    <x v="4"/>
    <x v="1"/>
    <x v="56"/>
    <x v="1"/>
    <n v="5"/>
    <n v="90000"/>
    <n v="0"/>
    <n v="90000"/>
    <n v="12.186040213932706"/>
    <n v="10000"/>
    <n v="74"/>
    <x v="2633"/>
    <x v="10"/>
    <x v="1"/>
    <x v="1"/>
  </r>
  <r>
    <x v="204"/>
    <s v="ZPEP"/>
    <x v="2"/>
    <s v="BWPL69"/>
    <n v="78551976"/>
    <s v="LOS ANGELES"/>
    <x v="2141"/>
    <x v="5"/>
    <x v="0"/>
    <x v="57"/>
    <x v="0"/>
    <n v="0"/>
    <n v="420000"/>
    <n v="0"/>
    <n v="420000"/>
    <n v="15.674782596363531"/>
    <n v="25000"/>
    <n v="100"/>
    <x v="2634"/>
    <x v="10"/>
    <x v="1"/>
    <x v="0"/>
  </r>
  <r>
    <x v="204"/>
    <s v="ZPEP"/>
    <x v="33"/>
    <s v="WG4022"/>
    <n v="81417709"/>
    <s v="COLINA"/>
    <x v="2142"/>
    <x v="1"/>
    <x v="0"/>
    <x v="5"/>
    <x v="1"/>
    <n v="5"/>
    <n v="120000"/>
    <n v="0"/>
    <n v="120000"/>
    <n v="11.615233766258907"/>
    <n v="10000"/>
    <n v="100"/>
    <x v="2635"/>
    <x v="10"/>
    <x v="1"/>
    <x v="1"/>
  </r>
  <r>
    <x v="204"/>
    <s v="ZTAN"/>
    <x v="17"/>
    <s v="WC2233"/>
    <n v="125108660"/>
    <s v="LAMPA"/>
    <x v="2143"/>
    <x v="4"/>
    <x v="1"/>
    <x v="17"/>
    <x v="1"/>
    <n v="5"/>
    <n v="70000"/>
    <n v="0"/>
    <n v="70000"/>
    <n v="11.196417146513117"/>
    <n v="10000"/>
    <n v="63"/>
    <x v="2636"/>
    <x v="10"/>
    <x v="1"/>
    <x v="1"/>
  </r>
  <r>
    <x v="204"/>
    <s v="ZTAN"/>
    <x v="47"/>
    <s v="XR6339"/>
    <n v="78907355"/>
    <s v="SAN JOAQUIN"/>
    <x v="2144"/>
    <x v="1"/>
    <x v="1"/>
    <x v="67"/>
    <x v="1"/>
    <n v="3"/>
    <n v="64383"/>
    <n v="0"/>
    <n v="64383"/>
    <n v="11"/>
    <n v="5000"/>
    <n v="100"/>
    <x v="2637"/>
    <x v="10"/>
    <x v="1"/>
    <x v="1"/>
  </r>
  <r>
    <x v="204"/>
    <s v="ZTAN"/>
    <x v="10"/>
    <s v="RH1133"/>
    <n v="65941082"/>
    <s v="SANTIAGO"/>
    <x v="2145"/>
    <x v="0"/>
    <x v="0"/>
    <x v="20"/>
    <x v="1"/>
    <n v="1"/>
    <n v="92426"/>
    <n v="0"/>
    <n v="92426"/>
    <n v="10.999952394553937"/>
    <n v="5000"/>
    <n v="57"/>
    <x v="2638"/>
    <x v="10"/>
    <x v="1"/>
    <x v="1"/>
  </r>
  <r>
    <x v="204"/>
    <s v="ZTAN"/>
    <x v="6"/>
    <s v="CJXX49"/>
    <n v="167832741"/>
    <s v="PUERTO MONTT"/>
    <x v="2146"/>
    <x v="5"/>
    <x v="0"/>
    <x v="53"/>
    <x v="10"/>
    <n v="0"/>
    <n v="1020000"/>
    <n v="0"/>
    <n v="1020000"/>
    <n v="100"/>
    <n v="25000"/>
    <n v="100"/>
    <x v="2639"/>
    <x v="10"/>
    <x v="1"/>
    <x v="0"/>
  </r>
  <r>
    <x v="204"/>
    <s v="ZTAN"/>
    <x v="6"/>
    <s v="HLBX77"/>
    <n v="103018366"/>
    <s v="QUILLOTA"/>
    <x v="2147"/>
    <x v="1"/>
    <x v="1"/>
    <x v="19"/>
    <x v="2"/>
    <n v="0"/>
    <n v="180000"/>
    <n v="0"/>
    <n v="180000"/>
    <n v="29.499491953194138"/>
    <n v="25000"/>
    <n v="24"/>
    <x v="2640"/>
    <x v="10"/>
    <x v="1"/>
    <x v="0"/>
  </r>
  <r>
    <x v="204"/>
    <s v="ZTAN"/>
    <x v="6"/>
    <s v="SV2718"/>
    <n v="99626232"/>
    <s v="PUENTE ALTO"/>
    <x v="2148"/>
    <x v="1"/>
    <x v="1"/>
    <x v="30"/>
    <x v="1"/>
    <n v="4"/>
    <n v="55000"/>
    <n v="0"/>
    <n v="55000"/>
    <n v="15.993951378387809"/>
    <n v="5000"/>
    <n v="69"/>
    <x v="2641"/>
    <x v="10"/>
    <x v="1"/>
    <x v="1"/>
  </r>
  <r>
    <x v="204"/>
    <s v="ZTAN"/>
    <x v="68"/>
    <s v="HLBX77"/>
    <n v="154837728"/>
    <s v="QUILICURA"/>
    <x v="400"/>
    <x v="1"/>
    <x v="1"/>
    <x v="8"/>
    <x v="1"/>
    <n v="1"/>
    <n v="90798"/>
    <n v="0"/>
    <n v="90798"/>
    <n v="10.999951540996321"/>
    <n v="5000"/>
    <n v="100"/>
    <x v="2642"/>
    <x v="10"/>
    <x v="1"/>
    <x v="1"/>
  </r>
  <r>
    <x v="204"/>
    <s v="ZTAN"/>
    <x v="8"/>
    <s v="BYZH29"/>
    <n v="122975819"/>
    <s v="TALCA"/>
    <x v="2149"/>
    <x v="0"/>
    <x v="0"/>
    <x v="12"/>
    <x v="3"/>
    <n v="0"/>
    <n v="320000"/>
    <n v="0"/>
    <n v="320000"/>
    <n v="36.31494132867293"/>
    <n v="25000"/>
    <n v="55"/>
    <x v="2643"/>
    <x v="10"/>
    <x v="1"/>
    <x v="0"/>
  </r>
  <r>
    <x v="204"/>
    <s v="ZTAN"/>
    <x v="8"/>
    <s v="DJLF85"/>
    <n v="53173292"/>
    <s v="ÑUÑOA"/>
    <x v="2150"/>
    <x v="4"/>
    <x v="1"/>
    <x v="15"/>
    <x v="1"/>
    <n v="4"/>
    <n v="55000"/>
    <n v="0"/>
    <n v="55000"/>
    <n v="13.190713737528778"/>
    <n v="5000"/>
    <n v="83"/>
    <x v="2644"/>
    <x v="10"/>
    <x v="1"/>
    <x v="1"/>
  </r>
  <r>
    <x v="204"/>
    <s v="ZTAN"/>
    <x v="8"/>
    <s v="TP3884"/>
    <n v="154837728"/>
    <s v="PUDAHUEL"/>
    <x v="2151"/>
    <x v="1"/>
    <x v="1"/>
    <x v="10"/>
    <x v="1"/>
    <n v="1"/>
    <n v="71750"/>
    <n v="0"/>
    <n v="71750"/>
    <n v="11.000045993223667"/>
    <n v="5000"/>
    <n v="100"/>
    <x v="2645"/>
    <x v="10"/>
    <x v="1"/>
    <x v="1"/>
  </r>
  <r>
    <x v="205"/>
    <s v="ZPEP"/>
    <x v="27"/>
    <s v="BE9862"/>
    <n v="98494073"/>
    <s v="LOS ANGELES"/>
    <x v="2152"/>
    <x v="0"/>
    <x v="0"/>
    <x v="57"/>
    <x v="0"/>
    <n v="0"/>
    <n v="420000"/>
    <n v="0"/>
    <n v="420000"/>
    <n v="44.889299780363068"/>
    <n v="25000"/>
    <n v="45"/>
    <x v="2646"/>
    <x v="10"/>
    <x v="1"/>
    <x v="0"/>
  </r>
  <r>
    <x v="205"/>
    <s v="ZPEP"/>
    <x v="27"/>
    <s v="CJFZ67"/>
    <n v="115812335"/>
    <s v="NACIMIENTO"/>
    <x v="2153"/>
    <x v="5"/>
    <x v="0"/>
    <x v="86"/>
    <x v="0"/>
    <n v="0"/>
    <n v="420000"/>
    <n v="0"/>
    <n v="420000"/>
    <n v="18.277860028147895"/>
    <n v="25000"/>
    <n v="92"/>
    <x v="2647"/>
    <x v="10"/>
    <x v="1"/>
    <x v="0"/>
  </r>
  <r>
    <x v="205"/>
    <s v="ZPEP"/>
    <x v="27"/>
    <s v="KKPF51"/>
    <n v="95707734"/>
    <s v="NACIMIENTO"/>
    <x v="2154"/>
    <x v="8"/>
    <x v="0"/>
    <x v="86"/>
    <x v="0"/>
    <n v="0"/>
    <n v="420000"/>
    <n v="0"/>
    <n v="420000"/>
    <n v="16.350275852511171"/>
    <n v="25000"/>
    <n v="100"/>
    <x v="2648"/>
    <x v="10"/>
    <x v="1"/>
    <x v="0"/>
  </r>
  <r>
    <x v="205"/>
    <s v="ZPEP"/>
    <x v="9"/>
    <s v="DJLF85"/>
    <n v="125108660"/>
    <s v="SAN BERNARDO"/>
    <x v="2155"/>
    <x v="4"/>
    <x v="1"/>
    <x v="4"/>
    <x v="1"/>
    <n v="4"/>
    <n v="55000"/>
    <n v="0"/>
    <n v="55000"/>
    <n v="18.366392840446135"/>
    <n v="5000"/>
    <n v="60"/>
    <x v="2649"/>
    <x v="10"/>
    <x v="1"/>
    <x v="1"/>
  </r>
  <r>
    <x v="205"/>
    <s v="ZTAN"/>
    <x v="17"/>
    <s v="WG4022"/>
    <n v="81417709"/>
    <s v="LAMPA"/>
    <x v="2156"/>
    <x v="1"/>
    <x v="0"/>
    <x v="17"/>
    <x v="1"/>
    <n v="5"/>
    <n v="120000"/>
    <n v="0"/>
    <n v="199777.59999999998"/>
    <n v="11"/>
    <n v="10000"/>
    <n v="100"/>
    <x v="2650"/>
    <x v="10"/>
    <x v="1"/>
    <x v="1"/>
  </r>
  <r>
    <x v="205"/>
    <s v="ZTAN"/>
    <x v="7"/>
    <s v="DJLF85"/>
    <n v="53173292"/>
    <s v="SAN MIGUEL"/>
    <x v="2157"/>
    <x v="4"/>
    <x v="1"/>
    <x v="23"/>
    <x v="1"/>
    <n v="2"/>
    <n v="75913"/>
    <n v="0"/>
    <n v="75913"/>
    <n v="10.999971019532833"/>
    <n v="5000"/>
    <n v="100"/>
    <x v="2651"/>
    <x v="10"/>
    <x v="1"/>
    <x v="1"/>
  </r>
  <r>
    <x v="205"/>
    <s v="ZTAN"/>
    <x v="7"/>
    <s v="RK5135"/>
    <n v="138841065"/>
    <s v="SAN MIGUEL"/>
    <x v="2158"/>
    <x v="3"/>
    <x v="1"/>
    <x v="23"/>
    <x v="1"/>
    <n v="2"/>
    <n v="55000"/>
    <n v="0"/>
    <n v="55000"/>
    <n v="14.036341363821968"/>
    <n v="5000"/>
    <n v="65"/>
    <x v="2652"/>
    <x v="10"/>
    <x v="1"/>
    <x v="1"/>
  </r>
  <r>
    <x v="205"/>
    <s v="ZTAN"/>
    <x v="7"/>
    <s v="SU9354"/>
    <n v="72564391"/>
    <s v="SAN MIGUEL"/>
    <x v="2159"/>
    <x v="2"/>
    <x v="1"/>
    <x v="23"/>
    <x v="1"/>
    <n v="2"/>
    <n v="55000"/>
    <n v="0"/>
    <n v="55000"/>
    <n v="11.435462408516297"/>
    <n v="5000"/>
    <n v="96"/>
    <x v="2653"/>
    <x v="10"/>
    <x v="1"/>
    <x v="1"/>
  </r>
  <r>
    <x v="205"/>
    <s v="ZTAN"/>
    <x v="7"/>
    <s v="XR6339"/>
    <n v="78907355"/>
    <s v="SAN MIGUEL"/>
    <x v="2160"/>
    <x v="1"/>
    <x v="1"/>
    <x v="23"/>
    <x v="1"/>
    <n v="2"/>
    <n v="74350"/>
    <n v="0"/>
    <n v="74350"/>
    <n v="11.000050302852763"/>
    <n v="5000"/>
    <n v="100"/>
    <x v="2654"/>
    <x v="10"/>
    <x v="1"/>
    <x v="1"/>
  </r>
  <r>
    <x v="205"/>
    <s v="ZTAN"/>
    <x v="8"/>
    <s v="HLBX77"/>
    <n v="154837728"/>
    <s v="PUDAHUEL"/>
    <x v="2161"/>
    <x v="1"/>
    <x v="1"/>
    <x v="10"/>
    <x v="1"/>
    <n v="1"/>
    <n v="55000"/>
    <n v="0"/>
    <n v="55000"/>
    <n v="15.735416130232021"/>
    <n v="5000"/>
    <n v="70"/>
    <x v="2655"/>
    <x v="10"/>
    <x v="1"/>
    <x v="1"/>
  </r>
  <r>
    <x v="205"/>
    <s v="ZTAN"/>
    <x v="8"/>
    <s v="TP3884"/>
    <n v="81417709"/>
    <s v="SAN MIGUEL"/>
    <x v="2162"/>
    <x v="1"/>
    <x v="1"/>
    <x v="23"/>
    <x v="1"/>
    <n v="2"/>
    <n v="55000"/>
    <n v="0"/>
    <n v="55000"/>
    <n v="11.074420103092782"/>
    <n v="5000"/>
    <n v="99"/>
    <x v="2656"/>
    <x v="10"/>
    <x v="1"/>
    <x v="1"/>
  </r>
  <r>
    <x v="206"/>
    <s v="ZPEP"/>
    <x v="27"/>
    <s v="DRFV76"/>
    <n v="133693568"/>
    <s v="NACIMIENTO"/>
    <x v="2163"/>
    <x v="0"/>
    <x v="0"/>
    <x v="86"/>
    <x v="0"/>
    <n v="0"/>
    <n v="420000"/>
    <n v="0"/>
    <n v="420000"/>
    <n v="15.969272078754367"/>
    <n v="25000"/>
    <n v="100"/>
    <x v="2657"/>
    <x v="10"/>
    <x v="1"/>
    <x v="0"/>
  </r>
  <r>
    <x v="206"/>
    <s v="ZTAN"/>
    <x v="10"/>
    <s v="DJLF85"/>
    <n v="553173294"/>
    <s v="QUILICURA"/>
    <x v="1219"/>
    <x v="4"/>
    <x v="1"/>
    <x v="8"/>
    <x v="1"/>
    <n v="1"/>
    <n v="55000"/>
    <n v="0"/>
    <n v="35724"/>
    <n v="13"/>
    <n v="5000"/>
    <n v="75"/>
    <x v="2658"/>
    <x v="10"/>
    <x v="1"/>
    <x v="1"/>
  </r>
  <r>
    <x v="206"/>
    <s v="ZTAN"/>
    <x v="10"/>
    <s v="HLBX77"/>
    <n v="154837728"/>
    <s v="QUILICURA"/>
    <x v="1219"/>
    <x v="1"/>
    <x v="1"/>
    <x v="8"/>
    <x v="1"/>
    <n v="1"/>
    <n v="55000"/>
    <n v="0"/>
    <n v="35724"/>
    <n v="13"/>
    <n v="5000"/>
    <n v="75"/>
    <x v="2659"/>
    <x v="10"/>
    <x v="1"/>
    <x v="1"/>
  </r>
  <r>
    <x v="206"/>
    <s v="ZTAN"/>
    <x v="10"/>
    <s v="WC2233"/>
    <n v="125108660"/>
    <s v="QUILICURA"/>
    <x v="1219"/>
    <x v="4"/>
    <x v="1"/>
    <x v="8"/>
    <x v="1"/>
    <n v="1"/>
    <n v="55000"/>
    <n v="0"/>
    <n v="35724"/>
    <n v="13"/>
    <n v="5000"/>
    <n v="75"/>
    <x v="2660"/>
    <x v="10"/>
    <x v="1"/>
    <x v="1"/>
  </r>
  <r>
    <x v="206"/>
    <s v="ZTAN"/>
    <x v="7"/>
    <s v="BYZH29"/>
    <n v="122975819"/>
    <s v="CHILLAN"/>
    <x v="2164"/>
    <x v="0"/>
    <x v="0"/>
    <x v="21"/>
    <x v="5"/>
    <n v="0"/>
    <n v="350000"/>
    <n v="0"/>
    <n v="350000"/>
    <n v="28.028028028028029"/>
    <n v="25000"/>
    <n v="50"/>
    <x v="2661"/>
    <x v="10"/>
    <x v="1"/>
    <x v="0"/>
  </r>
  <r>
    <x v="206"/>
    <s v="ZTAN"/>
    <x v="7"/>
    <s v="RK5135"/>
    <n v="138841065"/>
    <s v="SANTIAGO"/>
    <x v="2165"/>
    <x v="3"/>
    <x v="1"/>
    <x v="20"/>
    <x v="1"/>
    <n v="1"/>
    <n v="55000"/>
    <n v="0"/>
    <n v="55000"/>
    <n v="13.01528704623977"/>
    <n v="5000"/>
    <n v="85"/>
    <x v="2662"/>
    <x v="10"/>
    <x v="1"/>
    <x v="1"/>
  </r>
  <r>
    <x v="206"/>
    <s v="ZTAN"/>
    <x v="7"/>
    <s v="WC2233"/>
    <n v="53173292"/>
    <s v="SANTIAGO"/>
    <x v="2166"/>
    <x v="4"/>
    <x v="1"/>
    <x v="20"/>
    <x v="1"/>
    <n v="1"/>
    <n v="55000"/>
    <n v="0"/>
    <n v="55000"/>
    <n v="13.080289193302891"/>
    <n v="5000"/>
    <n v="84"/>
    <x v="2663"/>
    <x v="10"/>
    <x v="1"/>
    <x v="1"/>
  </r>
  <r>
    <x v="206"/>
    <s v="ZTAN"/>
    <x v="8"/>
    <s v="TP3884"/>
    <n v="154837728"/>
    <s v="PUDAHUEL"/>
    <x v="2167"/>
    <x v="1"/>
    <x v="1"/>
    <x v="10"/>
    <x v="1"/>
    <n v="1"/>
    <n v="56220"/>
    <n v="0"/>
    <n v="56220"/>
    <n v="11.000019566025554"/>
    <n v="5000"/>
    <n v="100"/>
    <x v="2664"/>
    <x v="10"/>
    <x v="1"/>
    <x v="1"/>
  </r>
  <r>
    <x v="207"/>
    <s v="ZPEP"/>
    <x v="27"/>
    <s v="TW7053"/>
    <n v="172861164"/>
    <s v="LOS ANGELES"/>
    <x v="2168"/>
    <x v="6"/>
    <x v="0"/>
    <x v="57"/>
    <x v="0"/>
    <n v="0"/>
    <n v="420000"/>
    <n v="0"/>
    <n v="420000"/>
    <n v="17.741940934544065"/>
    <n v="25000"/>
    <n v="100"/>
    <x v="2665"/>
    <x v="10"/>
    <x v="1"/>
    <x v="0"/>
  </r>
  <r>
    <x v="207"/>
    <s v="ZPEP"/>
    <x v="27"/>
    <s v="VE9862"/>
    <n v="98494073"/>
    <s v="NACIMIENTO"/>
    <x v="2169"/>
    <x v="5"/>
    <x v="0"/>
    <x v="86"/>
    <x v="0"/>
    <n v="0"/>
    <n v="420000"/>
    <n v="0"/>
    <n v="420000"/>
    <n v="24.973124161616543"/>
    <n v="25000"/>
    <n v="67"/>
    <x v="2666"/>
    <x v="10"/>
    <x v="1"/>
    <x v="0"/>
  </r>
  <r>
    <x v="207"/>
    <s v="ZPEP"/>
    <x v="12"/>
    <s v="WG4022"/>
    <n v="81417709"/>
    <s v="VITACURA"/>
    <x v="2170"/>
    <x v="1"/>
    <x v="0"/>
    <x v="27"/>
    <x v="1"/>
    <n v="4"/>
    <n v="180231"/>
    <n v="0"/>
    <n v="180231"/>
    <n v="11.000024413168468"/>
    <n v="5000"/>
    <n v="100"/>
    <x v="2667"/>
    <x v="10"/>
    <x v="1"/>
    <x v="1"/>
  </r>
  <r>
    <x v="207"/>
    <s v="ZTAN"/>
    <x v="35"/>
    <s v="XR6339"/>
    <n v="78907355"/>
    <s v="PADRE HURTADO"/>
    <x v="2171"/>
    <x v="1"/>
    <x v="1"/>
    <x v="26"/>
    <x v="1"/>
    <n v="5"/>
    <n v="70000"/>
    <n v="0"/>
    <n v="70000"/>
    <n v="13.497878904743542"/>
    <n v="10000"/>
    <n v="75"/>
    <x v="2668"/>
    <x v="10"/>
    <x v="1"/>
    <x v="1"/>
  </r>
  <r>
    <x v="207"/>
    <s v="ZTAN"/>
    <x v="7"/>
    <s v="SU9354"/>
    <n v="72564391"/>
    <s v="SANTIAGO"/>
    <x v="2172"/>
    <x v="2"/>
    <x v="1"/>
    <x v="20"/>
    <x v="1"/>
    <n v="1"/>
    <n v="55000"/>
    <n v="0"/>
    <n v="55000"/>
    <n v="15.738568076460826"/>
    <n v="5000"/>
    <n v="85"/>
    <x v="2669"/>
    <x v="10"/>
    <x v="1"/>
    <x v="1"/>
  </r>
  <r>
    <x v="207"/>
    <s v="ZTAN"/>
    <x v="8"/>
    <s v="RK5135"/>
    <n v="138841065"/>
    <s v="QUILIN"/>
    <x v="2173"/>
    <x v="3"/>
    <x v="1"/>
    <x v="34"/>
    <x v="1"/>
    <n v="4"/>
    <n v="55000"/>
    <n v="0"/>
    <n v="55000"/>
    <n v="14.406202525014402"/>
    <n v="5000"/>
    <n v="85"/>
    <x v="2670"/>
    <x v="10"/>
    <x v="1"/>
    <x v="1"/>
  </r>
  <r>
    <x v="207"/>
    <s v="ZTAN"/>
    <x v="8"/>
    <s v="SV2718"/>
    <n v="99626232"/>
    <s v="SAN BERNARDO"/>
    <x v="2174"/>
    <x v="1"/>
    <x v="1"/>
    <x v="4"/>
    <x v="1"/>
    <n v="4"/>
    <n v="55000"/>
    <n v="0"/>
    <n v="55000"/>
    <n v="14.417153791711447"/>
    <n v="5000"/>
    <n v="85"/>
    <x v="2671"/>
    <x v="10"/>
    <x v="1"/>
    <x v="1"/>
  </r>
  <r>
    <x v="207"/>
    <s v="ZTAN"/>
    <x v="8"/>
    <s v="TP3884"/>
    <n v="154837729"/>
    <s v="LAS CONDES"/>
    <x v="2175"/>
    <x v="1"/>
    <x v="1"/>
    <x v="3"/>
    <x v="1"/>
    <n v="4"/>
    <n v="55000"/>
    <n v="0"/>
    <n v="55000"/>
    <n v="7.9891928010109954"/>
    <n v="5000"/>
    <n v="100"/>
    <x v="2672"/>
    <x v="10"/>
    <x v="1"/>
    <x v="1"/>
  </r>
  <r>
    <x v="208"/>
    <s v="ZPEP"/>
    <x v="5"/>
    <s v="DJLF85"/>
    <n v="53173292"/>
    <s v="LOS ANDES"/>
    <x v="2176"/>
    <x v="4"/>
    <x v="1"/>
    <x v="38"/>
    <x v="2"/>
    <n v="0"/>
    <n v="180000"/>
    <n v="0"/>
    <n v="180000"/>
    <n v="17.584203914243794"/>
    <n v="25000"/>
    <n v="75"/>
    <x v="2673"/>
    <x v="10"/>
    <x v="1"/>
    <x v="0"/>
  </r>
  <r>
    <x v="208"/>
    <s v="ZPEP"/>
    <x v="27"/>
    <s v="YP6892"/>
    <n v="124157498"/>
    <s v="LOS ANGELES"/>
    <x v="2177"/>
    <x v="0"/>
    <x v="0"/>
    <x v="57"/>
    <x v="0"/>
    <n v="0"/>
    <n v="420000"/>
    <n v="0"/>
    <n v="420000"/>
    <n v="27.025270558348524"/>
    <n v="25000"/>
    <n v="92"/>
    <x v="2674"/>
    <x v="10"/>
    <x v="1"/>
    <x v="0"/>
  </r>
  <r>
    <x v="208"/>
    <s v="ZPEP"/>
    <x v="12"/>
    <s v="HLBX77"/>
    <n v="154837728"/>
    <s v="VITACURA"/>
    <x v="2178"/>
    <x v="1"/>
    <x v="1"/>
    <x v="27"/>
    <x v="1"/>
    <n v="4"/>
    <n v="55000"/>
    <n v="0"/>
    <n v="55000"/>
    <n v="22.751716720443451"/>
    <n v="5000"/>
    <n v="48"/>
    <x v="2675"/>
    <x v="10"/>
    <x v="1"/>
    <x v="1"/>
  </r>
  <r>
    <x v="208"/>
    <s v="ZPEP"/>
    <x v="9"/>
    <s v="SU9354"/>
    <n v="72564391"/>
    <s v="SAN BERNARDO"/>
    <x v="2179"/>
    <x v="2"/>
    <x v="1"/>
    <x v="4"/>
    <x v="1"/>
    <n v="4"/>
    <n v="208970"/>
    <n v="0"/>
    <n v="208970"/>
    <n v="10.99998420828223"/>
    <n v="5000"/>
    <n v="100"/>
    <x v="2676"/>
    <x v="10"/>
    <x v="1"/>
    <x v="1"/>
  </r>
  <r>
    <x v="208"/>
    <s v="ZTAN"/>
    <x v="17"/>
    <s v="YP6892"/>
    <n v="124157498"/>
    <s v="LAMPA"/>
    <x v="2180"/>
    <x v="0"/>
    <x v="0"/>
    <x v="17"/>
    <x v="1"/>
    <n v="5"/>
    <n v="120000"/>
    <n v="0"/>
    <n v="120000"/>
    <n v="4.1066356387529517"/>
    <n v="10000"/>
    <n v="100"/>
    <x v="2677"/>
    <x v="10"/>
    <x v="1"/>
    <x v="1"/>
  </r>
  <r>
    <x v="208"/>
    <s v="ZTAN"/>
    <x v="47"/>
    <s v="SV2718"/>
    <n v="99626232"/>
    <s v="SAN JOAQUIN"/>
    <x v="1291"/>
    <x v="1"/>
    <x v="1"/>
    <x v="67"/>
    <x v="1"/>
    <n v="3"/>
    <n v="55000"/>
    <n v="0"/>
    <n v="55000"/>
    <n v="19.407198306280875"/>
    <n v="5000"/>
    <n v="57"/>
    <x v="2678"/>
    <x v="10"/>
    <x v="1"/>
    <x v="1"/>
  </r>
  <r>
    <x v="208"/>
    <s v="ZTAN"/>
    <x v="10"/>
    <s v="WG4022"/>
    <n v="81417709"/>
    <s v="SANTIAGO"/>
    <x v="419"/>
    <x v="1"/>
    <x v="0"/>
    <x v="20"/>
    <x v="1"/>
    <n v="1"/>
    <n v="90684"/>
    <n v="0"/>
    <n v="90684"/>
    <n v="10.999999999999995"/>
    <n v="5000"/>
    <n v="100"/>
    <x v="2679"/>
    <x v="10"/>
    <x v="1"/>
    <x v="1"/>
  </r>
  <r>
    <x v="208"/>
    <s v="ZTAN"/>
    <x v="6"/>
    <s v="CJXX49"/>
    <n v="167832741"/>
    <s v="HUALPEN"/>
    <x v="2181"/>
    <x v="5"/>
    <x v="0"/>
    <x v="44"/>
    <x v="0"/>
    <n v="0"/>
    <n v="400000"/>
    <n v="0"/>
    <n v="400000"/>
    <n v="21.321279703207789"/>
    <n v="25000"/>
    <n v="100"/>
    <x v="2680"/>
    <x v="10"/>
    <x v="1"/>
    <x v="0"/>
  </r>
  <r>
    <x v="208"/>
    <s v="ZTAN"/>
    <x v="74"/>
    <s v="RK5135"/>
    <n v="138841065"/>
    <s v="SANTIAGO"/>
    <x v="1412"/>
    <x v="3"/>
    <x v="1"/>
    <x v="20"/>
    <x v="1"/>
    <n v="1"/>
    <n v="62348"/>
    <n v="0"/>
    <n v="62348"/>
    <n v="11"/>
    <n v="5000"/>
    <n v="100"/>
    <x v="2681"/>
    <x v="10"/>
    <x v="1"/>
    <x v="1"/>
  </r>
  <r>
    <x v="208"/>
    <s v="ZTAN"/>
    <x v="68"/>
    <s v="WC2233"/>
    <n v="125108660"/>
    <s v="QUILICURA"/>
    <x v="2182"/>
    <x v="4"/>
    <x v="1"/>
    <x v="8"/>
    <x v="1"/>
    <n v="1"/>
    <n v="59658"/>
    <n v="0"/>
    <n v="59658"/>
    <n v="10.999907808610676"/>
    <n v="5000"/>
    <n v="100"/>
    <x v="2682"/>
    <x v="10"/>
    <x v="1"/>
    <x v="1"/>
  </r>
  <r>
    <x v="208"/>
    <s v="ZTAN"/>
    <x v="8"/>
    <s v="HLBX77"/>
    <n v="154837728"/>
    <s v="LA REINA"/>
    <x v="2183"/>
    <x v="1"/>
    <x v="1"/>
    <x v="11"/>
    <x v="1"/>
    <n v="3"/>
    <n v="55000"/>
    <n v="0"/>
    <n v="55000"/>
    <n v="13.76410821091619"/>
    <n v="5000"/>
    <n v="80"/>
    <x v="2683"/>
    <x v="10"/>
    <x v="1"/>
    <x v="1"/>
  </r>
  <r>
    <x v="208"/>
    <s v="ZTAN"/>
    <x v="8"/>
    <s v="SV2718"/>
    <n v="99626232"/>
    <s v="PUENTE ALTO"/>
    <x v="2184"/>
    <x v="1"/>
    <x v="1"/>
    <x v="30"/>
    <x v="1"/>
    <n v="4"/>
    <n v="55000"/>
    <n v="0"/>
    <n v="55000"/>
    <n v="15.305412550438291"/>
    <n v="5000"/>
    <n v="72"/>
    <x v="2684"/>
    <x v="10"/>
    <x v="1"/>
    <x v="1"/>
  </r>
  <r>
    <x v="208"/>
    <s v="ZTAN"/>
    <x v="8"/>
    <s v="TP3884"/>
    <n v="154837728"/>
    <s v="PUDAHUEL"/>
    <x v="2185"/>
    <x v="1"/>
    <x v="1"/>
    <x v="10"/>
    <x v="1"/>
    <n v="1"/>
    <n v="57070"/>
    <n v="0"/>
    <n v="57070"/>
    <n v="10.999961450984923"/>
    <n v="5000"/>
    <n v="100"/>
    <x v="2685"/>
    <x v="10"/>
    <x v="1"/>
    <x v="1"/>
  </r>
  <r>
    <x v="208"/>
    <s v="ZTAN"/>
    <x v="8"/>
    <s v="WC2233"/>
    <n v="125108660"/>
    <s v="MAIPU"/>
    <x v="2186"/>
    <x v="4"/>
    <x v="1"/>
    <x v="2"/>
    <x v="1"/>
    <n v="2"/>
    <n v="55000"/>
    <n v="0"/>
    <n v="55000"/>
    <n v="17.73735810113519"/>
    <n v="5000"/>
    <n v="62"/>
    <x v="2686"/>
    <x v="10"/>
    <x v="1"/>
    <x v="1"/>
  </r>
  <r>
    <x v="208"/>
    <s v="ZTAN"/>
    <x v="8"/>
    <s v="XR6339"/>
    <n v="78907355"/>
    <s v="QUILICURA"/>
    <x v="2187"/>
    <x v="1"/>
    <x v="1"/>
    <x v="8"/>
    <x v="1"/>
    <n v="1"/>
    <n v="55000"/>
    <n v="0"/>
    <n v="55000"/>
    <n v="11.023369543432077"/>
    <n v="5000"/>
    <n v="100"/>
    <x v="2687"/>
    <x v="10"/>
    <x v="1"/>
    <x v="1"/>
  </r>
  <r>
    <x v="209"/>
    <s v="ZPEP"/>
    <x v="2"/>
    <s v="VE9862"/>
    <n v="98494073"/>
    <s v="LOS ANGELES"/>
    <x v="2188"/>
    <x v="5"/>
    <x v="0"/>
    <x v="57"/>
    <x v="0"/>
    <n v="0"/>
    <n v="420000"/>
    <n v="0"/>
    <n v="420000"/>
    <n v="27.665523817051842"/>
    <n v="25000"/>
    <n v="75"/>
    <x v="2688"/>
    <x v="10"/>
    <x v="1"/>
    <x v="0"/>
  </r>
  <r>
    <x v="209"/>
    <s v="ZTAN"/>
    <x v="10"/>
    <s v="WG4022"/>
    <n v="154837728"/>
    <s v="SANTIAGO"/>
    <x v="2189"/>
    <x v="1"/>
    <x v="0"/>
    <x v="20"/>
    <x v="1"/>
    <n v="1"/>
    <n v="83631"/>
    <n v="0"/>
    <n v="83631"/>
    <n v="11.000026306097752"/>
    <n v="5000"/>
    <n v="100"/>
    <x v="2689"/>
    <x v="10"/>
    <x v="1"/>
    <x v="1"/>
  </r>
  <r>
    <x v="209"/>
    <s v="ZTAN"/>
    <x v="10"/>
    <s v="WG4022"/>
    <n v="81417709"/>
    <s v="QUILICURA"/>
    <x v="2190"/>
    <x v="1"/>
    <x v="0"/>
    <x v="8"/>
    <x v="1"/>
    <n v="1"/>
    <n v="121488"/>
    <n v="0"/>
    <n v="121488"/>
    <n v="11.000043461254291"/>
    <n v="5000"/>
    <n v="100"/>
    <x v="2690"/>
    <x v="10"/>
    <x v="1"/>
    <x v="1"/>
  </r>
  <r>
    <x v="209"/>
    <s v="ZTAN"/>
    <x v="7"/>
    <s v="KKPF51"/>
    <n v="95707334"/>
    <s v="RANCAGUA"/>
    <x v="234"/>
    <x v="8"/>
    <x v="0"/>
    <x v="28"/>
    <x v="6"/>
    <n v="0"/>
    <n v="230000"/>
    <n v="0"/>
    <n v="230000"/>
    <n v="25.541933191186931"/>
    <n v="25000"/>
    <n v="54"/>
    <x v="2691"/>
    <x v="10"/>
    <x v="1"/>
    <x v="0"/>
  </r>
  <r>
    <x v="209"/>
    <s v="ZTAN"/>
    <x v="7"/>
    <s v="KKPF51"/>
    <n v="95707334"/>
    <s v="RENCA"/>
    <x v="2191"/>
    <x v="8"/>
    <x v="0"/>
    <x v="7"/>
    <x v="1"/>
    <n v="1"/>
    <n v="82371"/>
    <n v="0"/>
    <n v="82371"/>
    <n v="10.999959937502503"/>
    <n v="5000"/>
    <n v="100"/>
    <x v="2692"/>
    <x v="10"/>
    <x v="1"/>
    <x v="1"/>
  </r>
  <r>
    <x v="209"/>
    <s v="ZTAN"/>
    <x v="8"/>
    <s v="BYZH29"/>
    <n v="122975819"/>
    <s v="OSORNO"/>
    <x v="2192"/>
    <x v="0"/>
    <x v="0"/>
    <x v="64"/>
    <x v="10"/>
    <n v="0"/>
    <n v="900000"/>
    <n v="0"/>
    <n v="900000"/>
    <n v="67.434420026524208"/>
    <n v="25000"/>
    <n v="75"/>
    <x v="2693"/>
    <x v="10"/>
    <x v="1"/>
    <x v="0"/>
  </r>
  <r>
    <x v="209"/>
    <s v="ZTAN"/>
    <x v="8"/>
    <s v="DJLF85"/>
    <n v="53173292"/>
    <s v="LA FLORIDA"/>
    <x v="2193"/>
    <x v="4"/>
    <x v="1"/>
    <x v="33"/>
    <x v="1"/>
    <n v="3"/>
    <n v="55000"/>
    <n v="0"/>
    <n v="55000"/>
    <n v="12.443720446163939"/>
    <n v="5000"/>
    <n v="88"/>
    <x v="2694"/>
    <x v="10"/>
    <x v="1"/>
    <x v="1"/>
  </r>
  <r>
    <x v="209"/>
    <s v="ZTAN"/>
    <x v="8"/>
    <s v="FSFS27"/>
    <n v="103576032"/>
    <s v="TALCAHUANO"/>
    <x v="2194"/>
    <x v="0"/>
    <x v="0"/>
    <x v="0"/>
    <x v="0"/>
    <n v="0"/>
    <n v="380000"/>
    <n v="0"/>
    <n v="380000"/>
    <n v="27.094667341656624"/>
    <n v="25000"/>
    <n v="75"/>
    <x v="2695"/>
    <x v="10"/>
    <x v="1"/>
    <x v="0"/>
  </r>
  <r>
    <x v="209"/>
    <s v="ZTAN"/>
    <x v="8"/>
    <s v="HLBX77"/>
    <n v="103018366"/>
    <s v="REÑACA"/>
    <x v="2195"/>
    <x v="1"/>
    <x v="1"/>
    <x v="6"/>
    <x v="2"/>
    <n v="0"/>
    <n v="180000"/>
    <n v="0"/>
    <n v="180000"/>
    <n v="41.999160016799664"/>
    <n v="25000"/>
    <n v="52"/>
    <x v="2696"/>
    <x v="10"/>
    <x v="1"/>
    <x v="0"/>
  </r>
  <r>
    <x v="209"/>
    <s v="ZTAN"/>
    <x v="8"/>
    <s v="SU9354"/>
    <n v="72564391"/>
    <s v="VIÑA DEL MAR"/>
    <x v="2196"/>
    <x v="2"/>
    <x v="1"/>
    <x v="6"/>
    <x v="2"/>
    <n v="0"/>
    <n v="180000"/>
    <n v="0"/>
    <n v="180000"/>
    <n v="39.366634590149587"/>
    <n v="25000"/>
    <n v="54"/>
    <x v="2697"/>
    <x v="10"/>
    <x v="1"/>
    <x v="0"/>
  </r>
  <r>
    <x v="209"/>
    <s v="ZTAN"/>
    <x v="8"/>
    <s v="SV2718"/>
    <n v="99626232"/>
    <s v="PUDAHUEL"/>
    <x v="2197"/>
    <x v="1"/>
    <x v="1"/>
    <x v="10"/>
    <x v="1"/>
    <n v="1"/>
    <n v="55000"/>
    <n v="0"/>
    <n v="55000"/>
    <n v="17.273326842749913"/>
    <n v="5000"/>
    <n v="64"/>
    <x v="2698"/>
    <x v="10"/>
    <x v="1"/>
    <x v="1"/>
  </r>
  <r>
    <x v="209"/>
    <s v="ZTAN"/>
    <x v="8"/>
    <s v="TW7053"/>
    <n v="172861164"/>
    <s v="QUILLOTA"/>
    <x v="2198"/>
    <x v="6"/>
    <x v="1"/>
    <x v="19"/>
    <x v="2"/>
    <n v="0"/>
    <n v="180000"/>
    <n v="0"/>
    <n v="180000"/>
    <n v="15.791828606020196"/>
    <n v="25000"/>
    <n v="83"/>
    <x v="2699"/>
    <x v="10"/>
    <x v="1"/>
    <x v="0"/>
  </r>
  <r>
    <x v="210"/>
    <s v="ZPEP"/>
    <x v="33"/>
    <s v="SU9354"/>
    <n v="72564391"/>
    <s v="COLINA"/>
    <x v="2199"/>
    <x v="2"/>
    <x v="1"/>
    <x v="5"/>
    <x v="1"/>
    <n v="5"/>
    <n v="70000"/>
    <n v="0"/>
    <n v="70000"/>
    <n v="15.208035056693383"/>
    <n v="10000"/>
    <n v="55"/>
    <x v="2700"/>
    <x v="10"/>
    <x v="1"/>
    <x v="1"/>
  </r>
  <r>
    <x v="210"/>
    <s v="ZTAN"/>
    <x v="12"/>
    <s v="HLBX77"/>
    <n v="154837728"/>
    <s v="VITACURA"/>
    <x v="2200"/>
    <x v="1"/>
    <x v="1"/>
    <x v="27"/>
    <x v="1"/>
    <n v="4"/>
    <n v="111969"/>
    <n v="0"/>
    <n v="111969"/>
    <n v="11"/>
    <n v="5000"/>
    <n v="100"/>
    <x v="2701"/>
    <x v="10"/>
    <x v="1"/>
    <x v="1"/>
  </r>
  <r>
    <x v="210"/>
    <s v="ZTAN"/>
    <x v="10"/>
    <s v="DJLF85"/>
    <n v="53173292"/>
    <s v="QUILICURA"/>
    <x v="2201"/>
    <x v="4"/>
    <x v="1"/>
    <x v="8"/>
    <x v="1"/>
    <n v="1"/>
    <n v="68330"/>
    <n v="0"/>
    <n v="68330"/>
    <n v="11.000032196786764"/>
    <n v="5000"/>
    <n v="100"/>
    <x v="2702"/>
    <x v="10"/>
    <x v="1"/>
    <x v="1"/>
  </r>
  <r>
    <x v="210"/>
    <s v="ZTAN"/>
    <x v="10"/>
    <s v="KKPF51"/>
    <n v="95707734"/>
    <s v="QUILICURA"/>
    <x v="2202"/>
    <x v="8"/>
    <x v="0"/>
    <x v="8"/>
    <x v="1"/>
    <n v="1"/>
    <n v="63479"/>
    <n v="0"/>
    <n v="63479"/>
    <n v="7.7002110677114928"/>
    <n v="5000"/>
    <n v="100"/>
    <x v="2703"/>
    <x v="10"/>
    <x v="1"/>
    <x v="1"/>
  </r>
  <r>
    <x v="210"/>
    <s v="ZTAN"/>
    <x v="10"/>
    <s v="WG4022"/>
    <n v="154837728"/>
    <s v="QUILICURA"/>
    <x v="2203"/>
    <x v="1"/>
    <x v="0"/>
    <x v="8"/>
    <x v="1"/>
    <n v="1"/>
    <n v="93707"/>
    <n v="0"/>
    <n v="93707"/>
    <n v="11.000023477485088"/>
    <n v="5000"/>
    <n v="100"/>
    <x v="2704"/>
    <x v="10"/>
    <x v="1"/>
    <x v="1"/>
  </r>
  <r>
    <x v="210"/>
    <s v="ZTAN"/>
    <x v="75"/>
    <s v="XR6339"/>
    <n v="78907355"/>
    <s v="QUILICURA"/>
    <x v="2204"/>
    <x v="1"/>
    <x v="1"/>
    <x v="8"/>
    <x v="1"/>
    <n v="1"/>
    <n v="55000"/>
    <n v="0"/>
    <n v="55000"/>
    <n v="13.689765033851055"/>
    <n v="5000"/>
    <n v="80"/>
    <x v="2705"/>
    <x v="10"/>
    <x v="1"/>
    <x v="1"/>
  </r>
  <r>
    <x v="210"/>
    <s v="ZTAN"/>
    <x v="7"/>
    <s v="KKPF51"/>
    <n v="95707734"/>
    <s v="MELIPILLA"/>
    <x v="2205"/>
    <x v="8"/>
    <x v="0"/>
    <x v="29"/>
    <x v="1"/>
    <n v="5"/>
    <n v="120000"/>
    <n v="0"/>
    <n v="120000"/>
    <n v="8.868458587993592"/>
    <n v="10000"/>
    <n v="100"/>
    <x v="2706"/>
    <x v="10"/>
    <x v="1"/>
    <x v="1"/>
  </r>
  <r>
    <x v="210"/>
    <s v="ZTAN"/>
    <x v="7"/>
    <s v="PN4466"/>
    <n v="81417709"/>
    <s v="RENCA"/>
    <x v="2206"/>
    <x v="1"/>
    <x v="0"/>
    <x v="7"/>
    <x v="1"/>
    <n v="1"/>
    <n v="273319"/>
    <n v="0"/>
    <n v="273319"/>
    <n v="10.999991950803304"/>
    <n v="5000"/>
    <n v="100"/>
    <x v="2707"/>
    <x v="10"/>
    <x v="1"/>
    <x v="1"/>
  </r>
  <r>
    <x v="210"/>
    <s v="ZTAN"/>
    <x v="7"/>
    <s v="SU9354"/>
    <n v="72564391"/>
    <s v="RENCA"/>
    <x v="2207"/>
    <x v="2"/>
    <x v="1"/>
    <x v="7"/>
    <x v="1"/>
    <n v="1"/>
    <n v="136660"/>
    <n v="0"/>
    <n v="136660"/>
    <n v="11.00003219678676"/>
    <n v="5000"/>
    <n v="100"/>
    <x v="2708"/>
    <x v="10"/>
    <x v="1"/>
    <x v="1"/>
  </r>
  <r>
    <x v="210"/>
    <s v="ZTAN"/>
    <x v="7"/>
    <s v="WC2233"/>
    <n v="53173292"/>
    <s v="RENCA"/>
    <x v="2208"/>
    <x v="4"/>
    <x v="1"/>
    <x v="7"/>
    <x v="1"/>
    <n v="1"/>
    <n v="76703"/>
    <n v="0"/>
    <n v="76703"/>
    <n v="7.89044337002366"/>
    <n v="5000"/>
    <n v="100"/>
    <x v="2709"/>
    <x v="10"/>
    <x v="1"/>
    <x v="1"/>
  </r>
  <r>
    <x v="210"/>
    <s v="ZTAN"/>
    <x v="7"/>
    <s v="XR6339"/>
    <n v="78907355"/>
    <s v="RENCA"/>
    <x v="2209"/>
    <x v="1"/>
    <x v="1"/>
    <x v="7"/>
    <x v="1"/>
    <n v="1"/>
    <n v="95682"/>
    <n v="0"/>
    <n v="95682"/>
    <n v="10.999954014531408"/>
    <n v="5000"/>
    <n v="100"/>
    <x v="2710"/>
    <x v="10"/>
    <x v="1"/>
    <x v="1"/>
  </r>
  <r>
    <x v="210"/>
    <s v="ZTAN"/>
    <x v="8"/>
    <s v="SV2718"/>
    <n v="99626232"/>
    <s v="SANTIAGO"/>
    <x v="248"/>
    <x v="1"/>
    <x v="1"/>
    <x v="20"/>
    <x v="1"/>
    <n v="1"/>
    <n v="55000"/>
    <n v="0"/>
    <n v="55000"/>
    <n v="18.323560767590617"/>
    <n v="5000"/>
    <n v="60"/>
    <x v="2711"/>
    <x v="10"/>
    <x v="1"/>
    <x v="1"/>
  </r>
  <r>
    <x v="211"/>
    <s v="ZPEP"/>
    <x v="27"/>
    <s v="TK7053"/>
    <n v="172861164"/>
    <s v="LOS ANGELES"/>
    <x v="2210"/>
    <x v="0"/>
    <x v="0"/>
    <x v="57"/>
    <x v="0"/>
    <n v="0"/>
    <n v="420000"/>
    <n v="0"/>
    <n v="420000"/>
    <n v="31.27219767602897"/>
    <n v="25000"/>
    <n v="68"/>
    <x v="2712"/>
    <x v="10"/>
    <x v="1"/>
    <x v="0"/>
  </r>
  <r>
    <x v="211"/>
    <s v="ZPEP"/>
    <x v="9"/>
    <s v="SU9354"/>
    <n v="72564391"/>
    <s v="SAN BERNARDO"/>
    <x v="2211"/>
    <x v="2"/>
    <x v="1"/>
    <x v="4"/>
    <x v="1"/>
    <n v="4"/>
    <n v="98995"/>
    <n v="0"/>
    <n v="98995"/>
    <n v="11.000031112770458"/>
    <n v="5000"/>
    <n v="100"/>
    <x v="2713"/>
    <x v="10"/>
    <x v="1"/>
    <x v="1"/>
  </r>
  <r>
    <x v="211"/>
    <s v="ZTAN"/>
    <x v="5"/>
    <s v="HLBX77"/>
    <n v="154837728"/>
    <s v="LAMPA"/>
    <x v="1809"/>
    <x v="1"/>
    <x v="1"/>
    <x v="17"/>
    <x v="1"/>
    <n v="5"/>
    <n v="70000"/>
    <n v="0"/>
    <n v="70000"/>
    <n v="14.403292181069959"/>
    <n v="10000"/>
    <n v="49"/>
    <x v="2714"/>
    <x v="10"/>
    <x v="1"/>
    <x v="1"/>
  </r>
  <r>
    <x v="211"/>
    <s v="ZTAN"/>
    <x v="10"/>
    <s v="WG4022"/>
    <n v="81417709"/>
    <s v="QUILICURA"/>
    <x v="2212"/>
    <x v="1"/>
    <x v="0"/>
    <x v="8"/>
    <x v="1"/>
    <n v="1"/>
    <n v="87661"/>
    <n v="0"/>
    <n v="87661"/>
    <n v="10.999974903378002"/>
    <n v="5000"/>
    <n v="100"/>
    <x v="2715"/>
    <x v="10"/>
    <x v="1"/>
    <x v="1"/>
  </r>
  <r>
    <x v="211"/>
    <s v="ZTAN"/>
    <x v="10"/>
    <s v="XR6339"/>
    <n v="78907355"/>
    <s v="SANTIAGO"/>
    <x v="890"/>
    <x v="1"/>
    <x v="1"/>
    <x v="20"/>
    <x v="1"/>
    <n v="1"/>
    <n v="71280"/>
    <n v="0"/>
    <n v="71280"/>
    <n v="11"/>
    <n v="5000"/>
    <n v="100"/>
    <x v="2716"/>
    <x v="10"/>
    <x v="1"/>
    <x v="1"/>
  </r>
  <r>
    <x v="211"/>
    <s v="ZTAN"/>
    <x v="24"/>
    <s v="KKPF51"/>
    <n v="95707734"/>
    <s v="MACHALI"/>
    <x v="2213"/>
    <x v="8"/>
    <x v="0"/>
    <x v="43"/>
    <x v="6"/>
    <n v="0"/>
    <n v="230000"/>
    <n v="0"/>
    <n v="230000"/>
    <n v="20.001391401140946"/>
    <n v="25000"/>
    <n v="56"/>
    <x v="2717"/>
    <x v="10"/>
    <x v="1"/>
    <x v="0"/>
  </r>
  <r>
    <x v="211"/>
    <s v="ZTAN"/>
    <x v="7"/>
    <s v="CJFZ67"/>
    <n v="115812335"/>
    <s v="CHILLAN"/>
    <x v="2213"/>
    <x v="5"/>
    <x v="0"/>
    <x v="21"/>
    <x v="5"/>
    <n v="0"/>
    <n v="350000"/>
    <n v="0"/>
    <n v="350000"/>
    <n v="30.436899958257964"/>
    <n v="25000"/>
    <n v="62"/>
    <x v="2718"/>
    <x v="10"/>
    <x v="1"/>
    <x v="0"/>
  </r>
  <r>
    <x v="211"/>
    <s v="ZTAN"/>
    <x v="7"/>
    <s v="RK5135"/>
    <n v="138841065"/>
    <s v="RENCA"/>
    <x v="2214"/>
    <x v="3"/>
    <x v="1"/>
    <x v="7"/>
    <x v="1"/>
    <n v="1"/>
    <n v="117153"/>
    <n v="0"/>
    <n v="117153"/>
    <n v="10.999971831779387"/>
    <n v="5000"/>
    <n v="100"/>
    <x v="2719"/>
    <x v="10"/>
    <x v="1"/>
    <x v="1"/>
  </r>
  <r>
    <x v="211"/>
    <s v="ZTAN"/>
    <x v="7"/>
    <s v="SU9354"/>
    <n v="72564391"/>
    <s v="RENCA"/>
    <x v="2215"/>
    <x v="2"/>
    <x v="1"/>
    <x v="7"/>
    <x v="1"/>
    <n v="1"/>
    <n v="122239"/>
    <n v="0"/>
    <n v="122239"/>
    <n v="11.000035995176646"/>
    <n v="5000"/>
    <n v="100"/>
    <x v="2720"/>
    <x v="10"/>
    <x v="1"/>
    <x v="1"/>
  </r>
  <r>
    <x v="212"/>
    <s v="ZPEP"/>
    <x v="17"/>
    <s v="WG4022"/>
    <n v="81417709"/>
    <s v="LAMPA"/>
    <x v="2216"/>
    <x v="1"/>
    <x v="0"/>
    <x v="17"/>
    <x v="1"/>
    <n v="5"/>
    <n v="270644.00000000012"/>
    <n v="0"/>
    <n v="270644.00000000012"/>
    <n v="11"/>
    <n v="10000"/>
    <n v="100"/>
    <x v="2721"/>
    <x v="11"/>
    <x v="1"/>
    <x v="1"/>
  </r>
  <r>
    <x v="212"/>
    <s v="ZPEP"/>
    <x v="2"/>
    <s v="BPKD94"/>
    <n v="125897258"/>
    <s v="LOS ANGELES"/>
    <x v="2217"/>
    <x v="0"/>
    <x v="0"/>
    <x v="57"/>
    <x v="0"/>
    <n v="0"/>
    <n v="420000"/>
    <n v="0"/>
    <n v="420000"/>
    <n v="22.262978786561654"/>
    <n v="25000"/>
    <n v="75"/>
    <x v="2722"/>
    <x v="11"/>
    <x v="1"/>
    <x v="0"/>
  </r>
  <r>
    <x v="212"/>
    <s v="ZPEP"/>
    <x v="2"/>
    <s v="BWPL69"/>
    <n v="78551976"/>
    <s v="LOS ANGELES"/>
    <x v="2218"/>
    <x v="5"/>
    <x v="0"/>
    <x v="57"/>
    <x v="0"/>
    <n v="0"/>
    <n v="420000"/>
    <n v="0"/>
    <n v="420000"/>
    <n v="24.155325645421673"/>
    <n v="25000"/>
    <n v="70"/>
    <x v="2723"/>
    <x v="11"/>
    <x v="1"/>
    <x v="0"/>
  </r>
  <r>
    <x v="212"/>
    <s v="ZTAN"/>
    <x v="8"/>
    <s v="CJXX49"/>
    <n v="167832741"/>
    <s v="CHILLAN"/>
    <x v="2219"/>
    <x v="5"/>
    <x v="0"/>
    <x v="21"/>
    <x v="5"/>
    <n v="0"/>
    <n v="350000"/>
    <n v="0"/>
    <n v="350000"/>
    <n v="27.971133789928793"/>
    <n v="25000"/>
    <n v="50"/>
    <x v="2724"/>
    <x v="11"/>
    <x v="1"/>
    <x v="0"/>
  </r>
  <r>
    <x v="212"/>
    <s v="ZTAN"/>
    <x v="8"/>
    <s v="SV2718"/>
    <n v="99626232"/>
    <s v="SAN MIGUEL"/>
    <x v="2220"/>
    <x v="1"/>
    <x v="1"/>
    <x v="23"/>
    <x v="1"/>
    <n v="2"/>
    <n v="55000"/>
    <n v="0"/>
    <n v="55000"/>
    <n v="11.703621738945396"/>
    <n v="5000"/>
    <n v="94"/>
    <x v="2725"/>
    <x v="11"/>
    <x v="1"/>
    <x v="1"/>
  </r>
  <r>
    <x v="213"/>
    <s v="ZPEP"/>
    <x v="17"/>
    <s v="HLBX77"/>
    <n v="154837728"/>
    <s v="LAMPA"/>
    <x v="2221"/>
    <x v="1"/>
    <x v="1"/>
    <x v="17"/>
    <x v="1"/>
    <n v="5"/>
    <n v="70000"/>
    <n v="0"/>
    <n v="154176"/>
    <n v="11"/>
    <n v="10000"/>
    <n v="100"/>
    <x v="2726"/>
    <x v="11"/>
    <x v="1"/>
    <x v="1"/>
  </r>
  <r>
    <x v="213"/>
    <s v="ZPEP"/>
    <x v="5"/>
    <s v="DJLF85"/>
    <n v="125108660"/>
    <s v="LOS ANDES"/>
    <x v="2222"/>
    <x v="4"/>
    <x v="1"/>
    <x v="38"/>
    <x v="2"/>
    <n v="0"/>
    <n v="180000"/>
    <n v="0"/>
    <n v="180000"/>
    <n v="25.364830816578444"/>
    <n v="25000"/>
    <n v="58"/>
    <x v="2727"/>
    <x v="11"/>
    <x v="1"/>
    <x v="0"/>
  </r>
  <r>
    <x v="213"/>
    <s v="ZPEP"/>
    <x v="27"/>
    <s v="VE9862"/>
    <n v="98494073"/>
    <s v="LOS ANGELES"/>
    <x v="2223"/>
    <x v="5"/>
    <x v="0"/>
    <x v="57"/>
    <x v="0"/>
    <n v="0"/>
    <n v="420000"/>
    <n v="0"/>
    <n v="420000"/>
    <n v="39.278730286987241"/>
    <n v="25000"/>
    <n v="68"/>
    <x v="2728"/>
    <x v="11"/>
    <x v="1"/>
    <x v="0"/>
  </r>
  <r>
    <x v="213"/>
    <s v="ZPEP"/>
    <x v="33"/>
    <s v="WG4022"/>
    <n v="81417709"/>
    <s v="COLINA"/>
    <x v="2224"/>
    <x v="1"/>
    <x v="0"/>
    <x v="5"/>
    <x v="1"/>
    <n v="5"/>
    <n v="120000"/>
    <n v="0"/>
    <n v="120000"/>
    <n v="18.445136478638997"/>
    <n v="10000"/>
    <n v="65"/>
    <x v="2729"/>
    <x v="11"/>
    <x v="1"/>
    <x v="1"/>
  </r>
  <r>
    <x v="213"/>
    <s v="ZTAN"/>
    <x v="12"/>
    <s v="R6339"/>
    <n v="78907355"/>
    <s v="VITACURA"/>
    <x v="2225"/>
    <x v="0"/>
    <x v="0"/>
    <x v="27"/>
    <x v="1"/>
    <n v="4"/>
    <n v="103774"/>
    <n v="0"/>
    <n v="103774"/>
    <n v="11"/>
    <n v="5000"/>
    <n v="100"/>
    <x v="2730"/>
    <x v="11"/>
    <x v="1"/>
    <x v="1"/>
  </r>
  <r>
    <x v="213"/>
    <s v="ZTAN"/>
    <x v="10"/>
    <s v="RH1133"/>
    <n v="65941082"/>
    <s v="SANTIAGO"/>
    <x v="2226"/>
    <x v="0"/>
    <x v="0"/>
    <x v="20"/>
    <x v="1"/>
    <n v="1"/>
    <n v="94090"/>
    <n v="0"/>
    <n v="94090"/>
    <n v="11.000046763935645"/>
    <n v="5000"/>
    <n v="100"/>
    <x v="2731"/>
    <x v="11"/>
    <x v="1"/>
    <x v="1"/>
  </r>
  <r>
    <x v="213"/>
    <s v="ZTAN"/>
    <x v="6"/>
    <s v="RK5135"/>
    <n v="138841065"/>
    <s v="PADRE HURTADO"/>
    <x v="2227"/>
    <x v="3"/>
    <x v="1"/>
    <x v="26"/>
    <x v="1"/>
    <n v="5"/>
    <n v="70000"/>
    <n v="0"/>
    <n v="70000"/>
    <n v="7.298965632298966"/>
    <n v="10000"/>
    <n v="96"/>
    <x v="2732"/>
    <x v="11"/>
    <x v="1"/>
    <x v="1"/>
  </r>
  <r>
    <x v="213"/>
    <s v="ZTAN"/>
    <x v="7"/>
    <s v="DJLF85"/>
    <n v="53173292"/>
    <s v="RENCA"/>
    <x v="2228"/>
    <x v="4"/>
    <x v="1"/>
    <x v="7"/>
    <x v="1"/>
    <n v="1"/>
    <n v="85833"/>
    <n v="0"/>
    <n v="85833"/>
    <n v="11.000000000000002"/>
    <n v="5000"/>
    <n v="100"/>
    <x v="2733"/>
    <x v="11"/>
    <x v="1"/>
    <x v="1"/>
  </r>
  <r>
    <x v="213"/>
    <s v="ZTAN"/>
    <x v="7"/>
    <s v="SU9354"/>
    <n v="72564391"/>
    <s v="RENCA"/>
    <x v="2229"/>
    <x v="2"/>
    <x v="1"/>
    <x v="7"/>
    <x v="1"/>
    <n v="1"/>
    <n v="93095"/>
    <n v="0"/>
    <n v="93095"/>
    <n v="10.999976368276776"/>
    <n v="5000"/>
    <n v="100"/>
    <x v="2734"/>
    <x v="11"/>
    <x v="1"/>
    <x v="1"/>
  </r>
  <r>
    <x v="213"/>
    <s v="ZTAN"/>
    <x v="68"/>
    <s v="WC2233"/>
    <n v="53173292"/>
    <s v="QUILICURA"/>
    <x v="1000"/>
    <x v="4"/>
    <x v="1"/>
    <x v="8"/>
    <x v="1"/>
    <n v="1"/>
    <n v="74290"/>
    <n v="0"/>
    <n v="74290"/>
    <n v="11.000059227671169"/>
    <n v="5000"/>
    <n v="100"/>
    <x v="2735"/>
    <x v="11"/>
    <x v="1"/>
    <x v="1"/>
  </r>
  <r>
    <x v="213"/>
    <s v="ZTAN"/>
    <x v="8"/>
    <s v="SV2718"/>
    <n v="99626232"/>
    <s v="QUILICURA"/>
    <x v="2230"/>
    <x v="1"/>
    <x v="1"/>
    <x v="8"/>
    <x v="1"/>
    <n v="1"/>
    <n v="55000"/>
    <n v="0"/>
    <n v="55000"/>
    <n v="14.723203769140165"/>
    <n v="5000"/>
    <n v="89"/>
    <x v="2736"/>
    <x v="11"/>
    <x v="1"/>
    <x v="1"/>
  </r>
  <r>
    <x v="213"/>
    <s v="ZTAN"/>
    <x v="8"/>
    <s v="TP3884"/>
    <n v="154837728"/>
    <s v="PUDAHUEL"/>
    <x v="2231"/>
    <x v="1"/>
    <x v="1"/>
    <x v="10"/>
    <x v="1"/>
    <n v="1"/>
    <n v="69353"/>
    <n v="0"/>
    <n v="69353"/>
    <n v="11.000031721862708"/>
    <n v="5000"/>
    <n v="100"/>
    <x v="2737"/>
    <x v="11"/>
    <x v="1"/>
    <x v="1"/>
  </r>
  <r>
    <x v="213"/>
    <s v="ZTAN"/>
    <x v="8"/>
    <s v="TW7053"/>
    <n v="172861164"/>
    <s v="VIÑA DEL MAR"/>
    <x v="2232"/>
    <x v="6"/>
    <x v="1"/>
    <x v="6"/>
    <x v="2"/>
    <n v="0"/>
    <n v="180000"/>
    <n v="0"/>
    <n v="180000"/>
    <n v="13.659543467702768"/>
    <n v="25000"/>
    <n v="76"/>
    <x v="2738"/>
    <x v="11"/>
    <x v="1"/>
    <x v="0"/>
  </r>
  <r>
    <x v="214"/>
    <s v="ZPEP"/>
    <x v="27"/>
    <s v="TW7053"/>
    <n v="172861164"/>
    <s v="NACIMIENTO"/>
    <x v="2233"/>
    <x v="6"/>
    <x v="1"/>
    <x v="86"/>
    <x v="0"/>
    <n v="0"/>
    <n v="420000"/>
    <n v="0"/>
    <n v="420000"/>
    <n v="32.548677709968032"/>
    <n v="25000"/>
    <n v="52"/>
    <x v="2739"/>
    <x v="11"/>
    <x v="1"/>
    <x v="0"/>
  </r>
  <r>
    <x v="214"/>
    <s v="ZPEP"/>
    <x v="9"/>
    <s v="WG4022"/>
    <n v="81417709"/>
    <s v="SAN BERNARDO"/>
    <x v="2234"/>
    <x v="1"/>
    <x v="0"/>
    <x v="4"/>
    <x v="1"/>
    <n v="4"/>
    <n v="223374"/>
    <n v="0"/>
    <n v="223374"/>
    <n v="11.00001477344915"/>
    <n v="5000"/>
    <n v="100"/>
    <x v="2740"/>
    <x v="11"/>
    <x v="1"/>
    <x v="1"/>
  </r>
  <r>
    <x v="214"/>
    <s v="ZTAN"/>
    <x v="6"/>
    <s v="XR6339"/>
    <n v="78907355"/>
    <s v="LAMPA"/>
    <x v="2235"/>
    <x v="1"/>
    <x v="1"/>
    <x v="17"/>
    <x v="1"/>
    <n v="5"/>
    <n v="70000"/>
    <n v="0"/>
    <n v="70000"/>
    <n v="9.8652686171712034"/>
    <n v="10000"/>
    <n v="71"/>
    <x v="2741"/>
    <x v="11"/>
    <x v="1"/>
    <x v="1"/>
  </r>
  <r>
    <x v="214"/>
    <s v="ZTAN"/>
    <x v="7"/>
    <s v="CJFZ67"/>
    <n v="115812335"/>
    <s v="CHILLAN"/>
    <x v="2236"/>
    <x v="5"/>
    <x v="0"/>
    <x v="21"/>
    <x v="5"/>
    <n v="0"/>
    <n v="350000"/>
    <n v="0"/>
    <n v="350000"/>
    <n v="23.806932578766968"/>
    <n v="25000"/>
    <n v="78"/>
    <x v="2742"/>
    <x v="11"/>
    <x v="1"/>
    <x v="0"/>
  </r>
  <r>
    <x v="214"/>
    <s v="ZTAN"/>
    <x v="7"/>
    <s v="KKPF51"/>
    <n v="95707734"/>
    <s v="RANCAGUA"/>
    <x v="721"/>
    <x v="8"/>
    <x v="0"/>
    <x v="28"/>
    <x v="6"/>
    <n v="0"/>
    <n v="230000"/>
    <n v="0"/>
    <n v="230000"/>
    <n v="14.715667707426944"/>
    <n v="25000"/>
    <n v="85"/>
    <x v="2743"/>
    <x v="11"/>
    <x v="1"/>
    <x v="0"/>
  </r>
  <r>
    <x v="214"/>
    <s v="ZTAN"/>
    <x v="7"/>
    <s v="RK5135"/>
    <n v="138841065"/>
    <s v="RENCA"/>
    <x v="2237"/>
    <x v="3"/>
    <x v="1"/>
    <x v="7"/>
    <x v="1"/>
    <n v="1"/>
    <n v="78669"/>
    <n v="0"/>
    <n v="78669"/>
    <n v="11.000041948068288"/>
    <n v="5000"/>
    <n v="100"/>
    <x v="2744"/>
    <x v="11"/>
    <x v="1"/>
    <x v="1"/>
  </r>
  <r>
    <x v="214"/>
    <s v="ZTAN"/>
    <x v="7"/>
    <s v="SV2718"/>
    <n v="99626232"/>
    <s v="SAN MIGUEL"/>
    <x v="2238"/>
    <x v="1"/>
    <x v="1"/>
    <x v="23"/>
    <x v="1"/>
    <n v="2"/>
    <n v="55000"/>
    <n v="0"/>
    <n v="55000"/>
    <n v="11.510851593729724"/>
    <n v="5000"/>
    <n v="96"/>
    <x v="2745"/>
    <x v="11"/>
    <x v="1"/>
    <x v="1"/>
  </r>
  <r>
    <x v="214"/>
    <s v="ZTAN"/>
    <x v="7"/>
    <s v="WC2233"/>
    <n v="125108660"/>
    <s v="MELIPILLA"/>
    <x v="2239"/>
    <x v="4"/>
    <x v="1"/>
    <x v="29"/>
    <x v="1"/>
    <n v="5"/>
    <n v="90000"/>
    <n v="0"/>
    <n v="90000"/>
    <n v="11.005404876617186"/>
    <n v="10000"/>
    <n v="82"/>
    <x v="2746"/>
    <x v="11"/>
    <x v="1"/>
    <x v="1"/>
  </r>
  <r>
    <x v="214"/>
    <s v="ZTAN"/>
    <x v="8"/>
    <s v="DJLF85"/>
    <n v="53173292"/>
    <s v="LAS CONDES"/>
    <x v="2240"/>
    <x v="4"/>
    <x v="1"/>
    <x v="3"/>
    <x v="1"/>
    <n v="4"/>
    <n v="55000"/>
    <n v="0"/>
    <n v="55000"/>
    <n v="16.330166270783849"/>
    <n v="5000"/>
    <n v="67"/>
    <x v="2747"/>
    <x v="11"/>
    <x v="1"/>
    <x v="1"/>
  </r>
  <r>
    <x v="214"/>
    <s v="ZTAN"/>
    <x v="8"/>
    <s v="RK5135"/>
    <n v="138841065"/>
    <s v="MAIPU"/>
    <x v="2241"/>
    <x v="3"/>
    <x v="1"/>
    <x v="2"/>
    <x v="1"/>
    <n v="2"/>
    <n v="55000"/>
    <n v="0"/>
    <n v="55000"/>
    <n v="15.575441776166743"/>
    <n v="5000"/>
    <n v="71"/>
    <x v="2748"/>
    <x v="11"/>
    <x v="1"/>
    <x v="1"/>
  </r>
  <r>
    <x v="214"/>
    <s v="ZTAN"/>
    <x v="8"/>
    <s v="SU9354"/>
    <n v="72564391"/>
    <s v="REÑACA"/>
    <x v="2242"/>
    <x v="2"/>
    <x v="1"/>
    <x v="6"/>
    <x v="2"/>
    <n v="0"/>
    <n v="180000"/>
    <n v="0"/>
    <n v="180000"/>
    <n v="26.47058823529412"/>
    <n v="25000"/>
    <n v="56"/>
    <x v="2749"/>
    <x v="11"/>
    <x v="1"/>
    <x v="0"/>
  </r>
  <r>
    <x v="214"/>
    <s v="ZTAN"/>
    <x v="8"/>
    <s v="TP3884"/>
    <n v="154837728"/>
    <s v="PUDAHUEL"/>
    <x v="2243"/>
    <x v="1"/>
    <x v="1"/>
    <x v="10"/>
    <x v="1"/>
    <n v="1"/>
    <n v="64618"/>
    <n v="0"/>
    <n v="64618"/>
    <n v="10.99993190793953"/>
    <n v="5000"/>
    <n v="100"/>
    <x v="2750"/>
    <x v="11"/>
    <x v="1"/>
    <x v="1"/>
  </r>
  <r>
    <x v="215"/>
    <s v="ZPEP"/>
    <x v="35"/>
    <s v="XR6339"/>
    <n v="78907355"/>
    <s v="PADRE HURTADO"/>
    <x v="2244"/>
    <x v="1"/>
    <x v="1"/>
    <x v="26"/>
    <x v="1"/>
    <n v="5"/>
    <n v="70000"/>
    <n v="0"/>
    <n v="70000"/>
    <n v="16.989054195082883"/>
    <n v="10000"/>
    <n v="65"/>
    <x v="2751"/>
    <x v="11"/>
    <x v="1"/>
    <x v="1"/>
  </r>
  <r>
    <x v="215"/>
    <s v="ZPEP"/>
    <x v="9"/>
    <s v="WG4022"/>
    <n v="81417709"/>
    <s v="SAN BERNARDO"/>
    <x v="2245"/>
    <x v="1"/>
    <x v="0"/>
    <x v="4"/>
    <x v="1"/>
    <n v="4"/>
    <n v="210954"/>
    <n v="0"/>
    <n v="210954"/>
    <n v="11.000003650086063"/>
    <n v="5000"/>
    <n v="100"/>
    <x v="2752"/>
    <x v="11"/>
    <x v="1"/>
    <x v="1"/>
  </r>
  <r>
    <x v="215"/>
    <s v="ZTAN"/>
    <x v="49"/>
    <s v="XR6339"/>
    <n v="78907355"/>
    <s v="SAN MIGUEL"/>
    <x v="2246"/>
    <x v="1"/>
    <x v="1"/>
    <x v="23"/>
    <x v="1"/>
    <n v="2"/>
    <n v="55000"/>
    <n v="0"/>
    <n v="55000"/>
    <n v="8.3764849223271405"/>
    <n v="5000"/>
    <n v="85"/>
    <x v="2753"/>
    <x v="11"/>
    <x v="1"/>
    <x v="1"/>
  </r>
  <r>
    <x v="215"/>
    <s v="ZTAN"/>
    <x v="73"/>
    <s v="DJLF85"/>
    <n v="53173292"/>
    <s v="SANTIAGO"/>
    <x v="2247"/>
    <x v="4"/>
    <x v="1"/>
    <x v="20"/>
    <x v="1"/>
    <n v="1"/>
    <n v="55000"/>
    <n v="0"/>
    <n v="55000"/>
    <n v="11.71758489922877"/>
    <n v="5000"/>
    <n v="94"/>
    <x v="2754"/>
    <x v="11"/>
    <x v="1"/>
    <x v="1"/>
  </r>
  <r>
    <x v="215"/>
    <s v="ZTAN"/>
    <x v="10"/>
    <s v="RK5135"/>
    <n v="138841065"/>
    <s v="SANTIAGO"/>
    <x v="2248"/>
    <x v="3"/>
    <x v="1"/>
    <x v="20"/>
    <x v="1"/>
    <n v="1"/>
    <n v="82377"/>
    <n v="0"/>
    <n v="82377"/>
    <n v="11.000026706548448"/>
    <n v="5000"/>
    <n v="100"/>
    <x v="2755"/>
    <x v="11"/>
    <x v="1"/>
    <x v="1"/>
  </r>
  <r>
    <x v="215"/>
    <s v="ZTAN"/>
    <x v="24"/>
    <s v="KKPF51"/>
    <n v="95707734"/>
    <s v="MACHALI"/>
    <x v="2249"/>
    <x v="8"/>
    <x v="0"/>
    <x v="43"/>
    <x v="6"/>
    <n v="0"/>
    <n v="230000"/>
    <n v="0"/>
    <n v="230000"/>
    <n v="20.377425356604959"/>
    <n v="25000"/>
    <n v="70"/>
    <x v="2756"/>
    <x v="11"/>
    <x v="1"/>
    <x v="0"/>
  </r>
  <r>
    <x v="215"/>
    <s v="ZTAN"/>
    <x v="16"/>
    <s v="KLVY88"/>
    <n v="139094328"/>
    <s v="CONCEPCION"/>
    <x v="2250"/>
    <x v="0"/>
    <x v="0"/>
    <x v="81"/>
    <x v="0"/>
    <n v="0"/>
    <n v="380000"/>
    <n v="0"/>
    <n v="380000"/>
    <n v="27.109937932510505"/>
    <n v="25000"/>
    <n v="56"/>
    <x v="2757"/>
    <x v="11"/>
    <x v="1"/>
    <x v="0"/>
  </r>
  <r>
    <x v="215"/>
    <s v="ZTAN"/>
    <x v="70"/>
    <s v="WG4022"/>
    <n v="81417709"/>
    <s v="SANTIAGO"/>
    <x v="397"/>
    <x v="1"/>
    <x v="0"/>
    <x v="20"/>
    <x v="1"/>
    <n v="1"/>
    <n v="206360"/>
    <n v="0"/>
    <n v="206360"/>
    <n v="11"/>
    <n v="5000"/>
    <n v="100"/>
    <x v="2758"/>
    <x v="11"/>
    <x v="1"/>
    <x v="1"/>
  </r>
  <r>
    <x v="215"/>
    <s v="ZTAN"/>
    <x v="7"/>
    <s v="HLBX77"/>
    <n v="154837728"/>
    <s v="RENCA"/>
    <x v="2251"/>
    <x v="1"/>
    <x v="1"/>
    <x v="7"/>
    <x v="1"/>
    <n v="1"/>
    <n v="116028"/>
    <n v="0"/>
    <n v="116028"/>
    <n v="11"/>
    <n v="5000"/>
    <n v="100"/>
    <x v="2759"/>
    <x v="11"/>
    <x v="1"/>
    <x v="1"/>
  </r>
  <r>
    <x v="215"/>
    <s v="ZTAN"/>
    <x v="7"/>
    <s v="XR6339"/>
    <n v="78907355"/>
    <s v="RENCA"/>
    <x v="1219"/>
    <x v="1"/>
    <x v="1"/>
    <x v="7"/>
    <x v="1"/>
    <n v="1"/>
    <n v="55000"/>
    <n v="0"/>
    <n v="55000"/>
    <n v="20.014556040756915"/>
    <n v="5000"/>
    <n v="80"/>
    <x v="2760"/>
    <x v="11"/>
    <x v="1"/>
    <x v="1"/>
  </r>
  <r>
    <x v="215"/>
    <s v="ZTAN"/>
    <x v="8"/>
    <s v="SV2718"/>
    <n v="99626232"/>
    <s v="ÑUÑOA"/>
    <x v="2252"/>
    <x v="1"/>
    <x v="1"/>
    <x v="15"/>
    <x v="1"/>
    <n v="4"/>
    <n v="55000"/>
    <n v="0"/>
    <n v="55000"/>
    <n v="18.127883981542517"/>
    <n v="5000"/>
    <n v="85"/>
    <x v="2761"/>
    <x v="11"/>
    <x v="1"/>
    <x v="1"/>
  </r>
  <r>
    <x v="215"/>
    <s v="ZTAN"/>
    <x v="8"/>
    <s v="TP3884"/>
    <n v="154837728"/>
    <s v="PUDAHUEL"/>
    <x v="2253"/>
    <x v="1"/>
    <x v="1"/>
    <x v="10"/>
    <x v="1"/>
    <n v="1"/>
    <n v="63584"/>
    <n v="0"/>
    <n v="63584"/>
    <n v="10.999930800636637"/>
    <n v="5000"/>
    <n v="100"/>
    <x v="2762"/>
    <x v="11"/>
    <x v="1"/>
    <x v="1"/>
  </r>
  <r>
    <x v="216"/>
    <s v="ZPEP"/>
    <x v="35"/>
    <s v="DJLF85"/>
    <n v="125108660"/>
    <s v="PADRE HURTADO"/>
    <x v="2254"/>
    <x v="4"/>
    <x v="1"/>
    <x v="26"/>
    <x v="1"/>
    <n v="5"/>
    <n v="70000"/>
    <n v="0"/>
    <n v="70000"/>
    <n v="21.59960503579363"/>
    <n v="10000"/>
    <n v="32"/>
    <x v="2763"/>
    <x v="11"/>
    <x v="1"/>
    <x v="1"/>
  </r>
  <r>
    <x v="216"/>
    <s v="ZPEP"/>
    <x v="42"/>
    <s v="HLBX77"/>
    <n v="154837728"/>
    <s v="QUINTA NORMAL"/>
    <x v="1880"/>
    <x v="1"/>
    <x v="1"/>
    <x v="62"/>
    <x v="1"/>
    <n v="1"/>
    <n v="63294"/>
    <n v="0"/>
    <n v="63294"/>
    <n v="10.999999999999998"/>
    <n v="5000"/>
    <n v="100"/>
    <x v="2764"/>
    <x v="11"/>
    <x v="1"/>
    <x v="1"/>
  </r>
  <r>
    <x v="216"/>
    <s v="ZPEP"/>
    <x v="9"/>
    <s v="XR6339"/>
    <n v="78907355"/>
    <s v="SAN BERNARDO"/>
    <x v="2255"/>
    <x v="1"/>
    <x v="1"/>
    <x v="4"/>
    <x v="1"/>
    <n v="4"/>
    <n v="79081"/>
    <n v="0"/>
    <n v="79081"/>
    <n v="10.999972180492957"/>
    <n v="5000"/>
    <n v="100"/>
    <x v="2765"/>
    <x v="11"/>
    <x v="1"/>
    <x v="1"/>
  </r>
  <r>
    <x v="216"/>
    <s v="ZTAN"/>
    <x v="76"/>
    <s v="RH1133"/>
    <n v="65941082"/>
    <s v="RANCAGUA"/>
    <x v="2256"/>
    <x v="0"/>
    <x v="0"/>
    <x v="28"/>
    <x v="6"/>
    <n v="0"/>
    <n v="230000"/>
    <n v="0"/>
    <n v="230000"/>
    <n v="7.9948832747041871"/>
    <n v="25000"/>
    <n v="100"/>
    <x v="2766"/>
    <x v="11"/>
    <x v="1"/>
    <x v="0"/>
  </r>
  <r>
    <x v="216"/>
    <s v="ZTAN"/>
    <x v="6"/>
    <s v="DTCY42"/>
    <n v="92028607"/>
    <s v="ARICA"/>
    <x v="2257"/>
    <x v="5"/>
    <x v="0"/>
    <x v="87"/>
    <x v="13"/>
    <n v="0"/>
    <n v="2200000"/>
    <n v="0"/>
    <n v="352495"/>
    <n v="25"/>
    <n v="25000"/>
    <n v="68"/>
    <x v="2767"/>
    <x v="11"/>
    <x v="1"/>
    <x v="0"/>
  </r>
  <r>
    <x v="216"/>
    <s v="ZTAN"/>
    <x v="7"/>
    <s v="BYZH29"/>
    <n v="122975819"/>
    <s v="CHILLAN"/>
    <x v="2258"/>
    <x v="0"/>
    <x v="0"/>
    <x v="21"/>
    <x v="5"/>
    <n v="0"/>
    <n v="350000"/>
    <n v="0"/>
    <n v="350000"/>
    <n v="16.131113692089301"/>
    <n v="25000"/>
    <n v="87"/>
    <x v="2768"/>
    <x v="11"/>
    <x v="1"/>
    <x v="0"/>
  </r>
  <r>
    <x v="216"/>
    <s v="ZTAN"/>
    <x v="68"/>
    <s v="WC2233"/>
    <n v="125108660"/>
    <s v="QUILICURA"/>
    <x v="2259"/>
    <x v="4"/>
    <x v="1"/>
    <x v="8"/>
    <x v="1"/>
    <n v="1"/>
    <n v="98753"/>
    <n v="0"/>
    <n v="98753"/>
    <n v="10.999982177785501"/>
    <n v="5000"/>
    <n v="100"/>
    <x v="2769"/>
    <x v="11"/>
    <x v="1"/>
    <x v="1"/>
  </r>
  <r>
    <x v="216"/>
    <s v="ZTAN"/>
    <x v="8"/>
    <s v="BPKD94"/>
    <n v="125897258"/>
    <s v="VILLARRICA"/>
    <x v="2260"/>
    <x v="0"/>
    <x v="0"/>
    <x v="88"/>
    <x v="4"/>
    <n v="0"/>
    <n v="620000"/>
    <n v="0"/>
    <n v="620000"/>
    <n v="44.279388658763033"/>
    <n v="25000"/>
    <n v="85"/>
    <x v="2770"/>
    <x v="11"/>
    <x v="1"/>
    <x v="0"/>
  </r>
  <r>
    <x v="216"/>
    <s v="ZTAN"/>
    <x v="8"/>
    <s v="DRFV76"/>
    <n v="113693568"/>
    <s v="RENCA"/>
    <x v="2260"/>
    <x v="0"/>
    <x v="0"/>
    <x v="7"/>
    <x v="1"/>
    <n v="1"/>
    <n v="154022"/>
    <n v="0"/>
    <n v="154022"/>
    <n v="11"/>
    <n v="5000"/>
    <n v="100"/>
    <x v="2771"/>
    <x v="11"/>
    <x v="1"/>
    <x v="1"/>
  </r>
  <r>
    <x v="216"/>
    <s v="ZTAN"/>
    <x v="8"/>
    <s v="RK5135"/>
    <n v="138841065"/>
    <s v="CERRILLOS"/>
    <x v="2261"/>
    <x v="3"/>
    <x v="1"/>
    <x v="9"/>
    <x v="1"/>
    <n v="2"/>
    <n v="55000"/>
    <n v="0"/>
    <n v="55000"/>
    <n v="12.365107913669068"/>
    <n v="5000"/>
    <n v="89"/>
    <x v="2772"/>
    <x v="11"/>
    <x v="1"/>
    <x v="1"/>
  </r>
  <r>
    <x v="216"/>
    <s v="ZTAN"/>
    <x v="8"/>
    <s v="SV2718"/>
    <n v="99626232"/>
    <s v="LAS CONDES"/>
    <x v="2262"/>
    <x v="1"/>
    <x v="1"/>
    <x v="3"/>
    <x v="1"/>
    <n v="4"/>
    <n v="55000"/>
    <n v="0"/>
    <n v="55000"/>
    <n v="15.233769111455794"/>
    <n v="5000"/>
    <n v="72"/>
    <x v="2773"/>
    <x v="11"/>
    <x v="1"/>
    <x v="1"/>
  </r>
  <r>
    <x v="216"/>
    <s v="ZTAN"/>
    <x v="8"/>
    <s v="TP3884"/>
    <n v="154837728"/>
    <s v="SAN BERNARDO"/>
    <x v="2263"/>
    <x v="1"/>
    <x v="1"/>
    <x v="4"/>
    <x v="1"/>
    <n v="4"/>
    <n v="72494"/>
    <n v="0"/>
    <n v="72494"/>
    <n v="10.999939305656712"/>
    <n v="5000"/>
    <n v="100"/>
    <x v="2774"/>
    <x v="11"/>
    <x v="1"/>
    <x v="1"/>
  </r>
  <r>
    <x v="217"/>
    <s v="ZPEP"/>
    <x v="42"/>
    <s v="HLBX77"/>
    <n v="154837728"/>
    <s v="QUINTA NORMAL"/>
    <x v="1880"/>
    <x v="1"/>
    <x v="1"/>
    <x v="62"/>
    <x v="1"/>
    <n v="1"/>
    <n v="63294"/>
    <n v="0"/>
    <n v="63294"/>
    <n v="10.999999999999998"/>
    <n v="5000"/>
    <n v="100"/>
    <x v="2775"/>
    <x v="11"/>
    <x v="1"/>
    <x v="1"/>
  </r>
  <r>
    <x v="217"/>
    <s v="ZPEP"/>
    <x v="42"/>
    <s v="SU9354"/>
    <n v="72564391"/>
    <s v="QUINTA NORMAL"/>
    <x v="1880"/>
    <x v="2"/>
    <x v="1"/>
    <x v="62"/>
    <x v="1"/>
    <n v="1"/>
    <n v="63294"/>
    <n v="0"/>
    <n v="63294"/>
    <n v="10.999999999999998"/>
    <n v="5000"/>
    <n v="100"/>
    <x v="2776"/>
    <x v="11"/>
    <x v="1"/>
    <x v="1"/>
  </r>
  <r>
    <x v="217"/>
    <s v="ZTAN"/>
    <x v="17"/>
    <s v="DJLF85"/>
    <n v="53173292"/>
    <s v="LAMPA"/>
    <x v="125"/>
    <x v="4"/>
    <x v="1"/>
    <x v="17"/>
    <x v="1"/>
    <n v="5"/>
    <n v="70000"/>
    <n v="0"/>
    <n v="70000"/>
    <n v="5.2740629120361611"/>
    <n v="10000"/>
    <n v="100"/>
    <x v="2777"/>
    <x v="11"/>
    <x v="1"/>
    <x v="1"/>
  </r>
  <r>
    <x v="217"/>
    <s v="ZTAN"/>
    <x v="4"/>
    <s v="WC2233"/>
    <n v="125108660"/>
    <s v="SAN BERNARDO"/>
    <x v="385"/>
    <x v="4"/>
    <x v="1"/>
    <x v="4"/>
    <x v="1"/>
    <n v="4"/>
    <n v="82544"/>
    <n v="0"/>
    <n v="82544"/>
    <n v="11.000000000000004"/>
    <n v="5000"/>
    <n v="100"/>
    <x v="2778"/>
    <x v="11"/>
    <x v="1"/>
    <x v="1"/>
  </r>
  <r>
    <x v="217"/>
    <s v="ZTAN"/>
    <x v="11"/>
    <s v="XR6339"/>
    <n v="78907355"/>
    <s v="COLINA"/>
    <x v="2264"/>
    <x v="1"/>
    <x v="1"/>
    <x v="5"/>
    <x v="1"/>
    <n v="5"/>
    <n v="70000"/>
    <n v="0"/>
    <n v="70000"/>
    <n v="13.18515728009041"/>
    <n v="10000"/>
    <n v="53"/>
    <x v="2779"/>
    <x v="11"/>
    <x v="1"/>
    <x v="1"/>
  </r>
  <r>
    <x v="217"/>
    <s v="ZTAN"/>
    <x v="7"/>
    <s v="WC233"/>
    <n v="53173292"/>
    <s v="RENCA"/>
    <x v="2265"/>
    <x v="0"/>
    <x v="0"/>
    <x v="7"/>
    <x v="1"/>
    <n v="1"/>
    <n v="103675"/>
    <n v="0"/>
    <n v="103675"/>
    <n v="8.516799474246282"/>
    <n v="5000"/>
    <n v="100"/>
    <x v="2780"/>
    <x v="11"/>
    <x v="1"/>
    <x v="1"/>
  </r>
  <r>
    <x v="217"/>
    <s v="ZTAN"/>
    <x v="7"/>
    <s v="XR6339"/>
    <n v="78907355"/>
    <s v="RENCA"/>
    <x v="2266"/>
    <x v="1"/>
    <x v="1"/>
    <x v="7"/>
    <x v="1"/>
    <n v="1"/>
    <n v="99414"/>
    <n v="0"/>
    <n v="99414"/>
    <n v="11.00004425953793"/>
    <n v="5000"/>
    <n v="100"/>
    <x v="2781"/>
    <x v="11"/>
    <x v="1"/>
    <x v="1"/>
  </r>
  <r>
    <x v="217"/>
    <s v="ZTAN"/>
    <x v="68"/>
    <s v="RK5135"/>
    <n v="138841065"/>
    <s v="QUILICURA"/>
    <x v="400"/>
    <x v="3"/>
    <x v="1"/>
    <x v="8"/>
    <x v="1"/>
    <n v="1"/>
    <n v="90798"/>
    <n v="0"/>
    <n v="90798"/>
    <n v="10.999951540996321"/>
    <n v="5000"/>
    <n v="100"/>
    <x v="2782"/>
    <x v="11"/>
    <x v="1"/>
    <x v="1"/>
  </r>
  <r>
    <x v="217"/>
    <s v="ZTAN"/>
    <x v="8"/>
    <s v="BWPL69"/>
    <n v="78551976"/>
    <s v="TEMUCO"/>
    <x v="2260"/>
    <x v="5"/>
    <x v="0"/>
    <x v="14"/>
    <x v="4"/>
    <n v="0"/>
    <n v="620000"/>
    <n v="0"/>
    <n v="620000"/>
    <n v="44.279388658763033"/>
    <n v="25000"/>
    <n v="75"/>
    <x v="2783"/>
    <x v="11"/>
    <x v="1"/>
    <x v="0"/>
  </r>
  <r>
    <x v="217"/>
    <s v="ZTAN"/>
    <x v="8"/>
    <s v="DJLF85"/>
    <n v="125108660"/>
    <s v="LA REINA"/>
    <x v="2267"/>
    <x v="4"/>
    <x v="1"/>
    <x v="11"/>
    <x v="1"/>
    <n v="3"/>
    <n v="55000"/>
    <n v="0"/>
    <n v="55000"/>
    <n v="13.267078348128134"/>
    <n v="5000"/>
    <n v="83"/>
    <x v="2784"/>
    <x v="11"/>
    <x v="1"/>
    <x v="1"/>
  </r>
  <r>
    <x v="217"/>
    <s v="ZTAN"/>
    <x v="8"/>
    <s v="SV2718"/>
    <n v="99626232"/>
    <s v="PUDAHUEL"/>
    <x v="2268"/>
    <x v="1"/>
    <x v="1"/>
    <x v="10"/>
    <x v="1"/>
    <n v="1"/>
    <n v="55000"/>
    <n v="0"/>
    <n v="55000"/>
    <n v="14.456944590474187"/>
    <n v="5000"/>
    <n v="76"/>
    <x v="2785"/>
    <x v="11"/>
    <x v="1"/>
    <x v="1"/>
  </r>
  <r>
    <x v="218"/>
    <s v="ZPEP"/>
    <x v="42"/>
    <s v="HLBX77"/>
    <n v="154837728"/>
    <s v="QUINTA NORMAL"/>
    <x v="2269"/>
    <x v="1"/>
    <x v="1"/>
    <x v="62"/>
    <x v="1"/>
    <n v="1"/>
    <n v="63294"/>
    <n v="0"/>
    <n v="63294"/>
    <n v="9.4285714285714288"/>
    <n v="5000"/>
    <n v="100"/>
    <x v="2786"/>
    <x v="11"/>
    <x v="1"/>
    <x v="1"/>
  </r>
  <r>
    <x v="218"/>
    <s v="ZTAN"/>
    <x v="76"/>
    <s v="RH1133"/>
    <n v="65941082"/>
    <s v="RANCAGUA"/>
    <x v="2270"/>
    <x v="0"/>
    <x v="0"/>
    <x v="28"/>
    <x v="6"/>
    <n v="0"/>
    <n v="230000"/>
    <n v="0"/>
    <n v="230000"/>
    <n v="8.352519918944239"/>
    <n v="25000"/>
    <n v="100"/>
    <x v="2787"/>
    <x v="11"/>
    <x v="1"/>
    <x v="0"/>
  </r>
  <r>
    <x v="218"/>
    <s v="ZTAN"/>
    <x v="77"/>
    <s v="RK5135"/>
    <n v="138841065"/>
    <s v="RANCAGUA"/>
    <x v="1067"/>
    <x v="3"/>
    <x v="1"/>
    <x v="28"/>
    <x v="6"/>
    <n v="0"/>
    <n v="180000"/>
    <n v="0"/>
    <n v="180000"/>
    <n v="21.171489061397317"/>
    <n v="25000"/>
    <n v="75"/>
    <x v="2788"/>
    <x v="11"/>
    <x v="1"/>
    <x v="0"/>
  </r>
  <r>
    <x v="218"/>
    <s v="ZTAN"/>
    <x v="6"/>
    <s v="CJFZ67"/>
    <n v="115812335"/>
    <s v="CALAMA"/>
    <x v="2271"/>
    <x v="5"/>
    <x v="0"/>
    <x v="37"/>
    <x v="7"/>
    <n v="0"/>
    <n v="1400000"/>
    <n v="0"/>
    <n v="1400000"/>
    <n v="97.353649649248709"/>
    <n v="25000"/>
    <n v="78"/>
    <x v="2789"/>
    <x v="11"/>
    <x v="1"/>
    <x v="0"/>
  </r>
  <r>
    <x v="218"/>
    <s v="ZTAN"/>
    <x v="7"/>
    <s v="RZ4484"/>
    <n v="99321006"/>
    <s v="CHILLAN"/>
    <x v="315"/>
    <x v="5"/>
    <x v="0"/>
    <x v="21"/>
    <x v="5"/>
    <n v="0"/>
    <n v="350000"/>
    <n v="0"/>
    <n v="350000"/>
    <n v="36.826599326599293"/>
    <n v="25000"/>
    <n v="38"/>
    <x v="2790"/>
    <x v="11"/>
    <x v="1"/>
    <x v="0"/>
  </r>
  <r>
    <x v="218"/>
    <s v="ZTAN"/>
    <x v="7"/>
    <s v="WG4022"/>
    <n v="81417709"/>
    <s v="RANCAGUA"/>
    <x v="2272"/>
    <x v="1"/>
    <x v="0"/>
    <x v="28"/>
    <x v="6"/>
    <n v="0"/>
    <n v="230000"/>
    <n v="0"/>
    <n v="230000"/>
    <n v="21.083895570548528"/>
    <n v="25000"/>
    <n v="44"/>
    <x v="2791"/>
    <x v="11"/>
    <x v="1"/>
    <x v="0"/>
  </r>
  <r>
    <x v="218"/>
    <s v="ZTAN"/>
    <x v="8"/>
    <s v="HLBX77"/>
    <n v="154837728"/>
    <s v="REÑACA"/>
    <x v="2273"/>
    <x v="1"/>
    <x v="1"/>
    <x v="6"/>
    <x v="2"/>
    <n v="0"/>
    <n v="180000"/>
    <n v="0"/>
    <n v="180000"/>
    <n v="44.46200968283766"/>
    <n v="25000"/>
    <n v="75"/>
    <x v="2792"/>
    <x v="11"/>
    <x v="1"/>
    <x v="0"/>
  </r>
  <r>
    <x v="218"/>
    <s v="ZTAN"/>
    <x v="8"/>
    <s v="SU9354"/>
    <n v="72564391"/>
    <s v="ÑUÑOA"/>
    <x v="2274"/>
    <x v="2"/>
    <x v="1"/>
    <x v="15"/>
    <x v="1"/>
    <n v="4"/>
    <n v="55000"/>
    <n v="0"/>
    <n v="55000"/>
    <n v="13.249180959722491"/>
    <n v="5000"/>
    <n v="83"/>
    <x v="2793"/>
    <x v="11"/>
    <x v="1"/>
    <x v="1"/>
  </r>
  <r>
    <x v="218"/>
    <s v="ZTAN"/>
    <x v="8"/>
    <s v="TP3884"/>
    <n v="154837728"/>
    <s v="PUDAHUEL"/>
    <x v="2275"/>
    <x v="1"/>
    <x v="1"/>
    <x v="10"/>
    <x v="1"/>
    <n v="1"/>
    <n v="75783"/>
    <n v="0"/>
    <n v="75783"/>
    <n v="10.999941939791565"/>
    <n v="5000"/>
    <n v="100"/>
    <x v="2794"/>
    <x v="11"/>
    <x v="1"/>
    <x v="1"/>
  </r>
  <r>
    <x v="219"/>
    <s v="ZPEP"/>
    <x v="58"/>
    <s v="RK5135"/>
    <n v="138841065"/>
    <s v="COLINA"/>
    <x v="2276"/>
    <x v="3"/>
    <x v="1"/>
    <x v="5"/>
    <x v="1"/>
    <n v="5"/>
    <n v="70000"/>
    <n v="0"/>
    <n v="148688.43"/>
    <n v="11"/>
    <n v="10000"/>
    <n v="100"/>
    <x v="2795"/>
    <x v="11"/>
    <x v="1"/>
    <x v="1"/>
  </r>
  <r>
    <x v="219"/>
    <s v="ZTAN"/>
    <x v="4"/>
    <s v="DJLF85"/>
    <n v="125108660"/>
    <s v="SAN BERNARDO"/>
    <x v="1067"/>
    <x v="4"/>
    <x v="1"/>
    <x v="4"/>
    <x v="1"/>
    <n v="4"/>
    <n v="93522"/>
    <n v="0"/>
    <n v="93522"/>
    <n v="11"/>
    <n v="5000"/>
    <n v="100"/>
    <x v="2796"/>
    <x v="11"/>
    <x v="1"/>
    <x v="1"/>
  </r>
  <r>
    <x v="219"/>
    <s v="ZTAN"/>
    <x v="4"/>
    <s v="XR6339"/>
    <n v="78907355"/>
    <s v="SAN BERNARDO"/>
    <x v="385"/>
    <x v="1"/>
    <x v="1"/>
    <x v="4"/>
    <x v="1"/>
    <n v="4"/>
    <n v="82544"/>
    <n v="0"/>
    <n v="82544"/>
    <n v="11.000000000000004"/>
    <n v="5000"/>
    <n v="100"/>
    <x v="2797"/>
    <x v="11"/>
    <x v="1"/>
    <x v="1"/>
  </r>
  <r>
    <x v="219"/>
    <s v="ZTAN"/>
    <x v="78"/>
    <s v="SU9354"/>
    <n v="72564391"/>
    <s v="SANTIAGO"/>
    <x v="252"/>
    <x v="2"/>
    <x v="1"/>
    <x v="20"/>
    <x v="1"/>
    <n v="1"/>
    <n v="55000"/>
    <n v="0"/>
    <n v="55000"/>
    <n v="14.658848614072495"/>
    <n v="5000"/>
    <n v="75"/>
    <x v="2798"/>
    <x v="11"/>
    <x v="1"/>
    <x v="1"/>
  </r>
  <r>
    <x v="219"/>
    <s v="ZTAN"/>
    <x v="7"/>
    <s v="CJFZ69"/>
    <n v="137879050"/>
    <s v="CHILLAN"/>
    <x v="2277"/>
    <x v="5"/>
    <x v="0"/>
    <x v="21"/>
    <x v="5"/>
    <n v="0"/>
    <n v="350000"/>
    <n v="0"/>
    <n v="350000"/>
    <n v="25.639147315214984"/>
    <n v="25000"/>
    <n v="55"/>
    <x v="2799"/>
    <x v="11"/>
    <x v="1"/>
    <x v="0"/>
  </r>
  <r>
    <x v="219"/>
    <s v="ZTAN"/>
    <x v="7"/>
    <s v="DJLF85"/>
    <n v="53173292"/>
    <s v="RENCA"/>
    <x v="2278"/>
    <x v="4"/>
    <x v="1"/>
    <x v="7"/>
    <x v="1"/>
    <n v="1"/>
    <n v="107307"/>
    <n v="0"/>
    <n v="107307"/>
    <n v="9.206001956040561"/>
    <n v="5000"/>
    <n v="100"/>
    <x v="2800"/>
    <x v="11"/>
    <x v="1"/>
    <x v="1"/>
  </r>
  <r>
    <x v="219"/>
    <s v="ZTAN"/>
    <x v="7"/>
    <s v="HLBX77"/>
    <n v="154837728"/>
    <s v="RENCA"/>
    <x v="2279"/>
    <x v="1"/>
    <x v="1"/>
    <x v="7"/>
    <x v="1"/>
    <n v="1"/>
    <n v="133443"/>
    <n v="0"/>
    <n v="133443"/>
    <n v="10.999983513584805"/>
    <n v="5000"/>
    <n v="100"/>
    <x v="2801"/>
    <x v="11"/>
    <x v="1"/>
    <x v="1"/>
  </r>
  <r>
    <x v="219"/>
    <s v="ZTAN"/>
    <x v="7"/>
    <s v="HLBX77"/>
    <n v="154837728"/>
    <s v="SAN MIGUEL"/>
    <x v="2280"/>
    <x v="1"/>
    <x v="1"/>
    <x v="23"/>
    <x v="1"/>
    <n v="2"/>
    <n v="100012"/>
    <n v="0"/>
    <n v="100012"/>
    <n v="11.000000000000002"/>
    <n v="5000"/>
    <n v="100"/>
    <x v="2802"/>
    <x v="11"/>
    <x v="1"/>
    <x v="1"/>
  </r>
  <r>
    <x v="219"/>
    <s v="ZTAN"/>
    <x v="7"/>
    <s v="KKPF51"/>
    <n v="95707734"/>
    <s v="RANCAGUA"/>
    <x v="2281"/>
    <x v="8"/>
    <x v="0"/>
    <x v="28"/>
    <x v="6"/>
    <n v="0"/>
    <n v="230000"/>
    <n v="0"/>
    <n v="230000"/>
    <n v="14.927116730052829"/>
    <n v="25000"/>
    <n v="85"/>
    <x v="2803"/>
    <x v="11"/>
    <x v="1"/>
    <x v="0"/>
  </r>
  <r>
    <x v="219"/>
    <s v="ZTAN"/>
    <x v="7"/>
    <s v="WG4022"/>
    <n v="81417709"/>
    <s v="MELIPILLA"/>
    <x v="2282"/>
    <x v="1"/>
    <x v="0"/>
    <x v="29"/>
    <x v="1"/>
    <n v="5"/>
    <n v="120000"/>
    <n v="0"/>
    <n v="120000"/>
    <n v="8.3731055848614311"/>
    <n v="10000"/>
    <n v="100"/>
    <x v="2804"/>
    <x v="11"/>
    <x v="1"/>
    <x v="1"/>
  </r>
  <r>
    <x v="219"/>
    <s v="ZTAN"/>
    <x v="7"/>
    <s v="XR6339"/>
    <n v="78907355"/>
    <s v="SAN MIGUEL"/>
    <x v="234"/>
    <x v="1"/>
    <x v="1"/>
    <x v="23"/>
    <x v="1"/>
    <n v="2"/>
    <n v="99053"/>
    <n v="0"/>
    <n v="99053"/>
    <n v="11.000022210376692"/>
    <n v="5000"/>
    <n v="100"/>
    <x v="2805"/>
    <x v="11"/>
    <x v="1"/>
    <x v="1"/>
  </r>
  <r>
    <x v="219"/>
    <s v="ZTAN"/>
    <x v="8"/>
    <s v="TP3884"/>
    <n v="154837728"/>
    <s v="PUDAHUEL"/>
    <x v="2283"/>
    <x v="1"/>
    <x v="1"/>
    <x v="10"/>
    <x v="1"/>
    <n v="1"/>
    <n v="55000"/>
    <n v="0"/>
    <n v="55000"/>
    <n v="11.643661614023202"/>
    <n v="5000"/>
    <n v="86"/>
    <x v="2806"/>
    <x v="11"/>
    <x v="1"/>
    <x v="1"/>
  </r>
  <r>
    <x v="219"/>
    <s v="ZTAN"/>
    <x v="8"/>
    <s v="TW7053"/>
    <n v="172861164"/>
    <s v="CORONEL"/>
    <x v="2284"/>
    <x v="6"/>
    <x v="1"/>
    <x v="16"/>
    <x v="0"/>
    <n v="0"/>
    <n v="380000"/>
    <n v="0"/>
    <n v="380000"/>
    <n v="39.997473843757234"/>
    <n v="25000"/>
    <n v="65"/>
    <x v="2807"/>
    <x v="11"/>
    <x v="1"/>
    <x v="0"/>
  </r>
  <r>
    <x v="220"/>
    <s v="ZPEP"/>
    <x v="58"/>
    <s v="HLBX77"/>
    <n v="154837728"/>
    <s v="COLINA"/>
    <x v="2285"/>
    <x v="1"/>
    <x v="1"/>
    <x v="5"/>
    <x v="1"/>
    <n v="5"/>
    <n v="70000"/>
    <n v="0"/>
    <n v="70000"/>
    <n v="6.3405797101449277"/>
    <n v="10000"/>
    <n v="100"/>
    <x v="2808"/>
    <x v="11"/>
    <x v="1"/>
    <x v="1"/>
  </r>
  <r>
    <x v="220"/>
    <s v="ZPEP"/>
    <x v="5"/>
    <s v="DJLF85"/>
    <n v="125108660"/>
    <s v="LOS ANDES"/>
    <x v="2286"/>
    <x v="4"/>
    <x v="1"/>
    <x v="38"/>
    <x v="2"/>
    <n v="0"/>
    <n v="180000"/>
    <n v="0"/>
    <n v="180000"/>
    <n v="18.304737266004441"/>
    <n v="25000"/>
    <n v="78"/>
    <x v="2809"/>
    <x v="11"/>
    <x v="1"/>
    <x v="0"/>
  </r>
  <r>
    <x v="220"/>
    <s v="ZPEP"/>
    <x v="27"/>
    <s v="KKPF51"/>
    <n v="95707734"/>
    <s v="LOS ANGELES"/>
    <x v="2287"/>
    <x v="8"/>
    <x v="0"/>
    <x v="57"/>
    <x v="0"/>
    <n v="0"/>
    <n v="420000"/>
    <n v="0"/>
    <n v="420000"/>
    <n v="24.009356789331612"/>
    <n v="25000"/>
    <n v="88"/>
    <x v="2810"/>
    <x v="11"/>
    <x v="1"/>
    <x v="0"/>
  </r>
  <r>
    <x v="220"/>
    <s v="ZTAN"/>
    <x v="77"/>
    <s v="RK5135"/>
    <n v="138841065"/>
    <s v="TALAGANTE"/>
    <x v="1067"/>
    <x v="3"/>
    <x v="1"/>
    <x v="50"/>
    <x v="1"/>
    <n v="4"/>
    <n v="93522"/>
    <n v="0"/>
    <n v="93522"/>
    <n v="11"/>
    <n v="5000"/>
    <n v="100"/>
    <x v="2811"/>
    <x v="11"/>
    <x v="1"/>
    <x v="1"/>
  </r>
  <r>
    <x v="220"/>
    <s v="ZTAN"/>
    <x v="10"/>
    <s v="HLBX77"/>
    <n v="154837728"/>
    <s v="QUILICURA"/>
    <x v="2288"/>
    <x v="1"/>
    <x v="1"/>
    <x v="8"/>
    <x v="1"/>
    <n v="1"/>
    <n v="107285"/>
    <n v="0"/>
    <n v="107285"/>
    <n v="10.99997949390969"/>
    <n v="5000"/>
    <n v="100"/>
    <x v="2812"/>
    <x v="11"/>
    <x v="1"/>
    <x v="1"/>
  </r>
  <r>
    <x v="220"/>
    <s v="ZTAN"/>
    <x v="10"/>
    <s v="RK5135"/>
    <n v="138841056"/>
    <s v="QUILICURA"/>
    <x v="2289"/>
    <x v="3"/>
    <x v="1"/>
    <x v="8"/>
    <x v="1"/>
    <n v="1"/>
    <n v="107285"/>
    <n v="0"/>
    <n v="107285"/>
    <n v="10.999979493909686"/>
    <n v="5000"/>
    <n v="100"/>
    <x v="2813"/>
    <x v="11"/>
    <x v="1"/>
    <x v="1"/>
  </r>
  <r>
    <x v="220"/>
    <s v="ZTAN"/>
    <x v="10"/>
    <s v="SU9354"/>
    <n v="72564391"/>
    <s v="QUILICURA"/>
    <x v="2081"/>
    <x v="2"/>
    <x v="1"/>
    <x v="8"/>
    <x v="1"/>
    <n v="1"/>
    <n v="74268"/>
    <n v="0"/>
    <n v="74268"/>
    <n v="7.6144192913385824"/>
    <n v="5000"/>
    <n v="100"/>
    <x v="2814"/>
    <x v="11"/>
    <x v="1"/>
    <x v="1"/>
  </r>
  <r>
    <x v="220"/>
    <s v="ZTAN"/>
    <x v="10"/>
    <s v="WG4022"/>
    <n v="81417709"/>
    <s v="SANTIAGO"/>
    <x v="2290"/>
    <x v="1"/>
    <x v="0"/>
    <x v="20"/>
    <x v="1"/>
    <n v="1"/>
    <n v="240750"/>
    <n v="0"/>
    <n v="240750"/>
    <n v="10.999981723810224"/>
    <n v="5000"/>
    <n v="100"/>
    <x v="2815"/>
    <x v="11"/>
    <x v="1"/>
    <x v="1"/>
  </r>
  <r>
    <x v="220"/>
    <s v="ZTAN"/>
    <x v="16"/>
    <s v="SU9354"/>
    <n v="72564391"/>
    <s v="RENCA"/>
    <x v="1067"/>
    <x v="2"/>
    <x v="1"/>
    <x v="7"/>
    <x v="1"/>
    <n v="1"/>
    <n v="93522"/>
    <n v="0"/>
    <n v="93522"/>
    <n v="11"/>
    <n v="5000"/>
    <n v="100"/>
    <x v="2816"/>
    <x v="11"/>
    <x v="1"/>
    <x v="1"/>
  </r>
  <r>
    <x v="220"/>
    <s v="ZTAN"/>
    <x v="7"/>
    <s v="DJLF85"/>
    <n v="53173292"/>
    <s v="RENCA"/>
    <x v="414"/>
    <x v="4"/>
    <x v="1"/>
    <x v="7"/>
    <x v="1"/>
    <n v="1"/>
    <n v="107307"/>
    <n v="0"/>
    <n v="107307"/>
    <n v="10.999979498113829"/>
    <n v="5000"/>
    <n v="100"/>
    <x v="2817"/>
    <x v="11"/>
    <x v="1"/>
    <x v="1"/>
  </r>
  <r>
    <x v="220"/>
    <s v="ZTAN"/>
    <x v="68"/>
    <s v="XR6339"/>
    <n v="78907355"/>
    <s v="SAN BERNARDO"/>
    <x v="2291"/>
    <x v="1"/>
    <x v="1"/>
    <x v="4"/>
    <x v="1"/>
    <n v="4"/>
    <n v="74320"/>
    <n v="0"/>
    <n v="74320"/>
    <n v="10.999940796874075"/>
    <n v="5000"/>
    <n v="100"/>
    <x v="2818"/>
    <x v="11"/>
    <x v="1"/>
    <x v="1"/>
  </r>
  <r>
    <x v="220"/>
    <s v="ZTAN"/>
    <x v="8"/>
    <s v="SV2718"/>
    <n v="99626232"/>
    <s v="CERRILLOS"/>
    <x v="2292"/>
    <x v="1"/>
    <x v="1"/>
    <x v="9"/>
    <x v="1"/>
    <n v="2"/>
    <n v="55000"/>
    <n v="0"/>
    <n v="55000"/>
    <n v="11.544435582049452"/>
    <n v="5000"/>
    <n v="95"/>
    <x v="2819"/>
    <x v="11"/>
    <x v="1"/>
    <x v="1"/>
  </r>
  <r>
    <x v="220"/>
    <s v="ZTAN"/>
    <x v="8"/>
    <s v="TP3884"/>
    <n v="78907355"/>
    <s v="LA REINA"/>
    <x v="2293"/>
    <x v="1"/>
    <x v="1"/>
    <x v="11"/>
    <x v="1"/>
    <n v="3"/>
    <n v="55000"/>
    <n v="0"/>
    <n v="55000"/>
    <n v="13.389814003310935"/>
    <n v="5000"/>
    <n v="82"/>
    <x v="2820"/>
    <x v="11"/>
    <x v="1"/>
    <x v="1"/>
  </r>
  <r>
    <x v="221"/>
    <s v="ZPEP"/>
    <x v="5"/>
    <s v="XR6339"/>
    <n v="78907355"/>
    <s v="LOS ANDES"/>
    <x v="2294"/>
    <x v="1"/>
    <x v="1"/>
    <x v="38"/>
    <x v="2"/>
    <n v="0"/>
    <n v="180000"/>
    <n v="0"/>
    <n v="180000"/>
    <n v="31.962156806341294"/>
    <n v="25000"/>
    <n v="65"/>
    <x v="2821"/>
    <x v="11"/>
    <x v="1"/>
    <x v="0"/>
  </r>
  <r>
    <x v="221"/>
    <s v="ZPEP"/>
    <x v="2"/>
    <s v="TW7053"/>
    <n v="171162864"/>
    <s v="LOS ANGELES"/>
    <x v="2295"/>
    <x v="6"/>
    <x v="1"/>
    <x v="57"/>
    <x v="0"/>
    <n v="0"/>
    <n v="380000"/>
    <n v="0"/>
    <n v="380000"/>
    <n v="17.657303339460729"/>
    <n v="25000"/>
    <n v="86"/>
    <x v="2822"/>
    <x v="11"/>
    <x v="1"/>
    <x v="0"/>
  </r>
  <r>
    <x v="221"/>
    <s v="ZTAN"/>
    <x v="76"/>
    <s v="WC2233"/>
    <n v="125108660"/>
    <s v="RANCAGUA"/>
    <x v="2296"/>
    <x v="4"/>
    <x v="1"/>
    <x v="28"/>
    <x v="6"/>
    <n v="0"/>
    <n v="180000"/>
    <n v="0"/>
    <n v="180000"/>
    <n v="14.816644030127188"/>
    <n v="25000"/>
    <n v="60"/>
    <x v="2823"/>
    <x v="11"/>
    <x v="1"/>
    <x v="0"/>
  </r>
  <r>
    <x v="221"/>
    <s v="ZTAN"/>
    <x v="10"/>
    <s v="RH1133"/>
    <n v="65941082"/>
    <s v="SANTIAGO"/>
    <x v="2297"/>
    <x v="0"/>
    <x v="0"/>
    <x v="20"/>
    <x v="1"/>
    <n v="1"/>
    <n v="177157"/>
    <n v="0"/>
    <n v="177157"/>
    <n v="10.999987581650654"/>
    <n v="5000"/>
    <n v="100"/>
    <x v="2824"/>
    <x v="11"/>
    <x v="1"/>
    <x v="1"/>
  </r>
  <r>
    <x v="221"/>
    <s v="ZTAN"/>
    <x v="70"/>
    <s v="DJLF85"/>
    <n v="53173292"/>
    <s v="SANTIAGO"/>
    <x v="414"/>
    <x v="4"/>
    <x v="1"/>
    <x v="20"/>
    <x v="1"/>
    <n v="1"/>
    <n v="107307"/>
    <n v="0"/>
    <n v="107307"/>
    <n v="10.999979498113829"/>
    <n v="5000"/>
    <n v="100"/>
    <x v="2825"/>
    <x v="11"/>
    <x v="1"/>
    <x v="1"/>
  </r>
  <r>
    <x v="221"/>
    <s v="ZTAN"/>
    <x v="7"/>
    <s v="WG4022"/>
    <n v="81417709"/>
    <s v="RENCA"/>
    <x v="1870"/>
    <x v="1"/>
    <x v="0"/>
    <x v="7"/>
    <x v="1"/>
    <n v="1"/>
    <n v="198106"/>
    <n v="0"/>
    <n v="198106"/>
    <n v="11.000022210376688"/>
    <n v="5000"/>
    <n v="100"/>
    <x v="2826"/>
    <x v="11"/>
    <x v="1"/>
    <x v="1"/>
  </r>
  <r>
    <x v="221"/>
    <s v="ZTAN"/>
    <x v="8"/>
    <s v="CJFZ69"/>
    <n v="137879050"/>
    <s v="LINARES"/>
    <x v="2298"/>
    <x v="5"/>
    <x v="0"/>
    <x v="59"/>
    <x v="3"/>
    <n v="0"/>
    <n v="330000"/>
    <n v="0"/>
    <n v="330000"/>
    <n v="31.578947368421051"/>
    <n v="25000"/>
    <n v="68"/>
    <x v="2827"/>
    <x v="11"/>
    <x v="1"/>
    <x v="0"/>
  </r>
  <r>
    <x v="221"/>
    <s v="ZTAN"/>
    <x v="8"/>
    <s v="DFRV76"/>
    <n v="113693568"/>
    <s v="CORONEL"/>
    <x v="2299"/>
    <x v="5"/>
    <x v="0"/>
    <x v="16"/>
    <x v="0"/>
    <n v="0"/>
    <n v="380000"/>
    <n v="0"/>
    <n v="380000"/>
    <n v="42.595644034928426"/>
    <n v="25000"/>
    <n v="60"/>
    <x v="2828"/>
    <x v="11"/>
    <x v="1"/>
    <x v="0"/>
  </r>
  <r>
    <x v="221"/>
    <s v="ZTAN"/>
    <x v="8"/>
    <s v="HLBX77"/>
    <n v="103018366"/>
    <s v="LA REINA"/>
    <x v="2300"/>
    <x v="1"/>
    <x v="1"/>
    <x v="11"/>
    <x v="1"/>
    <n v="3"/>
    <n v="55000"/>
    <n v="0"/>
    <n v="55000"/>
    <n v="14.200877872450297"/>
    <n v="5000"/>
    <n v="77"/>
    <x v="2829"/>
    <x v="11"/>
    <x v="1"/>
    <x v="1"/>
  </r>
  <r>
    <x v="221"/>
    <s v="ZTAN"/>
    <x v="8"/>
    <s v="RK5135"/>
    <n v="138841065"/>
    <s v="LAS CONDES"/>
    <x v="2301"/>
    <x v="3"/>
    <x v="1"/>
    <x v="3"/>
    <x v="1"/>
    <n v="4"/>
    <n v="55000"/>
    <n v="0"/>
    <n v="55000"/>
    <n v="11.236414153795868"/>
    <n v="5000"/>
    <n v="98"/>
    <x v="2830"/>
    <x v="11"/>
    <x v="1"/>
    <x v="1"/>
  </r>
  <r>
    <x v="221"/>
    <s v="ZTAN"/>
    <x v="8"/>
    <s v="SU9354"/>
    <n v="72564391"/>
    <s v="SAN BERNARDO"/>
    <x v="2302"/>
    <x v="2"/>
    <x v="1"/>
    <x v="4"/>
    <x v="1"/>
    <n v="4"/>
    <n v="62172"/>
    <n v="0"/>
    <n v="62172"/>
    <n v="11"/>
    <n v="5000"/>
    <n v="100"/>
    <x v="2831"/>
    <x v="11"/>
    <x v="1"/>
    <x v="1"/>
  </r>
  <r>
    <x v="221"/>
    <s v="ZTAN"/>
    <x v="8"/>
    <s v="SV2718"/>
    <n v="99626232"/>
    <s v="QUILIN"/>
    <x v="2303"/>
    <x v="1"/>
    <x v="1"/>
    <x v="34"/>
    <x v="1"/>
    <n v="4"/>
    <n v="90385"/>
    <n v="0"/>
    <n v="90385"/>
    <n v="11.000024340375816"/>
    <n v="5000"/>
    <n v="100"/>
    <x v="2832"/>
    <x v="11"/>
    <x v="1"/>
    <x v="1"/>
  </r>
  <r>
    <x v="221"/>
    <s v="ZTAN"/>
    <x v="8"/>
    <s v="TP3884"/>
    <n v="154837728"/>
    <s v="ÑUÑOA"/>
    <x v="2304"/>
    <x v="1"/>
    <x v="1"/>
    <x v="15"/>
    <x v="1"/>
    <n v="4"/>
    <n v="55000"/>
    <n v="0"/>
    <n v="55000"/>
    <n v="11.953403459966966"/>
    <n v="5000"/>
    <n v="85"/>
    <x v="2833"/>
    <x v="11"/>
    <x v="1"/>
    <x v="1"/>
  </r>
  <r>
    <x v="221"/>
    <s v="ZTAN"/>
    <x v="8"/>
    <s v="XR6339"/>
    <n v="78907355"/>
    <s v="SAN MIGUEL"/>
    <x v="2305"/>
    <x v="1"/>
    <x v="1"/>
    <x v="23"/>
    <x v="1"/>
    <n v="2"/>
    <n v="64953"/>
    <n v="0"/>
    <n v="64953"/>
    <n v="11.000033870749224"/>
    <n v="5000"/>
    <n v="100"/>
    <x v="2834"/>
    <x v="11"/>
    <x v="1"/>
    <x v="1"/>
  </r>
  <r>
    <x v="222"/>
    <s v="ZPEP"/>
    <x v="17"/>
    <s v="WG4022"/>
    <n v="81417709"/>
    <s v="LAMPA"/>
    <x v="2306"/>
    <x v="1"/>
    <x v="0"/>
    <x v="17"/>
    <x v="1"/>
    <n v="5"/>
    <n v="120000"/>
    <n v="0"/>
    <n v="267030.72000000015"/>
    <n v="11.000000000000002"/>
    <n v="10000"/>
    <n v="100"/>
    <x v="2835"/>
    <x v="11"/>
    <x v="1"/>
    <x v="1"/>
  </r>
  <r>
    <x v="222"/>
    <s v="ZPEP"/>
    <x v="35"/>
    <s v="HLBX77"/>
    <n v="154837728"/>
    <s v="PADRE HURTADO"/>
    <x v="2307"/>
    <x v="1"/>
    <x v="1"/>
    <x v="26"/>
    <x v="1"/>
    <n v="5"/>
    <n v="70000"/>
    <n v="0"/>
    <n v="70000"/>
    <n v="9.2296657278778103"/>
    <n v="10000"/>
    <n v="75"/>
    <x v="2836"/>
    <x v="11"/>
    <x v="1"/>
    <x v="1"/>
  </r>
  <r>
    <x v="222"/>
    <s v="ZPEP"/>
    <x v="2"/>
    <s v="SU9354"/>
    <n v="72564391"/>
    <s v="PROVIDENCIA"/>
    <x v="2308"/>
    <x v="2"/>
    <x v="1"/>
    <x v="54"/>
    <x v="1"/>
    <n v="2"/>
    <n v="185806"/>
    <n v="0"/>
    <n v="185806"/>
    <n v="11.000009472253407"/>
    <n v="5000"/>
    <n v="100"/>
    <x v="2837"/>
    <x v="11"/>
    <x v="1"/>
    <x v="1"/>
  </r>
  <r>
    <x v="222"/>
    <s v="ZPEP"/>
    <x v="9"/>
    <s v="XR6339"/>
    <n v="78907355"/>
    <s v="SAN BERNARDO"/>
    <x v="2309"/>
    <x v="1"/>
    <x v="1"/>
    <x v="4"/>
    <x v="1"/>
    <n v="4"/>
    <n v="55000"/>
    <n v="0"/>
    <n v="55000"/>
    <n v="18.334066696001173"/>
    <n v="5000"/>
    <n v="60"/>
    <x v="2838"/>
    <x v="11"/>
    <x v="1"/>
    <x v="1"/>
  </r>
  <r>
    <x v="222"/>
    <s v="ZTAN"/>
    <x v="17"/>
    <s v="RK5135"/>
    <n v="138841065"/>
    <s v="LAMPA"/>
    <x v="125"/>
    <x v="3"/>
    <x v="1"/>
    <x v="17"/>
    <x v="1"/>
    <n v="5"/>
    <n v="70000"/>
    <n v="0"/>
    <n v="145997.50000000009"/>
    <n v="10.999999999999998"/>
    <n v="10000"/>
    <n v="100"/>
    <x v="2839"/>
    <x v="11"/>
    <x v="1"/>
    <x v="1"/>
  </r>
  <r>
    <x v="222"/>
    <s v="ZTAN"/>
    <x v="6"/>
    <s v="DJLF85"/>
    <n v="53173292"/>
    <s v="LA DEHESA"/>
    <x v="2310"/>
    <x v="4"/>
    <x v="1"/>
    <x v="41"/>
    <x v="1"/>
    <n v="4"/>
    <n v="55000"/>
    <n v="0"/>
    <n v="55000"/>
    <n v="12.321892642709919"/>
    <n v="5000"/>
    <n v="89"/>
    <x v="2840"/>
    <x v="11"/>
    <x v="1"/>
    <x v="1"/>
  </r>
  <r>
    <x v="222"/>
    <s v="ZTAN"/>
    <x v="6"/>
    <s v="WC2233"/>
    <n v="125108660"/>
    <s v="PEÑALOLEN"/>
    <x v="2311"/>
    <x v="4"/>
    <x v="1"/>
    <x v="34"/>
    <x v="1"/>
    <n v="4"/>
    <n v="82526"/>
    <n v="0"/>
    <n v="82526"/>
    <n v="10.999946683727874"/>
    <n v="5000"/>
    <n v="100"/>
    <x v="2841"/>
    <x v="11"/>
    <x v="1"/>
    <x v="1"/>
  </r>
  <r>
    <x v="222"/>
    <s v="ZTAN"/>
    <x v="7"/>
    <s v="HLBX77"/>
    <n v="154837728"/>
    <s v="RENCA"/>
    <x v="2312"/>
    <x v="1"/>
    <x v="1"/>
    <x v="7"/>
    <x v="1"/>
    <n v="1"/>
    <n v="119849"/>
    <n v="0"/>
    <n v="119849"/>
    <n v="9.6680487883579111"/>
    <n v="5000"/>
    <n v="100"/>
    <x v="2842"/>
    <x v="11"/>
    <x v="1"/>
    <x v="1"/>
  </r>
  <r>
    <x v="222"/>
    <s v="ZTAN"/>
    <x v="7"/>
    <s v="WG4022"/>
    <n v="81417709"/>
    <s v="RENCA"/>
    <x v="1870"/>
    <x v="1"/>
    <x v="0"/>
    <x v="7"/>
    <x v="1"/>
    <n v="1"/>
    <n v="198106"/>
    <n v="0"/>
    <n v="198106"/>
    <n v="11.000022210376688"/>
    <n v="5000"/>
    <n v="100"/>
    <x v="2843"/>
    <x v="11"/>
    <x v="1"/>
    <x v="1"/>
  </r>
  <r>
    <x v="222"/>
    <s v="ZTAN"/>
    <x v="7"/>
    <s v="XR6339"/>
    <n v="78907355"/>
    <s v="RENCA"/>
    <x v="2313"/>
    <x v="1"/>
    <x v="1"/>
    <x v="7"/>
    <x v="1"/>
    <n v="1"/>
    <n v="125838"/>
    <n v="0"/>
    <n v="125838"/>
    <n v="11.000017482823127"/>
    <n v="5000"/>
    <n v="100"/>
    <x v="2844"/>
    <x v="11"/>
    <x v="1"/>
    <x v="1"/>
  </r>
  <r>
    <x v="222"/>
    <s v="ZTAN"/>
    <x v="8"/>
    <s v="SU9354"/>
    <n v="72564391"/>
    <s v="SAN FELIPE"/>
    <x v="2314"/>
    <x v="2"/>
    <x v="1"/>
    <x v="35"/>
    <x v="2"/>
    <n v="0"/>
    <n v="180000"/>
    <n v="0"/>
    <n v="180000"/>
    <n v="18.527667984189723"/>
    <n v="25000"/>
    <n v="78"/>
    <x v="2845"/>
    <x v="11"/>
    <x v="1"/>
    <x v="0"/>
  </r>
  <r>
    <x v="222"/>
    <s v="ZTAN"/>
    <x v="8"/>
    <s v="TP3884"/>
    <n v="99626232"/>
    <s v="PUDAHUEL"/>
    <x v="2315"/>
    <x v="1"/>
    <x v="1"/>
    <x v="10"/>
    <x v="1"/>
    <n v="1"/>
    <n v="82535"/>
    <n v="0"/>
    <n v="82535"/>
    <n v="10.999973344706259"/>
    <n v="5000"/>
    <n v="100"/>
    <x v="2846"/>
    <x v="11"/>
    <x v="1"/>
    <x v="1"/>
  </r>
  <r>
    <x v="223"/>
    <s v="ZPEP"/>
    <x v="17"/>
    <s v="RK5135"/>
    <s v="138841065"/>
    <s v="LAMPA"/>
    <x v="2316"/>
    <x v="3"/>
    <x v="1"/>
    <x v="17"/>
    <x v="1"/>
    <n v="5"/>
    <n v="70000"/>
    <n v="0"/>
    <n v="136713.28"/>
    <n v="11"/>
    <n v="10000"/>
    <n v="100"/>
    <x v="2847"/>
    <x v="11"/>
    <x v="1"/>
    <x v="1"/>
  </r>
  <r>
    <x v="223"/>
    <s v="ZTAN"/>
    <x v="10"/>
    <s v="CJFZ69"/>
    <s v="137879050"/>
    <s v="TALCAHUANO"/>
    <x v="2317"/>
    <x v="5"/>
    <x v="0"/>
    <x v="0"/>
    <x v="0"/>
    <n v="0"/>
    <n v="380000"/>
    <n v="0"/>
    <n v="380000"/>
    <n v="19.478788624387462"/>
    <n v="25000"/>
    <n v="78"/>
    <x v="2848"/>
    <x v="11"/>
    <x v="1"/>
    <x v="0"/>
  </r>
  <r>
    <x v="223"/>
    <s v="ZTAN"/>
    <x v="10"/>
    <s v="RH1133"/>
    <s v="65941082"/>
    <s v="SANTIAGO"/>
    <x v="2048"/>
    <x v="0"/>
    <x v="0"/>
    <x v="20"/>
    <x v="1"/>
    <n v="1"/>
    <n v="149886"/>
    <n v="0"/>
    <n v="149886"/>
    <n v="11.000000000000007"/>
    <n v="5000"/>
    <n v="100"/>
    <x v="2849"/>
    <x v="11"/>
    <x v="1"/>
    <x v="1"/>
  </r>
  <r>
    <x v="223"/>
    <s v="ZTAN"/>
    <x v="6"/>
    <s v="BYZH29"/>
    <s v="122975819"/>
    <s v="LA SERENA"/>
    <x v="2318"/>
    <x v="0"/>
    <x v="0"/>
    <x v="63"/>
    <x v="8"/>
    <n v="0"/>
    <n v="600000"/>
    <n v="0"/>
    <n v="600000"/>
    <n v="82.164767747589835"/>
    <n v="25000"/>
    <n v="65"/>
    <x v="2850"/>
    <x v="11"/>
    <x v="1"/>
    <x v="0"/>
  </r>
  <r>
    <x v="223"/>
    <s v="ZTAN"/>
    <x v="6"/>
    <s v="DJLF85"/>
    <s v="53173292"/>
    <s v="MAIPU"/>
    <x v="548"/>
    <x v="4"/>
    <x v="1"/>
    <x v="2"/>
    <x v="1"/>
    <n v="2"/>
    <n v="55000"/>
    <n v="0"/>
    <n v="55000"/>
    <n v="14.518002322880371"/>
    <n v="5000"/>
    <n v="76"/>
    <x v="2851"/>
    <x v="11"/>
    <x v="1"/>
    <x v="1"/>
  </r>
  <r>
    <x v="223"/>
    <s v="ZTAN"/>
    <x v="6"/>
    <s v="SV2718"/>
    <s v="99626232"/>
    <s v="SAN BERNARDO"/>
    <x v="2319"/>
    <x v="1"/>
    <x v="1"/>
    <x v="4"/>
    <x v="1"/>
    <n v="4"/>
    <n v="55000"/>
    <n v="0"/>
    <n v="55000"/>
    <n v="13.014671083767155"/>
    <n v="5000"/>
    <n v="85"/>
    <x v="2852"/>
    <x v="11"/>
    <x v="1"/>
    <x v="1"/>
  </r>
  <r>
    <x v="223"/>
    <s v="ZTAN"/>
    <x v="6"/>
    <s v="TP3884"/>
    <s v="154837728"/>
    <s v="LA REINA"/>
    <x v="2320"/>
    <x v="1"/>
    <x v="1"/>
    <x v="11"/>
    <x v="1"/>
    <n v="3"/>
    <n v="83215"/>
    <n v="0"/>
    <n v="83215"/>
    <n v="10.999999999999998"/>
    <n v="5000"/>
    <n v="100"/>
    <x v="2853"/>
    <x v="11"/>
    <x v="1"/>
    <x v="1"/>
  </r>
  <r>
    <x v="223"/>
    <s v="ZTAN"/>
    <x v="6"/>
    <s v="WC2233"/>
    <s v="125108660"/>
    <s v="PUENTE ALTO"/>
    <x v="2321"/>
    <x v="4"/>
    <x v="1"/>
    <x v="30"/>
    <x v="1"/>
    <n v="4"/>
    <n v="55000"/>
    <n v="0"/>
    <n v="55000"/>
    <n v="11.607293601215598"/>
    <n v="5000"/>
    <n v="95"/>
    <x v="2854"/>
    <x v="11"/>
    <x v="1"/>
    <x v="1"/>
  </r>
  <r>
    <x v="223"/>
    <s v="ZTAN"/>
    <x v="6"/>
    <s v="WG4022"/>
    <s v="141057073"/>
    <s v="LOS ANDES"/>
    <x v="2322"/>
    <x v="1"/>
    <x v="0"/>
    <x v="38"/>
    <x v="2"/>
    <n v="0"/>
    <n v="230000"/>
    <n v="0"/>
    <n v="230000"/>
    <n v="32.442801929641426"/>
    <n v="25000"/>
    <n v="65"/>
    <x v="2855"/>
    <x v="11"/>
    <x v="1"/>
    <x v="0"/>
  </r>
  <r>
    <x v="223"/>
    <s v="ZTAN"/>
    <x v="16"/>
    <s v="UJ4016"/>
    <s v="135025216"/>
    <s v="LOS ANGELES"/>
    <x v="2323"/>
    <x v="0"/>
    <x v="0"/>
    <x v="57"/>
    <x v="0"/>
    <n v="0"/>
    <n v="420000"/>
    <n v="0"/>
    <n v="420000"/>
    <n v="28.22732404968011"/>
    <n v="25000"/>
    <n v="60"/>
    <x v="2856"/>
    <x v="11"/>
    <x v="1"/>
    <x v="0"/>
  </r>
  <r>
    <x v="223"/>
    <s v="ZTAN"/>
    <x v="7"/>
    <s v="WG4022"/>
    <s v="81417709"/>
    <s v="RENCA"/>
    <x v="1870"/>
    <x v="1"/>
    <x v="0"/>
    <x v="7"/>
    <x v="1"/>
    <n v="1"/>
    <n v="198106"/>
    <n v="0"/>
    <n v="198106"/>
    <n v="11.000022210376688"/>
    <n v="5000"/>
    <n v="100"/>
    <x v="2857"/>
    <x v="11"/>
    <x v="1"/>
    <x v="1"/>
  </r>
  <r>
    <x v="223"/>
    <s v="ZTAN"/>
    <x v="8"/>
    <s v="CJXX49"/>
    <s v="167832741"/>
    <s v="PUERTO MONTT"/>
    <x v="2324"/>
    <x v="5"/>
    <x v="0"/>
    <x v="53"/>
    <x v="10"/>
    <n v="0"/>
    <n v="1020000"/>
    <n v="0"/>
    <n v="1020000"/>
    <n v="75.735075735075782"/>
    <n v="25000"/>
    <n v="68"/>
    <x v="2858"/>
    <x v="11"/>
    <x v="1"/>
    <x v="0"/>
  </r>
  <r>
    <x v="223"/>
    <s v="ZTAN"/>
    <x v="8"/>
    <s v="PKYS74"/>
    <s v="6270439K"/>
    <s v="TALCAHUANO"/>
    <x v="2325"/>
    <x v="0"/>
    <x v="0"/>
    <x v="0"/>
    <x v="0"/>
    <n v="0"/>
    <n v="380000"/>
    <n v="0"/>
    <n v="380000"/>
    <n v="41.324111531602064"/>
    <n v="25000"/>
    <n v="75"/>
    <x v="2859"/>
    <x v="11"/>
    <x v="1"/>
    <x v="0"/>
  </r>
  <r>
    <x v="223"/>
    <s v="ZTAN"/>
    <x v="8"/>
    <s v="SU9354"/>
    <s v="72564391"/>
    <s v="QUILIN"/>
    <x v="448"/>
    <x v="2"/>
    <x v="1"/>
    <x v="34"/>
    <x v="1"/>
    <n v="4"/>
    <n v="66035"/>
    <n v="0"/>
    <n v="66035"/>
    <n v="10.99996668443497"/>
    <n v="5000"/>
    <n v="100"/>
    <x v="2860"/>
    <x v="11"/>
    <x v="1"/>
    <x v="1"/>
  </r>
  <r>
    <x v="224"/>
    <s v="ZPEP"/>
    <x v="5"/>
    <s v="WC2233"/>
    <n v="125108660"/>
    <s v="LOS ANDES"/>
    <x v="2326"/>
    <x v="4"/>
    <x v="1"/>
    <x v="38"/>
    <x v="2"/>
    <n v="0"/>
    <n v="180000"/>
    <n v="0"/>
    <n v="180000"/>
    <n v="28.652382923179779"/>
    <n v="25000"/>
    <n v="50"/>
    <x v="2861"/>
    <x v="11"/>
    <x v="1"/>
    <x v="0"/>
  </r>
  <r>
    <x v="224"/>
    <s v="ZPEP"/>
    <x v="2"/>
    <s v="DRFV16"/>
    <n v="113693568"/>
    <s v="TEMUCO"/>
    <x v="2327"/>
    <x v="0"/>
    <x v="0"/>
    <x v="14"/>
    <x v="4"/>
    <n v="0"/>
    <n v="620000"/>
    <n v="0"/>
    <n v="620000"/>
    <n v="34.148509665405186"/>
    <n v="25000"/>
    <n v="73"/>
    <x v="2862"/>
    <x v="11"/>
    <x v="1"/>
    <x v="0"/>
  </r>
  <r>
    <x v="224"/>
    <s v="ZPEP"/>
    <x v="2"/>
    <s v="RK5135"/>
    <n v="138841065"/>
    <s v="PROVIDENCIA"/>
    <x v="2328"/>
    <x v="3"/>
    <x v="1"/>
    <x v="54"/>
    <x v="1"/>
    <n v="2"/>
    <n v="93042"/>
    <n v="0"/>
    <n v="93042"/>
    <n v="11.000056748857929"/>
    <n v="5000"/>
    <n v="100"/>
    <x v="2863"/>
    <x v="11"/>
    <x v="1"/>
    <x v="1"/>
  </r>
  <r>
    <x v="224"/>
    <s v="ZPEP"/>
    <x v="9"/>
    <s v="PN4466"/>
    <n v="81417709"/>
    <s v="SAN BERNARDO"/>
    <x v="2329"/>
    <x v="1"/>
    <x v="0"/>
    <x v="4"/>
    <x v="1"/>
    <n v="4"/>
    <n v="186229"/>
    <n v="0"/>
    <n v="186229"/>
    <n v="11.000005906709431"/>
    <n v="5000"/>
    <n v="100"/>
    <x v="2864"/>
    <x v="11"/>
    <x v="1"/>
    <x v="1"/>
  </r>
  <r>
    <x v="224"/>
    <s v="ZTAN"/>
    <x v="49"/>
    <s v="HLBX77"/>
    <n v="154837728"/>
    <s v="LA REINA"/>
    <x v="2330"/>
    <x v="1"/>
    <x v="1"/>
    <x v="11"/>
    <x v="1"/>
    <n v="3"/>
    <n v="55000"/>
    <n v="0"/>
    <n v="55000"/>
    <n v="16.702095353780749"/>
    <n v="5000"/>
    <n v="66"/>
    <x v="2865"/>
    <x v="11"/>
    <x v="1"/>
    <x v="1"/>
  </r>
  <r>
    <x v="224"/>
    <s v="ZTAN"/>
    <x v="49"/>
    <s v="SU9354"/>
    <n v="72564391"/>
    <s v="QUINTA NORMAL"/>
    <x v="2331"/>
    <x v="2"/>
    <x v="1"/>
    <x v="62"/>
    <x v="1"/>
    <n v="1"/>
    <n v="55000"/>
    <n v="0"/>
    <n v="55000"/>
    <n v="11.677282377919321"/>
    <n v="5000"/>
    <n v="94"/>
    <x v="2866"/>
    <x v="11"/>
    <x v="1"/>
    <x v="1"/>
  </r>
  <r>
    <x v="224"/>
    <s v="ZTAN"/>
    <x v="6"/>
    <s v="BPKD94"/>
    <n v="125897258"/>
    <s v="RANCAGUA"/>
    <x v="2332"/>
    <x v="0"/>
    <x v="0"/>
    <x v="28"/>
    <x v="6"/>
    <n v="0"/>
    <n v="230000"/>
    <n v="0"/>
    <n v="230000"/>
    <n v="21.021460168902863"/>
    <n v="25000"/>
    <n v="44"/>
    <x v="2867"/>
    <x v="11"/>
    <x v="1"/>
    <x v="0"/>
  </r>
  <r>
    <x v="224"/>
    <s v="ZTAN"/>
    <x v="6"/>
    <s v="TP3884"/>
    <n v="99626232"/>
    <s v="CERRILLOS"/>
    <x v="2333"/>
    <x v="1"/>
    <x v="1"/>
    <x v="9"/>
    <x v="1"/>
    <n v="2"/>
    <n v="86238"/>
    <n v="0"/>
    <n v="86238"/>
    <n v="11.000025510854867"/>
    <n v="5000"/>
    <n v="100"/>
    <x v="2868"/>
    <x v="11"/>
    <x v="1"/>
    <x v="1"/>
  </r>
  <r>
    <x v="224"/>
    <s v="ZTAN"/>
    <x v="16"/>
    <s v="CJFZ69"/>
    <n v="137879050"/>
    <s v="CONCEPCION"/>
    <x v="2317"/>
    <x v="5"/>
    <x v="0"/>
    <x v="81"/>
    <x v="0"/>
    <n v="0"/>
    <n v="380000"/>
    <n v="0"/>
    <n v="380000"/>
    <n v="19.478788624387462"/>
    <n v="25000"/>
    <n v="78"/>
    <x v="2869"/>
    <x v="11"/>
    <x v="1"/>
    <x v="0"/>
  </r>
  <r>
    <x v="224"/>
    <s v="ZTAN"/>
    <x v="16"/>
    <s v="XR6339"/>
    <n v="78907355"/>
    <s v="SAN BERNARDO"/>
    <x v="2334"/>
    <x v="1"/>
    <x v="1"/>
    <x v="4"/>
    <x v="1"/>
    <n v="4"/>
    <n v="82225"/>
    <n v="0"/>
    <n v="82225"/>
    <n v="11"/>
    <n v="5000"/>
    <n v="100"/>
    <x v="2870"/>
    <x v="11"/>
    <x v="1"/>
    <x v="1"/>
  </r>
  <r>
    <x v="224"/>
    <s v="ZTAN"/>
    <x v="7"/>
    <s v="DJLF85"/>
    <n v="53173292"/>
    <s v="RENCA"/>
    <x v="414"/>
    <x v="4"/>
    <x v="1"/>
    <x v="7"/>
    <x v="1"/>
    <n v="1"/>
    <n v="107307"/>
    <n v="0"/>
    <n v="107307"/>
    <n v="10.999979498113829"/>
    <n v="5000"/>
    <n v="100"/>
    <x v="2871"/>
    <x v="11"/>
    <x v="1"/>
    <x v="1"/>
  </r>
  <r>
    <x v="224"/>
    <s v="ZTAN"/>
    <x v="7"/>
    <s v="SU9354"/>
    <n v="72564391"/>
    <s v="RENCA"/>
    <x v="414"/>
    <x v="2"/>
    <x v="1"/>
    <x v="7"/>
    <x v="1"/>
    <n v="1"/>
    <n v="107307"/>
    <n v="0"/>
    <n v="107307"/>
    <n v="10.999979498113829"/>
    <n v="5000"/>
    <n v="100"/>
    <x v="2872"/>
    <x v="11"/>
    <x v="1"/>
    <x v="1"/>
  </r>
  <r>
    <x v="224"/>
    <s v="ZTAN"/>
    <x v="7"/>
    <s v="WC2233"/>
    <n v="125108660"/>
    <s v="RENCA"/>
    <x v="414"/>
    <x v="4"/>
    <x v="1"/>
    <x v="7"/>
    <x v="1"/>
    <n v="1"/>
    <n v="107307"/>
    <n v="0"/>
    <n v="107307"/>
    <n v="10.999979498113829"/>
    <n v="5000"/>
    <n v="100"/>
    <x v="2873"/>
    <x v="11"/>
    <x v="1"/>
    <x v="1"/>
  </r>
  <r>
    <x v="224"/>
    <s v="ZTAN"/>
    <x v="8"/>
    <s v="VE9862"/>
    <n v="98494073"/>
    <s v="VILLARRICA"/>
    <x v="2335"/>
    <x v="5"/>
    <x v="0"/>
    <x v="88"/>
    <x v="4"/>
    <n v="0"/>
    <n v="620000"/>
    <n v="0"/>
    <n v="620000"/>
    <n v="44.279388658763061"/>
    <n v="25000"/>
    <n v="56"/>
    <x v="2874"/>
    <x v="11"/>
    <x v="1"/>
    <x v="0"/>
  </r>
  <r>
    <x v="224"/>
    <s v="ZTAN"/>
    <x v="8"/>
    <s v="XR6339"/>
    <n v="78907355"/>
    <s v="ÑUÑOA"/>
    <x v="2336"/>
    <x v="1"/>
    <x v="1"/>
    <x v="15"/>
    <x v="1"/>
    <n v="4"/>
    <n v="55000"/>
    <n v="0"/>
    <n v="55000"/>
    <n v="13.072206113038929"/>
    <n v="5000"/>
    <n v="84"/>
    <x v="2875"/>
    <x v="11"/>
    <x v="1"/>
    <x v="1"/>
  </r>
  <r>
    <x v="225"/>
    <s v="ZTAN"/>
    <x v="49"/>
    <s v="RK5135"/>
    <n v="138841065"/>
    <s v="CONCHALI"/>
    <x v="2330"/>
    <x v="3"/>
    <x v="1"/>
    <x v="89"/>
    <x v="1"/>
    <n v="1"/>
    <n v="55000"/>
    <n v="0"/>
    <n v="55000"/>
    <n v="16.702095353780749"/>
    <n v="5000"/>
    <n v="66"/>
    <x v="2876"/>
    <x v="11"/>
    <x v="1"/>
    <x v="1"/>
  </r>
  <r>
    <x v="225"/>
    <s v="ZTAN"/>
    <x v="34"/>
    <s v="DJLF85"/>
    <n v="125108660"/>
    <s v="QUINTA NORMAL"/>
    <x v="2337"/>
    <x v="4"/>
    <x v="1"/>
    <x v="62"/>
    <x v="1"/>
    <n v="1"/>
    <n v="55000"/>
    <n v="0"/>
    <n v="55000"/>
    <n v="17.170329670329672"/>
    <n v="5000"/>
    <n v="64"/>
    <x v="2877"/>
    <x v="11"/>
    <x v="1"/>
    <x v="1"/>
  </r>
  <r>
    <x v="225"/>
    <s v="ZTAN"/>
    <x v="79"/>
    <s v="HLBX77"/>
    <n v="78907355"/>
    <s v="MELIPILLA"/>
    <x v="2338"/>
    <x v="1"/>
    <x v="1"/>
    <x v="29"/>
    <x v="1"/>
    <n v="5"/>
    <n v="90000"/>
    <n v="0"/>
    <n v="90000"/>
    <n v="17.017092724247473"/>
    <n v="10000"/>
    <n v="53"/>
    <x v="2878"/>
    <x v="11"/>
    <x v="1"/>
    <x v="1"/>
  </r>
  <r>
    <x v="225"/>
    <s v="ZTAN"/>
    <x v="65"/>
    <s v="PN4466"/>
    <n v="81417709"/>
    <s v="CODEGUA"/>
    <x v="1931"/>
    <x v="1"/>
    <x v="0"/>
    <x v="79"/>
    <x v="6"/>
    <n v="0"/>
    <n v="230000"/>
    <n v="0"/>
    <n v="230000"/>
    <n v="13.526229122559389"/>
    <n v="25000"/>
    <n v="68"/>
    <x v="2879"/>
    <x v="11"/>
    <x v="1"/>
    <x v="0"/>
  </r>
  <r>
    <x v="225"/>
    <s v="ZTAN"/>
    <x v="10"/>
    <s v="DJLF85"/>
    <n v="53173292"/>
    <s v="QUILICURA"/>
    <x v="414"/>
    <x v="4"/>
    <x v="1"/>
    <x v="8"/>
    <x v="1"/>
    <n v="1"/>
    <n v="107307"/>
    <n v="0"/>
    <n v="107307"/>
    <n v="10.999979498113829"/>
    <n v="5000"/>
    <n v="100"/>
    <x v="2880"/>
    <x v="11"/>
    <x v="1"/>
    <x v="1"/>
  </r>
  <r>
    <x v="225"/>
    <s v="ZTAN"/>
    <x v="10"/>
    <s v="RK5135"/>
    <n v="138841065"/>
    <s v="QUILICURA"/>
    <x v="414"/>
    <x v="3"/>
    <x v="1"/>
    <x v="8"/>
    <x v="1"/>
    <n v="1"/>
    <n v="107307"/>
    <n v="0"/>
    <n v="107307"/>
    <n v="10.999979498113829"/>
    <n v="5000"/>
    <n v="100"/>
    <x v="2881"/>
    <x v="11"/>
    <x v="1"/>
    <x v="1"/>
  </r>
  <r>
    <x v="225"/>
    <s v="ZTAN"/>
    <x v="10"/>
    <s v="XR6339"/>
    <n v="78907355"/>
    <s v="QUILICURA"/>
    <x v="414"/>
    <x v="1"/>
    <x v="1"/>
    <x v="8"/>
    <x v="1"/>
    <n v="1"/>
    <n v="107307"/>
    <n v="0"/>
    <n v="107307"/>
    <n v="10.999979498113829"/>
    <n v="5000"/>
    <n v="100"/>
    <x v="2882"/>
    <x v="11"/>
    <x v="1"/>
    <x v="1"/>
  </r>
  <r>
    <x v="225"/>
    <s v="ZTAN"/>
    <x v="6"/>
    <s v="BYZH29"/>
    <n v="122975819"/>
    <s v="TALCA"/>
    <x v="2339"/>
    <x v="0"/>
    <x v="0"/>
    <x v="12"/>
    <x v="3"/>
    <n v="0"/>
    <n v="320000"/>
    <n v="0"/>
    <n v="320000"/>
    <n v="23.245340035739709"/>
    <n v="25000"/>
    <n v="85"/>
    <x v="2883"/>
    <x v="11"/>
    <x v="1"/>
    <x v="0"/>
  </r>
  <r>
    <x v="225"/>
    <s v="ZTAN"/>
    <x v="70"/>
    <s v="WG4022"/>
    <n v="141057073"/>
    <s v="SANTIAGO"/>
    <x v="104"/>
    <x v="1"/>
    <x v="0"/>
    <x v="20"/>
    <x v="1"/>
    <n v="1"/>
    <n v="214614"/>
    <n v="0"/>
    <n v="214614"/>
    <n v="10.999979498113825"/>
    <n v="5000"/>
    <n v="100"/>
    <x v="2884"/>
    <x v="11"/>
    <x v="1"/>
    <x v="1"/>
  </r>
  <r>
    <x v="225"/>
    <s v="ZTAN"/>
    <x v="7"/>
    <s v="BPKD94"/>
    <n v="125897258"/>
    <s v="CHILLAN"/>
    <x v="2340"/>
    <x v="0"/>
    <x v="0"/>
    <x v="21"/>
    <x v="5"/>
    <n v="0"/>
    <n v="350000"/>
    <n v="0"/>
    <n v="350000"/>
    <n v="29.792305073203973"/>
    <n v="25000"/>
    <n v="65"/>
    <x v="2885"/>
    <x v="11"/>
    <x v="1"/>
    <x v="0"/>
  </r>
  <r>
    <x v="225"/>
    <s v="ZTAN"/>
    <x v="7"/>
    <s v="SU9354"/>
    <n v="72564391"/>
    <s v="RENCA"/>
    <x v="414"/>
    <x v="2"/>
    <x v="1"/>
    <x v="7"/>
    <x v="1"/>
    <n v="1"/>
    <n v="107307"/>
    <n v="0"/>
    <n v="107307"/>
    <n v="10.999979498113829"/>
    <n v="5000"/>
    <n v="100"/>
    <x v="2886"/>
    <x v="11"/>
    <x v="1"/>
    <x v="1"/>
  </r>
  <r>
    <x v="225"/>
    <s v="ZTAN"/>
    <x v="7"/>
    <s v="WC2233"/>
    <n v="125108660"/>
    <s v="RENCA"/>
    <x v="414"/>
    <x v="4"/>
    <x v="1"/>
    <x v="7"/>
    <x v="1"/>
    <n v="1"/>
    <n v="107307"/>
    <n v="0"/>
    <n v="107307"/>
    <n v="10.999979498113829"/>
    <n v="5000"/>
    <n v="100"/>
    <x v="2887"/>
    <x v="11"/>
    <x v="1"/>
    <x v="1"/>
  </r>
  <r>
    <x v="225"/>
    <s v="ZTAN"/>
    <x v="8"/>
    <s v="TP3884"/>
    <n v="154837728"/>
    <s v="PUDAHUEL"/>
    <x v="2341"/>
    <x v="1"/>
    <x v="1"/>
    <x v="10"/>
    <x v="1"/>
    <n v="1"/>
    <n v="85554"/>
    <n v="0"/>
    <n v="85554"/>
    <n v="11.00005142974697"/>
    <n v="5000"/>
    <n v="100"/>
    <x v="2888"/>
    <x v="11"/>
    <x v="1"/>
    <x v="1"/>
  </r>
  <r>
    <x v="226"/>
    <s v="ZPEP"/>
    <x v="27"/>
    <s v="DFRV76"/>
    <n v="113693568"/>
    <s v="LOS ANGELES"/>
    <x v="2342"/>
    <x v="5"/>
    <x v="0"/>
    <x v="57"/>
    <x v="0"/>
    <n v="0"/>
    <n v="420000"/>
    <n v="0"/>
    <n v="420000"/>
    <n v="32.325944033015567"/>
    <n v="25000"/>
    <n v="85"/>
    <x v="2889"/>
    <x v="11"/>
    <x v="1"/>
    <x v="0"/>
  </r>
  <r>
    <x v="226"/>
    <s v="ZTAN"/>
    <x v="17"/>
    <s v="HLBX77"/>
    <n v="154837728"/>
    <s v="LAMPA"/>
    <x v="2343"/>
    <x v="1"/>
    <x v="1"/>
    <x v="17"/>
    <x v="1"/>
    <n v="5"/>
    <n v="70000"/>
    <n v="0"/>
    <n v="70000"/>
    <n v="10.648007301490722"/>
    <n v="10000"/>
    <n v="66"/>
    <x v="2890"/>
    <x v="11"/>
    <x v="1"/>
    <x v="1"/>
  </r>
  <r>
    <x v="226"/>
    <s v="ZTAN"/>
    <x v="77"/>
    <s v="HLBX77"/>
    <n v="154837728"/>
    <s v="RANCAGUA"/>
    <x v="1067"/>
    <x v="1"/>
    <x v="1"/>
    <x v="28"/>
    <x v="6"/>
    <n v="0"/>
    <n v="180000"/>
    <n v="0"/>
    <n v="180000"/>
    <n v="21.171489061397317"/>
    <n v="25000"/>
    <n v="65"/>
    <x v="2891"/>
    <x v="11"/>
    <x v="1"/>
    <x v="0"/>
  </r>
  <r>
    <x v="226"/>
    <s v="ZTAN"/>
    <x v="10"/>
    <s v="SU9354"/>
    <n v="72564391"/>
    <s v="QUILICURA"/>
    <x v="2344"/>
    <x v="2"/>
    <x v="1"/>
    <x v="8"/>
    <x v="1"/>
    <n v="1"/>
    <n v="67921"/>
    <n v="0"/>
    <n v="67921"/>
    <n v="11.000064781524307"/>
    <n v="5000"/>
    <n v="100"/>
    <x v="2892"/>
    <x v="11"/>
    <x v="1"/>
    <x v="1"/>
  </r>
  <r>
    <x v="226"/>
    <s v="ZTAN"/>
    <x v="10"/>
    <s v="WC2233"/>
    <n v="125108660"/>
    <s v="QUILICURA"/>
    <x v="2344"/>
    <x v="4"/>
    <x v="1"/>
    <x v="8"/>
    <x v="1"/>
    <n v="1"/>
    <n v="67921"/>
    <n v="0"/>
    <n v="67921"/>
    <n v="11.000064781524307"/>
    <n v="5000"/>
    <n v="100"/>
    <x v="2893"/>
    <x v="11"/>
    <x v="1"/>
    <x v="1"/>
  </r>
  <r>
    <x v="226"/>
    <s v="ZTAN"/>
    <x v="6"/>
    <s v="SV2718"/>
    <n v="99626232"/>
    <s v="LA FLORIDA"/>
    <x v="2345"/>
    <x v="1"/>
    <x v="1"/>
    <x v="33"/>
    <x v="1"/>
    <n v="3"/>
    <n v="68915"/>
    <n v="0"/>
    <n v="68915"/>
    <n v="10.112252384446075"/>
    <n v="5000"/>
    <n v="100"/>
    <x v="2894"/>
    <x v="11"/>
    <x v="1"/>
    <x v="1"/>
  </r>
  <r>
    <x v="226"/>
    <s v="ZTAN"/>
    <x v="7"/>
    <s v="HLBX77"/>
    <n v="154837728"/>
    <s v="RENCA"/>
    <x v="414"/>
    <x v="1"/>
    <x v="1"/>
    <x v="7"/>
    <x v="1"/>
    <n v="1"/>
    <n v="107307"/>
    <n v="0"/>
    <n v="107307"/>
    <n v="10.999979498113829"/>
    <n v="5000"/>
    <n v="100"/>
    <x v="2895"/>
    <x v="11"/>
    <x v="1"/>
    <x v="1"/>
  </r>
  <r>
    <x v="226"/>
    <s v="ZTAN"/>
    <x v="7"/>
    <s v="RK5135"/>
    <n v="138841065"/>
    <s v="RENCA"/>
    <x v="2346"/>
    <x v="3"/>
    <x v="1"/>
    <x v="7"/>
    <x v="1"/>
    <n v="1"/>
    <n v="55000"/>
    <n v="0"/>
    <n v="55000"/>
    <n v="11.090498467494754"/>
    <n v="5000"/>
    <n v="99"/>
    <x v="2896"/>
    <x v="11"/>
    <x v="1"/>
    <x v="1"/>
  </r>
  <r>
    <x v="226"/>
    <s v="ZTAN"/>
    <x v="7"/>
    <s v="XR6339"/>
    <n v="78907355"/>
    <s v="RENCA"/>
    <x v="2347"/>
    <x v="1"/>
    <x v="1"/>
    <x v="7"/>
    <x v="1"/>
    <n v="1"/>
    <n v="99140"/>
    <n v="0"/>
    <n v="99140"/>
    <n v="11.000033286362576"/>
    <n v="5000"/>
    <n v="100"/>
    <x v="2897"/>
    <x v="11"/>
    <x v="1"/>
    <x v="1"/>
  </r>
  <r>
    <x v="226"/>
    <s v="ZTAN"/>
    <x v="8"/>
    <s v="RH1133"/>
    <n v="65941082"/>
    <s v="VIÑA DEL MAR"/>
    <x v="2348"/>
    <x v="0"/>
    <x v="0"/>
    <x v="6"/>
    <x v="2"/>
    <n v="0"/>
    <n v="230000"/>
    <n v="0"/>
    <n v="230000"/>
    <n v="12.445348686204062"/>
    <n v="25000"/>
    <n v="74"/>
    <x v="2898"/>
    <x v="11"/>
    <x v="1"/>
    <x v="0"/>
  </r>
  <r>
    <x v="226"/>
    <s v="ZTAN"/>
    <x v="8"/>
    <s v="SU9354"/>
    <n v="72564391"/>
    <s v="REÑACA"/>
    <x v="2349"/>
    <x v="2"/>
    <x v="1"/>
    <x v="6"/>
    <x v="2"/>
    <n v="0"/>
    <n v="180000"/>
    <n v="0"/>
    <n v="180000"/>
    <n v="41.248453183005637"/>
    <n v="25000"/>
    <n v="65"/>
    <x v="2899"/>
    <x v="11"/>
    <x v="1"/>
    <x v="0"/>
  </r>
  <r>
    <x v="226"/>
    <s v="ZTAN"/>
    <x v="8"/>
    <s v="TP3884"/>
    <n v="103018366"/>
    <s v="PUDAHUEL"/>
    <x v="2350"/>
    <x v="1"/>
    <x v="1"/>
    <x v="10"/>
    <x v="1"/>
    <n v="1"/>
    <n v="110997"/>
    <n v="0"/>
    <n v="110997"/>
    <n v="11.000039640853863"/>
    <n v="5000"/>
    <n v="100"/>
    <x v="2900"/>
    <x v="11"/>
    <x v="1"/>
    <x v="1"/>
  </r>
  <r>
    <x v="227"/>
    <s v="ZPEP"/>
    <x v="33"/>
    <s v="PN4466"/>
    <n v="81417709"/>
    <s v="COLINA"/>
    <x v="2351"/>
    <x v="1"/>
    <x v="0"/>
    <x v="5"/>
    <x v="1"/>
    <n v="5"/>
    <n v="120000"/>
    <n v="0"/>
    <n v="120000"/>
    <n v="11.600658917426511"/>
    <n v="10000"/>
    <n v="100"/>
    <x v="2901"/>
    <x v="11"/>
    <x v="1"/>
    <x v="1"/>
  </r>
  <r>
    <x v="227"/>
    <s v="ZTAN"/>
    <x v="63"/>
    <s v="PN4466"/>
    <n v="81417709"/>
    <s v="MAIPU"/>
    <x v="2352"/>
    <x v="1"/>
    <x v="0"/>
    <x v="2"/>
    <x v="1"/>
    <n v="2"/>
    <n v="153604"/>
    <n v="0"/>
    <n v="153604"/>
    <n v="11"/>
    <n v="5000"/>
    <n v="100"/>
    <x v="2902"/>
    <x v="11"/>
    <x v="1"/>
    <x v="1"/>
  </r>
  <r>
    <x v="227"/>
    <s v="ZTAN"/>
    <x v="4"/>
    <s v="KLVY88"/>
    <n v="139094328"/>
    <s v="LOS ANGELES"/>
    <x v="2353"/>
    <x v="0"/>
    <x v="0"/>
    <x v="57"/>
    <x v="0"/>
    <n v="0"/>
    <n v="420000"/>
    <n v="0"/>
    <n v="420000"/>
    <n v="30.182170960439798"/>
    <n v="25000"/>
    <n v="100"/>
    <x v="2903"/>
    <x v="11"/>
    <x v="1"/>
    <x v="0"/>
  </r>
  <r>
    <x v="227"/>
    <s v="ZTAN"/>
    <x v="6"/>
    <s v="BYZH29"/>
    <n v="122975819"/>
    <s v="OSORNO"/>
    <x v="2354"/>
    <x v="0"/>
    <x v="0"/>
    <x v="64"/>
    <x v="10"/>
    <n v="0"/>
    <n v="900000"/>
    <n v="0"/>
    <n v="900000"/>
    <n v="71.471681331596841"/>
    <n v="25000"/>
    <n v="65"/>
    <x v="2904"/>
    <x v="11"/>
    <x v="1"/>
    <x v="0"/>
  </r>
  <r>
    <x v="227"/>
    <s v="ZTAN"/>
    <x v="6"/>
    <s v="RK5135"/>
    <n v="138841065"/>
    <s v="QUILICURA"/>
    <x v="2355"/>
    <x v="3"/>
    <x v="1"/>
    <x v="8"/>
    <x v="1"/>
    <n v="1"/>
    <n v="94492"/>
    <n v="0"/>
    <n v="94492"/>
    <n v="10.999976717655004"/>
    <n v="5000"/>
    <n v="100"/>
    <x v="2905"/>
    <x v="11"/>
    <x v="1"/>
    <x v="1"/>
  </r>
  <r>
    <x v="227"/>
    <s v="ZTAN"/>
    <x v="41"/>
    <s v="RH1133"/>
    <n v="65941022"/>
    <s v="PEDRO AGUIRRE CERDA"/>
    <x v="2356"/>
    <x v="0"/>
    <x v="0"/>
    <x v="83"/>
    <x v="1"/>
    <n v="3"/>
    <n v="167490"/>
    <n v="0"/>
    <n v="167490"/>
    <n v="10.999973729837658"/>
    <n v="5000"/>
    <n v="100"/>
    <x v="2906"/>
    <x v="11"/>
    <x v="1"/>
    <x v="1"/>
  </r>
  <r>
    <x v="227"/>
    <s v="ZTAN"/>
    <x v="8"/>
    <s v="DJLF85"/>
    <n v="53173292"/>
    <s v="PUENTE ALTO"/>
    <x v="2357"/>
    <x v="4"/>
    <x v="1"/>
    <x v="30"/>
    <x v="1"/>
    <n v="4"/>
    <n v="55000"/>
    <n v="0"/>
    <n v="55000"/>
    <n v="17.183204198950261"/>
    <n v="5000"/>
    <n v="64"/>
    <x v="2907"/>
    <x v="11"/>
    <x v="1"/>
    <x v="1"/>
  </r>
  <r>
    <x v="227"/>
    <s v="ZTAN"/>
    <x v="8"/>
    <s v="HLBX77"/>
    <n v="154837728"/>
    <s v="PUDAHUEL"/>
    <x v="2358"/>
    <x v="1"/>
    <x v="1"/>
    <x v="10"/>
    <x v="1"/>
    <n v="1"/>
    <n v="99715"/>
    <n v="0"/>
    <n v="99715"/>
    <n v="11"/>
    <n v="5000"/>
    <n v="100"/>
    <x v="2908"/>
    <x v="11"/>
    <x v="1"/>
    <x v="1"/>
  </r>
  <r>
    <x v="227"/>
    <s v="ZTAN"/>
    <x v="8"/>
    <s v="RK5135"/>
    <n v="138841065"/>
    <s v="LA REINA"/>
    <x v="2359"/>
    <x v="3"/>
    <x v="1"/>
    <x v="11"/>
    <x v="1"/>
    <n v="3"/>
    <n v="55000"/>
    <n v="0"/>
    <n v="55000"/>
    <n v="11.888293273387516"/>
    <n v="5000"/>
    <n v="93"/>
    <x v="2909"/>
    <x v="11"/>
    <x v="1"/>
    <x v="1"/>
  </r>
  <r>
    <x v="227"/>
    <s v="ZTAN"/>
    <x v="8"/>
    <s v="SU9354"/>
    <n v="72564391"/>
    <s v="VIÑA DEL MAR"/>
    <x v="2360"/>
    <x v="2"/>
    <x v="1"/>
    <x v="6"/>
    <x v="2"/>
    <n v="0"/>
    <n v="180000"/>
    <n v="0"/>
    <n v="180000"/>
    <n v="27.319086935405547"/>
    <n v="25000"/>
    <n v="85"/>
    <x v="2910"/>
    <x v="11"/>
    <x v="1"/>
    <x v="0"/>
  </r>
  <r>
    <x v="227"/>
    <s v="ZTAN"/>
    <x v="8"/>
    <s v="WC2233"/>
    <n v="125108660"/>
    <s v="ÑUÑOA"/>
    <x v="1780"/>
    <x v="4"/>
    <x v="1"/>
    <x v="15"/>
    <x v="1"/>
    <n v="4"/>
    <n v="55000"/>
    <n v="0"/>
    <n v="55000"/>
    <n v="11.134504818203904"/>
    <n v="5000"/>
    <n v="99"/>
    <x v="2911"/>
    <x v="11"/>
    <x v="1"/>
    <x v="1"/>
  </r>
  <r>
    <x v="227"/>
    <s v="ZTAN"/>
    <x v="8"/>
    <s v="XR6339"/>
    <n v="78907355"/>
    <s v="ÑUÑOA"/>
    <x v="2361"/>
    <x v="1"/>
    <x v="1"/>
    <x v="15"/>
    <x v="1"/>
    <n v="4"/>
    <n v="55000"/>
    <n v="0"/>
    <n v="55000"/>
    <n v="15.219436604128617"/>
    <n v="5000"/>
    <n v="72"/>
    <x v="2912"/>
    <x v="11"/>
    <x v="1"/>
    <x v="1"/>
  </r>
  <r>
    <x v="228"/>
    <s v="ZPEP"/>
    <x v="27"/>
    <s v="VE9862"/>
    <n v="98494073"/>
    <s v="LOS ANGELES"/>
    <x v="2362"/>
    <x v="5"/>
    <x v="0"/>
    <x v="57"/>
    <x v="0"/>
    <n v="0"/>
    <n v="420000"/>
    <n v="0"/>
    <n v="420000"/>
    <n v="50.821308648697702"/>
    <n v="25000"/>
    <n v="65"/>
    <x v="2913"/>
    <x v="11"/>
    <x v="1"/>
    <x v="0"/>
  </r>
  <r>
    <x v="228"/>
    <s v="ZPEP"/>
    <x v="2"/>
    <s v="SU9354"/>
    <n v="72564391"/>
    <s v="PROVIDENCIA"/>
    <x v="2363"/>
    <x v="2"/>
    <x v="1"/>
    <x v="54"/>
    <x v="1"/>
    <n v="2"/>
    <n v="175222"/>
    <n v="0"/>
    <n v="175222"/>
    <n v="11.000022599948272"/>
    <n v="5000"/>
    <n v="100"/>
    <x v="2914"/>
    <x v="11"/>
    <x v="1"/>
    <x v="1"/>
  </r>
  <r>
    <x v="228"/>
    <s v="ZTAN"/>
    <x v="6"/>
    <s v="CJXX49"/>
    <n v="167832741"/>
    <s v="TEMUCO"/>
    <x v="2364"/>
    <x v="5"/>
    <x v="0"/>
    <x v="14"/>
    <x v="4"/>
    <n v="0"/>
    <n v="620000"/>
    <n v="0"/>
    <n v="620000"/>
    <n v="52.86403710714346"/>
    <n v="25000"/>
    <n v="65"/>
    <x v="2915"/>
    <x v="11"/>
    <x v="1"/>
    <x v="0"/>
  </r>
  <r>
    <x v="228"/>
    <s v="ZTAN"/>
    <x v="6"/>
    <s v="KKPF51"/>
    <n v="95707734"/>
    <s v="QUILLOTA"/>
    <x v="2365"/>
    <x v="8"/>
    <x v="0"/>
    <x v="19"/>
    <x v="2"/>
    <n v="0"/>
    <n v="230000"/>
    <n v="0"/>
    <n v="230000"/>
    <n v="24.791428633022186"/>
    <n v="25000"/>
    <n v="60"/>
    <x v="2916"/>
    <x v="11"/>
    <x v="1"/>
    <x v="0"/>
  </r>
  <r>
    <x v="228"/>
    <s v="ZTAN"/>
    <x v="7"/>
    <s v="BPKD94"/>
    <n v="125897258"/>
    <s v="CHILLAN"/>
    <x v="2366"/>
    <x v="0"/>
    <x v="0"/>
    <x v="21"/>
    <x v="5"/>
    <n v="0"/>
    <n v="350000"/>
    <n v="0"/>
    <n v="350000"/>
    <n v="34.906798847078299"/>
    <n v="25000"/>
    <n v="65"/>
    <x v="2917"/>
    <x v="11"/>
    <x v="1"/>
    <x v="0"/>
  </r>
  <r>
    <x v="228"/>
    <s v="ZTAN"/>
    <x v="7"/>
    <s v="DJLF85"/>
    <n v="53173292"/>
    <s v="RENCA"/>
    <x v="1219"/>
    <x v="4"/>
    <x v="1"/>
    <x v="7"/>
    <x v="1"/>
    <n v="1"/>
    <n v="55000"/>
    <n v="0"/>
    <n v="55000"/>
    <n v="20.014556040756915"/>
    <n v="5000"/>
    <n v="55"/>
    <x v="2918"/>
    <x v="11"/>
    <x v="1"/>
    <x v="1"/>
  </r>
  <r>
    <x v="228"/>
    <s v="ZTAN"/>
    <x v="7"/>
    <s v="RK5135"/>
    <n v="138841065"/>
    <s v="RENCA"/>
    <x v="1219"/>
    <x v="3"/>
    <x v="1"/>
    <x v="7"/>
    <x v="1"/>
    <n v="1"/>
    <n v="55000"/>
    <n v="0"/>
    <n v="55000"/>
    <n v="20.014556040756915"/>
    <n v="5000"/>
    <n v="55"/>
    <x v="2919"/>
    <x v="11"/>
    <x v="1"/>
    <x v="1"/>
  </r>
  <r>
    <x v="228"/>
    <s v="ZTAN"/>
    <x v="7"/>
    <s v="TW7053"/>
    <n v="172861164"/>
    <s v="RANCAGUA"/>
    <x v="2367"/>
    <x v="6"/>
    <x v="1"/>
    <x v="28"/>
    <x v="6"/>
    <n v="0"/>
    <n v="180000"/>
    <n v="0"/>
    <n v="180000"/>
    <n v="18.05380032496841"/>
    <n v="25000"/>
    <n v="70"/>
    <x v="2920"/>
    <x v="11"/>
    <x v="1"/>
    <x v="0"/>
  </r>
  <r>
    <x v="228"/>
    <s v="ZTAN"/>
    <x v="7"/>
    <s v="XR6339"/>
    <n v="78907355"/>
    <s v="RENCA"/>
    <x v="1219"/>
    <x v="1"/>
    <x v="1"/>
    <x v="7"/>
    <x v="1"/>
    <n v="1"/>
    <n v="55000"/>
    <n v="0"/>
    <n v="55000"/>
    <n v="20.014556040756915"/>
    <n v="5000"/>
    <n v="69"/>
    <x v="2921"/>
    <x v="11"/>
    <x v="1"/>
    <x v="1"/>
  </r>
  <r>
    <x v="228"/>
    <s v="ZTAN"/>
    <x v="68"/>
    <s v="WC2233"/>
    <n v="125108660"/>
    <s v="SAN BERNARDO"/>
    <x v="2368"/>
    <x v="4"/>
    <x v="1"/>
    <x v="4"/>
    <x v="1"/>
    <n v="4"/>
    <n v="92614"/>
    <n v="0"/>
    <n v="92614"/>
    <n v="11.000019003639196"/>
    <n v="5000"/>
    <n v="100"/>
    <x v="2922"/>
    <x v="11"/>
    <x v="1"/>
    <x v="1"/>
  </r>
  <r>
    <x v="228"/>
    <s v="ZTAN"/>
    <x v="8"/>
    <s v="HLBX77"/>
    <n v="154837728"/>
    <s v="PUDAHUEL"/>
    <x v="2369"/>
    <x v="1"/>
    <x v="1"/>
    <x v="10"/>
    <x v="1"/>
    <n v="1"/>
    <n v="70268"/>
    <n v="0"/>
    <n v="70268"/>
    <n v="10.999999999999998"/>
    <n v="5000"/>
    <n v="100"/>
    <x v="2923"/>
    <x v="11"/>
    <x v="1"/>
    <x v="1"/>
  </r>
  <r>
    <x v="228"/>
    <s v="ZTAN"/>
    <x v="8"/>
    <s v="PN4466"/>
    <n v="81417708"/>
    <s v="SAN FELIPE"/>
    <x v="2370"/>
    <x v="1"/>
    <x v="0"/>
    <x v="35"/>
    <x v="2"/>
    <n v="0"/>
    <n v="230000"/>
    <n v="0"/>
    <n v="230000"/>
    <n v="23.228569120142197"/>
    <n v="25000"/>
    <n v="88"/>
    <x v="2924"/>
    <x v="11"/>
    <x v="1"/>
    <x v="0"/>
  </r>
  <r>
    <x v="228"/>
    <s v="ZTAN"/>
    <x v="8"/>
    <s v="SV2718"/>
    <n v="99626232"/>
    <s v="MAIPU"/>
    <x v="2371"/>
    <x v="1"/>
    <x v="1"/>
    <x v="2"/>
    <x v="1"/>
    <n v="2"/>
    <n v="55000"/>
    <n v="0"/>
    <n v="55000"/>
    <n v="13.575554129436737"/>
    <n v="5000"/>
    <n v="81"/>
    <x v="2925"/>
    <x v="11"/>
    <x v="1"/>
    <x v="1"/>
  </r>
  <r>
    <x v="229"/>
    <s v="ZTAN"/>
    <x v="4"/>
    <s v="XR6339"/>
    <s v="78907355"/>
    <s v="SAN BERNARDO"/>
    <x v="448"/>
    <x v="1"/>
    <x v="1"/>
    <x v="4"/>
    <x v="1"/>
    <n v="4"/>
    <n v="66035"/>
    <n v="0"/>
    <n v="66035"/>
    <n v="10.99996668443497"/>
    <n v="5000"/>
    <n v="100"/>
    <x v="2926"/>
    <x v="11"/>
    <x v="1"/>
    <x v="1"/>
  </r>
  <r>
    <x v="229"/>
    <s v="ZTAN"/>
    <x v="10"/>
    <s v="HLBX77"/>
    <s v="154837728"/>
    <s v="QUILICURA"/>
    <x v="2372"/>
    <x v="1"/>
    <x v="1"/>
    <x v="8"/>
    <x v="1"/>
    <n v="1"/>
    <n v="85545"/>
    <n v="0"/>
    <n v="85545"/>
    <n v="11.000025717518778"/>
    <n v="5000"/>
    <n v="100"/>
    <x v="2927"/>
    <x v="11"/>
    <x v="1"/>
    <x v="1"/>
  </r>
  <r>
    <x v="229"/>
    <s v="ZTAN"/>
    <x v="10"/>
    <s v="SU9354"/>
    <s v="72564391"/>
    <s v="QUILICURA"/>
    <x v="2373"/>
    <x v="2"/>
    <x v="1"/>
    <x v="8"/>
    <x v="1"/>
    <n v="1"/>
    <n v="85545"/>
    <n v="0"/>
    <n v="85545"/>
    <n v="11.000025717518767"/>
    <n v="5000"/>
    <n v="100"/>
    <x v="2928"/>
    <x v="11"/>
    <x v="1"/>
    <x v="1"/>
  </r>
  <r>
    <x v="229"/>
    <s v="ZTAN"/>
    <x v="10"/>
    <s v="WC2233"/>
    <s v="125108660"/>
    <s v="QUILICURA"/>
    <x v="2374"/>
    <x v="4"/>
    <x v="1"/>
    <x v="8"/>
    <x v="1"/>
    <n v="1"/>
    <n v="67995"/>
    <n v="0"/>
    <n v="67995"/>
    <n v="10.999935289740185"/>
    <n v="5000"/>
    <n v="100"/>
    <x v="2929"/>
    <x v="11"/>
    <x v="1"/>
    <x v="1"/>
  </r>
  <r>
    <x v="229"/>
    <s v="ZTAN"/>
    <x v="6"/>
    <s v="DJLF85"/>
    <s v="125108660"/>
    <s v="LA PINTANA"/>
    <x v="1067"/>
    <x v="4"/>
    <x v="1"/>
    <x v="31"/>
    <x v="1"/>
    <n v="4"/>
    <n v="93522"/>
    <n v="0"/>
    <n v="93522"/>
    <n v="11"/>
    <n v="5000"/>
    <n v="100"/>
    <x v="2930"/>
    <x v="11"/>
    <x v="1"/>
    <x v="1"/>
  </r>
  <r>
    <x v="229"/>
    <s v="ZTAN"/>
    <x v="16"/>
    <s v="TW7053"/>
    <s v="172861164"/>
    <s v="VALDIVIA"/>
    <x v="2260"/>
    <x v="6"/>
    <x v="1"/>
    <x v="77"/>
    <x v="11"/>
    <n v="0"/>
    <n v="750000"/>
    <n v="0"/>
    <n v="750000"/>
    <n v="53.563776603342383"/>
    <n v="25000"/>
    <n v="68"/>
    <x v="2931"/>
    <x v="11"/>
    <x v="1"/>
    <x v="0"/>
  </r>
  <r>
    <x v="229"/>
    <s v="ZTAN"/>
    <x v="7"/>
    <s v="BWPL69"/>
    <s v="78551976"/>
    <s v="CHILLAN"/>
    <x v="2375"/>
    <x v="5"/>
    <x v="0"/>
    <x v="21"/>
    <x v="5"/>
    <n v="0"/>
    <n v="350000"/>
    <n v="0"/>
    <n v="350000"/>
    <n v="26.560223409422072"/>
    <n v="25000"/>
    <n v="65"/>
    <x v="2932"/>
    <x v="11"/>
    <x v="1"/>
    <x v="0"/>
  </r>
  <r>
    <x v="229"/>
    <s v="ZTAN"/>
    <x v="7"/>
    <s v="DJLF85"/>
    <s v="125108660"/>
    <s v="RENCA"/>
    <x v="1219"/>
    <x v="4"/>
    <x v="1"/>
    <x v="7"/>
    <x v="1"/>
    <n v="1"/>
    <n v="55000"/>
    <n v="0"/>
    <n v="55000"/>
    <n v="20.014556040756915"/>
    <n v="5000"/>
    <n v="70"/>
    <x v="2933"/>
    <x v="11"/>
    <x v="1"/>
    <x v="1"/>
  </r>
  <r>
    <x v="229"/>
    <s v="ZTAN"/>
    <x v="7"/>
    <s v="SU9354"/>
    <s v="72564391"/>
    <s v="MELIPILLA"/>
    <x v="234"/>
    <x v="2"/>
    <x v="1"/>
    <x v="29"/>
    <x v="1"/>
    <n v="5"/>
    <n v="90000"/>
    <n v="0"/>
    <n v="90000"/>
    <n v="9.9946695095948854"/>
    <n v="10000"/>
    <n v="90"/>
    <x v="2934"/>
    <x v="11"/>
    <x v="1"/>
    <x v="1"/>
  </r>
  <r>
    <x v="229"/>
    <s v="ZTAN"/>
    <x v="8"/>
    <s v="BYZH29"/>
    <s v="122975819"/>
    <s v="TALCA"/>
    <x v="2376"/>
    <x v="0"/>
    <x v="0"/>
    <x v="12"/>
    <x v="3"/>
    <n v="0"/>
    <n v="320000"/>
    <n v="0"/>
    <n v="320000"/>
    <n v="22.751510842516886"/>
    <n v="25000"/>
    <n v="85"/>
    <x v="2935"/>
    <x v="11"/>
    <x v="1"/>
    <x v="0"/>
  </r>
  <r>
    <x v="229"/>
    <s v="ZTAN"/>
    <x v="8"/>
    <s v="PN4466"/>
    <s v="81417709"/>
    <s v="SAN FELIPE"/>
    <x v="2377"/>
    <x v="1"/>
    <x v="0"/>
    <x v="35"/>
    <x v="2"/>
    <n v="0"/>
    <n v="230000"/>
    <n v="0"/>
    <n v="230000"/>
    <n v="71.848056978632982"/>
    <n v="25000"/>
    <n v="65"/>
    <x v="2936"/>
    <x v="11"/>
    <x v="1"/>
    <x v="0"/>
  </r>
  <r>
    <x v="229"/>
    <s v="ZTAN"/>
    <x v="8"/>
    <s v="TP3884"/>
    <s v="99626232"/>
    <s v="PUDAHUEL"/>
    <x v="2378"/>
    <x v="1"/>
    <x v="1"/>
    <x v="10"/>
    <x v="1"/>
    <n v="1"/>
    <n v="109503"/>
    <n v="0"/>
    <n v="109503"/>
    <n v="11.000020090810464"/>
    <n v="5000"/>
    <n v="100"/>
    <x v="2937"/>
    <x v="11"/>
    <x v="1"/>
    <x v="1"/>
  </r>
  <r>
    <x v="229"/>
    <s v="ZTAN"/>
    <x v="8"/>
    <s v="YA1297"/>
    <s v="144488262K"/>
    <s v="LOS ANGELES"/>
    <x v="2379"/>
    <x v="0"/>
    <x v="0"/>
    <x v="57"/>
    <x v="0"/>
    <n v="0"/>
    <n v="420000"/>
    <n v="0"/>
    <n v="420000"/>
    <n v="34.247133841060688"/>
    <n v="25000"/>
    <n v="80"/>
    <x v="2938"/>
    <x v="11"/>
    <x v="1"/>
    <x v="0"/>
  </r>
  <r>
    <x v="230"/>
    <s v="ZPEP"/>
    <x v="27"/>
    <s v="FGCZ60"/>
    <s v="99950315"/>
    <s v="SAN CARLOS"/>
    <x v="2380"/>
    <x v="0"/>
    <x v="0"/>
    <x v="32"/>
    <x v="5"/>
    <n v="0"/>
    <n v="350000"/>
    <n v="0"/>
    <n v="350000"/>
    <n v="22.026043593945481"/>
    <n v="25000"/>
    <n v="85"/>
    <x v="2939"/>
    <x v="11"/>
    <x v="1"/>
    <x v="0"/>
  </r>
  <r>
    <x v="230"/>
    <s v="ZPEP"/>
    <x v="27"/>
    <s v="HCLS49"/>
    <s v="95118305"/>
    <s v="CHILLAN"/>
    <x v="2381"/>
    <x v="0"/>
    <x v="0"/>
    <x v="21"/>
    <x v="5"/>
    <n v="0"/>
    <n v="350000"/>
    <n v="0"/>
    <n v="350000"/>
    <n v="14.054080100225669"/>
    <n v="25000"/>
    <n v="100"/>
    <x v="2940"/>
    <x v="11"/>
    <x v="1"/>
    <x v="0"/>
  </r>
  <r>
    <x v="230"/>
    <s v="ZPEP"/>
    <x v="27"/>
    <s v="RX2274"/>
    <s v="100822321"/>
    <s v="CHILLAN"/>
    <x v="2382"/>
    <x v="0"/>
    <x v="0"/>
    <x v="21"/>
    <x v="5"/>
    <n v="0"/>
    <n v="350000"/>
    <n v="0"/>
    <n v="350000"/>
    <n v="20.471571421218385"/>
    <n v="25000"/>
    <n v="75"/>
    <x v="2941"/>
    <x v="11"/>
    <x v="1"/>
    <x v="0"/>
  </r>
  <r>
    <x v="230"/>
    <s v="ZPEP"/>
    <x v="27"/>
    <s v="YG5651"/>
    <s v="10519045K"/>
    <s v="SAN CARLOS"/>
    <x v="2383"/>
    <x v="0"/>
    <x v="0"/>
    <x v="32"/>
    <x v="5"/>
    <n v="0"/>
    <n v="350000"/>
    <n v="0"/>
    <n v="350000"/>
    <n v="21.370991870474693"/>
    <n v="25000"/>
    <n v="75"/>
    <x v="2942"/>
    <x v="11"/>
    <x v="1"/>
    <x v="0"/>
  </r>
  <r>
    <x v="230"/>
    <s v="ZPEP"/>
    <x v="12"/>
    <s v="WC2233"/>
    <s v="125108660"/>
    <s v="VITACURA"/>
    <x v="2384"/>
    <x v="4"/>
    <x v="1"/>
    <x v="27"/>
    <x v="1"/>
    <n v="4"/>
    <n v="72315"/>
    <n v="0"/>
    <n v="72315"/>
    <n v="11.000018253504672"/>
    <n v="5000"/>
    <n v="100"/>
    <x v="2943"/>
    <x v="11"/>
    <x v="1"/>
    <x v="1"/>
  </r>
  <r>
    <x v="230"/>
    <s v="ZTAN"/>
    <x v="67"/>
    <s v="PN4466"/>
    <s v="81417709"/>
    <s v="CALERA DE TANGO"/>
    <x v="479"/>
    <x v="1"/>
    <x v="0"/>
    <x v="71"/>
    <x v="1"/>
    <n v="5"/>
    <n v="120000"/>
    <n v="0"/>
    <n v="120000"/>
    <n v="12.793176972281453"/>
    <n v="10000"/>
    <n v="94"/>
    <x v="2944"/>
    <x v="11"/>
    <x v="1"/>
    <x v="1"/>
  </r>
  <r>
    <x v="230"/>
    <s v="ZTAN"/>
    <x v="77"/>
    <s v="HLBX77"/>
    <s v="154837728"/>
    <s v="TALAGANTE"/>
    <x v="1067"/>
    <x v="1"/>
    <x v="1"/>
    <x v="50"/>
    <x v="1"/>
    <n v="4"/>
    <n v="93522"/>
    <n v="0"/>
    <n v="93522"/>
    <n v="11"/>
    <n v="5000"/>
    <n v="100"/>
    <x v="2945"/>
    <x v="11"/>
    <x v="1"/>
    <x v="1"/>
  </r>
  <r>
    <x v="230"/>
    <s v="ZTAN"/>
    <x v="10"/>
    <s v="RH1133"/>
    <s v="65941082"/>
    <s v="SANTIAGO"/>
    <x v="2385"/>
    <x v="0"/>
    <x v="0"/>
    <x v="20"/>
    <x v="1"/>
    <n v="1"/>
    <n v="55000"/>
    <n v="0"/>
    <n v="55000"/>
    <n v="19.290123456790131"/>
    <n v="5000"/>
    <n v="76"/>
    <x v="2946"/>
    <x v="11"/>
    <x v="1"/>
    <x v="1"/>
  </r>
  <r>
    <x v="230"/>
    <s v="ZTAN"/>
    <x v="10"/>
    <s v="RH1133"/>
    <s v="81417709"/>
    <s v="SANTIAGO"/>
    <x v="2386"/>
    <x v="0"/>
    <x v="0"/>
    <x v="20"/>
    <x v="1"/>
    <n v="1"/>
    <n v="73181"/>
    <n v="0"/>
    <n v="73181"/>
    <n v="11.00003006253006"/>
    <n v="5000"/>
    <n v="100"/>
    <x v="2947"/>
    <x v="11"/>
    <x v="1"/>
    <x v="1"/>
  </r>
  <r>
    <x v="230"/>
    <s v="ZTAN"/>
    <x v="6"/>
    <s v="KKPF51"/>
    <s v="95707734"/>
    <s v="COPIAPO"/>
    <x v="2387"/>
    <x v="8"/>
    <x v="0"/>
    <x v="60"/>
    <x v="9"/>
    <n v="0"/>
    <n v="900000"/>
    <n v="0"/>
    <n v="900000"/>
    <n v="90.428631714325903"/>
    <n v="25000"/>
    <n v="35"/>
    <x v="2948"/>
    <x v="11"/>
    <x v="1"/>
    <x v="0"/>
  </r>
  <r>
    <x v="230"/>
    <s v="ZTAN"/>
    <x v="6"/>
    <s v="RH1133"/>
    <s v="65941082"/>
    <s v="VIÑA DEL MAR"/>
    <x v="2388"/>
    <x v="0"/>
    <x v="0"/>
    <x v="6"/>
    <x v="2"/>
    <n v="0"/>
    <n v="230000"/>
    <n v="0"/>
    <n v="230000"/>
    <n v="58.198380566801617"/>
    <n v="25000"/>
    <n v="85"/>
    <x v="2949"/>
    <x v="11"/>
    <x v="1"/>
    <x v="0"/>
  </r>
  <r>
    <x v="230"/>
    <s v="ZTAN"/>
    <x v="6"/>
    <s v="XR6339"/>
    <s v="78907355"/>
    <s v="LA PINTANA"/>
    <x v="665"/>
    <x v="1"/>
    <x v="1"/>
    <x v="31"/>
    <x v="1"/>
    <n v="4"/>
    <n v="55000"/>
    <n v="0"/>
    <n v="55000"/>
    <n v="12.93813220418725"/>
    <n v="5000"/>
    <n v="85"/>
    <x v="2950"/>
    <x v="11"/>
    <x v="1"/>
    <x v="1"/>
  </r>
  <r>
    <x v="230"/>
    <s v="ZTAN"/>
    <x v="7"/>
    <s v="DJLF85"/>
    <s v="53173292"/>
    <s v="RENCA"/>
    <x v="1219"/>
    <x v="4"/>
    <x v="1"/>
    <x v="7"/>
    <x v="1"/>
    <n v="1"/>
    <n v="55000"/>
    <n v="0"/>
    <n v="55000"/>
    <n v="20.014556040756915"/>
    <n v="5000"/>
    <n v="55"/>
    <x v="2951"/>
    <x v="11"/>
    <x v="1"/>
    <x v="1"/>
  </r>
  <r>
    <x v="230"/>
    <s v="ZTAN"/>
    <x v="7"/>
    <s v="WC2233"/>
    <s v="125108660"/>
    <s v="RENCA"/>
    <x v="1219"/>
    <x v="4"/>
    <x v="1"/>
    <x v="7"/>
    <x v="1"/>
    <n v="1"/>
    <n v="55000"/>
    <n v="0"/>
    <n v="55000"/>
    <n v="20.014556040756915"/>
    <n v="5000"/>
    <n v="55"/>
    <x v="2952"/>
    <x v="11"/>
    <x v="1"/>
    <x v="1"/>
  </r>
  <r>
    <x v="230"/>
    <s v="ZTAN"/>
    <x v="8"/>
    <s v="RK5135"/>
    <s v="138841065"/>
    <s v="EL BOSQUE"/>
    <x v="2389"/>
    <x v="3"/>
    <x v="1"/>
    <x v="25"/>
    <x v="1"/>
    <n v="3"/>
    <n v="55000"/>
    <n v="0"/>
    <n v="55000"/>
    <n v="13.128998376778384"/>
    <n v="5000"/>
    <n v="84"/>
    <x v="2953"/>
    <x v="11"/>
    <x v="1"/>
    <x v="1"/>
  </r>
  <r>
    <x v="230"/>
    <s v="ZTAN"/>
    <x v="8"/>
    <s v="SV2718"/>
    <s v="154837728"/>
    <s v="CERRILLOS"/>
    <x v="2390"/>
    <x v="1"/>
    <x v="1"/>
    <x v="9"/>
    <x v="1"/>
    <n v="2"/>
    <n v="55000"/>
    <n v="0"/>
    <n v="55000"/>
    <n v="16.170763260025875"/>
    <n v="5000"/>
    <n v="68"/>
    <x v="2954"/>
    <x v="11"/>
    <x v="1"/>
    <x v="1"/>
  </r>
  <r>
    <x v="230"/>
    <s v="ZTAN"/>
    <x v="8"/>
    <s v="TP3884"/>
    <s v="99626232"/>
    <s v="PUDAHUEL"/>
    <x v="2053"/>
    <x v="1"/>
    <x v="1"/>
    <x v="10"/>
    <x v="1"/>
    <n v="1"/>
    <n v="57354"/>
    <n v="0"/>
    <n v="57354"/>
    <n v="11"/>
    <n v="5000"/>
    <n v="100"/>
    <x v="2955"/>
    <x v="11"/>
    <x v="1"/>
    <x v="1"/>
  </r>
  <r>
    <x v="230"/>
    <s v="ZTAN"/>
    <x v="8"/>
    <s v="UA7248"/>
    <s v="103018366"/>
    <s v="REÑACA"/>
    <x v="2321"/>
    <x v="1"/>
    <x v="1"/>
    <x v="6"/>
    <x v="2"/>
    <n v="0"/>
    <n v="180000"/>
    <n v="0"/>
    <n v="180000"/>
    <n v="37.987506331251048"/>
    <n v="25000"/>
    <n v="75"/>
    <x v="2956"/>
    <x v="11"/>
    <x v="1"/>
    <x v="0"/>
  </r>
  <r>
    <x v="231"/>
    <s v="ZPEP"/>
    <x v="27"/>
    <s v="BPKD94"/>
    <s v="125897258"/>
    <s v="CHILLAN"/>
    <x v="2391"/>
    <x v="0"/>
    <x v="0"/>
    <x v="21"/>
    <x v="5"/>
    <n v="0"/>
    <n v="350000"/>
    <n v="0"/>
    <n v="350000"/>
    <n v="24.771325280057543"/>
    <n v="25000"/>
    <n v="57"/>
    <x v="2957"/>
    <x v="11"/>
    <x v="1"/>
    <x v="0"/>
  </r>
  <r>
    <x v="232"/>
    <s v="ZPEP"/>
    <x v="2"/>
    <s v="WC2233"/>
    <n v="125108660"/>
    <s v="MAIPU"/>
    <x v="2392"/>
    <x v="4"/>
    <x v="1"/>
    <x v="2"/>
    <x v="1"/>
    <n v="2"/>
    <n v="55000"/>
    <n v="0"/>
    <n v="55000"/>
    <n v="14.687150345682111"/>
    <n v="5000"/>
    <n v="75"/>
    <x v="2958"/>
    <x v="11"/>
    <x v="1"/>
    <x v="1"/>
  </r>
  <r>
    <x v="232"/>
    <s v="ZPEP"/>
    <x v="12"/>
    <s v="WC2233"/>
    <n v="125108660"/>
    <s v="VITACURA"/>
    <x v="2393"/>
    <x v="4"/>
    <x v="1"/>
    <x v="27"/>
    <x v="1"/>
    <n v="4"/>
    <n v="55000"/>
    <n v="0"/>
    <n v="55000"/>
    <n v="15.519888031062349"/>
    <n v="5000"/>
    <n v="71"/>
    <x v="2959"/>
    <x v="11"/>
    <x v="1"/>
    <x v="1"/>
  </r>
  <r>
    <x v="232"/>
    <s v="ZPEP"/>
    <x v="80"/>
    <s v="BYZH29"/>
    <n v="122975819"/>
    <s v="VALLENAR"/>
    <x v="2394"/>
    <x v="0"/>
    <x v="0"/>
    <x v="45"/>
    <x v="9"/>
    <n v="0"/>
    <n v="800000"/>
    <n v="0"/>
    <n v="800000"/>
    <n v="52.810300120935551"/>
    <n v="25000"/>
    <n v="80"/>
    <x v="2960"/>
    <x v="11"/>
    <x v="1"/>
    <x v="0"/>
  </r>
  <r>
    <x v="232"/>
    <s v="ZTAN"/>
    <x v="12"/>
    <s v="RK5135"/>
    <n v="138841065"/>
    <s v="VITACURA"/>
    <x v="2395"/>
    <x v="3"/>
    <x v="1"/>
    <x v="27"/>
    <x v="1"/>
    <n v="4"/>
    <n v="55000"/>
    <n v="0"/>
    <n v="55000"/>
    <n v="26.401689708141323"/>
    <n v="5000"/>
    <n v="80"/>
    <x v="2961"/>
    <x v="11"/>
    <x v="1"/>
    <x v="1"/>
  </r>
  <r>
    <x v="232"/>
    <s v="ZTAN"/>
    <x v="78"/>
    <s v="XR6339"/>
    <n v="78907355"/>
    <s v="SANTIAGO"/>
    <x v="2396"/>
    <x v="1"/>
    <x v="1"/>
    <x v="20"/>
    <x v="1"/>
    <n v="1"/>
    <n v="55000"/>
    <n v="0"/>
    <n v="55000"/>
    <n v="11.355190354281937"/>
    <n v="5000"/>
    <n v="60"/>
    <x v="2962"/>
    <x v="11"/>
    <x v="1"/>
    <x v="1"/>
  </r>
  <r>
    <x v="232"/>
    <s v="ZTAN"/>
    <x v="10"/>
    <s v="DRFV76"/>
    <n v="113693568"/>
    <s v="TALCAHUANO"/>
    <x v="1697"/>
    <x v="0"/>
    <x v="0"/>
    <x v="0"/>
    <x v="0"/>
    <n v="0"/>
    <n v="380000"/>
    <n v="0"/>
    <n v="380000"/>
    <n v="48.272357723577208"/>
    <n v="25000"/>
    <n v="80"/>
    <x v="2963"/>
    <x v="11"/>
    <x v="1"/>
    <x v="0"/>
  </r>
  <r>
    <x v="232"/>
    <s v="ZTAN"/>
    <x v="10"/>
    <s v="PN4466"/>
    <n v="81417709"/>
    <s v="QUILICURA"/>
    <x v="2397"/>
    <x v="1"/>
    <x v="0"/>
    <x v="8"/>
    <x v="1"/>
    <n v="1"/>
    <n v="163517"/>
    <n v="0"/>
    <n v="163517"/>
    <n v="10.999986545757876"/>
    <n v="5000"/>
    <n v="100"/>
    <x v="2964"/>
    <x v="11"/>
    <x v="1"/>
    <x v="1"/>
  </r>
  <r>
    <x v="232"/>
    <s v="ZTAN"/>
    <x v="7"/>
    <s v="DJLF85"/>
    <n v="125108660"/>
    <s v="RENCA"/>
    <x v="1219"/>
    <x v="4"/>
    <x v="1"/>
    <x v="7"/>
    <x v="1"/>
    <n v="1"/>
    <n v="55000"/>
    <n v="0"/>
    <n v="55000"/>
    <n v="20.014556040756915"/>
    <n v="5000"/>
    <n v="80"/>
    <x v="2965"/>
    <x v="11"/>
    <x v="1"/>
    <x v="1"/>
  </r>
  <r>
    <x v="232"/>
    <s v="ZTAN"/>
    <x v="7"/>
    <s v="XR6339"/>
    <n v="78907355"/>
    <s v="RENCA"/>
    <x v="1219"/>
    <x v="1"/>
    <x v="1"/>
    <x v="7"/>
    <x v="1"/>
    <n v="1"/>
    <n v="55000"/>
    <n v="0"/>
    <n v="55000"/>
    <n v="20.014556040756915"/>
    <n v="5000"/>
    <n v="80"/>
    <x v="2966"/>
    <x v="11"/>
    <x v="1"/>
    <x v="1"/>
  </r>
  <r>
    <x v="232"/>
    <s v="ZTAN"/>
    <x v="81"/>
    <s v="RK5135"/>
    <n v="138841065"/>
    <s v="LAS CONDES"/>
    <x v="2398"/>
    <x v="3"/>
    <x v="1"/>
    <x v="3"/>
    <x v="1"/>
    <n v="4"/>
    <n v="55000"/>
    <n v="0"/>
    <n v="55000"/>
    <n v="25.493649763604338"/>
    <n v="5000"/>
    <n v="43"/>
    <x v="2967"/>
    <x v="11"/>
    <x v="1"/>
    <x v="1"/>
  </r>
  <r>
    <x v="232"/>
    <s v="ZTAN"/>
    <x v="8"/>
    <s v="DJLF85"/>
    <n v="53173292"/>
    <s v="ÑUÑOA"/>
    <x v="2399"/>
    <x v="4"/>
    <x v="1"/>
    <x v="15"/>
    <x v="1"/>
    <n v="4"/>
    <n v="55000"/>
    <n v="0"/>
    <n v="55000"/>
    <n v="14.811224215005117"/>
    <n v="5000"/>
    <n v="88"/>
    <x v="2968"/>
    <x v="11"/>
    <x v="1"/>
    <x v="1"/>
  </r>
  <r>
    <x v="232"/>
    <s v="ZTAN"/>
    <x v="8"/>
    <s v="SV2718"/>
    <n v="103018366"/>
    <s v="LAS CONDES"/>
    <x v="2400"/>
    <x v="1"/>
    <x v="1"/>
    <x v="3"/>
    <x v="1"/>
    <n v="4"/>
    <n v="55000"/>
    <n v="0"/>
    <n v="55000"/>
    <n v="12.051360708181782"/>
    <n v="5000"/>
    <n v="91"/>
    <x v="2969"/>
    <x v="11"/>
    <x v="1"/>
    <x v="1"/>
  </r>
  <r>
    <x v="232"/>
    <s v="ZTAN"/>
    <x v="8"/>
    <s v="TP3884"/>
    <n v="99626232"/>
    <s v="LA REINA"/>
    <x v="2401"/>
    <x v="1"/>
    <x v="1"/>
    <x v="11"/>
    <x v="1"/>
    <n v="3"/>
    <n v="55000"/>
    <n v="0"/>
    <n v="55000"/>
    <n v="12.823501981813942"/>
    <n v="5000"/>
    <n v="86"/>
    <x v="2970"/>
    <x v="11"/>
    <x v="1"/>
    <x v="1"/>
  </r>
  <r>
    <x v="232"/>
    <s v="ZTAN"/>
    <x v="8"/>
    <s v="TW7053"/>
    <n v="172861164"/>
    <s v="LA SERENA"/>
    <x v="2402"/>
    <x v="6"/>
    <x v="1"/>
    <x v="63"/>
    <x v="8"/>
    <n v="0"/>
    <n v="600000"/>
    <n v="0"/>
    <n v="600000"/>
    <n v="50.046710262912057"/>
    <n v="25000"/>
    <n v="65"/>
    <x v="2971"/>
    <x v="11"/>
    <x v="1"/>
    <x v="0"/>
  </r>
  <r>
    <x v="233"/>
    <s v="ZPEP"/>
    <x v="12"/>
    <s v="PN4466"/>
    <s v="81417709"/>
    <s v="VITACURA"/>
    <x v="2403"/>
    <x v="1"/>
    <x v="0"/>
    <x v="27"/>
    <x v="1"/>
    <n v="4"/>
    <n v="195518"/>
    <n v="0"/>
    <n v="195518"/>
    <n v="10.999977495724186"/>
    <n v="5000"/>
    <n v="100"/>
    <x v="2972"/>
    <x v="11"/>
    <x v="1"/>
    <x v="1"/>
  </r>
  <r>
    <x v="233"/>
    <s v="ZPEP"/>
    <x v="80"/>
    <s v="CJXX49"/>
    <s v="167832741"/>
    <s v="VALLENAR"/>
    <x v="2404"/>
    <x v="5"/>
    <x v="0"/>
    <x v="45"/>
    <x v="9"/>
    <n v="0"/>
    <n v="800000"/>
    <n v="0"/>
    <n v="800000"/>
    <n v="35.467784611237612"/>
    <n v="25000"/>
    <n v="100"/>
    <x v="2973"/>
    <x v="11"/>
    <x v="1"/>
    <x v="0"/>
  </r>
  <r>
    <x v="233"/>
    <s v="ZPEP"/>
    <x v="80"/>
    <s v="PKYS74"/>
    <s v="6270439K"/>
    <s v="VALLENAR"/>
    <x v="2405"/>
    <x v="0"/>
    <x v="0"/>
    <x v="45"/>
    <x v="9"/>
    <n v="0"/>
    <n v="800000"/>
    <n v="0"/>
    <n v="800000"/>
    <n v="41.172595520421602"/>
    <n v="25000"/>
    <n v="100"/>
    <x v="2974"/>
    <x v="11"/>
    <x v="1"/>
    <x v="0"/>
  </r>
  <r>
    <x v="233"/>
    <s v="ZPEP"/>
    <x v="80"/>
    <s v="VE9862"/>
    <s v="98494073"/>
    <s v="VALLENAR"/>
    <x v="2406"/>
    <x v="5"/>
    <x v="0"/>
    <x v="45"/>
    <x v="9"/>
    <n v="0"/>
    <n v="800000"/>
    <n v="0"/>
    <n v="800000"/>
    <n v="35.6085569142693"/>
    <n v="25000"/>
    <n v="100"/>
    <x v="2975"/>
    <x v="11"/>
    <x v="1"/>
    <x v="0"/>
  </r>
  <r>
    <x v="233"/>
    <s v="ZTAN"/>
    <x v="4"/>
    <s v="RH1133"/>
    <s v="69941082"/>
    <s v="SAN BERNARDO"/>
    <x v="1870"/>
    <x v="0"/>
    <x v="0"/>
    <x v="4"/>
    <x v="1"/>
    <n v="4"/>
    <n v="198106"/>
    <n v="0"/>
    <n v="198106"/>
    <n v="11.000022210376688"/>
    <n v="5000"/>
    <n v="100"/>
    <x v="2976"/>
    <x v="11"/>
    <x v="1"/>
    <x v="1"/>
  </r>
  <r>
    <x v="233"/>
    <s v="ZTAN"/>
    <x v="4"/>
    <s v="RK5135"/>
    <s v="138841065"/>
    <s v="SAN BERNARDO"/>
    <x v="234"/>
    <x v="3"/>
    <x v="1"/>
    <x v="4"/>
    <x v="1"/>
    <n v="4"/>
    <n v="99053"/>
    <n v="0"/>
    <n v="99053"/>
    <n v="11.000022210376692"/>
    <n v="5000"/>
    <n v="100"/>
    <x v="2977"/>
    <x v="11"/>
    <x v="1"/>
    <x v="1"/>
  </r>
  <r>
    <x v="233"/>
    <s v="ZTAN"/>
    <x v="4"/>
    <s v="XR6339"/>
    <s v="78907355"/>
    <s v="SAN BERNARDO"/>
    <x v="234"/>
    <x v="1"/>
    <x v="1"/>
    <x v="4"/>
    <x v="1"/>
    <n v="4"/>
    <n v="99053"/>
    <n v="0"/>
    <n v="99053"/>
    <n v="11.000022210376692"/>
    <n v="5000"/>
    <n v="100"/>
    <x v="2978"/>
    <x v="11"/>
    <x v="1"/>
    <x v="1"/>
  </r>
  <r>
    <x v="233"/>
    <s v="ZTAN"/>
    <x v="10"/>
    <s v="DJLF85"/>
    <s v="53173292"/>
    <s v="SANTIAGO"/>
    <x v="2407"/>
    <x v="4"/>
    <x v="1"/>
    <x v="20"/>
    <x v="1"/>
    <n v="1"/>
    <n v="63215"/>
    <n v="0"/>
    <n v="63215"/>
    <n v="11.000034801976755"/>
    <n v="5000"/>
    <n v="100"/>
    <x v="2979"/>
    <x v="11"/>
    <x v="1"/>
    <x v="1"/>
  </r>
  <r>
    <x v="233"/>
    <s v="ZTAN"/>
    <x v="10"/>
    <s v="KKPF51"/>
    <s v="95707734"/>
    <s v="QUILICURA"/>
    <x v="810"/>
    <x v="8"/>
    <x v="0"/>
    <x v="8"/>
    <x v="1"/>
    <n v="1"/>
    <n v="99053"/>
    <n v="0"/>
    <n v="99053"/>
    <n v="6.0000121147509207"/>
    <n v="5000"/>
    <n v="100"/>
    <x v="2980"/>
    <x v="11"/>
    <x v="1"/>
    <x v="1"/>
  </r>
  <r>
    <x v="233"/>
    <s v="ZTAN"/>
    <x v="10"/>
    <s v="PN4466"/>
    <s v="81417709"/>
    <s v="QUILICURA"/>
    <x v="1870"/>
    <x v="1"/>
    <x v="0"/>
    <x v="8"/>
    <x v="1"/>
    <n v="1"/>
    <n v="198106"/>
    <n v="0"/>
    <n v="198106"/>
    <n v="11.000022210376688"/>
    <n v="5000"/>
    <n v="100"/>
    <x v="2981"/>
    <x v="11"/>
    <x v="1"/>
    <x v="1"/>
  </r>
  <r>
    <x v="233"/>
    <s v="ZTAN"/>
    <x v="10"/>
    <s v="RH1133"/>
    <s v="65941082"/>
    <s v="QUILICURA"/>
    <x v="810"/>
    <x v="0"/>
    <x v="0"/>
    <x v="8"/>
    <x v="1"/>
    <n v="1"/>
    <n v="181597"/>
    <n v="0"/>
    <n v="181597"/>
    <n v="11.000012114750922"/>
    <n v="5000"/>
    <n v="100"/>
    <x v="2982"/>
    <x v="11"/>
    <x v="1"/>
    <x v="1"/>
  </r>
  <r>
    <x v="233"/>
    <s v="ZTAN"/>
    <x v="7"/>
    <s v="DJLF85"/>
    <s v="53173292"/>
    <s v="SAN MIGUEL"/>
    <x v="2408"/>
    <x v="4"/>
    <x v="1"/>
    <x v="23"/>
    <x v="1"/>
    <n v="2"/>
    <n v="63516"/>
    <n v="0"/>
    <n v="63516"/>
    <n v="10.999965363167187"/>
    <n v="5000"/>
    <n v="100"/>
    <x v="2983"/>
    <x v="11"/>
    <x v="1"/>
    <x v="1"/>
  </r>
  <r>
    <x v="233"/>
    <s v="ZTAN"/>
    <x v="7"/>
    <s v="HLBX77"/>
    <s v="154837728"/>
    <s v="RENCA"/>
    <x v="1219"/>
    <x v="1"/>
    <x v="1"/>
    <x v="7"/>
    <x v="1"/>
    <n v="1"/>
    <n v="55000"/>
    <n v="0"/>
    <n v="55000"/>
    <n v="20.014556040756915"/>
    <n v="5000"/>
    <n v="55"/>
    <x v="2984"/>
    <x v="11"/>
    <x v="1"/>
    <x v="1"/>
  </r>
  <r>
    <x v="233"/>
    <s v="ZTAN"/>
    <x v="7"/>
    <s v="KKPF51"/>
    <s v="95707334"/>
    <s v="MELIPILLA"/>
    <x v="2409"/>
    <x v="8"/>
    <x v="0"/>
    <x v="29"/>
    <x v="1"/>
    <n v="5"/>
    <n v="120000"/>
    <n v="0"/>
    <n v="120000"/>
    <n v="8.4214072171459904"/>
    <n v="10000"/>
    <n v="100"/>
    <x v="2985"/>
    <x v="11"/>
    <x v="1"/>
    <x v="1"/>
  </r>
  <r>
    <x v="233"/>
    <s v="ZTAN"/>
    <x v="7"/>
    <s v="WC2233"/>
    <s v="125108660"/>
    <s v="RENCA"/>
    <x v="1219"/>
    <x v="4"/>
    <x v="1"/>
    <x v="7"/>
    <x v="1"/>
    <n v="1"/>
    <n v="55000"/>
    <n v="0"/>
    <n v="55000"/>
    <n v="20.014556040756915"/>
    <n v="5000"/>
    <n v="80"/>
    <x v="2986"/>
    <x v="11"/>
    <x v="1"/>
    <x v="1"/>
  </r>
  <r>
    <x v="233"/>
    <s v="ZTAN"/>
    <x v="7"/>
    <s v="WC2233"/>
    <s v="125108660"/>
    <s v="SAN MIGUEL"/>
    <x v="2410"/>
    <x v="4"/>
    <x v="1"/>
    <x v="23"/>
    <x v="1"/>
    <n v="2"/>
    <n v="58568"/>
    <n v="0"/>
    <n v="58568"/>
    <n v="10.999924874164224"/>
    <n v="5000"/>
    <n v="100"/>
    <x v="2987"/>
    <x v="11"/>
    <x v="1"/>
    <x v="1"/>
  </r>
  <r>
    <x v="233"/>
    <s v="ZTAN"/>
    <x v="8"/>
    <s v="TP3884"/>
    <s v="99626232"/>
    <s v="PUDAHUEL"/>
    <x v="2411"/>
    <x v="1"/>
    <x v="1"/>
    <x v="10"/>
    <x v="1"/>
    <n v="1"/>
    <n v="67206"/>
    <n v="0"/>
    <n v="67206"/>
    <n v="9.7504570118678"/>
    <n v="5000"/>
    <n v="100"/>
    <x v="2988"/>
    <x v="11"/>
    <x v="1"/>
    <x v="1"/>
  </r>
  <r>
    <x v="234"/>
    <s v="ZPEP"/>
    <x v="17"/>
    <s v="HLBX77"/>
    <s v="16093509K"/>
    <s v="LAMPA"/>
    <x v="2412"/>
    <x v="1"/>
    <x v="1"/>
    <x v="17"/>
    <x v="1"/>
    <n v="5"/>
    <n v="70000"/>
    <n v="0"/>
    <n v="70000"/>
    <n v="4.7828092171566201"/>
    <n v="10000"/>
    <n v="100"/>
    <x v="2989"/>
    <x v="12"/>
    <x v="1"/>
    <x v="1"/>
  </r>
  <r>
    <x v="234"/>
    <s v="ZPEP"/>
    <x v="17"/>
    <s v="XR6339"/>
    <s v="154837728"/>
    <s v="LAMPA"/>
    <x v="1276"/>
    <x v="1"/>
    <x v="1"/>
    <x v="17"/>
    <x v="1"/>
    <n v="5"/>
    <n v="70000"/>
    <n v="0"/>
    <n v="70000"/>
    <n v="9.5759233926128591"/>
    <n v="10000"/>
    <n v="73"/>
    <x v="2990"/>
    <x v="12"/>
    <x v="1"/>
    <x v="1"/>
  </r>
  <r>
    <x v="234"/>
    <s v="ZPEP"/>
    <x v="12"/>
    <s v="PN4466"/>
    <s v="81417709"/>
    <s v="VITACURA"/>
    <x v="2413"/>
    <x v="1"/>
    <x v="0"/>
    <x v="27"/>
    <x v="1"/>
    <n v="4"/>
    <n v="260200"/>
    <n v="0"/>
    <n v="260200"/>
    <n v="10.999993235976493"/>
    <n v="5000"/>
    <n v="100"/>
    <x v="2991"/>
    <x v="12"/>
    <x v="1"/>
    <x v="1"/>
  </r>
  <r>
    <x v="234"/>
    <s v="ZPEP"/>
    <x v="53"/>
    <s v="SU9354"/>
    <s v="72564391"/>
    <s v="LAS CONDES"/>
    <x v="2414"/>
    <x v="2"/>
    <x v="1"/>
    <x v="3"/>
    <x v="1"/>
    <n v="4"/>
    <n v="81906"/>
    <n v="0"/>
    <n v="81906"/>
    <n v="11.000000000000004"/>
    <n v="5000"/>
    <n v="100"/>
    <x v="2992"/>
    <x v="12"/>
    <x v="1"/>
    <x v="1"/>
  </r>
  <r>
    <x v="234"/>
    <s v="ZTAN"/>
    <x v="21"/>
    <s v="RK5135"/>
    <s v="138841065"/>
    <s v="LA REINA"/>
    <x v="1067"/>
    <x v="3"/>
    <x v="1"/>
    <x v="11"/>
    <x v="1"/>
    <n v="3"/>
    <n v="93522"/>
    <n v="0"/>
    <n v="93522"/>
    <n v="11"/>
    <n v="5000"/>
    <n v="100"/>
    <x v="2993"/>
    <x v="12"/>
    <x v="1"/>
    <x v="1"/>
  </r>
  <r>
    <x v="234"/>
    <s v="ZTAN"/>
    <x v="77"/>
    <s v="DJLF85"/>
    <s v="53173292"/>
    <s v="RANCAGUA"/>
    <x v="1067"/>
    <x v="4"/>
    <x v="1"/>
    <x v="28"/>
    <x v="6"/>
    <n v="0"/>
    <n v="180000"/>
    <n v="0"/>
    <n v="180000"/>
    <n v="21.171489061397317"/>
    <n v="25000"/>
    <n v="34"/>
    <x v="2994"/>
    <x v="12"/>
    <x v="1"/>
    <x v="0"/>
  </r>
  <r>
    <x v="234"/>
    <s v="ZTAN"/>
    <x v="77"/>
    <s v="WC2233"/>
    <s v="125108660"/>
    <s v="RANCAGUA"/>
    <x v="1067"/>
    <x v="4"/>
    <x v="1"/>
    <x v="28"/>
    <x v="6"/>
    <n v="0"/>
    <n v="180000"/>
    <n v="0"/>
    <n v="180000"/>
    <n v="21.171489061397317"/>
    <n v="25000"/>
    <n v="34"/>
    <x v="2995"/>
    <x v="12"/>
    <x v="1"/>
    <x v="0"/>
  </r>
  <r>
    <x v="234"/>
    <s v="ZTAN"/>
    <x v="7"/>
    <s v="HLBX77"/>
    <s v="16093509K"/>
    <s v="RENCA"/>
    <x v="385"/>
    <x v="1"/>
    <x v="1"/>
    <x v="7"/>
    <x v="1"/>
    <n v="1"/>
    <n v="82544"/>
    <n v="0"/>
    <n v="82544"/>
    <n v="11.000000000000004"/>
    <n v="5000"/>
    <n v="100"/>
    <x v="2996"/>
    <x v="12"/>
    <x v="1"/>
    <x v="1"/>
  </r>
  <r>
    <x v="234"/>
    <s v="ZTAN"/>
    <x v="7"/>
    <s v="PN4466"/>
    <s v="81417709"/>
    <s v="RENCA"/>
    <x v="2415"/>
    <x v="1"/>
    <x v="0"/>
    <x v="7"/>
    <x v="1"/>
    <n v="1"/>
    <n v="156834"/>
    <n v="0"/>
    <n v="156834"/>
    <n v="11.000028055212667"/>
    <n v="5000"/>
    <n v="100"/>
    <x v="2997"/>
    <x v="12"/>
    <x v="1"/>
    <x v="1"/>
  </r>
  <r>
    <x v="234"/>
    <s v="ZTAN"/>
    <x v="7"/>
    <s v="SU9354"/>
    <s v="72564391"/>
    <s v="RENCA"/>
    <x v="1219"/>
    <x v="2"/>
    <x v="1"/>
    <x v="7"/>
    <x v="1"/>
    <n v="1"/>
    <n v="55000"/>
    <n v="0"/>
    <n v="55000"/>
    <n v="20.014556040756915"/>
    <n v="5000"/>
    <n v="55"/>
    <x v="2998"/>
    <x v="12"/>
    <x v="1"/>
    <x v="1"/>
  </r>
  <r>
    <x v="234"/>
    <s v="ZTAN"/>
    <x v="8"/>
    <s v="SU9354"/>
    <s v="72564391"/>
    <s v="LA FLORIDA"/>
    <x v="2416"/>
    <x v="2"/>
    <x v="1"/>
    <x v="33"/>
    <x v="1"/>
    <n v="3"/>
    <n v="55000"/>
    <n v="0"/>
    <n v="55000"/>
    <n v="13.122107171828031"/>
    <n v="5000"/>
    <n v="84"/>
    <x v="2999"/>
    <x v="12"/>
    <x v="1"/>
    <x v="1"/>
  </r>
  <r>
    <x v="234"/>
    <s v="ZTAN"/>
    <x v="8"/>
    <s v="SV2718"/>
    <s v="99626232"/>
    <s v="MAIPU"/>
    <x v="2417"/>
    <x v="1"/>
    <x v="1"/>
    <x v="2"/>
    <x v="1"/>
    <n v="2"/>
    <n v="55000"/>
    <n v="0"/>
    <n v="55000"/>
    <n v="11.953923060204303"/>
    <n v="5000"/>
    <n v="92"/>
    <x v="3000"/>
    <x v="12"/>
    <x v="1"/>
    <x v="1"/>
  </r>
  <r>
    <x v="234"/>
    <s v="ZTAN"/>
    <x v="8"/>
    <s v="TP3884"/>
    <s v="154837728"/>
    <s v="SAN BERNARDO"/>
    <x v="2418"/>
    <x v="1"/>
    <x v="1"/>
    <x v="4"/>
    <x v="1"/>
    <n v="4"/>
    <n v="55000"/>
    <n v="0"/>
    <n v="55000"/>
    <n v="13.165453849099961"/>
    <n v="5000"/>
    <n v="84"/>
    <x v="3001"/>
    <x v="12"/>
    <x v="1"/>
    <x v="1"/>
  </r>
  <r>
    <x v="234"/>
    <s v="ZTAN"/>
    <x v="8"/>
    <s v="XR6339"/>
    <s v="78907355"/>
    <s v="LAS CONDES"/>
    <x v="2419"/>
    <x v="1"/>
    <x v="1"/>
    <x v="3"/>
    <x v="1"/>
    <n v="4"/>
    <n v="55000"/>
    <n v="0"/>
    <n v="55000"/>
    <n v="14.931856436987566"/>
    <n v="5000"/>
    <n v="74"/>
    <x v="3002"/>
    <x v="12"/>
    <x v="1"/>
    <x v="1"/>
  </r>
  <r>
    <x v="235"/>
    <s v="ZPEP"/>
    <x v="2"/>
    <s v="HLBX77"/>
    <s v="16093509K"/>
    <s v="MAIPU"/>
    <x v="2420"/>
    <x v="1"/>
    <x v="1"/>
    <x v="2"/>
    <x v="1"/>
    <n v="2"/>
    <n v="84707"/>
    <n v="0"/>
    <n v="84707"/>
    <n v="11.000037659354261"/>
    <n v="5000"/>
    <n v="100"/>
    <x v="3003"/>
    <x v="12"/>
    <x v="1"/>
    <x v="1"/>
  </r>
  <r>
    <x v="235"/>
    <s v="ZPEP"/>
    <x v="2"/>
    <s v="SANBERNARDO"/>
    <s v="72564391"/>
    <s v="PROVIDENCIA"/>
    <x v="2421"/>
    <x v="0"/>
    <x v="0"/>
    <x v="54"/>
    <x v="1"/>
    <n v="2"/>
    <n v="55000"/>
    <n v="0"/>
    <n v="55000"/>
    <n v="20.746574929084435"/>
    <n v="5000"/>
    <n v="53"/>
    <x v="3004"/>
    <x v="12"/>
    <x v="1"/>
    <x v="1"/>
  </r>
  <r>
    <x v="235"/>
    <s v="ZPEP"/>
    <x v="2"/>
    <s v="SU9354"/>
    <s v="72564391"/>
    <s v="PROVIDENCIA"/>
    <x v="2422"/>
    <x v="2"/>
    <x v="1"/>
    <x v="54"/>
    <x v="1"/>
    <n v="2"/>
    <n v="91130"/>
    <n v="0"/>
    <n v="91130"/>
    <n v="11.000060353672518"/>
    <n v="5000"/>
    <n v="100"/>
    <x v="3005"/>
    <x v="12"/>
    <x v="1"/>
    <x v="1"/>
  </r>
  <r>
    <x v="235"/>
    <s v="ZTAN"/>
    <x v="4"/>
    <s v="HLBX77"/>
    <s v="16093509K"/>
    <s v="SAN BERNARDO"/>
    <x v="234"/>
    <x v="1"/>
    <x v="1"/>
    <x v="4"/>
    <x v="1"/>
    <n v="4"/>
    <n v="99053"/>
    <n v="0"/>
    <n v="99053"/>
    <n v="11.000022210376692"/>
    <n v="5000"/>
    <n v="100"/>
    <x v="3006"/>
    <x v="12"/>
    <x v="1"/>
    <x v="1"/>
  </r>
  <r>
    <x v="235"/>
    <s v="ZTAN"/>
    <x v="4"/>
    <s v="KKPF51"/>
    <s v="95707334"/>
    <s v="MELIPILLA"/>
    <x v="414"/>
    <x v="8"/>
    <x v="0"/>
    <x v="29"/>
    <x v="1"/>
    <n v="5"/>
    <n v="120000"/>
    <n v="0"/>
    <n v="120000"/>
    <n v="12.301131704116782"/>
    <n v="10000"/>
    <n v="98"/>
    <x v="3007"/>
    <x v="12"/>
    <x v="1"/>
    <x v="1"/>
  </r>
  <r>
    <x v="235"/>
    <s v="ZTAN"/>
    <x v="4"/>
    <s v="RK5135"/>
    <s v="188841065"/>
    <s v="SAN BERNARDO"/>
    <x v="234"/>
    <x v="3"/>
    <x v="1"/>
    <x v="4"/>
    <x v="1"/>
    <n v="4"/>
    <n v="99053"/>
    <n v="0"/>
    <n v="99053"/>
    <n v="11.000022210376692"/>
    <n v="5000"/>
    <n v="100"/>
    <x v="3008"/>
    <x v="12"/>
    <x v="1"/>
    <x v="1"/>
  </r>
  <r>
    <x v="235"/>
    <s v="ZTAN"/>
    <x v="5"/>
    <s v="XR6339"/>
    <s v="78907355"/>
    <s v="LAS CONDES"/>
    <x v="2423"/>
    <x v="1"/>
    <x v="1"/>
    <x v="3"/>
    <x v="1"/>
    <n v="4"/>
    <n v="55000"/>
    <n v="0"/>
    <n v="55000"/>
    <n v="16.97530864197531"/>
    <n v="5000"/>
    <n v="65"/>
    <x v="3009"/>
    <x v="12"/>
    <x v="1"/>
    <x v="1"/>
  </r>
  <r>
    <x v="235"/>
    <s v="ZTAN"/>
    <x v="77"/>
    <s v="WC2233"/>
    <s v="125108660"/>
    <s v="TALAGANTE"/>
    <x v="1067"/>
    <x v="4"/>
    <x v="1"/>
    <x v="50"/>
    <x v="1"/>
    <n v="4"/>
    <n v="93522"/>
    <n v="0"/>
    <n v="93522"/>
    <n v="11"/>
    <n v="5000"/>
    <n v="100"/>
    <x v="3010"/>
    <x v="12"/>
    <x v="1"/>
    <x v="1"/>
  </r>
  <r>
    <x v="235"/>
    <s v="ZTAN"/>
    <x v="7"/>
    <s v="BYZH29"/>
    <s v="122975819"/>
    <s v="CHILLAN"/>
    <x v="2424"/>
    <x v="0"/>
    <x v="0"/>
    <x v="21"/>
    <x v="5"/>
    <n v="0"/>
    <n v="350000"/>
    <n v="0"/>
    <n v="350000"/>
    <n v="47.730744054113039"/>
    <n v="18000"/>
    <n v="65"/>
    <x v="3011"/>
    <x v="12"/>
    <x v="1"/>
    <x v="0"/>
  </r>
  <r>
    <x v="235"/>
    <s v="ZTAN"/>
    <x v="7"/>
    <s v="PN4466"/>
    <s v="81417709"/>
    <s v="RENCA"/>
    <x v="0"/>
    <x v="1"/>
    <x v="0"/>
    <x v="7"/>
    <x v="1"/>
    <n v="1"/>
    <n v="165088"/>
    <n v="0"/>
    <n v="165088"/>
    <n v="11.000000000000007"/>
    <n v="5000"/>
    <n v="100"/>
    <x v="3012"/>
    <x v="12"/>
    <x v="1"/>
    <x v="1"/>
  </r>
  <r>
    <x v="235"/>
    <s v="ZTAN"/>
    <x v="7"/>
    <s v="XR6339"/>
    <s v="78907355"/>
    <s v="RENCA"/>
    <x v="385"/>
    <x v="1"/>
    <x v="1"/>
    <x v="7"/>
    <x v="1"/>
    <n v="1"/>
    <n v="82544"/>
    <n v="0"/>
    <n v="82544"/>
    <n v="11.000000000000004"/>
    <n v="5000"/>
    <n v="100"/>
    <x v="3013"/>
    <x v="12"/>
    <x v="1"/>
    <x v="1"/>
  </r>
  <r>
    <x v="235"/>
    <s v="ZTAN"/>
    <x v="8"/>
    <s v="SV2718"/>
    <s v="99626232"/>
    <s v="HUECHURABA"/>
    <x v="922"/>
    <x v="1"/>
    <x v="1"/>
    <x v="24"/>
    <x v="1"/>
    <n v="1"/>
    <n v="61618"/>
    <n v="0"/>
    <n v="61618"/>
    <n v="11.000071408169093"/>
    <n v="5000"/>
    <n v="100"/>
    <x v="3014"/>
    <x v="12"/>
    <x v="1"/>
    <x v="1"/>
  </r>
  <r>
    <x v="235"/>
    <s v="ZTAN"/>
    <x v="8"/>
    <s v="TP3884"/>
    <s v="154837728"/>
    <s v="PUDAHUEL"/>
    <x v="962"/>
    <x v="1"/>
    <x v="1"/>
    <x v="10"/>
    <x v="1"/>
    <n v="1"/>
    <n v="55000"/>
    <n v="0"/>
    <n v="55000"/>
    <n v="12.713235634043734"/>
    <n v="5000"/>
    <n v="87"/>
    <x v="3015"/>
    <x v="12"/>
    <x v="1"/>
    <x v="1"/>
  </r>
  <r>
    <x v="236"/>
    <s v="ZPEP"/>
    <x v="2"/>
    <s v="SU9354"/>
    <n v="72564391"/>
    <s v="PROVIDENCIA"/>
    <x v="2425"/>
    <x v="2"/>
    <x v="1"/>
    <x v="54"/>
    <x v="1"/>
    <n v="2"/>
    <n v="132007"/>
    <n v="0"/>
    <n v="132007"/>
    <n v="11.00003333166676"/>
    <n v="5000"/>
    <n v="100"/>
    <x v="3016"/>
    <x v="12"/>
    <x v="1"/>
    <x v="1"/>
  </r>
  <r>
    <x v="236"/>
    <s v="ZPEP"/>
    <x v="2"/>
    <s v="WC2233"/>
    <n v="125108660"/>
    <s v="PROVIDENCIA"/>
    <x v="2426"/>
    <x v="4"/>
    <x v="1"/>
    <x v="54"/>
    <x v="1"/>
    <n v="2"/>
    <n v="148706"/>
    <n v="0"/>
    <n v="148706"/>
    <n v="11.000005917720021"/>
    <n v="5000"/>
    <n v="100"/>
    <x v="3017"/>
    <x v="12"/>
    <x v="1"/>
    <x v="1"/>
  </r>
  <r>
    <x v="236"/>
    <s v="ZTAN"/>
    <x v="5"/>
    <s v="HLBX77"/>
    <n v="154837728"/>
    <s v="LOS ANDES"/>
    <x v="2427"/>
    <x v="1"/>
    <x v="1"/>
    <x v="38"/>
    <x v="2"/>
    <n v="0"/>
    <n v="180000"/>
    <n v="0"/>
    <n v="180000"/>
    <n v="22.222222222222221"/>
    <n v="18000"/>
    <n v="81"/>
    <x v="3018"/>
    <x v="12"/>
    <x v="1"/>
    <x v="0"/>
  </r>
  <r>
    <x v="236"/>
    <s v="ZTAN"/>
    <x v="7"/>
    <s v="KKPF51"/>
    <n v="95707734"/>
    <s v="MELIPILLA"/>
    <x v="2428"/>
    <x v="8"/>
    <x v="0"/>
    <x v="29"/>
    <x v="1"/>
    <n v="5"/>
    <n v="120000"/>
    <n v="0"/>
    <n v="154670.99999999991"/>
    <n v="11.000000000000002"/>
    <n v="10000"/>
    <n v="78"/>
    <x v="3019"/>
    <x v="12"/>
    <x v="1"/>
    <x v="1"/>
  </r>
  <r>
    <x v="236"/>
    <s v="ZTAN"/>
    <x v="7"/>
    <s v="PN4466"/>
    <n v="81417709"/>
    <s v="RENCA"/>
    <x v="0"/>
    <x v="1"/>
    <x v="0"/>
    <x v="7"/>
    <x v="1"/>
    <n v="1"/>
    <n v="165088"/>
    <n v="0"/>
    <n v="165088"/>
    <n v="11.000000000000007"/>
    <n v="5000"/>
    <n v="83"/>
    <x v="3020"/>
    <x v="12"/>
    <x v="1"/>
    <x v="1"/>
  </r>
  <r>
    <x v="236"/>
    <s v="ZTAN"/>
    <x v="8"/>
    <s v="TP3884"/>
    <n v="154837728"/>
    <s v="PUDAHUEL"/>
    <x v="2429"/>
    <x v="1"/>
    <x v="1"/>
    <x v="10"/>
    <x v="1"/>
    <n v="1"/>
    <n v="57812"/>
    <n v="0"/>
    <n v="57812"/>
    <n v="11.000076109292946"/>
    <n v="5000"/>
    <n v="52"/>
    <x v="3021"/>
    <x v="12"/>
    <x v="1"/>
    <x v="1"/>
  </r>
  <r>
    <x v="237"/>
    <s v="ZPEP"/>
    <x v="2"/>
    <s v="HLBX77"/>
    <s v="16093509K"/>
    <s v="PROVIDENCIA"/>
    <x v="2430"/>
    <x v="1"/>
    <x v="1"/>
    <x v="54"/>
    <x v="1"/>
    <n v="2"/>
    <n v="92941"/>
    <n v="0"/>
    <n v="92941"/>
    <n v="10.999976329119917"/>
    <n v="5000"/>
    <n v="100"/>
    <x v="3022"/>
    <x v="12"/>
    <x v="1"/>
    <x v="1"/>
  </r>
  <r>
    <x v="237"/>
    <s v="ZPEP"/>
    <x v="80"/>
    <s v="BWPL69"/>
    <s v="78551976"/>
    <s v="VALLENAR"/>
    <x v="2431"/>
    <x v="5"/>
    <x v="0"/>
    <x v="45"/>
    <x v="9"/>
    <n v="0"/>
    <n v="800000"/>
    <n v="0"/>
    <n v="800000"/>
    <n v="40.332338468984432"/>
    <n v="20000"/>
    <n v="99"/>
    <x v="3023"/>
    <x v="12"/>
    <x v="1"/>
    <x v="0"/>
  </r>
  <r>
    <x v="237"/>
    <s v="ZTAN"/>
    <x v="39"/>
    <s v="WC2233"/>
    <s v="125108660"/>
    <s v="PADRE HURTADO"/>
    <x v="2432"/>
    <x v="4"/>
    <x v="1"/>
    <x v="26"/>
    <x v="1"/>
    <n v="5"/>
    <n v="70000"/>
    <n v="0"/>
    <n v="70000"/>
    <n v="8.6384026359468589"/>
    <n v="10000"/>
    <n v="81"/>
    <x v="3024"/>
    <x v="12"/>
    <x v="1"/>
    <x v="1"/>
  </r>
  <r>
    <x v="237"/>
    <s v="ZTAN"/>
    <x v="7"/>
    <s v="DFRV76"/>
    <s v="113693568"/>
    <s v="CHILLAN"/>
    <x v="419"/>
    <x v="5"/>
    <x v="0"/>
    <x v="21"/>
    <x v="5"/>
    <n v="0"/>
    <n v="350000"/>
    <n v="0"/>
    <n v="350000"/>
    <n v="42.455118874332832"/>
    <n v="20000"/>
    <n v="41"/>
    <x v="3025"/>
    <x v="12"/>
    <x v="1"/>
    <x v="0"/>
  </r>
  <r>
    <x v="237"/>
    <s v="ZTAN"/>
    <x v="7"/>
    <s v="HLBX77"/>
    <s v="16093509K"/>
    <s v="RENCA"/>
    <x v="2433"/>
    <x v="1"/>
    <x v="1"/>
    <x v="7"/>
    <x v="1"/>
    <n v="1"/>
    <n v="94609"/>
    <n v="0"/>
    <n v="94609"/>
    <n v="10.999959306347629"/>
    <n v="5000"/>
    <n v="100"/>
    <x v="3026"/>
    <x v="12"/>
    <x v="1"/>
    <x v="1"/>
  </r>
  <r>
    <x v="237"/>
    <s v="ZTAN"/>
    <x v="7"/>
    <s v="PN4466"/>
    <s v="81417709"/>
    <s v="RENCA"/>
    <x v="0"/>
    <x v="1"/>
    <x v="0"/>
    <x v="7"/>
    <x v="1"/>
    <n v="1"/>
    <n v="165088"/>
    <n v="0"/>
    <n v="165088"/>
    <n v="11.000000000000007"/>
    <n v="5000"/>
    <n v="100"/>
    <x v="3027"/>
    <x v="12"/>
    <x v="1"/>
    <x v="1"/>
  </r>
  <r>
    <x v="237"/>
    <s v="ZTAN"/>
    <x v="7"/>
    <s v="XR6339"/>
    <s v="78907355"/>
    <s v="RENCA"/>
    <x v="385"/>
    <x v="1"/>
    <x v="1"/>
    <x v="7"/>
    <x v="1"/>
    <n v="1"/>
    <n v="82544"/>
    <n v="0"/>
    <n v="82544"/>
    <n v="11.000000000000004"/>
    <n v="5000"/>
    <n v="100"/>
    <x v="3028"/>
    <x v="12"/>
    <x v="1"/>
    <x v="1"/>
  </r>
  <r>
    <x v="237"/>
    <s v="ZTAN"/>
    <x v="8"/>
    <s v="KKPF51"/>
    <s v="95707734"/>
    <s v="COQUIMBO"/>
    <x v="2434"/>
    <x v="8"/>
    <x v="0"/>
    <x v="42"/>
    <x v="8"/>
    <n v="0"/>
    <n v="600000"/>
    <n v="0"/>
    <n v="600000"/>
    <n v="24.675425620247676"/>
    <n v="20000"/>
    <n v="100"/>
    <x v="3029"/>
    <x v="12"/>
    <x v="1"/>
    <x v="0"/>
  </r>
  <r>
    <x v="237"/>
    <s v="ZTAN"/>
    <x v="8"/>
    <s v="TP3884"/>
    <s v="154837728"/>
    <s v="PUDAHUEL"/>
    <x v="2435"/>
    <x v="1"/>
    <x v="1"/>
    <x v="10"/>
    <x v="1"/>
    <n v="1"/>
    <n v="55000"/>
    <n v="0"/>
    <n v="55000"/>
    <n v="8.6160980041983901"/>
    <n v="5000"/>
    <n v="100"/>
    <x v="3030"/>
    <x v="12"/>
    <x v="1"/>
    <x v="1"/>
  </r>
  <r>
    <x v="238"/>
    <s v="ZTAN"/>
    <x v="82"/>
    <s v="WC2233"/>
    <s v="125108660"/>
    <s v="PUENTE ALTO"/>
    <x v="2436"/>
    <x v="4"/>
    <x v="1"/>
    <x v="30"/>
    <x v="1"/>
    <n v="4"/>
    <n v="73775"/>
    <n v="0"/>
    <n v="73775"/>
    <n v="11.000029820480705"/>
    <n v="5000"/>
    <n v="100"/>
    <x v="3031"/>
    <x v="12"/>
    <x v="1"/>
    <x v="1"/>
  </r>
  <r>
    <x v="238"/>
    <s v="ZTAN"/>
    <x v="5"/>
    <s v="WC2233"/>
    <s v="125108660"/>
    <s v="LAS CONDES"/>
    <x v="2437"/>
    <x v="4"/>
    <x v="1"/>
    <x v="3"/>
    <x v="1"/>
    <n v="4"/>
    <n v="57024"/>
    <n v="0"/>
    <n v="57024"/>
    <n v="11"/>
    <n v="5000"/>
    <n v="100"/>
    <x v="3032"/>
    <x v="12"/>
    <x v="1"/>
    <x v="1"/>
  </r>
  <r>
    <x v="238"/>
    <s v="ZTAN"/>
    <x v="77"/>
    <s v="RK5135"/>
    <s v="138841065"/>
    <s v="RANCAGUA"/>
    <x v="2438"/>
    <x v="3"/>
    <x v="1"/>
    <x v="28"/>
    <x v="6"/>
    <n v="0"/>
    <n v="180000"/>
    <n v="0"/>
    <n v="180000"/>
    <n v="16.887612935911509"/>
    <n v="20000"/>
    <n v="53"/>
    <x v="3033"/>
    <x v="12"/>
    <x v="1"/>
    <x v="0"/>
  </r>
  <r>
    <x v="238"/>
    <s v="ZTAN"/>
    <x v="77"/>
    <s v="XR6339"/>
    <s v="154837728"/>
    <s v="TALAGANTE"/>
    <x v="2439"/>
    <x v="1"/>
    <x v="1"/>
    <x v="50"/>
    <x v="1"/>
    <n v="4"/>
    <n v="79182"/>
    <n v="0"/>
    <n v="79182"/>
    <n v="11.000005556821277"/>
    <n v="5000"/>
    <n v="100"/>
    <x v="3034"/>
    <x v="12"/>
    <x v="1"/>
    <x v="1"/>
  </r>
  <r>
    <x v="238"/>
    <s v="ZTAN"/>
    <x v="10"/>
    <s v="RH1133"/>
    <s v="65941082"/>
    <s v="SANTIAGO"/>
    <x v="2212"/>
    <x v="0"/>
    <x v="0"/>
    <x v="20"/>
    <x v="1"/>
    <n v="1"/>
    <n v="87661"/>
    <n v="0"/>
    <n v="87661"/>
    <n v="10.999974903378002"/>
    <n v="5000"/>
    <n v="100"/>
    <x v="3035"/>
    <x v="12"/>
    <x v="1"/>
    <x v="1"/>
  </r>
  <r>
    <x v="238"/>
    <s v="ZTAN"/>
    <x v="7"/>
    <s v="HLBX77"/>
    <s v="16093509K"/>
    <s v="RENCA"/>
    <x v="385"/>
    <x v="1"/>
    <x v="1"/>
    <x v="7"/>
    <x v="1"/>
    <n v="1"/>
    <n v="82544"/>
    <n v="0"/>
    <n v="82544"/>
    <n v="11.000000000000004"/>
    <n v="5000"/>
    <n v="100"/>
    <x v="3036"/>
    <x v="12"/>
    <x v="1"/>
    <x v="1"/>
  </r>
  <r>
    <x v="238"/>
    <s v="ZTAN"/>
    <x v="7"/>
    <s v="PN4466"/>
    <s v="81417709"/>
    <s v="RENCA"/>
    <x v="0"/>
    <x v="1"/>
    <x v="0"/>
    <x v="7"/>
    <x v="1"/>
    <n v="1"/>
    <n v="165088"/>
    <n v="0"/>
    <n v="165088"/>
    <n v="11.000000000000007"/>
    <n v="5000"/>
    <n v="100"/>
    <x v="3037"/>
    <x v="12"/>
    <x v="1"/>
    <x v="1"/>
  </r>
  <r>
    <x v="238"/>
    <s v="ZTAN"/>
    <x v="7"/>
    <s v="WC2233"/>
    <s v="125108660"/>
    <s v="RENCA"/>
    <x v="2440"/>
    <x v="4"/>
    <x v="1"/>
    <x v="7"/>
    <x v="1"/>
    <n v="1"/>
    <n v="106486"/>
    <n v="0"/>
    <n v="106486"/>
    <n v="10.164272419223977"/>
    <n v="5000"/>
    <n v="100"/>
    <x v="3038"/>
    <x v="12"/>
    <x v="1"/>
    <x v="1"/>
  </r>
  <r>
    <x v="239"/>
    <s v="ZPEP"/>
    <x v="2"/>
    <s v="BPKD94"/>
    <n v="125897258"/>
    <s v="TEMUCO"/>
    <x v="2441"/>
    <x v="0"/>
    <x v="0"/>
    <x v="14"/>
    <x v="4"/>
    <n v="0"/>
    <n v="620000"/>
    <n v="0"/>
    <n v="620000"/>
    <n v="49.929816395179998"/>
    <n v="20000"/>
    <n v="62"/>
    <x v="3039"/>
    <x v="12"/>
    <x v="1"/>
    <x v="0"/>
  </r>
  <r>
    <x v="239"/>
    <s v="ZPEP"/>
    <x v="2"/>
    <s v="RK5135"/>
    <n v="138841065"/>
    <s v="PROVIDENCIA"/>
    <x v="2442"/>
    <x v="3"/>
    <x v="1"/>
    <x v="54"/>
    <x v="1"/>
    <n v="2"/>
    <n v="92502"/>
    <n v="0"/>
    <n v="92502"/>
    <n v="11.000055890967424"/>
    <n v="5000"/>
    <n v="100"/>
    <x v="3040"/>
    <x v="12"/>
    <x v="1"/>
    <x v="1"/>
  </r>
  <r>
    <x v="239"/>
    <s v="ZTAN"/>
    <x v="63"/>
    <s v="KKPF51"/>
    <n v="95707734"/>
    <s v="MAIPU"/>
    <x v="2443"/>
    <x v="8"/>
    <x v="0"/>
    <x v="2"/>
    <x v="1"/>
    <n v="2"/>
    <n v="155089"/>
    <n v="0"/>
    <n v="155089"/>
    <n v="11"/>
    <n v="5000"/>
    <n v="100"/>
    <x v="3041"/>
    <x v="12"/>
    <x v="1"/>
    <x v="1"/>
  </r>
  <r>
    <x v="239"/>
    <s v="ZTAN"/>
    <x v="4"/>
    <s v="SV27158"/>
    <n v="99626232"/>
    <s v="SAN BERNARDO"/>
    <x v="252"/>
    <x v="0"/>
    <x v="0"/>
    <x v="4"/>
    <x v="1"/>
    <n v="4"/>
    <n v="55000"/>
    <n v="0"/>
    <n v="55000"/>
    <n v="14.658848614072495"/>
    <n v="5000"/>
    <n v="75"/>
    <x v="3042"/>
    <x v="12"/>
    <x v="1"/>
    <x v="1"/>
  </r>
  <r>
    <x v="239"/>
    <s v="ZTAN"/>
    <x v="4"/>
    <s v="TP3884"/>
    <n v="78907355"/>
    <s v="SAN BERNARDO"/>
    <x v="385"/>
    <x v="1"/>
    <x v="1"/>
    <x v="4"/>
    <x v="1"/>
    <n v="4"/>
    <n v="82544"/>
    <n v="0"/>
    <n v="82544"/>
    <n v="11.000000000000004"/>
    <n v="5000"/>
    <n v="100"/>
    <x v="3043"/>
    <x v="12"/>
    <x v="1"/>
    <x v="1"/>
  </r>
  <r>
    <x v="239"/>
    <s v="ZTAN"/>
    <x v="10"/>
    <s v="KKPF51"/>
    <n v="95707334"/>
    <s v="QUILICURA"/>
    <x v="2444"/>
    <x v="8"/>
    <x v="0"/>
    <x v="8"/>
    <x v="1"/>
    <n v="1"/>
    <n v="57433"/>
    <n v="0"/>
    <n v="57433"/>
    <n v="10.999961694629583"/>
    <n v="5000"/>
    <n v="100"/>
    <x v="3044"/>
    <x v="12"/>
    <x v="1"/>
    <x v="1"/>
  </r>
  <r>
    <x v="239"/>
    <s v="ZTAN"/>
    <x v="10"/>
    <s v="KKPF51"/>
    <n v="95707734"/>
    <s v="QUILICURA"/>
    <x v="1422"/>
    <x v="8"/>
    <x v="0"/>
    <x v="8"/>
    <x v="1"/>
    <n v="1"/>
    <n v="55000"/>
    <n v="0"/>
    <n v="55000"/>
    <n v="28.592222915367021"/>
    <n v="5000"/>
    <n v="38"/>
    <x v="3045"/>
    <x v="12"/>
    <x v="1"/>
    <x v="1"/>
  </r>
  <r>
    <x v="239"/>
    <s v="ZTAN"/>
    <x v="10"/>
    <s v="RH1133"/>
    <n v="65941082"/>
    <s v="QUILICURA"/>
    <x v="2445"/>
    <x v="0"/>
    <x v="0"/>
    <x v="8"/>
    <x v="1"/>
    <n v="1"/>
    <n v="69524"/>
    <n v="0"/>
    <n v="69524"/>
    <n v="10.119352585002328"/>
    <n v="5000"/>
    <n v="100"/>
    <x v="3046"/>
    <x v="12"/>
    <x v="1"/>
    <x v="1"/>
  </r>
  <r>
    <x v="239"/>
    <s v="ZTAN"/>
    <x v="16"/>
    <s v="WC2233"/>
    <n v="125108660"/>
    <s v="MAIPU"/>
    <x v="414"/>
    <x v="4"/>
    <x v="1"/>
    <x v="2"/>
    <x v="1"/>
    <n v="2"/>
    <n v="107307"/>
    <n v="0"/>
    <n v="107307"/>
    <n v="10.999979498113829"/>
    <n v="5000"/>
    <n v="100"/>
    <x v="3047"/>
    <x v="12"/>
    <x v="1"/>
    <x v="1"/>
  </r>
  <r>
    <x v="239"/>
    <s v="ZTAN"/>
    <x v="7"/>
    <s v="BYZH29"/>
    <n v="122975819"/>
    <s v="CHILLAN"/>
    <x v="419"/>
    <x v="0"/>
    <x v="0"/>
    <x v="21"/>
    <x v="5"/>
    <n v="0"/>
    <n v="350000"/>
    <n v="0"/>
    <n v="350000"/>
    <n v="42.455118874332832"/>
    <n v="20000"/>
    <n v="65"/>
    <x v="3048"/>
    <x v="12"/>
    <x v="1"/>
    <x v="0"/>
  </r>
  <r>
    <x v="239"/>
    <s v="ZTAN"/>
    <x v="7"/>
    <s v="CJXX49"/>
    <n v="167832741"/>
    <s v="CHILLAN"/>
    <x v="419"/>
    <x v="5"/>
    <x v="0"/>
    <x v="21"/>
    <x v="5"/>
    <n v="0"/>
    <n v="350000"/>
    <n v="0"/>
    <n v="350000"/>
    <n v="42.455118874332832"/>
    <n v="20000"/>
    <n v="65"/>
    <x v="3049"/>
    <x v="12"/>
    <x v="1"/>
    <x v="0"/>
  </r>
  <r>
    <x v="239"/>
    <s v="ZTAN"/>
    <x v="7"/>
    <s v="DRFV76"/>
    <n v="113693568"/>
    <s v="CHILLAN"/>
    <x v="419"/>
    <x v="0"/>
    <x v="0"/>
    <x v="21"/>
    <x v="5"/>
    <n v="0"/>
    <n v="350000"/>
    <n v="0"/>
    <n v="350000"/>
    <n v="42.455118874332832"/>
    <n v="20000"/>
    <n v="65"/>
    <x v="3050"/>
    <x v="12"/>
    <x v="1"/>
    <x v="0"/>
  </r>
  <r>
    <x v="239"/>
    <s v="ZTAN"/>
    <x v="7"/>
    <s v="PN4466"/>
    <n v="81417709"/>
    <s v="RENCA"/>
    <x v="0"/>
    <x v="1"/>
    <x v="0"/>
    <x v="7"/>
    <x v="1"/>
    <n v="1"/>
    <n v="165088"/>
    <n v="0"/>
    <n v="165088"/>
    <n v="11.000000000000007"/>
    <n v="5000"/>
    <n v="100"/>
    <x v="3051"/>
    <x v="12"/>
    <x v="1"/>
    <x v="1"/>
  </r>
  <r>
    <x v="239"/>
    <s v="ZTAN"/>
    <x v="7"/>
    <s v="SU9354"/>
    <n v="72564391"/>
    <s v="SAN MIGUEL"/>
    <x v="2446"/>
    <x v="2"/>
    <x v="1"/>
    <x v="23"/>
    <x v="1"/>
    <n v="2"/>
    <n v="179408"/>
    <n v="0"/>
    <n v="179408"/>
    <n v="11.000012262566065"/>
    <n v="5000"/>
    <n v="100"/>
    <x v="3052"/>
    <x v="12"/>
    <x v="1"/>
    <x v="1"/>
  </r>
  <r>
    <x v="239"/>
    <s v="ZTAN"/>
    <x v="7"/>
    <s v="WC2233"/>
    <n v="125108660"/>
    <s v="RENCA"/>
    <x v="385"/>
    <x v="4"/>
    <x v="1"/>
    <x v="7"/>
    <x v="1"/>
    <n v="1"/>
    <n v="82544"/>
    <n v="0"/>
    <n v="82544"/>
    <n v="11.000000000000004"/>
    <n v="5000"/>
    <n v="100"/>
    <x v="3053"/>
    <x v="12"/>
    <x v="1"/>
    <x v="1"/>
  </r>
  <r>
    <x v="239"/>
    <s v="ZTAN"/>
    <x v="7"/>
    <s v="WC2233"/>
    <n v="125108660"/>
    <s v="SAN MIGUEL"/>
    <x v="1000"/>
    <x v="4"/>
    <x v="1"/>
    <x v="23"/>
    <x v="1"/>
    <n v="2"/>
    <n v="74290"/>
    <n v="0"/>
    <n v="74290"/>
    <n v="11.000059227671169"/>
    <n v="5000"/>
    <n v="100"/>
    <x v="3054"/>
    <x v="12"/>
    <x v="1"/>
    <x v="1"/>
  </r>
  <r>
    <x v="239"/>
    <s v="ZTAN"/>
    <x v="7"/>
    <s v="XR6339"/>
    <n v="78907355"/>
    <s v="RENCA"/>
    <x v="385"/>
    <x v="1"/>
    <x v="1"/>
    <x v="7"/>
    <x v="1"/>
    <n v="1"/>
    <n v="82544"/>
    <n v="0"/>
    <n v="82544"/>
    <n v="11.000000000000004"/>
    <n v="5000"/>
    <n v="100"/>
    <x v="3055"/>
    <x v="12"/>
    <x v="1"/>
    <x v="1"/>
  </r>
  <r>
    <x v="240"/>
    <s v="ZPEP"/>
    <x v="35"/>
    <s v="XR6339"/>
    <s v="154837728"/>
    <s v="PADRE HURTADO"/>
    <x v="2447"/>
    <x v="1"/>
    <x v="1"/>
    <x v="26"/>
    <x v="1"/>
    <n v="5"/>
    <n v="70000"/>
    <n v="0"/>
    <n v="70000"/>
    <n v="11.980024165420172"/>
    <n v="10000"/>
    <n v="58"/>
    <x v="3056"/>
    <x v="12"/>
    <x v="1"/>
    <x v="1"/>
  </r>
  <r>
    <x v="240"/>
    <s v="ZPEP"/>
    <x v="2"/>
    <s v="PN4466"/>
    <s v="81417709"/>
    <s v="PROVIDENCIA"/>
    <x v="2448"/>
    <x v="1"/>
    <x v="0"/>
    <x v="54"/>
    <x v="1"/>
    <n v="2"/>
    <n v="181727"/>
    <n v="0"/>
    <n v="181727"/>
    <n v="11.000024212195683"/>
    <n v="5000"/>
    <n v="100"/>
    <x v="3057"/>
    <x v="12"/>
    <x v="1"/>
    <x v="1"/>
  </r>
  <r>
    <x v="240"/>
    <s v="ZPEP"/>
    <x v="2"/>
    <s v="RK5135"/>
    <s v="138841065"/>
    <s v="MAIPU"/>
    <x v="2449"/>
    <x v="3"/>
    <x v="1"/>
    <x v="2"/>
    <x v="1"/>
    <n v="2"/>
    <n v="97223"/>
    <n v="0"/>
    <n v="97223"/>
    <n v="10.999955874815718"/>
    <n v="5000"/>
    <n v="100"/>
    <x v="3058"/>
    <x v="12"/>
    <x v="1"/>
    <x v="1"/>
  </r>
  <r>
    <x v="240"/>
    <s v="ZTAN"/>
    <x v="73"/>
    <s v="SU9354"/>
    <s v="72564391"/>
    <s v="SANTIAGO"/>
    <x v="2450"/>
    <x v="2"/>
    <x v="1"/>
    <x v="20"/>
    <x v="1"/>
    <n v="1"/>
    <n v="55000"/>
    <n v="0"/>
    <n v="55000"/>
    <n v="23.43516979845754"/>
    <n v="5000"/>
    <n v="55"/>
    <x v="3059"/>
    <x v="12"/>
    <x v="1"/>
    <x v="1"/>
  </r>
  <r>
    <x v="240"/>
    <s v="ZTAN"/>
    <x v="77"/>
    <s v="DJLF85"/>
    <s v="125108660"/>
    <s v="PROVIDENCIA"/>
    <x v="2451"/>
    <x v="4"/>
    <x v="1"/>
    <x v="54"/>
    <x v="1"/>
    <n v="2"/>
    <n v="55000"/>
    <n v="0"/>
    <n v="55000"/>
    <n v="18.660767602193147"/>
    <n v="5000"/>
    <n v="59"/>
    <x v="3060"/>
    <x v="12"/>
    <x v="1"/>
    <x v="1"/>
  </r>
  <r>
    <x v="240"/>
    <s v="ZTAN"/>
    <x v="65"/>
    <s v="SU9354"/>
    <s v="72564391"/>
    <s v="SAN VICENTE"/>
    <x v="1124"/>
    <x v="2"/>
    <x v="1"/>
    <x v="90"/>
    <x v="6"/>
    <n v="0"/>
    <n v="180000"/>
    <n v="0"/>
    <n v="180000"/>
    <n v="28.823981552651802"/>
    <n v="20000"/>
    <n v="65"/>
    <x v="3061"/>
    <x v="12"/>
    <x v="1"/>
    <x v="0"/>
  </r>
  <r>
    <x v="240"/>
    <s v="ZTAN"/>
    <x v="9"/>
    <s v="XR6339"/>
    <s v="78907355"/>
    <s v="SAN BERNARDO"/>
    <x v="1067"/>
    <x v="1"/>
    <x v="1"/>
    <x v="4"/>
    <x v="1"/>
    <n v="4"/>
    <n v="93522"/>
    <n v="0"/>
    <n v="93522"/>
    <n v="11"/>
    <n v="5000"/>
    <n v="100"/>
    <x v="3062"/>
    <x v="12"/>
    <x v="1"/>
    <x v="1"/>
  </r>
  <r>
    <x v="240"/>
    <s v="ZTAN"/>
    <x v="7"/>
    <s v="HLBX77"/>
    <s v="16093509K"/>
    <s v="RENCA"/>
    <x v="385"/>
    <x v="1"/>
    <x v="1"/>
    <x v="7"/>
    <x v="1"/>
    <n v="1"/>
    <n v="82544"/>
    <n v="0"/>
    <n v="82544"/>
    <n v="11.000000000000004"/>
    <n v="5000"/>
    <n v="100"/>
    <x v="3063"/>
    <x v="12"/>
    <x v="1"/>
    <x v="1"/>
  </r>
  <r>
    <x v="240"/>
    <s v="ZTAN"/>
    <x v="7"/>
    <s v="HLBX77"/>
    <s v="16093509K"/>
    <s v="SAN MIGUEL"/>
    <x v="1458"/>
    <x v="1"/>
    <x v="1"/>
    <x v="23"/>
    <x v="1"/>
    <n v="2"/>
    <n v="74818"/>
    <n v="0"/>
    <n v="74818"/>
    <n v="11.000058809691838"/>
    <n v="5000"/>
    <n v="100"/>
    <x v="3064"/>
    <x v="12"/>
    <x v="1"/>
    <x v="1"/>
  </r>
  <r>
    <x v="240"/>
    <s v="ZTAN"/>
    <x v="7"/>
    <s v="PN4466"/>
    <s v="81417709"/>
    <s v="RENCA"/>
    <x v="2415"/>
    <x v="1"/>
    <x v="0"/>
    <x v="7"/>
    <x v="1"/>
    <n v="1"/>
    <n v="156834"/>
    <n v="0"/>
    <n v="156834"/>
    <n v="11.000028055212667"/>
    <n v="5000"/>
    <n v="100"/>
    <x v="3065"/>
    <x v="12"/>
    <x v="1"/>
    <x v="1"/>
  </r>
  <r>
    <x v="240"/>
    <s v="ZTAN"/>
    <x v="7"/>
    <s v="WC2233"/>
    <s v="125108660"/>
    <s v="RENCA"/>
    <x v="385"/>
    <x v="4"/>
    <x v="1"/>
    <x v="7"/>
    <x v="1"/>
    <n v="1"/>
    <n v="82544"/>
    <n v="0"/>
    <n v="82544"/>
    <n v="11.000000000000004"/>
    <n v="5000"/>
    <n v="100"/>
    <x v="3066"/>
    <x v="12"/>
    <x v="1"/>
    <x v="1"/>
  </r>
  <r>
    <x v="240"/>
    <s v="ZTAN"/>
    <x v="8"/>
    <s v="RK5135"/>
    <s v="138841065"/>
    <s v="REÑACA"/>
    <x v="1759"/>
    <x v="3"/>
    <x v="1"/>
    <x v="6"/>
    <x v="2"/>
    <n v="0"/>
    <n v="180000"/>
    <n v="0"/>
    <n v="180000"/>
    <n v="29.262582910651574"/>
    <n v="20000"/>
    <n v="100"/>
    <x v="3067"/>
    <x v="12"/>
    <x v="1"/>
    <x v="0"/>
  </r>
  <r>
    <x v="240"/>
    <s v="ZTAN"/>
    <x v="8"/>
    <s v="SV2718"/>
    <s v="99626231"/>
    <s v="PUDAHUEL"/>
    <x v="2452"/>
    <x v="1"/>
    <x v="1"/>
    <x v="10"/>
    <x v="1"/>
    <n v="1"/>
    <n v="55000"/>
    <n v="0"/>
    <n v="55000"/>
    <n v="15.676661726142971"/>
    <n v="5000"/>
    <n v="70"/>
    <x v="3068"/>
    <x v="12"/>
    <x v="1"/>
    <x v="1"/>
  </r>
  <r>
    <x v="240"/>
    <s v="ZTAN"/>
    <x v="8"/>
    <s v="TP3884"/>
    <s v="103018366"/>
    <s v="ÑUÑOA"/>
    <x v="961"/>
    <x v="1"/>
    <x v="1"/>
    <x v="15"/>
    <x v="1"/>
    <n v="4"/>
    <n v="55000"/>
    <n v="0"/>
    <n v="55000"/>
    <n v="14.375326711970724"/>
    <n v="5000"/>
    <n v="77"/>
    <x v="3069"/>
    <x v="12"/>
    <x v="1"/>
    <x v="1"/>
  </r>
  <r>
    <x v="241"/>
    <s v="ZPEP"/>
    <x v="2"/>
    <s v="DJLF85"/>
    <s v="125108660"/>
    <s v="SAN BERNARDO"/>
    <x v="2453"/>
    <x v="4"/>
    <x v="1"/>
    <x v="4"/>
    <x v="1"/>
    <n v="4"/>
    <n v="96973"/>
    <n v="0"/>
    <n v="96973"/>
    <n v="10.999984119313861"/>
    <n v="5000"/>
    <n v="100"/>
    <x v="3070"/>
    <x v="12"/>
    <x v="1"/>
    <x v="1"/>
  </r>
  <r>
    <x v="241"/>
    <s v="ZPEP"/>
    <x v="2"/>
    <s v="HLBX77"/>
    <s v="16093509K"/>
    <s v="MAIPU"/>
    <x v="2454"/>
    <x v="1"/>
    <x v="1"/>
    <x v="2"/>
    <x v="1"/>
    <n v="2"/>
    <n v="160425"/>
    <n v="0"/>
    <n v="160425"/>
    <n v="10.205749954831962"/>
    <n v="5000"/>
    <n v="100"/>
    <x v="3071"/>
    <x v="12"/>
    <x v="1"/>
    <x v="1"/>
  </r>
  <r>
    <x v="241"/>
    <s v="ZPEP"/>
    <x v="2"/>
    <s v="PN4466"/>
    <s v="81417709"/>
    <s v="PROVIDENCIA"/>
    <x v="2455"/>
    <x v="1"/>
    <x v="0"/>
    <x v="54"/>
    <x v="1"/>
    <n v="2"/>
    <n v="247031"/>
    <n v="0"/>
    <n v="247031"/>
    <n v="10.999987086656112"/>
    <n v="5000"/>
    <n v="100"/>
    <x v="3072"/>
    <x v="12"/>
    <x v="1"/>
    <x v="1"/>
  </r>
  <r>
    <x v="241"/>
    <s v="ZTAN"/>
    <x v="32"/>
    <s v="RK5135"/>
    <s v="138841065"/>
    <s v="LAMPA"/>
    <x v="234"/>
    <x v="3"/>
    <x v="1"/>
    <x v="17"/>
    <x v="1"/>
    <n v="5"/>
    <n v="70000"/>
    <n v="0"/>
    <n v="70000"/>
    <n v="7.7736318407960221"/>
    <n v="10000"/>
    <n v="90"/>
    <x v="3073"/>
    <x v="12"/>
    <x v="1"/>
    <x v="1"/>
  </r>
  <r>
    <x v="241"/>
    <s v="ZTAN"/>
    <x v="10"/>
    <s v="HLBX77"/>
    <s v="16093509K"/>
    <s v="QUILICURA"/>
    <x v="414"/>
    <x v="1"/>
    <x v="1"/>
    <x v="8"/>
    <x v="1"/>
    <n v="1"/>
    <n v="107307"/>
    <n v="0"/>
    <n v="107307"/>
    <n v="10.999979498113829"/>
    <n v="5000"/>
    <n v="100"/>
    <x v="3074"/>
    <x v="12"/>
    <x v="1"/>
    <x v="1"/>
  </r>
  <r>
    <x v="241"/>
    <s v="ZTAN"/>
    <x v="10"/>
    <s v="KKPF51"/>
    <s v="95707734"/>
    <s v="QUILICURA"/>
    <x v="670"/>
    <x v="8"/>
    <x v="0"/>
    <x v="8"/>
    <x v="1"/>
    <n v="1"/>
    <n v="81616"/>
    <n v="0"/>
    <n v="81616"/>
    <n v="11.000053911262059"/>
    <n v="5000"/>
    <n v="100"/>
    <x v="3075"/>
    <x v="12"/>
    <x v="1"/>
    <x v="1"/>
  </r>
  <r>
    <x v="241"/>
    <s v="ZTAN"/>
    <x v="10"/>
    <s v="RH1133"/>
    <s v="65941082"/>
    <s v="QUILICURA"/>
    <x v="2456"/>
    <x v="0"/>
    <x v="0"/>
    <x v="8"/>
    <x v="1"/>
    <n v="1"/>
    <n v="72547"/>
    <n v="0"/>
    <n v="72547"/>
    <n v="10.999969674915086"/>
    <n v="5000"/>
    <n v="100"/>
    <x v="3076"/>
    <x v="12"/>
    <x v="1"/>
    <x v="1"/>
  </r>
  <r>
    <x v="241"/>
    <s v="ZTAN"/>
    <x v="43"/>
    <s v="KKPF51"/>
    <s v="95707734"/>
    <s v="MELIPILLA"/>
    <x v="2457"/>
    <x v="8"/>
    <x v="0"/>
    <x v="29"/>
    <x v="1"/>
    <n v="5"/>
    <n v="120000"/>
    <n v="0"/>
    <n v="120000"/>
    <n v="8.0925791049607554"/>
    <n v="10000"/>
    <n v="100"/>
    <x v="3077"/>
    <x v="12"/>
    <x v="1"/>
    <x v="1"/>
  </r>
  <r>
    <x v="241"/>
    <s v="ZTAN"/>
    <x v="7"/>
    <s v="BYZH29"/>
    <s v="122975819"/>
    <s v="CHILLAN"/>
    <x v="2458"/>
    <x v="0"/>
    <x v="0"/>
    <x v="21"/>
    <x v="5"/>
    <n v="0"/>
    <n v="350000"/>
    <n v="0"/>
    <n v="350000"/>
    <n v="21.227559437166423"/>
    <n v="20000"/>
    <n v="82"/>
    <x v="3078"/>
    <x v="12"/>
    <x v="1"/>
    <x v="0"/>
  </r>
  <r>
    <x v="241"/>
    <s v="ZTAN"/>
    <x v="7"/>
    <s v="DJLF85"/>
    <s v="125108660"/>
    <s v="RENCA"/>
    <x v="385"/>
    <x v="4"/>
    <x v="1"/>
    <x v="7"/>
    <x v="1"/>
    <n v="1"/>
    <n v="82544"/>
    <n v="0"/>
    <n v="82544"/>
    <n v="11.000000000000004"/>
    <n v="5000"/>
    <n v="100"/>
    <x v="3079"/>
    <x v="12"/>
    <x v="1"/>
    <x v="1"/>
  </r>
  <r>
    <x v="241"/>
    <s v="ZTAN"/>
    <x v="7"/>
    <s v="PN4466"/>
    <s v="81417709"/>
    <s v="RENCA"/>
    <x v="1931"/>
    <x v="1"/>
    <x v="0"/>
    <x v="7"/>
    <x v="1"/>
    <n v="1"/>
    <n v="187044"/>
    <n v="0"/>
    <n v="187044"/>
    <n v="10.999999999999993"/>
    <n v="5000"/>
    <n v="100"/>
    <x v="3080"/>
    <x v="12"/>
    <x v="1"/>
    <x v="1"/>
  </r>
  <r>
    <x v="241"/>
    <s v="ZTAN"/>
    <x v="7"/>
    <s v="RK5135"/>
    <s v="138841065"/>
    <s v="RENCA"/>
    <x v="385"/>
    <x v="3"/>
    <x v="1"/>
    <x v="7"/>
    <x v="1"/>
    <n v="1"/>
    <n v="82544"/>
    <n v="0"/>
    <n v="82544"/>
    <n v="11.000000000000004"/>
    <n v="5000"/>
    <n v="100"/>
    <x v="3081"/>
    <x v="12"/>
    <x v="1"/>
    <x v="1"/>
  </r>
  <r>
    <x v="241"/>
    <s v="ZTAN"/>
    <x v="7"/>
    <s v="SU9354"/>
    <s v="72564391"/>
    <s v="RENCA"/>
    <x v="2459"/>
    <x v="2"/>
    <x v="1"/>
    <x v="7"/>
    <x v="1"/>
    <n v="1"/>
    <n v="66950"/>
    <n v="0"/>
    <n v="66950"/>
    <n v="10.999934279705569"/>
    <n v="5000"/>
    <n v="100"/>
    <x v="3082"/>
    <x v="12"/>
    <x v="1"/>
    <x v="1"/>
  </r>
  <r>
    <x v="241"/>
    <s v="ZTAN"/>
    <x v="7"/>
    <s v="TP3884"/>
    <s v="154837728"/>
    <s v="RENCA"/>
    <x v="2460"/>
    <x v="1"/>
    <x v="1"/>
    <x v="7"/>
    <x v="1"/>
    <n v="1"/>
    <n v="66950"/>
    <n v="0"/>
    <n v="66950"/>
    <n v="10.999934279705574"/>
    <n v="5000"/>
    <n v="100"/>
    <x v="3083"/>
    <x v="12"/>
    <x v="1"/>
    <x v="1"/>
  </r>
  <r>
    <x v="241"/>
    <s v="ZTAN"/>
    <x v="8"/>
    <s v="TP3884"/>
    <s v="99626232"/>
    <s v="PUDAHUEL"/>
    <x v="2461"/>
    <x v="1"/>
    <x v="1"/>
    <x v="10"/>
    <x v="1"/>
    <n v="1"/>
    <n v="57200"/>
    <n v="0"/>
    <n v="57200"/>
    <n v="10.999999999999998"/>
    <n v="5000"/>
    <n v="100"/>
    <x v="3084"/>
    <x v="12"/>
    <x v="1"/>
    <x v="1"/>
  </r>
  <r>
    <x v="242"/>
    <s v="ZPEP"/>
    <x v="2"/>
    <s v="PN4466"/>
    <s v="81417709"/>
    <s v="PROVIDENCIA"/>
    <x v="2462"/>
    <x v="1"/>
    <x v="0"/>
    <x v="54"/>
    <x v="1"/>
    <n v="2"/>
    <n v="192251"/>
    <n v="0"/>
    <n v="192251"/>
    <n v="11.000014876405677"/>
    <n v="5000"/>
    <n v="100"/>
    <x v="3085"/>
    <x v="12"/>
    <x v="1"/>
    <x v="1"/>
  </r>
  <r>
    <x v="242"/>
    <s v="ZTAN"/>
    <x v="12"/>
    <s v="DJLF85"/>
    <s v="125108660"/>
    <s v="VITACURA"/>
    <x v="88"/>
    <x v="4"/>
    <x v="1"/>
    <x v="27"/>
    <x v="1"/>
    <n v="4"/>
    <n v="177667"/>
    <n v="0"/>
    <n v="177667"/>
    <n v="11.000017335829693"/>
    <n v="5000"/>
    <n v="100"/>
    <x v="3086"/>
    <x v="12"/>
    <x v="1"/>
    <x v="1"/>
  </r>
  <r>
    <x v="242"/>
    <s v="ZTAN"/>
    <x v="12"/>
    <s v="HLBX77"/>
    <s v="16093509K"/>
    <s v="VITACURA"/>
    <x v="88"/>
    <x v="1"/>
    <x v="1"/>
    <x v="27"/>
    <x v="1"/>
    <n v="4"/>
    <n v="177667"/>
    <n v="0"/>
    <n v="177667"/>
    <n v="11.000017335829693"/>
    <n v="5000"/>
    <n v="100"/>
    <x v="3087"/>
    <x v="12"/>
    <x v="1"/>
    <x v="1"/>
  </r>
  <r>
    <x v="242"/>
    <s v="ZTAN"/>
    <x v="70"/>
    <s v="HLBX77"/>
    <s v="16093509K"/>
    <s v="SANTIAGO"/>
    <x v="414"/>
    <x v="1"/>
    <x v="1"/>
    <x v="20"/>
    <x v="1"/>
    <n v="1"/>
    <n v="107307"/>
    <n v="0"/>
    <n v="107307"/>
    <n v="10.999979498113829"/>
    <n v="5000"/>
    <n v="100"/>
    <x v="3088"/>
    <x v="12"/>
    <x v="1"/>
    <x v="1"/>
  </r>
  <r>
    <x v="242"/>
    <s v="ZTAN"/>
    <x v="7"/>
    <s v="DJLF85"/>
    <s v="125108660"/>
    <s v="RENCA"/>
    <x v="385"/>
    <x v="4"/>
    <x v="1"/>
    <x v="7"/>
    <x v="1"/>
    <n v="1"/>
    <n v="82544"/>
    <n v="0"/>
    <n v="82544"/>
    <n v="11.000000000000004"/>
    <n v="5000"/>
    <n v="100"/>
    <x v="3089"/>
    <x v="12"/>
    <x v="1"/>
    <x v="1"/>
  </r>
  <r>
    <x v="242"/>
    <s v="ZTAN"/>
    <x v="7"/>
    <s v="XR6339"/>
    <s v="78907355"/>
    <s v="SAN MIGUEL"/>
    <x v="2135"/>
    <x v="1"/>
    <x v="1"/>
    <x v="23"/>
    <x v="1"/>
    <n v="2"/>
    <n v="77831"/>
    <n v="0"/>
    <n v="77831"/>
    <n v="11.000070666384"/>
    <n v="5000"/>
    <n v="100"/>
    <x v="3090"/>
    <x v="12"/>
    <x v="1"/>
    <x v="1"/>
  </r>
  <r>
    <x v="242"/>
    <s v="ZTAN"/>
    <x v="8"/>
    <s v="CJXX49"/>
    <s v="167832741"/>
    <s v="CORONEL"/>
    <x v="2463"/>
    <x v="5"/>
    <x v="0"/>
    <x v="16"/>
    <x v="0"/>
    <n v="0"/>
    <n v="380000"/>
    <n v="0"/>
    <n v="380000"/>
    <n v="26.89618074233459"/>
    <n v="20000"/>
    <n v="72"/>
    <x v="3091"/>
    <x v="12"/>
    <x v="1"/>
    <x v="0"/>
  </r>
  <r>
    <x v="242"/>
    <s v="ZTAN"/>
    <x v="8"/>
    <s v="KKPF51"/>
    <s v="95707734"/>
    <s v="CHILLAN"/>
    <x v="2048"/>
    <x v="8"/>
    <x v="0"/>
    <x v="21"/>
    <x v="5"/>
    <n v="0"/>
    <n v="350000"/>
    <n v="0"/>
    <n v="350000"/>
    <n v="25.686188169675638"/>
    <n v="20000"/>
    <n v="68"/>
    <x v="3092"/>
    <x v="12"/>
    <x v="1"/>
    <x v="0"/>
  </r>
  <r>
    <x v="242"/>
    <s v="ZTAN"/>
    <x v="8"/>
    <s v="RK5135"/>
    <s v="138841065"/>
    <s v="RANCAGUA"/>
    <x v="2464"/>
    <x v="3"/>
    <x v="1"/>
    <x v="28"/>
    <x v="6"/>
    <n v="0"/>
    <n v="180000"/>
    <n v="0"/>
    <n v="180000"/>
    <n v="38.400819217476645"/>
    <n v="20000"/>
    <n v="23"/>
    <x v="3093"/>
    <x v="12"/>
    <x v="1"/>
    <x v="0"/>
  </r>
  <r>
    <x v="242"/>
    <s v="ZTAN"/>
    <x v="8"/>
    <s v="SV2718"/>
    <s v="78907355"/>
    <s v="CERRILLOS"/>
    <x v="2465"/>
    <x v="1"/>
    <x v="1"/>
    <x v="9"/>
    <x v="1"/>
    <n v="2"/>
    <n v="55000"/>
    <n v="0"/>
    <n v="55000"/>
    <n v="14.661974834719556"/>
    <n v="5000"/>
    <n v="75"/>
    <x v="3094"/>
    <x v="12"/>
    <x v="1"/>
    <x v="1"/>
  </r>
  <r>
    <x v="242"/>
    <s v="ZTAN"/>
    <x v="8"/>
    <s v="TP3884"/>
    <s v="99626232"/>
    <s v="PUDAHUEL"/>
    <x v="2466"/>
    <x v="1"/>
    <x v="1"/>
    <x v="10"/>
    <x v="1"/>
    <n v="1"/>
    <n v="59391"/>
    <n v="0"/>
    <n v="59391"/>
    <n v="10.999962957475178"/>
    <n v="5000"/>
    <n v="100"/>
    <x v="3095"/>
    <x v="12"/>
    <x v="1"/>
    <x v="1"/>
  </r>
  <r>
    <x v="242"/>
    <s v="ZTAN"/>
    <x v="8"/>
    <s v="TW7053"/>
    <s v="172861164"/>
    <s v="TEMUCO"/>
    <x v="2467"/>
    <x v="6"/>
    <x v="1"/>
    <x v="14"/>
    <x v="4"/>
    <n v="0"/>
    <n v="620000"/>
    <n v="0"/>
    <n v="620000"/>
    <n v="45.501247614853924"/>
    <n v="20000"/>
    <n v="68"/>
    <x v="3096"/>
    <x v="12"/>
    <x v="1"/>
    <x v="0"/>
  </r>
  <r>
    <x v="243"/>
    <s v="ZPEP"/>
    <x v="27"/>
    <s v="KLVY88"/>
    <s v="139094328"/>
    <s v="SAN CARLOS"/>
    <x v="2468"/>
    <x v="0"/>
    <x v="0"/>
    <x v="32"/>
    <x v="5"/>
    <n v="0"/>
    <n v="350000"/>
    <n v="0"/>
    <n v="350000"/>
    <n v="22.458701656040493"/>
    <n v="20000"/>
    <n v="78"/>
    <x v="3097"/>
    <x v="12"/>
    <x v="1"/>
    <x v="0"/>
  </r>
  <r>
    <x v="243"/>
    <s v="ZPEP"/>
    <x v="2"/>
    <s v="PN4466"/>
    <s v="81417709"/>
    <s v="SAN BERNARDO"/>
    <x v="2469"/>
    <x v="1"/>
    <x v="0"/>
    <x v="4"/>
    <x v="1"/>
    <n v="4"/>
    <n v="206988"/>
    <n v="0"/>
    <n v="206988"/>
    <n v="10.999982994209528"/>
    <n v="5000"/>
    <n v="100"/>
    <x v="3098"/>
    <x v="12"/>
    <x v="1"/>
    <x v="1"/>
  </r>
  <r>
    <x v="243"/>
    <s v="ZTAN"/>
    <x v="12"/>
    <s v="DJLF85"/>
    <s v="125108660"/>
    <s v="VITACURA"/>
    <x v="2470"/>
    <x v="4"/>
    <x v="1"/>
    <x v="27"/>
    <x v="1"/>
    <n v="4"/>
    <n v="138387"/>
    <n v="0"/>
    <n v="138387"/>
    <n v="11.000031794985931"/>
    <n v="5000"/>
    <n v="100"/>
    <x v="3099"/>
    <x v="12"/>
    <x v="1"/>
    <x v="1"/>
  </r>
  <r>
    <x v="243"/>
    <s v="ZTAN"/>
    <x v="70"/>
    <s v="RK5135"/>
    <s v="138841065"/>
    <s v="SANTIAGO"/>
    <x v="414"/>
    <x v="3"/>
    <x v="1"/>
    <x v="20"/>
    <x v="1"/>
    <n v="1"/>
    <n v="107307"/>
    <n v="0"/>
    <n v="107307"/>
    <n v="10.999979498113829"/>
    <n v="5000"/>
    <n v="100"/>
    <x v="3100"/>
    <x v="12"/>
    <x v="1"/>
    <x v="1"/>
  </r>
  <r>
    <x v="243"/>
    <s v="ZTAN"/>
    <x v="70"/>
    <s v="XR6339"/>
    <s v="154837728"/>
    <s v="SANTIAGO"/>
    <x v="414"/>
    <x v="1"/>
    <x v="1"/>
    <x v="20"/>
    <x v="1"/>
    <n v="1"/>
    <n v="107307"/>
    <n v="0"/>
    <n v="107307"/>
    <n v="10.999979498113829"/>
    <n v="5000"/>
    <n v="100"/>
    <x v="3101"/>
    <x v="12"/>
    <x v="1"/>
    <x v="1"/>
  </r>
  <r>
    <x v="243"/>
    <s v="ZTAN"/>
    <x v="7"/>
    <s v="DJLF85"/>
    <s v="125108660"/>
    <s v="RENCA"/>
    <x v="2471"/>
    <x v="4"/>
    <x v="1"/>
    <x v="7"/>
    <x v="1"/>
    <n v="1"/>
    <n v="66572"/>
    <n v="0"/>
    <n v="66572"/>
    <n v="10.999999999999995"/>
    <n v="5000"/>
    <n v="100"/>
    <x v="3102"/>
    <x v="12"/>
    <x v="1"/>
    <x v="1"/>
  </r>
  <r>
    <x v="243"/>
    <s v="ZTAN"/>
    <x v="7"/>
    <s v="HLBX77"/>
    <s v="16093509K"/>
    <s v="RENCA"/>
    <x v="2472"/>
    <x v="1"/>
    <x v="1"/>
    <x v="7"/>
    <x v="1"/>
    <n v="1"/>
    <n v="55000"/>
    <n v="0"/>
    <n v="55000"/>
    <n v="11.574074074074074"/>
    <n v="5000"/>
    <n v="95"/>
    <x v="3103"/>
    <x v="12"/>
    <x v="1"/>
    <x v="1"/>
  </r>
  <r>
    <x v="243"/>
    <s v="ZTAN"/>
    <x v="7"/>
    <s v="PN4466"/>
    <s v="81417709"/>
    <s v="RENCA"/>
    <x v="2070"/>
    <x v="1"/>
    <x v="0"/>
    <x v="7"/>
    <x v="1"/>
    <n v="1"/>
    <n v="78408"/>
    <n v="0"/>
    <n v="78408"/>
    <n v="10.999999999999995"/>
    <n v="5000"/>
    <n v="100"/>
    <x v="3104"/>
    <x v="12"/>
    <x v="1"/>
    <x v="1"/>
  </r>
  <r>
    <x v="243"/>
    <s v="ZTAN"/>
    <x v="8"/>
    <s v="SV2718"/>
    <s v="103018366"/>
    <s v="LAS CONDES"/>
    <x v="361"/>
    <x v="1"/>
    <x v="1"/>
    <x v="3"/>
    <x v="1"/>
    <n v="4"/>
    <n v="55000"/>
    <n v="0"/>
    <n v="55000"/>
    <n v="13.78584319229998"/>
    <n v="5000"/>
    <n v="80"/>
    <x v="3105"/>
    <x v="12"/>
    <x v="1"/>
    <x v="1"/>
  </r>
  <r>
    <x v="243"/>
    <s v="ZTAN"/>
    <x v="8"/>
    <s v="TP3884"/>
    <s v="99626232"/>
    <s v="PUDAHUEL"/>
    <x v="2473"/>
    <x v="1"/>
    <x v="1"/>
    <x v="10"/>
    <x v="1"/>
    <n v="1"/>
    <n v="85501"/>
    <n v="0"/>
    <n v="85501"/>
    <n v="11.000025730753398"/>
    <n v="5000"/>
    <n v="100"/>
    <x v="3106"/>
    <x v="12"/>
    <x v="1"/>
    <x v="1"/>
  </r>
  <r>
    <x v="243"/>
    <s v="ZTAN"/>
    <x v="8"/>
    <s v="XR6339"/>
    <s v="154837728"/>
    <s v="QUILIN"/>
    <x v="2474"/>
    <x v="1"/>
    <x v="1"/>
    <x v="34"/>
    <x v="1"/>
    <n v="4"/>
    <n v="79512"/>
    <n v="0"/>
    <n v="79512"/>
    <n v="10.999944662719276"/>
    <n v="5000"/>
    <n v="100"/>
    <x v="3107"/>
    <x v="12"/>
    <x v="1"/>
    <x v="1"/>
  </r>
  <r>
    <x v="244"/>
    <s v="ZPEP"/>
    <x v="5"/>
    <s v="PN4466"/>
    <s v="81417709"/>
    <s v="RENGO"/>
    <x v="2475"/>
    <x v="1"/>
    <x v="0"/>
    <x v="91"/>
    <x v="6"/>
    <n v="0"/>
    <n v="280000"/>
    <n v="0"/>
    <n v="280000"/>
    <n v="14.53228866938213"/>
    <n v="20000"/>
    <n v="96"/>
    <x v="3108"/>
    <x v="12"/>
    <x v="1"/>
    <x v="0"/>
  </r>
  <r>
    <x v="244"/>
    <s v="ZPEP"/>
    <x v="2"/>
    <s v="HLBX77"/>
    <s v="16093509K"/>
    <s v="MAIPU"/>
    <x v="2476"/>
    <x v="1"/>
    <x v="1"/>
    <x v="2"/>
    <x v="1"/>
    <n v="2"/>
    <n v="113146"/>
    <n v="0"/>
    <n v="113146"/>
    <n v="10.999957223576809"/>
    <n v="5000"/>
    <n v="100"/>
    <x v="3109"/>
    <x v="12"/>
    <x v="1"/>
    <x v="1"/>
  </r>
  <r>
    <x v="244"/>
    <s v="ZTAN"/>
    <x v="12"/>
    <s v="DJLF85"/>
    <s v="125108660"/>
    <s v="VITACURA"/>
    <x v="2477"/>
    <x v="4"/>
    <x v="1"/>
    <x v="27"/>
    <x v="1"/>
    <n v="4"/>
    <n v="336090"/>
    <n v="0"/>
    <n v="336090"/>
    <n v="11.000013091746956"/>
    <n v="5000"/>
    <n v="100"/>
    <x v="3110"/>
    <x v="12"/>
    <x v="1"/>
    <x v="1"/>
  </r>
  <r>
    <x v="244"/>
    <s v="ZTAN"/>
    <x v="10"/>
    <s v="RH1133"/>
    <s v="65941082"/>
    <s v="QUILICURA"/>
    <x v="2478"/>
    <x v="0"/>
    <x v="0"/>
    <x v="8"/>
    <x v="1"/>
    <n v="1"/>
    <n v="91476"/>
    <n v="0"/>
    <n v="91476"/>
    <n v="10.693944353518811"/>
    <n v="5000"/>
    <n v="100"/>
    <x v="3111"/>
    <x v="12"/>
    <x v="1"/>
    <x v="1"/>
  </r>
  <r>
    <x v="244"/>
    <s v="ZTAN"/>
    <x v="70"/>
    <s v="RK5135"/>
    <s v="138841065"/>
    <s v="SANTIAGO"/>
    <x v="414"/>
    <x v="3"/>
    <x v="1"/>
    <x v="20"/>
    <x v="1"/>
    <n v="1"/>
    <n v="107307"/>
    <n v="0"/>
    <n v="107307"/>
    <n v="10.999979498113829"/>
    <n v="5000"/>
    <n v="100"/>
    <x v="3112"/>
    <x v="12"/>
    <x v="1"/>
    <x v="1"/>
  </r>
  <r>
    <x v="244"/>
    <s v="ZTAN"/>
    <x v="70"/>
    <s v="XR6339"/>
    <s v="154837728"/>
    <s v="SANTIAGO"/>
    <x v="234"/>
    <x v="1"/>
    <x v="1"/>
    <x v="20"/>
    <x v="1"/>
    <n v="1"/>
    <n v="99053"/>
    <n v="0"/>
    <n v="99053"/>
    <n v="11.000022210376692"/>
    <n v="5000"/>
    <n v="100"/>
    <x v="3113"/>
    <x v="12"/>
    <x v="1"/>
    <x v="1"/>
  </r>
  <r>
    <x v="244"/>
    <s v="ZTAN"/>
    <x v="81"/>
    <s v="TP3884"/>
    <s v="154837728"/>
    <s v="RENCA"/>
    <x v="2479"/>
    <x v="1"/>
    <x v="1"/>
    <x v="7"/>
    <x v="1"/>
    <n v="1"/>
    <n v="59519"/>
    <n v="0"/>
    <n v="59519"/>
    <n v="8.8704581358609786"/>
    <n v="5000"/>
    <n v="100"/>
    <x v="3114"/>
    <x v="12"/>
    <x v="1"/>
    <x v="1"/>
  </r>
  <r>
    <x v="244"/>
    <s v="ZTAN"/>
    <x v="8"/>
    <s v="BWPL69"/>
    <s v="78551976"/>
    <s v="ANGOL"/>
    <x v="1462"/>
    <x v="5"/>
    <x v="0"/>
    <x v="84"/>
    <x v="4"/>
    <n v="0"/>
    <n v="620000"/>
    <n v="0"/>
    <n v="620000"/>
    <n v="42.756261723491122"/>
    <n v="20000"/>
    <n v="73"/>
    <x v="3115"/>
    <x v="12"/>
    <x v="1"/>
    <x v="0"/>
  </r>
  <r>
    <x v="244"/>
    <s v="ZTAN"/>
    <x v="8"/>
    <s v="HDDV11"/>
    <s v="79602280"/>
    <s v="CONCEPCION"/>
    <x v="2480"/>
    <x v="0"/>
    <x v="0"/>
    <x v="81"/>
    <x v="0"/>
    <n v="0"/>
    <n v="380000"/>
    <n v="0"/>
    <n v="380000"/>
    <n v="46.094129063561375"/>
    <n v="20000"/>
    <n v="56"/>
    <x v="3116"/>
    <x v="12"/>
    <x v="1"/>
    <x v="0"/>
  </r>
  <r>
    <x v="245"/>
    <s v="ZTAN"/>
    <x v="8"/>
    <s v="TP3884"/>
    <n v="99626232"/>
    <s v="PUDAHUEL"/>
    <x v="2481"/>
    <x v="1"/>
    <x v="1"/>
    <x v="10"/>
    <x v="1"/>
    <n v="1"/>
    <n v="55000"/>
    <n v="0"/>
    <n v="55000"/>
    <n v="11.219910240718077"/>
    <n v="5000"/>
    <n v="98"/>
    <x v="3117"/>
    <x v="12"/>
    <x v="1"/>
    <x v="1"/>
  </r>
  <r>
    <x v="246"/>
    <s v="ZPEP"/>
    <x v="17"/>
    <s v="HLBX77"/>
    <s v="16093509K"/>
    <s v="LAMPA"/>
    <x v="2482"/>
    <x v="1"/>
    <x v="1"/>
    <x v="17"/>
    <x v="1"/>
    <n v="5"/>
    <n v="70000"/>
    <n v="0"/>
    <n v="70000"/>
    <n v="17.031630170316298"/>
    <n v="10000"/>
    <n v="41"/>
    <x v="3118"/>
    <x v="12"/>
    <x v="1"/>
    <x v="1"/>
  </r>
  <r>
    <x v="246"/>
    <s v="ZPEP"/>
    <x v="5"/>
    <s v="PN4466"/>
    <s v="81417709"/>
    <s v="COLINA"/>
    <x v="2483"/>
    <x v="1"/>
    <x v="0"/>
    <x v="5"/>
    <x v="1"/>
    <n v="5"/>
    <n v="120000"/>
    <n v="0"/>
    <n v="120000"/>
    <n v="8.1668598355875002"/>
    <n v="10000"/>
    <n v="100"/>
    <x v="3119"/>
    <x v="12"/>
    <x v="1"/>
    <x v="1"/>
  </r>
  <r>
    <x v="246"/>
    <s v="ZTAN"/>
    <x v="12"/>
    <s v="DJLF85"/>
    <s v="125108660"/>
    <s v="VITACURA"/>
    <x v="835"/>
    <x v="4"/>
    <x v="1"/>
    <x v="27"/>
    <x v="1"/>
    <n v="4"/>
    <n v="152768"/>
    <n v="0"/>
    <n v="152768"/>
    <n v="11.000000000000007"/>
    <n v="5000"/>
    <n v="100"/>
    <x v="3120"/>
    <x v="12"/>
    <x v="1"/>
    <x v="1"/>
  </r>
  <r>
    <x v="246"/>
    <s v="ZTAN"/>
    <x v="10"/>
    <s v="PKYS74"/>
    <s v="6270439K"/>
    <s v="COQUIMBO"/>
    <x v="2484"/>
    <x v="0"/>
    <x v="0"/>
    <x v="42"/>
    <x v="8"/>
    <n v="0"/>
    <n v="600000"/>
    <n v="0"/>
    <n v="600000"/>
    <n v="23.780081803481412"/>
    <n v="20000"/>
    <n v="100"/>
    <x v="3121"/>
    <x v="12"/>
    <x v="1"/>
    <x v="0"/>
  </r>
  <r>
    <x v="246"/>
    <s v="ZTAN"/>
    <x v="10"/>
    <s v="RH1133"/>
    <s v="65941082"/>
    <s v="SANTIAGO"/>
    <x v="2226"/>
    <x v="0"/>
    <x v="0"/>
    <x v="20"/>
    <x v="1"/>
    <n v="1"/>
    <n v="94090"/>
    <n v="0"/>
    <n v="94090"/>
    <n v="11.000046763935645"/>
    <n v="5000"/>
    <n v="100"/>
    <x v="3122"/>
    <x v="12"/>
    <x v="1"/>
    <x v="1"/>
  </r>
  <r>
    <x v="246"/>
    <s v="ZTAN"/>
    <x v="6"/>
    <s v="RK5135"/>
    <s v="138841065"/>
    <s v="PEÑALOLEN"/>
    <x v="2485"/>
    <x v="3"/>
    <x v="1"/>
    <x v="34"/>
    <x v="1"/>
    <n v="4"/>
    <n v="55000"/>
    <n v="0"/>
    <n v="55000"/>
    <n v="9.1359091060097679"/>
    <n v="5000"/>
    <n v="98"/>
    <x v="3123"/>
    <x v="12"/>
    <x v="1"/>
    <x v="1"/>
  </r>
  <r>
    <x v="246"/>
    <s v="ZTAN"/>
    <x v="6"/>
    <s v="TP3884"/>
    <s v="154837728"/>
    <s v="MAIPU"/>
    <x v="2486"/>
    <x v="1"/>
    <x v="1"/>
    <x v="2"/>
    <x v="1"/>
    <n v="2"/>
    <n v="72323"/>
    <n v="0"/>
    <n v="72323"/>
    <n v="11.000030419176245"/>
    <n v="5000"/>
    <n v="100"/>
    <x v="3124"/>
    <x v="12"/>
    <x v="1"/>
    <x v="1"/>
  </r>
  <r>
    <x v="246"/>
    <s v="ZTAN"/>
    <x v="7"/>
    <s v="DJLF85"/>
    <s v="125108660"/>
    <s v="RENCA"/>
    <x v="2472"/>
    <x v="4"/>
    <x v="1"/>
    <x v="7"/>
    <x v="1"/>
    <n v="1"/>
    <n v="55000"/>
    <n v="0"/>
    <n v="55000"/>
    <n v="11.574074074074074"/>
    <n v="5000"/>
    <n v="95"/>
    <x v="3125"/>
    <x v="12"/>
    <x v="1"/>
    <x v="1"/>
  </r>
  <r>
    <x v="246"/>
    <s v="ZTAN"/>
    <x v="7"/>
    <s v="HLBX77"/>
    <s v="16093509K"/>
    <s v="RENCA"/>
    <x v="2472"/>
    <x v="1"/>
    <x v="1"/>
    <x v="7"/>
    <x v="1"/>
    <n v="1"/>
    <n v="55000"/>
    <n v="0"/>
    <n v="55000"/>
    <n v="11.574074074074074"/>
    <n v="5000"/>
    <n v="95"/>
    <x v="3126"/>
    <x v="12"/>
    <x v="1"/>
    <x v="1"/>
  </r>
  <r>
    <x v="246"/>
    <s v="ZTAN"/>
    <x v="7"/>
    <s v="PN4466"/>
    <s v="81417709"/>
    <s v="RENCA"/>
    <x v="2226"/>
    <x v="1"/>
    <x v="0"/>
    <x v="7"/>
    <x v="1"/>
    <n v="1"/>
    <n v="94090"/>
    <n v="0"/>
    <n v="94090"/>
    <n v="11.000046763935645"/>
    <n v="5000"/>
    <n v="100"/>
    <x v="3127"/>
    <x v="12"/>
    <x v="1"/>
    <x v="1"/>
  </r>
  <r>
    <x v="246"/>
    <s v="ZTAN"/>
    <x v="7"/>
    <s v="XR6339"/>
    <s v="78907355"/>
    <s v="MELIPILLA"/>
    <x v="2487"/>
    <x v="1"/>
    <x v="1"/>
    <x v="29"/>
    <x v="1"/>
    <n v="5"/>
    <n v="90000"/>
    <n v="0"/>
    <n v="90000"/>
    <n v="12.714378549430679"/>
    <n v="10000"/>
    <n v="71"/>
    <x v="3128"/>
    <x v="12"/>
    <x v="1"/>
    <x v="1"/>
  </r>
  <r>
    <x v="246"/>
    <s v="ZTAN"/>
    <x v="8"/>
    <s v="CJXX49"/>
    <s v="167832741"/>
    <s v="VILLARRICA"/>
    <x v="2488"/>
    <x v="5"/>
    <x v="0"/>
    <x v="88"/>
    <x v="4"/>
    <n v="0"/>
    <n v="620000"/>
    <n v="0"/>
    <n v="620000"/>
    <n v="39.164161002602526"/>
    <n v="20000"/>
    <n v="79"/>
    <x v="3129"/>
    <x v="12"/>
    <x v="1"/>
    <x v="0"/>
  </r>
  <r>
    <x v="246"/>
    <s v="ZTAN"/>
    <x v="8"/>
    <s v="SV2718"/>
    <s v="99626232"/>
    <s v="QUILICURA"/>
    <x v="2489"/>
    <x v="1"/>
    <x v="1"/>
    <x v="8"/>
    <x v="1"/>
    <n v="1"/>
    <n v="57268"/>
    <n v="0"/>
    <n v="57268"/>
    <n v="10.999961584264915"/>
    <n v="5000"/>
    <n v="100"/>
    <x v="3130"/>
    <x v="12"/>
    <x v="1"/>
    <x v="1"/>
  </r>
  <r>
    <x v="247"/>
    <s v="ZTAN"/>
    <x v="6"/>
    <s v="DJLF85"/>
    <s v="125108660"/>
    <s v="LA DEHESA"/>
    <x v="2490"/>
    <x v="4"/>
    <x v="1"/>
    <x v="41"/>
    <x v="1"/>
    <n v="4"/>
    <n v="55000"/>
    <n v="0"/>
    <n v="55000"/>
    <n v="12.610051357300074"/>
    <n v="5000"/>
    <n v="87"/>
    <x v="3131"/>
    <x v="12"/>
    <x v="1"/>
    <x v="1"/>
  </r>
  <r>
    <x v="247"/>
    <s v="ZTAN"/>
    <x v="6"/>
    <s v="KKPF51"/>
    <s v="95707734"/>
    <s v="LINARES"/>
    <x v="2491"/>
    <x v="8"/>
    <x v="0"/>
    <x v="59"/>
    <x v="3"/>
    <n v="0"/>
    <n v="330000"/>
    <n v="0"/>
    <n v="330000"/>
    <n v="31.842831503174637"/>
    <n v="20000"/>
    <n v="60"/>
    <x v="3132"/>
    <x v="12"/>
    <x v="1"/>
    <x v="0"/>
  </r>
  <r>
    <x v="247"/>
    <s v="ZTAN"/>
    <x v="7"/>
    <s v="DJLF85"/>
    <s v="125108660"/>
    <s v="RENCA"/>
    <x v="1219"/>
    <x v="4"/>
    <x v="1"/>
    <x v="7"/>
    <x v="1"/>
    <n v="1"/>
    <n v="55000"/>
    <n v="0"/>
    <n v="55000"/>
    <n v="20.014556040756915"/>
    <n v="5000"/>
    <n v="55"/>
    <x v="3133"/>
    <x v="12"/>
    <x v="1"/>
    <x v="1"/>
  </r>
  <r>
    <x v="247"/>
    <s v="ZTAN"/>
    <x v="7"/>
    <s v="HLBX77"/>
    <s v="16093509K"/>
    <s v="RENCA"/>
    <x v="1219"/>
    <x v="1"/>
    <x v="1"/>
    <x v="7"/>
    <x v="1"/>
    <n v="1"/>
    <n v="55000"/>
    <n v="0"/>
    <n v="55000"/>
    <n v="20.014556040756915"/>
    <n v="5000"/>
    <n v="55"/>
    <x v="3134"/>
    <x v="12"/>
    <x v="1"/>
    <x v="1"/>
  </r>
  <r>
    <x v="247"/>
    <s v="ZTAN"/>
    <x v="7"/>
    <s v="PN4466"/>
    <s v="81417709"/>
    <s v="RENCA"/>
    <x v="0"/>
    <x v="1"/>
    <x v="0"/>
    <x v="7"/>
    <x v="1"/>
    <n v="1"/>
    <n v="165088"/>
    <n v="0"/>
    <n v="165088"/>
    <n v="11.000000000000007"/>
    <n v="5000"/>
    <n v="100"/>
    <x v="3135"/>
    <x v="12"/>
    <x v="1"/>
    <x v="1"/>
  </r>
  <r>
    <x v="247"/>
    <s v="ZTAN"/>
    <x v="7"/>
    <s v="UA7248"/>
    <s v="154837728"/>
    <s v="SAN MIGUEL"/>
    <x v="1589"/>
    <x v="1"/>
    <x v="1"/>
    <x v="23"/>
    <x v="1"/>
    <n v="2"/>
    <n v="55000"/>
    <n v="0"/>
    <n v="55000"/>
    <n v="16.678796700630759"/>
    <n v="5000"/>
    <n v="66"/>
    <x v="3136"/>
    <x v="12"/>
    <x v="1"/>
    <x v="1"/>
  </r>
  <r>
    <x v="247"/>
    <s v="ZTAN"/>
    <x v="7"/>
    <s v="XR6339"/>
    <s v="154837728"/>
    <s v="RENCA"/>
    <x v="1219"/>
    <x v="1"/>
    <x v="1"/>
    <x v="7"/>
    <x v="1"/>
    <n v="1"/>
    <n v="55000"/>
    <n v="0"/>
    <n v="55000"/>
    <n v="20.014556040756915"/>
    <n v="5000"/>
    <n v="55"/>
    <x v="3137"/>
    <x v="12"/>
    <x v="1"/>
    <x v="1"/>
  </r>
  <r>
    <x v="247"/>
    <s v="ZTAN"/>
    <x v="8"/>
    <s v="RH1133"/>
    <s v="65941082"/>
    <s v="VIÑA DEL MAR"/>
    <x v="2492"/>
    <x v="0"/>
    <x v="0"/>
    <x v="6"/>
    <x v="2"/>
    <n v="0"/>
    <n v="230000"/>
    <n v="0"/>
    <n v="230000"/>
    <n v="12.305255949323746"/>
    <n v="20000"/>
    <n v="93"/>
    <x v="3138"/>
    <x v="12"/>
    <x v="1"/>
    <x v="0"/>
  </r>
  <r>
    <x v="247"/>
    <s v="ZTAN"/>
    <x v="8"/>
    <s v="TP3884"/>
    <s v="99626232"/>
    <s v="PUDAHUEL"/>
    <x v="2493"/>
    <x v="1"/>
    <x v="1"/>
    <x v="10"/>
    <x v="1"/>
    <n v="1"/>
    <n v="120215"/>
    <n v="0"/>
    <n v="120215"/>
    <n v="11.0000366012115"/>
    <n v="5000"/>
    <n v="100"/>
    <x v="3139"/>
    <x v="12"/>
    <x v="1"/>
    <x v="1"/>
  </r>
  <r>
    <x v="247"/>
    <s v="ZTAN"/>
    <x v="8"/>
    <s v="XR6339"/>
    <s v="154837728"/>
    <s v="SAN BERNARDO"/>
    <x v="2494"/>
    <x v="1"/>
    <x v="1"/>
    <x v="4"/>
    <x v="1"/>
    <n v="4"/>
    <n v="55000"/>
    <n v="0"/>
    <n v="55000"/>
    <n v="77.160493827160494"/>
    <n v="5000"/>
    <n v="14"/>
    <x v="3140"/>
    <x v="12"/>
    <x v="1"/>
    <x v="1"/>
  </r>
  <r>
    <x v="248"/>
    <s v="ZPEP"/>
    <x v="5"/>
    <s v="RK5135"/>
    <s v="138841065"/>
    <s v="RENGO"/>
    <x v="2495"/>
    <x v="3"/>
    <x v="1"/>
    <x v="91"/>
    <x v="6"/>
    <n v="0"/>
    <n v="180000"/>
    <n v="0"/>
    <n v="180000"/>
    <n v="17.486933374783842"/>
    <n v="20000"/>
    <n v="51"/>
    <x v="3141"/>
    <x v="12"/>
    <x v="1"/>
    <x v="0"/>
  </r>
  <r>
    <x v="248"/>
    <s v="ZPEP"/>
    <x v="32"/>
    <s v="XR6339"/>
    <s v="78907355"/>
    <s v="LAMPA"/>
    <x v="2496"/>
    <x v="1"/>
    <x v="1"/>
    <x v="17"/>
    <x v="1"/>
    <n v="5"/>
    <n v="70000"/>
    <n v="0"/>
    <n v="70000"/>
    <n v="8.5654572241066251"/>
    <n v="10000"/>
    <n v="82"/>
    <x v="3142"/>
    <x v="12"/>
    <x v="1"/>
    <x v="1"/>
  </r>
  <r>
    <x v="248"/>
    <s v="ZPEP"/>
    <x v="12"/>
    <s v="PN4466"/>
    <s v="81417709"/>
    <s v="VITACURA"/>
    <x v="2497"/>
    <x v="1"/>
    <x v="0"/>
    <x v="27"/>
    <x v="1"/>
    <n v="4"/>
    <n v="270537"/>
    <n v="0"/>
    <n v="270537"/>
    <n v="11.000014637573679"/>
    <n v="5000"/>
    <n v="100"/>
    <x v="3143"/>
    <x v="12"/>
    <x v="1"/>
    <x v="1"/>
  </r>
  <r>
    <x v="248"/>
    <s v="ZPEP"/>
    <x v="9"/>
    <s v="TP3884"/>
    <s v="99626232"/>
    <s v="SAN BERNARDO"/>
    <x v="2498"/>
    <x v="1"/>
    <x v="1"/>
    <x v="4"/>
    <x v="1"/>
    <n v="4"/>
    <n v="55000"/>
    <n v="0"/>
    <n v="55000"/>
    <n v="26.066350710900473"/>
    <n v="5000"/>
    <n v="42"/>
    <x v="3144"/>
    <x v="12"/>
    <x v="1"/>
    <x v="1"/>
  </r>
  <r>
    <x v="248"/>
    <s v="ZTAN"/>
    <x v="10"/>
    <s v="DPKD94"/>
    <s v="125897258"/>
    <s v="COQUIMBO"/>
    <x v="2499"/>
    <x v="0"/>
    <x v="0"/>
    <x v="42"/>
    <x v="8"/>
    <n v="0"/>
    <n v="600000"/>
    <n v="0"/>
    <n v="600000"/>
    <n v="23.679007376010805"/>
    <n v="20000"/>
    <n v="100"/>
    <x v="3145"/>
    <x v="12"/>
    <x v="1"/>
    <x v="0"/>
  </r>
  <r>
    <x v="248"/>
    <s v="ZTAN"/>
    <x v="10"/>
    <s v="TN6106"/>
    <s v="66700488"/>
    <s v="COQUIMBO"/>
    <x v="2500"/>
    <x v="0"/>
    <x v="0"/>
    <x v="42"/>
    <x v="8"/>
    <n v="0"/>
    <n v="600000"/>
    <n v="0"/>
    <n v="600000"/>
    <n v="23.347575354299465"/>
    <n v="20000"/>
    <n v="100"/>
    <x v="3146"/>
    <x v="12"/>
    <x v="1"/>
    <x v="0"/>
  </r>
  <r>
    <x v="248"/>
    <s v="ZTAN"/>
    <x v="10"/>
    <s v="VC8102"/>
    <s v="97924201"/>
    <s v="COQUIMBO"/>
    <x v="2501"/>
    <x v="0"/>
    <x v="0"/>
    <x v="42"/>
    <x v="8"/>
    <n v="0"/>
    <n v="600000"/>
    <n v="0"/>
    <n v="600000"/>
    <n v="23.398681952245639"/>
    <n v="20000"/>
    <n v="100"/>
    <x v="3147"/>
    <x v="12"/>
    <x v="1"/>
    <x v="0"/>
  </r>
  <r>
    <x v="248"/>
    <s v="ZTAN"/>
    <x v="6"/>
    <s v="RH1133"/>
    <s v="65941082"/>
    <s v="SANTIAGO"/>
    <x v="2502"/>
    <x v="0"/>
    <x v="0"/>
    <x v="20"/>
    <x v="1"/>
    <n v="1"/>
    <n v="201927"/>
    <n v="0"/>
    <n v="201927"/>
    <n v="11"/>
    <n v="5000"/>
    <n v="100"/>
    <x v="3148"/>
    <x v="12"/>
    <x v="1"/>
    <x v="1"/>
  </r>
  <r>
    <x v="248"/>
    <s v="ZTAN"/>
    <x v="70"/>
    <s v="DJLF85"/>
    <s v="125108660"/>
    <s v="SANTIAGO"/>
    <x v="1067"/>
    <x v="4"/>
    <x v="1"/>
    <x v="20"/>
    <x v="1"/>
    <n v="1"/>
    <n v="93522"/>
    <n v="0"/>
    <n v="93522"/>
    <n v="11"/>
    <n v="5000"/>
    <n v="100"/>
    <x v="3149"/>
    <x v="12"/>
    <x v="1"/>
    <x v="1"/>
  </r>
  <r>
    <x v="248"/>
    <s v="ZTAN"/>
    <x v="70"/>
    <s v="HLBX77"/>
    <s v="16093509K"/>
    <s v="SANTIAGO"/>
    <x v="1067"/>
    <x v="1"/>
    <x v="1"/>
    <x v="20"/>
    <x v="1"/>
    <n v="1"/>
    <n v="93522"/>
    <n v="0"/>
    <n v="93522"/>
    <n v="11"/>
    <n v="5000"/>
    <n v="100"/>
    <x v="3150"/>
    <x v="12"/>
    <x v="1"/>
    <x v="1"/>
  </r>
  <r>
    <x v="248"/>
    <s v="ZTAN"/>
    <x v="8"/>
    <s v="SV2718"/>
    <s v="9962623"/>
    <s v="PUENTE ALTO"/>
    <x v="2503"/>
    <x v="1"/>
    <x v="1"/>
    <x v="30"/>
    <x v="1"/>
    <n v="4"/>
    <n v="60647"/>
    <n v="0"/>
    <n v="60647"/>
    <n v="10.999927449486705"/>
    <n v="5000"/>
    <n v="100"/>
    <x v="3151"/>
    <x v="12"/>
    <x v="1"/>
    <x v="1"/>
  </r>
  <r>
    <x v="248"/>
    <s v="ZTAN"/>
    <x v="8"/>
    <s v="TW7053"/>
    <s v="172861164"/>
    <s v="OSORNO"/>
    <x v="2504"/>
    <x v="6"/>
    <x v="1"/>
    <x v="64"/>
    <x v="10"/>
    <n v="0"/>
    <n v="900000"/>
    <n v="0"/>
    <n v="900000"/>
    <n v="54.284887087434889"/>
    <n v="20000"/>
    <n v="83"/>
    <x v="3152"/>
    <x v="12"/>
    <x v="1"/>
    <x v="0"/>
  </r>
  <r>
    <x v="249"/>
    <s v="ZPEP"/>
    <x v="32"/>
    <s v="DJLF85"/>
    <s v="125108660"/>
    <s v="LAMPA"/>
    <x v="2505"/>
    <x v="4"/>
    <x v="1"/>
    <x v="17"/>
    <x v="1"/>
    <n v="5"/>
    <n v="70000"/>
    <n v="0"/>
    <n v="70000"/>
    <n v="7.8082995531421728"/>
    <n v="10000"/>
    <n v="90"/>
    <x v="3153"/>
    <x v="12"/>
    <x v="1"/>
    <x v="1"/>
  </r>
  <r>
    <x v="249"/>
    <s v="ZPEP"/>
    <x v="2"/>
    <s v="PN4466"/>
    <s v="81417709"/>
    <s v="SAN BERNARDO"/>
    <x v="2506"/>
    <x v="1"/>
    <x v="0"/>
    <x v="4"/>
    <x v="1"/>
    <n v="4"/>
    <n v="203253"/>
    <n v="0"/>
    <n v="203253"/>
    <n v="10.999997294013546"/>
    <n v="5000"/>
    <n v="100"/>
    <x v="3154"/>
    <x v="12"/>
    <x v="1"/>
    <x v="1"/>
  </r>
  <r>
    <x v="249"/>
    <s v="ZTAN"/>
    <x v="10"/>
    <s v="BYZH29"/>
    <s v="122975819"/>
    <s v="TALCAHUANO"/>
    <x v="2507"/>
    <x v="0"/>
    <x v="0"/>
    <x v="0"/>
    <x v="0"/>
    <n v="0"/>
    <n v="380000"/>
    <n v="0"/>
    <n v="380000"/>
    <n v="41.098853558295481"/>
    <n v="20000"/>
    <n v="46"/>
    <x v="3155"/>
    <x v="12"/>
    <x v="1"/>
    <x v="0"/>
  </r>
  <r>
    <x v="249"/>
    <s v="ZTAN"/>
    <x v="10"/>
    <s v="TP3884"/>
    <s v="154837728"/>
    <s v="SANTIAGO"/>
    <x v="2508"/>
    <x v="1"/>
    <x v="1"/>
    <x v="20"/>
    <x v="1"/>
    <n v="1"/>
    <n v="104425"/>
    <n v="0"/>
    <n v="104425"/>
    <n v="10.999978932288373"/>
    <n v="5000"/>
    <n v="100"/>
    <x v="3156"/>
    <x v="12"/>
    <x v="1"/>
    <x v="1"/>
  </r>
  <r>
    <x v="249"/>
    <s v="ZTAN"/>
    <x v="41"/>
    <s v="KKPF51"/>
    <s v="95707734"/>
    <s v="EL MANZANO"/>
    <x v="397"/>
    <x v="8"/>
    <x v="0"/>
    <x v="61"/>
    <x v="6"/>
    <n v="0"/>
    <n v="230000"/>
    <n v="0"/>
    <n v="230000"/>
    <n v="12.260127931769723"/>
    <n v="20000"/>
    <n v="94"/>
    <x v="3157"/>
    <x v="12"/>
    <x v="1"/>
    <x v="0"/>
  </r>
  <r>
    <x v="249"/>
    <s v="ZTAN"/>
    <x v="7"/>
    <s v="HLBX77"/>
    <s v="160935096K"/>
    <s v="RENCA"/>
    <x v="1219"/>
    <x v="1"/>
    <x v="1"/>
    <x v="7"/>
    <x v="1"/>
    <n v="1"/>
    <n v="55000"/>
    <n v="0"/>
    <n v="55000"/>
    <n v="20.014556040756915"/>
    <n v="5000"/>
    <n v="27"/>
    <x v="3158"/>
    <x v="12"/>
    <x v="1"/>
    <x v="1"/>
  </r>
  <r>
    <x v="249"/>
    <s v="ZTAN"/>
    <x v="7"/>
    <s v="PN4466"/>
    <s v="81417709"/>
    <s v="RENCA"/>
    <x v="419"/>
    <x v="1"/>
    <x v="0"/>
    <x v="7"/>
    <x v="1"/>
    <n v="1"/>
    <n v="90684"/>
    <n v="0"/>
    <n v="90684"/>
    <n v="10.999999999999995"/>
    <n v="5000"/>
    <n v="100"/>
    <x v="3159"/>
    <x v="12"/>
    <x v="1"/>
    <x v="1"/>
  </r>
  <r>
    <x v="249"/>
    <s v="ZTAN"/>
    <x v="7"/>
    <s v="XR6339"/>
    <s v="78907355"/>
    <s v="RENCA"/>
    <x v="1219"/>
    <x v="1"/>
    <x v="1"/>
    <x v="7"/>
    <x v="1"/>
    <n v="1"/>
    <n v="55000"/>
    <n v="0"/>
    <n v="55000"/>
    <n v="20.014556040756915"/>
    <n v="5000"/>
    <n v="55"/>
    <x v="3160"/>
    <x v="12"/>
    <x v="1"/>
    <x v="1"/>
  </r>
  <r>
    <x v="249"/>
    <s v="ZTAN"/>
    <x v="8"/>
    <s v="CJXX49"/>
    <s v="167852741"/>
    <s v="VALDIVIA"/>
    <x v="2509"/>
    <x v="5"/>
    <x v="0"/>
    <x v="77"/>
    <x v="11"/>
    <n v="0"/>
    <n v="750000"/>
    <n v="0"/>
    <n v="750000"/>
    <n v="51.981536158356548"/>
    <n v="20000"/>
    <n v="72"/>
    <x v="3161"/>
    <x v="12"/>
    <x v="1"/>
    <x v="0"/>
  </r>
  <r>
    <x v="249"/>
    <s v="ZTAN"/>
    <x v="8"/>
    <s v="SV2718"/>
    <s v="99626232"/>
    <s v="PUDAHUEL"/>
    <x v="387"/>
    <x v="1"/>
    <x v="1"/>
    <x v="10"/>
    <x v="1"/>
    <n v="1"/>
    <n v="55000"/>
    <n v="0"/>
    <n v="55000"/>
    <n v="13.412017167381974"/>
    <n v="5000"/>
    <n v="82"/>
    <x v="3162"/>
    <x v="12"/>
    <x v="1"/>
    <x v="1"/>
  </r>
  <r>
    <x v="249"/>
    <s v="ZTAN"/>
    <x v="8"/>
    <s v="XR6339"/>
    <s v="78907355"/>
    <s v="RENCA"/>
    <x v="2510"/>
    <x v="1"/>
    <x v="1"/>
    <x v="7"/>
    <x v="1"/>
    <n v="1"/>
    <n v="95338"/>
    <n v="0"/>
    <n v="95338"/>
    <n v="10.999963078854341"/>
    <n v="5000"/>
    <n v="100"/>
    <x v="3163"/>
    <x v="12"/>
    <x v="1"/>
    <x v="1"/>
  </r>
  <r>
    <x v="250"/>
    <s v="ZPEP"/>
    <x v="32"/>
    <s v="HLBX77"/>
    <s v="16093509K"/>
    <s v="LAMPA"/>
    <x v="2511"/>
    <x v="1"/>
    <x v="1"/>
    <x v="17"/>
    <x v="1"/>
    <n v="5"/>
    <n v="70000"/>
    <n v="0"/>
    <n v="70000"/>
    <n v="9.9404990130504558"/>
    <n v="10000"/>
    <n v="70"/>
    <x v="3164"/>
    <x v="12"/>
    <x v="1"/>
    <x v="1"/>
  </r>
  <r>
    <x v="250"/>
    <s v="ZPEP"/>
    <x v="32"/>
    <s v="PN4466"/>
    <s v="81417709"/>
    <s v="LAMPA"/>
    <x v="2512"/>
    <x v="1"/>
    <x v="0"/>
    <x v="17"/>
    <x v="1"/>
    <n v="5"/>
    <n v="120000"/>
    <n v="0"/>
    <n v="120000"/>
    <n v="7.8393200696392933"/>
    <n v="10000"/>
    <n v="100"/>
    <x v="3165"/>
    <x v="12"/>
    <x v="1"/>
    <x v="1"/>
  </r>
  <r>
    <x v="250"/>
    <s v="ZPEP"/>
    <x v="53"/>
    <s v="HLBX77"/>
    <s v="160935096K"/>
    <s v="LAS CONDES"/>
    <x v="2513"/>
    <x v="1"/>
    <x v="1"/>
    <x v="3"/>
    <x v="1"/>
    <n v="4"/>
    <n v="109208"/>
    <n v="0"/>
    <n v="109208"/>
    <n v="11.000000000000004"/>
    <n v="5000"/>
    <n v="100"/>
    <x v="3166"/>
    <x v="12"/>
    <x v="1"/>
    <x v="1"/>
  </r>
  <r>
    <x v="250"/>
    <s v="ZTAN"/>
    <x v="17"/>
    <s v="XR6339"/>
    <s v="78907355"/>
    <s v="LAMPA"/>
    <x v="2514"/>
    <x v="1"/>
    <x v="1"/>
    <x v="17"/>
    <x v="1"/>
    <n v="5"/>
    <n v="70000"/>
    <n v="0"/>
    <n v="70000"/>
    <n v="6.3263911734190348"/>
    <n v="10000"/>
    <n v="100"/>
    <x v="3167"/>
    <x v="12"/>
    <x v="1"/>
    <x v="1"/>
  </r>
  <r>
    <x v="250"/>
    <s v="ZTAN"/>
    <x v="10"/>
    <s v="KKPF51"/>
    <s v="95707734"/>
    <s v="SANTIAGO"/>
    <x v="419"/>
    <x v="8"/>
    <x v="0"/>
    <x v="20"/>
    <x v="1"/>
    <n v="1"/>
    <n v="90684"/>
    <n v="0"/>
    <n v="90684"/>
    <n v="10.999999999999995"/>
    <n v="5000"/>
    <n v="100"/>
    <x v="3168"/>
    <x v="12"/>
    <x v="1"/>
    <x v="1"/>
  </r>
  <r>
    <x v="250"/>
    <s v="ZTAN"/>
    <x v="10"/>
    <s v="RH1133"/>
    <s v="65941082"/>
    <s v="SANTIAGO"/>
    <x v="419"/>
    <x v="0"/>
    <x v="0"/>
    <x v="20"/>
    <x v="1"/>
    <n v="1"/>
    <n v="90684"/>
    <n v="0"/>
    <n v="90684"/>
    <n v="10.999999999999995"/>
    <n v="5000"/>
    <n v="100"/>
    <x v="3169"/>
    <x v="12"/>
    <x v="1"/>
    <x v="1"/>
  </r>
  <r>
    <x v="250"/>
    <s v="ZTAN"/>
    <x v="24"/>
    <s v="TW7053"/>
    <s v="172861164"/>
    <s v="MACHALI"/>
    <x v="419"/>
    <x v="6"/>
    <x v="1"/>
    <x v="43"/>
    <x v="6"/>
    <n v="0"/>
    <n v="230000"/>
    <n v="0"/>
    <n v="230000"/>
    <n v="27.899078117418718"/>
    <n v="20000"/>
    <n v="65"/>
    <x v="3170"/>
    <x v="12"/>
    <x v="1"/>
    <x v="0"/>
  </r>
  <r>
    <x v="250"/>
    <s v="ZTAN"/>
    <x v="6"/>
    <s v="SU9354"/>
    <s v="72564391"/>
    <s v="LOS ANDES"/>
    <x v="2515"/>
    <x v="2"/>
    <x v="1"/>
    <x v="38"/>
    <x v="2"/>
    <n v="0"/>
    <n v="180000"/>
    <n v="0"/>
    <n v="180000"/>
    <n v="45.454545454545446"/>
    <n v="20000"/>
    <n v="60"/>
    <x v="3171"/>
    <x v="12"/>
    <x v="1"/>
    <x v="0"/>
  </r>
  <r>
    <x v="250"/>
    <s v="ZTAN"/>
    <x v="7"/>
    <s v="DJLF85"/>
    <s v="125108660"/>
    <s v="RENCA"/>
    <x v="1067"/>
    <x v="4"/>
    <x v="1"/>
    <x v="7"/>
    <x v="1"/>
    <n v="1"/>
    <n v="93522"/>
    <n v="0"/>
    <n v="93522"/>
    <n v="11"/>
    <n v="5000"/>
    <n v="100"/>
    <x v="3172"/>
    <x v="12"/>
    <x v="1"/>
    <x v="1"/>
  </r>
  <r>
    <x v="250"/>
    <s v="ZTAN"/>
    <x v="7"/>
    <s v="PN4466"/>
    <s v="81417709"/>
    <s v="RENCA"/>
    <x v="1931"/>
    <x v="1"/>
    <x v="0"/>
    <x v="7"/>
    <x v="1"/>
    <n v="1"/>
    <n v="187044"/>
    <n v="0"/>
    <n v="187044"/>
    <n v="10.999999999999993"/>
    <n v="5000"/>
    <n v="100"/>
    <x v="3173"/>
    <x v="12"/>
    <x v="1"/>
    <x v="1"/>
  </r>
  <r>
    <x v="250"/>
    <s v="ZTAN"/>
    <x v="7"/>
    <s v="XR6339"/>
    <s v="78907355"/>
    <s v="RENCA"/>
    <x v="1067"/>
    <x v="1"/>
    <x v="1"/>
    <x v="7"/>
    <x v="1"/>
    <n v="1"/>
    <n v="93522"/>
    <n v="0"/>
    <n v="93522"/>
    <n v="11"/>
    <n v="5000"/>
    <n v="100"/>
    <x v="3174"/>
    <x v="12"/>
    <x v="1"/>
    <x v="1"/>
  </r>
  <r>
    <x v="250"/>
    <s v="ZTAN"/>
    <x v="8"/>
    <s v="CJFZ68"/>
    <s v="188951333"/>
    <s v="TALCAHUANO"/>
    <x v="2516"/>
    <x v="0"/>
    <x v="0"/>
    <x v="0"/>
    <x v="0"/>
    <n v="0"/>
    <n v="380000"/>
    <n v="0"/>
    <n v="380000"/>
    <n v="37.398630029131567"/>
    <n v="20000"/>
    <n v="65"/>
    <x v="3175"/>
    <x v="12"/>
    <x v="1"/>
    <x v="0"/>
  </r>
  <r>
    <x v="250"/>
    <s v="ZTAN"/>
    <x v="83"/>
    <s v="YG5651"/>
    <s v="10519045K"/>
    <s v="SANTIAGO"/>
    <x v="2517"/>
    <x v="0"/>
    <x v="0"/>
    <x v="20"/>
    <x v="1"/>
    <n v="1"/>
    <n v="280055"/>
    <n v="0"/>
    <n v="280055"/>
    <n v="11.000006677263881"/>
    <n v="5000"/>
    <n v="100"/>
    <x v="3176"/>
    <x v="12"/>
    <x v="1"/>
    <x v="1"/>
  </r>
  <r>
    <x v="251"/>
    <s v="ZPEP"/>
    <x v="5"/>
    <s v="DJLF85"/>
    <n v="125108660"/>
    <s v="RENGO"/>
    <x v="2518"/>
    <x v="4"/>
    <x v="1"/>
    <x v="91"/>
    <x v="6"/>
    <n v="0"/>
    <n v="180000"/>
    <n v="0"/>
    <n v="180000"/>
    <n v="11.907990923464697"/>
    <n v="20000"/>
    <n v="95"/>
    <x v="3177"/>
    <x v="12"/>
    <x v="1"/>
    <x v="0"/>
  </r>
  <r>
    <x v="251"/>
    <s v="ZPEP"/>
    <x v="27"/>
    <s v="KKPF51"/>
    <n v="95707734"/>
    <s v="SAN CARLOS"/>
    <x v="2519"/>
    <x v="8"/>
    <x v="0"/>
    <x v="32"/>
    <x v="5"/>
    <n v="0"/>
    <n v="350000"/>
    <n v="0"/>
    <n v="350000"/>
    <n v="16.444679159611116"/>
    <n v="20000"/>
    <n v="100"/>
    <x v="3178"/>
    <x v="12"/>
    <x v="1"/>
    <x v="0"/>
  </r>
  <r>
    <x v="251"/>
    <s v="ZTAN"/>
    <x v="17"/>
    <s v="TW7053"/>
    <n v="172861164"/>
    <s v="LAMPA"/>
    <x v="2520"/>
    <x v="6"/>
    <x v="1"/>
    <x v="17"/>
    <x v="1"/>
    <n v="5"/>
    <n v="70000"/>
    <n v="0"/>
    <n v="109098"/>
    <n v="11"/>
    <n v="10000"/>
    <n v="99"/>
    <x v="3179"/>
    <x v="12"/>
    <x v="1"/>
    <x v="1"/>
  </r>
  <r>
    <x v="251"/>
    <s v="ZTAN"/>
    <x v="10"/>
    <s v="RH1133"/>
    <n v="65941082"/>
    <s v="QUILICURA"/>
    <x v="2521"/>
    <x v="0"/>
    <x v="0"/>
    <x v="8"/>
    <x v="1"/>
    <n v="1"/>
    <n v="84638"/>
    <n v="0"/>
    <n v="84638"/>
    <n v="10.266120032992092"/>
    <n v="5000"/>
    <n v="100"/>
    <x v="3180"/>
    <x v="12"/>
    <x v="1"/>
    <x v="1"/>
  </r>
  <r>
    <x v="251"/>
    <s v="ZTAN"/>
    <x v="7"/>
    <s v="PN4466"/>
    <n v="81417709"/>
    <s v="RENCA"/>
    <x v="1931"/>
    <x v="1"/>
    <x v="0"/>
    <x v="7"/>
    <x v="1"/>
    <n v="1"/>
    <n v="187044"/>
    <n v="0"/>
    <n v="187044"/>
    <n v="10.999999999999993"/>
    <n v="5000"/>
    <n v="100"/>
    <x v="3181"/>
    <x v="12"/>
    <x v="1"/>
    <x v="1"/>
  </r>
  <r>
    <x v="251"/>
    <s v="ZTAN"/>
    <x v="7"/>
    <s v="SU9354"/>
    <n v="72564391"/>
    <s v="RENCA"/>
    <x v="199"/>
    <x v="2"/>
    <x v="1"/>
    <x v="7"/>
    <x v="1"/>
    <n v="1"/>
    <n v="112226"/>
    <n v="0"/>
    <n v="112226"/>
    <n v="10.999960793538776"/>
    <n v="5000"/>
    <n v="100"/>
    <x v="3182"/>
    <x v="12"/>
    <x v="1"/>
    <x v="1"/>
  </r>
  <r>
    <x v="251"/>
    <s v="ZTAN"/>
    <x v="7"/>
    <s v="TP3884"/>
    <n v="154837728"/>
    <s v="SAN MIGUEL"/>
    <x v="1000"/>
    <x v="1"/>
    <x v="1"/>
    <x v="23"/>
    <x v="1"/>
    <n v="2"/>
    <n v="74290"/>
    <n v="0"/>
    <n v="74290"/>
    <n v="11.000059227671169"/>
    <n v="5000"/>
    <n v="100"/>
    <x v="3183"/>
    <x v="12"/>
    <x v="1"/>
    <x v="1"/>
  </r>
  <r>
    <x v="251"/>
    <s v="ZTAN"/>
    <x v="7"/>
    <s v="TP3884"/>
    <n v="78907355"/>
    <s v="SAN MIGUEL"/>
    <x v="1000"/>
    <x v="1"/>
    <x v="1"/>
    <x v="23"/>
    <x v="1"/>
    <n v="2"/>
    <n v="74290"/>
    <n v="0"/>
    <n v="74290"/>
    <n v="11.000059227671169"/>
    <n v="5000"/>
    <n v="100"/>
    <x v="3184"/>
    <x v="12"/>
    <x v="1"/>
    <x v="1"/>
  </r>
  <r>
    <x v="251"/>
    <s v="ZTAN"/>
    <x v="7"/>
    <s v="XR6339"/>
    <n v="78907355"/>
    <s v="RENCA"/>
    <x v="1067"/>
    <x v="1"/>
    <x v="1"/>
    <x v="7"/>
    <x v="1"/>
    <n v="1"/>
    <n v="93522"/>
    <n v="0"/>
    <n v="93522"/>
    <n v="11"/>
    <n v="5000"/>
    <n v="100"/>
    <x v="3185"/>
    <x v="12"/>
    <x v="1"/>
    <x v="1"/>
  </r>
  <r>
    <x v="251"/>
    <s v="ZTAN"/>
    <x v="8"/>
    <s v="RK5135"/>
    <n v="138841065"/>
    <s v="ÑUÑOA"/>
    <x v="2522"/>
    <x v="3"/>
    <x v="1"/>
    <x v="15"/>
    <x v="1"/>
    <n v="4"/>
    <n v="55000"/>
    <n v="0"/>
    <n v="55000"/>
    <n v="14.42433779176501"/>
    <n v="5000"/>
    <n v="76"/>
    <x v="3186"/>
    <x v="12"/>
    <x v="1"/>
    <x v="1"/>
  </r>
  <r>
    <x v="251"/>
    <s v="ZTAN"/>
    <x v="8"/>
    <s v="SV2718"/>
    <n v="99626232"/>
    <s v="MAIPU"/>
    <x v="2523"/>
    <x v="1"/>
    <x v="1"/>
    <x v="2"/>
    <x v="1"/>
    <n v="2"/>
    <n v="55000"/>
    <n v="0"/>
    <n v="55000"/>
    <n v="15.941104863486169"/>
    <n v="5000"/>
    <n v="69"/>
    <x v="3187"/>
    <x v="12"/>
    <x v="1"/>
    <x v="1"/>
  </r>
  <r>
    <x v="251"/>
    <s v="ZTAN"/>
    <x v="8"/>
    <s v="TP3884"/>
    <n v="154837728"/>
    <s v="PUDAHUEL"/>
    <x v="2524"/>
    <x v="1"/>
    <x v="1"/>
    <x v="10"/>
    <x v="1"/>
    <n v="1"/>
    <n v="55000"/>
    <n v="0"/>
    <n v="55000"/>
    <n v="12.0895063085242"/>
    <n v="5000"/>
    <n v="91"/>
    <x v="3188"/>
    <x v="12"/>
    <x v="1"/>
    <x v="1"/>
  </r>
  <r>
    <x v="252"/>
    <s v="ZPEP"/>
    <x v="27"/>
    <s v="BPKD94"/>
    <s v="125897258"/>
    <s v="NACIMIENTO"/>
    <x v="2525"/>
    <x v="0"/>
    <x v="0"/>
    <x v="86"/>
    <x v="0"/>
    <n v="0"/>
    <n v="420000"/>
    <n v="0"/>
    <n v="420000"/>
    <n v="47.831251345253939"/>
    <n v="20000"/>
    <n v="65"/>
    <x v="3189"/>
    <x v="12"/>
    <x v="1"/>
    <x v="0"/>
  </r>
  <r>
    <x v="253"/>
    <s v="ZPEP"/>
    <x v="32"/>
    <s v="XR6339"/>
    <s v="78907355"/>
    <s v="LAMPA"/>
    <x v="2526"/>
    <x v="1"/>
    <x v="1"/>
    <x v="17"/>
    <x v="1"/>
    <n v="5"/>
    <n v="70000"/>
    <n v="0"/>
    <n v="70000"/>
    <n v="12.105406966488776"/>
    <n v="10000"/>
    <n v="65"/>
    <x v="3190"/>
    <x v="12"/>
    <x v="1"/>
    <x v="1"/>
  </r>
  <r>
    <x v="252"/>
    <s v="ZPEP"/>
    <x v="2"/>
    <s v="HLBX77"/>
    <s v="16093509K"/>
    <s v="SAN BERNARDO"/>
    <x v="2527"/>
    <x v="1"/>
    <x v="1"/>
    <x v="4"/>
    <x v="1"/>
    <n v="4"/>
    <n v="169725"/>
    <n v="0"/>
    <n v="169725"/>
    <n v="10.99998963029406"/>
    <n v="5000"/>
    <n v="100"/>
    <x v="3191"/>
    <x v="12"/>
    <x v="1"/>
    <x v="1"/>
  </r>
  <r>
    <x v="252"/>
    <s v="ZTAN"/>
    <x v="17"/>
    <s v="TP3884"/>
    <s v="99626232"/>
    <s v="LAMPA"/>
    <x v="2528"/>
    <x v="1"/>
    <x v="1"/>
    <x v="17"/>
    <x v="1"/>
    <n v="5"/>
    <n v="70000"/>
    <n v="0"/>
    <n v="70000"/>
    <n v="5.1706499137609461"/>
    <n v="10000"/>
    <n v="100"/>
    <x v="3192"/>
    <x v="12"/>
    <x v="1"/>
    <x v="1"/>
  </r>
  <r>
    <x v="252"/>
    <s v="ZTAN"/>
    <x v="4"/>
    <s v="SU9354"/>
    <s v="72564391"/>
    <s v="MELIPILLA"/>
    <x v="400"/>
    <x v="2"/>
    <x v="1"/>
    <x v="29"/>
    <x v="1"/>
    <n v="5"/>
    <n v="90000"/>
    <n v="0"/>
    <n v="90000"/>
    <n v="10.903275828648965"/>
    <n v="10000"/>
    <n v="83"/>
    <x v="3193"/>
    <x v="12"/>
    <x v="1"/>
    <x v="1"/>
  </r>
  <r>
    <x v="252"/>
    <s v="ZTAN"/>
    <x v="10"/>
    <s v="CJXX49"/>
    <s v="167832741"/>
    <s v="TALCAHUANO"/>
    <x v="419"/>
    <x v="5"/>
    <x v="0"/>
    <x v="0"/>
    <x v="0"/>
    <n v="0"/>
    <n v="380000"/>
    <n v="0"/>
    <n v="380000"/>
    <n v="46.094129063561354"/>
    <n v="20000"/>
    <n v="41"/>
    <x v="3194"/>
    <x v="12"/>
    <x v="1"/>
    <x v="0"/>
  </r>
  <r>
    <x v="252"/>
    <s v="ZTAN"/>
    <x v="10"/>
    <s v="RH1133"/>
    <s v="65941082"/>
    <s v="SANTIAGO"/>
    <x v="419"/>
    <x v="0"/>
    <x v="0"/>
    <x v="20"/>
    <x v="1"/>
    <n v="1"/>
    <n v="90684"/>
    <n v="0"/>
    <n v="90684"/>
    <n v="10.999999999999995"/>
    <n v="5000"/>
    <n v="100"/>
    <x v="3195"/>
    <x v="12"/>
    <x v="1"/>
    <x v="1"/>
  </r>
  <r>
    <x v="252"/>
    <s v="ZTAN"/>
    <x v="7"/>
    <s v="HLBX77"/>
    <s v="16093509K"/>
    <s v="RENCA"/>
    <x v="385"/>
    <x v="1"/>
    <x v="1"/>
    <x v="7"/>
    <x v="1"/>
    <n v="1"/>
    <n v="82544"/>
    <n v="0"/>
    <n v="82544"/>
    <n v="11.000000000000004"/>
    <n v="5000"/>
    <n v="100"/>
    <x v="3196"/>
    <x v="12"/>
    <x v="1"/>
    <x v="1"/>
  </r>
  <r>
    <x v="252"/>
    <s v="ZTAN"/>
    <x v="7"/>
    <s v="PN4466"/>
    <s v="154837728"/>
    <s v="RENCA"/>
    <x v="1931"/>
    <x v="1"/>
    <x v="0"/>
    <x v="7"/>
    <x v="1"/>
    <n v="1"/>
    <n v="187044"/>
    <n v="0"/>
    <n v="187044"/>
    <n v="10.999999999999993"/>
    <n v="5000"/>
    <n v="100"/>
    <x v="3197"/>
    <x v="12"/>
    <x v="1"/>
    <x v="1"/>
  </r>
  <r>
    <x v="252"/>
    <s v="ZTAN"/>
    <x v="7"/>
    <s v="WC2233"/>
    <s v="125108660"/>
    <s v="RENCA"/>
    <x v="2529"/>
    <x v="4"/>
    <x v="1"/>
    <x v="7"/>
    <x v="1"/>
    <n v="1"/>
    <n v="55000"/>
    <n v="0"/>
    <n v="55000"/>
    <n v="10.782622333751569"/>
    <n v="5000"/>
    <n v="80"/>
    <x v="3198"/>
    <x v="12"/>
    <x v="1"/>
    <x v="1"/>
  </r>
  <r>
    <x v="252"/>
    <s v="ZTAN"/>
    <x v="8"/>
    <s v="RK5135"/>
    <s v="138841065"/>
    <s v="LA REINA"/>
    <x v="2530"/>
    <x v="3"/>
    <x v="1"/>
    <x v="11"/>
    <x v="1"/>
    <n v="3"/>
    <n v="82273"/>
    <n v="0"/>
    <n v="82273"/>
    <n v="10.999946519774314"/>
    <n v="5000"/>
    <n v="100"/>
    <x v="3199"/>
    <x v="12"/>
    <x v="1"/>
    <x v="1"/>
  </r>
  <r>
    <x v="252"/>
    <s v="ZTAN"/>
    <x v="8"/>
    <s v="SV2718"/>
    <s v="99626232"/>
    <s v="PUDAHUEL"/>
    <x v="2531"/>
    <x v="1"/>
    <x v="1"/>
    <x v="10"/>
    <x v="1"/>
    <n v="1"/>
    <n v="55000"/>
    <n v="0"/>
    <n v="55000"/>
    <n v="11.713093108441944"/>
    <n v="5000"/>
    <n v="94"/>
    <x v="3200"/>
    <x v="12"/>
    <x v="1"/>
    <x v="1"/>
  </r>
  <r>
    <x v="252"/>
    <s v="ZTAN"/>
    <x v="8"/>
    <s v="TP3884"/>
    <s v="154837728"/>
    <s v="LAS CONDES"/>
    <x v="2532"/>
    <x v="1"/>
    <x v="1"/>
    <x v="3"/>
    <x v="1"/>
    <n v="4"/>
    <n v="92682"/>
    <n v="0"/>
    <n v="92682"/>
    <n v="11.000047474363845"/>
    <n v="5000"/>
    <n v="100"/>
    <x v="3201"/>
    <x v="12"/>
    <x v="1"/>
    <x v="1"/>
  </r>
  <r>
    <x v="252"/>
    <s v="ZTAN"/>
    <x v="8"/>
    <s v="XR6339"/>
    <s v="78907355"/>
    <s v="SAN BERNARDO"/>
    <x v="1626"/>
    <x v="1"/>
    <x v="1"/>
    <x v="4"/>
    <x v="1"/>
    <n v="4"/>
    <n v="55000"/>
    <n v="0"/>
    <n v="55000"/>
    <n v="14.663538445131705"/>
    <n v="5000"/>
    <n v="75"/>
    <x v="3202"/>
    <x v="12"/>
    <x v="1"/>
    <x v="1"/>
  </r>
  <r>
    <x v="252"/>
    <s v="ZTAN"/>
    <x v="83"/>
    <s v="RL7886"/>
    <s v="156323241"/>
    <s v="SANTIAGO"/>
    <x v="2533"/>
    <x v="0"/>
    <x v="0"/>
    <x v="20"/>
    <x v="1"/>
    <n v="1"/>
    <n v="276951"/>
    <n v="0"/>
    <n v="276951"/>
    <n v="11.000005957735826"/>
    <n v="5000"/>
    <n v="100"/>
    <x v="3203"/>
    <x v="12"/>
    <x v="1"/>
    <x v="1"/>
  </r>
  <r>
    <x v="254"/>
    <s v="ZPEP"/>
    <x v="17"/>
    <s v="XR6339"/>
    <s v="78907355"/>
    <s v="LAMPA"/>
    <x v="2534"/>
    <x v="1"/>
    <x v="1"/>
    <x v="17"/>
    <x v="1"/>
    <n v="5"/>
    <n v="70000"/>
    <n v="0"/>
    <n v="70000"/>
    <n v="5.6715890658244632"/>
    <n v="10000"/>
    <n v="100"/>
    <x v="3204"/>
    <x v="12"/>
    <x v="1"/>
    <x v="1"/>
  </r>
  <r>
    <x v="254"/>
    <s v="ZPEP"/>
    <x v="2"/>
    <s v="WC2233"/>
    <s v="125108660"/>
    <s v="SAN BERNARDO"/>
    <x v="2535"/>
    <x v="4"/>
    <x v="1"/>
    <x v="4"/>
    <x v="1"/>
    <n v="4"/>
    <n v="172637"/>
    <n v="0"/>
    <n v="172637"/>
    <n v="11.000022938351906"/>
    <n v="5000"/>
    <n v="100"/>
    <x v="3205"/>
    <x v="12"/>
    <x v="1"/>
    <x v="1"/>
  </r>
  <r>
    <x v="254"/>
    <s v="ZPEP"/>
    <x v="12"/>
    <s v="HLBX77"/>
    <s v="154837728"/>
    <s v="VITACURA"/>
    <x v="2536"/>
    <x v="1"/>
    <x v="1"/>
    <x v="27"/>
    <x v="1"/>
    <n v="4"/>
    <n v="291755"/>
    <n v="0"/>
    <n v="291755"/>
    <n v="10.999992459431747"/>
    <n v="5000"/>
    <n v="100"/>
    <x v="3206"/>
    <x v="12"/>
    <x v="1"/>
    <x v="1"/>
  </r>
  <r>
    <x v="254"/>
    <s v="ZTAN"/>
    <x v="4"/>
    <s v="SV2718"/>
    <s v="99626232"/>
    <s v="SAN BERNARDO"/>
    <x v="400"/>
    <x v="1"/>
    <x v="1"/>
    <x v="4"/>
    <x v="1"/>
    <n v="4"/>
    <n v="90798"/>
    <n v="0"/>
    <n v="90798"/>
    <n v="10.999951540996321"/>
    <n v="5000"/>
    <n v="100"/>
    <x v="3207"/>
    <x v="12"/>
    <x v="1"/>
    <x v="1"/>
  </r>
  <r>
    <x v="254"/>
    <s v="ZTAN"/>
    <x v="4"/>
    <s v="TP3884"/>
    <s v="16093509K"/>
    <s v="SAN BERNARDO"/>
    <x v="2537"/>
    <x v="1"/>
    <x v="1"/>
    <x v="4"/>
    <x v="1"/>
    <n v="4"/>
    <n v="66035"/>
    <n v="0"/>
    <n v="66035"/>
    <n v="8.0001696106224696"/>
    <n v="5000"/>
    <n v="100"/>
    <x v="3208"/>
    <x v="12"/>
    <x v="1"/>
    <x v="1"/>
  </r>
  <r>
    <x v="254"/>
    <s v="ZTAN"/>
    <x v="47"/>
    <s v="SU9354"/>
    <s v="72564391"/>
    <s v="SAN JOAQUIN"/>
    <x v="1291"/>
    <x v="2"/>
    <x v="1"/>
    <x v="67"/>
    <x v="1"/>
    <n v="3"/>
    <n v="55000"/>
    <n v="0"/>
    <n v="55000"/>
    <n v="19.407198306280875"/>
    <n v="5000"/>
    <n v="85"/>
    <x v="3209"/>
    <x v="12"/>
    <x v="1"/>
    <x v="1"/>
  </r>
  <r>
    <x v="254"/>
    <s v="ZTAN"/>
    <x v="84"/>
    <s v="RH1133"/>
    <s v="65941082"/>
    <s v="SANTIAGO"/>
    <x v="104"/>
    <x v="0"/>
    <x v="0"/>
    <x v="20"/>
    <x v="1"/>
    <n v="1"/>
    <n v="214614"/>
    <n v="0"/>
    <n v="214614"/>
    <n v="10.999979498113825"/>
    <n v="5000"/>
    <n v="100"/>
    <x v="3210"/>
    <x v="12"/>
    <x v="1"/>
    <x v="1"/>
  </r>
  <r>
    <x v="254"/>
    <s v="ZTAN"/>
    <x v="7"/>
    <s v="TP3884"/>
    <s v="99626232"/>
    <s v="SANTIAGO"/>
    <x v="2538"/>
    <x v="1"/>
    <x v="1"/>
    <x v="20"/>
    <x v="1"/>
    <n v="1"/>
    <n v="121579"/>
    <n v="0"/>
    <n v="121579"/>
    <n v="11.000036190579591"/>
    <n v="5000"/>
    <n v="100"/>
    <x v="3211"/>
    <x v="12"/>
    <x v="1"/>
    <x v="1"/>
  </r>
  <r>
    <x v="254"/>
    <s v="ZTAN"/>
    <x v="8"/>
    <s v="RK5135"/>
    <s v="138841065"/>
    <s v="LA REINA"/>
    <x v="2539"/>
    <x v="3"/>
    <x v="1"/>
    <x v="11"/>
    <x v="1"/>
    <n v="3"/>
    <n v="70426"/>
    <n v="0"/>
    <n v="70426"/>
    <n v="10.999937523428715"/>
    <n v="5000"/>
    <n v="100"/>
    <x v="3212"/>
    <x v="12"/>
    <x v="1"/>
    <x v="1"/>
  </r>
  <r>
    <x v="254"/>
    <s v="ZTAN"/>
    <x v="8"/>
    <s v="WC2233"/>
    <s v="125108660"/>
    <s v="REÑACA"/>
    <x v="2540"/>
    <x v="4"/>
    <x v="1"/>
    <x v="6"/>
    <x v="2"/>
    <n v="0"/>
    <n v="180000"/>
    <n v="0"/>
    <n v="180000"/>
    <n v="32.730843364730696"/>
    <n v="20000"/>
    <n v="65"/>
    <x v="3213"/>
    <x v="12"/>
    <x v="1"/>
    <x v="0"/>
  </r>
  <r>
    <x v="254"/>
    <s v="ZTAN"/>
    <x v="8"/>
    <s v="XR6339"/>
    <s v="78907355"/>
    <s v="PUDAHUEL"/>
    <x v="2541"/>
    <x v="1"/>
    <x v="1"/>
    <x v="10"/>
    <x v="1"/>
    <n v="1"/>
    <n v="103959"/>
    <n v="0"/>
    <n v="103959"/>
    <n v="11.000021162229658"/>
    <n v="5000"/>
    <n v="100"/>
    <x v="3214"/>
    <x v="12"/>
    <x v="1"/>
    <x v="1"/>
  </r>
  <r>
    <x v="254"/>
    <s v="ZTAN"/>
    <x v="83"/>
    <s v="KKPF51"/>
    <s v="95707334"/>
    <s v="SANTIAGO"/>
    <x v="2542"/>
    <x v="8"/>
    <x v="0"/>
    <x v="20"/>
    <x v="1"/>
    <n v="1"/>
    <n v="144892"/>
    <n v="0"/>
    <n v="144892"/>
    <n v="11"/>
    <n v="5000"/>
    <n v="100"/>
    <x v="3215"/>
    <x v="12"/>
    <x v="1"/>
    <x v="1"/>
  </r>
  <r>
    <x v="255"/>
    <s v="ZTAN"/>
    <x v="4"/>
    <s v="HLBX77"/>
    <s v="16093509K"/>
    <s v="SAN BERNARDO"/>
    <x v="2543"/>
    <x v="1"/>
    <x v="1"/>
    <x v="4"/>
    <x v="1"/>
    <n v="4"/>
    <n v="65465"/>
    <n v="0"/>
    <n v="65465"/>
    <n v="8.5559505449983018"/>
    <n v="5000"/>
    <n v="100"/>
    <x v="3216"/>
    <x v="0"/>
    <x v="1"/>
    <x v="1"/>
  </r>
  <r>
    <x v="255"/>
    <s v="ZTAN"/>
    <x v="4"/>
    <s v="RK5135"/>
    <s v="138841065"/>
    <s v="SAN BERNARDO"/>
    <x v="1067"/>
    <x v="3"/>
    <x v="1"/>
    <x v="4"/>
    <x v="1"/>
    <n v="4"/>
    <n v="93522"/>
    <n v="0"/>
    <n v="93522"/>
    <n v="11"/>
    <n v="5000"/>
    <n v="100"/>
    <x v="3217"/>
    <x v="0"/>
    <x v="1"/>
    <x v="1"/>
  </r>
  <r>
    <x v="255"/>
    <s v="ZTAN"/>
    <x v="77"/>
    <s v="WG4022"/>
    <s v="81417709"/>
    <s v="RANCAGUA"/>
    <x v="2544"/>
    <x v="1"/>
    <x v="0"/>
    <x v="28"/>
    <x v="6"/>
    <n v="0"/>
    <n v="230000"/>
    <n v="0"/>
    <n v="230000"/>
    <n v="13.778841211435712"/>
    <n v="20000"/>
    <n v="83"/>
    <x v="3218"/>
    <x v="0"/>
    <x v="1"/>
    <x v="0"/>
  </r>
  <r>
    <x v="255"/>
    <s v="ZTAN"/>
    <x v="10"/>
    <s v="HLBX77"/>
    <s v="16093509K"/>
    <s v="QUILICURA"/>
    <x v="2545"/>
    <x v="1"/>
    <x v="1"/>
    <x v="8"/>
    <x v="1"/>
    <n v="1"/>
    <n v="63083"/>
    <n v="0"/>
    <n v="63083"/>
    <n v="11.00003487479947"/>
    <n v="5000"/>
    <n v="100"/>
    <x v="3219"/>
    <x v="0"/>
    <x v="1"/>
    <x v="1"/>
  </r>
  <r>
    <x v="255"/>
    <s v="ZTAN"/>
    <x v="7"/>
    <s v="PN4466"/>
    <s v="81417709"/>
    <s v="RENCA"/>
    <x v="419"/>
    <x v="1"/>
    <x v="0"/>
    <x v="7"/>
    <x v="1"/>
    <n v="1"/>
    <n v="90684"/>
    <n v="0"/>
    <n v="90684"/>
    <n v="10.999999999999995"/>
    <n v="5000"/>
    <n v="100"/>
    <x v="3220"/>
    <x v="0"/>
    <x v="1"/>
    <x v="1"/>
  </r>
  <r>
    <x v="255"/>
    <s v="ZTAN"/>
    <x v="7"/>
    <s v="SU9354"/>
    <s v="72564391"/>
    <s v="RENCA"/>
    <x v="1219"/>
    <x v="2"/>
    <x v="1"/>
    <x v="7"/>
    <x v="1"/>
    <n v="1"/>
    <n v="55000"/>
    <n v="0"/>
    <n v="55000"/>
    <n v="20.014556040756915"/>
    <n v="5000"/>
    <n v="55"/>
    <x v="3221"/>
    <x v="0"/>
    <x v="1"/>
    <x v="1"/>
  </r>
  <r>
    <x v="255"/>
    <s v="ZTAN"/>
    <x v="7"/>
    <s v="WC2233"/>
    <s v="125108660"/>
    <s v="RENCA"/>
    <x v="2546"/>
    <x v="4"/>
    <x v="1"/>
    <x v="7"/>
    <x v="1"/>
    <n v="1"/>
    <n v="55000"/>
    <n v="0"/>
    <n v="55000"/>
    <n v="22.238395600841006"/>
    <n v="5000"/>
    <n v="49"/>
    <x v="3222"/>
    <x v="0"/>
    <x v="1"/>
    <x v="1"/>
  </r>
  <r>
    <x v="255"/>
    <s v="ZTAN"/>
    <x v="7"/>
    <s v="WC2233"/>
    <s v="125108660"/>
    <s v="SAN MIGUEL"/>
    <x v="2135"/>
    <x v="4"/>
    <x v="1"/>
    <x v="23"/>
    <x v="1"/>
    <n v="2"/>
    <n v="77831"/>
    <n v="0"/>
    <n v="77831"/>
    <n v="11.000070666384"/>
    <n v="5000"/>
    <n v="100"/>
    <x v="3223"/>
    <x v="0"/>
    <x v="1"/>
    <x v="1"/>
  </r>
  <r>
    <x v="255"/>
    <s v="ZTAN"/>
    <x v="8"/>
    <s v="BYZH29"/>
    <s v="122975819"/>
    <s v="TALCA"/>
    <x v="2547"/>
    <x v="0"/>
    <x v="0"/>
    <x v="12"/>
    <x v="3"/>
    <n v="0"/>
    <n v="320000"/>
    <n v="0"/>
    <n v="320000"/>
    <n v="16.644127743680432"/>
    <n v="20000"/>
    <n v="100"/>
    <x v="3224"/>
    <x v="0"/>
    <x v="1"/>
    <x v="0"/>
  </r>
  <r>
    <x v="255"/>
    <s v="ZTAN"/>
    <x v="8"/>
    <s v="TP3884"/>
    <s v="154837728"/>
    <s v="SANTIAGO"/>
    <x v="2548"/>
    <x v="1"/>
    <x v="1"/>
    <x v="20"/>
    <x v="1"/>
    <n v="1"/>
    <n v="71610"/>
    <n v="0"/>
    <n v="71610"/>
    <n v="11"/>
    <n v="5000"/>
    <n v="100"/>
    <x v="3225"/>
    <x v="0"/>
    <x v="1"/>
    <x v="1"/>
  </r>
  <r>
    <x v="255"/>
    <s v="ZTAN"/>
    <x v="8"/>
    <s v="TW7055"/>
    <s v="172861164"/>
    <s v="CHILLAN"/>
    <x v="419"/>
    <x v="0"/>
    <x v="0"/>
    <x v="21"/>
    <x v="5"/>
    <n v="0"/>
    <n v="350000"/>
    <n v="0"/>
    <n v="350000"/>
    <n v="42.455118874332832"/>
    <n v="20000"/>
    <n v="41"/>
    <x v="3226"/>
    <x v="0"/>
    <x v="1"/>
    <x v="0"/>
  </r>
  <r>
    <x v="255"/>
    <s v="ZTAN"/>
    <x v="83"/>
    <s v="KKPF51"/>
    <s v="95707734"/>
    <s v="SANTIAGO"/>
    <x v="2549"/>
    <x v="8"/>
    <x v="0"/>
    <x v="20"/>
    <x v="1"/>
    <n v="1"/>
    <n v="182558"/>
    <n v="0"/>
    <n v="182558"/>
    <n v="11.000014461176569"/>
    <n v="5000"/>
    <n v="100"/>
    <x v="3227"/>
    <x v="0"/>
    <x v="1"/>
    <x v="1"/>
  </r>
  <r>
    <x v="256"/>
    <s v="ZPEP"/>
    <x v="5"/>
    <s v="HLBX77"/>
    <s v="16093509K"/>
    <s v="COLINA"/>
    <x v="2550"/>
    <x v="1"/>
    <x v="1"/>
    <x v="5"/>
    <x v="1"/>
    <n v="5"/>
    <n v="70000"/>
    <n v="0"/>
    <n v="70000"/>
    <n v="9.2439871165230993"/>
    <n v="10000"/>
    <n v="76"/>
    <x v="3228"/>
    <x v="0"/>
    <x v="1"/>
    <x v="1"/>
  </r>
  <r>
    <x v="256"/>
    <s v="ZPEP"/>
    <x v="32"/>
    <s v="WC2233"/>
    <s v="125108660"/>
    <s v="LAMPA"/>
    <x v="2551"/>
    <x v="4"/>
    <x v="1"/>
    <x v="17"/>
    <x v="1"/>
    <n v="5"/>
    <n v="70000"/>
    <n v="0"/>
    <n v="70000"/>
    <n v="10.099815029101896"/>
    <n v="10000"/>
    <n v="69"/>
    <x v="3229"/>
    <x v="0"/>
    <x v="1"/>
    <x v="1"/>
  </r>
  <r>
    <x v="256"/>
    <s v="ZPEP"/>
    <x v="2"/>
    <s v="XR6339"/>
    <s v="78907355"/>
    <s v="SAN BERNARDO"/>
    <x v="2552"/>
    <x v="1"/>
    <x v="1"/>
    <x v="4"/>
    <x v="1"/>
    <n v="4"/>
    <n v="55000"/>
    <n v="0"/>
    <n v="55000"/>
    <n v="19.433873595019275"/>
    <n v="5000"/>
    <n v="57"/>
    <x v="3230"/>
    <x v="0"/>
    <x v="1"/>
    <x v="1"/>
  </r>
  <r>
    <x v="256"/>
    <s v="ZPEP"/>
    <x v="12"/>
    <s v="HKBX77"/>
    <s v="16093509K"/>
    <s v="VITACURA"/>
    <x v="2553"/>
    <x v="0"/>
    <x v="0"/>
    <x v="27"/>
    <x v="1"/>
    <n v="4"/>
    <n v="150153"/>
    <n v="0"/>
    <n v="150153"/>
    <n v="10.999978022461045"/>
    <n v="5000"/>
    <n v="100"/>
    <x v="3231"/>
    <x v="0"/>
    <x v="1"/>
    <x v="1"/>
  </r>
  <r>
    <x v="256"/>
    <s v="ZTAN"/>
    <x v="7"/>
    <s v="PN4466"/>
    <s v="81417709"/>
    <s v="RENCA"/>
    <x v="2554"/>
    <x v="1"/>
    <x v="0"/>
    <x v="7"/>
    <x v="1"/>
    <n v="1"/>
    <n v="196625"/>
    <n v="0"/>
    <n v="196625"/>
    <n v="11"/>
    <n v="5000"/>
    <n v="100"/>
    <x v="3232"/>
    <x v="0"/>
    <x v="1"/>
    <x v="1"/>
  </r>
  <r>
    <x v="256"/>
    <s v="ZTAN"/>
    <x v="7"/>
    <s v="SV2718"/>
    <s v="99626232"/>
    <s v="SAN MIGUEL"/>
    <x v="1219"/>
    <x v="1"/>
    <x v="1"/>
    <x v="23"/>
    <x v="1"/>
    <n v="2"/>
    <n v="55000"/>
    <n v="0"/>
    <n v="55000"/>
    <n v="20.014556040756915"/>
    <n v="5000"/>
    <n v="55"/>
    <x v="3233"/>
    <x v="0"/>
    <x v="1"/>
    <x v="1"/>
  </r>
  <r>
    <x v="256"/>
    <s v="ZTAN"/>
    <x v="7"/>
    <s v="WC2233"/>
    <s v="125108660"/>
    <s v="RENCA"/>
    <x v="2555"/>
    <x v="4"/>
    <x v="1"/>
    <x v="7"/>
    <x v="1"/>
    <n v="1"/>
    <n v="143000"/>
    <n v="0"/>
    <n v="143000"/>
    <n v="11"/>
    <n v="5000"/>
    <n v="100"/>
    <x v="3234"/>
    <x v="0"/>
    <x v="1"/>
    <x v="1"/>
  </r>
  <r>
    <x v="256"/>
    <s v="ZTAN"/>
    <x v="68"/>
    <s v="SV2718"/>
    <s v="99626232"/>
    <s v="SAN BERNARDO"/>
    <x v="1458"/>
    <x v="1"/>
    <x v="1"/>
    <x v="4"/>
    <x v="1"/>
    <n v="4"/>
    <n v="74818"/>
    <n v="0"/>
    <n v="74818"/>
    <n v="11.000058809691838"/>
    <n v="5000"/>
    <n v="100"/>
    <x v="3235"/>
    <x v="0"/>
    <x v="1"/>
    <x v="1"/>
  </r>
  <r>
    <x v="256"/>
    <s v="ZTAN"/>
    <x v="8"/>
    <s v="RK5135"/>
    <s v="138841065"/>
    <s v="CERRILLOS"/>
    <x v="2556"/>
    <x v="3"/>
    <x v="1"/>
    <x v="9"/>
    <x v="1"/>
    <n v="2"/>
    <n v="57237"/>
    <n v="0"/>
    <n v="57237"/>
    <n v="10.999923127186072"/>
    <n v="5000"/>
    <n v="100"/>
    <x v="3236"/>
    <x v="0"/>
    <x v="1"/>
    <x v="1"/>
  </r>
  <r>
    <x v="256"/>
    <s v="ZTAN"/>
    <x v="8"/>
    <s v="SU9354"/>
    <s v="72564391"/>
    <s v="LA FLORIDA"/>
    <x v="2557"/>
    <x v="2"/>
    <x v="1"/>
    <x v="33"/>
    <x v="1"/>
    <n v="3"/>
    <n v="55000"/>
    <n v="0"/>
    <n v="55000"/>
    <n v="11.160261353029505"/>
    <n v="5000"/>
    <n v="99"/>
    <x v="3237"/>
    <x v="0"/>
    <x v="1"/>
    <x v="1"/>
  </r>
  <r>
    <x v="256"/>
    <s v="ZTAN"/>
    <x v="8"/>
    <s v="SV2718"/>
    <s v="99626232"/>
    <s v="SAN BERNARDO"/>
    <x v="2558"/>
    <x v="1"/>
    <x v="1"/>
    <x v="4"/>
    <x v="1"/>
    <n v="4"/>
    <n v="60756"/>
    <n v="0"/>
    <n v="60756"/>
    <n v="10.999945684645052"/>
    <n v="5000"/>
    <n v="100"/>
    <x v="3238"/>
    <x v="0"/>
    <x v="1"/>
    <x v="1"/>
  </r>
  <r>
    <x v="256"/>
    <s v="ZTAN"/>
    <x v="8"/>
    <s v="TP3884"/>
    <s v="154837728"/>
    <s v="SAN MIGUEL"/>
    <x v="2559"/>
    <x v="1"/>
    <x v="1"/>
    <x v="23"/>
    <x v="1"/>
    <n v="2"/>
    <n v="55000"/>
    <n v="0"/>
    <n v="55000"/>
    <n v="12.547051442910917"/>
    <n v="5000"/>
    <n v="88"/>
    <x v="3239"/>
    <x v="0"/>
    <x v="1"/>
    <x v="1"/>
  </r>
  <r>
    <x v="256"/>
    <s v="ZTAN"/>
    <x v="8"/>
    <s v="WC2233"/>
    <s v="125108660"/>
    <s v="LA REINA"/>
    <x v="2560"/>
    <x v="4"/>
    <x v="1"/>
    <x v="11"/>
    <x v="1"/>
    <n v="3"/>
    <n v="91811"/>
    <n v="0"/>
    <n v="91811"/>
    <n v="10.999940094650455"/>
    <n v="5000"/>
    <n v="100"/>
    <x v="3240"/>
    <x v="0"/>
    <x v="1"/>
    <x v="1"/>
  </r>
  <r>
    <x v="257"/>
    <s v="ZPEP"/>
    <x v="5"/>
    <s v="SU9354"/>
    <s v="72564391"/>
    <s v="RENGO"/>
    <x v="2561"/>
    <x v="2"/>
    <x v="1"/>
    <x v="91"/>
    <x v="6"/>
    <n v="0"/>
    <n v="180000"/>
    <n v="0"/>
    <n v="180000"/>
    <n v="13.543131488006427"/>
    <n v="20000"/>
    <n v="66"/>
    <x v="3241"/>
    <x v="0"/>
    <x v="1"/>
    <x v="0"/>
  </r>
  <r>
    <x v="257"/>
    <s v="ZPEP"/>
    <x v="12"/>
    <s v="HLBX77"/>
    <s v="16093509K"/>
    <s v="VITACURA"/>
    <x v="2562"/>
    <x v="1"/>
    <x v="1"/>
    <x v="27"/>
    <x v="1"/>
    <n v="4"/>
    <n v="150806"/>
    <n v="0"/>
    <n v="150806"/>
    <n v="11.000029176635358"/>
    <n v="5000"/>
    <n v="100"/>
    <x v="3242"/>
    <x v="0"/>
    <x v="1"/>
    <x v="1"/>
  </r>
  <r>
    <x v="257"/>
    <s v="ZPEP"/>
    <x v="12"/>
    <s v="WC2233"/>
    <s v="125108660"/>
    <s v="VITACURA"/>
    <x v="2563"/>
    <x v="4"/>
    <x v="1"/>
    <x v="27"/>
    <x v="1"/>
    <n v="4"/>
    <n v="107489"/>
    <n v="0"/>
    <n v="107489"/>
    <n v="11.000008186890335"/>
    <n v="5000"/>
    <n v="100"/>
    <x v="3243"/>
    <x v="0"/>
    <x v="1"/>
    <x v="1"/>
  </r>
  <r>
    <x v="257"/>
    <s v="ZTAN"/>
    <x v="47"/>
    <s v="SV2718"/>
    <s v="99626232"/>
    <s v="SAN JOAQUIN"/>
    <x v="911"/>
    <x v="1"/>
    <x v="1"/>
    <x v="67"/>
    <x v="1"/>
    <n v="3"/>
    <n v="55000"/>
    <n v="0"/>
    <n v="55000"/>
    <n v="14.091724314629772"/>
    <n v="5000"/>
    <n v="78"/>
    <x v="3244"/>
    <x v="0"/>
    <x v="1"/>
    <x v="1"/>
  </r>
  <r>
    <x v="257"/>
    <s v="ZTAN"/>
    <x v="10"/>
    <s v="SU9354"/>
    <s v="72564391"/>
    <s v="QUILICURA"/>
    <x v="385"/>
    <x v="2"/>
    <x v="1"/>
    <x v="8"/>
    <x v="1"/>
    <n v="1"/>
    <n v="82544"/>
    <n v="0"/>
    <n v="82544"/>
    <n v="11.000000000000004"/>
    <n v="5000"/>
    <n v="100"/>
    <x v="3245"/>
    <x v="0"/>
    <x v="1"/>
    <x v="1"/>
  </r>
  <r>
    <x v="257"/>
    <s v="ZTAN"/>
    <x v="70"/>
    <s v="XR6339"/>
    <s v="78907355"/>
    <s v="SANTIAGO"/>
    <x v="1067"/>
    <x v="1"/>
    <x v="1"/>
    <x v="20"/>
    <x v="1"/>
    <n v="1"/>
    <n v="93522"/>
    <n v="0"/>
    <n v="93522"/>
    <n v="11"/>
    <n v="5000"/>
    <n v="100"/>
    <x v="3246"/>
    <x v="0"/>
    <x v="1"/>
    <x v="1"/>
  </r>
  <r>
    <x v="257"/>
    <s v="ZTAN"/>
    <x v="7"/>
    <s v="HLBX77"/>
    <s v="16093509K"/>
    <s v="RENCA"/>
    <x v="400"/>
    <x v="1"/>
    <x v="1"/>
    <x v="7"/>
    <x v="1"/>
    <n v="1"/>
    <n v="90798"/>
    <n v="0"/>
    <n v="90798"/>
    <n v="10.999951540996321"/>
    <n v="5000"/>
    <n v="100"/>
    <x v="3247"/>
    <x v="0"/>
    <x v="1"/>
    <x v="1"/>
  </r>
  <r>
    <x v="257"/>
    <s v="ZTAN"/>
    <x v="7"/>
    <s v="WC2233"/>
    <s v="125108660"/>
    <s v="RENCA"/>
    <x v="2564"/>
    <x v="4"/>
    <x v="1"/>
    <x v="7"/>
    <x v="1"/>
    <n v="1"/>
    <n v="89131"/>
    <n v="0"/>
    <n v="89131"/>
    <n v="11.000024682825693"/>
    <n v="5000"/>
    <n v="100"/>
    <x v="3248"/>
    <x v="0"/>
    <x v="1"/>
    <x v="1"/>
  </r>
  <r>
    <x v="257"/>
    <s v="ZTAN"/>
    <x v="7"/>
    <s v="WG4022"/>
    <s v="81417709"/>
    <s v="RENCA"/>
    <x v="1931"/>
    <x v="1"/>
    <x v="0"/>
    <x v="7"/>
    <x v="1"/>
    <n v="1"/>
    <n v="187044"/>
    <n v="0"/>
    <n v="187044"/>
    <n v="10.999999999999993"/>
    <n v="5000"/>
    <n v="100"/>
    <x v="3249"/>
    <x v="0"/>
    <x v="1"/>
    <x v="1"/>
  </r>
  <r>
    <x v="257"/>
    <s v="ZTAN"/>
    <x v="8"/>
    <s v="CJFZ67"/>
    <s v="115812335"/>
    <s v="CORONEL"/>
    <x v="2565"/>
    <x v="5"/>
    <x v="0"/>
    <x v="16"/>
    <x v="0"/>
    <n v="0"/>
    <n v="380000"/>
    <n v="0"/>
    <n v="380000"/>
    <n v="21.47827020794357"/>
    <n v="20000"/>
    <n v="88"/>
    <x v="3250"/>
    <x v="0"/>
    <x v="1"/>
    <x v="0"/>
  </r>
  <r>
    <x v="257"/>
    <s v="ZTAN"/>
    <x v="8"/>
    <s v="RK5135"/>
    <s v="138841065"/>
    <s v="SANTIAGO"/>
    <x v="951"/>
    <x v="3"/>
    <x v="1"/>
    <x v="20"/>
    <x v="1"/>
    <n v="1"/>
    <n v="55000"/>
    <n v="0"/>
    <n v="55000"/>
    <n v="11.69715014887282"/>
    <n v="5000"/>
    <n v="94"/>
    <x v="3251"/>
    <x v="0"/>
    <x v="1"/>
    <x v="1"/>
  </r>
  <r>
    <x v="257"/>
    <s v="ZTAN"/>
    <x v="8"/>
    <s v="SV2718"/>
    <s v="99626232"/>
    <s v="LAS CONDES"/>
    <x v="2566"/>
    <x v="1"/>
    <x v="1"/>
    <x v="3"/>
    <x v="1"/>
    <n v="4"/>
    <n v="55000"/>
    <n v="0"/>
    <n v="55000"/>
    <n v="11.409131453938226"/>
    <n v="5000"/>
    <n v="96"/>
    <x v="3252"/>
    <x v="0"/>
    <x v="1"/>
    <x v="1"/>
  </r>
  <r>
    <x v="257"/>
    <s v="ZTAN"/>
    <x v="8"/>
    <s v="TP3884"/>
    <s v="154837728"/>
    <s v="PUDAHUEL"/>
    <x v="2567"/>
    <x v="1"/>
    <x v="1"/>
    <x v="10"/>
    <x v="1"/>
    <n v="1"/>
    <n v="73951"/>
    <n v="0"/>
    <n v="73951"/>
    <n v="11.000029749509135"/>
    <n v="5000"/>
    <n v="100"/>
    <x v="3253"/>
    <x v="0"/>
    <x v="1"/>
    <x v="1"/>
  </r>
  <r>
    <x v="258"/>
    <s v="ZPEP"/>
    <x v="27"/>
    <s v="BPKD94"/>
    <s v="125897258"/>
    <s v="NACIMIENTO"/>
    <x v="2568"/>
    <x v="0"/>
    <x v="0"/>
    <x v="86"/>
    <x v="0"/>
    <n v="0"/>
    <n v="420000"/>
    <n v="0"/>
    <n v="420000"/>
    <n v="29.327458531322776"/>
    <n v="20000"/>
    <n v="43"/>
    <x v="3254"/>
    <x v="0"/>
    <x v="1"/>
    <x v="0"/>
  </r>
  <r>
    <x v="258"/>
    <s v="ZPEP"/>
    <x v="2"/>
    <s v="RH1133"/>
    <s v="65941082"/>
    <s v="PEÑAFLOR"/>
    <x v="2569"/>
    <x v="0"/>
    <x v="0"/>
    <x v="80"/>
    <x v="1"/>
    <n v="5"/>
    <n v="120000"/>
    <n v="0"/>
    <n v="120000"/>
    <n v="4.4577615944521654"/>
    <n v="10000"/>
    <n v="100"/>
    <x v="3255"/>
    <x v="0"/>
    <x v="1"/>
    <x v="1"/>
  </r>
  <r>
    <x v="258"/>
    <s v="ZPEP"/>
    <x v="12"/>
    <s v="HLBX77"/>
    <s v="16093509K"/>
    <s v="VITACURA"/>
    <x v="2570"/>
    <x v="1"/>
    <x v="1"/>
    <x v="27"/>
    <x v="1"/>
    <n v="4"/>
    <n v="140791"/>
    <n v="0"/>
    <n v="140791"/>
    <n v="10.999984374023375"/>
    <n v="5000"/>
    <n v="100"/>
    <x v="3256"/>
    <x v="0"/>
    <x v="1"/>
    <x v="1"/>
  </r>
  <r>
    <x v="258"/>
    <s v="ZPEP"/>
    <x v="12"/>
    <s v="WC2233"/>
    <s v="125108660"/>
    <s v="VITACURA"/>
    <x v="2571"/>
    <x v="4"/>
    <x v="1"/>
    <x v="27"/>
    <x v="1"/>
    <n v="4"/>
    <n v="112607"/>
    <n v="0"/>
    <n v="112607"/>
    <n v="10.999957018825754"/>
    <n v="5000"/>
    <n v="100"/>
    <x v="3257"/>
    <x v="0"/>
    <x v="1"/>
    <x v="1"/>
  </r>
  <r>
    <x v="258"/>
    <s v="ZTAN"/>
    <x v="9"/>
    <s v="TP3884"/>
    <s v="154837728"/>
    <s v="SAN BERNARDO"/>
    <x v="2572"/>
    <x v="1"/>
    <x v="1"/>
    <x v="4"/>
    <x v="1"/>
    <n v="4"/>
    <n v="156574"/>
    <n v="0"/>
    <n v="156574"/>
    <n v="11"/>
    <n v="5000"/>
    <n v="100"/>
    <x v="3258"/>
    <x v="0"/>
    <x v="1"/>
    <x v="1"/>
  </r>
  <r>
    <x v="258"/>
    <s v="ZTAN"/>
    <x v="7"/>
    <s v="WC2233"/>
    <s v="125108660"/>
    <s v="RENCA"/>
    <x v="1067"/>
    <x v="4"/>
    <x v="1"/>
    <x v="7"/>
    <x v="1"/>
    <n v="1"/>
    <n v="93522"/>
    <n v="0"/>
    <n v="93522"/>
    <n v="11"/>
    <n v="5000"/>
    <n v="100"/>
    <x v="3259"/>
    <x v="0"/>
    <x v="1"/>
    <x v="1"/>
  </r>
  <r>
    <x v="258"/>
    <s v="ZTAN"/>
    <x v="7"/>
    <s v="WG4022"/>
    <s v="81417709"/>
    <s v="RENCA"/>
    <x v="1931"/>
    <x v="1"/>
    <x v="0"/>
    <x v="7"/>
    <x v="1"/>
    <n v="1"/>
    <n v="187044"/>
    <n v="0"/>
    <n v="187044"/>
    <n v="10.999999999999993"/>
    <n v="5000"/>
    <n v="100"/>
    <x v="3260"/>
    <x v="0"/>
    <x v="1"/>
    <x v="1"/>
  </r>
  <r>
    <x v="258"/>
    <s v="ZTAN"/>
    <x v="8"/>
    <s v="RK5135"/>
    <s v="138841065"/>
    <s v="REÑACA"/>
    <x v="2573"/>
    <x v="3"/>
    <x v="1"/>
    <x v="6"/>
    <x v="2"/>
    <n v="0"/>
    <n v="180000"/>
    <n v="0"/>
    <n v="180000"/>
    <n v="20.696316055742077"/>
    <n v="20000"/>
    <n v="43"/>
    <x v="3261"/>
    <x v="0"/>
    <x v="1"/>
    <x v="0"/>
  </r>
  <r>
    <x v="258"/>
    <s v="ZTAN"/>
    <x v="8"/>
    <s v="SU9354"/>
    <s v="72564391"/>
    <s v="HUECHURABA"/>
    <x v="2574"/>
    <x v="2"/>
    <x v="1"/>
    <x v="24"/>
    <x v="1"/>
    <n v="1"/>
    <n v="55000"/>
    <n v="0"/>
    <n v="55000"/>
    <n v="13.31106754761732"/>
    <n v="5000"/>
    <n v="83"/>
    <x v="3262"/>
    <x v="0"/>
    <x v="1"/>
    <x v="1"/>
  </r>
  <r>
    <x v="258"/>
    <s v="ZTAN"/>
    <x v="8"/>
    <s v="SV2718"/>
    <s v="99626232"/>
    <s v="QUILIN"/>
    <x v="2575"/>
    <x v="1"/>
    <x v="1"/>
    <x v="34"/>
    <x v="1"/>
    <n v="4"/>
    <n v="59315"/>
    <n v="0"/>
    <n v="59315"/>
    <n v="10.999944365113221"/>
    <n v="5000"/>
    <n v="100"/>
    <x v="3263"/>
    <x v="0"/>
    <x v="1"/>
    <x v="1"/>
  </r>
  <r>
    <x v="258"/>
    <s v="ZTAN"/>
    <x v="8"/>
    <s v="TP3884"/>
    <s v="154837728"/>
    <s v="PUDAHUEL"/>
    <x v="2576"/>
    <x v="1"/>
    <x v="1"/>
    <x v="10"/>
    <x v="1"/>
    <n v="1"/>
    <n v="68442"/>
    <n v="0"/>
    <n v="68442"/>
    <n v="11.000000000000002"/>
    <n v="5000"/>
    <n v="100"/>
    <x v="3264"/>
    <x v="0"/>
    <x v="1"/>
    <x v="1"/>
  </r>
  <r>
    <x v="258"/>
    <s v="ZTAN"/>
    <x v="83"/>
    <s v="BYZH29"/>
    <s v="122975819"/>
    <s v="SANTIAGO"/>
    <x v="2577"/>
    <x v="0"/>
    <x v="0"/>
    <x v="20"/>
    <x v="1"/>
    <n v="1"/>
    <n v="180671"/>
    <n v="0"/>
    <n v="180671"/>
    <n v="10.999990867385309"/>
    <n v="5000"/>
    <n v="100"/>
    <x v="3265"/>
    <x v="0"/>
    <x v="1"/>
    <x v="1"/>
  </r>
  <r>
    <x v="259"/>
    <s v="ZPEP"/>
    <x v="32"/>
    <s v="RH1133"/>
    <s v="65941082"/>
    <s v="LAMPA"/>
    <x v="2578"/>
    <x v="0"/>
    <x v="0"/>
    <x v="17"/>
    <x v="1"/>
    <n v="5"/>
    <n v="120000"/>
    <n v="0"/>
    <n v="120000"/>
    <n v="4.6701238555764197"/>
    <n v="10000"/>
    <n v="100"/>
    <x v="3266"/>
    <x v="0"/>
    <x v="1"/>
    <x v="1"/>
  </r>
  <r>
    <x v="259"/>
    <s v="ZPEP"/>
    <x v="2"/>
    <s v="KKPF51"/>
    <s v="95707734"/>
    <s v="PEÑAFLOR"/>
    <x v="2579"/>
    <x v="8"/>
    <x v="0"/>
    <x v="80"/>
    <x v="1"/>
    <n v="5"/>
    <n v="120000"/>
    <n v="0"/>
    <n v="120000"/>
    <n v="4.9563633509972593"/>
    <n v="10000"/>
    <n v="100"/>
    <x v="3267"/>
    <x v="0"/>
    <x v="1"/>
    <x v="1"/>
  </r>
  <r>
    <x v="259"/>
    <s v="ZPEP"/>
    <x v="12"/>
    <s v="HLBX77"/>
    <s v="16093509K"/>
    <s v="VITACURA"/>
    <x v="2580"/>
    <x v="1"/>
    <x v="1"/>
    <x v="27"/>
    <x v="1"/>
    <n v="4"/>
    <n v="147558"/>
    <n v="0"/>
    <n v="147558"/>
    <n v="10.99997018129771"/>
    <n v="5000"/>
    <n v="100"/>
    <x v="3268"/>
    <x v="0"/>
    <x v="1"/>
    <x v="1"/>
  </r>
  <r>
    <x v="259"/>
    <s v="ZPEP"/>
    <x v="12"/>
    <s v="WC2233"/>
    <s v="125108660"/>
    <s v="VITACURA"/>
    <x v="2581"/>
    <x v="4"/>
    <x v="1"/>
    <x v="27"/>
    <x v="1"/>
    <n v="4"/>
    <n v="102564"/>
    <n v="0"/>
    <n v="102564"/>
    <n v="10.999952810155254"/>
    <n v="5000"/>
    <n v="100"/>
    <x v="3269"/>
    <x v="0"/>
    <x v="1"/>
    <x v="1"/>
  </r>
  <r>
    <x v="259"/>
    <s v="ZTAN"/>
    <x v="34"/>
    <s v="SU9354"/>
    <s v="72564391"/>
    <s v="QUINTA NORMAL"/>
    <x v="2337"/>
    <x v="2"/>
    <x v="1"/>
    <x v="62"/>
    <x v="1"/>
    <n v="1"/>
    <n v="55000"/>
    <n v="0"/>
    <n v="55000"/>
    <n v="17.170329670329672"/>
    <n v="5000"/>
    <n v="64"/>
    <x v="3270"/>
    <x v="0"/>
    <x v="1"/>
    <x v="1"/>
  </r>
  <r>
    <x v="259"/>
    <s v="ZTAN"/>
    <x v="10"/>
    <s v="KKPF51"/>
    <s v="95707734"/>
    <s v="SANTIAGO"/>
    <x v="315"/>
    <x v="8"/>
    <x v="0"/>
    <x v="20"/>
    <x v="1"/>
    <n v="1"/>
    <n v="104544"/>
    <n v="0"/>
    <n v="104544"/>
    <n v="10.999999999999989"/>
    <n v="5000"/>
    <n v="100"/>
    <x v="3271"/>
    <x v="0"/>
    <x v="1"/>
    <x v="1"/>
  </r>
  <r>
    <x v="259"/>
    <s v="ZTAN"/>
    <x v="7"/>
    <s v="SU9354"/>
    <s v="72564391"/>
    <s v="RENCA"/>
    <x v="2582"/>
    <x v="2"/>
    <x v="1"/>
    <x v="7"/>
    <x v="1"/>
    <n v="1"/>
    <n v="96287"/>
    <n v="0"/>
    <n v="96287"/>
    <n v="10.999954303470654"/>
    <n v="5000"/>
    <n v="100"/>
    <x v="3272"/>
    <x v="0"/>
    <x v="1"/>
    <x v="1"/>
  </r>
  <r>
    <x v="259"/>
    <s v="ZTAN"/>
    <x v="7"/>
    <s v="TW7053"/>
    <s v="172861164"/>
    <s v="CHILLAN"/>
    <x v="1144"/>
    <x v="6"/>
    <x v="1"/>
    <x v="21"/>
    <x v="5"/>
    <n v="0"/>
    <n v="350000"/>
    <n v="0"/>
    <n v="350000"/>
    <n v="33.964095099466277"/>
    <n v="20000"/>
    <n v="65"/>
    <x v="3273"/>
    <x v="0"/>
    <x v="1"/>
    <x v="0"/>
  </r>
  <r>
    <x v="259"/>
    <s v="ZTAN"/>
    <x v="7"/>
    <s v="WC2233"/>
    <s v="125108660"/>
    <s v="RENCA"/>
    <x v="1067"/>
    <x v="4"/>
    <x v="1"/>
    <x v="7"/>
    <x v="1"/>
    <n v="1"/>
    <n v="93522"/>
    <n v="0"/>
    <n v="93522"/>
    <n v="11"/>
    <n v="5000"/>
    <n v="100"/>
    <x v="3274"/>
    <x v="0"/>
    <x v="1"/>
    <x v="1"/>
  </r>
  <r>
    <x v="259"/>
    <s v="ZTAN"/>
    <x v="7"/>
    <s v="WG4022"/>
    <s v="81417709"/>
    <s v="RENCA"/>
    <x v="315"/>
    <x v="1"/>
    <x v="0"/>
    <x v="7"/>
    <x v="1"/>
    <n v="1"/>
    <n v="104544"/>
    <n v="0"/>
    <n v="104544"/>
    <n v="10.999999999999989"/>
    <n v="5000"/>
    <n v="100"/>
    <x v="3275"/>
    <x v="0"/>
    <x v="1"/>
    <x v="1"/>
  </r>
  <r>
    <x v="259"/>
    <s v="ZTAN"/>
    <x v="8"/>
    <s v="DRFV76"/>
    <s v="113693568"/>
    <s v="CORONEL"/>
    <x v="2583"/>
    <x v="0"/>
    <x v="0"/>
    <x v="16"/>
    <x v="0"/>
    <n v="0"/>
    <n v="380000"/>
    <n v="0"/>
    <n v="380000"/>
    <n v="33.946757191352511"/>
    <n v="20000"/>
    <n v="85"/>
    <x v="3276"/>
    <x v="0"/>
    <x v="1"/>
    <x v="0"/>
  </r>
  <r>
    <x v="259"/>
    <s v="ZTAN"/>
    <x v="8"/>
    <s v="SV2718"/>
    <s v="99626232"/>
    <s v="PUDAHUEL"/>
    <x v="2584"/>
    <x v="1"/>
    <x v="1"/>
    <x v="10"/>
    <x v="1"/>
    <n v="1"/>
    <n v="55000"/>
    <n v="0"/>
    <n v="55000"/>
    <n v="16.11013473930873"/>
    <n v="5000"/>
    <n v="68"/>
    <x v="3277"/>
    <x v="0"/>
    <x v="1"/>
    <x v="1"/>
  </r>
  <r>
    <x v="259"/>
    <s v="ZTAN"/>
    <x v="8"/>
    <s v="TP3884"/>
    <s v="154837728"/>
    <s v="LAS CONDES"/>
    <x v="2585"/>
    <x v="1"/>
    <x v="1"/>
    <x v="3"/>
    <x v="1"/>
    <n v="4"/>
    <n v="55000"/>
    <n v="0"/>
    <n v="55000"/>
    <n v="9.0847524817892005"/>
    <n v="5000"/>
    <n v="88"/>
    <x v="3278"/>
    <x v="0"/>
    <x v="1"/>
    <x v="1"/>
  </r>
  <r>
    <x v="260"/>
    <s v="ZPEP"/>
    <x v="17"/>
    <s v="WC2233"/>
    <s v="125108660"/>
    <s v="LAMPA"/>
    <x v="2586"/>
    <x v="4"/>
    <x v="1"/>
    <x v="17"/>
    <x v="1"/>
    <n v="5"/>
    <n v="70000"/>
    <n v="0"/>
    <n v="70000"/>
    <n v="6.7334626158155571"/>
    <n v="10000"/>
    <n v="100"/>
    <x v="3279"/>
    <x v="0"/>
    <x v="1"/>
    <x v="1"/>
  </r>
  <r>
    <x v="260"/>
    <s v="ZPEP"/>
    <x v="17"/>
    <s v="XR6339"/>
    <s v="78907355"/>
    <s v="LAMPA"/>
    <x v="2587"/>
    <x v="1"/>
    <x v="1"/>
    <x v="17"/>
    <x v="1"/>
    <n v="5"/>
    <n v="70000"/>
    <n v="0"/>
    <n v="70000"/>
    <n v="6.2525010004001595"/>
    <n v="10000"/>
    <n v="100"/>
    <x v="3280"/>
    <x v="0"/>
    <x v="1"/>
    <x v="1"/>
  </r>
  <r>
    <x v="260"/>
    <s v="ZPEP"/>
    <x v="58"/>
    <s v="TP3884"/>
    <s v="154837728"/>
    <s v="COLINA"/>
    <x v="2588"/>
    <x v="1"/>
    <x v="1"/>
    <x v="5"/>
    <x v="1"/>
    <n v="5"/>
    <n v="70000"/>
    <n v="0"/>
    <n v="70000"/>
    <n v="25.25288965208733"/>
    <n v="10000"/>
    <n v="28"/>
    <x v="3281"/>
    <x v="0"/>
    <x v="1"/>
    <x v="1"/>
  </r>
  <r>
    <x v="260"/>
    <s v="ZPEP"/>
    <x v="32"/>
    <s v="RK5135"/>
    <s v="138841065"/>
    <s v="LAMPA"/>
    <x v="2589"/>
    <x v="3"/>
    <x v="1"/>
    <x v="17"/>
    <x v="1"/>
    <n v="5"/>
    <n v="70000"/>
    <n v="0"/>
    <n v="70000"/>
    <n v="6.5954981014387615"/>
    <n v="10000"/>
    <n v="96"/>
    <x v="3282"/>
    <x v="0"/>
    <x v="1"/>
    <x v="1"/>
  </r>
  <r>
    <x v="260"/>
    <s v="ZPEP"/>
    <x v="11"/>
    <s v="BYZH29"/>
    <s v="122975819"/>
    <s v="TALCA"/>
    <x v="2590"/>
    <x v="0"/>
    <x v="0"/>
    <x v="12"/>
    <x v="3"/>
    <n v="0"/>
    <n v="320000"/>
    <n v="0"/>
    <n v="320000"/>
    <n v="14.536243852758753"/>
    <n v="20000"/>
    <n v="100"/>
    <x v="3283"/>
    <x v="0"/>
    <x v="1"/>
    <x v="0"/>
  </r>
  <r>
    <x v="260"/>
    <s v="ZPEP"/>
    <x v="2"/>
    <s v="SU9354"/>
    <s v="72564391"/>
    <s v="PEÑAFLOR"/>
    <x v="2591"/>
    <x v="2"/>
    <x v="1"/>
    <x v="80"/>
    <x v="1"/>
    <n v="5"/>
    <n v="70000"/>
    <n v="0"/>
    <n v="70000"/>
    <n v="6.7777573369223179"/>
    <n v="10000"/>
    <n v="100"/>
    <x v="3284"/>
    <x v="0"/>
    <x v="1"/>
    <x v="1"/>
  </r>
  <r>
    <x v="260"/>
    <s v="ZTAN"/>
    <x v="10"/>
    <s v="KKPF51"/>
    <s v="95707734"/>
    <s v="SANTIAGO"/>
    <x v="2592"/>
    <x v="8"/>
    <x v="0"/>
    <x v="20"/>
    <x v="1"/>
    <n v="1"/>
    <n v="135362"/>
    <n v="0"/>
    <n v="135362"/>
    <n v="11.000032505525931"/>
    <n v="5000"/>
    <n v="100"/>
    <x v="3285"/>
    <x v="0"/>
    <x v="1"/>
    <x v="1"/>
  </r>
  <r>
    <x v="260"/>
    <s v="ZTAN"/>
    <x v="6"/>
    <s v="SV2718"/>
    <s v="99626232"/>
    <s v="MAIPU"/>
    <x v="2593"/>
    <x v="1"/>
    <x v="1"/>
    <x v="2"/>
    <x v="1"/>
    <n v="2"/>
    <n v="55000"/>
    <n v="0"/>
    <n v="55000"/>
    <n v="17.178910544727643"/>
    <n v="5000"/>
    <n v="64"/>
    <x v="3286"/>
    <x v="0"/>
    <x v="1"/>
    <x v="1"/>
  </r>
  <r>
    <x v="260"/>
    <s v="ZTAN"/>
    <x v="6"/>
    <s v="XR6339"/>
    <s v="78907355"/>
    <s v="LA DEHESA"/>
    <x v="248"/>
    <x v="1"/>
    <x v="1"/>
    <x v="41"/>
    <x v="1"/>
    <n v="4"/>
    <n v="55000"/>
    <n v="0"/>
    <n v="55000"/>
    <n v="18.323560767590617"/>
    <n v="5000"/>
    <n v="60"/>
    <x v="3287"/>
    <x v="0"/>
    <x v="1"/>
    <x v="1"/>
  </r>
  <r>
    <x v="260"/>
    <s v="ZTAN"/>
    <x v="66"/>
    <s v="SV2718"/>
    <s v="99626232"/>
    <s v="SANTIAGO"/>
    <x v="2594"/>
    <x v="1"/>
    <x v="1"/>
    <x v="20"/>
    <x v="1"/>
    <n v="1"/>
    <n v="55000"/>
    <n v="0"/>
    <n v="55000"/>
    <n v="17.576377348843156"/>
    <n v="5000"/>
    <n v="63"/>
    <x v="3288"/>
    <x v="0"/>
    <x v="1"/>
    <x v="1"/>
  </r>
  <r>
    <x v="260"/>
    <s v="ZTAN"/>
    <x v="7"/>
    <s v="SU9354"/>
    <s v="72564391"/>
    <s v="RENCA"/>
    <x v="2595"/>
    <x v="2"/>
    <x v="1"/>
    <x v="7"/>
    <x v="1"/>
    <n v="1"/>
    <n v="55000"/>
    <n v="0"/>
    <n v="55000"/>
    <n v="23.148148148148149"/>
    <n v="5000"/>
    <n v="48"/>
    <x v="3289"/>
    <x v="0"/>
    <x v="1"/>
    <x v="1"/>
  </r>
  <r>
    <x v="260"/>
    <s v="ZTAN"/>
    <x v="7"/>
    <s v="WC2233"/>
    <s v="125108660"/>
    <s v="RENCA"/>
    <x v="2595"/>
    <x v="4"/>
    <x v="1"/>
    <x v="7"/>
    <x v="1"/>
    <n v="1"/>
    <n v="55000"/>
    <n v="0"/>
    <n v="55000"/>
    <n v="23.148148148148149"/>
    <n v="5000"/>
    <n v="48"/>
    <x v="3290"/>
    <x v="0"/>
    <x v="1"/>
    <x v="1"/>
  </r>
  <r>
    <x v="260"/>
    <s v="ZTAN"/>
    <x v="7"/>
    <s v="WG4022"/>
    <s v="81417709"/>
    <s v="RENCA"/>
    <x v="315"/>
    <x v="1"/>
    <x v="0"/>
    <x v="7"/>
    <x v="1"/>
    <n v="1"/>
    <n v="104544"/>
    <n v="0"/>
    <n v="104544"/>
    <n v="10.999999999999989"/>
    <n v="5000"/>
    <n v="100"/>
    <x v="3291"/>
    <x v="0"/>
    <x v="1"/>
    <x v="1"/>
  </r>
  <r>
    <x v="260"/>
    <s v="ZTAN"/>
    <x v="8"/>
    <s v="HLBX77"/>
    <s v="16093509K"/>
    <s v="SAN FELIPE"/>
    <x v="2596"/>
    <x v="1"/>
    <x v="1"/>
    <x v="35"/>
    <x v="2"/>
    <n v="0"/>
    <n v="180000"/>
    <n v="0"/>
    <n v="180000"/>
    <n v="20.331631500474408"/>
    <n v="20000"/>
    <n v="44"/>
    <x v="3292"/>
    <x v="0"/>
    <x v="1"/>
    <x v="0"/>
  </r>
  <r>
    <x v="260"/>
    <s v="ZTAN"/>
    <x v="8"/>
    <s v="TP3884"/>
    <s v="154837728"/>
    <s v="PUDAHUEL"/>
    <x v="2597"/>
    <x v="1"/>
    <x v="1"/>
    <x v="10"/>
    <x v="1"/>
    <n v="1"/>
    <n v="58425"/>
    <n v="0"/>
    <n v="58425"/>
    <n v="8.413350767245749"/>
    <n v="5000"/>
    <n v="100"/>
    <x v="3293"/>
    <x v="0"/>
    <x v="1"/>
    <x v="1"/>
  </r>
  <r>
    <x v="261"/>
    <s v="ZPEP"/>
    <x v="27"/>
    <s v="BWPL69"/>
    <s v="78551976"/>
    <s v="SAN CARLOS"/>
    <x v="2598"/>
    <x v="5"/>
    <x v="0"/>
    <x v="32"/>
    <x v="5"/>
    <n v="0"/>
    <n v="350000"/>
    <n v="0"/>
    <n v="350000"/>
    <n v="20.073054447873432"/>
    <n v="20000"/>
    <n v="87"/>
    <x v="3294"/>
    <x v="0"/>
    <x v="1"/>
    <x v="0"/>
  </r>
  <r>
    <x v="261"/>
    <s v="ZPEP"/>
    <x v="11"/>
    <s v="RH1133"/>
    <s v="65941082"/>
    <s v="PEÑAFLOR"/>
    <x v="2599"/>
    <x v="0"/>
    <x v="0"/>
    <x v="80"/>
    <x v="1"/>
    <n v="5"/>
    <n v="120000"/>
    <n v="0"/>
    <n v="120000"/>
    <n v="6.3106280442206772"/>
    <n v="10000"/>
    <n v="100"/>
    <x v="3295"/>
    <x v="0"/>
    <x v="1"/>
    <x v="1"/>
  </r>
  <r>
    <x v="261"/>
    <s v="ZPEP"/>
    <x v="2"/>
    <s v="TW7053"/>
    <s v="172861164"/>
    <s v="PEÑAFLOR"/>
    <x v="2600"/>
    <x v="6"/>
    <x v="1"/>
    <x v="80"/>
    <x v="1"/>
    <n v="5"/>
    <n v="70000"/>
    <n v="0"/>
    <n v="70000"/>
    <n v="3.3971677327302565"/>
    <n v="10000"/>
    <n v="100"/>
    <x v="3296"/>
    <x v="0"/>
    <x v="1"/>
    <x v="1"/>
  </r>
  <r>
    <x v="261"/>
    <s v="ZTAN"/>
    <x v="17"/>
    <s v="WC2233"/>
    <s v="125108660"/>
    <s v="LAMPA"/>
    <x v="1717"/>
    <x v="4"/>
    <x v="1"/>
    <x v="17"/>
    <x v="1"/>
    <n v="5"/>
    <n v="70000"/>
    <n v="0"/>
    <n v="70000"/>
    <n v="7.3250873778280035"/>
    <n v="10000"/>
    <n v="96"/>
    <x v="3297"/>
    <x v="0"/>
    <x v="1"/>
    <x v="1"/>
  </r>
  <r>
    <x v="261"/>
    <s v="ZTAN"/>
    <x v="17"/>
    <s v="XR6339"/>
    <s v="78907355"/>
    <s v="LAMPA"/>
    <x v="2601"/>
    <x v="1"/>
    <x v="1"/>
    <x v="17"/>
    <x v="1"/>
    <n v="5"/>
    <n v="70000"/>
    <n v="0"/>
    <n v="70000"/>
    <n v="7.544038323714684"/>
    <n v="10000"/>
    <n v="87"/>
    <x v="3298"/>
    <x v="0"/>
    <x v="1"/>
    <x v="1"/>
  </r>
  <r>
    <x v="261"/>
    <s v="ZTAN"/>
    <x v="6"/>
    <s v="SU9354"/>
    <s v="72564391"/>
    <s v="LOS ANDES"/>
    <x v="1545"/>
    <x v="2"/>
    <x v="1"/>
    <x v="38"/>
    <x v="2"/>
    <n v="0"/>
    <n v="180000"/>
    <n v="0"/>
    <n v="180000"/>
    <n v="28.559642052486279"/>
    <n v="20000"/>
    <n v="32"/>
    <x v="3299"/>
    <x v="0"/>
    <x v="1"/>
    <x v="0"/>
  </r>
  <r>
    <x v="261"/>
    <s v="ZTAN"/>
    <x v="7"/>
    <s v="HLBX77"/>
    <s v="16093509K"/>
    <s v="RENCA"/>
    <x v="2602"/>
    <x v="1"/>
    <x v="1"/>
    <x v="7"/>
    <x v="1"/>
    <n v="1"/>
    <n v="64350"/>
    <n v="0"/>
    <n v="64350"/>
    <n v="11"/>
    <n v="5000"/>
    <n v="100"/>
    <x v="3300"/>
    <x v="0"/>
    <x v="1"/>
    <x v="1"/>
  </r>
  <r>
    <x v="261"/>
    <s v="ZTAN"/>
    <x v="8"/>
    <s v="BPKD94"/>
    <s v="125897258"/>
    <s v="LINARES"/>
    <x v="2603"/>
    <x v="0"/>
    <x v="0"/>
    <x v="59"/>
    <x v="3"/>
    <n v="0"/>
    <n v="330000"/>
    <n v="0"/>
    <n v="330000"/>
    <n v="23.28387274305188"/>
    <n v="20000"/>
    <n v="71"/>
    <x v="3301"/>
    <x v="0"/>
    <x v="1"/>
    <x v="0"/>
  </r>
  <r>
    <x v="261"/>
    <s v="ZTAN"/>
    <x v="8"/>
    <s v="BYZH29"/>
    <s v="122975819"/>
    <s v="TALCA"/>
    <x v="2604"/>
    <x v="0"/>
    <x v="0"/>
    <x v="12"/>
    <x v="3"/>
    <n v="0"/>
    <n v="320000"/>
    <n v="0"/>
    <n v="320000"/>
    <n v="30.376382362712963"/>
    <n v="20000"/>
    <n v="53"/>
    <x v="3302"/>
    <x v="0"/>
    <x v="1"/>
    <x v="0"/>
  </r>
  <r>
    <x v="261"/>
    <s v="ZTAN"/>
    <x v="8"/>
    <s v="KKPF51"/>
    <s v="95707734"/>
    <s v="SAN FERNANDO"/>
    <x v="2605"/>
    <x v="8"/>
    <x v="0"/>
    <x v="92"/>
    <x v="6"/>
    <n v="0"/>
    <n v="280000"/>
    <n v="0"/>
    <n v="280000"/>
    <n v="24.417894828638701"/>
    <n v="20000"/>
    <n v="65"/>
    <x v="3303"/>
    <x v="0"/>
    <x v="1"/>
    <x v="0"/>
  </r>
  <r>
    <x v="261"/>
    <s v="ZTAN"/>
    <x v="8"/>
    <s v="SV2718"/>
    <s v="99626232"/>
    <s v="ÑUÑOA"/>
    <x v="2606"/>
    <x v="1"/>
    <x v="1"/>
    <x v="15"/>
    <x v="1"/>
    <n v="4"/>
    <n v="73245"/>
    <n v="0"/>
    <n v="73245"/>
    <n v="11.000060072687953"/>
    <n v="5000"/>
    <n v="100"/>
    <x v="3304"/>
    <x v="0"/>
    <x v="1"/>
    <x v="1"/>
  </r>
  <r>
    <x v="261"/>
    <s v="ZTAN"/>
    <x v="8"/>
    <s v="TP3884"/>
    <s v="154837728"/>
    <s v="PUDAHUEL"/>
    <x v="2607"/>
    <x v="1"/>
    <x v="1"/>
    <x v="10"/>
    <x v="1"/>
    <n v="1"/>
    <n v="65934"/>
    <n v="0"/>
    <n v="65934"/>
    <n v="11.000073407229946"/>
    <n v="5000"/>
    <n v="100"/>
    <x v="3305"/>
    <x v="0"/>
    <x v="1"/>
    <x v="1"/>
  </r>
  <r>
    <x v="262"/>
    <s v="ZPEP"/>
    <x v="32"/>
    <s v="RK5135"/>
    <s v="138841065"/>
    <s v="LAMPA"/>
    <x v="2608"/>
    <x v="3"/>
    <x v="1"/>
    <x v="17"/>
    <x v="1"/>
    <n v="5"/>
    <n v="70000"/>
    <n v="0"/>
    <n v="70000"/>
    <n v="14.490173592279634"/>
    <n v="10000"/>
    <n v="75"/>
    <x v="3306"/>
    <x v="0"/>
    <x v="1"/>
    <x v="1"/>
  </r>
  <r>
    <x v="262"/>
    <s v="ZPEP"/>
    <x v="11"/>
    <s v="TW7053"/>
    <s v="172861164"/>
    <s v="PEÑAFLOR"/>
    <x v="2609"/>
    <x v="6"/>
    <x v="1"/>
    <x v="80"/>
    <x v="1"/>
    <n v="5"/>
    <n v="70000"/>
    <n v="0"/>
    <n v="70000"/>
    <n v="3.1428878020483557"/>
    <n v="10000"/>
    <n v="100"/>
    <x v="3307"/>
    <x v="0"/>
    <x v="1"/>
    <x v="1"/>
  </r>
  <r>
    <x v="262"/>
    <s v="ZTAN"/>
    <x v="17"/>
    <s v="WG4022"/>
    <s v="172861164"/>
    <s v="LAMPA"/>
    <x v="2610"/>
    <x v="1"/>
    <x v="0"/>
    <x v="17"/>
    <x v="1"/>
    <n v="5"/>
    <n v="120000"/>
    <n v="0"/>
    <n v="120000"/>
    <n v="7.8539171411741604"/>
    <n v="10000"/>
    <n v="100"/>
    <x v="3308"/>
    <x v="0"/>
    <x v="1"/>
    <x v="1"/>
  </r>
  <r>
    <x v="262"/>
    <s v="ZTAN"/>
    <x v="7"/>
    <s v="WG4022"/>
    <s v="81417709"/>
    <s v="RENCA"/>
    <x v="2611"/>
    <x v="1"/>
    <x v="0"/>
    <x v="7"/>
    <x v="1"/>
    <n v="1"/>
    <n v="169688"/>
    <n v="0"/>
    <n v="169688"/>
    <n v="10.999987035044274"/>
    <n v="5000"/>
    <n v="100"/>
    <x v="3309"/>
    <x v="0"/>
    <x v="1"/>
    <x v="1"/>
  </r>
  <r>
    <x v="262"/>
    <s v="ZTAN"/>
    <x v="8"/>
    <s v="CJFZ67"/>
    <s v="188951333"/>
    <s v="CHILLAN"/>
    <x v="2612"/>
    <x v="5"/>
    <x v="0"/>
    <x v="21"/>
    <x v="5"/>
    <n v="0"/>
    <n v="350000"/>
    <n v="0"/>
    <n v="350000"/>
    <n v="29.55581827394019"/>
    <n v="20000"/>
    <n v="59"/>
    <x v="3310"/>
    <x v="0"/>
    <x v="1"/>
    <x v="0"/>
  </r>
  <r>
    <x v="262"/>
    <s v="ZTAN"/>
    <x v="8"/>
    <s v="CJXX49"/>
    <s v="167832741"/>
    <s v="CHILLAN"/>
    <x v="1144"/>
    <x v="5"/>
    <x v="0"/>
    <x v="21"/>
    <x v="5"/>
    <n v="0"/>
    <n v="350000"/>
    <n v="0"/>
    <n v="350000"/>
    <n v="33.964095099466277"/>
    <n v="20000"/>
    <n v="52"/>
    <x v="3311"/>
    <x v="0"/>
    <x v="1"/>
    <x v="0"/>
  </r>
  <r>
    <x v="262"/>
    <s v="ZTAN"/>
    <x v="8"/>
    <s v="HLBX77"/>
    <s v="16093509K"/>
    <s v="PUDAHUEL"/>
    <x v="2613"/>
    <x v="1"/>
    <x v="1"/>
    <x v="10"/>
    <x v="1"/>
    <n v="1"/>
    <n v="63962"/>
    <n v="0"/>
    <n v="63962"/>
    <n v="10.1692597786236"/>
    <n v="5000"/>
    <n v="100"/>
    <x v="3312"/>
    <x v="0"/>
    <x v="1"/>
    <x v="1"/>
  </r>
  <r>
    <x v="262"/>
    <s v="ZTAN"/>
    <x v="8"/>
    <s v="SV2718"/>
    <s v="99626232"/>
    <s v="ÑUÑOA"/>
    <x v="2614"/>
    <x v="1"/>
    <x v="1"/>
    <x v="15"/>
    <x v="1"/>
    <n v="4"/>
    <n v="56299"/>
    <n v="0"/>
    <n v="56299"/>
    <n v="10.99993747704235"/>
    <n v="5000"/>
    <n v="100"/>
    <x v="3313"/>
    <x v="0"/>
    <x v="1"/>
    <x v="1"/>
  </r>
  <r>
    <x v="263"/>
    <s v="ZPEP"/>
    <x v="5"/>
    <s v="SU9354"/>
    <s v="72564391"/>
    <s v="RENGO"/>
    <x v="2615"/>
    <x v="2"/>
    <x v="1"/>
    <x v="91"/>
    <x v="6"/>
    <n v="0"/>
    <n v="180000"/>
    <n v="0"/>
    <n v="180000"/>
    <n v="19.689690478065685"/>
    <n v="20000"/>
    <n v="46"/>
    <x v="3314"/>
    <x v="0"/>
    <x v="1"/>
    <x v="0"/>
  </r>
  <r>
    <x v="263"/>
    <s v="ZPEP"/>
    <x v="32"/>
    <s v="RK5135"/>
    <s v="134881065"/>
    <s v="LAMPA"/>
    <x v="2616"/>
    <x v="3"/>
    <x v="1"/>
    <x v="17"/>
    <x v="1"/>
    <n v="5"/>
    <n v="70000"/>
    <n v="0"/>
    <n v="70000"/>
    <n v="11.694226059413349"/>
    <n v="10000"/>
    <n v="85"/>
    <x v="3315"/>
    <x v="0"/>
    <x v="1"/>
    <x v="1"/>
  </r>
  <r>
    <x v="263"/>
    <s v="ZPEP"/>
    <x v="11"/>
    <s v="RH1133"/>
    <s v="65941082"/>
    <s v="PEÑAFLOR"/>
    <x v="2617"/>
    <x v="0"/>
    <x v="0"/>
    <x v="80"/>
    <x v="1"/>
    <n v="5"/>
    <n v="120000"/>
    <n v="0"/>
    <n v="120000"/>
    <n v="6.9787160790781586"/>
    <n v="10000"/>
    <n v="100"/>
    <x v="3316"/>
    <x v="0"/>
    <x v="1"/>
    <x v="1"/>
  </r>
  <r>
    <x v="263"/>
    <s v="ZTAN"/>
    <x v="5"/>
    <s v="SV2718"/>
    <s v="99626232"/>
    <s v="LAS CONDES"/>
    <x v="1238"/>
    <x v="1"/>
    <x v="1"/>
    <x v="3"/>
    <x v="1"/>
    <n v="4"/>
    <n v="55000"/>
    <n v="0"/>
    <n v="55000"/>
    <n v="21.563553673645409"/>
    <n v="5000"/>
    <n v="51"/>
    <x v="3317"/>
    <x v="0"/>
    <x v="1"/>
    <x v="1"/>
  </r>
  <r>
    <x v="263"/>
    <s v="ZTAN"/>
    <x v="10"/>
    <s v="KKPF51"/>
    <s v="95707734"/>
    <s v="QUILICURA"/>
    <x v="2618"/>
    <x v="8"/>
    <x v="0"/>
    <x v="8"/>
    <x v="1"/>
    <n v="1"/>
    <n v="148579"/>
    <n v="0"/>
    <n v="148579"/>
    <n v="10.999985193082207"/>
    <n v="5000"/>
    <n v="100"/>
    <x v="3318"/>
    <x v="0"/>
    <x v="1"/>
    <x v="1"/>
  </r>
  <r>
    <x v="263"/>
    <s v="ZTAN"/>
    <x v="7"/>
    <s v="BWPL69"/>
    <s v="78551976"/>
    <s v="CHILLAN"/>
    <x v="2619"/>
    <x v="5"/>
    <x v="0"/>
    <x v="21"/>
    <x v="5"/>
    <n v="0"/>
    <n v="350000"/>
    <n v="0"/>
    <n v="350000"/>
    <n v="57.893343919544769"/>
    <n v="20000"/>
    <n v="30"/>
    <x v="3319"/>
    <x v="0"/>
    <x v="1"/>
    <x v="0"/>
  </r>
  <r>
    <x v="263"/>
    <s v="ZTAN"/>
    <x v="7"/>
    <s v="WG4022"/>
    <s v="81417709"/>
    <s v="RENCA"/>
    <x v="2620"/>
    <x v="1"/>
    <x v="0"/>
    <x v="7"/>
    <x v="1"/>
    <n v="1"/>
    <n v="202205"/>
    <n v="0"/>
    <n v="202205"/>
    <n v="10.999983679953004"/>
    <n v="5000"/>
    <n v="100"/>
    <x v="3320"/>
    <x v="0"/>
    <x v="1"/>
    <x v="1"/>
  </r>
  <r>
    <x v="263"/>
    <s v="ZTAN"/>
    <x v="8"/>
    <s v="HLBX77"/>
    <s v="16093509K"/>
    <s v="PUDAHUEL"/>
    <x v="2621"/>
    <x v="1"/>
    <x v="1"/>
    <x v="10"/>
    <x v="1"/>
    <n v="1"/>
    <n v="55000"/>
    <n v="0"/>
    <n v="55000"/>
    <n v="12.980882700023601"/>
    <n v="5000"/>
    <n v="75"/>
    <x v="3321"/>
    <x v="0"/>
    <x v="1"/>
    <x v="1"/>
  </r>
  <r>
    <x v="263"/>
    <s v="ZTAN"/>
    <x v="8"/>
    <s v="TP3884"/>
    <s v="154837728"/>
    <s v="REÑACA"/>
    <x v="2622"/>
    <x v="1"/>
    <x v="1"/>
    <x v="6"/>
    <x v="2"/>
    <n v="0"/>
    <n v="180000"/>
    <n v="0"/>
    <n v="180000"/>
    <n v="21.840313335695324"/>
    <n v="20000"/>
    <n v="95"/>
    <x v="3322"/>
    <x v="0"/>
    <x v="1"/>
    <x v="0"/>
  </r>
  <r>
    <x v="263"/>
    <s v="ZTAN"/>
    <x v="8"/>
    <s v="XR6339"/>
    <s v="78907355"/>
    <s v="LA REINA"/>
    <x v="2623"/>
    <x v="1"/>
    <x v="1"/>
    <x v="11"/>
    <x v="1"/>
    <n v="3"/>
    <n v="55000"/>
    <n v="0"/>
    <n v="55000"/>
    <n v="9.462691189374258"/>
    <n v="5000"/>
    <n v="87"/>
    <x v="3323"/>
    <x v="0"/>
    <x v="1"/>
    <x v="1"/>
  </r>
  <r>
    <x v="264"/>
    <s v="ZPEP"/>
    <x v="11"/>
    <s v="RK5135"/>
    <s v="138841065"/>
    <s v="PEÑAFLOR"/>
    <x v="2624"/>
    <x v="3"/>
    <x v="1"/>
    <x v="80"/>
    <x v="1"/>
    <n v="5"/>
    <n v="70000"/>
    <n v="0"/>
    <n v="70000"/>
    <n v="6.6518488813965844"/>
    <n v="10000"/>
    <n v="100"/>
    <x v="3324"/>
    <x v="0"/>
    <x v="1"/>
    <x v="1"/>
  </r>
  <r>
    <x v="264"/>
    <s v="ZPEP"/>
    <x v="85"/>
    <s v="HLBX77"/>
    <s v="16093509K"/>
    <s v="COLINA"/>
    <x v="2625"/>
    <x v="1"/>
    <x v="1"/>
    <x v="5"/>
    <x v="1"/>
    <n v="5"/>
    <n v="70000"/>
    <n v="0"/>
    <n v="70000"/>
    <n v="5.1039603816012438"/>
    <n v="10000"/>
    <n v="100"/>
    <x v="3325"/>
    <x v="0"/>
    <x v="1"/>
    <x v="1"/>
  </r>
  <r>
    <x v="264"/>
    <s v="ZTAN"/>
    <x v="70"/>
    <s v="DJLF85"/>
    <s v="125108660"/>
    <s v="SANTIAGO"/>
    <x v="1067"/>
    <x v="4"/>
    <x v="1"/>
    <x v="20"/>
    <x v="1"/>
    <n v="1"/>
    <n v="93522"/>
    <n v="0"/>
    <n v="93522"/>
    <n v="11"/>
    <n v="5000"/>
    <n v="100"/>
    <x v="3326"/>
    <x v="0"/>
    <x v="1"/>
    <x v="1"/>
  </r>
  <r>
    <x v="264"/>
    <s v="ZTAN"/>
    <x v="7"/>
    <s v="XR6339"/>
    <s v="78907355"/>
    <s v="MELIPILLA"/>
    <x v="2626"/>
    <x v="1"/>
    <x v="1"/>
    <x v="29"/>
    <x v="1"/>
    <n v="5"/>
    <n v="90000"/>
    <n v="0"/>
    <n v="90000"/>
    <n v="11.765321062539217"/>
    <n v="10000"/>
    <n v="76"/>
    <x v="3327"/>
    <x v="0"/>
    <x v="1"/>
    <x v="1"/>
  </r>
  <r>
    <x v="264"/>
    <s v="ZTAN"/>
    <x v="8"/>
    <s v="TP3884"/>
    <s v="154837728"/>
    <s v="PUDAHUEL"/>
    <x v="2627"/>
    <x v="1"/>
    <x v="1"/>
    <x v="10"/>
    <x v="1"/>
    <n v="1"/>
    <n v="75700"/>
    <n v="0"/>
    <n v="75700"/>
    <n v="11.000029062163968"/>
    <n v="5000"/>
    <n v="100"/>
    <x v="3328"/>
    <x v="0"/>
    <x v="1"/>
    <x v="1"/>
  </r>
  <r>
    <x v="264"/>
    <s v="ZTAN"/>
    <x v="83"/>
    <s v="SU9354"/>
    <s v="72564391"/>
    <s v="SANTIAGO"/>
    <x v="2628"/>
    <x v="2"/>
    <x v="1"/>
    <x v="20"/>
    <x v="1"/>
    <n v="1"/>
    <n v="160961"/>
    <n v="0"/>
    <n v="160961"/>
    <n v="11.000013667924117"/>
    <n v="5000"/>
    <n v="100"/>
    <x v="3329"/>
    <x v="0"/>
    <x v="1"/>
    <x v="1"/>
  </r>
  <r>
    <x v="265"/>
    <s v="ZPEP"/>
    <x v="17"/>
    <s v="DJLF85"/>
    <s v="125108660"/>
    <s v="LAMPA"/>
    <x v="2629"/>
    <x v="4"/>
    <x v="1"/>
    <x v="17"/>
    <x v="1"/>
    <n v="5"/>
    <n v="70000"/>
    <n v="0"/>
    <n v="70000"/>
    <n v="4.9419636963346871"/>
    <n v="10000"/>
    <n v="100"/>
    <x v="3330"/>
    <x v="0"/>
    <x v="1"/>
    <x v="1"/>
  </r>
  <r>
    <x v="265"/>
    <s v="ZPEP"/>
    <x v="17"/>
    <s v="HLBX77"/>
    <s v="16093509K"/>
    <s v="LAMPA"/>
    <x v="2630"/>
    <x v="1"/>
    <x v="1"/>
    <x v="17"/>
    <x v="1"/>
    <n v="5"/>
    <n v="70000"/>
    <n v="0"/>
    <n v="70000"/>
    <n v="8.995879887011748"/>
    <n v="10000"/>
    <n v="78"/>
    <x v="3331"/>
    <x v="0"/>
    <x v="1"/>
    <x v="1"/>
  </r>
  <r>
    <x v="265"/>
    <s v="ZPEP"/>
    <x v="27"/>
    <s v="KLVY88"/>
    <s v="139094328"/>
    <s v="SAN CARLOS"/>
    <x v="2631"/>
    <x v="0"/>
    <x v="0"/>
    <x v="32"/>
    <x v="5"/>
    <n v="0"/>
    <n v="350000"/>
    <n v="0"/>
    <n v="350000"/>
    <n v="47.772178575133353"/>
    <n v="20000"/>
    <n v="37"/>
    <x v="3332"/>
    <x v="0"/>
    <x v="1"/>
    <x v="0"/>
  </r>
  <r>
    <x v="265"/>
    <s v="ZPEP"/>
    <x v="27"/>
    <s v="TW7053"/>
    <s v="172861164"/>
    <s v="CHILLAN"/>
    <x v="2632"/>
    <x v="6"/>
    <x v="1"/>
    <x v="21"/>
    <x v="5"/>
    <n v="0"/>
    <n v="350000"/>
    <n v="0"/>
    <n v="350000"/>
    <n v="16.280553948173878"/>
    <n v="20000"/>
    <n v="100"/>
    <x v="3333"/>
    <x v="0"/>
    <x v="1"/>
    <x v="0"/>
  </r>
  <r>
    <x v="265"/>
    <s v="ZPEP"/>
    <x v="11"/>
    <s v="BYZH29"/>
    <s v="122975819"/>
    <s v="TALCA"/>
    <x v="2633"/>
    <x v="0"/>
    <x v="0"/>
    <x v="12"/>
    <x v="3"/>
    <n v="0"/>
    <n v="320000"/>
    <n v="0"/>
    <n v="320000"/>
    <n v="13.197111647152125"/>
    <n v="20000"/>
    <n v="100"/>
    <x v="3334"/>
    <x v="0"/>
    <x v="1"/>
    <x v="0"/>
  </r>
  <r>
    <x v="265"/>
    <s v="ZPEP"/>
    <x v="11"/>
    <s v="RH1133"/>
    <s v="65941082"/>
    <s v="PEÑAFLOR"/>
    <x v="2634"/>
    <x v="0"/>
    <x v="0"/>
    <x v="80"/>
    <x v="1"/>
    <n v="5"/>
    <n v="120000"/>
    <n v="0"/>
    <n v="120000"/>
    <n v="4.9441516865737443"/>
    <n v="10000"/>
    <n v="100"/>
    <x v="3335"/>
    <x v="0"/>
    <x v="1"/>
    <x v="1"/>
  </r>
  <r>
    <x v="265"/>
    <s v="ZTAN"/>
    <x v="10"/>
    <s v="PKYS74"/>
    <s v="6270439K"/>
    <s v="TALCAHUANO"/>
    <x v="419"/>
    <x v="0"/>
    <x v="0"/>
    <x v="0"/>
    <x v="0"/>
    <n v="0"/>
    <n v="380000"/>
    <n v="0"/>
    <n v="380000"/>
    <n v="46.094129063561354"/>
    <n v="20000"/>
    <n v="41"/>
    <x v="3336"/>
    <x v="0"/>
    <x v="1"/>
    <x v="0"/>
  </r>
  <r>
    <x v="265"/>
    <s v="ZTAN"/>
    <x v="10"/>
    <s v="XR6339"/>
    <s v="78907355"/>
    <s v="QUILICURA"/>
    <x v="2635"/>
    <x v="1"/>
    <x v="1"/>
    <x v="8"/>
    <x v="1"/>
    <n v="1"/>
    <n v="58607"/>
    <n v="0"/>
    <n v="58607"/>
    <n v="10.999977477139296"/>
    <n v="5000"/>
    <n v="100"/>
    <x v="3337"/>
    <x v="0"/>
    <x v="1"/>
    <x v="1"/>
  </r>
  <r>
    <x v="265"/>
    <s v="ZTAN"/>
    <x v="84"/>
    <s v="KKPF51"/>
    <s v="95707734"/>
    <s v="SANTIAGO"/>
    <x v="2636"/>
    <x v="8"/>
    <x v="0"/>
    <x v="20"/>
    <x v="1"/>
    <n v="1"/>
    <n v="165880"/>
    <n v="0"/>
    <n v="165880"/>
    <n v="10.999999999999993"/>
    <n v="5000"/>
    <n v="100"/>
    <x v="3338"/>
    <x v="0"/>
    <x v="1"/>
    <x v="1"/>
  </r>
  <r>
    <x v="265"/>
    <s v="ZTAN"/>
    <x v="7"/>
    <s v="SU9354"/>
    <s v="72564391"/>
    <s v="RENCA"/>
    <x v="2637"/>
    <x v="2"/>
    <x v="1"/>
    <x v="7"/>
    <x v="1"/>
    <n v="1"/>
    <n v="134220"/>
    <n v="0"/>
    <n v="134220"/>
    <n v="11.000016391024277"/>
    <n v="5000"/>
    <n v="100"/>
    <x v="3339"/>
    <x v="0"/>
    <x v="1"/>
    <x v="1"/>
  </r>
  <r>
    <x v="265"/>
    <s v="ZTAN"/>
    <x v="7"/>
    <s v="SV2718"/>
    <s v="99626232"/>
    <s v="SAN MIGUEL"/>
    <x v="2638"/>
    <x v="1"/>
    <x v="1"/>
    <x v="23"/>
    <x v="1"/>
    <n v="2"/>
    <n v="55000"/>
    <n v="0"/>
    <n v="55000"/>
    <n v="18.298566057823461"/>
    <n v="5000"/>
    <n v="60"/>
    <x v="3340"/>
    <x v="0"/>
    <x v="1"/>
    <x v="1"/>
  </r>
  <r>
    <x v="265"/>
    <s v="ZTAN"/>
    <x v="7"/>
    <s v="WG4022"/>
    <s v="81417709"/>
    <s v="RENCA"/>
    <x v="374"/>
    <x v="1"/>
    <x v="0"/>
    <x v="7"/>
    <x v="1"/>
    <n v="1"/>
    <n v="60456"/>
    <n v="0"/>
    <n v="60456"/>
    <n v="10.999999999999996"/>
    <n v="5000"/>
    <n v="100"/>
    <x v="3341"/>
    <x v="0"/>
    <x v="1"/>
    <x v="1"/>
  </r>
  <r>
    <x v="265"/>
    <s v="ZTAN"/>
    <x v="8"/>
    <s v="BPKD94"/>
    <s v="125897258"/>
    <s v="VILLARRICA"/>
    <x v="2639"/>
    <x v="0"/>
    <x v="0"/>
    <x v="88"/>
    <x v="4"/>
    <n v="0"/>
    <n v="620000"/>
    <n v="0"/>
    <n v="620000"/>
    <n v="44.677600668722832"/>
    <n v="20000"/>
    <n v="69"/>
    <x v="3342"/>
    <x v="0"/>
    <x v="1"/>
    <x v="0"/>
  </r>
  <r>
    <x v="265"/>
    <s v="ZTAN"/>
    <x v="8"/>
    <s v="HLBX77"/>
    <s v="16093509K"/>
    <s v="PUDAHUEL"/>
    <x v="2640"/>
    <x v="1"/>
    <x v="1"/>
    <x v="10"/>
    <x v="1"/>
    <n v="1"/>
    <n v="55000"/>
    <n v="0"/>
    <n v="55000"/>
    <n v="11.173956149332813"/>
    <n v="5000"/>
    <n v="98"/>
    <x v="3343"/>
    <x v="0"/>
    <x v="1"/>
    <x v="1"/>
  </r>
  <r>
    <x v="265"/>
    <s v="ZTAN"/>
    <x v="8"/>
    <s v="SV2718"/>
    <s v="99626232"/>
    <s v="CERRILLOS"/>
    <x v="2641"/>
    <x v="1"/>
    <x v="1"/>
    <x v="9"/>
    <x v="1"/>
    <n v="2"/>
    <n v="80936"/>
    <n v="0"/>
    <n v="80936"/>
    <n v="11.000027182038114"/>
    <n v="5000"/>
    <n v="100"/>
    <x v="3344"/>
    <x v="0"/>
    <x v="1"/>
    <x v="1"/>
  </r>
  <r>
    <x v="265"/>
    <s v="ZTAN"/>
    <x v="8"/>
    <s v="TP3884"/>
    <s v="154837728"/>
    <s v="SAN BERNARDO"/>
    <x v="2642"/>
    <x v="1"/>
    <x v="1"/>
    <x v="4"/>
    <x v="1"/>
    <n v="4"/>
    <n v="65041"/>
    <n v="0"/>
    <n v="65041"/>
    <n v="11.000033824922202"/>
    <n v="5000"/>
    <n v="100"/>
    <x v="3345"/>
    <x v="0"/>
    <x v="1"/>
    <x v="1"/>
  </r>
  <r>
    <x v="265"/>
    <s v="ZTAN"/>
    <x v="8"/>
    <s v="WG4022"/>
    <s v="81417709"/>
    <s v="VIÑA DEL MAR"/>
    <x v="2643"/>
    <x v="1"/>
    <x v="0"/>
    <x v="6"/>
    <x v="2"/>
    <n v="0"/>
    <n v="230000"/>
    <n v="0"/>
    <n v="230000"/>
    <n v="23.208411535589594"/>
    <n v="20000"/>
    <n v="50"/>
    <x v="3346"/>
    <x v="0"/>
    <x v="1"/>
    <x v="0"/>
  </r>
  <r>
    <x v="266"/>
    <s v="ZPEP"/>
    <x v="11"/>
    <s v="KKPF51"/>
    <s v="95707734"/>
    <s v="PEÑAFLOR"/>
    <x v="2644"/>
    <x v="8"/>
    <x v="0"/>
    <x v="80"/>
    <x v="1"/>
    <n v="5"/>
    <n v="120000"/>
    <n v="0"/>
    <n v="120000"/>
    <n v="5.3071889412334965"/>
    <n v="10000"/>
    <n v="100"/>
    <x v="3347"/>
    <x v="0"/>
    <x v="1"/>
    <x v="1"/>
  </r>
  <r>
    <x v="266"/>
    <s v="ZPEP"/>
    <x v="85"/>
    <s v="HLBX77"/>
    <s v="16093509K"/>
    <s v="COLINA"/>
    <x v="2645"/>
    <x v="1"/>
    <x v="1"/>
    <x v="5"/>
    <x v="1"/>
    <n v="5"/>
    <n v="70000"/>
    <n v="0"/>
    <n v="70000"/>
    <n v="5.0052125713779061"/>
    <n v="10000"/>
    <n v="100"/>
    <x v="3348"/>
    <x v="0"/>
    <x v="1"/>
    <x v="1"/>
  </r>
  <r>
    <x v="266"/>
    <s v="ZPEP"/>
    <x v="12"/>
    <s v="RK5135"/>
    <s v="138841065"/>
    <s v="VITACURA"/>
    <x v="2646"/>
    <x v="3"/>
    <x v="1"/>
    <x v="27"/>
    <x v="1"/>
    <n v="4"/>
    <n v="121565"/>
    <n v="0"/>
    <n v="121565"/>
    <n v="11.000013573002404"/>
    <n v="5000"/>
    <n v="100"/>
    <x v="3349"/>
    <x v="0"/>
    <x v="1"/>
    <x v="1"/>
  </r>
  <r>
    <x v="266"/>
    <s v="ZTAN"/>
    <x v="17"/>
    <s v="RK5135"/>
    <s v="138441391"/>
    <s v="LAMPA"/>
    <x v="2264"/>
    <x v="3"/>
    <x v="1"/>
    <x v="17"/>
    <x v="1"/>
    <n v="5"/>
    <n v="70000"/>
    <n v="0"/>
    <n v="70000"/>
    <n v="13.18515728009041"/>
    <n v="10000"/>
    <n v="53"/>
    <x v="3350"/>
    <x v="0"/>
    <x v="1"/>
    <x v="1"/>
  </r>
  <r>
    <x v="266"/>
    <s v="ZTAN"/>
    <x v="17"/>
    <s v="SP2497"/>
    <s v="53173292"/>
    <s v="LAMPA"/>
    <x v="2647"/>
    <x v="4"/>
    <x v="1"/>
    <x v="17"/>
    <x v="1"/>
    <n v="5"/>
    <n v="70000"/>
    <n v="0"/>
    <n v="70000"/>
    <n v="7.0735650767987064"/>
    <n v="10000"/>
    <n v="99"/>
    <x v="3351"/>
    <x v="0"/>
    <x v="1"/>
    <x v="1"/>
  </r>
  <r>
    <x v="266"/>
    <s v="ZTAN"/>
    <x v="10"/>
    <s v="BYZH29"/>
    <s v="122975819"/>
    <s v="QUILICURA"/>
    <x v="419"/>
    <x v="0"/>
    <x v="0"/>
    <x v="8"/>
    <x v="1"/>
    <n v="1"/>
    <n v="90684"/>
    <n v="0"/>
    <n v="90684"/>
    <n v="10.999999999999995"/>
    <n v="5000"/>
    <n v="100"/>
    <x v="3352"/>
    <x v="0"/>
    <x v="1"/>
    <x v="1"/>
  </r>
  <r>
    <x v="266"/>
    <s v="ZTAN"/>
    <x v="10"/>
    <s v="RH1133"/>
    <s v="65941082"/>
    <s v="SANTIAGO"/>
    <x v="419"/>
    <x v="0"/>
    <x v="0"/>
    <x v="20"/>
    <x v="1"/>
    <n v="1"/>
    <n v="90684"/>
    <n v="0"/>
    <n v="90684"/>
    <n v="10.999999999999995"/>
    <n v="5000"/>
    <n v="100"/>
    <x v="3353"/>
    <x v="0"/>
    <x v="1"/>
    <x v="1"/>
  </r>
  <r>
    <x v="266"/>
    <s v="ZTAN"/>
    <x v="70"/>
    <s v="DJLF85"/>
    <s v="53173292"/>
    <s v="SANTIAGO"/>
    <x v="1067"/>
    <x v="4"/>
    <x v="1"/>
    <x v="20"/>
    <x v="1"/>
    <n v="1"/>
    <n v="93522"/>
    <n v="0"/>
    <n v="93522"/>
    <n v="11"/>
    <n v="5000"/>
    <n v="100"/>
    <x v="3354"/>
    <x v="0"/>
    <x v="1"/>
    <x v="1"/>
  </r>
  <r>
    <x v="266"/>
    <s v="ZTAN"/>
    <x v="7"/>
    <s v="HLBX77"/>
    <s v="16093509K"/>
    <s v="RENCA"/>
    <x v="2648"/>
    <x v="1"/>
    <x v="1"/>
    <x v="7"/>
    <x v="1"/>
    <n v="1"/>
    <n v="153254"/>
    <n v="0"/>
    <n v="153254"/>
    <n v="11.000025121750763"/>
    <n v="5000"/>
    <n v="100"/>
    <x v="3355"/>
    <x v="0"/>
    <x v="1"/>
    <x v="1"/>
  </r>
  <r>
    <x v="266"/>
    <s v="ZTAN"/>
    <x v="8"/>
    <s v="HLBX77"/>
    <s v="16093509K"/>
    <s v="PUENTE ALTO"/>
    <x v="2649"/>
    <x v="1"/>
    <x v="1"/>
    <x v="30"/>
    <x v="1"/>
    <n v="4"/>
    <n v="79566"/>
    <n v="0"/>
    <n v="79566"/>
    <n v="10.999958525154497"/>
    <n v="5000"/>
    <n v="100"/>
    <x v="3356"/>
    <x v="0"/>
    <x v="1"/>
    <x v="1"/>
  </r>
  <r>
    <x v="266"/>
    <s v="ZTAN"/>
    <x v="8"/>
    <s v="HZ2385"/>
    <s v="177957186"/>
    <s v="TALCAHUANO"/>
    <x v="2650"/>
    <x v="0"/>
    <x v="0"/>
    <x v="0"/>
    <x v="0"/>
    <n v="0"/>
    <n v="380000"/>
    <n v="0"/>
    <n v="380000"/>
    <n v="31.354428813069845"/>
    <n v="20000"/>
    <n v="65"/>
    <x v="3357"/>
    <x v="0"/>
    <x v="1"/>
    <x v="0"/>
  </r>
  <r>
    <x v="266"/>
    <s v="ZTAN"/>
    <x v="8"/>
    <s v="SU9354"/>
    <s v="72564391"/>
    <s v="SAN FELIPE"/>
    <x v="2651"/>
    <x v="2"/>
    <x v="1"/>
    <x v="35"/>
    <x v="2"/>
    <n v="0"/>
    <n v="180000"/>
    <n v="0"/>
    <n v="180000"/>
    <n v="27.904380987815088"/>
    <n v="20000"/>
    <n v="32"/>
    <x v="3358"/>
    <x v="0"/>
    <x v="1"/>
    <x v="0"/>
  </r>
  <r>
    <x v="266"/>
    <s v="ZTAN"/>
    <x v="8"/>
    <s v="TP3884"/>
    <s v="154837728"/>
    <s v="PUDAHUEL"/>
    <x v="2652"/>
    <x v="1"/>
    <x v="1"/>
    <x v="10"/>
    <x v="1"/>
    <n v="1"/>
    <n v="118846"/>
    <n v="0"/>
    <n v="118846"/>
    <n v="10.999981488680326"/>
    <n v="5000"/>
    <n v="100"/>
    <x v="3359"/>
    <x v="0"/>
    <x v="1"/>
    <x v="1"/>
  </r>
  <r>
    <x v="267"/>
    <s v="ZPEP"/>
    <x v="27"/>
    <s v="DRFV76"/>
    <s v="113693568"/>
    <s v="SAN CARLOS"/>
    <x v="2653"/>
    <x v="0"/>
    <x v="0"/>
    <x v="32"/>
    <x v="5"/>
    <n v="0"/>
    <n v="350000"/>
    <n v="0"/>
    <n v="350000"/>
    <n v="42.224635058511282"/>
    <n v="20000"/>
    <n v="41"/>
    <x v="3360"/>
    <x v="0"/>
    <x v="1"/>
    <x v="0"/>
  </r>
  <r>
    <x v="267"/>
    <s v="ZPEP"/>
    <x v="11"/>
    <s v="XR6339"/>
    <s v="78907355"/>
    <s v="PEÑAFLOR"/>
    <x v="2654"/>
    <x v="1"/>
    <x v="1"/>
    <x v="80"/>
    <x v="1"/>
    <n v="5"/>
    <n v="70000"/>
    <n v="0"/>
    <n v="70000"/>
    <n v="17.734000131738291"/>
    <n v="10000"/>
    <n v="39"/>
    <x v="3361"/>
    <x v="0"/>
    <x v="1"/>
    <x v="1"/>
  </r>
  <r>
    <x v="267"/>
    <s v="ZPEP"/>
    <x v="85"/>
    <s v="HLBX77"/>
    <s v="16093509K"/>
    <s v="COLINA"/>
    <x v="2655"/>
    <x v="1"/>
    <x v="1"/>
    <x v="5"/>
    <x v="1"/>
    <n v="5"/>
    <n v="70000"/>
    <n v="0"/>
    <n v="70000"/>
    <n v="4.3930830280140629"/>
    <n v="10000"/>
    <n v="100"/>
    <x v="3362"/>
    <x v="0"/>
    <x v="1"/>
    <x v="1"/>
  </r>
  <r>
    <x v="267"/>
    <s v="ZPEP"/>
    <x v="85"/>
    <s v="SU9354"/>
    <s v="72564391"/>
    <s v="COLINA"/>
    <x v="2656"/>
    <x v="2"/>
    <x v="1"/>
    <x v="5"/>
    <x v="1"/>
    <n v="5"/>
    <n v="70000"/>
    <n v="0"/>
    <n v="70000"/>
    <n v="4.2265426880811496"/>
    <n v="10000"/>
    <n v="100"/>
    <x v="3363"/>
    <x v="0"/>
    <x v="1"/>
    <x v="1"/>
  </r>
  <r>
    <x v="267"/>
    <s v="ZPEP"/>
    <x v="12"/>
    <s v="RK5135"/>
    <s v="138841065"/>
    <s v="VITACURA"/>
    <x v="2657"/>
    <x v="3"/>
    <x v="1"/>
    <x v="27"/>
    <x v="1"/>
    <n v="4"/>
    <n v="98532"/>
    <n v="0"/>
    <n v="98532"/>
    <n v="11.000054703312678"/>
    <n v="5000"/>
    <n v="100"/>
    <x v="3364"/>
    <x v="0"/>
    <x v="1"/>
    <x v="1"/>
  </r>
  <r>
    <x v="267"/>
    <s v="ZTAN"/>
    <x v="10"/>
    <s v="BWPL69"/>
    <s v="78551976"/>
    <s v="TALCAHUANO"/>
    <x v="419"/>
    <x v="5"/>
    <x v="0"/>
    <x v="0"/>
    <x v="0"/>
    <n v="0"/>
    <n v="380000"/>
    <n v="0"/>
    <n v="380000"/>
    <n v="46.094129063561354"/>
    <n v="20000"/>
    <n v="41"/>
    <x v="3365"/>
    <x v="0"/>
    <x v="1"/>
    <x v="0"/>
  </r>
  <r>
    <x v="267"/>
    <s v="ZTAN"/>
    <x v="24"/>
    <s v="UK7193"/>
    <s v="172861164"/>
    <s v="MACHALI"/>
    <x v="2658"/>
    <x v="1"/>
    <x v="0"/>
    <x v="43"/>
    <x v="6"/>
    <n v="0"/>
    <n v="230000"/>
    <n v="0"/>
    <n v="230000"/>
    <n v="30.810655128299576"/>
    <n v="20000"/>
    <n v="37"/>
    <x v="3366"/>
    <x v="0"/>
    <x v="1"/>
    <x v="0"/>
  </r>
  <r>
    <x v="267"/>
    <s v="ZTAN"/>
    <x v="16"/>
    <s v="TP3884"/>
    <s v="99626232"/>
    <s v="SAN BERNARDO"/>
    <x v="2659"/>
    <x v="1"/>
    <x v="1"/>
    <x v="4"/>
    <x v="1"/>
    <n v="4"/>
    <n v="59766"/>
    <n v="0"/>
    <n v="59766"/>
    <n v="10.99994478493733"/>
    <n v="5000"/>
    <n v="100"/>
    <x v="3367"/>
    <x v="0"/>
    <x v="1"/>
    <x v="1"/>
  </r>
  <r>
    <x v="267"/>
    <s v="ZTAN"/>
    <x v="7"/>
    <s v="DJLF85"/>
    <s v="125108660"/>
    <s v="RENCA"/>
    <x v="1219"/>
    <x v="4"/>
    <x v="1"/>
    <x v="7"/>
    <x v="1"/>
    <n v="1"/>
    <n v="55000"/>
    <n v="0"/>
    <n v="55000"/>
    <n v="20.014556040756915"/>
    <n v="5000"/>
    <n v="55"/>
    <x v="3368"/>
    <x v="0"/>
    <x v="1"/>
    <x v="1"/>
  </r>
  <r>
    <x v="267"/>
    <s v="ZTAN"/>
    <x v="7"/>
    <s v="HLBX77"/>
    <s v="16093509K"/>
    <s v="RENCA"/>
    <x v="1219"/>
    <x v="1"/>
    <x v="1"/>
    <x v="7"/>
    <x v="1"/>
    <n v="1"/>
    <n v="55000"/>
    <n v="0"/>
    <n v="55000"/>
    <n v="20.014556040756915"/>
    <n v="5000"/>
    <n v="55"/>
    <x v="3369"/>
    <x v="0"/>
    <x v="1"/>
    <x v="1"/>
  </r>
  <r>
    <x v="267"/>
    <s v="ZTAN"/>
    <x v="7"/>
    <s v="WG4022"/>
    <s v="81417709"/>
    <s v="RENCA"/>
    <x v="419"/>
    <x v="1"/>
    <x v="0"/>
    <x v="7"/>
    <x v="1"/>
    <n v="1"/>
    <n v="90684"/>
    <n v="0"/>
    <n v="90684"/>
    <n v="10.999999999999995"/>
    <n v="5000"/>
    <n v="100"/>
    <x v="3370"/>
    <x v="0"/>
    <x v="1"/>
    <x v="1"/>
  </r>
  <r>
    <x v="267"/>
    <s v="ZTAN"/>
    <x v="8"/>
    <s v="CJCC49"/>
    <s v="167832741"/>
    <s v="LOS ANGELES"/>
    <x v="419"/>
    <x v="0"/>
    <x v="0"/>
    <x v="57"/>
    <x v="0"/>
    <n v="0"/>
    <n v="420000"/>
    <n v="0"/>
    <n v="420000"/>
    <n v="50.946142649199395"/>
    <n v="20000"/>
    <n v="41"/>
    <x v="3371"/>
    <x v="0"/>
    <x v="1"/>
    <x v="0"/>
  </r>
  <r>
    <x v="268"/>
    <s v="ZPEP"/>
    <x v="5"/>
    <s v="TW7053"/>
    <s v="172861164"/>
    <s v="RENGO"/>
    <x v="2660"/>
    <x v="6"/>
    <x v="1"/>
    <x v="91"/>
    <x v="6"/>
    <n v="0"/>
    <n v="180000"/>
    <n v="0"/>
    <n v="180000"/>
    <n v="7.5714747213697304"/>
    <n v="20000"/>
    <n v="100"/>
    <x v="3372"/>
    <x v="0"/>
    <x v="1"/>
    <x v="0"/>
  </r>
  <r>
    <x v="268"/>
    <s v="ZPEP"/>
    <x v="85"/>
    <s v="HLBX77"/>
    <s v="16093509K"/>
    <s v="COLINA"/>
    <x v="2661"/>
    <x v="1"/>
    <x v="1"/>
    <x v="5"/>
    <x v="1"/>
    <n v="5"/>
    <n v="70000"/>
    <n v="0"/>
    <n v="70000"/>
    <n v="7.802294320375581"/>
    <n v="10000"/>
    <n v="90"/>
    <x v="3373"/>
    <x v="0"/>
    <x v="1"/>
    <x v="1"/>
  </r>
  <r>
    <x v="268"/>
    <s v="ZPEP"/>
    <x v="85"/>
    <s v="SU8354"/>
    <s v="72564391"/>
    <s v="COLINA"/>
    <x v="2662"/>
    <x v="0"/>
    <x v="0"/>
    <x v="5"/>
    <x v="1"/>
    <n v="5"/>
    <n v="120000"/>
    <n v="0"/>
    <n v="120000"/>
    <n v="8.424209493241678"/>
    <n v="10000"/>
    <n v="100"/>
    <x v="3374"/>
    <x v="0"/>
    <x v="1"/>
    <x v="1"/>
  </r>
  <r>
    <x v="268"/>
    <s v="ZPEP"/>
    <x v="12"/>
    <s v="RK5135"/>
    <s v="138841065"/>
    <s v="VITACURA"/>
    <x v="2663"/>
    <x v="3"/>
    <x v="1"/>
    <x v="27"/>
    <x v="1"/>
    <n v="4"/>
    <n v="119248"/>
    <n v="0"/>
    <n v="119248"/>
    <n v="10.99998708575245"/>
    <n v="5000"/>
    <n v="100"/>
    <x v="3375"/>
    <x v="0"/>
    <x v="1"/>
    <x v="1"/>
  </r>
  <r>
    <x v="268"/>
    <s v="ZPEP"/>
    <x v="80"/>
    <s v="BPKD94"/>
    <s v="122897258"/>
    <s v="VALLENAR"/>
    <x v="2664"/>
    <x v="0"/>
    <x v="0"/>
    <x v="45"/>
    <x v="9"/>
    <n v="0"/>
    <n v="800000"/>
    <n v="0"/>
    <n v="800000"/>
    <n v="41.196829697970593"/>
    <n v="20000"/>
    <n v="97"/>
    <x v="3376"/>
    <x v="0"/>
    <x v="1"/>
    <x v="0"/>
  </r>
  <r>
    <x v="268"/>
    <s v="ZPEP"/>
    <x v="80"/>
    <s v="PKYS74"/>
    <s v="6270439K"/>
    <s v="VALLENAR"/>
    <x v="2665"/>
    <x v="0"/>
    <x v="0"/>
    <x v="45"/>
    <x v="9"/>
    <n v="0"/>
    <n v="800000"/>
    <n v="0"/>
    <n v="800000"/>
    <n v="34.731266822957387"/>
    <n v="20000"/>
    <n v="100"/>
    <x v="3377"/>
    <x v="0"/>
    <x v="1"/>
    <x v="0"/>
  </r>
  <r>
    <x v="268"/>
    <s v="ZTAN"/>
    <x v="17"/>
    <s v="TP3884"/>
    <s v="154837728"/>
    <s v="LAMPA"/>
    <x v="2666"/>
    <x v="1"/>
    <x v="1"/>
    <x v="17"/>
    <x v="1"/>
    <n v="5"/>
    <n v="70000"/>
    <n v="0"/>
    <n v="70000"/>
    <n v="8.7901048533936059"/>
    <n v="10000"/>
    <n v="80"/>
    <x v="3378"/>
    <x v="0"/>
    <x v="1"/>
    <x v="1"/>
  </r>
  <r>
    <x v="268"/>
    <s v="ZTAN"/>
    <x v="21"/>
    <s v="DJLF85"/>
    <s v="53173292"/>
    <s v="LA REINA"/>
    <x v="2595"/>
    <x v="4"/>
    <x v="1"/>
    <x v="11"/>
    <x v="1"/>
    <n v="3"/>
    <n v="55000"/>
    <n v="0"/>
    <n v="55000"/>
    <n v="23.148148148148149"/>
    <n v="5000"/>
    <n v="48"/>
    <x v="3379"/>
    <x v="0"/>
    <x v="1"/>
    <x v="1"/>
  </r>
  <r>
    <x v="268"/>
    <s v="ZTAN"/>
    <x v="6"/>
    <s v="KKPF51"/>
    <s v="95707734"/>
    <s v="COPIAPO"/>
    <x v="2667"/>
    <x v="8"/>
    <x v="0"/>
    <x v="60"/>
    <x v="9"/>
    <n v="0"/>
    <n v="900000"/>
    <n v="0"/>
    <n v="900000"/>
    <n v="93.492894540015001"/>
    <n v="20000"/>
    <n v="48"/>
    <x v="3380"/>
    <x v="0"/>
    <x v="1"/>
    <x v="0"/>
  </r>
  <r>
    <x v="268"/>
    <s v="ZTAN"/>
    <x v="6"/>
    <s v="NK5991"/>
    <s v="78778555"/>
    <s v="CALAMA"/>
    <x v="2668"/>
    <x v="0"/>
    <x v="0"/>
    <x v="37"/>
    <x v="7"/>
    <n v="0"/>
    <n v="1400000"/>
    <n v="0"/>
    <n v="260764.00000000009"/>
    <n v="35"/>
    <n v="20000"/>
    <n v="55"/>
    <x v="3381"/>
    <x v="0"/>
    <x v="1"/>
    <x v="0"/>
  </r>
  <r>
    <x v="268"/>
    <s v="ZTAN"/>
    <x v="7"/>
    <s v="WG4022"/>
    <s v="81417709"/>
    <s v="RENCA"/>
    <x v="2669"/>
    <x v="1"/>
    <x v="0"/>
    <x v="7"/>
    <x v="1"/>
    <n v="1"/>
    <n v="165088"/>
    <n v="0"/>
    <n v="165088"/>
    <n v="9.9998788539584478"/>
    <n v="5000"/>
    <n v="100"/>
    <x v="3382"/>
    <x v="0"/>
    <x v="1"/>
    <x v="1"/>
  </r>
  <r>
    <x v="268"/>
    <s v="ZTAN"/>
    <x v="7"/>
    <s v="XR6339"/>
    <s v="78907355"/>
    <s v="RENCA"/>
    <x v="2670"/>
    <x v="1"/>
    <x v="1"/>
    <x v="7"/>
    <x v="1"/>
    <n v="1"/>
    <n v="62432"/>
    <n v="0"/>
    <n v="62432"/>
    <n v="11.000070477130169"/>
    <n v="5000"/>
    <n v="100"/>
    <x v="3383"/>
    <x v="0"/>
    <x v="1"/>
    <x v="1"/>
  </r>
  <r>
    <x v="268"/>
    <s v="ZTAN"/>
    <x v="8"/>
    <s v="BYZH29"/>
    <s v="122975819"/>
    <s v="PUERTO MONTT"/>
    <x v="2671"/>
    <x v="0"/>
    <x v="0"/>
    <x v="53"/>
    <x v="10"/>
    <n v="0"/>
    <n v="1020000"/>
    <n v="0"/>
    <n v="1020000"/>
    <n v="58.108400651725589"/>
    <n v="20000"/>
    <n v="88"/>
    <x v="3384"/>
    <x v="0"/>
    <x v="1"/>
    <x v="0"/>
  </r>
  <r>
    <x v="268"/>
    <s v="ZTAN"/>
    <x v="8"/>
    <s v="SV2718"/>
    <s v="99626232"/>
    <s v="PUDAHUEL"/>
    <x v="2672"/>
    <x v="1"/>
    <x v="1"/>
    <x v="10"/>
    <x v="1"/>
    <n v="1"/>
    <n v="55000"/>
    <n v="0"/>
    <n v="55000"/>
    <n v="13.714342708956709"/>
    <n v="5000"/>
    <n v="80"/>
    <x v="3385"/>
    <x v="0"/>
    <x v="1"/>
    <x v="1"/>
  </r>
  <r>
    <x v="269"/>
    <s v="ZPEP"/>
    <x v="17"/>
    <s v="HLBX77"/>
    <s v="16093509K"/>
    <s v="LAMPA"/>
    <x v="2673"/>
    <x v="1"/>
    <x v="1"/>
    <x v="17"/>
    <x v="1"/>
    <n v="5"/>
    <n v="70000"/>
    <n v="0"/>
    <n v="70000"/>
    <n v="11.056774959879702"/>
    <n v="10000"/>
    <n v="63"/>
    <x v="3386"/>
    <x v="0"/>
    <x v="1"/>
    <x v="1"/>
  </r>
  <r>
    <x v="269"/>
    <s v="ZPEP"/>
    <x v="17"/>
    <s v="RK5135"/>
    <s v="138841065"/>
    <s v="LAMPA"/>
    <x v="2674"/>
    <x v="3"/>
    <x v="1"/>
    <x v="17"/>
    <x v="1"/>
    <n v="5"/>
    <n v="70000"/>
    <n v="0"/>
    <n v="70000"/>
    <n v="5.9962823049709124"/>
    <n v="10000"/>
    <n v="100"/>
    <x v="3387"/>
    <x v="0"/>
    <x v="1"/>
    <x v="1"/>
  </r>
  <r>
    <x v="269"/>
    <s v="ZPEP"/>
    <x v="32"/>
    <s v="DJLF85"/>
    <s v="125108660"/>
    <s v="LAMPA"/>
    <x v="2675"/>
    <x v="4"/>
    <x v="1"/>
    <x v="17"/>
    <x v="1"/>
    <n v="5"/>
    <n v="70000"/>
    <n v="0"/>
    <n v="70000"/>
    <n v="13.863939299712621"/>
    <n v="10000"/>
    <n v="48"/>
    <x v="3388"/>
    <x v="0"/>
    <x v="1"/>
    <x v="1"/>
  </r>
  <r>
    <x v="269"/>
    <s v="ZPEP"/>
    <x v="2"/>
    <s v="TW7053"/>
    <s v="172861164"/>
    <s v="MACHALI"/>
    <x v="2676"/>
    <x v="6"/>
    <x v="1"/>
    <x v="43"/>
    <x v="6"/>
    <n v="0"/>
    <n v="230000"/>
    <n v="0"/>
    <n v="230000"/>
    <n v="10.352344288364101"/>
    <n v="20000"/>
    <n v="100"/>
    <x v="3389"/>
    <x v="0"/>
    <x v="1"/>
    <x v="0"/>
  </r>
  <r>
    <x v="269"/>
    <s v="ZPEP"/>
    <x v="12"/>
    <s v="SU9354"/>
    <s v="72564391"/>
    <s v="VITACURA"/>
    <x v="2677"/>
    <x v="2"/>
    <x v="1"/>
    <x v="27"/>
    <x v="1"/>
    <n v="4"/>
    <n v="185662"/>
    <n v="0"/>
    <n v="185662"/>
    <n v="10.999976301071191"/>
    <n v="5000"/>
    <n v="100"/>
    <x v="3390"/>
    <x v="0"/>
    <x v="1"/>
    <x v="1"/>
  </r>
  <r>
    <x v="269"/>
    <s v="ZTAN"/>
    <x v="10"/>
    <s v="RH1133"/>
    <s v="65941082"/>
    <s v="QUILICURA"/>
    <x v="2415"/>
    <x v="0"/>
    <x v="0"/>
    <x v="8"/>
    <x v="1"/>
    <n v="1"/>
    <n v="156834"/>
    <n v="0"/>
    <n v="156834"/>
    <n v="11.000028055212667"/>
    <n v="5000"/>
    <n v="100"/>
    <x v="3391"/>
    <x v="0"/>
    <x v="1"/>
    <x v="1"/>
  </r>
  <r>
    <x v="269"/>
    <s v="ZTAN"/>
    <x v="10"/>
    <s v="RH1133"/>
    <s v="65941082"/>
    <s v="SANTIAGO"/>
    <x v="419"/>
    <x v="0"/>
    <x v="0"/>
    <x v="20"/>
    <x v="1"/>
    <n v="1"/>
    <n v="90684"/>
    <n v="0"/>
    <n v="90684"/>
    <n v="10.999999999999995"/>
    <n v="5000"/>
    <n v="100"/>
    <x v="3392"/>
    <x v="0"/>
    <x v="1"/>
    <x v="1"/>
  </r>
  <r>
    <x v="269"/>
    <s v="ZTAN"/>
    <x v="70"/>
    <s v="DJLF85"/>
    <s v="125108660"/>
    <s v="SANTIAGO"/>
    <x v="1067"/>
    <x v="4"/>
    <x v="1"/>
    <x v="20"/>
    <x v="1"/>
    <n v="1"/>
    <n v="93522"/>
    <n v="0"/>
    <n v="93522"/>
    <n v="11"/>
    <n v="5000"/>
    <n v="100"/>
    <x v="3393"/>
    <x v="0"/>
    <x v="1"/>
    <x v="1"/>
  </r>
  <r>
    <x v="269"/>
    <s v="ZTAN"/>
    <x v="9"/>
    <s v="XR6339"/>
    <s v="78907355"/>
    <s v="SAN BERNARDO"/>
    <x v="2678"/>
    <x v="1"/>
    <x v="1"/>
    <x v="4"/>
    <x v="1"/>
    <n v="4"/>
    <n v="99715"/>
    <n v="0"/>
    <n v="99715"/>
    <n v="10.999963596369785"/>
    <n v="5000"/>
    <n v="100"/>
    <x v="3394"/>
    <x v="0"/>
    <x v="1"/>
    <x v="1"/>
  </r>
  <r>
    <x v="269"/>
    <s v="ZTAN"/>
    <x v="7"/>
    <s v="DJLF85"/>
    <s v="125108660"/>
    <s v="RENCA"/>
    <x v="2679"/>
    <x v="4"/>
    <x v="1"/>
    <x v="7"/>
    <x v="1"/>
    <n v="1"/>
    <n v="100349"/>
    <n v="0"/>
    <n v="100349"/>
    <n v="11.000043847148838"/>
    <n v="5000"/>
    <n v="100"/>
    <x v="3395"/>
    <x v="0"/>
    <x v="1"/>
    <x v="1"/>
  </r>
  <r>
    <x v="269"/>
    <s v="ZTAN"/>
    <x v="7"/>
    <s v="SU9354"/>
    <s v="72564391"/>
    <s v="RENCA"/>
    <x v="2680"/>
    <x v="2"/>
    <x v="1"/>
    <x v="7"/>
    <x v="1"/>
    <n v="1"/>
    <n v="62097"/>
    <n v="0"/>
    <n v="62097"/>
    <n v="10.999964571671509"/>
    <n v="5000"/>
    <n v="100"/>
    <x v="3396"/>
    <x v="0"/>
    <x v="1"/>
    <x v="1"/>
  </r>
  <r>
    <x v="269"/>
    <s v="ZTAN"/>
    <x v="7"/>
    <s v="WG4022"/>
    <s v="81417709"/>
    <s v="RENCA"/>
    <x v="419"/>
    <x v="1"/>
    <x v="0"/>
    <x v="7"/>
    <x v="1"/>
    <n v="1"/>
    <n v="90684"/>
    <n v="0"/>
    <n v="90684"/>
    <n v="10.999999999999995"/>
    <n v="5000"/>
    <n v="100"/>
    <x v="3397"/>
    <x v="0"/>
    <x v="1"/>
    <x v="1"/>
  </r>
  <r>
    <x v="269"/>
    <s v="ZTAN"/>
    <x v="8"/>
    <s v="CJXX49"/>
    <s v="167832741"/>
    <s v="ANGOL"/>
    <x v="2681"/>
    <x v="5"/>
    <x v="0"/>
    <x v="84"/>
    <x v="4"/>
    <n v="0"/>
    <n v="620000"/>
    <n v="0"/>
    <n v="620000"/>
    <n v="80.666146239916699"/>
    <n v="20000"/>
    <n v="38"/>
    <x v="3398"/>
    <x v="0"/>
    <x v="1"/>
    <x v="0"/>
  </r>
  <r>
    <x v="269"/>
    <s v="ZTAN"/>
    <x v="8"/>
    <s v="DJLF85"/>
    <s v="125108660"/>
    <s v="QUILICURA"/>
    <x v="2682"/>
    <x v="4"/>
    <x v="1"/>
    <x v="8"/>
    <x v="1"/>
    <n v="1"/>
    <n v="60749"/>
    <n v="0"/>
    <n v="60749"/>
    <n v="11.000072429652699"/>
    <n v="5000"/>
    <n v="100"/>
    <x v="3399"/>
    <x v="0"/>
    <x v="1"/>
    <x v="1"/>
  </r>
  <r>
    <x v="269"/>
    <s v="ZTAN"/>
    <x v="8"/>
    <s v="HLBX77"/>
    <s v="16093509K"/>
    <s v="PUDAHUEL"/>
    <x v="1483"/>
    <x v="1"/>
    <x v="1"/>
    <x v="10"/>
    <x v="1"/>
    <n v="1"/>
    <n v="59409"/>
    <n v="0"/>
    <n v="59409"/>
    <n v="11.00003703155088"/>
    <n v="5000"/>
    <n v="100"/>
    <x v="3400"/>
    <x v="0"/>
    <x v="1"/>
    <x v="1"/>
  </r>
  <r>
    <x v="269"/>
    <s v="ZTAN"/>
    <x v="8"/>
    <s v="TP3884"/>
    <s v="154837728"/>
    <s v="MAIPU"/>
    <x v="2683"/>
    <x v="1"/>
    <x v="1"/>
    <x v="2"/>
    <x v="1"/>
    <n v="2"/>
    <n v="65796"/>
    <n v="0"/>
    <n v="65796"/>
    <n v="10.999916408927529"/>
    <n v="5000"/>
    <n v="100"/>
    <x v="3401"/>
    <x v="0"/>
    <x v="1"/>
    <x v="1"/>
  </r>
  <r>
    <x v="269"/>
    <s v="ZTAN"/>
    <x v="8"/>
    <s v="UA7248"/>
    <s v="99626232"/>
    <s v="LAS CONDES"/>
    <x v="2684"/>
    <x v="1"/>
    <x v="1"/>
    <x v="3"/>
    <x v="1"/>
    <n v="4"/>
    <n v="55000"/>
    <n v="0"/>
    <n v="55000"/>
    <n v="13.831119515961111"/>
    <n v="5000"/>
    <n v="80"/>
    <x v="3402"/>
    <x v="0"/>
    <x v="1"/>
    <x v="1"/>
  </r>
  <r>
    <x v="270"/>
    <s v="ZPEP"/>
    <x v="17"/>
    <s v="KKPF51"/>
    <s v="95707734"/>
    <s v="LAMPA"/>
    <x v="2685"/>
    <x v="8"/>
    <x v="0"/>
    <x v="17"/>
    <x v="1"/>
    <n v="5"/>
    <n v="120000"/>
    <n v="0"/>
    <n v="120000"/>
    <n v="6.2987265549587486"/>
    <n v="10000"/>
    <n v="100"/>
    <x v="3403"/>
    <x v="0"/>
    <x v="1"/>
    <x v="1"/>
  </r>
  <r>
    <x v="270"/>
    <s v="ZPEP"/>
    <x v="5"/>
    <s v="DJLF85"/>
    <s v="125108660"/>
    <s v="RENGO"/>
    <x v="2686"/>
    <x v="4"/>
    <x v="1"/>
    <x v="91"/>
    <x v="6"/>
    <n v="0"/>
    <n v="180000"/>
    <n v="0"/>
    <n v="180000"/>
    <n v="22.248260927604154"/>
    <n v="20000"/>
    <n v="40"/>
    <x v="3404"/>
    <x v="0"/>
    <x v="1"/>
    <x v="0"/>
  </r>
  <r>
    <x v="270"/>
    <s v="ZPEP"/>
    <x v="2"/>
    <s v="HLBX77"/>
    <s v="16093509K"/>
    <s v="MACHALI"/>
    <x v="2687"/>
    <x v="1"/>
    <x v="1"/>
    <x v="43"/>
    <x v="6"/>
    <n v="0"/>
    <n v="230000"/>
    <n v="0"/>
    <n v="230000"/>
    <n v="29.064918390763935"/>
    <n v="20000"/>
    <n v="40"/>
    <x v="3405"/>
    <x v="0"/>
    <x v="1"/>
    <x v="0"/>
  </r>
  <r>
    <x v="270"/>
    <s v="ZPEP"/>
    <x v="53"/>
    <s v="XR6339"/>
    <s v="78907355"/>
    <s v="LAS CONDES"/>
    <x v="2414"/>
    <x v="1"/>
    <x v="1"/>
    <x v="3"/>
    <x v="1"/>
    <n v="4"/>
    <n v="81906"/>
    <n v="0"/>
    <n v="81906"/>
    <n v="11.000000000000004"/>
    <n v="5000"/>
    <n v="100"/>
    <x v="3406"/>
    <x v="0"/>
    <x v="1"/>
    <x v="1"/>
  </r>
  <r>
    <x v="270"/>
    <s v="ZTAN"/>
    <x v="16"/>
    <s v="VE9862"/>
    <s v="98494073"/>
    <s v="TEMUCO"/>
    <x v="419"/>
    <x v="5"/>
    <x v="0"/>
    <x v="14"/>
    <x v="4"/>
    <n v="0"/>
    <n v="620000"/>
    <n v="0"/>
    <n v="620000"/>
    <n v="75.206210577389584"/>
    <n v="20000"/>
    <n v="41"/>
    <x v="3407"/>
    <x v="0"/>
    <x v="1"/>
    <x v="0"/>
  </r>
  <r>
    <x v="270"/>
    <s v="ZTAN"/>
    <x v="7"/>
    <s v="RK5135"/>
    <s v="138841065"/>
    <s v="SANTIAGO"/>
    <x v="234"/>
    <x v="3"/>
    <x v="1"/>
    <x v="20"/>
    <x v="1"/>
    <n v="1"/>
    <n v="99053"/>
    <n v="0"/>
    <n v="99053"/>
    <n v="11.000022210376692"/>
    <n v="5000"/>
    <n v="100"/>
    <x v="3408"/>
    <x v="0"/>
    <x v="1"/>
    <x v="1"/>
  </r>
  <r>
    <x v="270"/>
    <s v="ZTAN"/>
    <x v="7"/>
    <s v="TP3884"/>
    <s v="154837728"/>
    <s v="SAN MIGUEL"/>
    <x v="448"/>
    <x v="1"/>
    <x v="1"/>
    <x v="23"/>
    <x v="1"/>
    <n v="2"/>
    <n v="66035"/>
    <n v="0"/>
    <n v="66035"/>
    <n v="10.99996668443497"/>
    <n v="5000"/>
    <n v="100"/>
    <x v="3409"/>
    <x v="0"/>
    <x v="1"/>
    <x v="1"/>
  </r>
  <r>
    <x v="270"/>
    <s v="ZTAN"/>
    <x v="7"/>
    <s v="UA7248"/>
    <s v="99626232"/>
    <s v="SAN MIGUEL"/>
    <x v="1458"/>
    <x v="1"/>
    <x v="1"/>
    <x v="23"/>
    <x v="1"/>
    <n v="2"/>
    <n v="74818"/>
    <n v="0"/>
    <n v="74818"/>
    <n v="11.000058809691838"/>
    <n v="5000"/>
    <n v="100"/>
    <x v="3410"/>
    <x v="0"/>
    <x v="1"/>
    <x v="1"/>
  </r>
  <r>
    <x v="270"/>
    <s v="ZTAN"/>
    <x v="8"/>
    <s v="CJXX49"/>
    <s v="167832741"/>
    <s v="TRAIGUEN"/>
    <x v="2688"/>
    <x v="5"/>
    <x v="0"/>
    <x v="93"/>
    <x v="4"/>
    <n v="0"/>
    <n v="620000"/>
    <n v="0"/>
    <n v="620000"/>
    <n v="80.666146239916685"/>
    <n v="20000"/>
    <n v="38"/>
    <x v="3411"/>
    <x v="0"/>
    <x v="1"/>
    <x v="0"/>
  </r>
  <r>
    <x v="270"/>
    <s v="ZTAN"/>
    <x v="8"/>
    <s v="PKYS74"/>
    <s v="6270439K"/>
    <s v="ANGOL"/>
    <x v="2689"/>
    <x v="0"/>
    <x v="0"/>
    <x v="84"/>
    <x v="4"/>
    <n v="0"/>
    <n v="620000"/>
    <n v="0"/>
    <n v="620000"/>
    <n v="41.745781656095559"/>
    <n v="20000"/>
    <n v="74"/>
    <x v="3412"/>
    <x v="0"/>
    <x v="1"/>
    <x v="0"/>
  </r>
  <r>
    <x v="270"/>
    <s v="ZTAN"/>
    <x v="8"/>
    <s v="UA7248"/>
    <s v="99626232"/>
    <s v="SAN MIGUEL"/>
    <x v="2690"/>
    <x v="1"/>
    <x v="1"/>
    <x v="23"/>
    <x v="1"/>
    <n v="2"/>
    <n v="59283"/>
    <n v="0"/>
    <n v="59283"/>
    <n v="10.999925780235277"/>
    <n v="5000"/>
    <n v="100"/>
    <x v="3413"/>
    <x v="0"/>
    <x v="1"/>
    <x v="1"/>
  </r>
  <r>
    <x v="271"/>
    <s v="ZPEP"/>
    <x v="12"/>
    <s v="HLBX77"/>
    <s v="154837722"/>
    <s v="VITACURA"/>
    <x v="2691"/>
    <x v="1"/>
    <x v="1"/>
    <x v="27"/>
    <x v="1"/>
    <n v="4"/>
    <n v="166837"/>
    <n v="0"/>
    <n v="166837"/>
    <n v="10.999999999999993"/>
    <n v="5000"/>
    <n v="100"/>
    <x v="3414"/>
    <x v="0"/>
    <x v="1"/>
    <x v="1"/>
  </r>
  <r>
    <x v="271"/>
    <s v="ZTAN"/>
    <x v="6"/>
    <s v="UA7248"/>
    <s v="99626232"/>
    <s v="SAN BERNARDO"/>
    <x v="2692"/>
    <x v="1"/>
    <x v="1"/>
    <x v="4"/>
    <x v="1"/>
    <n v="4"/>
    <n v="55000"/>
    <n v="0"/>
    <n v="55000"/>
    <n v="12.788318452380953"/>
    <n v="5000"/>
    <n v="86"/>
    <x v="3415"/>
    <x v="0"/>
    <x v="1"/>
    <x v="1"/>
  </r>
  <r>
    <x v="271"/>
    <s v="ZTAN"/>
    <x v="70"/>
    <s v="HLBX77"/>
    <s v="16093509K"/>
    <s v="SANTIAGO"/>
    <x v="1068"/>
    <x v="1"/>
    <x v="1"/>
    <x v="20"/>
    <x v="1"/>
    <n v="1"/>
    <n v="65465"/>
    <n v="0"/>
    <n v="65465"/>
    <n v="10.999932788923616"/>
    <n v="5000"/>
    <n v="100"/>
    <x v="3416"/>
    <x v="0"/>
    <x v="1"/>
    <x v="1"/>
  </r>
  <r>
    <x v="271"/>
    <s v="ZTAN"/>
    <x v="7"/>
    <s v="RK5135"/>
    <s v="138841065"/>
    <s v="SAN MIGUEL"/>
    <x v="385"/>
    <x v="3"/>
    <x v="1"/>
    <x v="23"/>
    <x v="1"/>
    <n v="2"/>
    <n v="82544"/>
    <n v="0"/>
    <n v="82544"/>
    <n v="11.000000000000004"/>
    <n v="5000"/>
    <n v="100"/>
    <x v="3417"/>
    <x v="0"/>
    <x v="1"/>
    <x v="1"/>
  </r>
  <r>
    <x v="271"/>
    <s v="ZTAN"/>
    <x v="7"/>
    <s v="UA7248"/>
    <s v="99626232"/>
    <s v="SAN MIGUEL"/>
    <x v="1458"/>
    <x v="1"/>
    <x v="1"/>
    <x v="23"/>
    <x v="1"/>
    <n v="2"/>
    <n v="74818"/>
    <n v="0"/>
    <n v="74818"/>
    <n v="11.000058809691838"/>
    <n v="5000"/>
    <n v="100"/>
    <x v="3418"/>
    <x v="0"/>
    <x v="1"/>
    <x v="1"/>
  </r>
  <r>
    <x v="271"/>
    <s v="ZTAN"/>
    <x v="68"/>
    <s v="DJLF85"/>
    <s v="125108660"/>
    <s v="SAN BERNARDO"/>
    <x v="2693"/>
    <x v="4"/>
    <x v="1"/>
    <x v="4"/>
    <x v="1"/>
    <n v="4"/>
    <n v="110251"/>
    <n v="0"/>
    <n v="110251"/>
    <n v="10.999965079792673"/>
    <n v="5000"/>
    <n v="100"/>
    <x v="3419"/>
    <x v="0"/>
    <x v="1"/>
    <x v="1"/>
  </r>
  <r>
    <x v="271"/>
    <s v="ZTAN"/>
    <x v="68"/>
    <s v="SU9354"/>
    <s v="72564391"/>
    <s v="SAN BERNARDO"/>
    <x v="2694"/>
    <x v="2"/>
    <x v="1"/>
    <x v="4"/>
    <x v="1"/>
    <n v="4"/>
    <n v="87398"/>
    <n v="0"/>
    <n v="87398"/>
    <n v="11.000031465340927"/>
    <n v="5000"/>
    <n v="100"/>
    <x v="3420"/>
    <x v="0"/>
    <x v="1"/>
    <x v="1"/>
  </r>
  <r>
    <x v="271"/>
    <s v="ZTAN"/>
    <x v="8"/>
    <s v="BPKD94"/>
    <s v="125897258"/>
    <s v="CORONEL"/>
    <x v="2695"/>
    <x v="0"/>
    <x v="0"/>
    <x v="16"/>
    <x v="0"/>
    <n v="0"/>
    <n v="380000"/>
    <n v="0"/>
    <n v="380000"/>
    <n v="26.200752926899899"/>
    <n v="20000"/>
    <n v="73"/>
    <x v="3421"/>
    <x v="0"/>
    <x v="1"/>
    <x v="0"/>
  </r>
  <r>
    <x v="271"/>
    <s v="ZTAN"/>
    <x v="8"/>
    <s v="SU9354"/>
    <s v="72564391"/>
    <s v="REÑACA"/>
    <x v="2696"/>
    <x v="2"/>
    <x v="1"/>
    <x v="6"/>
    <x v="2"/>
    <n v="0"/>
    <n v="180000"/>
    <n v="0"/>
    <n v="180000"/>
    <n v="20.864727019821494"/>
    <n v="20000"/>
    <n v="43"/>
    <x v="3422"/>
    <x v="0"/>
    <x v="1"/>
    <x v="0"/>
  </r>
  <r>
    <x v="271"/>
    <s v="ZTAN"/>
    <x v="8"/>
    <s v="TP3884"/>
    <s v="154837728"/>
    <s v="PUDAHUEL"/>
    <x v="2697"/>
    <x v="1"/>
    <x v="1"/>
    <x v="10"/>
    <x v="1"/>
    <n v="1"/>
    <n v="107214"/>
    <n v="0"/>
    <n v="107214"/>
    <n v="11.000030779648496"/>
    <n v="5000"/>
    <n v="100"/>
    <x v="3423"/>
    <x v="0"/>
    <x v="1"/>
    <x v="1"/>
  </r>
  <r>
    <x v="272"/>
    <s v="ZPEP"/>
    <x v="17"/>
    <s v="DJLF85"/>
    <s v="125108660"/>
    <s v="LAMPA"/>
    <x v="2698"/>
    <x v="4"/>
    <x v="1"/>
    <x v="17"/>
    <x v="1"/>
    <n v="5"/>
    <n v="70000"/>
    <n v="0"/>
    <n v="70000"/>
    <n v="5.0519630484988456"/>
    <n v="10000"/>
    <n v="100"/>
    <x v="3424"/>
    <x v="0"/>
    <x v="1"/>
    <x v="1"/>
  </r>
  <r>
    <x v="272"/>
    <s v="ZPEP"/>
    <x v="17"/>
    <s v="HLBX77"/>
    <s v="16093509K"/>
    <s v="LAMPA"/>
    <x v="2699"/>
    <x v="1"/>
    <x v="1"/>
    <x v="17"/>
    <x v="1"/>
    <n v="5"/>
    <n v="70000"/>
    <n v="0"/>
    <n v="70000"/>
    <n v="11.587619787019548"/>
    <n v="10000"/>
    <n v="60"/>
    <x v="3425"/>
    <x v="0"/>
    <x v="1"/>
    <x v="1"/>
  </r>
  <r>
    <x v="272"/>
    <s v="ZPEP"/>
    <x v="27"/>
    <s v="BWPL69"/>
    <s v="78551976"/>
    <s v="CHILLAN"/>
    <x v="2700"/>
    <x v="5"/>
    <x v="0"/>
    <x v="21"/>
    <x v="5"/>
    <n v="0"/>
    <n v="350000"/>
    <n v="0"/>
    <n v="350000"/>
    <n v="14.34342755462592"/>
    <n v="20000"/>
    <n v="100"/>
    <x v="3426"/>
    <x v="0"/>
    <x v="1"/>
    <x v="0"/>
  </r>
  <r>
    <x v="272"/>
    <s v="ZPEP"/>
    <x v="27"/>
    <s v="CJXX49"/>
    <s v="167832741"/>
    <s v="CHILLAN"/>
    <x v="2701"/>
    <x v="5"/>
    <x v="0"/>
    <x v="21"/>
    <x v="5"/>
    <n v="0"/>
    <n v="350000"/>
    <n v="0"/>
    <n v="350000"/>
    <n v="18.312565140410285"/>
    <n v="20000"/>
    <n v="96"/>
    <x v="3427"/>
    <x v="0"/>
    <x v="1"/>
    <x v="0"/>
  </r>
  <r>
    <x v="272"/>
    <s v="ZTAN"/>
    <x v="6"/>
    <s v="SU9354"/>
    <s v="72564391"/>
    <s v="QUILPUE"/>
    <x v="2702"/>
    <x v="2"/>
    <x v="1"/>
    <x v="58"/>
    <x v="2"/>
    <n v="0"/>
    <n v="180000"/>
    <n v="0"/>
    <n v="180000"/>
    <n v="31.365442252735761"/>
    <n v="20000"/>
    <n v="55"/>
    <x v="3428"/>
    <x v="0"/>
    <x v="1"/>
    <x v="0"/>
  </r>
  <r>
    <x v="272"/>
    <s v="ZTAN"/>
    <x v="7"/>
    <s v="BYZH29"/>
    <s v="122975819"/>
    <s v="RENCA"/>
    <x v="2703"/>
    <x v="0"/>
    <x v="0"/>
    <x v="7"/>
    <x v="1"/>
    <n v="1"/>
    <n v="125271"/>
    <n v="0"/>
    <n v="125271"/>
    <n v="10.999973657174468"/>
    <n v="5000"/>
    <n v="100"/>
    <x v="3429"/>
    <x v="0"/>
    <x v="1"/>
    <x v="1"/>
  </r>
  <r>
    <x v="272"/>
    <s v="ZTAN"/>
    <x v="7"/>
    <s v="SU9354"/>
    <s v="72564391"/>
    <s v="RENCA"/>
    <x v="1219"/>
    <x v="2"/>
    <x v="1"/>
    <x v="7"/>
    <x v="1"/>
    <n v="1"/>
    <n v="55000"/>
    <n v="0"/>
    <n v="55000"/>
    <n v="20.014556040756915"/>
    <n v="5000"/>
    <n v="55"/>
    <x v="3430"/>
    <x v="0"/>
    <x v="1"/>
    <x v="1"/>
  </r>
  <r>
    <x v="272"/>
    <s v="ZTAN"/>
    <x v="7"/>
    <s v="WG4022"/>
    <s v="81417709"/>
    <s v="RENCA"/>
    <x v="2704"/>
    <x v="1"/>
    <x v="0"/>
    <x v="7"/>
    <x v="1"/>
    <n v="1"/>
    <n v="66502"/>
    <n v="0"/>
    <n v="66502"/>
    <n v="10.082782461034629"/>
    <n v="5000"/>
    <n v="100"/>
    <x v="3431"/>
    <x v="0"/>
    <x v="1"/>
    <x v="1"/>
  </r>
  <r>
    <x v="272"/>
    <s v="ZTAN"/>
    <x v="7"/>
    <s v="XR6339"/>
    <s v="78907355"/>
    <s v="RENCA"/>
    <x v="1219"/>
    <x v="1"/>
    <x v="1"/>
    <x v="7"/>
    <x v="1"/>
    <n v="1"/>
    <n v="55000"/>
    <n v="0"/>
    <n v="55000"/>
    <n v="20.014556040756915"/>
    <n v="5000"/>
    <n v="55"/>
    <x v="3432"/>
    <x v="0"/>
    <x v="1"/>
    <x v="1"/>
  </r>
  <r>
    <x v="272"/>
    <s v="ZTAN"/>
    <x v="68"/>
    <s v="SV2718"/>
    <s v="99626232"/>
    <s v="SAN BERNARDO"/>
    <x v="1458"/>
    <x v="1"/>
    <x v="1"/>
    <x v="4"/>
    <x v="1"/>
    <n v="4"/>
    <n v="74818"/>
    <n v="0"/>
    <n v="74818"/>
    <n v="11.000058809691838"/>
    <n v="5000"/>
    <n v="100"/>
    <x v="3433"/>
    <x v="0"/>
    <x v="1"/>
    <x v="1"/>
  </r>
  <r>
    <x v="272"/>
    <s v="ZTAN"/>
    <x v="68"/>
    <s v="XR6339"/>
    <s v="78907355"/>
    <s v="SAN BERNARDO"/>
    <x v="385"/>
    <x v="1"/>
    <x v="1"/>
    <x v="4"/>
    <x v="1"/>
    <n v="4"/>
    <n v="82544"/>
    <n v="0"/>
    <n v="82544"/>
    <n v="11.000000000000004"/>
    <n v="5000"/>
    <n v="100"/>
    <x v="3434"/>
    <x v="0"/>
    <x v="1"/>
    <x v="1"/>
  </r>
  <r>
    <x v="272"/>
    <s v="ZTAN"/>
    <x v="8"/>
    <s v="KKPF51"/>
    <s v="95707734"/>
    <s v="TEMUCO"/>
    <x v="2705"/>
    <x v="8"/>
    <x v="0"/>
    <x v="14"/>
    <x v="4"/>
    <n v="0"/>
    <n v="620000"/>
    <n v="0"/>
    <n v="620000"/>
    <n v="40.317336454675534"/>
    <n v="20000"/>
    <n v="77"/>
    <x v="3435"/>
    <x v="0"/>
    <x v="1"/>
    <x v="0"/>
  </r>
  <r>
    <x v="272"/>
    <s v="ZTAN"/>
    <x v="8"/>
    <s v="TP3884"/>
    <s v="99626232"/>
    <s v="PUDAHUEL"/>
    <x v="2706"/>
    <x v="1"/>
    <x v="1"/>
    <x v="10"/>
    <x v="1"/>
    <n v="1"/>
    <n v="60151"/>
    <n v="0"/>
    <n v="60151"/>
    <n v="10.999945138342811"/>
    <n v="5000"/>
    <n v="100"/>
    <x v="3436"/>
    <x v="0"/>
    <x v="1"/>
    <x v="1"/>
  </r>
  <r>
    <x v="273"/>
    <s v="ZPEP"/>
    <x v="2"/>
    <s v="SU9354"/>
    <s v="72564391"/>
    <s v="SAN BERNARDO"/>
    <x v="2707"/>
    <x v="2"/>
    <x v="1"/>
    <x v="4"/>
    <x v="1"/>
    <n v="4"/>
    <n v="133912"/>
    <n v="0"/>
    <n v="133912"/>
    <n v="10.999980285595999"/>
    <n v="5000"/>
    <n v="100"/>
    <x v="3437"/>
    <x v="0"/>
    <x v="1"/>
    <x v="1"/>
  </r>
  <r>
    <x v="273"/>
    <s v="ZTAN"/>
    <x v="4"/>
    <s v="SU9354"/>
    <s v="72564391"/>
    <s v="SAN BERNARDO"/>
    <x v="2708"/>
    <x v="2"/>
    <x v="1"/>
    <x v="4"/>
    <x v="1"/>
    <n v="4"/>
    <n v="91896"/>
    <n v="0"/>
    <n v="91896"/>
    <n v="10.999976059945897"/>
    <n v="5000"/>
    <n v="100"/>
    <x v="3438"/>
    <x v="0"/>
    <x v="1"/>
    <x v="1"/>
  </r>
  <r>
    <x v="273"/>
    <s v="ZTAN"/>
    <x v="4"/>
    <s v="WC2233"/>
    <s v="125108660"/>
    <s v="SAN BERNARDO"/>
    <x v="2709"/>
    <x v="4"/>
    <x v="1"/>
    <x v="4"/>
    <x v="1"/>
    <n v="4"/>
    <n v="84170"/>
    <n v="0"/>
    <n v="84170"/>
    <n v="11.00002613764082"/>
    <n v="5000"/>
    <n v="100"/>
    <x v="3439"/>
    <x v="0"/>
    <x v="1"/>
    <x v="1"/>
  </r>
  <r>
    <x v="273"/>
    <s v="ZTAN"/>
    <x v="21"/>
    <s v="SU9354"/>
    <s v="72564391"/>
    <s v="LA REINA"/>
    <x v="1412"/>
    <x v="2"/>
    <x v="1"/>
    <x v="11"/>
    <x v="1"/>
    <n v="3"/>
    <n v="62348"/>
    <n v="0"/>
    <n v="62348"/>
    <n v="11"/>
    <n v="5000"/>
    <n v="100"/>
    <x v="3440"/>
    <x v="0"/>
    <x v="1"/>
    <x v="1"/>
  </r>
  <r>
    <x v="273"/>
    <s v="ZTAN"/>
    <x v="10"/>
    <s v="WC2233"/>
    <s v="125108660"/>
    <s v="QUILICURA"/>
    <x v="2710"/>
    <x v="4"/>
    <x v="1"/>
    <x v="8"/>
    <x v="1"/>
    <n v="1"/>
    <n v="76270"/>
    <n v="0"/>
    <n v="76270"/>
    <n v="11.000057690088843"/>
    <n v="5000"/>
    <n v="100"/>
    <x v="3441"/>
    <x v="0"/>
    <x v="1"/>
    <x v="1"/>
  </r>
  <r>
    <x v="273"/>
    <s v="ZTAN"/>
    <x v="7"/>
    <s v="HLBX77"/>
    <s v="16093509K"/>
    <s v="RENCA"/>
    <x v="1219"/>
    <x v="1"/>
    <x v="1"/>
    <x v="7"/>
    <x v="1"/>
    <n v="1"/>
    <n v="55000"/>
    <n v="0"/>
    <n v="55000"/>
    <n v="20.014556040756915"/>
    <n v="5000"/>
    <n v="55"/>
    <x v="3442"/>
    <x v="0"/>
    <x v="1"/>
    <x v="1"/>
  </r>
  <r>
    <x v="273"/>
    <s v="ZTAN"/>
    <x v="7"/>
    <s v="RK5135"/>
    <s v="138841065"/>
    <s v="RENCA"/>
    <x v="1219"/>
    <x v="3"/>
    <x v="1"/>
    <x v="7"/>
    <x v="1"/>
    <n v="1"/>
    <n v="55000"/>
    <n v="0"/>
    <n v="55000"/>
    <n v="20.014556040756915"/>
    <n v="5000"/>
    <n v="55"/>
    <x v="3443"/>
    <x v="0"/>
    <x v="1"/>
    <x v="1"/>
  </r>
  <r>
    <x v="273"/>
    <s v="ZTAN"/>
    <x v="8"/>
    <s v="SV2718"/>
    <s v="99626232"/>
    <s v="PUDAHUEL"/>
    <x v="387"/>
    <x v="1"/>
    <x v="1"/>
    <x v="10"/>
    <x v="1"/>
    <n v="1"/>
    <n v="55000"/>
    <n v="0"/>
    <n v="55000"/>
    <n v="13.412017167381974"/>
    <n v="5000"/>
    <n v="82"/>
    <x v="3444"/>
    <x v="0"/>
    <x v="1"/>
    <x v="1"/>
  </r>
  <r>
    <x v="273"/>
    <s v="ZTAN"/>
    <x v="8"/>
    <s v="TP3884"/>
    <s v="154837728"/>
    <s v="ÑUÑOA"/>
    <x v="2711"/>
    <x v="1"/>
    <x v="1"/>
    <x v="15"/>
    <x v="1"/>
    <n v="4"/>
    <n v="79495"/>
    <n v="0"/>
    <n v="79495"/>
    <n v="11.000027674766152"/>
    <n v="5000"/>
    <n v="100"/>
    <x v="3445"/>
    <x v="0"/>
    <x v="1"/>
    <x v="1"/>
  </r>
  <r>
    <x v="274"/>
    <s v="ZPEP"/>
    <x v="32"/>
    <s v="RK5135"/>
    <s v="138841065"/>
    <s v="LAMPA"/>
    <x v="2712"/>
    <x v="3"/>
    <x v="1"/>
    <x v="17"/>
    <x v="1"/>
    <n v="5"/>
    <n v="70000"/>
    <n v="0"/>
    <n v="70000"/>
    <n v="20.234137881196705"/>
    <n v="10000"/>
    <n v="55"/>
    <x v="3446"/>
    <x v="0"/>
    <x v="1"/>
    <x v="1"/>
  </r>
  <r>
    <x v="274"/>
    <s v="ZTAN"/>
    <x v="86"/>
    <s v="UA7248"/>
    <s v="99626232"/>
    <s v="VITACURA"/>
    <x v="613"/>
    <x v="1"/>
    <x v="1"/>
    <x v="27"/>
    <x v="1"/>
    <n v="4"/>
    <n v="55000"/>
    <n v="0"/>
    <n v="55000"/>
    <n v="32.345330510468123"/>
    <n v="5000"/>
    <n v="34"/>
    <x v="3447"/>
    <x v="0"/>
    <x v="1"/>
    <x v="1"/>
  </r>
  <r>
    <x v="274"/>
    <s v="ZTAN"/>
    <x v="7"/>
    <s v="DJLF85"/>
    <s v="125108660"/>
    <s v="SAN MIGUEL"/>
    <x v="1034"/>
    <x v="4"/>
    <x v="1"/>
    <x v="23"/>
    <x v="1"/>
    <n v="2"/>
    <n v="91326"/>
    <n v="0"/>
    <n v="91326"/>
    <n v="10.999951821160147"/>
    <n v="5000"/>
    <n v="100"/>
    <x v="3448"/>
    <x v="0"/>
    <x v="1"/>
    <x v="1"/>
  </r>
  <r>
    <x v="274"/>
    <s v="ZTAN"/>
    <x v="7"/>
    <s v="HLBX77"/>
    <s v="16093509K"/>
    <s v="SAN MIGUEL"/>
    <x v="2713"/>
    <x v="1"/>
    <x v="1"/>
    <x v="23"/>
    <x v="1"/>
    <n v="2"/>
    <n v="83072"/>
    <n v="0"/>
    <n v="83072"/>
    <n v="11.000000000000002"/>
    <n v="5000"/>
    <n v="100"/>
    <x v="3449"/>
    <x v="0"/>
    <x v="1"/>
    <x v="1"/>
  </r>
  <r>
    <x v="274"/>
    <s v="ZTAN"/>
    <x v="7"/>
    <s v="XR6339"/>
    <s v="78907355"/>
    <s v="SANTIAGO"/>
    <x v="471"/>
    <x v="1"/>
    <x v="1"/>
    <x v="20"/>
    <x v="1"/>
    <n v="1"/>
    <n v="55000"/>
    <n v="0"/>
    <n v="55000"/>
    <n v="24.431414356787492"/>
    <n v="5000"/>
    <n v="45"/>
    <x v="3450"/>
    <x v="0"/>
    <x v="1"/>
    <x v="1"/>
  </r>
  <r>
    <x v="274"/>
    <s v="ZTAN"/>
    <x v="68"/>
    <s v="CJXX49"/>
    <s v="167832741"/>
    <s v="CONCEPCION"/>
    <x v="2714"/>
    <x v="5"/>
    <x v="0"/>
    <x v="81"/>
    <x v="0"/>
    <n v="0"/>
    <n v="380000"/>
    <n v="0"/>
    <n v="380000"/>
    <n v="25.395807018599086"/>
    <n v="20000"/>
    <n v="85"/>
    <x v="3451"/>
    <x v="0"/>
    <x v="1"/>
    <x v="0"/>
  </r>
  <r>
    <x v="274"/>
    <s v="ZTAN"/>
    <x v="8"/>
    <s v="BWPL69"/>
    <s v="78551976"/>
    <s v="VILLARRICA"/>
    <x v="2715"/>
    <x v="5"/>
    <x v="0"/>
    <x v="88"/>
    <x v="4"/>
    <n v="0"/>
    <n v="620000"/>
    <n v="0"/>
    <n v="620000"/>
    <n v="44.928838517058502"/>
    <n v="20000"/>
    <n v="69"/>
    <x v="3452"/>
    <x v="0"/>
    <x v="1"/>
    <x v="0"/>
  </r>
  <r>
    <x v="274"/>
    <s v="ZTAN"/>
    <x v="8"/>
    <s v="BYZH29"/>
    <s v="122975819"/>
    <s v="TALCA"/>
    <x v="2716"/>
    <x v="0"/>
    <x v="0"/>
    <x v="12"/>
    <x v="3"/>
    <n v="0"/>
    <n v="320000"/>
    <n v="0"/>
    <n v="320000"/>
    <n v="28.584955380671207"/>
    <n v="20000"/>
    <n v="56"/>
    <x v="3453"/>
    <x v="0"/>
    <x v="1"/>
    <x v="0"/>
  </r>
  <r>
    <x v="275"/>
    <s v="ZPEP"/>
    <x v="12"/>
    <s v="HLBX77"/>
    <s v="16093509K"/>
    <s v="VITACURA"/>
    <x v="2717"/>
    <x v="1"/>
    <x v="1"/>
    <x v="27"/>
    <x v="1"/>
    <n v="4"/>
    <n v="104742"/>
    <n v="0"/>
    <n v="104742"/>
    <n v="11"/>
    <n v="5000"/>
    <n v="100"/>
    <x v="3454"/>
    <x v="1"/>
    <x v="1"/>
    <x v="1"/>
  </r>
  <r>
    <x v="275"/>
    <s v="ZPEP"/>
    <x v="12"/>
    <s v="RK5135"/>
    <s v="138841065"/>
    <s v="VITACURA"/>
    <x v="2718"/>
    <x v="3"/>
    <x v="1"/>
    <x v="27"/>
    <x v="1"/>
    <n v="4"/>
    <n v="116380"/>
    <n v="0"/>
    <n v="116380"/>
    <n v="11"/>
    <n v="5000"/>
    <n v="100"/>
    <x v="3455"/>
    <x v="1"/>
    <x v="1"/>
    <x v="1"/>
  </r>
  <r>
    <x v="275"/>
    <s v="ZTAN"/>
    <x v="12"/>
    <s v="DJLF85"/>
    <s v="125108660"/>
    <s v="VITACURA"/>
    <x v="1457"/>
    <x v="4"/>
    <x v="1"/>
    <x v="27"/>
    <x v="1"/>
    <n v="4"/>
    <n v="114576"/>
    <n v="0"/>
    <n v="114576"/>
    <n v="11"/>
    <n v="5000"/>
    <n v="100"/>
    <x v="3456"/>
    <x v="1"/>
    <x v="1"/>
    <x v="1"/>
  </r>
  <r>
    <x v="275"/>
    <s v="ZTAN"/>
    <x v="12"/>
    <s v="TP3884"/>
    <s v="154837728"/>
    <s v="VITACURA"/>
    <x v="1457"/>
    <x v="1"/>
    <x v="1"/>
    <x v="27"/>
    <x v="1"/>
    <n v="4"/>
    <n v="114576"/>
    <n v="0"/>
    <n v="114576"/>
    <n v="11"/>
    <n v="5000"/>
    <n v="100"/>
    <x v="3457"/>
    <x v="1"/>
    <x v="1"/>
    <x v="1"/>
  </r>
  <r>
    <x v="275"/>
    <s v="ZTAN"/>
    <x v="7"/>
    <s v="DJLF85"/>
    <s v="125108660"/>
    <s v="SANTIAGO"/>
    <x v="2719"/>
    <x v="4"/>
    <x v="1"/>
    <x v="20"/>
    <x v="1"/>
    <n v="1"/>
    <n v="55000"/>
    <n v="0"/>
    <n v="55000"/>
    <n v="11.115714588870134"/>
    <n v="5000"/>
    <n v="99"/>
    <x v="3458"/>
    <x v="1"/>
    <x v="1"/>
    <x v="1"/>
  </r>
  <r>
    <x v="275"/>
    <s v="ZTAN"/>
    <x v="7"/>
    <s v="XR6339"/>
    <s v="78907355"/>
    <s v="SAN MIGUEL"/>
    <x v="2720"/>
    <x v="1"/>
    <x v="1"/>
    <x v="23"/>
    <x v="1"/>
    <n v="2"/>
    <n v="55000"/>
    <n v="0"/>
    <n v="55000"/>
    <n v="14.279038371670387"/>
    <n v="5000"/>
    <n v="77"/>
    <x v="3459"/>
    <x v="1"/>
    <x v="1"/>
    <x v="1"/>
  </r>
  <r>
    <x v="275"/>
    <s v="ZTAN"/>
    <x v="8"/>
    <s v="CKYB66"/>
    <s v="115812335"/>
    <s v="LOS ANGELES"/>
    <x v="2721"/>
    <x v="0"/>
    <x v="0"/>
    <x v="57"/>
    <x v="0"/>
    <n v="0"/>
    <n v="420000"/>
    <n v="0"/>
    <n v="420000"/>
    <n v="27.109541913288194"/>
    <n v="20000"/>
    <n v="77"/>
    <x v="3460"/>
    <x v="1"/>
    <x v="1"/>
    <x v="0"/>
  </r>
  <r>
    <x v="276"/>
    <s v="ZPEP"/>
    <x v="2"/>
    <s v="XR6339"/>
    <n v="154837728"/>
    <s v="MACHALI"/>
    <x v="2722"/>
    <x v="1"/>
    <x v="1"/>
    <x v="43"/>
    <x v="6"/>
    <n v="0"/>
    <n v="230000"/>
    <n v="0"/>
    <n v="230000"/>
    <n v="39.147336959851856"/>
    <n v="20000"/>
    <n v="29"/>
    <x v="3461"/>
    <x v="1"/>
    <x v="1"/>
    <x v="0"/>
  </r>
  <r>
    <x v="276"/>
    <s v="ZPEP"/>
    <x v="12"/>
    <s v="SU9354"/>
    <n v="72564391"/>
    <s v="VITACURA"/>
    <x v="2718"/>
    <x v="2"/>
    <x v="1"/>
    <x v="27"/>
    <x v="1"/>
    <n v="4"/>
    <n v="116380"/>
    <n v="0"/>
    <n v="116380"/>
    <n v="11"/>
    <n v="5000"/>
    <n v="100"/>
    <x v="3462"/>
    <x v="1"/>
    <x v="1"/>
    <x v="1"/>
  </r>
  <r>
    <x v="276"/>
    <s v="ZTAN"/>
    <x v="87"/>
    <s v="TW7053"/>
    <n v="172861164"/>
    <s v="RANCAGUA"/>
    <x v="2723"/>
    <x v="6"/>
    <x v="1"/>
    <x v="28"/>
    <x v="6"/>
    <n v="0"/>
    <n v="180000"/>
    <n v="0"/>
    <n v="180000"/>
    <n v="34.103697977650704"/>
    <n v="20000"/>
    <n v="26"/>
    <x v="3463"/>
    <x v="1"/>
    <x v="1"/>
    <x v="0"/>
  </r>
  <r>
    <x v="276"/>
    <s v="ZTAN"/>
    <x v="87"/>
    <s v="TW7053"/>
    <n v="172861164"/>
    <s v="SANTIAGO"/>
    <x v="2723"/>
    <x v="6"/>
    <x v="1"/>
    <x v="20"/>
    <x v="1"/>
    <n v="1"/>
    <n v="58058"/>
    <n v="0"/>
    <n v="58058"/>
    <n v="10.99995831770247"/>
    <n v="5000"/>
    <n v="100"/>
    <x v="3464"/>
    <x v="1"/>
    <x v="1"/>
    <x v="1"/>
  </r>
  <r>
    <x v="276"/>
    <s v="ZTAN"/>
    <x v="10"/>
    <s v="RH1133"/>
    <n v="65941082"/>
    <s v="SANTIAGO"/>
    <x v="419"/>
    <x v="0"/>
    <x v="0"/>
    <x v="20"/>
    <x v="1"/>
    <n v="1"/>
    <n v="90684"/>
    <n v="0"/>
    <n v="90684"/>
    <n v="10.999999999999995"/>
    <n v="5000"/>
    <n v="100"/>
    <x v="3465"/>
    <x v="1"/>
    <x v="1"/>
    <x v="1"/>
  </r>
  <r>
    <x v="276"/>
    <s v="ZTAN"/>
    <x v="70"/>
    <s v="HLBX77"/>
    <n v="78907355"/>
    <s v="BUIN"/>
    <x v="2724"/>
    <x v="1"/>
    <x v="1"/>
    <x v="56"/>
    <x v="1"/>
    <n v="5"/>
    <n v="90000"/>
    <n v="0"/>
    <n v="90000"/>
    <n v="15.923566878980894"/>
    <n v="10000"/>
    <n v="57"/>
    <x v="3466"/>
    <x v="1"/>
    <x v="1"/>
    <x v="1"/>
  </r>
  <r>
    <x v="276"/>
    <s v="ZTAN"/>
    <x v="7"/>
    <s v="KKPF51"/>
    <n v="95707734"/>
    <s v="MELIPILLA"/>
    <x v="1870"/>
    <x v="8"/>
    <x v="0"/>
    <x v="29"/>
    <x v="1"/>
    <n v="5"/>
    <n v="120000"/>
    <n v="0"/>
    <n v="120000"/>
    <n v="6.6631130063965891"/>
    <n v="10000"/>
    <n v="100"/>
    <x v="3467"/>
    <x v="1"/>
    <x v="1"/>
    <x v="1"/>
  </r>
  <r>
    <x v="276"/>
    <s v="ZTAN"/>
    <x v="7"/>
    <s v="RK5135"/>
    <n v="138841065"/>
    <s v="RENCA"/>
    <x v="400"/>
    <x v="3"/>
    <x v="1"/>
    <x v="7"/>
    <x v="1"/>
    <n v="1"/>
    <n v="90798"/>
    <n v="0"/>
    <n v="90798"/>
    <n v="10.999951540996321"/>
    <n v="5000"/>
    <n v="100"/>
    <x v="3468"/>
    <x v="1"/>
    <x v="1"/>
    <x v="1"/>
  </r>
  <r>
    <x v="276"/>
    <s v="ZTAN"/>
    <x v="7"/>
    <s v="WG4022"/>
    <n v="81417709"/>
    <s v="RENCA"/>
    <x v="2725"/>
    <x v="1"/>
    <x v="0"/>
    <x v="7"/>
    <x v="1"/>
    <n v="1"/>
    <n v="114114"/>
    <n v="0"/>
    <n v="114114"/>
    <n v="11"/>
    <n v="5000"/>
    <n v="100"/>
    <x v="3469"/>
    <x v="1"/>
    <x v="1"/>
    <x v="1"/>
  </r>
  <r>
    <x v="276"/>
    <s v="ZTAN"/>
    <x v="68"/>
    <s v="SU9354"/>
    <n v="72564391"/>
    <s v="SAN BERNARDO"/>
    <x v="2726"/>
    <x v="2"/>
    <x v="1"/>
    <x v="4"/>
    <x v="1"/>
    <n v="4"/>
    <n v="113945"/>
    <n v="0"/>
    <n v="113945"/>
    <n v="11.000038615256887"/>
    <n v="5000"/>
    <n v="100"/>
    <x v="3470"/>
    <x v="1"/>
    <x v="1"/>
    <x v="1"/>
  </r>
  <r>
    <x v="276"/>
    <s v="ZTAN"/>
    <x v="8"/>
    <s v="BPKD94"/>
    <n v="125897258"/>
    <s v="TALCAHUANO"/>
    <x v="2727"/>
    <x v="0"/>
    <x v="0"/>
    <x v="0"/>
    <x v="0"/>
    <n v="0"/>
    <n v="380000"/>
    <n v="0"/>
    <n v="380000"/>
    <n v="28.248587570621471"/>
    <n v="20000"/>
    <n v="67"/>
    <x v="3471"/>
    <x v="1"/>
    <x v="1"/>
    <x v="0"/>
  </r>
  <r>
    <x v="277"/>
    <s v="ZPEP"/>
    <x v="12"/>
    <s v="SU9354"/>
    <s v="72564391"/>
    <s v="VITACURA"/>
    <x v="2718"/>
    <x v="2"/>
    <x v="1"/>
    <x v="27"/>
    <x v="1"/>
    <n v="4"/>
    <n v="116380"/>
    <n v="0"/>
    <n v="116380"/>
    <n v="11"/>
    <n v="5000"/>
    <n v="100"/>
    <x v="3472"/>
    <x v="1"/>
    <x v="1"/>
    <x v="1"/>
  </r>
  <r>
    <x v="277"/>
    <s v="ZTAN"/>
    <x v="10"/>
    <s v="KKPF51"/>
    <s v="95707734"/>
    <s v="SANTIAGO"/>
    <x v="2728"/>
    <x v="8"/>
    <x v="0"/>
    <x v="20"/>
    <x v="1"/>
    <n v="1"/>
    <n v="173316"/>
    <n v="0"/>
    <n v="173316"/>
    <n v="11.000000000000007"/>
    <n v="5000"/>
    <n v="100"/>
    <x v="3473"/>
    <x v="1"/>
    <x v="1"/>
    <x v="1"/>
  </r>
  <r>
    <x v="277"/>
    <s v="ZTAN"/>
    <x v="7"/>
    <s v="DJLF85"/>
    <s v="125108660"/>
    <s v="RENCA"/>
    <x v="2729"/>
    <x v="4"/>
    <x v="1"/>
    <x v="7"/>
    <x v="1"/>
    <n v="1"/>
    <n v="82317"/>
    <n v="0"/>
    <n v="82317"/>
    <n v="11.000020044498786"/>
    <n v="5000"/>
    <n v="100"/>
    <x v="3474"/>
    <x v="1"/>
    <x v="1"/>
    <x v="1"/>
  </r>
  <r>
    <x v="277"/>
    <s v="ZTAN"/>
    <x v="7"/>
    <s v="WG4022"/>
    <s v="81417709"/>
    <s v="RENCA"/>
    <x v="2730"/>
    <x v="1"/>
    <x v="0"/>
    <x v="7"/>
    <x v="1"/>
    <n v="1"/>
    <n v="72547"/>
    <n v="0"/>
    <n v="72547"/>
    <n v="8.7997622571019622"/>
    <n v="5000"/>
    <n v="100"/>
    <x v="3475"/>
    <x v="1"/>
    <x v="1"/>
    <x v="1"/>
  </r>
  <r>
    <x v="277"/>
    <s v="ZTAN"/>
    <x v="8"/>
    <s v="DRFV76"/>
    <s v="113693568"/>
    <s v="TALCAHUANO"/>
    <x v="2731"/>
    <x v="0"/>
    <x v="0"/>
    <x v="0"/>
    <x v="0"/>
    <n v="0"/>
    <n v="380000"/>
    <n v="0"/>
    <n v="380000"/>
    <n v="25.675328711774164"/>
    <n v="20000"/>
    <n v="74"/>
    <x v="3476"/>
    <x v="1"/>
    <x v="1"/>
    <x v="0"/>
  </r>
  <r>
    <x v="277"/>
    <s v="ZTAN"/>
    <x v="8"/>
    <s v="HLBX77"/>
    <s v="16093509K"/>
    <s v="MAIPU"/>
    <x v="2732"/>
    <x v="1"/>
    <x v="1"/>
    <x v="2"/>
    <x v="1"/>
    <n v="2"/>
    <n v="62934"/>
    <n v="0"/>
    <n v="62934"/>
    <n v="11.000062923422195"/>
    <n v="5000"/>
    <n v="100"/>
    <x v="3477"/>
    <x v="1"/>
    <x v="1"/>
    <x v="1"/>
  </r>
  <r>
    <x v="277"/>
    <s v="ZTAN"/>
    <x v="8"/>
    <s v="TP3884"/>
    <s v="154837728"/>
    <s v="CERRILLOS"/>
    <x v="2733"/>
    <x v="1"/>
    <x v="1"/>
    <x v="9"/>
    <x v="1"/>
    <n v="2"/>
    <n v="55000"/>
    <n v="0"/>
    <n v="55000"/>
    <n v="13.523348676187105"/>
    <n v="5000"/>
    <n v="81"/>
    <x v="3478"/>
    <x v="1"/>
    <x v="1"/>
    <x v="1"/>
  </r>
  <r>
    <x v="277"/>
    <s v="ZTAN"/>
    <x v="8"/>
    <s v="UA7248"/>
    <s v="99626232"/>
    <s v="HUECHURABA"/>
    <x v="2734"/>
    <x v="1"/>
    <x v="1"/>
    <x v="24"/>
    <x v="1"/>
    <n v="1"/>
    <n v="55000"/>
    <n v="0"/>
    <n v="55000"/>
    <n v="15.064365927143248"/>
    <n v="5000"/>
    <n v="73"/>
    <x v="3479"/>
    <x v="1"/>
    <x v="1"/>
    <x v="1"/>
  </r>
  <r>
    <x v="277"/>
    <s v="ZTAN"/>
    <x v="8"/>
    <s v="XR6339"/>
    <s v="78907355"/>
    <s v="ÑUÑOA"/>
    <x v="2735"/>
    <x v="1"/>
    <x v="1"/>
    <x v="15"/>
    <x v="1"/>
    <n v="4"/>
    <n v="55000"/>
    <n v="0"/>
    <n v="55000"/>
    <n v="17.097524278484475"/>
    <n v="5000"/>
    <n v="64"/>
    <x v="3480"/>
    <x v="1"/>
    <x v="1"/>
    <x v="1"/>
  </r>
  <r>
    <x v="278"/>
    <s v="ZPEP"/>
    <x v="17"/>
    <s v="RH1133"/>
    <s v="65941082"/>
    <s v="LAMPA"/>
    <x v="2736"/>
    <x v="0"/>
    <x v="0"/>
    <x v="17"/>
    <x v="1"/>
    <n v="5"/>
    <n v="120000"/>
    <n v="0"/>
    <n v="251328"/>
    <n v="11"/>
    <n v="10000"/>
    <n v="100"/>
    <x v="3481"/>
    <x v="1"/>
    <x v="1"/>
    <x v="1"/>
  </r>
  <r>
    <x v="278"/>
    <s v="ZPEP"/>
    <x v="12"/>
    <s v="SU9354"/>
    <s v="72564391"/>
    <s v="VITACURA"/>
    <x v="2737"/>
    <x v="2"/>
    <x v="1"/>
    <x v="27"/>
    <x v="1"/>
    <n v="4"/>
    <n v="159139"/>
    <n v="0"/>
    <n v="159139"/>
    <n v="10.999986175624862"/>
    <n v="5000"/>
    <n v="100"/>
    <x v="3482"/>
    <x v="1"/>
    <x v="1"/>
    <x v="1"/>
  </r>
  <r>
    <x v="278"/>
    <s v="ZPEP"/>
    <x v="7"/>
    <s v="RK5135"/>
    <s v="138841065"/>
    <s v="PUENTE ALTO"/>
    <x v="1736"/>
    <x v="3"/>
    <x v="1"/>
    <x v="30"/>
    <x v="1"/>
    <n v="4"/>
    <n v="55000"/>
    <n v="0"/>
    <n v="55000"/>
    <n v="15.0519978106185"/>
    <n v="5000"/>
    <n v="73"/>
    <x v="3483"/>
    <x v="1"/>
    <x v="1"/>
    <x v="1"/>
  </r>
  <r>
    <x v="278"/>
    <s v="ZTAN"/>
    <x v="4"/>
    <s v="DJLF85"/>
    <s v="125108660"/>
    <s v="SAN BERNARDO"/>
    <x v="385"/>
    <x v="4"/>
    <x v="1"/>
    <x v="4"/>
    <x v="1"/>
    <n v="4"/>
    <n v="82544"/>
    <n v="0"/>
    <n v="82544"/>
    <n v="11.000000000000004"/>
    <n v="5000"/>
    <n v="100"/>
    <x v="3484"/>
    <x v="1"/>
    <x v="1"/>
    <x v="1"/>
  </r>
  <r>
    <x v="278"/>
    <s v="ZTAN"/>
    <x v="8"/>
    <s v="HLBX77"/>
    <s v="16093509K"/>
    <s v="TALAGANTE"/>
    <x v="2738"/>
    <x v="1"/>
    <x v="1"/>
    <x v="50"/>
    <x v="1"/>
    <n v="4"/>
    <n v="55000"/>
    <n v="0"/>
    <n v="55000"/>
    <n v="13.490840945438134"/>
    <n v="5000"/>
    <n v="82"/>
    <x v="3485"/>
    <x v="1"/>
    <x v="1"/>
    <x v="1"/>
  </r>
  <r>
    <x v="278"/>
    <s v="ZTAN"/>
    <x v="8"/>
    <s v="RK5135"/>
    <s v="138841065"/>
    <s v="REÑACA"/>
    <x v="2739"/>
    <x v="3"/>
    <x v="1"/>
    <x v="6"/>
    <x v="2"/>
    <n v="0"/>
    <n v="180000"/>
    <n v="0"/>
    <n v="180000"/>
    <n v="28.346456692913389"/>
    <n v="20000"/>
    <n v="32"/>
    <x v="3486"/>
    <x v="1"/>
    <x v="1"/>
    <x v="0"/>
  </r>
  <r>
    <x v="278"/>
    <s v="ZTAN"/>
    <x v="8"/>
    <s v="TP3884"/>
    <s v="154837728"/>
    <s v="PUDAHUEL"/>
    <x v="2740"/>
    <x v="1"/>
    <x v="1"/>
    <x v="10"/>
    <x v="1"/>
    <n v="1"/>
    <n v="114587"/>
    <n v="0"/>
    <n v="114587"/>
    <n v="11"/>
    <n v="5000"/>
    <n v="100"/>
    <x v="3487"/>
    <x v="1"/>
    <x v="1"/>
    <x v="1"/>
  </r>
  <r>
    <x v="278"/>
    <s v="ZTAN"/>
    <x v="8"/>
    <s v="UA7248"/>
    <s v="99626232"/>
    <s v="LA REINA"/>
    <x v="2741"/>
    <x v="1"/>
    <x v="1"/>
    <x v="11"/>
    <x v="1"/>
    <n v="3"/>
    <n v="55000"/>
    <n v="0"/>
    <n v="55000"/>
    <n v="13.485548395955316"/>
    <n v="5000"/>
    <n v="82"/>
    <x v="3488"/>
    <x v="1"/>
    <x v="1"/>
    <x v="1"/>
  </r>
  <r>
    <x v="278"/>
    <s v="ZTAN"/>
    <x v="8"/>
    <s v="WC2233"/>
    <s v="125108660"/>
    <s v="LAS CONDES"/>
    <x v="2742"/>
    <x v="4"/>
    <x v="1"/>
    <x v="3"/>
    <x v="1"/>
    <n v="4"/>
    <n v="55843"/>
    <n v="0"/>
    <n v="55843"/>
    <n v="11.000078792892882"/>
    <n v="5000"/>
    <n v="100"/>
    <x v="3489"/>
    <x v="1"/>
    <x v="1"/>
    <x v="1"/>
  </r>
  <r>
    <x v="279"/>
    <s v="ZPEP"/>
    <x v="17"/>
    <s v="KKPF51"/>
    <s v="95707734"/>
    <s v="LAMPA"/>
    <x v="2743"/>
    <x v="8"/>
    <x v="0"/>
    <x v="17"/>
    <x v="1"/>
    <n v="5"/>
    <n v="120000"/>
    <n v="0"/>
    <n v="120000"/>
    <n v="15.199878400972795"/>
    <n v="10000"/>
    <n v="79"/>
    <x v="3490"/>
    <x v="1"/>
    <x v="1"/>
    <x v="1"/>
  </r>
  <r>
    <x v="279"/>
    <s v="ZPEP"/>
    <x v="12"/>
    <s v="RK5135"/>
    <s v="138841065"/>
    <s v="VITACURA"/>
    <x v="2744"/>
    <x v="3"/>
    <x v="1"/>
    <x v="27"/>
    <x v="1"/>
    <n v="4"/>
    <n v="152110"/>
    <n v="0"/>
    <n v="152110"/>
    <n v="10.999985536801608"/>
    <n v="5000"/>
    <n v="100"/>
    <x v="3491"/>
    <x v="1"/>
    <x v="1"/>
    <x v="1"/>
  </r>
  <r>
    <x v="279"/>
    <s v="ZTAN"/>
    <x v="17"/>
    <s v="KKPF51"/>
    <s v="95707734"/>
    <s v="LAMPA"/>
    <x v="2745"/>
    <x v="8"/>
    <x v="0"/>
    <x v="17"/>
    <x v="1"/>
    <n v="5"/>
    <n v="120000"/>
    <n v="0"/>
    <n v="120000"/>
    <n v="11.784346459785917"/>
    <n v="10000"/>
    <n v="100"/>
    <x v="3492"/>
    <x v="1"/>
    <x v="1"/>
    <x v="1"/>
  </r>
  <r>
    <x v="279"/>
    <s v="ZTAN"/>
    <x v="4"/>
    <s v="TP3884"/>
    <s v="154837728"/>
    <s v="SAN BERNARDO"/>
    <x v="448"/>
    <x v="1"/>
    <x v="1"/>
    <x v="4"/>
    <x v="1"/>
    <n v="4"/>
    <n v="66035"/>
    <n v="0"/>
    <n v="66035"/>
    <n v="10.99996668443497"/>
    <n v="5000"/>
    <n v="100"/>
    <x v="3493"/>
    <x v="1"/>
    <x v="1"/>
    <x v="1"/>
  </r>
  <r>
    <x v="279"/>
    <s v="ZTAN"/>
    <x v="4"/>
    <s v="UA7248"/>
    <s v="99626232"/>
    <s v="SAN BERNARDO"/>
    <x v="372"/>
    <x v="1"/>
    <x v="1"/>
    <x v="4"/>
    <x v="1"/>
    <n v="4"/>
    <n v="57781"/>
    <n v="0"/>
    <n v="57781"/>
    <n v="11.000038074931469"/>
    <n v="5000"/>
    <n v="100"/>
    <x v="3494"/>
    <x v="1"/>
    <x v="1"/>
    <x v="1"/>
  </r>
  <r>
    <x v="279"/>
    <s v="ZTAN"/>
    <x v="10"/>
    <s v="RH1133"/>
    <s v="65941082"/>
    <s v="QUILICURA"/>
    <x v="2746"/>
    <x v="0"/>
    <x v="0"/>
    <x v="8"/>
    <x v="1"/>
    <n v="1"/>
    <n v="142727"/>
    <n v="0"/>
    <n v="142727"/>
    <n v="10.999984585979416"/>
    <n v="5000"/>
    <n v="100"/>
    <x v="3495"/>
    <x v="1"/>
    <x v="1"/>
    <x v="1"/>
  </r>
  <r>
    <x v="279"/>
    <s v="ZTAN"/>
    <x v="7"/>
    <s v="HLBX77"/>
    <s v="16093509K"/>
    <s v="RENCA"/>
    <x v="2555"/>
    <x v="1"/>
    <x v="1"/>
    <x v="7"/>
    <x v="1"/>
    <n v="1"/>
    <n v="143000"/>
    <n v="0"/>
    <n v="143000"/>
    <n v="11"/>
    <n v="5000"/>
    <n v="100"/>
    <x v="3496"/>
    <x v="1"/>
    <x v="1"/>
    <x v="1"/>
  </r>
  <r>
    <x v="279"/>
    <s v="ZTAN"/>
    <x v="7"/>
    <s v="PN4466"/>
    <s v="81417709"/>
    <s v="RENCA"/>
    <x v="419"/>
    <x v="1"/>
    <x v="0"/>
    <x v="7"/>
    <x v="1"/>
    <n v="1"/>
    <n v="90684"/>
    <n v="0"/>
    <n v="90684"/>
    <n v="10.999999999999995"/>
    <n v="5000"/>
    <n v="100"/>
    <x v="3497"/>
    <x v="1"/>
    <x v="1"/>
    <x v="1"/>
  </r>
  <r>
    <x v="279"/>
    <s v="ZTAN"/>
    <x v="8"/>
    <s v="DJLF85"/>
    <s v="125108660"/>
    <s v="LAS CONDES"/>
    <x v="2747"/>
    <x v="4"/>
    <x v="1"/>
    <x v="3"/>
    <x v="1"/>
    <n v="4"/>
    <n v="55000"/>
    <n v="0"/>
    <n v="55000"/>
    <n v="11.931362127687269"/>
    <n v="5000"/>
    <n v="92"/>
    <x v="3498"/>
    <x v="1"/>
    <x v="1"/>
    <x v="1"/>
  </r>
  <r>
    <x v="279"/>
    <s v="ZTAN"/>
    <x v="8"/>
    <s v="RK5135"/>
    <s v="138841065"/>
    <s v="SAN MIGUEL"/>
    <x v="2748"/>
    <x v="3"/>
    <x v="1"/>
    <x v="23"/>
    <x v="1"/>
    <n v="2"/>
    <n v="55000"/>
    <n v="0"/>
    <n v="55000"/>
    <n v="13.547799098455551"/>
    <n v="5000"/>
    <n v="81"/>
    <x v="3499"/>
    <x v="1"/>
    <x v="1"/>
    <x v="1"/>
  </r>
  <r>
    <x v="279"/>
    <s v="ZTAN"/>
    <x v="8"/>
    <s v="TP3884"/>
    <s v="154837728"/>
    <s v="PUDAHUEL"/>
    <x v="2749"/>
    <x v="1"/>
    <x v="1"/>
    <x v="10"/>
    <x v="1"/>
    <n v="1"/>
    <n v="94684"/>
    <n v="0"/>
    <n v="94684"/>
    <n v="11.000046470560902"/>
    <n v="5000"/>
    <n v="100"/>
    <x v="3500"/>
    <x v="1"/>
    <x v="1"/>
    <x v="1"/>
  </r>
  <r>
    <x v="279"/>
    <s v="ZTAN"/>
    <x v="8"/>
    <s v="UA7248"/>
    <s v="99626232"/>
    <s v="LA FLORIDA"/>
    <x v="2750"/>
    <x v="1"/>
    <x v="1"/>
    <x v="33"/>
    <x v="1"/>
    <n v="3"/>
    <n v="55000"/>
    <n v="0"/>
    <n v="55000"/>
    <n v="12.728829641972737"/>
    <n v="5000"/>
    <n v="86"/>
    <x v="3501"/>
    <x v="1"/>
    <x v="1"/>
    <x v="1"/>
  </r>
  <r>
    <x v="279"/>
    <s v="ZTAN"/>
    <x v="83"/>
    <s v="DJLF85"/>
    <s v="125108660"/>
    <s v="SANTIAGO"/>
    <x v="1380"/>
    <x v="4"/>
    <x v="1"/>
    <x v="20"/>
    <x v="1"/>
    <n v="1"/>
    <n v="113883"/>
    <n v="0"/>
    <n v="113883"/>
    <n v="11"/>
    <n v="5000"/>
    <n v="100"/>
    <x v="3502"/>
    <x v="1"/>
    <x v="1"/>
    <x v="1"/>
  </r>
  <r>
    <x v="280"/>
    <s v="ZPEP"/>
    <x v="2"/>
    <s v="RK5135"/>
    <n v="138841065"/>
    <s v="MAIPU"/>
    <x v="2751"/>
    <x v="3"/>
    <x v="1"/>
    <x v="2"/>
    <x v="1"/>
    <n v="2"/>
    <n v="92274"/>
    <n v="0"/>
    <n v="92274"/>
    <n v="11.00003337895123"/>
    <n v="5000"/>
    <n v="100"/>
    <x v="3503"/>
    <x v="1"/>
    <x v="1"/>
    <x v="1"/>
  </r>
  <r>
    <x v="280"/>
    <s v="ZPEP"/>
    <x v="12"/>
    <s v="RK5135"/>
    <n v="138841065"/>
    <s v="VITACURA"/>
    <x v="2752"/>
    <x v="3"/>
    <x v="1"/>
    <x v="27"/>
    <x v="1"/>
    <n v="4"/>
    <n v="202814"/>
    <n v="0"/>
    <n v="202814"/>
    <n v="11.000021694797589"/>
    <n v="5000"/>
    <n v="100"/>
    <x v="3504"/>
    <x v="1"/>
    <x v="1"/>
    <x v="1"/>
  </r>
  <r>
    <x v="280"/>
    <s v="ZTAN"/>
    <x v="4"/>
    <s v="TP3884"/>
    <n v="154837728"/>
    <s v="SAN BERNARDO"/>
    <x v="385"/>
    <x v="1"/>
    <x v="1"/>
    <x v="4"/>
    <x v="1"/>
    <n v="4"/>
    <n v="82544"/>
    <n v="0"/>
    <n v="82544"/>
    <n v="11.000000000000004"/>
    <n v="5000"/>
    <n v="100"/>
    <x v="3505"/>
    <x v="1"/>
    <x v="1"/>
    <x v="1"/>
  </r>
  <r>
    <x v="280"/>
    <s v="ZTAN"/>
    <x v="47"/>
    <s v="DJLF85"/>
    <n v="125108660"/>
    <s v="SAN JOAQUIN"/>
    <x v="2753"/>
    <x v="4"/>
    <x v="1"/>
    <x v="67"/>
    <x v="1"/>
    <n v="3"/>
    <n v="55000"/>
    <n v="0"/>
    <n v="55000"/>
    <n v="13.606451932116174"/>
    <n v="5000"/>
    <n v="81"/>
    <x v="3506"/>
    <x v="1"/>
    <x v="1"/>
    <x v="1"/>
  </r>
  <r>
    <x v="280"/>
    <s v="ZTAN"/>
    <x v="10"/>
    <s v="RH1133"/>
    <n v="65941082"/>
    <s v="QUILICURA"/>
    <x v="315"/>
    <x v="0"/>
    <x v="0"/>
    <x v="8"/>
    <x v="1"/>
    <n v="1"/>
    <n v="104544"/>
    <n v="0"/>
    <n v="104544"/>
    <n v="10.999999999999989"/>
    <n v="5000"/>
    <n v="100"/>
    <x v="3507"/>
    <x v="1"/>
    <x v="1"/>
    <x v="1"/>
  </r>
  <r>
    <x v="280"/>
    <s v="ZTAN"/>
    <x v="6"/>
    <s v="DJLF85"/>
    <n v="125108660"/>
    <s v="LA REINA"/>
    <x v="2754"/>
    <x v="4"/>
    <x v="1"/>
    <x v="11"/>
    <x v="1"/>
    <n v="3"/>
    <n v="58775"/>
    <n v="0"/>
    <n v="58775"/>
    <n v="10.999921395712695"/>
    <n v="5000"/>
    <n v="100"/>
    <x v="3508"/>
    <x v="1"/>
    <x v="1"/>
    <x v="1"/>
  </r>
  <r>
    <x v="280"/>
    <s v="ZTAN"/>
    <x v="6"/>
    <s v="UA7248"/>
    <n v="99626232"/>
    <s v="MAIPU"/>
    <x v="2755"/>
    <x v="1"/>
    <x v="1"/>
    <x v="2"/>
    <x v="1"/>
    <n v="2"/>
    <n v="61305"/>
    <n v="0"/>
    <n v="61305"/>
    <n v="10.999964113974013"/>
    <n v="5000"/>
    <n v="100"/>
    <x v="3509"/>
    <x v="1"/>
    <x v="1"/>
    <x v="1"/>
  </r>
  <r>
    <x v="280"/>
    <s v="ZTAN"/>
    <x v="8"/>
    <s v="DRFV76"/>
    <n v="113693568"/>
    <s v="CONCEPCION"/>
    <x v="2756"/>
    <x v="0"/>
    <x v="0"/>
    <x v="81"/>
    <x v="0"/>
    <n v="0"/>
    <n v="380000"/>
    <n v="0"/>
    <n v="380000"/>
    <n v="23.50147193429483"/>
    <n v="20000"/>
    <n v="81"/>
    <x v="3510"/>
    <x v="1"/>
    <x v="1"/>
    <x v="0"/>
  </r>
  <r>
    <x v="280"/>
    <s v="ZTAN"/>
    <x v="8"/>
    <s v="TP3884"/>
    <n v="154837728"/>
    <s v="PUDAHUEL"/>
    <x v="2757"/>
    <x v="1"/>
    <x v="1"/>
    <x v="10"/>
    <x v="1"/>
    <n v="1"/>
    <n v="133987"/>
    <n v="0"/>
    <n v="133987"/>
    <n v="11.000032839104806"/>
    <n v="5000"/>
    <n v="100"/>
    <x v="3511"/>
    <x v="1"/>
    <x v="1"/>
    <x v="1"/>
  </r>
  <r>
    <x v="280"/>
    <s v="ZTAN"/>
    <x v="8"/>
    <s v="WC2233"/>
    <n v="125108660"/>
    <s v="REÑACA"/>
    <x v="2758"/>
    <x v="4"/>
    <x v="1"/>
    <x v="6"/>
    <x v="2"/>
    <n v="0"/>
    <n v="180000"/>
    <n v="0"/>
    <n v="180000"/>
    <n v="22.627847337456636"/>
    <n v="20000"/>
    <n v="40"/>
    <x v="3512"/>
    <x v="1"/>
    <x v="1"/>
    <x v="0"/>
  </r>
  <r>
    <x v="281"/>
    <s v="ZPEP"/>
    <x v="27"/>
    <s v="HBJY66"/>
    <n v="115613677"/>
    <s v="SAN CARLOS"/>
    <x v="2759"/>
    <x v="0"/>
    <x v="0"/>
    <x v="32"/>
    <x v="5"/>
    <n v="0"/>
    <n v="350000"/>
    <n v="0"/>
    <n v="350000"/>
    <n v="70.973472143926088"/>
    <n v="20000"/>
    <n v="25"/>
    <x v="3513"/>
    <x v="1"/>
    <x v="1"/>
    <x v="0"/>
  </r>
  <r>
    <x v="281"/>
    <s v="ZPEP"/>
    <x v="88"/>
    <s v="TW7053"/>
    <n v="172861164"/>
    <s v="VILLARRICA"/>
    <x v="2760"/>
    <x v="6"/>
    <x v="1"/>
    <x v="88"/>
    <x v="4"/>
    <n v="0"/>
    <n v="620000"/>
    <n v="0"/>
    <n v="620000"/>
    <n v="33.870527178366565"/>
    <n v="20000"/>
    <n v="92"/>
    <x v="3514"/>
    <x v="1"/>
    <x v="1"/>
    <x v="0"/>
  </r>
  <r>
    <x v="281"/>
    <s v="ZPEP"/>
    <x v="12"/>
    <s v="RK5135"/>
    <n v="131053657"/>
    <s v="VITACURA"/>
    <x v="2761"/>
    <x v="3"/>
    <x v="1"/>
    <x v="27"/>
    <x v="1"/>
    <n v="4"/>
    <n v="202814"/>
    <n v="0"/>
    <n v="202814"/>
    <n v="10.476146201367797"/>
    <n v="5000"/>
    <n v="100"/>
    <x v="3515"/>
    <x v="1"/>
    <x v="1"/>
    <x v="1"/>
  </r>
  <r>
    <x v="281"/>
    <s v="ZTAN"/>
    <x v="10"/>
    <s v="WG4022"/>
    <n v="81417709"/>
    <s v="SANTIAGO"/>
    <x v="1870"/>
    <x v="1"/>
    <x v="0"/>
    <x v="20"/>
    <x v="1"/>
    <n v="1"/>
    <n v="198106"/>
    <n v="0"/>
    <n v="198106"/>
    <n v="11.000022210376688"/>
    <n v="5000"/>
    <n v="100"/>
    <x v="3516"/>
    <x v="1"/>
    <x v="1"/>
    <x v="1"/>
  </r>
  <r>
    <x v="281"/>
    <s v="ZTAN"/>
    <x v="6"/>
    <s v="DJLF85"/>
    <n v="125108660"/>
    <s v="LA DEHESA"/>
    <x v="2762"/>
    <x v="4"/>
    <x v="1"/>
    <x v="41"/>
    <x v="1"/>
    <n v="4"/>
    <n v="55000"/>
    <n v="0"/>
    <n v="55000"/>
    <n v="13.209087852442485"/>
    <n v="5000"/>
    <n v="83"/>
    <x v="3517"/>
    <x v="1"/>
    <x v="1"/>
    <x v="1"/>
  </r>
  <r>
    <x v="281"/>
    <s v="ZTAN"/>
    <x v="6"/>
    <s v="TP3884"/>
    <n v="154837728"/>
    <s v="PEÑALOLEN"/>
    <x v="2763"/>
    <x v="1"/>
    <x v="1"/>
    <x v="34"/>
    <x v="1"/>
    <n v="4"/>
    <n v="55000"/>
    <n v="0"/>
    <n v="55000"/>
    <n v="12.787129173253978"/>
    <n v="5000"/>
    <n v="86"/>
    <x v="3518"/>
    <x v="1"/>
    <x v="1"/>
    <x v="1"/>
  </r>
  <r>
    <x v="281"/>
    <s v="ZTAN"/>
    <x v="7"/>
    <s v="TP3884"/>
    <n v="154837728"/>
    <s v="SANTIAGO"/>
    <x v="448"/>
    <x v="1"/>
    <x v="1"/>
    <x v="20"/>
    <x v="1"/>
    <n v="1"/>
    <n v="66035"/>
    <n v="0"/>
    <n v="66035"/>
    <n v="10.99996668443497"/>
    <n v="5000"/>
    <n v="100"/>
    <x v="3519"/>
    <x v="1"/>
    <x v="1"/>
    <x v="1"/>
  </r>
  <r>
    <x v="281"/>
    <s v="ZTAN"/>
    <x v="7"/>
    <s v="WC2233"/>
    <n v="125108660"/>
    <s v="SANTIAGO"/>
    <x v="2764"/>
    <x v="4"/>
    <x v="1"/>
    <x v="20"/>
    <x v="1"/>
    <n v="1"/>
    <n v="65373"/>
    <n v="0"/>
    <n v="65373"/>
    <n v="11.000000000000002"/>
    <n v="5000"/>
    <n v="100"/>
    <x v="3520"/>
    <x v="1"/>
    <x v="1"/>
    <x v="1"/>
  </r>
  <r>
    <x v="281"/>
    <s v="ZTAN"/>
    <x v="8"/>
    <s v="UA7248"/>
    <n v="78907355"/>
    <s v="CERRILLOS"/>
    <x v="2765"/>
    <x v="1"/>
    <x v="1"/>
    <x v="9"/>
    <x v="1"/>
    <n v="2"/>
    <n v="70128"/>
    <n v="0"/>
    <n v="70128"/>
    <n v="10.999952943390898"/>
    <n v="5000"/>
    <n v="100"/>
    <x v="3521"/>
    <x v="1"/>
    <x v="1"/>
    <x v="1"/>
  </r>
  <r>
    <x v="281"/>
    <s v="ZTAN"/>
    <x v="8"/>
    <s v="WG4022"/>
    <n v="78907355"/>
    <s v="PUDAHUEL"/>
    <x v="2766"/>
    <x v="1"/>
    <x v="0"/>
    <x v="10"/>
    <x v="1"/>
    <n v="1"/>
    <n v="147985"/>
    <n v="0"/>
    <n v="147985"/>
    <n v="10.999985133648499"/>
    <n v="5000"/>
    <n v="100"/>
    <x v="3522"/>
    <x v="1"/>
    <x v="1"/>
    <x v="1"/>
  </r>
  <r>
    <x v="282"/>
    <s v="ZPEP"/>
    <x v="8"/>
    <s v="KKPF51"/>
    <s v="95707734"/>
    <s v="LA SERENA"/>
    <x v="2767"/>
    <x v="8"/>
    <x v="0"/>
    <x v="63"/>
    <x v="8"/>
    <n v="0"/>
    <n v="600000"/>
    <n v="0"/>
    <n v="600000"/>
    <n v="40.595399188092017"/>
    <n v="20000"/>
    <n v="57"/>
    <x v="3523"/>
    <x v="1"/>
    <x v="1"/>
    <x v="0"/>
  </r>
  <r>
    <x v="282"/>
    <s v="ZTAN"/>
    <x v="8"/>
    <s v="CJXX49"/>
    <s v="167832741"/>
    <s v="VALDIVIA"/>
    <x v="2768"/>
    <x v="5"/>
    <x v="0"/>
    <x v="77"/>
    <x v="11"/>
    <n v="0"/>
    <n v="750000"/>
    <n v="0"/>
    <n v="750000"/>
    <n v="58.581850561604725"/>
    <n v="20000"/>
    <n v="64"/>
    <x v="3524"/>
    <x v="1"/>
    <x v="1"/>
    <x v="0"/>
  </r>
  <r>
    <x v="282"/>
    <s v="ZTAN"/>
    <x v="8"/>
    <s v="RK5135"/>
    <s v="138841065"/>
    <s v="SAN BERNARDO"/>
    <x v="2769"/>
    <x v="3"/>
    <x v="1"/>
    <x v="4"/>
    <x v="1"/>
    <n v="4"/>
    <n v="61240"/>
    <n v="0"/>
    <n v="61240"/>
    <n v="11.000064663998678"/>
    <n v="5000"/>
    <n v="100"/>
    <x v="3525"/>
    <x v="1"/>
    <x v="1"/>
    <x v="1"/>
  </r>
  <r>
    <x v="282"/>
    <s v="ZTAN"/>
    <x v="8"/>
    <s v="TP3884"/>
    <s v="99626232"/>
    <s v="ÑUÑOA"/>
    <x v="2770"/>
    <x v="1"/>
    <x v="1"/>
    <x v="15"/>
    <x v="1"/>
    <n v="4"/>
    <n v="55654"/>
    <n v="0"/>
    <n v="55654"/>
    <n v="10.999901176005535"/>
    <n v="5000"/>
    <n v="100"/>
    <x v="3526"/>
    <x v="1"/>
    <x v="1"/>
    <x v="1"/>
  </r>
  <r>
    <x v="282"/>
    <s v="ZTAN"/>
    <x v="8"/>
    <s v="UA7248"/>
    <s v="154837728"/>
    <s v="LA REINA"/>
    <x v="2771"/>
    <x v="1"/>
    <x v="1"/>
    <x v="11"/>
    <x v="1"/>
    <n v="3"/>
    <n v="55000"/>
    <n v="0"/>
    <n v="55000"/>
    <n v="13.887836780041916"/>
    <n v="5000"/>
    <n v="79"/>
    <x v="3527"/>
    <x v="1"/>
    <x v="1"/>
    <x v="1"/>
  </r>
  <r>
    <x v="283"/>
    <s v="ZTAN"/>
    <x v="8"/>
    <s v="BPKD94"/>
    <s v="125897258"/>
    <s v="OSORNO"/>
    <x v="2772"/>
    <x v="0"/>
    <x v="0"/>
    <x v="64"/>
    <x v="10"/>
    <n v="0"/>
    <n v="900000"/>
    <n v="0"/>
    <n v="900000"/>
    <n v="75.212852372213362"/>
    <n v="20000"/>
    <n v="60"/>
    <x v="3528"/>
    <x v="1"/>
    <x v="1"/>
    <x v="0"/>
  </r>
  <r>
    <x v="283"/>
    <s v="ZTAN"/>
    <x v="8"/>
    <s v="BWPL69"/>
    <s v="78551976"/>
    <s v="VILLARRICA"/>
    <x v="2773"/>
    <x v="5"/>
    <x v="0"/>
    <x v="88"/>
    <x v="4"/>
    <n v="0"/>
    <n v="620000"/>
    <n v="0"/>
    <n v="620000"/>
    <n v="41.688351333287613"/>
    <n v="20000"/>
    <n v="35"/>
    <x v="3529"/>
    <x v="1"/>
    <x v="1"/>
    <x v="0"/>
  </r>
  <r>
    <x v="283"/>
    <s v="ZTAN"/>
    <x v="8"/>
    <s v="TP3884"/>
    <s v="154837728"/>
    <s v="ÑUÑOA"/>
    <x v="2774"/>
    <x v="1"/>
    <x v="1"/>
    <x v="15"/>
    <x v="1"/>
    <n v="4"/>
    <n v="78137"/>
    <n v="0"/>
    <n v="78137"/>
    <n v="10.999943688937694"/>
    <n v="5000"/>
    <n v="100"/>
    <x v="3530"/>
    <x v="1"/>
    <x v="1"/>
    <x v="1"/>
  </r>
  <r>
    <x v="284"/>
    <s v="ZPEP"/>
    <x v="17"/>
    <s v="WG4022"/>
    <s v="81417709"/>
    <s v="LAMPA"/>
    <x v="2775"/>
    <x v="1"/>
    <x v="0"/>
    <x v="17"/>
    <x v="1"/>
    <n v="5"/>
    <n v="120000"/>
    <n v="0"/>
    <n v="120000"/>
    <n v="8.0377667868759346"/>
    <n v="10000"/>
    <n v="97"/>
    <x v="3531"/>
    <x v="1"/>
    <x v="1"/>
    <x v="1"/>
  </r>
  <r>
    <x v="284"/>
    <s v="ZPEP"/>
    <x v="89"/>
    <s v="SU9354"/>
    <s v="72564391"/>
    <s v="PADRE HURTADO"/>
    <x v="2776"/>
    <x v="2"/>
    <x v="1"/>
    <x v="26"/>
    <x v="1"/>
    <n v="5"/>
    <n v="70000"/>
    <n v="0"/>
    <n v="70000"/>
    <n v="5.9522999687079086"/>
    <n v="10000"/>
    <n v="100"/>
    <x v="3532"/>
    <x v="1"/>
    <x v="1"/>
    <x v="1"/>
  </r>
  <r>
    <x v="284"/>
    <s v="ZPEP"/>
    <x v="12"/>
    <s v="RK5135"/>
    <s v="138841065"/>
    <s v="VITACURA"/>
    <x v="2744"/>
    <x v="3"/>
    <x v="1"/>
    <x v="27"/>
    <x v="1"/>
    <n v="4"/>
    <n v="152110"/>
    <n v="0"/>
    <n v="152110"/>
    <n v="10.999985536801608"/>
    <n v="5000"/>
    <n v="100"/>
    <x v="3533"/>
    <x v="1"/>
    <x v="1"/>
    <x v="1"/>
  </r>
  <r>
    <x v="284"/>
    <s v="ZPEP"/>
    <x v="90"/>
    <s v="PKYS74"/>
    <s v="6270439K"/>
    <s v="FREIRINA"/>
    <x v="2777"/>
    <x v="0"/>
    <x v="0"/>
    <x v="94"/>
    <x v="9"/>
    <n v="0"/>
    <n v="900000"/>
    <n v="0"/>
    <n v="900000"/>
    <n v="45.622288008435049"/>
    <n v="20000"/>
    <n v="65"/>
    <x v="3534"/>
    <x v="1"/>
    <x v="1"/>
    <x v="0"/>
  </r>
  <r>
    <x v="284"/>
    <s v="ZTAN"/>
    <x v="17"/>
    <s v="WG4022"/>
    <s v="81417709"/>
    <s v="LAMPA"/>
    <x v="2666"/>
    <x v="1"/>
    <x v="0"/>
    <x v="17"/>
    <x v="1"/>
    <n v="5"/>
    <n v="120000"/>
    <n v="0"/>
    <n v="120000"/>
    <n v="15.068751177246181"/>
    <n v="10000"/>
    <n v="80"/>
    <x v="3535"/>
    <x v="1"/>
    <x v="1"/>
    <x v="1"/>
  </r>
  <r>
    <x v="284"/>
    <s v="ZTAN"/>
    <x v="10"/>
    <s v="RH1133"/>
    <s v="65941082"/>
    <s v="SANTIAGO"/>
    <x v="2778"/>
    <x v="0"/>
    <x v="0"/>
    <x v="20"/>
    <x v="1"/>
    <n v="1"/>
    <n v="302080"/>
    <n v="0"/>
    <n v="302080"/>
    <n v="11.000007282843828"/>
    <n v="5000"/>
    <n v="100"/>
    <x v="3536"/>
    <x v="1"/>
    <x v="1"/>
    <x v="1"/>
  </r>
  <r>
    <x v="284"/>
    <s v="ZTAN"/>
    <x v="43"/>
    <s v="WG4022"/>
    <s v="78907355"/>
    <s v="MELIPILLA"/>
    <x v="2779"/>
    <x v="1"/>
    <x v="0"/>
    <x v="29"/>
    <x v="1"/>
    <n v="5"/>
    <n v="120000"/>
    <n v="0"/>
    <n v="120000"/>
    <n v="22.386389075442132"/>
    <n v="10000"/>
    <n v="54"/>
    <x v="3537"/>
    <x v="1"/>
    <x v="1"/>
    <x v="1"/>
  </r>
  <r>
    <x v="284"/>
    <s v="ZTAN"/>
    <x v="7"/>
    <s v="DJLF85"/>
    <s v="53173292"/>
    <s v="RENCA"/>
    <x v="2555"/>
    <x v="4"/>
    <x v="1"/>
    <x v="7"/>
    <x v="1"/>
    <n v="1"/>
    <n v="143000"/>
    <n v="0"/>
    <n v="143000"/>
    <n v="11"/>
    <n v="5000"/>
    <n v="100"/>
    <x v="3538"/>
    <x v="1"/>
    <x v="1"/>
    <x v="1"/>
  </r>
  <r>
    <x v="284"/>
    <s v="ZTAN"/>
    <x v="7"/>
    <s v="WG4022"/>
    <s v="81417709"/>
    <s v="RENCA"/>
    <x v="315"/>
    <x v="1"/>
    <x v="0"/>
    <x v="7"/>
    <x v="1"/>
    <n v="1"/>
    <n v="104544"/>
    <n v="0"/>
    <n v="104544"/>
    <n v="10.999999999999989"/>
    <n v="5000"/>
    <n v="100"/>
    <x v="3539"/>
    <x v="1"/>
    <x v="1"/>
    <x v="1"/>
  </r>
  <r>
    <x v="284"/>
    <s v="ZTAN"/>
    <x v="8"/>
    <s v="TP3884"/>
    <s v="154837728"/>
    <s v="PUDAHUEL"/>
    <x v="2780"/>
    <x v="1"/>
    <x v="1"/>
    <x v="10"/>
    <x v="1"/>
    <n v="1"/>
    <n v="101982"/>
    <n v="0"/>
    <n v="101982"/>
    <n v="10.999989213793395"/>
    <n v="5000"/>
    <n v="100"/>
    <x v="3540"/>
    <x v="1"/>
    <x v="1"/>
    <x v="1"/>
  </r>
  <r>
    <x v="285"/>
    <s v="ZPEP"/>
    <x v="12"/>
    <s v="RK5135"/>
    <s v="138841065"/>
    <s v="VITACURA"/>
    <x v="2781"/>
    <x v="3"/>
    <x v="1"/>
    <x v="27"/>
    <x v="1"/>
    <n v="4"/>
    <n v="172401"/>
    <n v="0"/>
    <n v="172401"/>
    <n v="11.000012760961667"/>
    <n v="5000"/>
    <n v="100"/>
    <x v="3541"/>
    <x v="1"/>
    <x v="1"/>
    <x v="1"/>
  </r>
  <r>
    <x v="285"/>
    <s v="ZTAN"/>
    <x v="12"/>
    <s v="WC2233"/>
    <s v="125108660"/>
    <s v="VITACURA"/>
    <x v="2782"/>
    <x v="4"/>
    <x v="1"/>
    <x v="27"/>
    <x v="1"/>
    <n v="4"/>
    <n v="187530"/>
    <n v="0"/>
    <n v="187530"/>
    <n v="10.99998826855621"/>
    <n v="5000"/>
    <n v="100"/>
    <x v="3542"/>
    <x v="1"/>
    <x v="1"/>
    <x v="1"/>
  </r>
  <r>
    <x v="285"/>
    <s v="ZTAN"/>
    <x v="9"/>
    <s v="HLBX77"/>
    <s v="16093509K"/>
    <s v="SAN BERNARDO"/>
    <x v="1067"/>
    <x v="1"/>
    <x v="1"/>
    <x v="4"/>
    <x v="1"/>
    <n v="4"/>
    <n v="93522"/>
    <n v="0"/>
    <n v="93522"/>
    <n v="11"/>
    <n v="5000"/>
    <n v="100"/>
    <x v="3543"/>
    <x v="1"/>
    <x v="1"/>
    <x v="1"/>
  </r>
  <r>
    <x v="285"/>
    <s v="ZTAN"/>
    <x v="9"/>
    <s v="PN4466"/>
    <s v="81417709"/>
    <s v="SAN BERNARDO"/>
    <x v="2783"/>
    <x v="1"/>
    <x v="0"/>
    <x v="4"/>
    <x v="1"/>
    <n v="4"/>
    <n v="220005"/>
    <n v="0"/>
    <n v="220005"/>
    <n v="9.6272037590750745"/>
    <n v="5000"/>
    <n v="100"/>
    <x v="3544"/>
    <x v="1"/>
    <x v="1"/>
    <x v="1"/>
  </r>
  <r>
    <x v="285"/>
    <s v="ZTAN"/>
    <x v="7"/>
    <s v="PN4466"/>
    <s v="81417709"/>
    <s v="RENCA"/>
    <x v="1870"/>
    <x v="1"/>
    <x v="0"/>
    <x v="7"/>
    <x v="1"/>
    <n v="1"/>
    <n v="198106"/>
    <n v="0"/>
    <n v="198106"/>
    <n v="11.000022210376688"/>
    <n v="5000"/>
    <n v="100"/>
    <x v="3545"/>
    <x v="1"/>
    <x v="1"/>
    <x v="1"/>
  </r>
  <r>
    <x v="285"/>
    <s v="ZTAN"/>
    <x v="7"/>
    <s v="SU9354"/>
    <s v="72564391"/>
    <s v="MELIPILLA"/>
    <x v="234"/>
    <x v="2"/>
    <x v="1"/>
    <x v="29"/>
    <x v="1"/>
    <n v="5"/>
    <n v="90000"/>
    <n v="0"/>
    <n v="90000"/>
    <n v="9.9946695095948854"/>
    <n v="10000"/>
    <n v="90"/>
    <x v="3546"/>
    <x v="1"/>
    <x v="1"/>
    <x v="1"/>
  </r>
  <r>
    <x v="285"/>
    <s v="ZTAN"/>
    <x v="7"/>
    <s v="SU9354"/>
    <s v="72564391"/>
    <s v="RENCA"/>
    <x v="2784"/>
    <x v="2"/>
    <x v="1"/>
    <x v="7"/>
    <x v="1"/>
    <n v="1"/>
    <n v="102176"/>
    <n v="0"/>
    <n v="102176"/>
    <n v="11.000008612596785"/>
    <n v="5000"/>
    <n v="100"/>
    <x v="3547"/>
    <x v="1"/>
    <x v="1"/>
    <x v="1"/>
  </r>
  <r>
    <x v="285"/>
    <s v="ZTAN"/>
    <x v="7"/>
    <s v="WC2233"/>
    <s v="125108660"/>
    <s v="RENCA"/>
    <x v="2785"/>
    <x v="4"/>
    <x v="1"/>
    <x v="7"/>
    <x v="1"/>
    <n v="1"/>
    <n v="97387"/>
    <n v="0"/>
    <n v="97387"/>
    <n v="11.000016942739189"/>
    <n v="5000"/>
    <n v="100"/>
    <x v="3548"/>
    <x v="1"/>
    <x v="1"/>
    <x v="1"/>
  </r>
  <r>
    <x v="285"/>
    <s v="ZTAN"/>
    <x v="8"/>
    <s v="BYZH29"/>
    <s v="122975819"/>
    <s v="TALCA"/>
    <x v="2786"/>
    <x v="0"/>
    <x v="0"/>
    <x v="12"/>
    <x v="3"/>
    <n v="0"/>
    <n v="320000"/>
    <n v="0"/>
    <n v="320000"/>
    <n v="40.09422142033776"/>
    <n v="20000"/>
    <n v="40"/>
    <x v="3549"/>
    <x v="1"/>
    <x v="1"/>
    <x v="0"/>
  </r>
  <r>
    <x v="285"/>
    <s v="ZTAN"/>
    <x v="8"/>
    <s v="DJLF85"/>
    <s v="53173292"/>
    <s v="LAS CONDES"/>
    <x v="2787"/>
    <x v="4"/>
    <x v="1"/>
    <x v="3"/>
    <x v="1"/>
    <n v="4"/>
    <n v="55000"/>
    <n v="0"/>
    <n v="55000"/>
    <n v="15.267599378192315"/>
    <n v="5000"/>
    <n v="72"/>
    <x v="3550"/>
    <x v="1"/>
    <x v="1"/>
    <x v="1"/>
  </r>
  <r>
    <x v="285"/>
    <s v="ZTAN"/>
    <x v="8"/>
    <s v="HLBX77"/>
    <s v="16093509K"/>
    <s v="PUDAHUEL"/>
    <x v="1508"/>
    <x v="1"/>
    <x v="1"/>
    <x v="10"/>
    <x v="1"/>
    <n v="1"/>
    <n v="55000"/>
    <n v="0"/>
    <n v="55000"/>
    <n v="18.961594152933877"/>
    <n v="5000"/>
    <n v="58"/>
    <x v="3551"/>
    <x v="1"/>
    <x v="1"/>
    <x v="1"/>
  </r>
  <r>
    <x v="285"/>
    <s v="ZTAN"/>
    <x v="8"/>
    <s v="SU9354"/>
    <s v="72564391"/>
    <s v="ÑUÑOA"/>
    <x v="2788"/>
    <x v="2"/>
    <x v="1"/>
    <x v="15"/>
    <x v="1"/>
    <n v="4"/>
    <n v="55308"/>
    <n v="0"/>
    <n v="55308"/>
    <n v="11"/>
    <n v="5000"/>
    <n v="100"/>
    <x v="3552"/>
    <x v="1"/>
    <x v="1"/>
    <x v="1"/>
  </r>
  <r>
    <x v="285"/>
    <s v="ZTAN"/>
    <x v="8"/>
    <s v="TP3884"/>
    <s v="154837728"/>
    <s v="QUILIN"/>
    <x v="2789"/>
    <x v="1"/>
    <x v="1"/>
    <x v="34"/>
    <x v="1"/>
    <n v="4"/>
    <n v="79898"/>
    <n v="0"/>
    <n v="79898"/>
    <n v="10.99993116266263"/>
    <n v="5000"/>
    <n v="100"/>
    <x v="3553"/>
    <x v="1"/>
    <x v="1"/>
    <x v="1"/>
  </r>
  <r>
    <x v="286"/>
    <s v="ZPEP"/>
    <x v="88"/>
    <s v="HDDV11"/>
    <s v="161376469"/>
    <s v="PUERTO MONTT"/>
    <x v="2790"/>
    <x v="0"/>
    <x v="0"/>
    <x v="53"/>
    <x v="10"/>
    <n v="0"/>
    <n v="1020000"/>
    <n v="0"/>
    <n v="1020000"/>
    <n v="53.61828825191764"/>
    <n v="20000"/>
    <n v="95"/>
    <x v="3554"/>
    <x v="1"/>
    <x v="1"/>
    <x v="0"/>
  </r>
  <r>
    <x v="286"/>
    <s v="ZPEP"/>
    <x v="88"/>
    <s v="HDDV12"/>
    <s v="95605095"/>
    <s v="VILLARRICA"/>
    <x v="2791"/>
    <x v="5"/>
    <x v="0"/>
    <x v="88"/>
    <x v="4"/>
    <n v="0"/>
    <n v="620000"/>
    <n v="0"/>
    <n v="620000"/>
    <n v="22.051297007496732"/>
    <n v="20000"/>
    <n v="100"/>
    <x v="3555"/>
    <x v="1"/>
    <x v="1"/>
    <x v="0"/>
  </r>
  <r>
    <x v="286"/>
    <s v="ZPEP"/>
    <x v="88"/>
    <s v="TW7253"/>
    <s v="172861164"/>
    <s v="VILLARRICA"/>
    <x v="2792"/>
    <x v="0"/>
    <x v="0"/>
    <x v="88"/>
    <x v="4"/>
    <n v="0"/>
    <n v="620000"/>
    <n v="0"/>
    <n v="620000"/>
    <n v="23.231293001310696"/>
    <n v="20000"/>
    <n v="100"/>
    <x v="3556"/>
    <x v="1"/>
    <x v="1"/>
    <x v="0"/>
  </r>
  <r>
    <x v="286"/>
    <s v="ZPEP"/>
    <x v="2"/>
    <s v="SU9354"/>
    <s v="72564391"/>
    <s v="MAIPU"/>
    <x v="2793"/>
    <x v="2"/>
    <x v="1"/>
    <x v="2"/>
    <x v="1"/>
    <n v="2"/>
    <n v="142057"/>
    <n v="0"/>
    <n v="142057"/>
    <n v="11.00003639396232"/>
    <n v="5000"/>
    <n v="100"/>
    <x v="3557"/>
    <x v="1"/>
    <x v="1"/>
    <x v="1"/>
  </r>
  <r>
    <x v="286"/>
    <s v="ZPEP"/>
    <x v="12"/>
    <s v="RK5135"/>
    <s v="138441065"/>
    <s v="VITACURA"/>
    <x v="2781"/>
    <x v="3"/>
    <x v="1"/>
    <x v="27"/>
    <x v="1"/>
    <n v="4"/>
    <n v="172401"/>
    <n v="0"/>
    <n v="172401"/>
    <n v="11.000012760961667"/>
    <n v="5000"/>
    <n v="100"/>
    <x v="3558"/>
    <x v="1"/>
    <x v="1"/>
    <x v="1"/>
  </r>
  <r>
    <x v="286"/>
    <s v="ZTAN"/>
    <x v="17"/>
    <s v="HLBX77"/>
    <s v="16093509K"/>
    <s v="LAMPA"/>
    <x v="2794"/>
    <x v="1"/>
    <x v="1"/>
    <x v="17"/>
    <x v="1"/>
    <n v="5"/>
    <n v="70000"/>
    <n v="0"/>
    <n v="70000"/>
    <n v="8.4602368866328259"/>
    <n v="10000"/>
    <n v="83"/>
    <x v="3559"/>
    <x v="1"/>
    <x v="1"/>
    <x v="1"/>
  </r>
  <r>
    <x v="286"/>
    <s v="ZTAN"/>
    <x v="41"/>
    <s v="DJLF85"/>
    <s v="125108660"/>
    <s v="PEDRO AGUIRRE CERDA"/>
    <x v="2795"/>
    <x v="4"/>
    <x v="1"/>
    <x v="83"/>
    <x v="1"/>
    <n v="3"/>
    <n v="122916"/>
    <n v="0"/>
    <n v="122916"/>
    <n v="10.999982101626962"/>
    <n v="5000"/>
    <n v="100"/>
    <x v="3560"/>
    <x v="1"/>
    <x v="1"/>
    <x v="1"/>
  </r>
  <r>
    <x v="286"/>
    <s v="ZTAN"/>
    <x v="41"/>
    <s v="RH1133"/>
    <s v="5941082"/>
    <s v="LAMPA"/>
    <x v="188"/>
    <x v="0"/>
    <x v="0"/>
    <x v="17"/>
    <x v="1"/>
    <n v="5"/>
    <n v="120000"/>
    <n v="0"/>
    <n v="120000"/>
    <n v="40.404040404040401"/>
    <n v="10000"/>
    <n v="30"/>
    <x v="3561"/>
    <x v="1"/>
    <x v="1"/>
    <x v="1"/>
  </r>
  <r>
    <x v="286"/>
    <s v="ZTAN"/>
    <x v="41"/>
    <s v="RH1133"/>
    <s v="65941082"/>
    <s v="PEDRO AGUIRRE CERDA"/>
    <x v="2796"/>
    <x v="0"/>
    <x v="0"/>
    <x v="83"/>
    <x v="1"/>
    <n v="3"/>
    <n v="63921"/>
    <n v="0"/>
    <n v="63921"/>
    <n v="11"/>
    <n v="5000"/>
    <n v="100"/>
    <x v="3562"/>
    <x v="1"/>
    <x v="1"/>
    <x v="1"/>
  </r>
  <r>
    <x v="286"/>
    <s v="ZTAN"/>
    <x v="8"/>
    <s v="LW2855"/>
    <s v="125088058"/>
    <s v="VIÑA DEL MAR"/>
    <x v="2797"/>
    <x v="0"/>
    <x v="0"/>
    <x v="6"/>
    <x v="2"/>
    <n v="0"/>
    <n v="230000"/>
    <n v="0"/>
    <n v="230000"/>
    <n v="23.922549186841334"/>
    <n v="20000"/>
    <n v="48"/>
    <x v="3563"/>
    <x v="1"/>
    <x v="1"/>
    <x v="0"/>
  </r>
  <r>
    <x v="286"/>
    <s v="ZTAN"/>
    <x v="8"/>
    <s v="TP3884"/>
    <s v="154837728"/>
    <s v="PUDAHUEL"/>
    <x v="2798"/>
    <x v="1"/>
    <x v="1"/>
    <x v="10"/>
    <x v="1"/>
    <n v="1"/>
    <n v="94070"/>
    <n v="0"/>
    <n v="94070"/>
    <n v="11.000023386889309"/>
    <n v="5000"/>
    <n v="100"/>
    <x v="3564"/>
    <x v="1"/>
    <x v="1"/>
    <x v="1"/>
  </r>
  <r>
    <x v="287"/>
    <s v="ZPEP"/>
    <x v="88"/>
    <s v="BPKD94"/>
    <s v="125897258"/>
    <s v="PUERTO MONTT"/>
    <x v="2799"/>
    <x v="0"/>
    <x v="0"/>
    <x v="53"/>
    <x v="10"/>
    <n v="0"/>
    <n v="1020000"/>
    <n v="0"/>
    <n v="1020000"/>
    <n v="41.056719455410807"/>
    <n v="20000"/>
    <n v="100"/>
    <x v="3565"/>
    <x v="1"/>
    <x v="1"/>
    <x v="0"/>
  </r>
  <r>
    <x v="287"/>
    <s v="ZPEP"/>
    <x v="11"/>
    <s v="CJFZ67"/>
    <s v="188951333"/>
    <s v="TALCA"/>
    <x v="2800"/>
    <x v="5"/>
    <x v="0"/>
    <x v="12"/>
    <x v="3"/>
    <n v="0"/>
    <n v="320000"/>
    <n v="0"/>
    <n v="320000"/>
    <n v="13.571196831125535"/>
    <n v="20000"/>
    <n v="100"/>
    <x v="3566"/>
    <x v="1"/>
    <x v="1"/>
    <x v="0"/>
  </r>
  <r>
    <x v="287"/>
    <s v="ZPEP"/>
    <x v="2"/>
    <s v="BYZH29"/>
    <s v="122975819"/>
    <s v="TALCA"/>
    <x v="2801"/>
    <x v="0"/>
    <x v="0"/>
    <x v="12"/>
    <x v="3"/>
    <n v="0"/>
    <n v="320000"/>
    <n v="0"/>
    <n v="320000"/>
    <n v="13.45054926578916"/>
    <n v="20000"/>
    <n v="100"/>
    <x v="3567"/>
    <x v="1"/>
    <x v="1"/>
    <x v="0"/>
  </r>
  <r>
    <x v="287"/>
    <s v="ZPEP"/>
    <x v="2"/>
    <s v="HLBX77"/>
    <s v="16083509K"/>
    <s v="PROVIDENCIA"/>
    <x v="2802"/>
    <x v="1"/>
    <x v="1"/>
    <x v="54"/>
    <x v="1"/>
    <n v="2"/>
    <n v="76516"/>
    <n v="0"/>
    <n v="76516"/>
    <n v="10.999999999999998"/>
    <n v="5000"/>
    <n v="100"/>
    <x v="3568"/>
    <x v="1"/>
    <x v="1"/>
    <x v="1"/>
  </r>
  <r>
    <x v="287"/>
    <s v="ZPEP"/>
    <x v="12"/>
    <s v="RK5135"/>
    <s v="138441065"/>
    <s v="VITACURA"/>
    <x v="2781"/>
    <x v="3"/>
    <x v="1"/>
    <x v="27"/>
    <x v="1"/>
    <n v="4"/>
    <n v="172401"/>
    <n v="0"/>
    <n v="172401"/>
    <n v="11.000012760961667"/>
    <n v="5000"/>
    <n v="100"/>
    <x v="3569"/>
    <x v="1"/>
    <x v="1"/>
    <x v="1"/>
  </r>
  <r>
    <x v="287"/>
    <s v="ZTAN"/>
    <x v="12"/>
    <s v="SU9354"/>
    <s v="72564391"/>
    <s v="VITACURA"/>
    <x v="2782"/>
    <x v="2"/>
    <x v="1"/>
    <x v="27"/>
    <x v="1"/>
    <n v="4"/>
    <n v="187530"/>
    <n v="0"/>
    <n v="187530"/>
    <n v="10.99998826855621"/>
    <n v="5000"/>
    <n v="100"/>
    <x v="3570"/>
    <x v="1"/>
    <x v="1"/>
    <x v="1"/>
  </r>
  <r>
    <x v="287"/>
    <s v="ZTAN"/>
    <x v="7"/>
    <s v="DJLF85"/>
    <s v="125108660"/>
    <s v="RENCA"/>
    <x v="1219"/>
    <x v="4"/>
    <x v="1"/>
    <x v="7"/>
    <x v="1"/>
    <n v="1"/>
    <n v="55000"/>
    <n v="0"/>
    <n v="55000"/>
    <n v="20.014556040756915"/>
    <n v="5000"/>
    <n v="55"/>
    <x v="3571"/>
    <x v="1"/>
    <x v="1"/>
    <x v="1"/>
  </r>
  <r>
    <x v="287"/>
    <s v="ZTAN"/>
    <x v="7"/>
    <s v="RH1133"/>
    <s v="65941082"/>
    <s v="MELIPILLA"/>
    <x v="2803"/>
    <x v="0"/>
    <x v="0"/>
    <x v="29"/>
    <x v="1"/>
    <n v="5"/>
    <n v="120000"/>
    <n v="0"/>
    <n v="120000"/>
    <n v="9.7541943035505341"/>
    <n v="10000"/>
    <n v="100"/>
    <x v="3572"/>
    <x v="1"/>
    <x v="1"/>
    <x v="1"/>
  </r>
  <r>
    <x v="287"/>
    <s v="ZTAN"/>
    <x v="7"/>
    <s v="WG4022"/>
    <s v="81417709"/>
    <s v="MELIPILLA"/>
    <x v="2803"/>
    <x v="1"/>
    <x v="0"/>
    <x v="29"/>
    <x v="1"/>
    <n v="5"/>
    <n v="120000"/>
    <n v="0"/>
    <n v="120000"/>
    <n v="9.7541943035505341"/>
    <n v="10000"/>
    <n v="100"/>
    <x v="3573"/>
    <x v="1"/>
    <x v="1"/>
    <x v="1"/>
  </r>
  <r>
    <x v="287"/>
    <s v="ZTAN"/>
    <x v="7"/>
    <s v="WG4022"/>
    <s v="81417709"/>
    <s v="RENCA"/>
    <x v="2804"/>
    <x v="1"/>
    <x v="0"/>
    <x v="7"/>
    <x v="1"/>
    <n v="1"/>
    <n v="213327"/>
    <n v="0"/>
    <n v="213327"/>
    <n v="10.999979374426346"/>
    <n v="5000"/>
    <n v="100"/>
    <x v="3574"/>
    <x v="1"/>
    <x v="1"/>
    <x v="1"/>
  </r>
  <r>
    <x v="287"/>
    <s v="ZTAN"/>
    <x v="8"/>
    <s v="SU9354"/>
    <s v="72564391"/>
    <s v="REÑACA"/>
    <x v="2805"/>
    <x v="2"/>
    <x v="1"/>
    <x v="6"/>
    <x v="2"/>
    <n v="0"/>
    <n v="180000"/>
    <n v="0"/>
    <n v="180000"/>
    <n v="21.972119821293429"/>
    <n v="20000"/>
    <n v="41"/>
    <x v="3575"/>
    <x v="1"/>
    <x v="1"/>
    <x v="0"/>
  </r>
  <r>
    <x v="287"/>
    <s v="ZTAN"/>
    <x v="8"/>
    <s v="TP3884"/>
    <s v="154837728"/>
    <s v="PUDAHUEL"/>
    <x v="2806"/>
    <x v="1"/>
    <x v="1"/>
    <x v="10"/>
    <x v="1"/>
    <n v="1"/>
    <n v="56993"/>
    <n v="0"/>
    <n v="56993"/>
    <n v="10.999961398903729"/>
    <n v="5000"/>
    <n v="100"/>
    <x v="3576"/>
    <x v="1"/>
    <x v="1"/>
    <x v="1"/>
  </r>
  <r>
    <x v="288"/>
    <s v="ZPEP"/>
    <x v="32"/>
    <s v="WG4022"/>
    <s v="81417709"/>
    <s v="LAMPA"/>
    <x v="2807"/>
    <x v="1"/>
    <x v="0"/>
    <x v="17"/>
    <x v="1"/>
    <n v="5"/>
    <n v="120000"/>
    <n v="0"/>
    <n v="120000"/>
    <n v="5.8666395497549733"/>
    <n v="10000"/>
    <n v="100"/>
    <x v="3577"/>
    <x v="1"/>
    <x v="1"/>
    <x v="1"/>
  </r>
  <r>
    <x v="288"/>
    <s v="ZPEP"/>
    <x v="88"/>
    <s v="CKYB66"/>
    <s v="115812335"/>
    <s v="PUERTO MONTT"/>
    <x v="2808"/>
    <x v="0"/>
    <x v="0"/>
    <x v="53"/>
    <x v="10"/>
    <n v="0"/>
    <n v="1020000"/>
    <n v="0"/>
    <n v="1020000"/>
    <n v="67.628404460292145"/>
    <n v="20000"/>
    <n v="75"/>
    <x v="3578"/>
    <x v="1"/>
    <x v="1"/>
    <x v="0"/>
  </r>
  <r>
    <x v="288"/>
    <s v="ZPEP"/>
    <x v="88"/>
    <s v="PU7975"/>
    <s v="119825261"/>
    <s v="VILLARRICA"/>
    <x v="2809"/>
    <x v="0"/>
    <x v="0"/>
    <x v="88"/>
    <x v="4"/>
    <n v="0"/>
    <n v="620000"/>
    <n v="0"/>
    <n v="620000"/>
    <n v="44.296851779876086"/>
    <n v="20000"/>
    <n v="70"/>
    <x v="3579"/>
    <x v="1"/>
    <x v="1"/>
    <x v="0"/>
  </r>
  <r>
    <x v="288"/>
    <s v="ZPEP"/>
    <x v="2"/>
    <s v="HLBX77"/>
    <s v="16093509K"/>
    <s v="PROVIDENCIA"/>
    <x v="2810"/>
    <x v="1"/>
    <x v="1"/>
    <x v="54"/>
    <x v="1"/>
    <n v="2"/>
    <n v="111354"/>
    <n v="0"/>
    <n v="111354"/>
    <n v="11.000044453005765"/>
    <n v="5000"/>
    <n v="100"/>
    <x v="3580"/>
    <x v="1"/>
    <x v="1"/>
    <x v="1"/>
  </r>
  <r>
    <x v="288"/>
    <s v="ZPEP"/>
    <x v="12"/>
    <s v="RK5135"/>
    <s v="138841065"/>
    <s v="VITACURA"/>
    <x v="2781"/>
    <x v="3"/>
    <x v="1"/>
    <x v="27"/>
    <x v="1"/>
    <n v="4"/>
    <n v="172401"/>
    <n v="0"/>
    <n v="172401"/>
    <n v="11.000012760961667"/>
    <n v="5000"/>
    <n v="100"/>
    <x v="3581"/>
    <x v="1"/>
    <x v="1"/>
    <x v="1"/>
  </r>
  <r>
    <x v="288"/>
    <s v="ZPEP"/>
    <x v="91"/>
    <s v="WC2233"/>
    <s v="125108660"/>
    <s v="GRANEROS"/>
    <x v="2811"/>
    <x v="4"/>
    <x v="1"/>
    <x v="46"/>
    <x v="6"/>
    <n v="0"/>
    <n v="230000"/>
    <n v="0"/>
    <n v="230000"/>
    <n v="21.494483394109764"/>
    <n v="20000"/>
    <n v="54"/>
    <x v="3582"/>
    <x v="1"/>
    <x v="1"/>
    <x v="0"/>
  </r>
  <r>
    <x v="288"/>
    <s v="ZTAN"/>
    <x v="4"/>
    <s v="SV2718"/>
    <s v="99626232"/>
    <s v="SAN BERNARDO"/>
    <x v="1000"/>
    <x v="1"/>
    <x v="1"/>
    <x v="4"/>
    <x v="1"/>
    <n v="4"/>
    <n v="74290"/>
    <n v="0"/>
    <n v="74290"/>
    <n v="11.000059227671169"/>
    <n v="5000"/>
    <n v="100"/>
    <x v="3583"/>
    <x v="1"/>
    <x v="1"/>
    <x v="1"/>
  </r>
  <r>
    <x v="288"/>
    <s v="ZTAN"/>
    <x v="4"/>
    <s v="TP3884"/>
    <s v="154837728"/>
    <s v="SAN BERNARDO"/>
    <x v="1000"/>
    <x v="1"/>
    <x v="1"/>
    <x v="4"/>
    <x v="1"/>
    <n v="4"/>
    <n v="74290"/>
    <n v="0"/>
    <n v="74290"/>
    <n v="11.000059227671169"/>
    <n v="5000"/>
    <n v="100"/>
    <x v="3584"/>
    <x v="1"/>
    <x v="1"/>
    <x v="1"/>
  </r>
  <r>
    <x v="288"/>
    <s v="ZTAN"/>
    <x v="12"/>
    <s v="SU9354"/>
    <s v="72562391"/>
    <s v="VITACURA"/>
    <x v="2812"/>
    <x v="2"/>
    <x v="1"/>
    <x v="27"/>
    <x v="1"/>
    <n v="4"/>
    <n v="105062"/>
    <n v="0"/>
    <n v="105062"/>
    <n v="10.999989530001777"/>
    <n v="5000"/>
    <n v="100"/>
    <x v="3585"/>
    <x v="1"/>
    <x v="1"/>
    <x v="1"/>
  </r>
  <r>
    <x v="288"/>
    <s v="ZTAN"/>
    <x v="7"/>
    <s v="DJLF85"/>
    <s v="125108660"/>
    <s v="RENCA"/>
    <x v="1219"/>
    <x v="4"/>
    <x v="1"/>
    <x v="7"/>
    <x v="1"/>
    <n v="1"/>
    <n v="55000"/>
    <n v="0"/>
    <n v="55000"/>
    <n v="20.014556040756915"/>
    <n v="5000"/>
    <n v="55"/>
    <x v="3586"/>
    <x v="1"/>
    <x v="1"/>
    <x v="1"/>
  </r>
  <r>
    <x v="288"/>
    <s v="ZTAN"/>
    <x v="7"/>
    <s v="HLBX77"/>
    <s v="16093509K"/>
    <s v="RENCA"/>
    <x v="1219"/>
    <x v="1"/>
    <x v="1"/>
    <x v="7"/>
    <x v="1"/>
    <n v="1"/>
    <n v="55000"/>
    <n v="0"/>
    <n v="55000"/>
    <n v="20.014556040756915"/>
    <n v="5000"/>
    <n v="55"/>
    <x v="3587"/>
    <x v="1"/>
    <x v="1"/>
    <x v="1"/>
  </r>
  <r>
    <x v="288"/>
    <s v="ZTAN"/>
    <x v="7"/>
    <s v="PN4466"/>
    <s v="81417709"/>
    <s v="RENCA"/>
    <x v="419"/>
    <x v="1"/>
    <x v="0"/>
    <x v="7"/>
    <x v="1"/>
    <n v="1"/>
    <n v="90684"/>
    <n v="0"/>
    <n v="90684"/>
    <n v="10.999999999999995"/>
    <n v="5000"/>
    <n v="100"/>
    <x v="3588"/>
    <x v="1"/>
    <x v="1"/>
    <x v="1"/>
  </r>
  <r>
    <x v="288"/>
    <s v="ZTAN"/>
    <x v="8"/>
    <s v="SV2718"/>
    <s v="99626232"/>
    <s v="CERRILLOS"/>
    <x v="2813"/>
    <x v="1"/>
    <x v="1"/>
    <x v="9"/>
    <x v="1"/>
    <n v="2"/>
    <n v="55000"/>
    <n v="0"/>
    <n v="55000"/>
    <n v="11.778058547658308"/>
    <n v="5000"/>
    <n v="93"/>
    <x v="3589"/>
    <x v="1"/>
    <x v="1"/>
    <x v="1"/>
  </r>
  <r>
    <x v="288"/>
    <s v="ZTAN"/>
    <x v="8"/>
    <s v="TP3884"/>
    <s v="154837728"/>
    <s v="PUDAHUEL"/>
    <x v="2814"/>
    <x v="1"/>
    <x v="1"/>
    <x v="10"/>
    <x v="1"/>
    <n v="1"/>
    <n v="61445"/>
    <n v="0"/>
    <n v="61445"/>
    <n v="11.000017902218083"/>
    <n v="5000"/>
    <n v="100"/>
    <x v="3590"/>
    <x v="1"/>
    <x v="1"/>
    <x v="1"/>
  </r>
  <r>
    <x v="289"/>
    <s v="ZPEP"/>
    <x v="32"/>
    <s v="BYZH29"/>
    <s v="122975819"/>
    <s v="LAMPA"/>
    <x v="2815"/>
    <x v="0"/>
    <x v="0"/>
    <x v="17"/>
    <x v="1"/>
    <n v="5"/>
    <n v="120000"/>
    <n v="0"/>
    <n v="120000"/>
    <n v="8.4612688941897236"/>
    <n v="10000"/>
    <n v="100"/>
    <x v="3591"/>
    <x v="1"/>
    <x v="1"/>
    <x v="1"/>
  </r>
  <r>
    <x v="289"/>
    <s v="ZPEP"/>
    <x v="2"/>
    <s v="BWPL69"/>
    <s v="78551976"/>
    <s v="COQUIMBO"/>
    <x v="2816"/>
    <x v="5"/>
    <x v="0"/>
    <x v="42"/>
    <x v="8"/>
    <n v="0"/>
    <n v="600000"/>
    <n v="0"/>
    <n v="600000"/>
    <n v="37.064446423960462"/>
    <n v="20000"/>
    <n v="81"/>
    <x v="3592"/>
    <x v="1"/>
    <x v="1"/>
    <x v="0"/>
  </r>
  <r>
    <x v="289"/>
    <s v="ZPEP"/>
    <x v="2"/>
    <s v="HLBX77"/>
    <s v="16093509K"/>
    <s v="MAIPU"/>
    <x v="2817"/>
    <x v="1"/>
    <x v="1"/>
    <x v="2"/>
    <x v="1"/>
    <n v="2"/>
    <n v="173084"/>
    <n v="0"/>
    <n v="173084"/>
    <n v="11.000020336983823"/>
    <n v="5000"/>
    <n v="100"/>
    <x v="3593"/>
    <x v="1"/>
    <x v="1"/>
    <x v="1"/>
  </r>
  <r>
    <x v="289"/>
    <s v="ZPEP"/>
    <x v="2"/>
    <s v="WC2233"/>
    <s v="125108660"/>
    <s v="PROVIDENCIA"/>
    <x v="2818"/>
    <x v="4"/>
    <x v="1"/>
    <x v="54"/>
    <x v="1"/>
    <n v="2"/>
    <n v="55000"/>
    <n v="0"/>
    <n v="55000"/>
    <n v="17.000494559841741"/>
    <n v="5000"/>
    <n v="65"/>
    <x v="3594"/>
    <x v="1"/>
    <x v="1"/>
    <x v="1"/>
  </r>
  <r>
    <x v="289"/>
    <s v="ZPEP"/>
    <x v="12"/>
    <s v="RK5135"/>
    <s v="138841065"/>
    <s v="VITACURA"/>
    <x v="2819"/>
    <x v="3"/>
    <x v="1"/>
    <x v="27"/>
    <x v="1"/>
    <n v="4"/>
    <n v="130992"/>
    <n v="0"/>
    <n v="130992"/>
    <n v="10.999966410265023"/>
    <n v="5000"/>
    <n v="100"/>
    <x v="3595"/>
    <x v="1"/>
    <x v="1"/>
    <x v="1"/>
  </r>
  <r>
    <x v="289"/>
    <s v="ZTAN"/>
    <x v="10"/>
    <s v="PN4466"/>
    <s v="81417709"/>
    <s v="SANTIAGO"/>
    <x v="0"/>
    <x v="1"/>
    <x v="0"/>
    <x v="20"/>
    <x v="1"/>
    <n v="1"/>
    <n v="165088"/>
    <n v="0"/>
    <n v="165088"/>
    <n v="11.000000000000007"/>
    <n v="5000"/>
    <n v="100"/>
    <x v="3596"/>
    <x v="1"/>
    <x v="1"/>
    <x v="1"/>
  </r>
  <r>
    <x v="289"/>
    <s v="ZTAN"/>
    <x v="7"/>
    <s v="DJLF85"/>
    <s v="125108660"/>
    <s v="RENCA"/>
    <x v="1219"/>
    <x v="4"/>
    <x v="1"/>
    <x v="7"/>
    <x v="1"/>
    <n v="1"/>
    <n v="55000"/>
    <n v="0"/>
    <n v="55000"/>
    <n v="20.014556040756915"/>
    <n v="5000"/>
    <n v="55"/>
    <x v="3597"/>
    <x v="1"/>
    <x v="1"/>
    <x v="1"/>
  </r>
  <r>
    <x v="289"/>
    <s v="ZTAN"/>
    <x v="7"/>
    <s v="PN4466"/>
    <s v="81417709"/>
    <s v="RENCA"/>
    <x v="419"/>
    <x v="1"/>
    <x v="0"/>
    <x v="7"/>
    <x v="1"/>
    <n v="1"/>
    <n v="90684"/>
    <n v="0"/>
    <n v="90684"/>
    <n v="10.999999999999995"/>
    <n v="5000"/>
    <n v="100"/>
    <x v="3598"/>
    <x v="1"/>
    <x v="1"/>
    <x v="1"/>
  </r>
  <r>
    <x v="289"/>
    <s v="ZTAN"/>
    <x v="7"/>
    <s v="SU9354"/>
    <s v="72564391"/>
    <s v="RENCA"/>
    <x v="1219"/>
    <x v="2"/>
    <x v="1"/>
    <x v="7"/>
    <x v="1"/>
    <n v="1"/>
    <n v="55000"/>
    <n v="0"/>
    <n v="55000"/>
    <n v="20.014556040756915"/>
    <n v="5000"/>
    <n v="55"/>
    <x v="3599"/>
    <x v="1"/>
    <x v="1"/>
    <x v="1"/>
  </r>
  <r>
    <x v="289"/>
    <s v="ZTAN"/>
    <x v="92"/>
    <s v="RH1133"/>
    <s v="65941082"/>
    <s v="COLINA"/>
    <x v="2820"/>
    <x v="0"/>
    <x v="0"/>
    <x v="5"/>
    <x v="1"/>
    <n v="5"/>
    <n v="120000"/>
    <n v="0"/>
    <n v="120000"/>
    <n v="6.4053292339226235"/>
    <n v="10000"/>
    <n v="100"/>
    <x v="3600"/>
    <x v="1"/>
    <x v="1"/>
    <x v="1"/>
  </r>
  <r>
    <x v="289"/>
    <s v="ZTAN"/>
    <x v="92"/>
    <s v="SU9354"/>
    <s v="72564391"/>
    <s v="COLINA"/>
    <x v="2821"/>
    <x v="2"/>
    <x v="1"/>
    <x v="5"/>
    <x v="1"/>
    <n v="5"/>
    <n v="70000"/>
    <n v="0"/>
    <n v="70000"/>
    <n v="10.549954032343143"/>
    <n v="10000"/>
    <n v="66"/>
    <x v="3601"/>
    <x v="1"/>
    <x v="1"/>
    <x v="1"/>
  </r>
  <r>
    <x v="290"/>
    <s v="ZPEP"/>
    <x v="17"/>
    <s v="SV2718"/>
    <s v="154837728"/>
    <s v="LAMPA"/>
    <x v="2822"/>
    <x v="1"/>
    <x v="1"/>
    <x v="17"/>
    <x v="1"/>
    <n v="5"/>
    <n v="70000"/>
    <n v="0"/>
    <n v="70000"/>
    <n v="16.28558400104227"/>
    <n v="10000"/>
    <n v="43"/>
    <x v="3602"/>
    <x v="1"/>
    <x v="1"/>
    <x v="1"/>
  </r>
  <r>
    <x v="290"/>
    <s v="ZPEP"/>
    <x v="87"/>
    <s v="BPKD94"/>
    <s v="122897258"/>
    <s v="SANTIAGO"/>
    <x v="2664"/>
    <x v="0"/>
    <x v="0"/>
    <x v="20"/>
    <x v="1"/>
    <n v="1"/>
    <n v="213609"/>
    <n v="0"/>
    <n v="213609"/>
    <n v="11.000016993692249"/>
    <n v="5000"/>
    <n v="100"/>
    <x v="3603"/>
    <x v="1"/>
    <x v="1"/>
    <x v="1"/>
  </r>
  <r>
    <x v="290"/>
    <s v="ZPEP"/>
    <x v="87"/>
    <s v="PKYS74"/>
    <s v="6270439K"/>
    <s v="SANTIAGO"/>
    <x v="2665"/>
    <x v="0"/>
    <x v="0"/>
    <x v="20"/>
    <x v="1"/>
    <n v="1"/>
    <n v="253374"/>
    <n v="0"/>
    <n v="253374"/>
    <n v="11.000000000000005"/>
    <n v="5000"/>
    <n v="100"/>
    <x v="3604"/>
    <x v="1"/>
    <x v="1"/>
    <x v="1"/>
  </r>
  <r>
    <x v="290"/>
    <s v="ZPEP"/>
    <x v="32"/>
    <s v="PN4466"/>
    <s v="81417709"/>
    <s v="LAMPA"/>
    <x v="2823"/>
    <x v="1"/>
    <x v="0"/>
    <x v="17"/>
    <x v="1"/>
    <n v="5"/>
    <n v="120000"/>
    <n v="0"/>
    <n v="120000"/>
    <n v="10.85290247310515"/>
    <n v="10000"/>
    <n v="100"/>
    <x v="3605"/>
    <x v="1"/>
    <x v="1"/>
    <x v="1"/>
  </r>
  <r>
    <x v="290"/>
    <s v="ZPEP"/>
    <x v="2"/>
    <s v="SU9354"/>
    <s v="72564391"/>
    <s v="PEÑAFLOR"/>
    <x v="2824"/>
    <x v="2"/>
    <x v="1"/>
    <x v="80"/>
    <x v="1"/>
    <n v="5"/>
    <n v="70000"/>
    <n v="0"/>
    <n v="70000"/>
    <n v="5.5564022454215287"/>
    <n v="10000"/>
    <n v="100"/>
    <x v="3606"/>
    <x v="1"/>
    <x v="1"/>
    <x v="1"/>
  </r>
  <r>
    <x v="290"/>
    <s v="ZPEP"/>
    <x v="2"/>
    <s v="WC2233"/>
    <s v="125108660"/>
    <s v="PEÑAFLOR"/>
    <x v="2825"/>
    <x v="4"/>
    <x v="1"/>
    <x v="80"/>
    <x v="1"/>
    <n v="5"/>
    <n v="70000"/>
    <n v="0"/>
    <n v="70000"/>
    <n v="4.9894224244601482"/>
    <n v="10000"/>
    <n v="100"/>
    <x v="3607"/>
    <x v="1"/>
    <x v="1"/>
    <x v="1"/>
  </r>
  <r>
    <x v="290"/>
    <s v="ZTAN"/>
    <x v="17"/>
    <s v="SV2748"/>
    <s v="154837728"/>
    <s v="LAMPA"/>
    <x v="2826"/>
    <x v="0"/>
    <x v="0"/>
    <x v="17"/>
    <x v="1"/>
    <n v="5"/>
    <n v="120000"/>
    <n v="0"/>
    <n v="120000"/>
    <n v="33.384337181805535"/>
    <n v="10000"/>
    <n v="36"/>
    <x v="3608"/>
    <x v="1"/>
    <x v="1"/>
    <x v="1"/>
  </r>
  <r>
    <x v="290"/>
    <s v="ZTAN"/>
    <x v="10"/>
    <s v="PKYS74"/>
    <s v="6270439K"/>
    <s v="TALCAHUANO"/>
    <x v="419"/>
    <x v="0"/>
    <x v="0"/>
    <x v="0"/>
    <x v="0"/>
    <n v="0"/>
    <n v="380000"/>
    <n v="0"/>
    <n v="380000"/>
    <n v="46.094129063561354"/>
    <n v="20000"/>
    <n v="41"/>
    <x v="3609"/>
    <x v="1"/>
    <x v="1"/>
    <x v="0"/>
  </r>
  <r>
    <x v="290"/>
    <s v="ZTAN"/>
    <x v="10"/>
    <s v="RH1133"/>
    <s v="65941082"/>
    <s v="QUILICURA"/>
    <x v="2827"/>
    <x v="0"/>
    <x v="0"/>
    <x v="8"/>
    <x v="1"/>
    <n v="1"/>
    <n v="159436"/>
    <n v="0"/>
    <n v="159436"/>
    <n v="10.999986201377101"/>
    <n v="5000"/>
    <n v="100"/>
    <x v="3610"/>
    <x v="1"/>
    <x v="1"/>
    <x v="1"/>
  </r>
  <r>
    <x v="290"/>
    <s v="ZTAN"/>
    <x v="7"/>
    <s v="PN4466"/>
    <s v="81417709"/>
    <s v="RENCA"/>
    <x v="419"/>
    <x v="1"/>
    <x v="0"/>
    <x v="7"/>
    <x v="1"/>
    <n v="1"/>
    <n v="90684"/>
    <n v="0"/>
    <n v="90684"/>
    <n v="10.999999999999995"/>
    <n v="5000"/>
    <n v="100"/>
    <x v="3611"/>
    <x v="1"/>
    <x v="1"/>
    <x v="1"/>
  </r>
  <r>
    <x v="290"/>
    <s v="ZTAN"/>
    <x v="7"/>
    <s v="RK5135"/>
    <s v="138841065"/>
    <s v="RENCA"/>
    <x v="1219"/>
    <x v="3"/>
    <x v="1"/>
    <x v="7"/>
    <x v="1"/>
    <n v="1"/>
    <n v="55000"/>
    <n v="0"/>
    <n v="55000"/>
    <n v="20.014556040756915"/>
    <n v="5000"/>
    <n v="55"/>
    <x v="3612"/>
    <x v="1"/>
    <x v="1"/>
    <x v="1"/>
  </r>
  <r>
    <x v="290"/>
    <s v="ZTAN"/>
    <x v="7"/>
    <s v="WC2233"/>
    <s v="125108660"/>
    <s v="RENCA"/>
    <x v="1219"/>
    <x v="4"/>
    <x v="1"/>
    <x v="7"/>
    <x v="1"/>
    <n v="1"/>
    <n v="55000"/>
    <n v="0"/>
    <n v="55000"/>
    <n v="20.014556040756915"/>
    <n v="5000"/>
    <n v="55"/>
    <x v="3613"/>
    <x v="1"/>
    <x v="1"/>
    <x v="1"/>
  </r>
  <r>
    <x v="290"/>
    <s v="ZTAN"/>
    <x v="68"/>
    <s v="HLBX77"/>
    <s v="16093509K"/>
    <s v="SAN BERNARDO"/>
    <x v="2828"/>
    <x v="1"/>
    <x v="1"/>
    <x v="4"/>
    <x v="1"/>
    <n v="4"/>
    <n v="97167"/>
    <n v="0"/>
    <n v="97167"/>
    <n v="10.999954717322892"/>
    <n v="5000"/>
    <n v="100"/>
    <x v="3614"/>
    <x v="1"/>
    <x v="1"/>
    <x v="1"/>
  </r>
  <r>
    <x v="290"/>
    <s v="ZTAN"/>
    <x v="68"/>
    <s v="TP3884"/>
    <s v="154837728"/>
    <s v="SAN BERNARDO"/>
    <x v="1000"/>
    <x v="1"/>
    <x v="1"/>
    <x v="4"/>
    <x v="1"/>
    <n v="4"/>
    <n v="74290"/>
    <n v="0"/>
    <n v="74290"/>
    <n v="11.000059227671169"/>
    <n v="5000"/>
    <n v="100"/>
    <x v="3615"/>
    <x v="1"/>
    <x v="1"/>
    <x v="1"/>
  </r>
  <r>
    <x v="290"/>
    <s v="ZTAN"/>
    <x v="8"/>
    <s v="SV2718"/>
    <s v="78907355"/>
    <s v="SAN BERNARDO"/>
    <x v="2829"/>
    <x v="1"/>
    <x v="1"/>
    <x v="4"/>
    <x v="1"/>
    <n v="4"/>
    <n v="55000"/>
    <n v="0"/>
    <n v="55000"/>
    <n v="11.051277929593317"/>
    <n v="5000"/>
    <n v="100"/>
    <x v="3616"/>
    <x v="1"/>
    <x v="1"/>
    <x v="1"/>
  </r>
  <r>
    <x v="290"/>
    <s v="ZTAN"/>
    <x v="8"/>
    <s v="TP3884"/>
    <s v="154837728"/>
    <s v="PUDAHUEL"/>
    <x v="2830"/>
    <x v="1"/>
    <x v="1"/>
    <x v="10"/>
    <x v="1"/>
    <n v="1"/>
    <n v="55000"/>
    <n v="0"/>
    <n v="55000"/>
    <n v="13.468178367656778"/>
    <n v="5000"/>
    <n v="82"/>
    <x v="3617"/>
    <x v="1"/>
    <x v="1"/>
    <x v="1"/>
  </r>
  <r>
    <x v="291"/>
    <s v="ZPEP"/>
    <x v="32"/>
    <s v="PN4466"/>
    <s v="81417709"/>
    <s v="LAMPA"/>
    <x v="2831"/>
    <x v="1"/>
    <x v="0"/>
    <x v="17"/>
    <x v="1"/>
    <n v="5"/>
    <n v="120000"/>
    <n v="0"/>
    <n v="120000"/>
    <n v="13.967829760090886"/>
    <n v="10000"/>
    <n v="86"/>
    <x v="3618"/>
    <x v="1"/>
    <x v="1"/>
    <x v="1"/>
  </r>
  <r>
    <x v="291"/>
    <s v="ZPEP"/>
    <x v="2"/>
    <s v="HLBX77"/>
    <s v="16093509K"/>
    <s v="MAIPU"/>
    <x v="2832"/>
    <x v="1"/>
    <x v="1"/>
    <x v="2"/>
    <x v="1"/>
    <n v="2"/>
    <n v="161362"/>
    <n v="0"/>
    <n v="161362"/>
    <n v="11.000024541148681"/>
    <n v="5000"/>
    <n v="100"/>
    <x v="3619"/>
    <x v="1"/>
    <x v="1"/>
    <x v="1"/>
  </r>
  <r>
    <x v="291"/>
    <s v="ZTAN"/>
    <x v="4"/>
    <s v="TP3884"/>
    <s v="154837728"/>
    <s v="SANTIAGO"/>
    <x v="944"/>
    <x v="1"/>
    <x v="1"/>
    <x v="20"/>
    <x v="1"/>
    <n v="1"/>
    <n v="55000"/>
    <n v="0"/>
    <n v="55000"/>
    <n v="11.74310359552481"/>
    <n v="5000"/>
    <n v="94"/>
    <x v="3620"/>
    <x v="1"/>
    <x v="1"/>
    <x v="1"/>
  </r>
  <r>
    <x v="291"/>
    <s v="ZTAN"/>
    <x v="7"/>
    <s v="HLBX77"/>
    <s v="16093509K"/>
    <s v="RENCA"/>
    <x v="1219"/>
    <x v="1"/>
    <x v="1"/>
    <x v="7"/>
    <x v="1"/>
    <n v="1"/>
    <n v="55000"/>
    <n v="0"/>
    <n v="55000"/>
    <n v="20.014556040756915"/>
    <n v="5000"/>
    <n v="55"/>
    <x v="3621"/>
    <x v="1"/>
    <x v="1"/>
    <x v="1"/>
  </r>
  <r>
    <x v="291"/>
    <s v="ZTAN"/>
    <x v="7"/>
    <s v="PN4466"/>
    <s v="81417709"/>
    <s v="RENCA"/>
    <x v="419"/>
    <x v="1"/>
    <x v="0"/>
    <x v="7"/>
    <x v="1"/>
    <n v="1"/>
    <n v="90684"/>
    <n v="0"/>
    <n v="90684"/>
    <n v="10.999999999999995"/>
    <n v="5000"/>
    <n v="100"/>
    <x v="3622"/>
    <x v="1"/>
    <x v="1"/>
    <x v="1"/>
  </r>
  <r>
    <x v="291"/>
    <s v="ZTAN"/>
    <x v="7"/>
    <s v="WC2233"/>
    <s v="125108660"/>
    <s v="RENCA"/>
    <x v="2555"/>
    <x v="4"/>
    <x v="1"/>
    <x v="7"/>
    <x v="1"/>
    <n v="1"/>
    <n v="143000"/>
    <n v="0"/>
    <n v="143000"/>
    <n v="11"/>
    <n v="5000"/>
    <n v="100"/>
    <x v="3623"/>
    <x v="1"/>
    <x v="1"/>
    <x v="1"/>
  </r>
  <r>
    <x v="291"/>
    <s v="ZTAN"/>
    <x v="8"/>
    <s v="BYZH29"/>
    <s v="122975819"/>
    <s v="LINARES"/>
    <x v="2833"/>
    <x v="0"/>
    <x v="0"/>
    <x v="59"/>
    <x v="3"/>
    <n v="0"/>
    <n v="330000"/>
    <n v="0"/>
    <n v="330000"/>
    <n v="32.045679659733146"/>
    <n v="20000"/>
    <n v="51"/>
    <x v="3624"/>
    <x v="1"/>
    <x v="1"/>
    <x v="0"/>
  </r>
  <r>
    <x v="291"/>
    <s v="ZTAN"/>
    <x v="8"/>
    <s v="SV2718"/>
    <s v="99626232"/>
    <s v="PUDAHUEL"/>
    <x v="2834"/>
    <x v="1"/>
    <x v="1"/>
    <x v="10"/>
    <x v="1"/>
    <n v="1"/>
    <n v="56069"/>
    <n v="0"/>
    <n v="56069"/>
    <n v="11.000047085043436"/>
    <n v="5000"/>
    <n v="100"/>
    <x v="3625"/>
    <x v="1"/>
    <x v="1"/>
    <x v="1"/>
  </r>
  <r>
    <x v="292"/>
    <s v="ZPEP"/>
    <x v="32"/>
    <s v="SU9354"/>
    <n v="72564391"/>
    <s v="LAMPA"/>
    <x v="2835"/>
    <x v="2"/>
    <x v="1"/>
    <x v="17"/>
    <x v="1"/>
    <n v="5"/>
    <n v="70000"/>
    <n v="0"/>
    <n v="70000"/>
    <n v="15.070616603513612"/>
    <n v="10000"/>
    <n v="46"/>
    <x v="3626"/>
    <x v="1"/>
    <x v="1"/>
    <x v="1"/>
  </r>
  <r>
    <x v="292"/>
    <s v="ZPEP"/>
    <x v="12"/>
    <s v="RK5135"/>
    <n v="138841065"/>
    <s v="VITACURA"/>
    <x v="2836"/>
    <x v="3"/>
    <x v="1"/>
    <x v="27"/>
    <x v="1"/>
    <n v="4"/>
    <n v="73445"/>
    <n v="0"/>
    <n v="73445"/>
    <n v="11.000029954469209"/>
    <n v="5000"/>
    <n v="100"/>
    <x v="3627"/>
    <x v="1"/>
    <x v="1"/>
    <x v="1"/>
  </r>
  <r>
    <x v="292"/>
    <s v="ZTAN"/>
    <x v="16"/>
    <s v="BPKD94"/>
    <n v="125897258"/>
    <s v="VALDIVIA"/>
    <x v="419"/>
    <x v="0"/>
    <x v="0"/>
    <x v="77"/>
    <x v="11"/>
    <n v="0"/>
    <n v="750000"/>
    <n v="0"/>
    <n v="750000"/>
    <n v="90.975254730713203"/>
    <n v="20000"/>
    <n v="41"/>
    <x v="3628"/>
    <x v="1"/>
    <x v="1"/>
    <x v="0"/>
  </r>
  <r>
    <x v="292"/>
    <s v="ZTAN"/>
    <x v="7"/>
    <s v="PN4466"/>
    <n v="81417709"/>
    <s v="RENCA"/>
    <x v="2837"/>
    <x v="1"/>
    <x v="0"/>
    <x v="7"/>
    <x v="1"/>
    <n v="1"/>
    <n v="220306"/>
    <n v="0"/>
    <n v="220306"/>
    <n v="10.999982524334865"/>
    <n v="5000"/>
    <n v="100"/>
    <x v="3629"/>
    <x v="1"/>
    <x v="1"/>
    <x v="1"/>
  </r>
  <r>
    <x v="292"/>
    <s v="ZTAN"/>
    <x v="7"/>
    <s v="WC2233"/>
    <n v="125108660"/>
    <s v="RENCA"/>
    <x v="2838"/>
    <x v="4"/>
    <x v="1"/>
    <x v="7"/>
    <x v="1"/>
    <n v="1"/>
    <n v="119753"/>
    <n v="0"/>
    <n v="119753"/>
    <n v="10.999986221656799"/>
    <n v="5000"/>
    <n v="100"/>
    <x v="3630"/>
    <x v="1"/>
    <x v="1"/>
    <x v="1"/>
  </r>
  <r>
    <x v="292"/>
    <s v="ZTAN"/>
    <x v="8"/>
    <s v="BYZH29"/>
    <n v="122975819"/>
    <s v="LINARES"/>
    <x v="374"/>
    <x v="0"/>
    <x v="0"/>
    <x v="59"/>
    <x v="3"/>
    <n v="0"/>
    <n v="330000"/>
    <n v="0"/>
    <n v="330000"/>
    <n v="60.043668122270724"/>
    <n v="20000"/>
    <n v="27"/>
    <x v="3631"/>
    <x v="1"/>
    <x v="1"/>
    <x v="0"/>
  </r>
  <r>
    <x v="292"/>
    <s v="ZTAN"/>
    <x v="8"/>
    <s v="RZ4484"/>
    <n v="93321006"/>
    <s v="CHILLAN"/>
    <x v="2839"/>
    <x v="5"/>
    <x v="0"/>
    <x v="21"/>
    <x v="5"/>
    <n v="0"/>
    <n v="350000"/>
    <n v="0"/>
    <n v="350000"/>
    <n v="37.726656361899956"/>
    <n v="20000"/>
    <n v="46"/>
    <x v="3632"/>
    <x v="1"/>
    <x v="1"/>
    <x v="0"/>
  </r>
  <r>
    <x v="292"/>
    <s v="ZTAN"/>
    <x v="8"/>
    <s v="TP3884"/>
    <n v="154837728"/>
    <s v="PUDAHUEL"/>
    <x v="2840"/>
    <x v="1"/>
    <x v="1"/>
    <x v="10"/>
    <x v="1"/>
    <n v="1"/>
    <n v="61297"/>
    <n v="0"/>
    <n v="61297"/>
    <n v="10.999949753072242"/>
    <n v="5000"/>
    <n v="100"/>
    <x v="3633"/>
    <x v="1"/>
    <x v="1"/>
    <x v="1"/>
  </r>
  <r>
    <x v="293"/>
    <s v="ZPEP"/>
    <x v="17"/>
    <s v="RH1133"/>
    <s v="65941082"/>
    <s v="LAMPA"/>
    <x v="2841"/>
    <x v="0"/>
    <x v="0"/>
    <x v="17"/>
    <x v="1"/>
    <n v="5"/>
    <n v="120000"/>
    <n v="0"/>
    <n v="120000"/>
    <n v="6.174135312349506"/>
    <n v="10000"/>
    <n v="100"/>
    <x v="3634"/>
    <x v="1"/>
    <x v="1"/>
    <x v="1"/>
  </r>
  <r>
    <x v="293"/>
    <s v="ZPEP"/>
    <x v="2"/>
    <s v="BYZH29"/>
    <s v="122975819"/>
    <s v="TALCA"/>
    <x v="2842"/>
    <x v="0"/>
    <x v="0"/>
    <x v="12"/>
    <x v="3"/>
    <n v="0"/>
    <n v="320000"/>
    <n v="0"/>
    <n v="320000"/>
    <n v="25.575979040485194"/>
    <n v="20000"/>
    <n v="63"/>
    <x v="3635"/>
    <x v="1"/>
    <x v="1"/>
    <x v="0"/>
  </r>
  <r>
    <x v="293"/>
    <s v="ZPEP"/>
    <x v="2"/>
    <s v="CKYB66"/>
    <s v="115812335"/>
    <s v="COQUIMBO"/>
    <x v="2843"/>
    <x v="0"/>
    <x v="0"/>
    <x v="42"/>
    <x v="8"/>
    <n v="0"/>
    <n v="600000"/>
    <n v="0"/>
    <n v="600000"/>
    <n v="23.664419598556794"/>
    <n v="20000"/>
    <n v="100"/>
    <x v="3636"/>
    <x v="1"/>
    <x v="1"/>
    <x v="0"/>
  </r>
  <r>
    <x v="293"/>
    <s v="ZTAN"/>
    <x v="17"/>
    <s v="RH1133"/>
    <s v="65941082"/>
    <s v="LAMPA"/>
    <x v="2238"/>
    <x v="0"/>
    <x v="0"/>
    <x v="17"/>
    <x v="1"/>
    <n v="5"/>
    <n v="120000"/>
    <n v="0"/>
    <n v="120000"/>
    <n v="25.114585295410308"/>
    <n v="10000"/>
    <n v="48"/>
    <x v="3637"/>
    <x v="1"/>
    <x v="1"/>
    <x v="1"/>
  </r>
  <r>
    <x v="293"/>
    <s v="ZTAN"/>
    <x v="12"/>
    <s v="SU9354"/>
    <s v="72564391"/>
    <s v="VITACURA"/>
    <x v="648"/>
    <x v="2"/>
    <x v="1"/>
    <x v="27"/>
    <x v="1"/>
    <n v="4"/>
    <n v="113061"/>
    <n v="0"/>
    <n v="113061"/>
    <n v="11.000035025451828"/>
    <n v="5000"/>
    <n v="100"/>
    <x v="3638"/>
    <x v="1"/>
    <x v="1"/>
    <x v="1"/>
  </r>
  <r>
    <x v="293"/>
    <s v="ZTAN"/>
    <x v="12"/>
    <s v="WC2233"/>
    <s v="125108660"/>
    <s v="VITACURA"/>
    <x v="2844"/>
    <x v="4"/>
    <x v="1"/>
    <x v="27"/>
    <x v="1"/>
    <n v="4"/>
    <n v="109023"/>
    <n v="0"/>
    <n v="109023"/>
    <n v="11.000024215127191"/>
    <n v="5000"/>
    <n v="100"/>
    <x v="3639"/>
    <x v="1"/>
    <x v="1"/>
    <x v="1"/>
  </r>
  <r>
    <x v="293"/>
    <s v="ZTAN"/>
    <x v="10"/>
    <s v="KKPF51"/>
    <s v="95707734"/>
    <s v="QUILICURA"/>
    <x v="2203"/>
    <x v="8"/>
    <x v="0"/>
    <x v="8"/>
    <x v="1"/>
    <n v="1"/>
    <n v="93707"/>
    <n v="0"/>
    <n v="93707"/>
    <n v="11.000023477485088"/>
    <n v="5000"/>
    <n v="100"/>
    <x v="3640"/>
    <x v="1"/>
    <x v="1"/>
    <x v="1"/>
  </r>
  <r>
    <x v="293"/>
    <s v="ZTAN"/>
    <x v="10"/>
    <s v="KKPF51"/>
    <s v="95707734"/>
    <s v="SANTIAGO"/>
    <x v="419"/>
    <x v="8"/>
    <x v="0"/>
    <x v="20"/>
    <x v="1"/>
    <n v="1"/>
    <n v="90684"/>
    <n v="0"/>
    <n v="90684"/>
    <n v="10.999999999999995"/>
    <n v="5000"/>
    <n v="100"/>
    <x v="3641"/>
    <x v="1"/>
    <x v="1"/>
    <x v="1"/>
  </r>
  <r>
    <x v="293"/>
    <s v="ZTAN"/>
    <x v="10"/>
    <s v="RH1133"/>
    <s v="65941082"/>
    <s v="QUILICURA"/>
    <x v="1870"/>
    <x v="0"/>
    <x v="0"/>
    <x v="8"/>
    <x v="1"/>
    <n v="1"/>
    <n v="198106"/>
    <n v="0"/>
    <n v="198106"/>
    <n v="11.000022210376688"/>
    <n v="5000"/>
    <n v="100"/>
    <x v="3642"/>
    <x v="1"/>
    <x v="1"/>
    <x v="1"/>
  </r>
  <r>
    <x v="293"/>
    <s v="ZTAN"/>
    <x v="68"/>
    <s v="HLBX77"/>
    <s v="16093509K"/>
    <s v="SAN BERNARDO"/>
    <x v="0"/>
    <x v="1"/>
    <x v="1"/>
    <x v="4"/>
    <x v="1"/>
    <n v="4"/>
    <n v="165088"/>
    <n v="0"/>
    <n v="165088"/>
    <n v="11.000000000000007"/>
    <n v="5000"/>
    <n v="100"/>
    <x v="3643"/>
    <x v="1"/>
    <x v="1"/>
    <x v="1"/>
  </r>
  <r>
    <x v="293"/>
    <s v="ZTAN"/>
    <x v="68"/>
    <s v="RK5135"/>
    <s v="138441065"/>
    <s v="SAN BERNARDO"/>
    <x v="385"/>
    <x v="3"/>
    <x v="1"/>
    <x v="4"/>
    <x v="1"/>
    <n v="4"/>
    <n v="82544"/>
    <n v="0"/>
    <n v="82544"/>
    <n v="11.000000000000004"/>
    <n v="5000"/>
    <n v="100"/>
    <x v="3644"/>
    <x v="1"/>
    <x v="1"/>
    <x v="1"/>
  </r>
  <r>
    <x v="293"/>
    <s v="ZTAN"/>
    <x v="68"/>
    <s v="RK5135"/>
    <s v="138841065"/>
    <s v="SAN BERNARDO"/>
    <x v="385"/>
    <x v="3"/>
    <x v="1"/>
    <x v="4"/>
    <x v="1"/>
    <n v="4"/>
    <n v="82544"/>
    <n v="0"/>
    <n v="82544"/>
    <n v="11.000000000000004"/>
    <n v="5000"/>
    <n v="100"/>
    <x v="3645"/>
    <x v="1"/>
    <x v="1"/>
    <x v="1"/>
  </r>
  <r>
    <x v="294"/>
    <s v="ZPEP"/>
    <x v="2"/>
    <s v="HLBX77"/>
    <s v="160935069K"/>
    <s v="MAIPU"/>
    <x v="2845"/>
    <x v="1"/>
    <x v="1"/>
    <x v="2"/>
    <x v="1"/>
    <n v="2"/>
    <n v="122862"/>
    <n v="0"/>
    <n v="122862"/>
    <n v="11.000032231378322"/>
    <n v="5000"/>
    <n v="100"/>
    <x v="3646"/>
    <x v="1"/>
    <x v="1"/>
    <x v="1"/>
  </r>
  <r>
    <x v="294"/>
    <s v="ZPEP"/>
    <x v="2"/>
    <s v="RK5135"/>
    <s v="138841065"/>
    <s v="PEÑAFLOR"/>
    <x v="2846"/>
    <x v="3"/>
    <x v="1"/>
    <x v="80"/>
    <x v="1"/>
    <n v="5"/>
    <n v="70000"/>
    <n v="0"/>
    <n v="70000"/>
    <n v="7.4344072865687876"/>
    <n v="10000"/>
    <n v="94"/>
    <x v="3647"/>
    <x v="1"/>
    <x v="1"/>
    <x v="1"/>
  </r>
  <r>
    <x v="294"/>
    <s v="ZPEP"/>
    <x v="12"/>
    <s v="RK5135"/>
    <s v="138841065"/>
    <s v="VITACURA"/>
    <x v="2847"/>
    <x v="3"/>
    <x v="1"/>
    <x v="27"/>
    <x v="1"/>
    <n v="4"/>
    <n v="67795"/>
    <n v="0"/>
    <n v="67795"/>
    <n v="10.999967549325028"/>
    <n v="5000"/>
    <n v="100"/>
    <x v="3648"/>
    <x v="1"/>
    <x v="1"/>
    <x v="1"/>
  </r>
  <r>
    <x v="294"/>
    <s v="ZTAN"/>
    <x v="12"/>
    <s v="WC2233"/>
    <s v="125108660"/>
    <s v="VITACURA"/>
    <x v="2848"/>
    <x v="4"/>
    <x v="1"/>
    <x v="27"/>
    <x v="1"/>
    <n v="4"/>
    <n v="61227"/>
    <n v="0"/>
    <n v="61227"/>
    <n v="10.999962271676269"/>
    <n v="5000"/>
    <n v="100"/>
    <x v="3649"/>
    <x v="1"/>
    <x v="1"/>
    <x v="1"/>
  </r>
  <r>
    <x v="294"/>
    <s v="ZTAN"/>
    <x v="74"/>
    <s v="SU9354"/>
    <s v="72564391"/>
    <s v="SANTIAGO"/>
    <x v="1458"/>
    <x v="2"/>
    <x v="1"/>
    <x v="20"/>
    <x v="1"/>
    <n v="1"/>
    <n v="74818"/>
    <n v="0"/>
    <n v="74818"/>
    <n v="11.000058809691838"/>
    <n v="5000"/>
    <n v="100"/>
    <x v="3650"/>
    <x v="1"/>
    <x v="1"/>
    <x v="1"/>
  </r>
  <r>
    <x v="294"/>
    <s v="ZTAN"/>
    <x v="7"/>
    <s v="PN4466"/>
    <s v="81417709"/>
    <s v="RENCA"/>
    <x v="419"/>
    <x v="1"/>
    <x v="0"/>
    <x v="7"/>
    <x v="1"/>
    <n v="1"/>
    <n v="90684"/>
    <n v="0"/>
    <n v="90684"/>
    <n v="10.999999999999995"/>
    <n v="5000"/>
    <n v="100"/>
    <x v="3651"/>
    <x v="1"/>
    <x v="1"/>
    <x v="1"/>
  </r>
  <r>
    <x v="294"/>
    <s v="ZTAN"/>
    <x v="7"/>
    <s v="SU9354"/>
    <s v="72564391"/>
    <s v="RENCA"/>
    <x v="2849"/>
    <x v="2"/>
    <x v="1"/>
    <x v="7"/>
    <x v="1"/>
    <n v="1"/>
    <n v="199960"/>
    <n v="0"/>
    <n v="199960"/>
    <n v="11.000007151434936"/>
    <n v="5000"/>
    <n v="100"/>
    <x v="3652"/>
    <x v="1"/>
    <x v="1"/>
    <x v="1"/>
  </r>
  <r>
    <x v="294"/>
    <s v="ZTAN"/>
    <x v="7"/>
    <s v="WC2233"/>
    <s v="125108660"/>
    <s v="RENCA"/>
    <x v="1219"/>
    <x v="4"/>
    <x v="1"/>
    <x v="7"/>
    <x v="1"/>
    <n v="1"/>
    <n v="55000"/>
    <n v="0"/>
    <n v="55000"/>
    <n v="20.014556040756915"/>
    <n v="5000"/>
    <n v="55"/>
    <x v="3653"/>
    <x v="1"/>
    <x v="1"/>
    <x v="1"/>
  </r>
  <r>
    <x v="294"/>
    <s v="ZTAN"/>
    <x v="8"/>
    <s v="BWPL69"/>
    <s v="78551976"/>
    <s v="TEMUCO"/>
    <x v="2850"/>
    <x v="5"/>
    <x v="0"/>
    <x v="14"/>
    <x v="4"/>
    <n v="0"/>
    <n v="620000"/>
    <n v="0"/>
    <n v="620000"/>
    <n v="23.91421738795032"/>
    <n v="20000"/>
    <n v="100"/>
    <x v="3654"/>
    <x v="1"/>
    <x v="1"/>
    <x v="0"/>
  </r>
  <r>
    <x v="294"/>
    <s v="ZTAN"/>
    <x v="8"/>
    <s v="SV2718"/>
    <s v="99626232"/>
    <s v="PUDAHUEL"/>
    <x v="2851"/>
    <x v="1"/>
    <x v="1"/>
    <x v="10"/>
    <x v="1"/>
    <n v="1"/>
    <n v="55000"/>
    <n v="0"/>
    <n v="55000"/>
    <n v="22.381378692927484"/>
    <n v="5000"/>
    <n v="49"/>
    <x v="3655"/>
    <x v="1"/>
    <x v="1"/>
    <x v="1"/>
  </r>
  <r>
    <x v="294"/>
    <s v="ZTAN"/>
    <x v="8"/>
    <s v="TP3884"/>
    <s v="154837728"/>
    <s v="QUILIN"/>
    <x v="2852"/>
    <x v="1"/>
    <x v="1"/>
    <x v="34"/>
    <x v="1"/>
    <n v="4"/>
    <n v="72521"/>
    <n v="0"/>
    <n v="72521"/>
    <n v="10.999996966396779"/>
    <n v="5000"/>
    <n v="100"/>
    <x v="3656"/>
    <x v="1"/>
    <x v="1"/>
    <x v="1"/>
  </r>
  <r>
    <x v="295"/>
    <s v="ZPEP"/>
    <x v="32"/>
    <s v="SU9354"/>
    <s v="72564391"/>
    <s v="LAMPA"/>
    <x v="2853"/>
    <x v="2"/>
    <x v="1"/>
    <x v="17"/>
    <x v="1"/>
    <n v="5"/>
    <n v="70000"/>
    <n v="0"/>
    <n v="70000"/>
    <n v="10.092665083560059"/>
    <n v="10000"/>
    <n v="69"/>
    <x v="3657"/>
    <x v="2"/>
    <x v="1"/>
    <x v="1"/>
  </r>
  <r>
    <x v="295"/>
    <s v="ZPEP"/>
    <x v="2"/>
    <s v="WV2233"/>
    <s v="125108660"/>
    <s v="PEÑAFLOR"/>
    <x v="2854"/>
    <x v="0"/>
    <x v="0"/>
    <x v="80"/>
    <x v="1"/>
    <n v="5"/>
    <n v="120000"/>
    <n v="0"/>
    <n v="120000"/>
    <n v="15.071362903347344"/>
    <n v="10000"/>
    <n v="80"/>
    <x v="3658"/>
    <x v="2"/>
    <x v="1"/>
    <x v="1"/>
  </r>
  <r>
    <x v="295"/>
    <s v="ZTAN"/>
    <x v="12"/>
    <s v="HLBX77"/>
    <s v="16093509K"/>
    <s v="VITACURA"/>
    <x v="963"/>
    <x v="1"/>
    <x v="1"/>
    <x v="27"/>
    <x v="1"/>
    <n v="4"/>
    <n v="99299"/>
    <n v="0"/>
    <n v="99299"/>
    <n v="10.999977844735913"/>
    <n v="5000"/>
    <n v="100"/>
    <x v="3659"/>
    <x v="2"/>
    <x v="1"/>
    <x v="1"/>
  </r>
  <r>
    <x v="295"/>
    <s v="ZTAN"/>
    <x v="7"/>
    <s v="TP3884"/>
    <s v="154837728"/>
    <s v="SAN MIGUEL"/>
    <x v="2855"/>
    <x v="1"/>
    <x v="1"/>
    <x v="23"/>
    <x v="1"/>
    <n v="2"/>
    <n v="55000"/>
    <n v="0"/>
    <n v="55000"/>
    <n v="11.774276417194725"/>
    <n v="5000"/>
    <n v="49"/>
    <x v="3660"/>
    <x v="2"/>
    <x v="1"/>
    <x v="1"/>
  </r>
  <r>
    <x v="295"/>
    <s v="ZTAN"/>
    <x v="8"/>
    <s v="SV2718"/>
    <s v="99626232"/>
    <s v="EL BOSQUE"/>
    <x v="1147"/>
    <x v="1"/>
    <x v="1"/>
    <x v="25"/>
    <x v="1"/>
    <n v="3"/>
    <n v="61074"/>
    <n v="0"/>
    <n v="61074"/>
    <n v="10.999963978242858"/>
    <n v="5000"/>
    <n v="100"/>
    <x v="3661"/>
    <x v="2"/>
    <x v="1"/>
    <x v="1"/>
  </r>
  <r>
    <x v="295"/>
    <s v="ZTAN"/>
    <x v="8"/>
    <s v="TP3884"/>
    <s v="154837728"/>
    <s v="PUDAHUEL"/>
    <x v="2856"/>
    <x v="1"/>
    <x v="1"/>
    <x v="10"/>
    <x v="1"/>
    <n v="1"/>
    <n v="55000"/>
    <n v="0"/>
    <n v="55000"/>
    <n v="16.76829268292683"/>
    <n v="5000"/>
    <n v="66"/>
    <x v="3662"/>
    <x v="2"/>
    <x v="1"/>
    <x v="1"/>
  </r>
  <r>
    <x v="295"/>
    <s v="ZTAN"/>
    <x v="8"/>
    <s v="WC2233"/>
    <s v="125108660"/>
    <s v="SAN BERNARDO"/>
    <x v="925"/>
    <x v="4"/>
    <x v="1"/>
    <x v="4"/>
    <x v="1"/>
    <n v="4"/>
    <n v="55000"/>
    <n v="0"/>
    <n v="55000"/>
    <n v="17.882689556509295"/>
    <n v="5000"/>
    <n v="62"/>
    <x v="3663"/>
    <x v="2"/>
    <x v="1"/>
    <x v="1"/>
  </r>
  <r>
    <x v="296"/>
    <s v="ZTAN"/>
    <x v="17"/>
    <s v="SU9354"/>
    <s v="72564391"/>
    <s v="LAMPA"/>
    <x v="2857"/>
    <x v="2"/>
    <x v="1"/>
    <x v="17"/>
    <x v="1"/>
    <n v="5"/>
    <n v="70000"/>
    <n v="0"/>
    <n v="70000"/>
    <n v="6.9895157264103842"/>
    <n v="10000"/>
    <n v="100"/>
    <x v="3664"/>
    <x v="2"/>
    <x v="1"/>
    <x v="1"/>
  </r>
  <r>
    <x v="296"/>
    <s v="ZTAN"/>
    <x v="6"/>
    <s v="BYZH29"/>
    <s v="122975819"/>
    <s v="TALCA"/>
    <x v="2858"/>
    <x v="0"/>
    <x v="0"/>
    <x v="12"/>
    <x v="3"/>
    <n v="0"/>
    <n v="320000"/>
    <n v="0"/>
    <n v="320000"/>
    <n v="41.741562334501232"/>
    <n v="20000"/>
    <n v="65"/>
    <x v="3665"/>
    <x v="2"/>
    <x v="1"/>
    <x v="0"/>
  </r>
  <r>
    <x v="296"/>
    <s v="ZTAN"/>
    <x v="6"/>
    <s v="KKPF51"/>
    <s v="95707734"/>
    <s v="VIÑA DEL MAR"/>
    <x v="2859"/>
    <x v="8"/>
    <x v="0"/>
    <x v="6"/>
    <x v="2"/>
    <n v="0"/>
    <n v="230000"/>
    <n v="0"/>
    <n v="230000"/>
    <n v="43.696163476846735"/>
    <n v="20000"/>
    <n v="80"/>
    <x v="3666"/>
    <x v="2"/>
    <x v="1"/>
    <x v="0"/>
  </r>
  <r>
    <x v="296"/>
    <s v="ZTAN"/>
    <x v="7"/>
    <s v="HLBX77"/>
    <s v="16093509K"/>
    <s v="RENCA"/>
    <x v="2472"/>
    <x v="1"/>
    <x v="1"/>
    <x v="7"/>
    <x v="1"/>
    <n v="1"/>
    <n v="55000"/>
    <n v="0"/>
    <n v="55000"/>
    <n v="11.574074074074074"/>
    <n v="5000"/>
    <n v="95"/>
    <x v="3667"/>
    <x v="2"/>
    <x v="1"/>
    <x v="1"/>
  </r>
  <r>
    <x v="296"/>
    <s v="ZTAN"/>
    <x v="8"/>
    <s v="TP3884"/>
    <s v="154837728"/>
    <s v="PUDAHUEL"/>
    <x v="2860"/>
    <x v="1"/>
    <x v="1"/>
    <x v="10"/>
    <x v="1"/>
    <n v="1"/>
    <n v="89562"/>
    <n v="0"/>
    <n v="89562"/>
    <n v="10.999945959489269"/>
    <n v="5000"/>
    <n v="100"/>
    <x v="3668"/>
    <x v="2"/>
    <x v="1"/>
    <x v="1"/>
  </r>
  <r>
    <x v="297"/>
    <s v="ZPEP"/>
    <x v="2"/>
    <s v="CJFZ67"/>
    <s v="188951333"/>
    <s v="TALCA"/>
    <x v="2861"/>
    <x v="5"/>
    <x v="0"/>
    <x v="12"/>
    <x v="3"/>
    <n v="0"/>
    <n v="320000"/>
    <n v="0"/>
    <n v="320000"/>
    <n v="19.054537659507311"/>
    <n v="20000"/>
    <n v="84"/>
    <x v="3669"/>
    <x v="2"/>
    <x v="1"/>
    <x v="0"/>
  </r>
  <r>
    <x v="297"/>
    <s v="ZTAN"/>
    <x v="10"/>
    <s v="HDDV12"/>
    <s v="95605095"/>
    <s v="TALCAHUANO"/>
    <x v="2862"/>
    <x v="5"/>
    <x v="0"/>
    <x v="0"/>
    <x v="0"/>
    <n v="0"/>
    <n v="380000"/>
    <n v="0"/>
    <n v="380000"/>
    <n v="42.115529547368894"/>
    <n v="20000"/>
    <n v="45"/>
    <x v="3670"/>
    <x v="2"/>
    <x v="1"/>
    <x v="0"/>
  </r>
  <r>
    <x v="297"/>
    <s v="ZTAN"/>
    <x v="10"/>
    <s v="KKPF51"/>
    <s v="95707734"/>
    <s v="QUILICURA"/>
    <x v="2863"/>
    <x v="8"/>
    <x v="0"/>
    <x v="8"/>
    <x v="1"/>
    <n v="1"/>
    <n v="99317"/>
    <n v="0"/>
    <n v="99317"/>
    <n v="10.450240956249068"/>
    <n v="5000"/>
    <n v="100"/>
    <x v="3671"/>
    <x v="2"/>
    <x v="1"/>
    <x v="1"/>
  </r>
  <r>
    <x v="297"/>
    <s v="ZTAN"/>
    <x v="10"/>
    <s v="RH1133"/>
    <s v="65941082"/>
    <s v="QUILICURA"/>
    <x v="2864"/>
    <x v="0"/>
    <x v="0"/>
    <x v="8"/>
    <x v="1"/>
    <n v="1"/>
    <n v="190236"/>
    <n v="0"/>
    <n v="190236"/>
    <n v="10.999988435429225"/>
    <n v="5000"/>
    <n v="100"/>
    <x v="3672"/>
    <x v="2"/>
    <x v="1"/>
    <x v="1"/>
  </r>
  <r>
    <x v="297"/>
    <s v="ZTAN"/>
    <x v="10"/>
    <s v="RH1133"/>
    <s v="65941082"/>
    <s v="SANTIAGO"/>
    <x v="315"/>
    <x v="0"/>
    <x v="0"/>
    <x v="20"/>
    <x v="1"/>
    <n v="1"/>
    <n v="104544"/>
    <n v="0"/>
    <n v="104544"/>
    <n v="10.999999999999989"/>
    <n v="5000"/>
    <n v="100"/>
    <x v="3673"/>
    <x v="2"/>
    <x v="1"/>
    <x v="1"/>
  </r>
  <r>
    <x v="297"/>
    <s v="ZTAN"/>
    <x v="8"/>
    <s v="BWPL69"/>
    <s v="78551976"/>
    <s v="VALDIVIA"/>
    <x v="2865"/>
    <x v="5"/>
    <x v="0"/>
    <x v="77"/>
    <x v="11"/>
    <n v="0"/>
    <n v="750000"/>
    <n v="0"/>
    <n v="750000"/>
    <n v="42.097842120743351"/>
    <n v="20000"/>
    <n v="89"/>
    <x v="3674"/>
    <x v="2"/>
    <x v="1"/>
    <x v="0"/>
  </r>
  <r>
    <x v="297"/>
    <s v="ZTAN"/>
    <x v="8"/>
    <s v="LZ2385"/>
    <s v="177957186"/>
    <s v="TALCAHUANO"/>
    <x v="2866"/>
    <x v="0"/>
    <x v="0"/>
    <x v="0"/>
    <x v="0"/>
    <n v="0"/>
    <n v="380000"/>
    <n v="0"/>
    <n v="380000"/>
    <n v="30.792169065214576"/>
    <n v="20000"/>
    <n v="85"/>
    <x v="3675"/>
    <x v="2"/>
    <x v="1"/>
    <x v="0"/>
  </r>
  <r>
    <x v="297"/>
    <s v="ZTAN"/>
    <x v="8"/>
    <s v="SU9354"/>
    <s v="72564391"/>
    <s v="ÑUÑOA"/>
    <x v="2867"/>
    <x v="2"/>
    <x v="1"/>
    <x v="15"/>
    <x v="1"/>
    <n v="4"/>
    <n v="55433"/>
    <n v="0"/>
    <n v="55433"/>
    <n v="10.999920625471287"/>
    <n v="5000"/>
    <n v="100"/>
    <x v="3676"/>
    <x v="2"/>
    <x v="1"/>
    <x v="1"/>
  </r>
  <r>
    <x v="297"/>
    <s v="ZTAN"/>
    <x v="8"/>
    <s v="SV2718"/>
    <s v="99626232"/>
    <s v="QUILICURA"/>
    <x v="948"/>
    <x v="1"/>
    <x v="1"/>
    <x v="8"/>
    <x v="1"/>
    <n v="1"/>
    <n v="55000"/>
    <n v="0"/>
    <n v="55000"/>
    <n v="11.454038069057436"/>
    <n v="5000"/>
    <n v="96"/>
    <x v="3677"/>
    <x v="2"/>
    <x v="1"/>
    <x v="1"/>
  </r>
  <r>
    <x v="297"/>
    <s v="ZTAN"/>
    <x v="8"/>
    <s v="TP3884"/>
    <s v="154837728"/>
    <s v="PUDAHUEL"/>
    <x v="2868"/>
    <x v="1"/>
    <x v="1"/>
    <x v="10"/>
    <x v="1"/>
    <n v="1"/>
    <n v="55000"/>
    <n v="0"/>
    <n v="55000"/>
    <n v="14.499401570153372"/>
    <n v="5000"/>
    <n v="76"/>
    <x v="3678"/>
    <x v="2"/>
    <x v="1"/>
    <x v="1"/>
  </r>
  <r>
    <x v="297"/>
    <s v="ZTAN"/>
    <x v="92"/>
    <s v="RK5135"/>
    <s v="138841065"/>
    <s v="LAS CONDES"/>
    <x v="2869"/>
    <x v="3"/>
    <x v="1"/>
    <x v="3"/>
    <x v="1"/>
    <n v="4"/>
    <n v="55415"/>
    <n v="0"/>
    <n v="55415"/>
    <n v="10.999950374671235"/>
    <n v="5000"/>
    <n v="100"/>
    <x v="3679"/>
    <x v="2"/>
    <x v="1"/>
    <x v="1"/>
  </r>
  <r>
    <x v="298"/>
    <s v="ZPEP"/>
    <x v="32"/>
    <s v="HLBX77"/>
    <s v="16093509K"/>
    <s v="LAMPA"/>
    <x v="2870"/>
    <x v="1"/>
    <x v="1"/>
    <x v="17"/>
    <x v="1"/>
    <n v="5"/>
    <n v="70000"/>
    <n v="0"/>
    <n v="70000"/>
    <n v="8.4118539846351474"/>
    <n v="10000"/>
    <n v="83"/>
    <x v="3680"/>
    <x v="2"/>
    <x v="1"/>
    <x v="1"/>
  </r>
  <r>
    <x v="298"/>
    <s v="ZTAN"/>
    <x v="7"/>
    <s v="RK5135"/>
    <s v="138841065"/>
    <s v="RENCA"/>
    <x v="2472"/>
    <x v="3"/>
    <x v="1"/>
    <x v="7"/>
    <x v="1"/>
    <n v="1"/>
    <n v="55000"/>
    <n v="0"/>
    <n v="55000"/>
    <n v="11.574074074074074"/>
    <n v="5000"/>
    <n v="95"/>
    <x v="3681"/>
    <x v="2"/>
    <x v="1"/>
    <x v="1"/>
  </r>
  <r>
    <x v="298"/>
    <s v="ZTAN"/>
    <x v="7"/>
    <s v="WC2233"/>
    <s v="125108660"/>
    <s v="RENCA"/>
    <x v="2554"/>
    <x v="4"/>
    <x v="1"/>
    <x v="7"/>
    <x v="1"/>
    <n v="1"/>
    <n v="196625"/>
    <n v="0"/>
    <n v="196625"/>
    <n v="11"/>
    <n v="5000"/>
    <n v="100"/>
    <x v="3682"/>
    <x v="2"/>
    <x v="1"/>
    <x v="1"/>
  </r>
  <r>
    <x v="298"/>
    <s v="ZTAN"/>
    <x v="68"/>
    <s v="CKYB66"/>
    <s v="115812335"/>
    <s v="COPIAPO"/>
    <x v="2871"/>
    <x v="0"/>
    <x v="0"/>
    <x v="60"/>
    <x v="9"/>
    <n v="0"/>
    <n v="900000"/>
    <n v="0"/>
    <n v="900000"/>
    <n v="61.474360068987934"/>
    <n v="20000"/>
    <n v="73"/>
    <x v="3683"/>
    <x v="2"/>
    <x v="1"/>
    <x v="0"/>
  </r>
  <r>
    <x v="298"/>
    <s v="ZTAN"/>
    <x v="68"/>
    <s v="TP3884"/>
    <s v="154837728"/>
    <s v="SAN BERNARDO"/>
    <x v="2872"/>
    <x v="1"/>
    <x v="1"/>
    <x v="4"/>
    <x v="1"/>
    <n v="4"/>
    <n v="55000"/>
    <n v="0"/>
    <n v="55000"/>
    <n v="12.142352525609324"/>
    <n v="5000"/>
    <n v="91"/>
    <x v="3684"/>
    <x v="2"/>
    <x v="1"/>
    <x v="1"/>
  </r>
  <r>
    <x v="298"/>
    <s v="ZTAN"/>
    <x v="8"/>
    <s v="CJXX49"/>
    <s v="167832741"/>
    <s v="TALCAHUANO"/>
    <x v="2873"/>
    <x v="5"/>
    <x v="0"/>
    <x v="0"/>
    <x v="0"/>
    <n v="0"/>
    <n v="380000"/>
    <n v="0"/>
    <n v="380000"/>
    <n v="25.53900747352008"/>
    <n v="20000"/>
    <n v="74"/>
    <x v="3685"/>
    <x v="2"/>
    <x v="1"/>
    <x v="0"/>
  </r>
  <r>
    <x v="298"/>
    <s v="ZTAN"/>
    <x v="8"/>
    <s v="SU9354"/>
    <s v="72564391"/>
    <s v="REÑACA"/>
    <x v="2874"/>
    <x v="2"/>
    <x v="1"/>
    <x v="6"/>
    <x v="2"/>
    <n v="0"/>
    <n v="180000"/>
    <n v="0"/>
    <n v="180000"/>
    <n v="20.86472701982149"/>
    <n v="20000"/>
    <n v="43"/>
    <x v="3686"/>
    <x v="2"/>
    <x v="1"/>
    <x v="0"/>
  </r>
  <r>
    <x v="298"/>
    <s v="ZTAN"/>
    <x v="8"/>
    <s v="SV2818"/>
    <s v="99626232"/>
    <s v="PUDAHUEL"/>
    <x v="2875"/>
    <x v="0"/>
    <x v="0"/>
    <x v="10"/>
    <x v="1"/>
    <n v="1"/>
    <n v="55000"/>
    <n v="0"/>
    <n v="55000"/>
    <n v="11.864955236759789"/>
    <n v="5000"/>
    <n v="87"/>
    <x v="3687"/>
    <x v="2"/>
    <x v="1"/>
    <x v="1"/>
  </r>
  <r>
    <x v="298"/>
    <s v="ZTAN"/>
    <x v="8"/>
    <s v="WC2233"/>
    <s v="125108660"/>
    <s v="LAS CONDES"/>
    <x v="2876"/>
    <x v="4"/>
    <x v="1"/>
    <x v="3"/>
    <x v="1"/>
    <n v="4"/>
    <n v="77579"/>
    <n v="0"/>
    <n v="77579"/>
    <n v="11.000056716671866"/>
    <n v="5000"/>
    <n v="100"/>
    <x v="3688"/>
    <x v="2"/>
    <x v="1"/>
    <x v="1"/>
  </r>
  <r>
    <x v="48"/>
    <s v="ZPEP"/>
    <x v="32"/>
    <s v="RK5135"/>
    <s v="138841065"/>
    <s v="LAMPA"/>
    <x v="2877"/>
    <x v="3"/>
    <x v="1"/>
    <x v="17"/>
    <x v="1"/>
    <n v="5"/>
    <n v="70000"/>
    <n v="0"/>
    <n v="70000"/>
    <n v="5.3560716428142943"/>
    <n v="10000"/>
    <n v="100"/>
    <x v="3689"/>
    <x v="2"/>
    <x v="0"/>
    <x v="1"/>
  </r>
  <r>
    <x v="299"/>
    <s v="ZPEP"/>
    <x v="2"/>
    <s v="CKYB66"/>
    <s v="115812335"/>
    <s v="TEMUCO"/>
    <x v="2878"/>
    <x v="0"/>
    <x v="0"/>
    <x v="14"/>
    <x v="4"/>
    <n v="0"/>
    <n v="665000"/>
    <n v="0"/>
    <n v="665000"/>
    <n v="25.620142286179686"/>
    <n v="20000"/>
    <n v="100"/>
    <x v="3690"/>
    <x v="2"/>
    <x v="1"/>
    <x v="0"/>
  </r>
  <r>
    <x v="299"/>
    <s v="ZPEP"/>
    <x v="91"/>
    <s v="SU9354"/>
    <s v="72564391"/>
    <s v="GRANEROS"/>
    <x v="2879"/>
    <x v="2"/>
    <x v="1"/>
    <x v="46"/>
    <x v="6"/>
    <n v="0"/>
    <n v="230000"/>
    <n v="0"/>
    <n v="230000"/>
    <n v="15.796269333260064"/>
    <n v="20000"/>
    <n v="73"/>
    <x v="3691"/>
    <x v="2"/>
    <x v="1"/>
    <x v="0"/>
  </r>
  <r>
    <x v="299"/>
    <s v="ZTAN"/>
    <x v="7"/>
    <s v="DJLF85"/>
    <s v="53173262"/>
    <s v="RENCA"/>
    <x v="2880"/>
    <x v="4"/>
    <x v="1"/>
    <x v="7"/>
    <x v="1"/>
    <n v="1"/>
    <n v="104977"/>
    <n v="0"/>
    <n v="104977"/>
    <n v="10.999958086216655"/>
    <n v="5000"/>
    <n v="100"/>
    <x v="3692"/>
    <x v="2"/>
    <x v="1"/>
    <x v="1"/>
  </r>
  <r>
    <x v="299"/>
    <s v="ZTAN"/>
    <x v="7"/>
    <s v="WC2233"/>
    <s v="125108660"/>
    <s v="RENCA"/>
    <x v="2472"/>
    <x v="4"/>
    <x v="1"/>
    <x v="7"/>
    <x v="1"/>
    <n v="1"/>
    <n v="55000"/>
    <n v="0"/>
    <n v="55000"/>
    <n v="11.574074074074074"/>
    <n v="5000"/>
    <n v="95"/>
    <x v="3693"/>
    <x v="2"/>
    <x v="1"/>
    <x v="1"/>
  </r>
  <r>
    <x v="299"/>
    <s v="ZTAN"/>
    <x v="7"/>
    <s v="WG4022"/>
    <s v="154837728"/>
    <s v="RENCA"/>
    <x v="2881"/>
    <x v="1"/>
    <x v="0"/>
    <x v="7"/>
    <x v="1"/>
    <n v="1"/>
    <n v="233109"/>
    <n v="0"/>
    <n v="233109"/>
    <n v="10.99998820295634"/>
    <n v="5000"/>
    <n v="100"/>
    <x v="3694"/>
    <x v="2"/>
    <x v="1"/>
    <x v="1"/>
  </r>
  <r>
    <x v="299"/>
    <s v="ZTAN"/>
    <x v="8"/>
    <s v="BYZH29"/>
    <s v="122975819"/>
    <s v="LINARES"/>
    <x v="315"/>
    <x v="0"/>
    <x v="0"/>
    <x v="59"/>
    <x v="3"/>
    <n v="0"/>
    <n v="350000"/>
    <n v="0"/>
    <n v="350000"/>
    <n v="36.826599326599293"/>
    <n v="20000"/>
    <n v="48"/>
    <x v="3695"/>
    <x v="2"/>
    <x v="1"/>
    <x v="0"/>
  </r>
  <r>
    <x v="299"/>
    <s v="ZTAN"/>
    <x v="8"/>
    <s v="HLBX77"/>
    <s v="16093509K"/>
    <s v="ÑUÑOA"/>
    <x v="2882"/>
    <x v="1"/>
    <x v="1"/>
    <x v="15"/>
    <x v="1"/>
    <n v="4"/>
    <n v="60661"/>
    <n v="0"/>
    <n v="60661"/>
    <n v="11.000072534726002"/>
    <n v="5000"/>
    <n v="100"/>
    <x v="3696"/>
    <x v="2"/>
    <x v="1"/>
    <x v="1"/>
  </r>
  <r>
    <x v="299"/>
    <s v="ZTAN"/>
    <x v="8"/>
    <s v="SV2718"/>
    <s v="99626232"/>
    <s v="LAS CONDES"/>
    <x v="2883"/>
    <x v="1"/>
    <x v="1"/>
    <x v="3"/>
    <x v="1"/>
    <n v="4"/>
    <n v="62586"/>
    <n v="0"/>
    <n v="62586"/>
    <n v="11.000070303712038"/>
    <n v="5000"/>
    <n v="100"/>
    <x v="3697"/>
    <x v="2"/>
    <x v="1"/>
    <x v="1"/>
  </r>
  <r>
    <x v="299"/>
    <s v="ZTAN"/>
    <x v="8"/>
    <s v="TP3884"/>
    <s v="154837728"/>
    <s v="PUDAHUEL"/>
    <x v="2884"/>
    <x v="1"/>
    <x v="1"/>
    <x v="10"/>
    <x v="1"/>
    <n v="1"/>
    <n v="64214"/>
    <n v="0"/>
    <n v="64214"/>
    <n v="11.000068521310123"/>
    <n v="5000"/>
    <n v="100"/>
    <x v="3698"/>
    <x v="2"/>
    <x v="1"/>
    <x v="1"/>
  </r>
  <r>
    <x v="300"/>
    <s v="ZPEP"/>
    <x v="17"/>
    <s v="TP3884"/>
    <s v="154837728"/>
    <s v="LAMPA"/>
    <x v="2885"/>
    <x v="1"/>
    <x v="1"/>
    <x v="17"/>
    <x v="1"/>
    <n v="5"/>
    <n v="70000"/>
    <n v="0"/>
    <n v="70000"/>
    <n v="4.3626971939131645"/>
    <n v="10000"/>
    <n v="100"/>
    <x v="3699"/>
    <x v="2"/>
    <x v="1"/>
    <x v="1"/>
  </r>
  <r>
    <x v="300"/>
    <s v="ZPEP"/>
    <x v="5"/>
    <s v="HLBX77"/>
    <s v="16093509K"/>
    <s v="MELIPILLA"/>
    <x v="2886"/>
    <x v="1"/>
    <x v="1"/>
    <x v="29"/>
    <x v="1"/>
    <n v="5"/>
    <n v="90000"/>
    <n v="0"/>
    <n v="90000"/>
    <n v="9.4720889113412472"/>
    <n v="10000"/>
    <n v="95"/>
    <x v="3700"/>
    <x v="2"/>
    <x v="1"/>
    <x v="1"/>
  </r>
  <r>
    <x v="300"/>
    <s v="ZPEP"/>
    <x v="5"/>
    <s v="SU9354"/>
    <s v="72564391"/>
    <s v="MELIPILLA"/>
    <x v="2887"/>
    <x v="2"/>
    <x v="1"/>
    <x v="29"/>
    <x v="1"/>
    <n v="5"/>
    <n v="90000"/>
    <n v="0"/>
    <n v="90000"/>
    <n v="7.5776711290729981"/>
    <n v="10000"/>
    <n v="100"/>
    <x v="3701"/>
    <x v="2"/>
    <x v="1"/>
    <x v="1"/>
  </r>
  <r>
    <x v="300"/>
    <s v="ZPEP"/>
    <x v="91"/>
    <s v="WC2233"/>
    <s v="125108660"/>
    <s v="GRANEROS"/>
    <x v="2888"/>
    <x v="4"/>
    <x v="1"/>
    <x v="46"/>
    <x v="6"/>
    <n v="0"/>
    <n v="230000"/>
    <n v="0"/>
    <n v="230000"/>
    <n v="18.48516485150385"/>
    <n v="20000"/>
    <n v="62"/>
    <x v="3702"/>
    <x v="2"/>
    <x v="1"/>
    <x v="0"/>
  </r>
  <r>
    <x v="300"/>
    <s v="ZTAN"/>
    <x v="17"/>
    <s v="SV2718"/>
    <s v="99626232"/>
    <s v="LAMPA"/>
    <x v="2889"/>
    <x v="1"/>
    <x v="1"/>
    <x v="17"/>
    <x v="1"/>
    <n v="5"/>
    <n v="70000"/>
    <n v="0"/>
    <n v="70000"/>
    <n v="11.986506618264013"/>
    <n v="10000"/>
    <n v="58"/>
    <x v="3703"/>
    <x v="2"/>
    <x v="1"/>
    <x v="1"/>
  </r>
  <r>
    <x v="300"/>
    <s v="ZTAN"/>
    <x v="8"/>
    <s v="DRFV76"/>
    <s v="113693568"/>
    <s v="TEMUCO"/>
    <x v="2890"/>
    <x v="0"/>
    <x v="0"/>
    <x v="14"/>
    <x v="4"/>
    <n v="0"/>
    <n v="665000"/>
    <n v="0"/>
    <n v="665000"/>
    <n v="55.24815977933968"/>
    <n v="20000"/>
    <n v="60"/>
    <x v="3704"/>
    <x v="2"/>
    <x v="1"/>
    <x v="0"/>
  </r>
  <r>
    <x v="300"/>
    <s v="ZTAN"/>
    <x v="8"/>
    <s v="RK5135"/>
    <s v="138841065"/>
    <s v="REÑACA"/>
    <x v="2891"/>
    <x v="3"/>
    <x v="1"/>
    <x v="6"/>
    <x v="2"/>
    <n v="0"/>
    <n v="180000"/>
    <n v="0"/>
    <n v="180000"/>
    <n v="20.20973210877327"/>
    <n v="20000"/>
    <n v="55"/>
    <x v="3705"/>
    <x v="2"/>
    <x v="1"/>
    <x v="0"/>
  </r>
  <r>
    <x v="300"/>
    <s v="ZTAN"/>
    <x v="8"/>
    <s v="SV2718"/>
    <s v="99626232"/>
    <s v="LA REINA"/>
    <x v="2892"/>
    <x v="1"/>
    <x v="1"/>
    <x v="11"/>
    <x v="1"/>
    <n v="3"/>
    <n v="55000"/>
    <n v="0"/>
    <n v="55000"/>
    <n v="11.556078497289576"/>
    <n v="5000"/>
    <n v="95"/>
    <x v="3706"/>
    <x v="2"/>
    <x v="1"/>
    <x v="1"/>
  </r>
  <r>
    <x v="300"/>
    <s v="ZTAN"/>
    <x v="8"/>
    <s v="TP3884"/>
    <s v="154837728"/>
    <s v="PUDAHUEL"/>
    <x v="2893"/>
    <x v="1"/>
    <x v="1"/>
    <x v="10"/>
    <x v="1"/>
    <n v="1"/>
    <n v="64902"/>
    <n v="0"/>
    <n v="64902"/>
    <n v="10.999966102843967"/>
    <n v="5000"/>
    <n v="100"/>
    <x v="3707"/>
    <x v="2"/>
    <x v="1"/>
    <x v="1"/>
  </r>
  <r>
    <x v="301"/>
    <s v="ZPEP"/>
    <x v="5"/>
    <s v="DJLF85"/>
    <s v="53173292"/>
    <s v="MELIPILLA"/>
    <x v="2894"/>
    <x v="4"/>
    <x v="1"/>
    <x v="29"/>
    <x v="1"/>
    <n v="5"/>
    <n v="90000"/>
    <n v="0"/>
    <n v="90000"/>
    <n v="8.6270029025071988"/>
    <n v="10000"/>
    <n v="100"/>
    <x v="3708"/>
    <x v="2"/>
    <x v="1"/>
    <x v="1"/>
  </r>
  <r>
    <x v="301"/>
    <s v="ZPEP"/>
    <x v="5"/>
    <s v="HLBX77"/>
    <s v="16093509K"/>
    <s v="MELIPILLA"/>
    <x v="2886"/>
    <x v="1"/>
    <x v="1"/>
    <x v="29"/>
    <x v="1"/>
    <n v="5"/>
    <n v="90000"/>
    <n v="0"/>
    <n v="90000"/>
    <n v="9.4720889113412472"/>
    <n v="10000"/>
    <n v="95"/>
    <x v="3709"/>
    <x v="2"/>
    <x v="1"/>
    <x v="1"/>
  </r>
  <r>
    <x v="301"/>
    <s v="ZPEP"/>
    <x v="5"/>
    <s v="WC2233"/>
    <s v="125108660"/>
    <s v="MELIPILLA"/>
    <x v="2895"/>
    <x v="4"/>
    <x v="1"/>
    <x v="29"/>
    <x v="1"/>
    <n v="5"/>
    <n v="90000"/>
    <n v="0"/>
    <n v="90000"/>
    <n v="8.4444402743504821"/>
    <n v="10000"/>
    <n v="100"/>
    <x v="3710"/>
    <x v="2"/>
    <x v="1"/>
    <x v="1"/>
  </r>
  <r>
    <x v="301"/>
    <s v="ZTAN"/>
    <x v="17"/>
    <s v="TP3884"/>
    <s v="78907355"/>
    <s v="LAMPA"/>
    <x v="2666"/>
    <x v="1"/>
    <x v="1"/>
    <x v="17"/>
    <x v="1"/>
    <n v="5"/>
    <n v="70000"/>
    <n v="0"/>
    <n v="70000"/>
    <n v="8.7901048533936059"/>
    <n v="10000"/>
    <n v="80"/>
    <x v="3711"/>
    <x v="2"/>
    <x v="1"/>
    <x v="1"/>
  </r>
  <r>
    <x v="301"/>
    <s v="ZTAN"/>
    <x v="8"/>
    <s v="PKYS74"/>
    <s v="6270439K"/>
    <s v="CONCEPCION"/>
    <x v="2896"/>
    <x v="0"/>
    <x v="0"/>
    <x v="81"/>
    <x v="0"/>
    <n v="0"/>
    <n v="460000"/>
    <n v="0"/>
    <n v="460000"/>
    <n v="39.257185771830407"/>
    <n v="20000"/>
    <n v="25"/>
    <x v="3712"/>
    <x v="2"/>
    <x v="1"/>
    <x v="0"/>
  </r>
  <r>
    <x v="302"/>
    <s v="ZPEP"/>
    <x v="17"/>
    <s v="DJLF85"/>
    <s v="125108660"/>
    <s v="LAMPA"/>
    <x v="2897"/>
    <x v="4"/>
    <x v="1"/>
    <x v="17"/>
    <x v="1"/>
    <n v="5"/>
    <n v="70000"/>
    <n v="0"/>
    <n v="70000"/>
    <n v="4.1821205980193481"/>
    <n v="10000"/>
    <n v="100"/>
    <x v="3713"/>
    <x v="2"/>
    <x v="1"/>
    <x v="1"/>
  </r>
  <r>
    <x v="302"/>
    <s v="ZPEP"/>
    <x v="5"/>
    <s v="WC2233"/>
    <s v="125108660"/>
    <s v="MELIPILLA"/>
    <x v="2898"/>
    <x v="4"/>
    <x v="1"/>
    <x v="29"/>
    <x v="1"/>
    <n v="5"/>
    <n v="90000"/>
    <n v="0"/>
    <n v="90000"/>
    <n v="8.676580463232991"/>
    <n v="10000"/>
    <n v="100"/>
    <x v="3714"/>
    <x v="2"/>
    <x v="1"/>
    <x v="1"/>
  </r>
  <r>
    <x v="302"/>
    <s v="ZPEP"/>
    <x v="32"/>
    <s v="DJLF85"/>
    <s v="53173292"/>
    <s v="LAMPA"/>
    <x v="2899"/>
    <x v="4"/>
    <x v="1"/>
    <x v="17"/>
    <x v="1"/>
    <n v="5"/>
    <n v="70000"/>
    <n v="0"/>
    <n v="70000"/>
    <n v="8.4534222472336182"/>
    <n v="10000"/>
    <n v="83"/>
    <x v="3715"/>
    <x v="2"/>
    <x v="1"/>
    <x v="1"/>
  </r>
  <r>
    <x v="302"/>
    <s v="ZTAN"/>
    <x v="63"/>
    <s v="KKPF51"/>
    <s v="95707734"/>
    <s v="MAIPU"/>
    <x v="2900"/>
    <x v="8"/>
    <x v="0"/>
    <x v="2"/>
    <x v="1"/>
    <n v="2"/>
    <n v="178871"/>
    <n v="0"/>
    <n v="178871"/>
    <n v="11"/>
    <n v="5000"/>
    <n v="100"/>
    <x v="3716"/>
    <x v="2"/>
    <x v="1"/>
    <x v="1"/>
  </r>
  <r>
    <x v="302"/>
    <s v="ZTAN"/>
    <x v="67"/>
    <s v="HLBX77"/>
    <s v="16093509KK"/>
    <s v="CALERA DE TANGO"/>
    <x v="1334"/>
    <x v="1"/>
    <x v="1"/>
    <x v="71"/>
    <x v="1"/>
    <n v="5"/>
    <n v="90000"/>
    <n v="0"/>
    <n v="90000"/>
    <n v="15.991471215351815"/>
    <n v="10000"/>
    <n v="56"/>
    <x v="3717"/>
    <x v="2"/>
    <x v="1"/>
    <x v="1"/>
  </r>
  <r>
    <x v="302"/>
    <s v="ZTAN"/>
    <x v="93"/>
    <s v="TP3884"/>
    <s v="154837728"/>
    <s v="PROVIDENCIA"/>
    <x v="2901"/>
    <x v="1"/>
    <x v="1"/>
    <x v="54"/>
    <x v="1"/>
    <n v="2"/>
    <n v="71591"/>
    <n v="0"/>
    <n v="71591"/>
    <n v="11.000021511125864"/>
    <n v="5000"/>
    <n v="100"/>
    <x v="3718"/>
    <x v="2"/>
    <x v="1"/>
    <x v="1"/>
  </r>
  <r>
    <x v="302"/>
    <s v="ZTAN"/>
    <x v="10"/>
    <s v="TP3884"/>
    <s v="154837728"/>
    <s v="COLINA"/>
    <x v="2902"/>
    <x v="1"/>
    <x v="1"/>
    <x v="5"/>
    <x v="1"/>
    <n v="5"/>
    <n v="70000"/>
    <n v="0"/>
    <n v="70000"/>
    <n v="19.46390835279724"/>
    <n v="10000"/>
    <n v="36"/>
    <x v="3719"/>
    <x v="2"/>
    <x v="1"/>
    <x v="1"/>
  </r>
  <r>
    <x v="302"/>
    <s v="ZTAN"/>
    <x v="9"/>
    <s v="SV2718"/>
    <s v="99626232"/>
    <s v="SAN BERNARDO"/>
    <x v="2903"/>
    <x v="1"/>
    <x v="1"/>
    <x v="4"/>
    <x v="1"/>
    <n v="4"/>
    <n v="73150"/>
    <n v="0"/>
    <n v="73150"/>
    <n v="11"/>
    <n v="5000"/>
    <n v="100"/>
    <x v="3720"/>
    <x v="2"/>
    <x v="1"/>
    <x v="1"/>
  </r>
  <r>
    <x v="302"/>
    <s v="ZTAN"/>
    <x v="7"/>
    <s v="SU9354"/>
    <s v="72564392"/>
    <s v="SAN MIGUEL"/>
    <x v="234"/>
    <x v="2"/>
    <x v="1"/>
    <x v="23"/>
    <x v="1"/>
    <n v="2"/>
    <n v="99053"/>
    <n v="0"/>
    <n v="99053"/>
    <n v="11.000022210376692"/>
    <n v="5000"/>
    <n v="100"/>
    <x v="3721"/>
    <x v="2"/>
    <x v="1"/>
    <x v="1"/>
  </r>
  <r>
    <x v="302"/>
    <s v="ZTAN"/>
    <x v="8"/>
    <s v="BDHB75"/>
    <s v="98494073"/>
    <s v="VILLARRICA"/>
    <x v="2904"/>
    <x v="0"/>
    <x v="0"/>
    <x v="88"/>
    <x v="4"/>
    <n v="0"/>
    <n v="800000"/>
    <n v="0"/>
    <n v="800000"/>
    <n v="57.131430856685846"/>
    <n v="20000"/>
    <n v="70"/>
    <x v="3722"/>
    <x v="2"/>
    <x v="1"/>
    <x v="0"/>
  </r>
  <r>
    <x v="302"/>
    <s v="ZTAN"/>
    <x v="8"/>
    <s v="SV2718"/>
    <s v="99626232"/>
    <s v="PUDAHUEL"/>
    <x v="2905"/>
    <x v="1"/>
    <x v="1"/>
    <x v="10"/>
    <x v="1"/>
    <n v="1"/>
    <n v="55000"/>
    <n v="0"/>
    <n v="55000"/>
    <n v="13.093367614150358"/>
    <n v="5000"/>
    <n v="84"/>
    <x v="3723"/>
    <x v="2"/>
    <x v="1"/>
    <x v="1"/>
  </r>
  <r>
    <x v="303"/>
    <s v="ZPEP"/>
    <x v="5"/>
    <s v="WC2233"/>
    <s v="125108660"/>
    <s v="MELIPILLA"/>
    <x v="2906"/>
    <x v="4"/>
    <x v="1"/>
    <x v="29"/>
    <x v="1"/>
    <n v="5"/>
    <n v="90000"/>
    <n v="0"/>
    <n v="90000"/>
    <n v="8.7544805918028867"/>
    <n v="10000"/>
    <n v="100"/>
    <x v="3724"/>
    <x v="2"/>
    <x v="1"/>
    <x v="1"/>
  </r>
  <r>
    <x v="303"/>
    <s v="ZPEP"/>
    <x v="32"/>
    <s v="HLBX77"/>
    <s v="16093509K"/>
    <s v="LAMPA"/>
    <x v="2907"/>
    <x v="1"/>
    <x v="1"/>
    <x v="17"/>
    <x v="1"/>
    <n v="5"/>
    <n v="70000"/>
    <n v="0"/>
    <n v="70000"/>
    <n v="13.81692573402418"/>
    <n v="10000"/>
    <n v="51"/>
    <x v="3725"/>
    <x v="2"/>
    <x v="1"/>
    <x v="1"/>
  </r>
  <r>
    <x v="303"/>
    <s v="ZPEP"/>
    <x v="2"/>
    <s v="HLBX77"/>
    <s v="16093509K"/>
    <s v="PROVIDENCIA"/>
    <x v="2908"/>
    <x v="1"/>
    <x v="1"/>
    <x v="54"/>
    <x v="1"/>
    <n v="2"/>
    <n v="76161"/>
    <n v="0"/>
    <n v="76161"/>
    <n v="11.000043329433685"/>
    <n v="5000"/>
    <n v="100"/>
    <x v="3726"/>
    <x v="2"/>
    <x v="1"/>
    <x v="1"/>
  </r>
  <r>
    <x v="303"/>
    <s v="ZPEP"/>
    <x v="12"/>
    <s v="DJLF85"/>
    <s v="53173292"/>
    <s v="VITACURA"/>
    <x v="2909"/>
    <x v="4"/>
    <x v="1"/>
    <x v="27"/>
    <x v="1"/>
    <n v="4"/>
    <n v="92993"/>
    <n v="0"/>
    <n v="92993"/>
    <n v="11.000011828860053"/>
    <n v="5000"/>
    <n v="100"/>
    <x v="3727"/>
    <x v="2"/>
    <x v="1"/>
    <x v="1"/>
  </r>
  <r>
    <x v="303"/>
    <s v="ZPEP"/>
    <x v="12"/>
    <s v="RK5135"/>
    <s v="138841065"/>
    <s v="VITACURA"/>
    <x v="2910"/>
    <x v="3"/>
    <x v="1"/>
    <x v="27"/>
    <x v="1"/>
    <n v="4"/>
    <n v="79708"/>
    <n v="0"/>
    <n v="79708"/>
    <n v="10.999972399326543"/>
    <n v="5000"/>
    <n v="100"/>
    <x v="3728"/>
    <x v="2"/>
    <x v="1"/>
    <x v="1"/>
  </r>
  <r>
    <x v="303"/>
    <s v="ZTAN"/>
    <x v="10"/>
    <s v="KKPF51"/>
    <s v="95707734"/>
    <s v="QUILICURA"/>
    <x v="1870"/>
    <x v="8"/>
    <x v="0"/>
    <x v="8"/>
    <x v="1"/>
    <n v="1"/>
    <n v="198106"/>
    <n v="0"/>
    <n v="198106"/>
    <n v="11.000022210376688"/>
    <n v="5000"/>
    <n v="100"/>
    <x v="3729"/>
    <x v="2"/>
    <x v="1"/>
    <x v="1"/>
  </r>
  <r>
    <x v="303"/>
    <s v="ZTAN"/>
    <x v="10"/>
    <s v="RH1133"/>
    <s v="65941082"/>
    <s v="QUILICURA"/>
    <x v="419"/>
    <x v="0"/>
    <x v="0"/>
    <x v="8"/>
    <x v="1"/>
    <n v="1"/>
    <n v="90684"/>
    <n v="0"/>
    <n v="90684"/>
    <n v="10.999999999999995"/>
    <n v="5000"/>
    <n v="100"/>
    <x v="3730"/>
    <x v="2"/>
    <x v="1"/>
    <x v="1"/>
  </r>
  <r>
    <x v="303"/>
    <s v="ZTAN"/>
    <x v="10"/>
    <s v="WG4022"/>
    <s v="154837728"/>
    <s v="QUILICURA"/>
    <x v="2911"/>
    <x v="1"/>
    <x v="0"/>
    <x v="8"/>
    <x v="1"/>
    <n v="1"/>
    <n v="189851"/>
    <n v="0"/>
    <n v="189851"/>
    <n v="10.999988411977387"/>
    <n v="5000"/>
    <n v="100"/>
    <x v="3731"/>
    <x v="2"/>
    <x v="1"/>
    <x v="1"/>
  </r>
  <r>
    <x v="303"/>
    <s v="ZTAN"/>
    <x v="7"/>
    <s v="RK5135"/>
    <s v="138841065"/>
    <s v="RENCA"/>
    <x v="2912"/>
    <x v="3"/>
    <x v="1"/>
    <x v="7"/>
    <x v="1"/>
    <n v="1"/>
    <n v="85067"/>
    <n v="0"/>
    <n v="85067"/>
    <n v="10.999948276307965"/>
    <n v="5000"/>
    <n v="100"/>
    <x v="3732"/>
    <x v="2"/>
    <x v="1"/>
    <x v="1"/>
  </r>
  <r>
    <x v="303"/>
    <s v="ZTAN"/>
    <x v="7"/>
    <s v="SU9354"/>
    <s v="72564391"/>
    <s v="RENCA"/>
    <x v="2554"/>
    <x v="2"/>
    <x v="1"/>
    <x v="7"/>
    <x v="1"/>
    <n v="1"/>
    <n v="196625"/>
    <n v="0"/>
    <n v="196625"/>
    <n v="11"/>
    <n v="5000"/>
    <n v="100"/>
    <x v="3733"/>
    <x v="2"/>
    <x v="1"/>
    <x v="1"/>
  </r>
  <r>
    <x v="303"/>
    <s v="ZTAN"/>
    <x v="7"/>
    <s v="SU9354"/>
    <s v="72564391"/>
    <s v="SAN MIGUEL"/>
    <x v="234"/>
    <x v="2"/>
    <x v="1"/>
    <x v="23"/>
    <x v="1"/>
    <n v="2"/>
    <n v="99053"/>
    <n v="0"/>
    <n v="99053"/>
    <n v="11.000022210376692"/>
    <n v="5000"/>
    <n v="100"/>
    <x v="3734"/>
    <x v="2"/>
    <x v="1"/>
    <x v="1"/>
  </r>
  <r>
    <x v="304"/>
    <s v="ZPEP"/>
    <x v="5"/>
    <s v="WC2233"/>
    <s v="125108660"/>
    <s v="MELIPILLA"/>
    <x v="2913"/>
    <x v="4"/>
    <x v="1"/>
    <x v="29"/>
    <x v="1"/>
    <n v="5"/>
    <n v="90000"/>
    <n v="0"/>
    <n v="90000"/>
    <n v="5.938077725478708"/>
    <n v="10000"/>
    <n v="100"/>
    <x v="3735"/>
    <x v="2"/>
    <x v="1"/>
    <x v="1"/>
  </r>
  <r>
    <x v="304"/>
    <s v="ZPEP"/>
    <x v="91"/>
    <s v="DJLF85"/>
    <s v="53173262"/>
    <s v="GRANEROS"/>
    <x v="2914"/>
    <x v="4"/>
    <x v="1"/>
    <x v="46"/>
    <x v="6"/>
    <n v="0"/>
    <n v="230000"/>
    <n v="0"/>
    <n v="230000"/>
    <n v="26.27526423776601"/>
    <n v="20000"/>
    <n v="44"/>
    <x v="3736"/>
    <x v="2"/>
    <x v="1"/>
    <x v="0"/>
  </r>
  <r>
    <x v="304"/>
    <s v="ZPEP"/>
    <x v="90"/>
    <s v="DJLS11"/>
    <s v="103610044"/>
    <s v="FREIRINA"/>
    <x v="2915"/>
    <x v="0"/>
    <x v="0"/>
    <x v="94"/>
    <x v="9"/>
    <n v="0"/>
    <n v="900000"/>
    <n v="0"/>
    <n v="900000"/>
    <n v="55.583621853503807"/>
    <n v="20000"/>
    <n v="81"/>
    <x v="3737"/>
    <x v="2"/>
    <x v="1"/>
    <x v="0"/>
  </r>
  <r>
    <x v="304"/>
    <s v="ZTAN"/>
    <x v="6"/>
    <s v="SU9354"/>
    <s v="72564391"/>
    <s v="QUILICURA"/>
    <x v="2916"/>
    <x v="2"/>
    <x v="1"/>
    <x v="8"/>
    <x v="1"/>
    <n v="1"/>
    <n v="55000"/>
    <n v="0"/>
    <n v="55000"/>
    <n v="17.364290179388899"/>
    <n v="5000"/>
    <n v="63"/>
    <x v="3738"/>
    <x v="2"/>
    <x v="1"/>
    <x v="1"/>
  </r>
  <r>
    <x v="304"/>
    <s v="ZTAN"/>
    <x v="6"/>
    <s v="TP3884"/>
    <s v="99626232"/>
    <s v="SANTIAGO"/>
    <x v="2917"/>
    <x v="1"/>
    <x v="1"/>
    <x v="20"/>
    <x v="1"/>
    <n v="1"/>
    <n v="78408"/>
    <n v="0"/>
    <n v="78408"/>
    <n v="11"/>
    <n v="5000"/>
    <n v="100"/>
    <x v="3739"/>
    <x v="2"/>
    <x v="1"/>
    <x v="1"/>
  </r>
  <r>
    <x v="304"/>
    <s v="ZTAN"/>
    <x v="7"/>
    <s v="DJLF85"/>
    <s v="125108660"/>
    <s v="RENCA"/>
    <x v="1219"/>
    <x v="4"/>
    <x v="1"/>
    <x v="7"/>
    <x v="1"/>
    <n v="1"/>
    <n v="55000"/>
    <n v="0"/>
    <n v="55000"/>
    <n v="20.014556040756915"/>
    <n v="5000"/>
    <n v="55"/>
    <x v="3740"/>
    <x v="2"/>
    <x v="1"/>
    <x v="1"/>
  </r>
  <r>
    <x v="304"/>
    <s v="ZTAN"/>
    <x v="7"/>
    <s v="HLBX77"/>
    <s v="16093509K"/>
    <s v="RENCA"/>
    <x v="1219"/>
    <x v="1"/>
    <x v="1"/>
    <x v="7"/>
    <x v="1"/>
    <n v="1"/>
    <n v="55000"/>
    <n v="0"/>
    <n v="55000"/>
    <n v="20.014556040756915"/>
    <n v="5000"/>
    <n v="55"/>
    <x v="3741"/>
    <x v="2"/>
    <x v="1"/>
    <x v="1"/>
  </r>
  <r>
    <x v="304"/>
    <s v="ZTAN"/>
    <x v="7"/>
    <s v="KKPF51"/>
    <s v="95707734"/>
    <s v="MELIPILLA"/>
    <x v="2918"/>
    <x v="8"/>
    <x v="0"/>
    <x v="29"/>
    <x v="1"/>
    <n v="5"/>
    <n v="120000"/>
    <n v="0"/>
    <n v="120000"/>
    <n v="14.822134387351774"/>
    <n v="10000"/>
    <n v="81"/>
    <x v="3742"/>
    <x v="2"/>
    <x v="1"/>
    <x v="1"/>
  </r>
  <r>
    <x v="304"/>
    <s v="ZTAN"/>
    <x v="7"/>
    <s v="TP3884"/>
    <s v="154837728"/>
    <s v="RENCA"/>
    <x v="2919"/>
    <x v="1"/>
    <x v="1"/>
    <x v="7"/>
    <x v="1"/>
    <n v="1"/>
    <n v="55000"/>
    <n v="0"/>
    <n v="55000"/>
    <n v="11.119197800420507"/>
    <n v="5000"/>
    <n v="99"/>
    <x v="3743"/>
    <x v="2"/>
    <x v="1"/>
    <x v="1"/>
  </r>
  <r>
    <x v="304"/>
    <s v="ZTAN"/>
    <x v="7"/>
    <s v="WG4022"/>
    <s v="154837728"/>
    <s v="RENCA"/>
    <x v="1219"/>
    <x v="1"/>
    <x v="0"/>
    <x v="7"/>
    <x v="1"/>
    <n v="1"/>
    <n v="55000"/>
    <n v="0"/>
    <n v="55000"/>
    <n v="20.014556040756915"/>
    <n v="5000"/>
    <n v="55"/>
    <x v="3744"/>
    <x v="2"/>
    <x v="1"/>
    <x v="1"/>
  </r>
  <r>
    <x v="304"/>
    <s v="ZTAN"/>
    <x v="8"/>
    <s v="PKYS74"/>
    <s v="6270439K"/>
    <s v="CHILLAN"/>
    <x v="2920"/>
    <x v="0"/>
    <x v="0"/>
    <x v="21"/>
    <x v="5"/>
    <n v="0"/>
    <n v="400000"/>
    <n v="0"/>
    <n v="400000"/>
    <n v="46.813191957493608"/>
    <n v="20000"/>
    <n v="43"/>
    <x v="3745"/>
    <x v="2"/>
    <x v="1"/>
    <x v="0"/>
  </r>
  <r>
    <x v="304"/>
    <s v="ZTAN"/>
    <x v="8"/>
    <s v="SV2718"/>
    <s v="99626232"/>
    <s v="PUDAHUEL"/>
    <x v="2921"/>
    <x v="1"/>
    <x v="1"/>
    <x v="10"/>
    <x v="1"/>
    <n v="1"/>
    <n v="63684"/>
    <n v="0"/>
    <n v="63684"/>
    <n v="10.999913636756197"/>
    <n v="5000"/>
    <n v="100"/>
    <x v="3746"/>
    <x v="2"/>
    <x v="1"/>
    <x v="1"/>
  </r>
  <r>
    <x v="304"/>
    <s v="ZTAN"/>
    <x v="8"/>
    <s v="TP3884"/>
    <s v="154837728"/>
    <s v="LA FLORIDA"/>
    <x v="2922"/>
    <x v="1"/>
    <x v="1"/>
    <x v="33"/>
    <x v="1"/>
    <n v="3"/>
    <n v="55000"/>
    <n v="0"/>
    <n v="55000"/>
    <n v="11.334784185709104"/>
    <n v="5000"/>
    <n v="97"/>
    <x v="3747"/>
    <x v="2"/>
    <x v="1"/>
    <x v="1"/>
  </r>
  <r>
    <x v="305"/>
    <s v="ZPEP"/>
    <x v="5"/>
    <s v="HLBX77"/>
    <s v="16093509K"/>
    <s v="MELIPILLA"/>
    <x v="2923"/>
    <x v="1"/>
    <x v="1"/>
    <x v="29"/>
    <x v="1"/>
    <n v="5"/>
    <n v="90000"/>
    <n v="0"/>
    <n v="90000"/>
    <n v="9.0183884941395505"/>
    <n v="10000"/>
    <n v="100"/>
    <x v="3748"/>
    <x v="2"/>
    <x v="1"/>
    <x v="1"/>
  </r>
  <r>
    <x v="305"/>
    <s v="ZPEP"/>
    <x v="2"/>
    <s v="DRFV76"/>
    <s v="113692568"/>
    <s v="TEMUCO"/>
    <x v="2924"/>
    <x v="0"/>
    <x v="0"/>
    <x v="14"/>
    <x v="4"/>
    <n v="0"/>
    <n v="665000"/>
    <n v="0"/>
    <n v="665000"/>
    <n v="35.104722931355219"/>
    <n v="20000"/>
    <n v="95"/>
    <x v="3749"/>
    <x v="2"/>
    <x v="1"/>
    <x v="0"/>
  </r>
  <r>
    <x v="305"/>
    <s v="ZTAN"/>
    <x v="17"/>
    <s v="SU9351"/>
    <s v="72564391"/>
    <s v="LAMPA"/>
    <x v="2925"/>
    <x v="0"/>
    <x v="0"/>
    <x v="17"/>
    <x v="1"/>
    <n v="5"/>
    <n v="120000"/>
    <n v="0"/>
    <n v="120000"/>
    <n v="7.966540529774945"/>
    <n v="10000"/>
    <n v="100"/>
    <x v="3750"/>
    <x v="2"/>
    <x v="1"/>
    <x v="1"/>
  </r>
  <r>
    <x v="305"/>
    <s v="ZTAN"/>
    <x v="7"/>
    <s v="DJLF85"/>
    <s v="53173292"/>
    <s v="SAN MIGUEL"/>
    <x v="2926"/>
    <x v="4"/>
    <x v="1"/>
    <x v="23"/>
    <x v="1"/>
    <n v="2"/>
    <n v="55000"/>
    <n v="0"/>
    <n v="55000"/>
    <n v="11.544508277412433"/>
    <n v="5000"/>
    <n v="95"/>
    <x v="3751"/>
    <x v="2"/>
    <x v="1"/>
    <x v="1"/>
  </r>
  <r>
    <x v="305"/>
    <s v="ZTAN"/>
    <x v="7"/>
    <s v="HLBX77"/>
    <s v="16093509K"/>
    <s v="RENCA"/>
    <x v="2378"/>
    <x v="1"/>
    <x v="1"/>
    <x v="7"/>
    <x v="1"/>
    <n v="1"/>
    <n v="109503"/>
    <n v="0"/>
    <n v="109503"/>
    <n v="11.000020090810464"/>
    <n v="5000"/>
    <n v="100"/>
    <x v="3752"/>
    <x v="2"/>
    <x v="1"/>
    <x v="1"/>
  </r>
  <r>
    <x v="305"/>
    <s v="ZTAN"/>
    <x v="7"/>
    <s v="WC2233"/>
    <s v="125108660"/>
    <s v="RENCA"/>
    <x v="1219"/>
    <x v="4"/>
    <x v="1"/>
    <x v="7"/>
    <x v="1"/>
    <n v="1"/>
    <n v="55000"/>
    <n v="0"/>
    <n v="55000"/>
    <n v="20.014556040756915"/>
    <n v="5000"/>
    <n v="55"/>
    <x v="3753"/>
    <x v="2"/>
    <x v="1"/>
    <x v="1"/>
  </r>
  <r>
    <x v="305"/>
    <s v="ZTAN"/>
    <x v="7"/>
    <s v="WG4022"/>
    <s v="154837728"/>
    <s v="RENCA"/>
    <x v="419"/>
    <x v="1"/>
    <x v="0"/>
    <x v="7"/>
    <x v="1"/>
    <n v="1"/>
    <n v="90684"/>
    <n v="0"/>
    <n v="90684"/>
    <n v="10.999999999999995"/>
    <n v="5000"/>
    <n v="100"/>
    <x v="3754"/>
    <x v="2"/>
    <x v="1"/>
    <x v="1"/>
  </r>
  <r>
    <x v="305"/>
    <s v="ZTAN"/>
    <x v="8"/>
    <s v="BYZH29"/>
    <s v="122975819"/>
    <s v="TALCA"/>
    <x v="2927"/>
    <x v="0"/>
    <x v="0"/>
    <x v="12"/>
    <x v="3"/>
    <n v="0"/>
    <n v="330000"/>
    <n v="0"/>
    <n v="330000"/>
    <n v="29.431753115752411"/>
    <n v="20000"/>
    <n v="56"/>
    <x v="3755"/>
    <x v="2"/>
    <x v="1"/>
    <x v="0"/>
  </r>
  <r>
    <x v="305"/>
    <s v="ZTAN"/>
    <x v="8"/>
    <s v="CKYB66"/>
    <s v="115812335"/>
    <s v="OSORNO"/>
    <x v="2928"/>
    <x v="0"/>
    <x v="0"/>
    <x v="64"/>
    <x v="10"/>
    <n v="0"/>
    <n v="950000"/>
    <n v="0"/>
    <n v="950000"/>
    <n v="57.557618205171742"/>
    <n v="20000"/>
    <n v="83"/>
    <x v="3756"/>
    <x v="2"/>
    <x v="1"/>
    <x v="0"/>
  </r>
  <r>
    <x v="305"/>
    <s v="ZTAN"/>
    <x v="8"/>
    <s v="DTCY42"/>
    <s v="92028607"/>
    <s v="PUERTO MONTT"/>
    <x v="2929"/>
    <x v="5"/>
    <x v="0"/>
    <x v="53"/>
    <x v="10"/>
    <n v="0"/>
    <n v="1100000"/>
    <n v="0"/>
    <n v="1100000"/>
    <n v="64.214827787507303"/>
    <n v="20000"/>
    <n v="86"/>
    <x v="3757"/>
    <x v="2"/>
    <x v="1"/>
    <x v="0"/>
  </r>
  <r>
    <x v="305"/>
    <s v="ZTAN"/>
    <x v="8"/>
    <s v="KLVY88"/>
    <s v="139094328"/>
    <s v="CORONEL"/>
    <x v="419"/>
    <x v="0"/>
    <x v="0"/>
    <x v="16"/>
    <x v="0"/>
    <n v="0"/>
    <n v="480000"/>
    <n v="0"/>
    <n v="480000"/>
    <n v="58.224163027656452"/>
    <n v="20000"/>
    <n v="41"/>
    <x v="3758"/>
    <x v="2"/>
    <x v="1"/>
    <x v="0"/>
  </r>
  <r>
    <x v="305"/>
    <s v="ZTAN"/>
    <x v="8"/>
    <s v="SV2718"/>
    <s v="99626232"/>
    <s v="CERRILLOS"/>
    <x v="2930"/>
    <x v="1"/>
    <x v="1"/>
    <x v="9"/>
    <x v="1"/>
    <n v="2"/>
    <n v="55000"/>
    <n v="0"/>
    <n v="55000"/>
    <n v="13.021326565400203"/>
    <n v="5000"/>
    <n v="54"/>
    <x v="3759"/>
    <x v="2"/>
    <x v="1"/>
    <x v="1"/>
  </r>
  <r>
    <x v="306"/>
    <s v="ZPEP"/>
    <x v="17"/>
    <s v="KKPF51"/>
    <s v="95707734"/>
    <s v="LAMPA"/>
    <x v="2931"/>
    <x v="8"/>
    <x v="0"/>
    <x v="17"/>
    <x v="1"/>
    <n v="5"/>
    <n v="120000"/>
    <n v="0"/>
    <n v="120000"/>
    <n v="13.708676907048316"/>
    <n v="10000"/>
    <n v="88"/>
    <x v="3760"/>
    <x v="2"/>
    <x v="1"/>
    <x v="1"/>
  </r>
  <r>
    <x v="306"/>
    <s v="ZPEP"/>
    <x v="5"/>
    <s v="HLBX77"/>
    <s v="16093509K"/>
    <s v="MELIPILLA"/>
    <x v="2932"/>
    <x v="1"/>
    <x v="1"/>
    <x v="29"/>
    <x v="1"/>
    <n v="5"/>
    <n v="90000"/>
    <n v="0"/>
    <n v="90000"/>
    <n v="9.8427026749184972"/>
    <n v="10000"/>
    <n v="91"/>
    <x v="3761"/>
    <x v="2"/>
    <x v="1"/>
    <x v="1"/>
  </r>
  <r>
    <x v="306"/>
    <s v="ZPEP"/>
    <x v="2"/>
    <s v="SV2718"/>
    <s v="99626232"/>
    <s v="PROVIDENCIA"/>
    <x v="2933"/>
    <x v="1"/>
    <x v="1"/>
    <x v="54"/>
    <x v="1"/>
    <n v="2"/>
    <n v="55000"/>
    <n v="0"/>
    <n v="55000"/>
    <n v="14.095191233303606"/>
    <n v="5000"/>
    <n v="78"/>
    <x v="3762"/>
    <x v="2"/>
    <x v="1"/>
    <x v="1"/>
  </r>
  <r>
    <x v="306"/>
    <s v="ZPEP"/>
    <x v="91"/>
    <s v="SU9354"/>
    <s v="72564391"/>
    <s v="GRANEROS"/>
    <x v="2934"/>
    <x v="2"/>
    <x v="1"/>
    <x v="46"/>
    <x v="6"/>
    <n v="0"/>
    <n v="230000"/>
    <n v="0"/>
    <n v="230000"/>
    <n v="21.459748043897314"/>
    <n v="20000"/>
    <n v="54"/>
    <x v="3763"/>
    <x v="2"/>
    <x v="1"/>
    <x v="0"/>
  </r>
  <r>
    <x v="306"/>
    <s v="ZTAN"/>
    <x v="17"/>
    <s v="KKPF51"/>
    <s v="95707734"/>
    <s v="LAMPA"/>
    <x v="2666"/>
    <x v="8"/>
    <x v="0"/>
    <x v="17"/>
    <x v="1"/>
    <n v="5"/>
    <n v="120000"/>
    <n v="0"/>
    <n v="120000"/>
    <n v="15.068751177246181"/>
    <n v="10000"/>
    <n v="80"/>
    <x v="3764"/>
    <x v="2"/>
    <x v="1"/>
    <x v="1"/>
  </r>
  <r>
    <x v="306"/>
    <s v="ZTAN"/>
    <x v="21"/>
    <s v="WC2233"/>
    <s v="125108660"/>
    <s v="LA REINA"/>
    <x v="1067"/>
    <x v="4"/>
    <x v="1"/>
    <x v="11"/>
    <x v="1"/>
    <n v="3"/>
    <n v="93522"/>
    <n v="0"/>
    <n v="93522"/>
    <n v="11"/>
    <n v="5000"/>
    <n v="100"/>
    <x v="3765"/>
    <x v="2"/>
    <x v="1"/>
    <x v="1"/>
  </r>
  <r>
    <x v="306"/>
    <s v="ZTAN"/>
    <x v="47"/>
    <s v="TP3884"/>
    <s v="78907355"/>
    <s v="SAN JOAQUIN"/>
    <x v="2935"/>
    <x v="1"/>
    <x v="1"/>
    <x v="67"/>
    <x v="1"/>
    <n v="3"/>
    <n v="77176"/>
    <n v="0"/>
    <n v="77176"/>
    <n v="10.999999999999998"/>
    <n v="5000"/>
    <n v="100"/>
    <x v="3766"/>
    <x v="2"/>
    <x v="1"/>
    <x v="1"/>
  </r>
  <r>
    <x v="306"/>
    <s v="ZTAN"/>
    <x v="7"/>
    <s v="DJLF85"/>
    <s v="53173292"/>
    <s v="RENCA"/>
    <x v="1219"/>
    <x v="4"/>
    <x v="1"/>
    <x v="7"/>
    <x v="1"/>
    <n v="1"/>
    <n v="55000"/>
    <n v="0"/>
    <n v="55000"/>
    <n v="20.014556040756915"/>
    <n v="5000"/>
    <n v="55"/>
    <x v="3767"/>
    <x v="2"/>
    <x v="1"/>
    <x v="1"/>
  </r>
  <r>
    <x v="306"/>
    <s v="ZTAN"/>
    <x v="7"/>
    <s v="DJLF85"/>
    <s v="53173292"/>
    <s v="SANTIAGO"/>
    <x v="2936"/>
    <x v="4"/>
    <x v="1"/>
    <x v="20"/>
    <x v="1"/>
    <n v="1"/>
    <n v="112129"/>
    <n v="0"/>
    <n v="112129"/>
    <n v="10.999995094937486"/>
    <n v="5000"/>
    <n v="100"/>
    <x v="3768"/>
    <x v="2"/>
    <x v="1"/>
    <x v="1"/>
  </r>
  <r>
    <x v="306"/>
    <s v="ZTAN"/>
    <x v="7"/>
    <s v="RK5135"/>
    <s v="138441065"/>
    <s v="RENCA"/>
    <x v="1219"/>
    <x v="3"/>
    <x v="1"/>
    <x v="7"/>
    <x v="1"/>
    <n v="1"/>
    <n v="55000"/>
    <n v="0"/>
    <n v="55000"/>
    <n v="20.014556040756915"/>
    <n v="5000"/>
    <n v="55"/>
    <x v="3769"/>
    <x v="2"/>
    <x v="1"/>
    <x v="1"/>
  </r>
  <r>
    <x v="306"/>
    <s v="ZTAN"/>
    <x v="7"/>
    <s v="WG4022"/>
    <s v="154837728"/>
    <s v="RENCA"/>
    <x v="419"/>
    <x v="1"/>
    <x v="0"/>
    <x v="7"/>
    <x v="1"/>
    <n v="1"/>
    <n v="90684"/>
    <n v="0"/>
    <n v="90684"/>
    <n v="10.999999999999995"/>
    <n v="5000"/>
    <n v="100"/>
    <x v="3770"/>
    <x v="2"/>
    <x v="1"/>
    <x v="1"/>
  </r>
  <r>
    <x v="306"/>
    <s v="ZTAN"/>
    <x v="8"/>
    <s v="HLBX77"/>
    <s v="16093509K"/>
    <s v="LA REINA"/>
    <x v="2937"/>
    <x v="1"/>
    <x v="1"/>
    <x v="11"/>
    <x v="1"/>
    <n v="3"/>
    <n v="55000"/>
    <n v="0"/>
    <n v="55000"/>
    <n v="13.819303808600129"/>
    <n v="5000"/>
    <n v="80"/>
    <x v="3771"/>
    <x v="2"/>
    <x v="1"/>
    <x v="1"/>
  </r>
  <r>
    <x v="306"/>
    <s v="ZTAN"/>
    <x v="8"/>
    <s v="RK5135"/>
    <s v="138841065"/>
    <s v="QUILIN"/>
    <x v="2938"/>
    <x v="3"/>
    <x v="1"/>
    <x v="34"/>
    <x v="1"/>
    <n v="4"/>
    <n v="74830"/>
    <n v="0"/>
    <n v="74830"/>
    <n v="10.999979420057214"/>
    <n v="5000"/>
    <n v="100"/>
    <x v="3772"/>
    <x v="2"/>
    <x v="1"/>
    <x v="1"/>
  </r>
  <r>
    <x v="306"/>
    <s v="ZTAN"/>
    <x v="8"/>
    <s v="SV2718"/>
    <s v="99626232"/>
    <s v="PUDAHUEL"/>
    <x v="2939"/>
    <x v="1"/>
    <x v="1"/>
    <x v="10"/>
    <x v="1"/>
    <n v="1"/>
    <n v="55000"/>
    <n v="0"/>
    <n v="55000"/>
    <n v="11.279506162712003"/>
    <n v="5000"/>
    <n v="83"/>
    <x v="3773"/>
    <x v="2"/>
    <x v="1"/>
    <x v="1"/>
  </r>
  <r>
    <x v="306"/>
    <s v="ZTAN"/>
    <x v="8"/>
    <s v="TP3884"/>
    <s v="154837728"/>
    <s v="HUECHURABA"/>
    <x v="2940"/>
    <x v="1"/>
    <x v="1"/>
    <x v="24"/>
    <x v="1"/>
    <n v="1"/>
    <n v="55000"/>
    <n v="0"/>
    <n v="55000"/>
    <n v="15.230394328754985"/>
    <n v="5000"/>
    <n v="72"/>
    <x v="3774"/>
    <x v="2"/>
    <x v="1"/>
    <x v="1"/>
  </r>
  <r>
    <x v="307"/>
    <s v="ZPEP"/>
    <x v="17"/>
    <s v="SU9354"/>
    <s v="72564391"/>
    <s v="LAMPA"/>
    <x v="2941"/>
    <x v="2"/>
    <x v="1"/>
    <x v="17"/>
    <x v="1"/>
    <n v="5"/>
    <n v="70000"/>
    <n v="0"/>
    <n v="70000"/>
    <n v="13.006317354143441"/>
    <n v="10000"/>
    <n v="54"/>
    <x v="3775"/>
    <x v="2"/>
    <x v="1"/>
    <x v="1"/>
  </r>
  <r>
    <x v="307"/>
    <s v="ZPEP"/>
    <x v="5"/>
    <s v="HLBX77"/>
    <s v="16093509K"/>
    <s v="MELIPILLA"/>
    <x v="2942"/>
    <x v="1"/>
    <x v="1"/>
    <x v="29"/>
    <x v="1"/>
    <n v="5"/>
    <n v="90000"/>
    <n v="0"/>
    <n v="90000"/>
    <n v="9.8356570983937281"/>
    <n v="10000"/>
    <n v="92"/>
    <x v="3776"/>
    <x v="2"/>
    <x v="1"/>
    <x v="1"/>
  </r>
  <r>
    <x v="307"/>
    <s v="ZPEP"/>
    <x v="2"/>
    <s v="BDHB75"/>
    <s v="98494073"/>
    <s v="TEMUCO"/>
    <x v="2943"/>
    <x v="0"/>
    <x v="0"/>
    <x v="14"/>
    <x v="4"/>
    <n v="0"/>
    <n v="665000"/>
    <n v="0"/>
    <n v="665000"/>
    <n v="24.092806214132505"/>
    <n v="20000"/>
    <n v="100"/>
    <x v="3777"/>
    <x v="2"/>
    <x v="1"/>
    <x v="0"/>
  </r>
  <r>
    <x v="307"/>
    <s v="ZPEP"/>
    <x v="2"/>
    <s v="BYZH29"/>
    <s v="122975819"/>
    <s v="TEMUCO"/>
    <x v="2944"/>
    <x v="0"/>
    <x v="0"/>
    <x v="14"/>
    <x v="4"/>
    <n v="0"/>
    <n v="665000"/>
    <n v="0"/>
    <n v="665000"/>
    <n v="26.027723243500507"/>
    <n v="20000"/>
    <n v="100"/>
    <x v="3778"/>
    <x v="2"/>
    <x v="1"/>
    <x v="0"/>
  </r>
  <r>
    <x v="307"/>
    <s v="ZTAN"/>
    <x v="10"/>
    <s v="KKPF51"/>
    <s v="95707734"/>
    <s v="SANTIAGO"/>
    <x v="2945"/>
    <x v="8"/>
    <x v="0"/>
    <x v="20"/>
    <x v="1"/>
    <n v="1"/>
    <n v="201170"/>
    <n v="0"/>
    <n v="201170"/>
    <n v="10.999989063986614"/>
    <n v="5000"/>
    <n v="100"/>
    <x v="3779"/>
    <x v="2"/>
    <x v="1"/>
    <x v="1"/>
  </r>
  <r>
    <x v="307"/>
    <s v="ZTAN"/>
    <x v="10"/>
    <s v="PKYS74"/>
    <s v="6270439K"/>
    <s v="TALCAHUANO"/>
    <x v="419"/>
    <x v="0"/>
    <x v="0"/>
    <x v="0"/>
    <x v="0"/>
    <n v="0"/>
    <n v="420000"/>
    <n v="0"/>
    <n v="420000"/>
    <n v="50.946142649199395"/>
    <n v="20000"/>
    <n v="41"/>
    <x v="3780"/>
    <x v="2"/>
    <x v="1"/>
    <x v="0"/>
  </r>
  <r>
    <x v="307"/>
    <s v="ZTAN"/>
    <x v="10"/>
    <s v="TP3884"/>
    <s v="99626232"/>
    <s v="COLINA"/>
    <x v="2946"/>
    <x v="1"/>
    <x v="1"/>
    <x v="5"/>
    <x v="1"/>
    <n v="5"/>
    <n v="70000"/>
    <n v="0"/>
    <n v="70000"/>
    <n v="10.337291039045425"/>
    <n v="10000"/>
    <n v="68"/>
    <x v="3781"/>
    <x v="2"/>
    <x v="1"/>
    <x v="1"/>
  </r>
  <r>
    <x v="307"/>
    <s v="ZTAN"/>
    <x v="7"/>
    <s v="WC2233"/>
    <s v="125108660"/>
    <s v="SAN MIGUEL"/>
    <x v="2947"/>
    <x v="4"/>
    <x v="1"/>
    <x v="23"/>
    <x v="1"/>
    <n v="2"/>
    <n v="114884"/>
    <n v="0"/>
    <n v="114884"/>
    <n v="11.000021064766498"/>
    <n v="5000"/>
    <n v="100"/>
    <x v="3782"/>
    <x v="2"/>
    <x v="1"/>
    <x v="1"/>
  </r>
  <r>
    <x v="307"/>
    <s v="ZTAN"/>
    <x v="8"/>
    <s v="SV2718"/>
    <s v="99626232"/>
    <s v="PUDAHUEL"/>
    <x v="2948"/>
    <x v="1"/>
    <x v="1"/>
    <x v="10"/>
    <x v="1"/>
    <n v="1"/>
    <n v="55000"/>
    <n v="0"/>
    <n v="55000"/>
    <n v="13.266822330715346"/>
    <n v="5000"/>
    <n v="83"/>
    <x v="3783"/>
    <x v="2"/>
    <x v="1"/>
    <x v="1"/>
  </r>
  <r>
    <x v="308"/>
    <s v="ZPEP"/>
    <x v="5"/>
    <s v="WC2233"/>
    <s v="125108660"/>
    <s v="MELIPILLA"/>
    <x v="2949"/>
    <x v="4"/>
    <x v="1"/>
    <x v="29"/>
    <x v="1"/>
    <n v="5"/>
    <n v="90000"/>
    <n v="0"/>
    <n v="90000"/>
    <n v="15.198594974331263"/>
    <n v="10000"/>
    <n v="59"/>
    <x v="3784"/>
    <x v="2"/>
    <x v="1"/>
    <x v="1"/>
  </r>
  <r>
    <x v="308"/>
    <s v="ZPEP"/>
    <x v="91"/>
    <s v="HLBX77"/>
    <s v="160935096K"/>
    <s v="GRANEROS"/>
    <x v="2950"/>
    <x v="1"/>
    <x v="1"/>
    <x v="46"/>
    <x v="6"/>
    <n v="0"/>
    <n v="230000"/>
    <n v="0"/>
    <n v="230000"/>
    <n v="18.060037847557577"/>
    <n v="20000"/>
    <n v="64"/>
    <x v="3785"/>
    <x v="2"/>
    <x v="1"/>
    <x v="0"/>
  </r>
  <r>
    <x v="308"/>
    <s v="ZTAN"/>
    <x v="17"/>
    <s v="TP3884"/>
    <s v="78907355"/>
    <s v="LAMPA"/>
    <x v="924"/>
    <x v="1"/>
    <x v="1"/>
    <x v="17"/>
    <x v="1"/>
    <n v="5"/>
    <n v="70000"/>
    <n v="0"/>
    <n v="70000"/>
    <n v="15.255530129672007"/>
    <n v="10000"/>
    <n v="46"/>
    <x v="3786"/>
    <x v="2"/>
    <x v="1"/>
    <x v="1"/>
  </r>
  <r>
    <x v="309"/>
    <s v="ZPEP"/>
    <x v="17"/>
    <s v="DJLF85"/>
    <n v="53173262"/>
    <s v="LAMPA"/>
    <x v="2951"/>
    <x v="4"/>
    <x v="1"/>
    <x v="17"/>
    <x v="1"/>
    <n v="5"/>
    <n v="70000"/>
    <n v="0"/>
    <n v="70000"/>
    <n v="7.0364770972722592"/>
    <n v="10000"/>
    <n v="43"/>
    <x v="3787"/>
    <x v="2"/>
    <x v="1"/>
    <x v="1"/>
  </r>
  <r>
    <x v="309"/>
    <s v="ZPEP"/>
    <x v="17"/>
    <s v="RK5135"/>
    <n v="138841065"/>
    <s v="LAMPA"/>
    <x v="2952"/>
    <x v="3"/>
    <x v="1"/>
    <x v="17"/>
    <x v="1"/>
    <n v="5"/>
    <n v="70000"/>
    <n v="0"/>
    <n v="70000"/>
    <n v="7.3939574467186144"/>
    <n v="10000"/>
    <n v="95"/>
    <x v="3788"/>
    <x v="2"/>
    <x v="1"/>
    <x v="1"/>
  </r>
  <r>
    <x v="309"/>
    <s v="ZTAN"/>
    <x v="10"/>
    <s v="KKPF51"/>
    <n v="95707734"/>
    <s v="QUILICURA"/>
    <x v="419"/>
    <x v="8"/>
    <x v="0"/>
    <x v="8"/>
    <x v="1"/>
    <n v="1"/>
    <n v="90684"/>
    <n v="0"/>
    <n v="90684"/>
    <n v="10.999999999999995"/>
    <n v="5000"/>
    <n v="100"/>
    <x v="3789"/>
    <x v="2"/>
    <x v="1"/>
    <x v="1"/>
  </r>
  <r>
    <x v="309"/>
    <s v="ZTAN"/>
    <x v="10"/>
    <s v="RH1133"/>
    <n v="65941082"/>
    <s v="QUILICURA"/>
    <x v="0"/>
    <x v="0"/>
    <x v="0"/>
    <x v="8"/>
    <x v="1"/>
    <n v="1"/>
    <n v="165088"/>
    <n v="0"/>
    <n v="165088"/>
    <n v="11.000000000000007"/>
    <n v="5000"/>
    <n v="100"/>
    <x v="3790"/>
    <x v="2"/>
    <x v="1"/>
    <x v="1"/>
  </r>
  <r>
    <x v="309"/>
    <s v="ZTAN"/>
    <x v="8"/>
    <s v="BWPL69"/>
    <n v="78551976"/>
    <s v="GORBEA"/>
    <x v="419"/>
    <x v="5"/>
    <x v="0"/>
    <x v="95"/>
    <x v="4"/>
    <n v="0"/>
    <n v="665000"/>
    <n v="0"/>
    <n v="665000"/>
    <n v="80.66472586123237"/>
    <n v="20000"/>
    <n v="41"/>
    <x v="3791"/>
    <x v="2"/>
    <x v="1"/>
    <x v="0"/>
  </r>
  <r>
    <x v="309"/>
    <s v="ZTAN"/>
    <x v="8"/>
    <s v="DFRV76"/>
    <n v="113693568"/>
    <s v="TEMUCO"/>
    <x v="2953"/>
    <x v="5"/>
    <x v="0"/>
    <x v="14"/>
    <x v="4"/>
    <n v="0"/>
    <n v="665000"/>
    <n v="0"/>
    <n v="665000"/>
    <n v="56.127616475354536"/>
    <n v="20000"/>
    <n v="59"/>
    <x v="3792"/>
    <x v="2"/>
    <x v="1"/>
    <x v="0"/>
  </r>
  <r>
    <x v="310"/>
    <s v="ZPEP"/>
    <x v="17"/>
    <s v="HLBX77"/>
    <s v="16093509K"/>
    <s v="LAMPA"/>
    <x v="2954"/>
    <x v="1"/>
    <x v="1"/>
    <x v="17"/>
    <x v="1"/>
    <n v="5"/>
    <n v="70000"/>
    <n v="0"/>
    <n v="70000"/>
    <n v="9.7261126672891365"/>
    <n v="10000"/>
    <n v="72"/>
    <x v="3793"/>
    <x v="2"/>
    <x v="1"/>
    <x v="1"/>
  </r>
  <r>
    <x v="310"/>
    <s v="ZPEP"/>
    <x v="17"/>
    <s v="SU9354"/>
    <s v="72561394"/>
    <s v="LAMPA"/>
    <x v="2955"/>
    <x v="2"/>
    <x v="1"/>
    <x v="17"/>
    <x v="1"/>
    <n v="5"/>
    <n v="70000"/>
    <n v="0"/>
    <n v="70000"/>
    <n v="4.6761936318259067"/>
    <n v="10000"/>
    <n v="100"/>
    <x v="3794"/>
    <x v="2"/>
    <x v="1"/>
    <x v="1"/>
  </r>
  <r>
    <x v="310"/>
    <s v="ZTAN"/>
    <x v="51"/>
    <s v="HLBX77"/>
    <s v="16093509K"/>
    <s v="RANCAGUA"/>
    <x v="2956"/>
    <x v="1"/>
    <x v="1"/>
    <x v="28"/>
    <x v="6"/>
    <n v="0"/>
    <n v="180000"/>
    <n v="0"/>
    <n v="180000"/>
    <n v="26.51757894504232"/>
    <n v="20000"/>
    <n v="34"/>
    <x v="3795"/>
    <x v="2"/>
    <x v="1"/>
    <x v="0"/>
  </r>
  <r>
    <x v="310"/>
    <s v="ZTAN"/>
    <x v="51"/>
    <s v="RK5135"/>
    <s v="138841065"/>
    <s v="CERRILLOS"/>
    <x v="2957"/>
    <x v="3"/>
    <x v="1"/>
    <x v="9"/>
    <x v="1"/>
    <n v="2"/>
    <n v="78715"/>
    <n v="0"/>
    <n v="78715"/>
    <n v="10.999937115267711"/>
    <n v="5000"/>
    <n v="100"/>
    <x v="3796"/>
    <x v="2"/>
    <x v="1"/>
    <x v="1"/>
  </r>
  <r>
    <x v="310"/>
    <s v="ZTAN"/>
    <x v="51"/>
    <s v="SU9354"/>
    <s v="72564391"/>
    <s v="VALPARAISO"/>
    <x v="2958"/>
    <x v="2"/>
    <x v="1"/>
    <x v="36"/>
    <x v="2"/>
    <n v="0"/>
    <n v="180000"/>
    <n v="0"/>
    <n v="180000"/>
    <n v="25.028852705201835"/>
    <n v="20000"/>
    <n v="36"/>
    <x v="3797"/>
    <x v="2"/>
    <x v="1"/>
    <x v="0"/>
  </r>
  <r>
    <x v="310"/>
    <s v="ZTAN"/>
    <x v="17"/>
    <s v="HLBX77"/>
    <s v="16093509K"/>
    <s v="LAMPA"/>
    <x v="2666"/>
    <x v="1"/>
    <x v="1"/>
    <x v="17"/>
    <x v="1"/>
    <n v="5"/>
    <n v="70000"/>
    <n v="0"/>
    <n v="70000"/>
    <n v="8.7901048533936059"/>
    <n v="10000"/>
    <n v="80"/>
    <x v="3798"/>
    <x v="2"/>
    <x v="1"/>
    <x v="1"/>
  </r>
  <r>
    <x v="310"/>
    <s v="ZTAN"/>
    <x v="17"/>
    <s v="WG4022"/>
    <s v="154837728"/>
    <s v="LAMPA"/>
    <x v="2959"/>
    <x v="1"/>
    <x v="0"/>
    <x v="17"/>
    <x v="1"/>
    <n v="5"/>
    <n v="120000"/>
    <n v="0"/>
    <n v="120000"/>
    <n v="5.5063552516863217"/>
    <n v="10000"/>
    <n v="100"/>
    <x v="3799"/>
    <x v="2"/>
    <x v="1"/>
    <x v="1"/>
  </r>
  <r>
    <x v="310"/>
    <s v="ZTAN"/>
    <x v="10"/>
    <s v="PKYS74"/>
    <s v="6270439K"/>
    <s v="TALCAHUANO"/>
    <x v="2960"/>
    <x v="0"/>
    <x v="0"/>
    <x v="0"/>
    <x v="0"/>
    <n v="0"/>
    <n v="420000"/>
    <n v="0"/>
    <n v="420000"/>
    <n v="52.160953800298039"/>
    <n v="20000"/>
    <n v="40"/>
    <x v="3800"/>
    <x v="2"/>
    <x v="1"/>
    <x v="0"/>
  </r>
  <r>
    <x v="310"/>
    <s v="ZTAN"/>
    <x v="10"/>
    <s v="RH1133"/>
    <s v="65941082"/>
    <s v="SANTIAGO"/>
    <x v="419"/>
    <x v="0"/>
    <x v="0"/>
    <x v="20"/>
    <x v="1"/>
    <n v="1"/>
    <n v="90684"/>
    <n v="0"/>
    <n v="90684"/>
    <n v="10.999999999999995"/>
    <n v="5000"/>
    <n v="100"/>
    <x v="3801"/>
    <x v="2"/>
    <x v="1"/>
    <x v="1"/>
  </r>
  <r>
    <x v="310"/>
    <s v="ZTAN"/>
    <x v="6"/>
    <s v="KKPF51"/>
    <s v="95707734"/>
    <s v="VALPARAISO"/>
    <x v="2961"/>
    <x v="8"/>
    <x v="0"/>
    <x v="36"/>
    <x v="2"/>
    <n v="0"/>
    <n v="275000"/>
    <n v="0"/>
    <n v="275000"/>
    <n v="20.641616501283533"/>
    <n v="20000"/>
    <n v="33"/>
    <x v="3802"/>
    <x v="2"/>
    <x v="1"/>
    <x v="0"/>
  </r>
  <r>
    <x v="310"/>
    <s v="ZTAN"/>
    <x v="6"/>
    <s v="SV2718"/>
    <s v="99626231"/>
    <s v="LA DEHESA"/>
    <x v="2962"/>
    <x v="1"/>
    <x v="1"/>
    <x v="41"/>
    <x v="1"/>
    <n v="4"/>
    <n v="60102"/>
    <n v="0"/>
    <n v="60102"/>
    <n v="10.999996339557306"/>
    <n v="5000"/>
    <n v="100"/>
    <x v="3803"/>
    <x v="2"/>
    <x v="1"/>
    <x v="1"/>
  </r>
  <r>
    <x v="310"/>
    <s v="ZTAN"/>
    <x v="8"/>
    <s v="DJLF85"/>
    <s v="125108660"/>
    <s v="LAMPA"/>
    <x v="2963"/>
    <x v="4"/>
    <x v="1"/>
    <x v="17"/>
    <x v="1"/>
    <n v="5"/>
    <n v="70000"/>
    <n v="0"/>
    <n v="70000"/>
    <n v="12.066365007541478"/>
    <n v="10000"/>
    <n v="35"/>
    <x v="3804"/>
    <x v="2"/>
    <x v="1"/>
    <x v="1"/>
  </r>
  <r>
    <x v="310"/>
    <s v="ZTAN"/>
    <x v="8"/>
    <s v="TP3884"/>
    <s v="154837728"/>
    <s v="PUDAHUEL"/>
    <x v="2964"/>
    <x v="1"/>
    <x v="1"/>
    <x v="10"/>
    <x v="1"/>
    <n v="1"/>
    <n v="58128"/>
    <n v="0"/>
    <n v="58128"/>
    <n v="10.99992430550299"/>
    <n v="5000"/>
    <n v="100"/>
    <x v="3805"/>
    <x v="2"/>
    <x v="1"/>
    <x v="1"/>
  </r>
  <r>
    <x v="311"/>
    <s v="ZPEP"/>
    <x v="17"/>
    <s v="DJLF85"/>
    <s v="53173292"/>
    <s v="LAMPA"/>
    <x v="2965"/>
    <x v="4"/>
    <x v="1"/>
    <x v="17"/>
    <x v="1"/>
    <n v="5"/>
    <n v="70000"/>
    <n v="0"/>
    <n v="70000"/>
    <n v="11.670323367988637"/>
    <n v="10000"/>
    <n v="60"/>
    <x v="3806"/>
    <x v="2"/>
    <x v="1"/>
    <x v="1"/>
  </r>
  <r>
    <x v="311"/>
    <s v="ZPEP"/>
    <x v="58"/>
    <s v="WV2233"/>
    <s v="125108660"/>
    <s v="COLINA"/>
    <x v="2966"/>
    <x v="0"/>
    <x v="0"/>
    <x v="5"/>
    <x v="1"/>
    <n v="5"/>
    <n v="120000"/>
    <n v="0"/>
    <n v="120000"/>
    <n v="14.585055180125432"/>
    <n v="10000"/>
    <n v="82"/>
    <x v="3807"/>
    <x v="2"/>
    <x v="1"/>
    <x v="1"/>
  </r>
  <r>
    <x v="311"/>
    <s v="ZTAN"/>
    <x v="63"/>
    <s v="RH1133"/>
    <s v="65941082"/>
    <s v="MAIPU"/>
    <x v="2967"/>
    <x v="0"/>
    <x v="0"/>
    <x v="2"/>
    <x v="1"/>
    <n v="2"/>
    <n v="180015"/>
    <n v="0"/>
    <n v="180015"/>
    <n v="11"/>
    <n v="5000"/>
    <n v="100"/>
    <x v="3808"/>
    <x v="2"/>
    <x v="1"/>
    <x v="1"/>
  </r>
  <r>
    <x v="311"/>
    <s v="ZTAN"/>
    <x v="10"/>
    <s v="KKPF51"/>
    <s v="95707734"/>
    <s v="SANTIAGO"/>
    <x v="2968"/>
    <x v="8"/>
    <x v="0"/>
    <x v="20"/>
    <x v="1"/>
    <n v="1"/>
    <n v="228798"/>
    <n v="0"/>
    <n v="228798"/>
    <n v="11.000009615477072"/>
    <n v="5000"/>
    <n v="100"/>
    <x v="3809"/>
    <x v="2"/>
    <x v="1"/>
    <x v="1"/>
  </r>
  <r>
    <x v="311"/>
    <s v="ZTAN"/>
    <x v="6"/>
    <s v="HLBX77"/>
    <s v="16093509K"/>
    <s v="MAIPU"/>
    <x v="2969"/>
    <x v="1"/>
    <x v="1"/>
    <x v="2"/>
    <x v="1"/>
    <n v="2"/>
    <n v="55000"/>
    <n v="0"/>
    <n v="55000"/>
    <n v="16.53836901611739"/>
    <n v="5000"/>
    <n v="67"/>
    <x v="3810"/>
    <x v="2"/>
    <x v="1"/>
    <x v="1"/>
  </r>
  <r>
    <x v="311"/>
    <s v="ZTAN"/>
    <x v="8"/>
    <s v="BYZH29"/>
    <s v="122975819"/>
    <s v="CHILLAN"/>
    <x v="419"/>
    <x v="0"/>
    <x v="0"/>
    <x v="21"/>
    <x v="5"/>
    <n v="0"/>
    <n v="400000"/>
    <n v="0"/>
    <n v="400000"/>
    <n v="48.520135856380378"/>
    <n v="20000"/>
    <n v="41"/>
    <x v="3811"/>
    <x v="2"/>
    <x v="1"/>
    <x v="0"/>
  </r>
  <r>
    <x v="311"/>
    <s v="ZTAN"/>
    <x v="8"/>
    <s v="RK5135"/>
    <s v="138841065"/>
    <s v="PUENTE ALTO"/>
    <x v="2970"/>
    <x v="3"/>
    <x v="1"/>
    <x v="30"/>
    <x v="1"/>
    <n v="4"/>
    <n v="55000"/>
    <n v="0"/>
    <n v="55000"/>
    <n v="11.949248283653429"/>
    <n v="5000"/>
    <n v="92"/>
    <x v="3812"/>
    <x v="2"/>
    <x v="1"/>
    <x v="1"/>
  </r>
  <r>
    <x v="311"/>
    <s v="ZTAN"/>
    <x v="8"/>
    <s v="SV2718"/>
    <s v="99626232"/>
    <s v="ÑUÑOA"/>
    <x v="2971"/>
    <x v="1"/>
    <x v="1"/>
    <x v="15"/>
    <x v="1"/>
    <n v="4"/>
    <n v="55000"/>
    <n v="0"/>
    <n v="55000"/>
    <n v="11.069516564022059"/>
    <n v="5000"/>
    <n v="99"/>
    <x v="3813"/>
    <x v="2"/>
    <x v="1"/>
    <x v="1"/>
  </r>
  <r>
    <x v="311"/>
    <s v="ZTAN"/>
    <x v="8"/>
    <s v="TP3884"/>
    <s v="154837728"/>
    <s v="SAN MIGUEL"/>
    <x v="2972"/>
    <x v="1"/>
    <x v="1"/>
    <x v="23"/>
    <x v="1"/>
    <n v="2"/>
    <n v="82518"/>
    <n v="0"/>
    <n v="82518"/>
    <n v="11.000053321957985"/>
    <n v="5000"/>
    <n v="100"/>
    <x v="3814"/>
    <x v="2"/>
    <x v="1"/>
    <x v="1"/>
  </r>
  <r>
    <x v="311"/>
    <s v="ZTAN"/>
    <x v="8"/>
    <s v="VE9862"/>
    <s v="98494073"/>
    <s v="VILLARRICA"/>
    <x v="2973"/>
    <x v="5"/>
    <x v="0"/>
    <x v="88"/>
    <x v="4"/>
    <n v="0"/>
    <n v="800000"/>
    <n v="0"/>
    <n v="800000"/>
    <n v="56.328507857826885"/>
    <n v="20000"/>
    <n v="71"/>
    <x v="3815"/>
    <x v="2"/>
    <x v="1"/>
    <x v="0"/>
  </r>
  <r>
    <x v="312"/>
    <s v="ZTAN"/>
    <x v="12"/>
    <s v="HLBX77"/>
    <s v="16093509K"/>
    <s v="VITACURA"/>
    <x v="799"/>
    <x v="1"/>
    <x v="1"/>
    <x v="27"/>
    <x v="1"/>
    <n v="4"/>
    <n v="106938"/>
    <n v="0"/>
    <n v="106938"/>
    <n v="11.000041145490458"/>
    <n v="5000"/>
    <n v="100"/>
    <x v="3816"/>
    <x v="2"/>
    <x v="1"/>
    <x v="1"/>
  </r>
  <r>
    <x v="312"/>
    <s v="ZTAN"/>
    <x v="12"/>
    <s v="SU9354"/>
    <s v="72561391"/>
    <s v="VITACURA"/>
    <x v="799"/>
    <x v="2"/>
    <x v="1"/>
    <x v="27"/>
    <x v="1"/>
    <n v="4"/>
    <n v="106938"/>
    <n v="0"/>
    <n v="106938"/>
    <n v="11.000041145490458"/>
    <n v="5000"/>
    <n v="100"/>
    <x v="3817"/>
    <x v="2"/>
    <x v="1"/>
    <x v="1"/>
  </r>
  <r>
    <x v="312"/>
    <s v="ZTAN"/>
    <x v="9"/>
    <s v="DJLF85"/>
    <s v="53173292"/>
    <s v="SAN BERNARDO"/>
    <x v="1067"/>
    <x v="4"/>
    <x v="1"/>
    <x v="4"/>
    <x v="1"/>
    <n v="4"/>
    <n v="93522"/>
    <n v="0"/>
    <n v="93522"/>
    <n v="11"/>
    <n v="5000"/>
    <n v="100"/>
    <x v="3818"/>
    <x v="2"/>
    <x v="1"/>
    <x v="1"/>
  </r>
  <r>
    <x v="313"/>
    <s v="ZPEP"/>
    <x v="5"/>
    <s v="HLBX77"/>
    <s v="16093509K"/>
    <s v="BUIN"/>
    <x v="2974"/>
    <x v="1"/>
    <x v="1"/>
    <x v="56"/>
    <x v="1"/>
    <n v="5"/>
    <n v="90000"/>
    <n v="0"/>
    <n v="90000"/>
    <n v="15.291143369760238"/>
    <n v="10000"/>
    <n v="59"/>
    <x v="3819"/>
    <x v="3"/>
    <x v="3"/>
    <x v="1"/>
  </r>
  <r>
    <x v="313"/>
    <s v="ZPEP"/>
    <x v="2"/>
    <s v="BWPL69"/>
    <s v="78551976"/>
    <s v="TEMUCO"/>
    <x v="2975"/>
    <x v="5"/>
    <x v="0"/>
    <x v="14"/>
    <x v="4"/>
    <n v="0"/>
    <n v="665000"/>
    <n v="0"/>
    <n v="665000"/>
    <n v="39.961060500444681"/>
    <n v="20000"/>
    <n v="83"/>
    <x v="3820"/>
    <x v="3"/>
    <x v="3"/>
    <x v="0"/>
  </r>
  <r>
    <x v="313"/>
    <s v="ZTAN"/>
    <x v="16"/>
    <s v="CKYB66"/>
    <s v="115812335"/>
    <s v="TEMUCO"/>
    <x v="419"/>
    <x v="0"/>
    <x v="0"/>
    <x v="14"/>
    <x v="4"/>
    <n v="0"/>
    <n v="665000"/>
    <n v="0"/>
    <n v="665000"/>
    <n v="80.66472586123237"/>
    <n v="20000"/>
    <n v="41"/>
    <x v="3821"/>
    <x v="3"/>
    <x v="3"/>
    <x v="0"/>
  </r>
  <r>
    <x v="313"/>
    <s v="ZTAN"/>
    <x v="7"/>
    <s v="DJLF85"/>
    <s v="125108660"/>
    <s v="RENCA"/>
    <x v="45"/>
    <x v="4"/>
    <x v="1"/>
    <x v="7"/>
    <x v="1"/>
    <n v="1"/>
    <n v="55000"/>
    <n v="0"/>
    <n v="55000"/>
    <n v="25.01819505094614"/>
    <n v="5000"/>
    <n v="44"/>
    <x v="3822"/>
    <x v="3"/>
    <x v="3"/>
    <x v="1"/>
  </r>
  <r>
    <x v="313"/>
    <s v="ZTAN"/>
    <x v="7"/>
    <s v="SU9354"/>
    <s v="72564391"/>
    <s v="RENCA"/>
    <x v="1219"/>
    <x v="2"/>
    <x v="1"/>
    <x v="7"/>
    <x v="1"/>
    <n v="1"/>
    <n v="55000"/>
    <n v="0"/>
    <n v="55000"/>
    <n v="20.014556040756915"/>
    <n v="5000"/>
    <n v="55"/>
    <x v="3823"/>
    <x v="3"/>
    <x v="3"/>
    <x v="1"/>
  </r>
  <r>
    <x v="313"/>
    <s v="ZTAN"/>
    <x v="7"/>
    <s v="WG4022"/>
    <s v="154837728"/>
    <s v="RENCA"/>
    <x v="670"/>
    <x v="1"/>
    <x v="0"/>
    <x v="7"/>
    <x v="1"/>
    <n v="1"/>
    <n v="81616"/>
    <n v="0"/>
    <n v="81616"/>
    <n v="11.000053911262059"/>
    <n v="5000"/>
    <n v="100"/>
    <x v="3824"/>
    <x v="3"/>
    <x v="3"/>
    <x v="1"/>
  </r>
  <r>
    <x v="313"/>
    <s v="ZTAN"/>
    <x v="8"/>
    <s v="SV2718"/>
    <s v="99626232"/>
    <s v="LAS CONDES"/>
    <x v="2976"/>
    <x v="1"/>
    <x v="1"/>
    <x v="3"/>
    <x v="1"/>
    <n v="4"/>
    <n v="62627"/>
    <n v="0"/>
    <n v="62627"/>
    <n v="11.000084309330937"/>
    <n v="5000"/>
    <n v="100"/>
    <x v="3825"/>
    <x v="3"/>
    <x v="3"/>
    <x v="1"/>
  </r>
  <r>
    <x v="313"/>
    <s v="ZTAN"/>
    <x v="8"/>
    <s v="TP3884"/>
    <s v="78907355"/>
    <s v="PUDAHUEL"/>
    <x v="2977"/>
    <x v="1"/>
    <x v="1"/>
    <x v="10"/>
    <x v="1"/>
    <n v="1"/>
    <n v="81812"/>
    <n v="0"/>
    <n v="81812"/>
    <n v="10.999991932729722"/>
    <n v="5000"/>
    <n v="100"/>
    <x v="3826"/>
    <x v="3"/>
    <x v="3"/>
    <x v="1"/>
  </r>
  <r>
    <x v="314"/>
    <s v="ZPEP"/>
    <x v="2"/>
    <s v="BYZH29"/>
    <s v="122975819"/>
    <s v="TEMUCO"/>
    <x v="2978"/>
    <x v="0"/>
    <x v="0"/>
    <x v="14"/>
    <x v="4"/>
    <n v="0"/>
    <n v="665000"/>
    <n v="0"/>
    <n v="665000"/>
    <n v="42.373340350953235"/>
    <n v="20000"/>
    <n v="78"/>
    <x v="3827"/>
    <x v="3"/>
    <x v="3"/>
    <x v="0"/>
  </r>
  <r>
    <x v="314"/>
    <s v="ZPEP"/>
    <x v="91"/>
    <s v="WC2233"/>
    <s v="125108660"/>
    <s v="GRANEROS"/>
    <x v="2979"/>
    <x v="4"/>
    <x v="1"/>
    <x v="46"/>
    <x v="6"/>
    <n v="0"/>
    <n v="230000"/>
    <n v="0"/>
    <n v="230000"/>
    <n v="38.392073205337503"/>
    <n v="20000"/>
    <n v="30"/>
    <x v="3828"/>
    <x v="3"/>
    <x v="3"/>
    <x v="0"/>
  </r>
  <r>
    <x v="314"/>
    <s v="ZTAN"/>
    <x v="17"/>
    <s v="TP3884"/>
    <s v="154837728"/>
    <s v="LAMPA"/>
    <x v="2666"/>
    <x v="1"/>
    <x v="1"/>
    <x v="17"/>
    <x v="1"/>
    <n v="5"/>
    <n v="70000"/>
    <n v="0"/>
    <n v="70000"/>
    <n v="8.7901048533936059"/>
    <n v="10000"/>
    <n v="80"/>
    <x v="3829"/>
    <x v="3"/>
    <x v="3"/>
    <x v="1"/>
  </r>
  <r>
    <x v="314"/>
    <s v="ZTAN"/>
    <x v="12"/>
    <s v="HLBX77"/>
    <s v="16093509K"/>
    <s v="VITACURA"/>
    <x v="189"/>
    <x v="1"/>
    <x v="1"/>
    <x v="27"/>
    <x v="1"/>
    <n v="4"/>
    <n v="91661"/>
    <n v="0"/>
    <n v="91661"/>
    <n v="11.000024001536101"/>
    <n v="5000"/>
    <n v="100"/>
    <x v="3830"/>
    <x v="3"/>
    <x v="3"/>
    <x v="1"/>
  </r>
  <r>
    <x v="314"/>
    <s v="ZTAN"/>
    <x v="12"/>
    <s v="SU9354"/>
    <s v="72564391"/>
    <s v="VITACURA"/>
    <x v="2980"/>
    <x v="2"/>
    <x v="1"/>
    <x v="27"/>
    <x v="1"/>
    <n v="4"/>
    <n v="144602"/>
    <n v="0"/>
    <n v="144602"/>
    <n v="11.000030428432327"/>
    <n v="5000"/>
    <n v="100"/>
    <x v="3831"/>
    <x v="3"/>
    <x v="3"/>
    <x v="1"/>
  </r>
  <r>
    <x v="314"/>
    <s v="ZTAN"/>
    <x v="6"/>
    <s v="BPKD94"/>
    <s v="125897258"/>
    <s v="COPIAPO"/>
    <x v="2981"/>
    <x v="0"/>
    <x v="0"/>
    <x v="60"/>
    <x v="9"/>
    <n v="0"/>
    <n v="1000000"/>
    <n v="0"/>
    <n v="1000000"/>
    <n v="86.983297467220353"/>
    <n v="20000"/>
    <n v="51"/>
    <x v="3832"/>
    <x v="3"/>
    <x v="3"/>
    <x v="0"/>
  </r>
  <r>
    <x v="314"/>
    <s v="ZTAN"/>
    <x v="6"/>
    <s v="WC2233"/>
    <s v="125108660"/>
    <s v="LOS ANDES"/>
    <x v="2982"/>
    <x v="4"/>
    <x v="1"/>
    <x v="38"/>
    <x v="2"/>
    <n v="0"/>
    <n v="180000"/>
    <n v="0"/>
    <n v="180000"/>
    <n v="29.430808169992353"/>
    <n v="20000"/>
    <n v="31"/>
    <x v="3833"/>
    <x v="3"/>
    <x v="3"/>
    <x v="0"/>
  </r>
  <r>
    <x v="314"/>
    <s v="ZTAN"/>
    <x v="16"/>
    <s v="RK5135"/>
    <s v="138841065"/>
    <s v="SAN BERNARDO"/>
    <x v="1219"/>
    <x v="3"/>
    <x v="1"/>
    <x v="4"/>
    <x v="1"/>
    <n v="4"/>
    <n v="55000"/>
    <n v="0"/>
    <n v="55000"/>
    <n v="20.014556040756915"/>
    <n v="5000"/>
    <n v="55"/>
    <x v="3834"/>
    <x v="3"/>
    <x v="3"/>
    <x v="1"/>
  </r>
  <r>
    <x v="314"/>
    <s v="ZTAN"/>
    <x v="7"/>
    <s v="DJLF85"/>
    <s v="125108660"/>
    <s v="RENCA"/>
    <x v="2983"/>
    <x v="4"/>
    <x v="1"/>
    <x v="7"/>
    <x v="1"/>
    <n v="1"/>
    <n v="55546"/>
    <n v="0"/>
    <n v="55546"/>
    <n v="11.000079214195186"/>
    <n v="5000"/>
    <n v="100"/>
    <x v="3835"/>
    <x v="3"/>
    <x v="3"/>
    <x v="1"/>
  </r>
  <r>
    <x v="314"/>
    <s v="ZTAN"/>
    <x v="7"/>
    <s v="KKPF51"/>
    <s v="95707734"/>
    <s v="MELIPILLA"/>
    <x v="2984"/>
    <x v="8"/>
    <x v="0"/>
    <x v="29"/>
    <x v="1"/>
    <n v="5"/>
    <n v="120000"/>
    <n v="0"/>
    <n v="120000"/>
    <n v="7.2251725009934651"/>
    <n v="10000"/>
    <n v="100"/>
    <x v="3836"/>
    <x v="3"/>
    <x v="3"/>
    <x v="1"/>
  </r>
  <r>
    <x v="314"/>
    <s v="ZTAN"/>
    <x v="7"/>
    <s v="SU9354"/>
    <s v="72564391"/>
    <s v="RENCA"/>
    <x v="45"/>
    <x v="2"/>
    <x v="1"/>
    <x v="7"/>
    <x v="1"/>
    <n v="1"/>
    <n v="55000"/>
    <n v="0"/>
    <n v="55000"/>
    <n v="25.01819505094614"/>
    <n v="5000"/>
    <n v="44"/>
    <x v="3837"/>
    <x v="3"/>
    <x v="3"/>
    <x v="1"/>
  </r>
  <r>
    <x v="314"/>
    <s v="ZTAN"/>
    <x v="7"/>
    <s v="WG4022"/>
    <s v="154837728"/>
    <s v="RENCA"/>
    <x v="2985"/>
    <x v="1"/>
    <x v="0"/>
    <x v="7"/>
    <x v="1"/>
    <n v="1"/>
    <n v="203526"/>
    <n v="0"/>
    <n v="203526"/>
    <n v="11.000008107078285"/>
    <n v="5000"/>
    <n v="100"/>
    <x v="3838"/>
    <x v="3"/>
    <x v="3"/>
    <x v="1"/>
  </r>
  <r>
    <x v="314"/>
    <s v="ZTAN"/>
    <x v="8"/>
    <s v="RK5135"/>
    <s v="138841065"/>
    <s v="EL BOSQUE"/>
    <x v="2986"/>
    <x v="3"/>
    <x v="1"/>
    <x v="25"/>
    <x v="1"/>
    <n v="3"/>
    <n v="63813"/>
    <n v="0"/>
    <n v="63813"/>
    <n v="10.999965524374268"/>
    <n v="5000"/>
    <n v="100"/>
    <x v="3839"/>
    <x v="3"/>
    <x v="3"/>
    <x v="1"/>
  </r>
  <r>
    <x v="314"/>
    <s v="ZTAN"/>
    <x v="8"/>
    <s v="TP3884"/>
    <s v="154837728"/>
    <s v="LA REINA"/>
    <x v="2987"/>
    <x v="1"/>
    <x v="1"/>
    <x v="11"/>
    <x v="1"/>
    <n v="3"/>
    <n v="64082"/>
    <n v="0"/>
    <n v="64082"/>
    <n v="10.99999313380161"/>
    <n v="5000"/>
    <n v="100"/>
    <x v="3840"/>
    <x v="3"/>
    <x v="3"/>
    <x v="1"/>
  </r>
  <r>
    <x v="315"/>
    <s v="ZPEP"/>
    <x v="17"/>
    <s v="TP3884"/>
    <s v="78907355"/>
    <s v="LAMPA"/>
    <x v="2988"/>
    <x v="1"/>
    <x v="1"/>
    <x v="17"/>
    <x v="1"/>
    <n v="5"/>
    <n v="70000"/>
    <n v="0"/>
    <n v="70000"/>
    <n v="9.8192142384217433"/>
    <n v="10000"/>
    <n v="71"/>
    <x v="3841"/>
    <x v="3"/>
    <x v="3"/>
    <x v="1"/>
  </r>
  <r>
    <x v="315"/>
    <s v="ZTAN"/>
    <x v="5"/>
    <s v="RK5135"/>
    <s v="138841065"/>
    <s v="SAN BERNARDO"/>
    <x v="2989"/>
    <x v="3"/>
    <x v="1"/>
    <x v="4"/>
    <x v="1"/>
    <n v="4"/>
    <n v="55000"/>
    <n v="0"/>
    <n v="55000"/>
    <n v="24.250440917107582"/>
    <n v="5000"/>
    <n v="45"/>
    <x v="3842"/>
    <x v="3"/>
    <x v="3"/>
    <x v="1"/>
  </r>
  <r>
    <x v="315"/>
    <s v="ZTAN"/>
    <x v="12"/>
    <s v="SU9354"/>
    <s v="72564391"/>
    <s v="VITACURA"/>
    <x v="2990"/>
    <x v="2"/>
    <x v="1"/>
    <x v="27"/>
    <x v="1"/>
    <n v="4"/>
    <n v="137823"/>
    <n v="0"/>
    <n v="137823"/>
    <n v="10.999968075087386"/>
    <n v="5000"/>
    <n v="100"/>
    <x v="3843"/>
    <x v="3"/>
    <x v="3"/>
    <x v="1"/>
  </r>
  <r>
    <x v="315"/>
    <s v="ZTAN"/>
    <x v="6"/>
    <s v="KKPF51"/>
    <s v="95707734"/>
    <s v="CURICO"/>
    <x v="2991"/>
    <x v="8"/>
    <x v="0"/>
    <x v="73"/>
    <x v="3"/>
    <n v="0"/>
    <n v="300000"/>
    <n v="0"/>
    <n v="300000"/>
    <n v="25.168545358752446"/>
    <n v="20000"/>
    <n v="75"/>
    <x v="3844"/>
    <x v="3"/>
    <x v="3"/>
    <x v="0"/>
  </r>
  <r>
    <x v="315"/>
    <s v="ZTAN"/>
    <x v="7"/>
    <s v="DJLF85"/>
    <s v="53173292"/>
    <s v="SAN MIGUEL"/>
    <x v="1000"/>
    <x v="4"/>
    <x v="1"/>
    <x v="23"/>
    <x v="1"/>
    <n v="2"/>
    <n v="74290"/>
    <n v="0"/>
    <n v="74290"/>
    <n v="11.000059227671169"/>
    <n v="5000"/>
    <n v="100"/>
    <x v="3845"/>
    <x v="3"/>
    <x v="3"/>
    <x v="1"/>
  </r>
  <r>
    <x v="315"/>
    <s v="ZTAN"/>
    <x v="7"/>
    <s v="HLBX77"/>
    <s v="16093509K"/>
    <s v="RENCA"/>
    <x v="1219"/>
    <x v="1"/>
    <x v="1"/>
    <x v="7"/>
    <x v="1"/>
    <n v="1"/>
    <n v="55000"/>
    <n v="0"/>
    <n v="55000"/>
    <n v="20.014556040756915"/>
    <n v="5000"/>
    <n v="55"/>
    <x v="3846"/>
    <x v="3"/>
    <x v="3"/>
    <x v="1"/>
  </r>
  <r>
    <x v="315"/>
    <s v="ZTAN"/>
    <x v="7"/>
    <s v="WC2233"/>
    <s v="125108660"/>
    <s v="SAN MIGUEL"/>
    <x v="1000"/>
    <x v="4"/>
    <x v="1"/>
    <x v="23"/>
    <x v="1"/>
    <n v="2"/>
    <n v="74290"/>
    <n v="0"/>
    <n v="74290"/>
    <n v="11.000059227671169"/>
    <n v="5000"/>
    <n v="100"/>
    <x v="3847"/>
    <x v="3"/>
    <x v="3"/>
    <x v="1"/>
  </r>
  <r>
    <x v="315"/>
    <s v="ZTAN"/>
    <x v="7"/>
    <s v="WG4022"/>
    <s v="154837728"/>
    <s v="RENCA"/>
    <x v="2992"/>
    <x v="1"/>
    <x v="0"/>
    <x v="7"/>
    <x v="1"/>
    <n v="1"/>
    <n v="111383"/>
    <n v="0"/>
    <n v="111383"/>
    <n v="10.999975310470829"/>
    <n v="5000"/>
    <n v="100"/>
    <x v="3848"/>
    <x v="3"/>
    <x v="3"/>
    <x v="1"/>
  </r>
  <r>
    <x v="315"/>
    <s v="ZTAN"/>
    <x v="8"/>
    <s v="RK5135"/>
    <s v="138841065"/>
    <s v="SAN BERNARDO"/>
    <x v="2993"/>
    <x v="3"/>
    <x v="1"/>
    <x v="4"/>
    <x v="1"/>
    <n v="4"/>
    <n v="69445"/>
    <n v="0"/>
    <n v="69445"/>
    <n v="10.999968320344674"/>
    <n v="5000"/>
    <n v="100"/>
    <x v="3849"/>
    <x v="3"/>
    <x v="3"/>
    <x v="1"/>
  </r>
  <r>
    <x v="315"/>
    <s v="ZTAN"/>
    <x v="8"/>
    <s v="SV2718"/>
    <s v="99626232"/>
    <s v="CERRILLOS"/>
    <x v="2994"/>
    <x v="1"/>
    <x v="1"/>
    <x v="9"/>
    <x v="1"/>
    <n v="2"/>
    <n v="55000"/>
    <n v="0"/>
    <n v="55000"/>
    <n v="12.463402916889496"/>
    <n v="5000"/>
    <n v="88"/>
    <x v="3850"/>
    <x v="3"/>
    <x v="3"/>
    <x v="1"/>
  </r>
  <r>
    <x v="315"/>
    <s v="ZTAN"/>
    <x v="8"/>
    <s v="TP3884"/>
    <s v="78907355"/>
    <s v="PUDAHUEL"/>
    <x v="2995"/>
    <x v="1"/>
    <x v="1"/>
    <x v="10"/>
    <x v="1"/>
    <n v="1"/>
    <n v="76393"/>
    <n v="0"/>
    <n v="76393"/>
    <n v="11.000060477077746"/>
    <n v="5000"/>
    <n v="100"/>
    <x v="3851"/>
    <x v="3"/>
    <x v="3"/>
    <x v="1"/>
  </r>
  <r>
    <x v="316"/>
    <s v="ZPEP"/>
    <x v="5"/>
    <s v="SU9354"/>
    <s v="72564391"/>
    <s v="BUIN"/>
    <x v="2996"/>
    <x v="2"/>
    <x v="1"/>
    <x v="56"/>
    <x v="1"/>
    <n v="5"/>
    <n v="90000"/>
    <n v="0"/>
    <n v="90000"/>
    <n v="19.31458959716204"/>
    <n v="10000"/>
    <n v="75"/>
    <x v="3852"/>
    <x v="3"/>
    <x v="3"/>
    <x v="1"/>
  </r>
  <r>
    <x v="316"/>
    <s v="ZTAN"/>
    <x v="10"/>
    <s v="KKPF51"/>
    <s v="95707734"/>
    <s v="SANTIAGO"/>
    <x v="2997"/>
    <x v="8"/>
    <x v="0"/>
    <x v="20"/>
    <x v="1"/>
    <n v="1"/>
    <n v="111844"/>
    <n v="0"/>
    <n v="111844"/>
    <n v="11.000039340650694"/>
    <n v="5000"/>
    <n v="100"/>
    <x v="3853"/>
    <x v="3"/>
    <x v="3"/>
    <x v="1"/>
  </r>
  <r>
    <x v="316"/>
    <s v="ZTAN"/>
    <x v="10"/>
    <s v="RH1133"/>
    <s v="65941082"/>
    <s v="QUILICURA"/>
    <x v="2998"/>
    <x v="0"/>
    <x v="0"/>
    <x v="8"/>
    <x v="1"/>
    <n v="1"/>
    <n v="110332"/>
    <n v="0"/>
    <n v="110332"/>
    <n v="10.999980060218141"/>
    <n v="5000"/>
    <n v="100"/>
    <x v="3854"/>
    <x v="3"/>
    <x v="3"/>
    <x v="1"/>
  </r>
  <r>
    <x v="316"/>
    <s v="ZTAN"/>
    <x v="6"/>
    <s v="RK5135"/>
    <s v="138841065"/>
    <s v="QUILLOTA"/>
    <x v="2999"/>
    <x v="3"/>
    <x v="1"/>
    <x v="19"/>
    <x v="2"/>
    <n v="0"/>
    <n v="180000"/>
    <n v="0"/>
    <n v="180000"/>
    <n v="31.914667271863319"/>
    <n v="20000"/>
    <n v="28"/>
    <x v="3855"/>
    <x v="3"/>
    <x v="3"/>
    <x v="0"/>
  </r>
  <r>
    <x v="316"/>
    <s v="ZTAN"/>
    <x v="6"/>
    <s v="SU9354"/>
    <s v="72564391"/>
    <s v="QUILPUE"/>
    <x v="3000"/>
    <x v="2"/>
    <x v="1"/>
    <x v="58"/>
    <x v="2"/>
    <n v="0"/>
    <n v="180000"/>
    <n v="0"/>
    <n v="180000"/>
    <n v="26.8960199867313"/>
    <n v="20000"/>
    <n v="33"/>
    <x v="3856"/>
    <x v="3"/>
    <x v="3"/>
    <x v="0"/>
  </r>
  <r>
    <x v="316"/>
    <s v="ZTAN"/>
    <x v="7"/>
    <s v="DJLF85"/>
    <s v="125108660"/>
    <s v="RENCA"/>
    <x v="1219"/>
    <x v="4"/>
    <x v="1"/>
    <x v="7"/>
    <x v="1"/>
    <n v="1"/>
    <n v="55000"/>
    <n v="0"/>
    <n v="55000"/>
    <n v="20.014556040756915"/>
    <n v="5000"/>
    <n v="55"/>
    <x v="3857"/>
    <x v="3"/>
    <x v="3"/>
    <x v="1"/>
  </r>
  <r>
    <x v="316"/>
    <s v="ZTAN"/>
    <x v="7"/>
    <s v="HLBX77"/>
    <s v="154837728"/>
    <s v="SAN MIGUEL"/>
    <x v="372"/>
    <x v="1"/>
    <x v="1"/>
    <x v="23"/>
    <x v="1"/>
    <n v="2"/>
    <n v="57781"/>
    <n v="0"/>
    <n v="57781"/>
    <n v="11.000038074931469"/>
    <n v="5000"/>
    <n v="100"/>
    <x v="3858"/>
    <x v="3"/>
    <x v="3"/>
    <x v="1"/>
  </r>
  <r>
    <x v="316"/>
    <s v="ZTAN"/>
    <x v="7"/>
    <s v="HLBX77"/>
    <s v="16093509K"/>
    <s v="RENCA"/>
    <x v="1219"/>
    <x v="1"/>
    <x v="1"/>
    <x v="7"/>
    <x v="1"/>
    <n v="1"/>
    <n v="55000"/>
    <n v="0"/>
    <n v="55000"/>
    <n v="20.014556040756915"/>
    <n v="5000"/>
    <n v="55"/>
    <x v="3859"/>
    <x v="3"/>
    <x v="3"/>
    <x v="1"/>
  </r>
  <r>
    <x v="316"/>
    <s v="ZTAN"/>
    <x v="7"/>
    <s v="HLBX77"/>
    <s v="16093509K"/>
    <s v="SANTIAGO"/>
    <x v="234"/>
    <x v="1"/>
    <x v="1"/>
    <x v="20"/>
    <x v="1"/>
    <n v="1"/>
    <n v="99053"/>
    <n v="0"/>
    <n v="99053"/>
    <n v="11.000022210376692"/>
    <n v="5000"/>
    <n v="100"/>
    <x v="3860"/>
    <x v="3"/>
    <x v="3"/>
    <x v="1"/>
  </r>
  <r>
    <x v="316"/>
    <s v="ZTAN"/>
    <x v="7"/>
    <s v="SV2718"/>
    <s v="99626232"/>
    <s v="SANTIAGO"/>
    <x v="448"/>
    <x v="1"/>
    <x v="1"/>
    <x v="20"/>
    <x v="1"/>
    <n v="1"/>
    <n v="66035"/>
    <n v="0"/>
    <n v="66035"/>
    <n v="10.99996668443497"/>
    <n v="5000"/>
    <n v="100"/>
    <x v="3861"/>
    <x v="3"/>
    <x v="3"/>
    <x v="1"/>
  </r>
  <r>
    <x v="316"/>
    <s v="ZTAN"/>
    <x v="7"/>
    <s v="WG4022"/>
    <s v="154837728"/>
    <s v="RENCA"/>
    <x v="419"/>
    <x v="1"/>
    <x v="0"/>
    <x v="7"/>
    <x v="1"/>
    <n v="1"/>
    <n v="90684"/>
    <n v="0"/>
    <n v="90684"/>
    <n v="10.999999999999995"/>
    <n v="5000"/>
    <n v="100"/>
    <x v="3862"/>
    <x v="3"/>
    <x v="3"/>
    <x v="1"/>
  </r>
  <r>
    <x v="316"/>
    <s v="ZTAN"/>
    <x v="8"/>
    <s v="BWPL69"/>
    <s v="78551976"/>
    <s v="CORONEL"/>
    <x v="3001"/>
    <x v="5"/>
    <x v="0"/>
    <x v="16"/>
    <x v="0"/>
    <n v="0"/>
    <n v="480000"/>
    <n v="0"/>
    <n v="480000"/>
    <n v="40.860244344261176"/>
    <n v="20000"/>
    <n v="59"/>
    <x v="3863"/>
    <x v="3"/>
    <x v="3"/>
    <x v="0"/>
  </r>
  <r>
    <x v="316"/>
    <s v="ZTAN"/>
    <x v="8"/>
    <s v="TP3884"/>
    <s v="154837728"/>
    <s v="PUDAHUEL"/>
    <x v="3002"/>
    <x v="1"/>
    <x v="1"/>
    <x v="10"/>
    <x v="1"/>
    <n v="1"/>
    <n v="62056"/>
    <n v="0"/>
    <n v="62056"/>
    <n v="10.999989364455301"/>
    <n v="5000"/>
    <n v="100"/>
    <x v="3864"/>
    <x v="3"/>
    <x v="3"/>
    <x v="1"/>
  </r>
  <r>
    <x v="316"/>
    <s v="ZTAN"/>
    <x v="8"/>
    <s v="YG5635"/>
    <s v="93321006"/>
    <s v="CONCEPCION"/>
    <x v="3003"/>
    <x v="0"/>
    <x v="0"/>
    <x v="81"/>
    <x v="0"/>
    <n v="0"/>
    <n v="460000"/>
    <n v="0"/>
    <n v="460000"/>
    <n v="38.429278431818105"/>
    <n v="20000"/>
    <n v="85"/>
    <x v="3865"/>
    <x v="3"/>
    <x v="3"/>
    <x v="0"/>
  </r>
  <r>
    <x v="317"/>
    <s v="ZTAN"/>
    <x v="10"/>
    <s v="CJXX49"/>
    <n v="167832741"/>
    <s v="TALCA"/>
    <x v="3004"/>
    <x v="5"/>
    <x v="0"/>
    <x v="12"/>
    <x v="3"/>
    <n v="0"/>
    <n v="330000"/>
    <n v="0"/>
    <n v="330000"/>
    <n v="36.949949613705066"/>
    <n v="20000"/>
    <n v="45"/>
    <x v="3866"/>
    <x v="3"/>
    <x v="3"/>
    <x v="0"/>
  </r>
  <r>
    <x v="317"/>
    <s v="ZTAN"/>
    <x v="10"/>
    <s v="KKPF51"/>
    <n v="95707734"/>
    <s v="SANTIAGO"/>
    <x v="419"/>
    <x v="8"/>
    <x v="0"/>
    <x v="20"/>
    <x v="1"/>
    <n v="1"/>
    <n v="90684"/>
    <n v="0"/>
    <n v="90684"/>
    <n v="10.999999999999995"/>
    <n v="5000"/>
    <n v="100"/>
    <x v="3867"/>
    <x v="3"/>
    <x v="3"/>
    <x v="1"/>
  </r>
  <r>
    <x v="317"/>
    <s v="ZTAN"/>
    <x v="7"/>
    <s v="DJLF85"/>
    <n v="53173292"/>
    <s v="RENCA"/>
    <x v="3005"/>
    <x v="4"/>
    <x v="1"/>
    <x v="7"/>
    <x v="1"/>
    <n v="1"/>
    <n v="137535"/>
    <n v="0"/>
    <n v="137535"/>
    <n v="10.999984004094951"/>
    <n v="5000"/>
    <n v="100"/>
    <x v="3868"/>
    <x v="3"/>
    <x v="3"/>
    <x v="1"/>
  </r>
  <r>
    <x v="317"/>
    <s v="ZTAN"/>
    <x v="7"/>
    <s v="SU9354"/>
    <n v="72564391"/>
    <s v="RENCA"/>
    <x v="385"/>
    <x v="2"/>
    <x v="1"/>
    <x v="7"/>
    <x v="1"/>
    <n v="1"/>
    <n v="82544"/>
    <n v="0"/>
    <n v="82544"/>
    <n v="11.000000000000004"/>
    <n v="5000"/>
    <n v="100"/>
    <x v="3869"/>
    <x v="3"/>
    <x v="3"/>
    <x v="1"/>
  </r>
  <r>
    <x v="317"/>
    <s v="ZTAN"/>
    <x v="7"/>
    <s v="UK7193"/>
    <n v="120327283"/>
    <s v="MELIPILLA"/>
    <x v="419"/>
    <x v="1"/>
    <x v="0"/>
    <x v="29"/>
    <x v="1"/>
    <n v="5"/>
    <n v="120000"/>
    <n v="0"/>
    <n v="120000"/>
    <n v="14.556040756914113"/>
    <n v="10000"/>
    <n v="82"/>
    <x v="3870"/>
    <x v="3"/>
    <x v="3"/>
    <x v="1"/>
  </r>
  <r>
    <x v="317"/>
    <s v="ZTAN"/>
    <x v="7"/>
    <s v="WC2233"/>
    <n v="125108660"/>
    <s v="RENCA"/>
    <x v="3006"/>
    <x v="4"/>
    <x v="1"/>
    <x v="7"/>
    <x v="1"/>
    <n v="1"/>
    <n v="122470"/>
    <n v="0"/>
    <n v="122470"/>
    <n v="11.000035927283179"/>
    <n v="5000"/>
    <n v="100"/>
    <x v="3871"/>
    <x v="3"/>
    <x v="3"/>
    <x v="1"/>
  </r>
  <r>
    <x v="317"/>
    <s v="ZTAN"/>
    <x v="7"/>
    <s v="WG4022"/>
    <n v="154837728"/>
    <s v="RENCA"/>
    <x v="810"/>
    <x v="1"/>
    <x v="0"/>
    <x v="7"/>
    <x v="1"/>
    <n v="1"/>
    <n v="181597"/>
    <n v="0"/>
    <n v="181597"/>
    <n v="11.000012114750922"/>
    <n v="5000"/>
    <n v="100"/>
    <x v="3872"/>
    <x v="3"/>
    <x v="3"/>
    <x v="1"/>
  </r>
  <r>
    <x v="317"/>
    <s v="ZTAN"/>
    <x v="8"/>
    <s v="TP3884"/>
    <n v="99626232"/>
    <s v="PUDAHUEL"/>
    <x v="1285"/>
    <x v="1"/>
    <x v="1"/>
    <x v="10"/>
    <x v="1"/>
    <n v="1"/>
    <n v="67663"/>
    <n v="0"/>
    <n v="67663"/>
    <n v="10.999967486018988"/>
    <n v="5000"/>
    <n v="100"/>
    <x v="3873"/>
    <x v="3"/>
    <x v="3"/>
    <x v="1"/>
  </r>
  <r>
    <x v="318"/>
    <s v="ZTAN"/>
    <x v="17"/>
    <s v="RK5135"/>
    <s v="138841065"/>
    <s v="LAMPA"/>
    <x v="3007"/>
    <x v="3"/>
    <x v="1"/>
    <x v="17"/>
    <x v="1"/>
    <n v="5"/>
    <n v="70000"/>
    <n v="0"/>
    <n v="70000"/>
    <n v="7.6126674786845339"/>
    <n v="10000"/>
    <n v="92"/>
    <x v="3874"/>
    <x v="3"/>
    <x v="3"/>
    <x v="1"/>
  </r>
  <r>
    <x v="318"/>
    <s v="ZTAN"/>
    <x v="17"/>
    <s v="SV2718"/>
    <s v="78907355"/>
    <s v="LAMPA"/>
    <x v="2666"/>
    <x v="1"/>
    <x v="1"/>
    <x v="17"/>
    <x v="1"/>
    <n v="5"/>
    <n v="70000"/>
    <n v="0"/>
    <n v="70000"/>
    <n v="8.7901048533936059"/>
    <n v="10000"/>
    <n v="80"/>
    <x v="3875"/>
    <x v="3"/>
    <x v="3"/>
    <x v="1"/>
  </r>
  <r>
    <x v="318"/>
    <s v="ZTAN"/>
    <x v="10"/>
    <s v="KKPF51"/>
    <s v="957077434"/>
    <s v="SANTIAGO"/>
    <x v="419"/>
    <x v="8"/>
    <x v="0"/>
    <x v="20"/>
    <x v="1"/>
    <n v="1"/>
    <n v="90684"/>
    <n v="0"/>
    <n v="90684"/>
    <n v="10.999999999999995"/>
    <n v="5000"/>
    <n v="100"/>
    <x v="3876"/>
    <x v="3"/>
    <x v="3"/>
    <x v="1"/>
  </r>
  <r>
    <x v="318"/>
    <s v="ZTAN"/>
    <x v="10"/>
    <s v="PKYS74"/>
    <s v="6270439K"/>
    <s v="TALCAHUANO"/>
    <x v="3008"/>
    <x v="0"/>
    <x v="0"/>
    <x v="0"/>
    <x v="0"/>
    <n v="0"/>
    <n v="420000"/>
    <n v="0"/>
    <n v="420000"/>
    <n v="44.061182098571159"/>
    <n v="20000"/>
    <n v="48"/>
    <x v="3877"/>
    <x v="3"/>
    <x v="3"/>
    <x v="0"/>
  </r>
  <r>
    <x v="318"/>
    <s v="ZTAN"/>
    <x v="10"/>
    <s v="RH1133"/>
    <s v="65941082"/>
    <s v="QUILICURA"/>
    <x v="3009"/>
    <x v="0"/>
    <x v="0"/>
    <x v="8"/>
    <x v="1"/>
    <n v="1"/>
    <n v="149453"/>
    <n v="0"/>
    <n v="149453"/>
    <n v="10.999980863582374"/>
    <n v="5000"/>
    <n v="100"/>
    <x v="3878"/>
    <x v="3"/>
    <x v="3"/>
    <x v="1"/>
  </r>
  <r>
    <x v="318"/>
    <s v="ZTAN"/>
    <x v="8"/>
    <s v="DRFV76"/>
    <s v="113693568"/>
    <s v="ANGOL"/>
    <x v="3010"/>
    <x v="0"/>
    <x v="0"/>
    <x v="84"/>
    <x v="4"/>
    <n v="0"/>
    <n v="530000"/>
    <n v="0"/>
    <n v="530000"/>
    <n v="39.915048726484009"/>
    <n v="20000"/>
    <n v="66"/>
    <x v="3879"/>
    <x v="3"/>
    <x v="3"/>
    <x v="0"/>
  </r>
  <r>
    <x v="318"/>
    <s v="ZTAN"/>
    <x v="8"/>
    <s v="HLBX77"/>
    <s v="16093509K"/>
    <s v="ÑUÑOA"/>
    <x v="1661"/>
    <x v="1"/>
    <x v="1"/>
    <x v="15"/>
    <x v="1"/>
    <n v="4"/>
    <n v="55000"/>
    <n v="0"/>
    <n v="55000"/>
    <n v="11.193877966377661"/>
    <n v="5000"/>
    <n v="98"/>
    <x v="3880"/>
    <x v="3"/>
    <x v="3"/>
    <x v="1"/>
  </r>
  <r>
    <x v="318"/>
    <s v="ZTAN"/>
    <x v="8"/>
    <s v="RK5135"/>
    <s v="138841065"/>
    <s v="LA FLORIDA"/>
    <x v="3011"/>
    <x v="3"/>
    <x v="1"/>
    <x v="33"/>
    <x v="1"/>
    <n v="3"/>
    <n v="59816"/>
    <n v="0"/>
    <n v="59816"/>
    <n v="10.999955864828685"/>
    <n v="5000"/>
    <n v="100"/>
    <x v="3881"/>
    <x v="3"/>
    <x v="3"/>
    <x v="1"/>
  </r>
  <r>
    <x v="318"/>
    <s v="ZTAN"/>
    <x v="8"/>
    <s v="TP3884"/>
    <s v="154837728"/>
    <s v="LA REINA"/>
    <x v="3012"/>
    <x v="1"/>
    <x v="1"/>
    <x v="11"/>
    <x v="1"/>
    <n v="3"/>
    <n v="56318"/>
    <n v="0"/>
    <n v="56318"/>
    <n v="10.999910153793268"/>
    <n v="5000"/>
    <n v="100"/>
    <x v="3882"/>
    <x v="3"/>
    <x v="3"/>
    <x v="1"/>
  </r>
  <r>
    <x v="319"/>
    <s v="ZPEP"/>
    <x v="17"/>
    <s v="SU9354"/>
    <n v="72564391"/>
    <s v="LAMPA"/>
    <x v="3013"/>
    <x v="2"/>
    <x v="1"/>
    <x v="17"/>
    <x v="1"/>
    <n v="5"/>
    <n v="70000"/>
    <n v="0"/>
    <n v="70000"/>
    <n v="5.9579995080394692"/>
    <n v="10000"/>
    <n v="100"/>
    <x v="3883"/>
    <x v="3"/>
    <x v="3"/>
    <x v="1"/>
  </r>
  <r>
    <x v="319"/>
    <s v="ZPEP"/>
    <x v="2"/>
    <s v="WG4022"/>
    <n v="154837728"/>
    <s v="MACHALI"/>
    <x v="3014"/>
    <x v="1"/>
    <x v="0"/>
    <x v="43"/>
    <x v="6"/>
    <n v="0"/>
    <n v="230000"/>
    <n v="0"/>
    <n v="230000"/>
    <n v="12.094174709292842"/>
    <n v="20000"/>
    <n v="95"/>
    <x v="3884"/>
    <x v="3"/>
    <x v="3"/>
    <x v="0"/>
  </r>
  <r>
    <x v="319"/>
    <s v="ZTAN"/>
    <x v="10"/>
    <s v="RH1133"/>
    <n v="65941082"/>
    <s v="SANTIAGO"/>
    <x v="3015"/>
    <x v="0"/>
    <x v="0"/>
    <x v="20"/>
    <x v="1"/>
    <n v="1"/>
    <n v="172102"/>
    <n v="0"/>
    <n v="172102"/>
    <n v="11.000025566293406"/>
    <n v="5000"/>
    <n v="100"/>
    <x v="3885"/>
    <x v="3"/>
    <x v="3"/>
    <x v="1"/>
  </r>
  <r>
    <x v="319"/>
    <s v="ZTAN"/>
    <x v="6"/>
    <s v="KKPF51"/>
    <n v="95707734"/>
    <s v="VALPARAISO"/>
    <x v="3016"/>
    <x v="8"/>
    <x v="0"/>
    <x v="36"/>
    <x v="2"/>
    <n v="0"/>
    <n v="275000"/>
    <n v="0"/>
    <n v="275000"/>
    <n v="24.403663211699563"/>
    <n v="20000"/>
    <n v="85"/>
    <x v="3886"/>
    <x v="3"/>
    <x v="3"/>
    <x v="0"/>
  </r>
  <r>
    <x v="319"/>
    <s v="ZTAN"/>
    <x v="6"/>
    <s v="RK5135"/>
    <n v="138841065"/>
    <s v="LA FLORIDA"/>
    <x v="3017"/>
    <x v="3"/>
    <x v="1"/>
    <x v="33"/>
    <x v="1"/>
    <n v="3"/>
    <n v="73947"/>
    <n v="0"/>
    <n v="73947"/>
    <n v="11.000023800881824"/>
    <n v="5000"/>
    <n v="100"/>
    <x v="3887"/>
    <x v="3"/>
    <x v="3"/>
    <x v="1"/>
  </r>
  <r>
    <x v="319"/>
    <s v="ZTAN"/>
    <x v="8"/>
    <s v="BWPL69"/>
    <n v="78551976"/>
    <s v="TEMUCO"/>
    <x v="3018"/>
    <x v="5"/>
    <x v="0"/>
    <x v="14"/>
    <x v="4"/>
    <n v="0"/>
    <n v="665000"/>
    <n v="0"/>
    <n v="665000"/>
    <n v="59.726962457337933"/>
    <n v="20000"/>
    <n v="56"/>
    <x v="3888"/>
    <x v="3"/>
    <x v="3"/>
    <x v="0"/>
  </r>
  <r>
    <x v="319"/>
    <s v="ZTAN"/>
    <x v="8"/>
    <s v="DJLF85"/>
    <n v="53173292"/>
    <s v="QUILIN"/>
    <x v="3019"/>
    <x v="4"/>
    <x v="1"/>
    <x v="34"/>
    <x v="1"/>
    <n v="4"/>
    <n v="73904"/>
    <n v="0"/>
    <n v="73904"/>
    <n v="11.000008930511688"/>
    <n v="5000"/>
    <n v="100"/>
    <x v="3889"/>
    <x v="3"/>
    <x v="3"/>
    <x v="1"/>
  </r>
  <r>
    <x v="319"/>
    <s v="ZTAN"/>
    <x v="8"/>
    <s v="TP3884"/>
    <n v="99626232"/>
    <s v="PUDAHUEL"/>
    <x v="3020"/>
    <x v="1"/>
    <x v="1"/>
    <x v="10"/>
    <x v="1"/>
    <n v="1"/>
    <n v="83510"/>
    <n v="0"/>
    <n v="83510"/>
    <n v="10.999997365585594"/>
    <n v="5000"/>
    <n v="100"/>
    <x v="3890"/>
    <x v="3"/>
    <x v="3"/>
    <x v="1"/>
  </r>
  <r>
    <x v="319"/>
    <s v="ZTAN"/>
    <x v="8"/>
    <s v="WC2233"/>
    <n v="125108660"/>
    <s v="REÑACA"/>
    <x v="3021"/>
    <x v="4"/>
    <x v="1"/>
    <x v="6"/>
    <x v="2"/>
    <n v="0"/>
    <n v="180000"/>
    <n v="0"/>
    <n v="180000"/>
    <n v="28.908696699590465"/>
    <n v="20000"/>
    <n v="31"/>
    <x v="3891"/>
    <x v="3"/>
    <x v="3"/>
    <x v="0"/>
  </r>
  <r>
    <x v="320"/>
    <s v="ZTAN"/>
    <x v="10"/>
    <s v="HLBX77"/>
    <s v="16093509K"/>
    <s v="QUILICURA"/>
    <x v="3022"/>
    <x v="1"/>
    <x v="1"/>
    <x v="8"/>
    <x v="1"/>
    <n v="1"/>
    <n v="55000"/>
    <n v="0"/>
    <n v="55000"/>
    <n v="19.921761808171542"/>
    <n v="5000"/>
    <n v="55"/>
    <x v="3892"/>
    <x v="3"/>
    <x v="3"/>
    <x v="1"/>
  </r>
  <r>
    <x v="320"/>
    <s v="ZTAN"/>
    <x v="6"/>
    <s v="CJXX49"/>
    <s v="167832741"/>
    <s v="LA SERENA"/>
    <x v="3023"/>
    <x v="5"/>
    <x v="0"/>
    <x v="63"/>
    <x v="8"/>
    <n v="0"/>
    <n v="650000"/>
    <n v="0"/>
    <n v="650000"/>
    <n v="69.927963439509114"/>
    <n v="20000"/>
    <n v="46"/>
    <x v="3893"/>
    <x v="3"/>
    <x v="3"/>
    <x v="0"/>
  </r>
  <r>
    <x v="320"/>
    <s v="ZTAN"/>
    <x v="6"/>
    <s v="DFRV76"/>
    <s v="113693568"/>
    <s v="TEMUCO"/>
    <x v="3024"/>
    <x v="5"/>
    <x v="0"/>
    <x v="14"/>
    <x v="4"/>
    <n v="0"/>
    <n v="665000"/>
    <n v="0"/>
    <n v="665000"/>
    <n v="74.849625414205434"/>
    <n v="20000"/>
    <n v="44"/>
    <x v="3894"/>
    <x v="3"/>
    <x v="3"/>
    <x v="0"/>
  </r>
  <r>
    <x v="320"/>
    <s v="ZTAN"/>
    <x v="6"/>
    <s v="RK5135"/>
    <s v="138841065"/>
    <s v="CERRILLOS"/>
    <x v="3025"/>
    <x v="3"/>
    <x v="1"/>
    <x v="9"/>
    <x v="1"/>
    <n v="2"/>
    <n v="73740"/>
    <n v="0"/>
    <n v="73740"/>
    <n v="10.999961215216763"/>
    <n v="5000"/>
    <n v="100"/>
    <x v="3895"/>
    <x v="3"/>
    <x v="3"/>
    <x v="1"/>
  </r>
  <r>
    <x v="320"/>
    <s v="ZTAN"/>
    <x v="6"/>
    <s v="YG5635"/>
    <s v="93321006"/>
    <s v="LOS ANGELES"/>
    <x v="3026"/>
    <x v="0"/>
    <x v="0"/>
    <x v="57"/>
    <x v="0"/>
    <n v="0"/>
    <n v="460000"/>
    <n v="0"/>
    <n v="460000"/>
    <n v="44.418351345296678"/>
    <n v="20000"/>
    <n v="52"/>
    <x v="3896"/>
    <x v="3"/>
    <x v="3"/>
    <x v="0"/>
  </r>
  <r>
    <x v="320"/>
    <s v="ZTAN"/>
    <x v="7"/>
    <s v="DJLF85"/>
    <s v="125108660"/>
    <s v="RENCA"/>
    <x v="3027"/>
    <x v="4"/>
    <x v="1"/>
    <x v="7"/>
    <x v="1"/>
    <n v="1"/>
    <n v="101172"/>
    <n v="0"/>
    <n v="101172"/>
    <n v="10.999945637401467"/>
    <n v="5000"/>
    <n v="100"/>
    <x v="3897"/>
    <x v="3"/>
    <x v="3"/>
    <x v="1"/>
  </r>
  <r>
    <x v="320"/>
    <s v="ZTAN"/>
    <x v="7"/>
    <s v="DJLF85"/>
    <s v="53173292"/>
    <s v="SAN MIGUEL"/>
    <x v="3028"/>
    <x v="4"/>
    <x v="1"/>
    <x v="23"/>
    <x v="1"/>
    <n v="2"/>
    <n v="55000"/>
    <n v="0"/>
    <n v="55000"/>
    <n v="14.606332774751754"/>
    <n v="5000"/>
    <n v="75"/>
    <x v="3898"/>
    <x v="3"/>
    <x v="3"/>
    <x v="1"/>
  </r>
  <r>
    <x v="320"/>
    <s v="ZTAN"/>
    <x v="7"/>
    <s v="WG4022"/>
    <s v="154837728"/>
    <s v="RENCA"/>
    <x v="810"/>
    <x v="1"/>
    <x v="0"/>
    <x v="7"/>
    <x v="1"/>
    <n v="1"/>
    <n v="181597"/>
    <n v="0"/>
    <n v="181597"/>
    <n v="11.000012114750922"/>
    <n v="5000"/>
    <n v="100"/>
    <x v="3899"/>
    <x v="3"/>
    <x v="3"/>
    <x v="1"/>
  </r>
  <r>
    <x v="320"/>
    <s v="ZTAN"/>
    <x v="8"/>
    <s v="SV2718"/>
    <s v="78907355"/>
    <s v="SAN BERNARDO"/>
    <x v="3029"/>
    <x v="1"/>
    <x v="1"/>
    <x v="4"/>
    <x v="1"/>
    <n v="4"/>
    <n v="64301"/>
    <n v="0"/>
    <n v="64301"/>
    <n v="10.999991446484936"/>
    <n v="5000"/>
    <n v="100"/>
    <x v="3900"/>
    <x v="3"/>
    <x v="3"/>
    <x v="1"/>
  </r>
  <r>
    <x v="320"/>
    <s v="ZTAN"/>
    <x v="8"/>
    <s v="TP3884"/>
    <s v="99626232"/>
    <s v="PUDAHUEL"/>
    <x v="3030"/>
    <x v="1"/>
    <x v="1"/>
    <x v="10"/>
    <x v="1"/>
    <n v="1"/>
    <n v="63734"/>
    <n v="0"/>
    <n v="63734"/>
    <n v="11.000037970445186"/>
    <n v="5000"/>
    <n v="100"/>
    <x v="3901"/>
    <x v="3"/>
    <x v="3"/>
    <x v="1"/>
  </r>
  <r>
    <x v="321"/>
    <s v="ZPEP"/>
    <x v="2"/>
    <s v="BYZH29"/>
    <s v="122975819"/>
    <s v="TALCA"/>
    <x v="3031"/>
    <x v="0"/>
    <x v="0"/>
    <x v="12"/>
    <x v="3"/>
    <n v="0"/>
    <n v="330000"/>
    <n v="0"/>
    <n v="330000"/>
    <n v="13.420498795205221"/>
    <n v="20000"/>
    <n v="100"/>
    <x v="3902"/>
    <x v="3"/>
    <x v="3"/>
    <x v="0"/>
  </r>
  <r>
    <x v="321"/>
    <s v="ZTAN"/>
    <x v="6"/>
    <s v="SU9354"/>
    <s v="72564391"/>
    <s v="QUILICURA"/>
    <x v="3032"/>
    <x v="2"/>
    <x v="1"/>
    <x v="8"/>
    <x v="1"/>
    <n v="1"/>
    <n v="65578"/>
    <n v="0"/>
    <n v="65578"/>
    <n v="10.99999329043686"/>
    <n v="5000"/>
    <n v="100"/>
    <x v="3903"/>
    <x v="3"/>
    <x v="3"/>
    <x v="1"/>
  </r>
  <r>
    <x v="321"/>
    <s v="ZTAN"/>
    <x v="6"/>
    <s v="SV2718"/>
    <s v="99626232"/>
    <s v="LA REINA"/>
    <x v="3033"/>
    <x v="1"/>
    <x v="1"/>
    <x v="11"/>
    <x v="1"/>
    <n v="3"/>
    <n v="66047"/>
    <n v="0"/>
    <n v="66047"/>
    <n v="11.000023316778421"/>
    <n v="5000"/>
    <n v="100"/>
    <x v="3904"/>
    <x v="3"/>
    <x v="3"/>
    <x v="1"/>
  </r>
  <r>
    <x v="321"/>
    <s v="ZTAN"/>
    <x v="7"/>
    <s v="HLBX77"/>
    <s v="16093509K"/>
    <s v="RENCA"/>
    <x v="2554"/>
    <x v="1"/>
    <x v="1"/>
    <x v="7"/>
    <x v="1"/>
    <n v="1"/>
    <n v="196625"/>
    <n v="0"/>
    <n v="196625"/>
    <n v="11"/>
    <n v="5000"/>
    <n v="100"/>
    <x v="3905"/>
    <x v="3"/>
    <x v="3"/>
    <x v="1"/>
  </r>
  <r>
    <x v="321"/>
    <s v="ZTAN"/>
    <x v="7"/>
    <s v="WC2233"/>
    <s v="53173292"/>
    <s v="RENCA"/>
    <x v="2555"/>
    <x v="4"/>
    <x v="1"/>
    <x v="7"/>
    <x v="1"/>
    <n v="1"/>
    <n v="143000"/>
    <n v="0"/>
    <n v="143000"/>
    <n v="11"/>
    <n v="5000"/>
    <n v="100"/>
    <x v="3906"/>
    <x v="3"/>
    <x v="3"/>
    <x v="1"/>
  </r>
  <r>
    <x v="321"/>
    <s v="ZTAN"/>
    <x v="8"/>
    <s v="SV2718"/>
    <s v="78907355"/>
    <s v="SAN BERNARDO"/>
    <x v="3034"/>
    <x v="1"/>
    <x v="1"/>
    <x v="4"/>
    <x v="1"/>
    <n v="4"/>
    <n v="55000"/>
    <n v="0"/>
    <n v="55000"/>
    <n v="13.268518630206383"/>
    <n v="5000"/>
    <n v="83"/>
    <x v="3900"/>
    <x v="3"/>
    <x v="3"/>
    <x v="1"/>
  </r>
  <r>
    <x v="321"/>
    <s v="ZTAN"/>
    <x v="8"/>
    <s v="TP3884"/>
    <s v="99626232"/>
    <s v="PUDAHUEL"/>
    <x v="3035"/>
    <x v="1"/>
    <x v="1"/>
    <x v="10"/>
    <x v="1"/>
    <n v="1"/>
    <n v="118286"/>
    <n v="0"/>
    <n v="118286"/>
    <n v="11.000043707797564"/>
    <n v="5000"/>
    <n v="100"/>
    <x v="3907"/>
    <x v="3"/>
    <x v="3"/>
    <x v="1"/>
  </r>
  <r>
    <x v="322"/>
    <s v="ZPEP"/>
    <x v="8"/>
    <s v="KKPF51"/>
    <n v="95707734"/>
    <s v="LA SERENA"/>
    <x v="3036"/>
    <x v="8"/>
    <x v="0"/>
    <x v="63"/>
    <x v="8"/>
    <n v="0"/>
    <n v="650000"/>
    <n v="0"/>
    <n v="650000"/>
    <n v="50.908521303258148"/>
    <n v="20000"/>
    <n v="64"/>
    <x v="3908"/>
    <x v="3"/>
    <x v="3"/>
    <x v="0"/>
  </r>
  <r>
    <x v="322"/>
    <s v="ZTAN"/>
    <x v="6"/>
    <s v="DPJS85"/>
    <n v="95815642"/>
    <s v="CALAMA"/>
    <x v="3037"/>
    <x v="0"/>
    <x v="0"/>
    <x v="37"/>
    <x v="7"/>
    <n v="0"/>
    <n v="1600000"/>
    <n v="0"/>
    <n v="1600000"/>
    <n v="117.06431952706015"/>
    <n v="20000"/>
    <n v="68"/>
    <x v="3909"/>
    <x v="3"/>
    <x v="3"/>
    <x v="0"/>
  </r>
  <r>
    <x v="322"/>
    <s v="ZTAN"/>
    <x v="6"/>
    <s v="WC2233"/>
    <n v="125108660"/>
    <s v="LOS ANDES"/>
    <x v="3038"/>
    <x v="4"/>
    <x v="1"/>
    <x v="38"/>
    <x v="2"/>
    <n v="0"/>
    <n v="180000"/>
    <n v="0"/>
    <n v="180000"/>
    <n v="25.307770610367193"/>
    <n v="20000"/>
    <n v="36"/>
    <x v="3910"/>
    <x v="3"/>
    <x v="3"/>
    <x v="0"/>
  </r>
  <r>
    <x v="322"/>
    <s v="ZTAN"/>
    <x v="7"/>
    <s v="DJLF85"/>
    <n v="53173292"/>
    <s v="RENCA"/>
    <x v="385"/>
    <x v="4"/>
    <x v="1"/>
    <x v="7"/>
    <x v="1"/>
    <n v="1"/>
    <n v="82544"/>
    <n v="0"/>
    <n v="82544"/>
    <n v="11.000000000000004"/>
    <n v="5000"/>
    <n v="100"/>
    <x v="3911"/>
    <x v="3"/>
    <x v="3"/>
    <x v="1"/>
  </r>
  <r>
    <x v="322"/>
    <s v="ZTAN"/>
    <x v="7"/>
    <s v="RK5135"/>
    <n v="138841065"/>
    <s v="SAN MIGUEL"/>
    <x v="3039"/>
    <x v="3"/>
    <x v="1"/>
    <x v="23"/>
    <x v="1"/>
    <n v="2"/>
    <n v="123249"/>
    <n v="0"/>
    <n v="123249"/>
    <n v="11.000014280053264"/>
    <n v="5000"/>
    <n v="100"/>
    <x v="3912"/>
    <x v="3"/>
    <x v="3"/>
    <x v="1"/>
  </r>
  <r>
    <x v="322"/>
    <s v="ZTAN"/>
    <x v="7"/>
    <s v="SV2718"/>
    <n v="78907355"/>
    <s v="SAN MIGUEL"/>
    <x v="3040"/>
    <x v="1"/>
    <x v="1"/>
    <x v="23"/>
    <x v="1"/>
    <n v="2"/>
    <n v="61083"/>
    <n v="0"/>
    <n v="61083"/>
    <n v="11.000079237019538"/>
    <n v="5000"/>
    <n v="100"/>
    <x v="3913"/>
    <x v="3"/>
    <x v="3"/>
    <x v="1"/>
  </r>
  <r>
    <x v="322"/>
    <s v="ZTAN"/>
    <x v="7"/>
    <s v="WG4022"/>
    <n v="154837728"/>
    <s v="RENCA"/>
    <x v="810"/>
    <x v="1"/>
    <x v="0"/>
    <x v="7"/>
    <x v="1"/>
    <n v="1"/>
    <n v="181597"/>
    <n v="0"/>
    <n v="181597"/>
    <n v="11.000012114750922"/>
    <n v="5000"/>
    <n v="100"/>
    <x v="3914"/>
    <x v="3"/>
    <x v="3"/>
    <x v="1"/>
  </r>
  <r>
    <x v="322"/>
    <s v="ZTAN"/>
    <x v="8"/>
    <s v="TP3884"/>
    <n v="99626232"/>
    <s v="PUDAHUEL"/>
    <x v="3041"/>
    <x v="1"/>
    <x v="1"/>
    <x v="10"/>
    <x v="1"/>
    <n v="1"/>
    <n v="60035"/>
    <n v="0"/>
    <n v="60035"/>
    <n v="11.000054968210048"/>
    <n v="5000"/>
    <n v="100"/>
    <x v="3915"/>
    <x v="3"/>
    <x v="3"/>
    <x v="1"/>
  </r>
  <r>
    <x v="323"/>
    <s v="ZTAN"/>
    <x v="7"/>
    <s v="SU9354"/>
    <s v="72564391"/>
    <s v="RENCA"/>
    <x v="385"/>
    <x v="2"/>
    <x v="1"/>
    <x v="7"/>
    <x v="1"/>
    <n v="1"/>
    <n v="82544"/>
    <n v="0"/>
    <n v="82544"/>
    <n v="11.000000000000004"/>
    <n v="5000"/>
    <n v="100"/>
    <x v="3916"/>
    <x v="3"/>
    <x v="3"/>
    <x v="1"/>
  </r>
  <r>
    <x v="323"/>
    <s v="ZTAN"/>
    <x v="7"/>
    <s v="WG4022"/>
    <s v="154837728"/>
    <s v="RENCA"/>
    <x v="3042"/>
    <x v="1"/>
    <x v="0"/>
    <x v="7"/>
    <x v="1"/>
    <n v="1"/>
    <n v="182032"/>
    <n v="0"/>
    <n v="182032"/>
    <n v="10.999975828478885"/>
    <n v="5000"/>
    <n v="100"/>
    <x v="3917"/>
    <x v="3"/>
    <x v="3"/>
    <x v="1"/>
  </r>
  <r>
    <x v="323"/>
    <s v="ZTAN"/>
    <x v="8"/>
    <s v="DJLF85"/>
    <s v="125108660"/>
    <s v="MAIPU"/>
    <x v="3043"/>
    <x v="4"/>
    <x v="1"/>
    <x v="2"/>
    <x v="1"/>
    <n v="2"/>
    <n v="85648"/>
    <n v="0"/>
    <n v="85648"/>
    <n v="11.000059079338417"/>
    <n v="5000"/>
    <n v="100"/>
    <x v="3918"/>
    <x v="3"/>
    <x v="3"/>
    <x v="1"/>
  </r>
  <r>
    <x v="323"/>
    <s v="ZTAN"/>
    <x v="8"/>
    <s v="HLBX77"/>
    <s v="16093509K"/>
    <s v="PUDAHUEL"/>
    <x v="3044"/>
    <x v="1"/>
    <x v="1"/>
    <x v="10"/>
    <x v="1"/>
    <n v="1"/>
    <n v="69305"/>
    <n v="0"/>
    <n v="69305"/>
    <n v="10.999920641218953"/>
    <n v="5000"/>
    <n v="100"/>
    <x v="3919"/>
    <x v="3"/>
    <x v="3"/>
    <x v="1"/>
  </r>
  <r>
    <x v="323"/>
    <s v="ZTAN"/>
    <x v="8"/>
    <s v="RK5135"/>
    <s v="138841065"/>
    <s v="QUILIN"/>
    <x v="3045"/>
    <x v="3"/>
    <x v="1"/>
    <x v="34"/>
    <x v="1"/>
    <n v="4"/>
    <n v="57088"/>
    <n v="0"/>
    <n v="57088"/>
    <n v="11.000038537130528"/>
    <n v="5000"/>
    <n v="100"/>
    <x v="3920"/>
    <x v="3"/>
    <x v="3"/>
    <x v="1"/>
  </r>
  <r>
    <x v="323"/>
    <s v="ZTAN"/>
    <x v="8"/>
    <s v="SV2718"/>
    <s v="99626232"/>
    <s v="HUECHURABA"/>
    <x v="3046"/>
    <x v="1"/>
    <x v="1"/>
    <x v="24"/>
    <x v="1"/>
    <n v="1"/>
    <n v="67433"/>
    <n v="0"/>
    <n v="67433"/>
    <n v="10.999951062753862"/>
    <n v="5000"/>
    <n v="100"/>
    <x v="3921"/>
    <x v="3"/>
    <x v="3"/>
    <x v="1"/>
  </r>
  <r>
    <x v="323"/>
    <s v="ZTAN"/>
    <x v="8"/>
    <s v="TP3884"/>
    <s v="154837728"/>
    <s v="ÑUÑOA"/>
    <x v="3047"/>
    <x v="1"/>
    <x v="1"/>
    <x v="15"/>
    <x v="1"/>
    <n v="4"/>
    <n v="55000"/>
    <n v="0"/>
    <n v="55000"/>
    <n v="12.849206386289195"/>
    <n v="5000"/>
    <n v="86"/>
    <x v="3922"/>
    <x v="3"/>
    <x v="3"/>
    <x v="1"/>
  </r>
  <r>
    <x v="323"/>
    <s v="ZTAN"/>
    <x v="94"/>
    <s v="PKYS74"/>
    <s v="6270439K"/>
    <s v="LOS ANGELES"/>
    <x v="3048"/>
    <x v="0"/>
    <x v="0"/>
    <x v="57"/>
    <x v="0"/>
    <n v="0"/>
    <n v="460000"/>
    <n v="0"/>
    <n v="460000"/>
    <n v="33.631139510740034"/>
    <n v="20000"/>
    <n v="68"/>
    <x v="3923"/>
    <x v="3"/>
    <x v="3"/>
    <x v="0"/>
  </r>
  <r>
    <x v="324"/>
    <s v="ZTAN"/>
    <x v="58"/>
    <s v="HLBX77"/>
    <s v="16093509K"/>
    <s v="COLINA"/>
    <x v="3049"/>
    <x v="1"/>
    <x v="1"/>
    <x v="5"/>
    <x v="1"/>
    <n v="5"/>
    <n v="70000"/>
    <n v="0"/>
    <n v="70000"/>
    <n v="14.327234025134061"/>
    <n v="10000"/>
    <n v="49"/>
    <x v="3924"/>
    <x v="3"/>
    <x v="3"/>
    <x v="1"/>
  </r>
  <r>
    <x v="324"/>
    <s v="ZTAN"/>
    <x v="78"/>
    <s v="WC2233"/>
    <s v="125108660"/>
    <s v="SANTIAGO"/>
    <x v="3050"/>
    <x v="4"/>
    <x v="1"/>
    <x v="20"/>
    <x v="1"/>
    <n v="1"/>
    <n v="55000"/>
    <n v="0"/>
    <n v="55000"/>
    <n v="15.992091183996273"/>
    <n v="5000"/>
    <n v="69"/>
    <x v="3925"/>
    <x v="3"/>
    <x v="3"/>
    <x v="1"/>
  </r>
  <r>
    <x v="324"/>
    <s v="ZTAN"/>
    <x v="7"/>
    <s v="CGRC36"/>
    <s v="193765262"/>
    <s v="RANCAGUA"/>
    <x v="3051"/>
    <x v="0"/>
    <x v="0"/>
    <x v="28"/>
    <x v="6"/>
    <n v="0"/>
    <n v="250000"/>
    <n v="0"/>
    <n v="250000"/>
    <n v="48.521077556090368"/>
    <n v="20000"/>
    <n v="55"/>
    <x v="3926"/>
    <x v="3"/>
    <x v="3"/>
    <x v="0"/>
  </r>
  <r>
    <x v="324"/>
    <s v="ZTAN"/>
    <x v="7"/>
    <s v="DJLF85"/>
    <s v="125108660"/>
    <s v="RENCA"/>
    <x v="3052"/>
    <x v="4"/>
    <x v="1"/>
    <x v="7"/>
    <x v="1"/>
    <n v="1"/>
    <n v="100505"/>
    <n v="0"/>
    <n v="100505"/>
    <n v="11.000021889501795"/>
    <n v="5000"/>
    <n v="100"/>
    <x v="3927"/>
    <x v="3"/>
    <x v="3"/>
    <x v="1"/>
  </r>
  <r>
    <x v="324"/>
    <s v="ZTAN"/>
    <x v="7"/>
    <s v="WG4022"/>
    <s v="154837728"/>
    <s v="RENCA"/>
    <x v="3053"/>
    <x v="1"/>
    <x v="0"/>
    <x v="7"/>
    <x v="1"/>
    <n v="1"/>
    <n v="197951"/>
    <n v="0"/>
    <n v="197951"/>
    <n v="10.999997221535324"/>
    <n v="5000"/>
    <n v="100"/>
    <x v="3928"/>
    <x v="3"/>
    <x v="3"/>
    <x v="1"/>
  </r>
  <r>
    <x v="324"/>
    <s v="ZTAN"/>
    <x v="8"/>
    <s v="BPKD94"/>
    <s v="125897258"/>
    <s v="CONCEPCION"/>
    <x v="3054"/>
    <x v="0"/>
    <x v="0"/>
    <x v="81"/>
    <x v="0"/>
    <n v="0"/>
    <n v="460000"/>
    <n v="0"/>
    <n v="460000"/>
    <n v="34.174064856431784"/>
    <n v="20000"/>
    <n v="86"/>
    <x v="3929"/>
    <x v="3"/>
    <x v="3"/>
    <x v="0"/>
  </r>
  <r>
    <x v="324"/>
    <s v="ZTAN"/>
    <x v="8"/>
    <s v="DJLF85"/>
    <s v="53173292"/>
    <s v="QUILICURA"/>
    <x v="3055"/>
    <x v="4"/>
    <x v="1"/>
    <x v="8"/>
    <x v="1"/>
    <n v="1"/>
    <n v="77641"/>
    <n v="0"/>
    <n v="77641"/>
    <n v="11.000019834916824"/>
    <n v="5000"/>
    <n v="100"/>
    <x v="3930"/>
    <x v="3"/>
    <x v="3"/>
    <x v="1"/>
  </r>
  <r>
    <x v="324"/>
    <s v="ZTAN"/>
    <x v="8"/>
    <s v="KKPF51"/>
    <s v="95707734"/>
    <s v="CHILLAN"/>
    <x v="3056"/>
    <x v="8"/>
    <x v="0"/>
    <x v="21"/>
    <x v="5"/>
    <n v="0"/>
    <n v="400000"/>
    <n v="0"/>
    <n v="400000"/>
    <n v="37.848466096290288"/>
    <n v="20000"/>
    <n v="53"/>
    <x v="3931"/>
    <x v="3"/>
    <x v="3"/>
    <x v="0"/>
  </r>
  <r>
    <x v="324"/>
    <s v="ZTAN"/>
    <x v="8"/>
    <s v="RK5135"/>
    <s v="138841065"/>
    <s v="QUILIN"/>
    <x v="3057"/>
    <x v="3"/>
    <x v="1"/>
    <x v="34"/>
    <x v="1"/>
    <n v="4"/>
    <n v="55000"/>
    <n v="0"/>
    <n v="55000"/>
    <n v="15.094961027555165"/>
    <n v="5000"/>
    <n v="73"/>
    <x v="3920"/>
    <x v="3"/>
    <x v="3"/>
    <x v="1"/>
  </r>
  <r>
    <x v="324"/>
    <s v="ZTAN"/>
    <x v="8"/>
    <s v="RK5135"/>
    <s v="138841065"/>
    <s v="ÑUÑOA"/>
    <x v="3058"/>
    <x v="3"/>
    <x v="1"/>
    <x v="15"/>
    <x v="1"/>
    <n v="4"/>
    <n v="55000"/>
    <n v="0"/>
    <n v="55000"/>
    <n v="13.372494480806823"/>
    <n v="5000"/>
    <n v="82"/>
    <x v="3932"/>
    <x v="3"/>
    <x v="3"/>
    <x v="1"/>
  </r>
  <r>
    <x v="324"/>
    <s v="ZTAN"/>
    <x v="8"/>
    <s v="SU9354"/>
    <s v="72564391"/>
    <s v="PUENTE ALTO"/>
    <x v="3059"/>
    <x v="2"/>
    <x v="1"/>
    <x v="30"/>
    <x v="1"/>
    <n v="4"/>
    <n v="68419"/>
    <n v="0"/>
    <n v="68419"/>
    <n v="11.000016077428898"/>
    <n v="5000"/>
    <n v="100"/>
    <x v="3933"/>
    <x v="3"/>
    <x v="3"/>
    <x v="1"/>
  </r>
  <r>
    <x v="324"/>
    <s v="ZTAN"/>
    <x v="8"/>
    <s v="SV2718"/>
    <s v="99626232"/>
    <s v="PUDAHUEL"/>
    <x v="3060"/>
    <x v="1"/>
    <x v="1"/>
    <x v="10"/>
    <x v="1"/>
    <n v="1"/>
    <n v="55000"/>
    <n v="0"/>
    <n v="55000"/>
    <n v="12.80898771734523"/>
    <n v="5000"/>
    <n v="86"/>
    <x v="3934"/>
    <x v="3"/>
    <x v="3"/>
    <x v="1"/>
  </r>
  <r>
    <x v="324"/>
    <s v="ZTAN"/>
    <x v="8"/>
    <s v="TP3884"/>
    <s v="154837728"/>
    <s v="CERRILLOS"/>
    <x v="3061"/>
    <x v="1"/>
    <x v="1"/>
    <x v="9"/>
    <x v="1"/>
    <n v="2"/>
    <n v="68821"/>
    <n v="0"/>
    <n v="68821"/>
    <n v="11.000025573648912"/>
    <n v="5000"/>
    <n v="100"/>
    <x v="3935"/>
    <x v="3"/>
    <x v="3"/>
    <x v="1"/>
  </r>
  <r>
    <x v="325"/>
    <s v="ZPEP"/>
    <x v="17"/>
    <s v="WC2233"/>
    <s v="125108660"/>
    <s v="LAMPA"/>
    <x v="3062"/>
    <x v="4"/>
    <x v="1"/>
    <x v="17"/>
    <x v="1"/>
    <n v="5"/>
    <n v="70000"/>
    <n v="0"/>
    <n v="70000"/>
    <n v="9.1547066962756052"/>
    <n v="10000"/>
    <n v="76"/>
    <x v="3936"/>
    <x v="3"/>
    <x v="3"/>
    <x v="1"/>
  </r>
  <r>
    <x v="325"/>
    <s v="ZPEP"/>
    <x v="2"/>
    <s v="BYZH29"/>
    <s v="122975819"/>
    <s v="TALCA"/>
    <x v="3063"/>
    <x v="0"/>
    <x v="0"/>
    <x v="12"/>
    <x v="3"/>
    <n v="0"/>
    <n v="330000"/>
    <n v="0"/>
    <n v="330000"/>
    <n v="17.859848894854199"/>
    <n v="20000"/>
    <n v="92"/>
    <x v="3937"/>
    <x v="3"/>
    <x v="3"/>
    <x v="0"/>
  </r>
  <r>
    <x v="325"/>
    <s v="ZTAN"/>
    <x v="51"/>
    <s v="DFRV76"/>
    <s v="113693568"/>
    <s v="LOS ANGELES"/>
    <x v="3064"/>
    <x v="5"/>
    <x v="0"/>
    <x v="57"/>
    <x v="0"/>
    <n v="0"/>
    <n v="460000"/>
    <n v="0"/>
    <n v="460000"/>
    <n v="46.714261051477081"/>
    <n v="20000"/>
    <n v="49"/>
    <x v="3938"/>
    <x v="3"/>
    <x v="3"/>
    <x v="0"/>
  </r>
  <r>
    <x v="325"/>
    <s v="ZTAN"/>
    <x v="63"/>
    <s v="NZ2385"/>
    <s v="119825261"/>
    <s v="MAIPU"/>
    <x v="3065"/>
    <x v="0"/>
    <x v="0"/>
    <x v="2"/>
    <x v="1"/>
    <n v="2"/>
    <n v="160402"/>
    <n v="0"/>
    <n v="160402"/>
    <n v="11"/>
    <n v="5000"/>
    <n v="100"/>
    <x v="3939"/>
    <x v="3"/>
    <x v="3"/>
    <x v="1"/>
  </r>
  <r>
    <x v="325"/>
    <s v="ZTAN"/>
    <x v="17"/>
    <s v="HLBX77"/>
    <s v="16093509K"/>
    <s v="LAMPA"/>
    <x v="2666"/>
    <x v="1"/>
    <x v="1"/>
    <x v="17"/>
    <x v="1"/>
    <n v="5"/>
    <n v="70000"/>
    <n v="0"/>
    <n v="70000"/>
    <n v="8.7901048533936059"/>
    <n v="10000"/>
    <n v="80"/>
    <x v="3940"/>
    <x v="3"/>
    <x v="3"/>
    <x v="1"/>
  </r>
  <r>
    <x v="325"/>
    <s v="ZTAN"/>
    <x v="10"/>
    <s v="RH1133"/>
    <s v="65941082"/>
    <s v="SANTIAGO"/>
    <x v="3066"/>
    <x v="0"/>
    <x v="0"/>
    <x v="20"/>
    <x v="1"/>
    <n v="1"/>
    <n v="90135"/>
    <n v="0"/>
    <n v="90135"/>
    <n v="11.000041493472104"/>
    <n v="5000"/>
    <n v="100"/>
    <x v="3941"/>
    <x v="3"/>
    <x v="3"/>
    <x v="1"/>
  </r>
  <r>
    <x v="325"/>
    <s v="ZTAN"/>
    <x v="7"/>
    <s v="HLBX77"/>
    <s v="16093509K"/>
    <s v="RENCA"/>
    <x v="3067"/>
    <x v="1"/>
    <x v="1"/>
    <x v="7"/>
    <x v="1"/>
    <n v="1"/>
    <n v="147503"/>
    <n v="0"/>
    <n v="147503"/>
    <n v="10.99997017017912"/>
    <n v="5000"/>
    <n v="100"/>
    <x v="3942"/>
    <x v="3"/>
    <x v="3"/>
    <x v="1"/>
  </r>
  <r>
    <x v="325"/>
    <s v="ZTAN"/>
    <x v="7"/>
    <s v="WG4022"/>
    <s v="154837728"/>
    <s v="RENCA"/>
    <x v="2554"/>
    <x v="1"/>
    <x v="0"/>
    <x v="7"/>
    <x v="1"/>
    <n v="1"/>
    <n v="196625"/>
    <n v="0"/>
    <n v="196625"/>
    <n v="11"/>
    <n v="5000"/>
    <n v="100"/>
    <x v="3943"/>
    <x v="3"/>
    <x v="3"/>
    <x v="1"/>
  </r>
  <r>
    <x v="325"/>
    <s v="ZTAN"/>
    <x v="8"/>
    <s v="DJLF85"/>
    <s v="53173292"/>
    <s v="LAS CONDES"/>
    <x v="3068"/>
    <x v="4"/>
    <x v="1"/>
    <x v="3"/>
    <x v="1"/>
    <n v="4"/>
    <n v="57019"/>
    <n v="0"/>
    <n v="57019"/>
    <n v="11.000054017347288"/>
    <n v="5000"/>
    <n v="100"/>
    <x v="3944"/>
    <x v="3"/>
    <x v="3"/>
    <x v="1"/>
  </r>
  <r>
    <x v="325"/>
    <s v="ZTAN"/>
    <x v="8"/>
    <s v="TP3884"/>
    <s v="99626232"/>
    <s v="PUDAHUEL"/>
    <x v="3069"/>
    <x v="1"/>
    <x v="1"/>
    <x v="10"/>
    <x v="1"/>
    <n v="1"/>
    <n v="82053"/>
    <n v="0"/>
    <n v="82053"/>
    <n v="11.000020108990734"/>
    <n v="5000"/>
    <n v="100"/>
    <x v="3945"/>
    <x v="3"/>
    <x v="3"/>
    <x v="1"/>
  </r>
  <r>
    <x v="325"/>
    <s v="ZTAN"/>
    <x v="8"/>
    <s v="WC2233"/>
    <s v="125108660"/>
    <s v="REÑACA"/>
    <x v="950"/>
    <x v="4"/>
    <x v="1"/>
    <x v="6"/>
    <x v="2"/>
    <n v="0"/>
    <n v="180000"/>
    <n v="0"/>
    <n v="180000"/>
    <n v="23.36569915364246"/>
    <n v="20000"/>
    <n v="39"/>
    <x v="3946"/>
    <x v="3"/>
    <x v="3"/>
    <x v="0"/>
  </r>
  <r>
    <x v="326"/>
    <s v="ZPEP"/>
    <x v="5"/>
    <s v="DJLF85"/>
    <s v="125108660"/>
    <s v="COLINA"/>
    <x v="3070"/>
    <x v="4"/>
    <x v="1"/>
    <x v="5"/>
    <x v="1"/>
    <n v="5"/>
    <n v="70000"/>
    <n v="0"/>
    <n v="70000"/>
    <n v="6.7814409399464646"/>
    <n v="10000"/>
    <n v="100"/>
    <x v="3947"/>
    <x v="3"/>
    <x v="3"/>
    <x v="1"/>
  </r>
  <r>
    <x v="326"/>
    <s v="ZPEP"/>
    <x v="5"/>
    <s v="WC2233"/>
    <s v="125108660"/>
    <s v="COLINA"/>
    <x v="3071"/>
    <x v="4"/>
    <x v="1"/>
    <x v="5"/>
    <x v="1"/>
    <n v="5"/>
    <n v="70000"/>
    <n v="0"/>
    <n v="70000"/>
    <n v="3.7858137985341327"/>
    <n v="10000"/>
    <n v="100"/>
    <x v="3948"/>
    <x v="3"/>
    <x v="3"/>
    <x v="1"/>
  </r>
  <r>
    <x v="326"/>
    <s v="ZTAN"/>
    <x v="9"/>
    <s v="SV2718"/>
    <s v="78907355"/>
    <s v="SAN BERNARDO"/>
    <x v="3072"/>
    <x v="1"/>
    <x v="1"/>
    <x v="4"/>
    <x v="1"/>
    <n v="4"/>
    <n v="79750"/>
    <n v="0"/>
    <n v="79750"/>
    <n v="11"/>
    <n v="5000"/>
    <n v="100"/>
    <x v="3949"/>
    <x v="3"/>
    <x v="3"/>
    <x v="1"/>
  </r>
  <r>
    <x v="326"/>
    <s v="ZTAN"/>
    <x v="7"/>
    <s v="HLBX77"/>
    <s v="16093509K"/>
    <s v="RENCA"/>
    <x v="3073"/>
    <x v="1"/>
    <x v="1"/>
    <x v="7"/>
    <x v="1"/>
    <n v="1"/>
    <n v="121550"/>
    <n v="0"/>
    <n v="121550"/>
    <n v="11"/>
    <n v="5000"/>
    <n v="100"/>
    <x v="3950"/>
    <x v="3"/>
    <x v="3"/>
    <x v="1"/>
  </r>
  <r>
    <x v="326"/>
    <s v="ZTAN"/>
    <x v="7"/>
    <s v="WG4022"/>
    <s v="154837728"/>
    <s v="RENCA"/>
    <x v="3074"/>
    <x v="1"/>
    <x v="0"/>
    <x v="7"/>
    <x v="1"/>
    <n v="1"/>
    <n v="184015"/>
    <n v="0"/>
    <n v="184015"/>
    <n v="11.000017335570618"/>
    <n v="5000"/>
    <n v="100"/>
    <x v="3951"/>
    <x v="3"/>
    <x v="3"/>
    <x v="1"/>
  </r>
  <r>
    <x v="326"/>
    <s v="ZTAN"/>
    <x v="8"/>
    <s v="RK5135"/>
    <s v="138841065"/>
    <s v="LAS CONDES"/>
    <x v="3075"/>
    <x v="3"/>
    <x v="1"/>
    <x v="3"/>
    <x v="1"/>
    <n v="4"/>
    <n v="55000"/>
    <n v="0"/>
    <n v="55000"/>
    <n v="12.992872818673835"/>
    <n v="5000"/>
    <n v="85"/>
    <x v="3952"/>
    <x v="3"/>
    <x v="3"/>
    <x v="1"/>
  </r>
  <r>
    <x v="326"/>
    <s v="ZTAN"/>
    <x v="8"/>
    <s v="TP3884"/>
    <s v="99626232"/>
    <s v="PUDAHUEL"/>
    <x v="3076"/>
    <x v="1"/>
    <x v="1"/>
    <x v="10"/>
    <x v="1"/>
    <n v="1"/>
    <n v="72948"/>
    <n v="0"/>
    <n v="72948"/>
    <n v="10.999993968309498"/>
    <n v="5000"/>
    <n v="100"/>
    <x v="3953"/>
    <x v="3"/>
    <x v="3"/>
    <x v="1"/>
  </r>
  <r>
    <x v="327"/>
    <s v="ZPEP"/>
    <x v="5"/>
    <s v="WC2233"/>
    <n v="125108660"/>
    <s v="COLINA"/>
    <x v="3077"/>
    <x v="4"/>
    <x v="1"/>
    <x v="5"/>
    <x v="1"/>
    <n v="5"/>
    <n v="70000"/>
    <n v="0"/>
    <n v="70000"/>
    <n v="10.258003440827437"/>
    <n v="10000"/>
    <n v="68"/>
    <x v="3954"/>
    <x v="3"/>
    <x v="3"/>
    <x v="1"/>
  </r>
  <r>
    <x v="327"/>
    <s v="ZPEP"/>
    <x v="32"/>
    <s v="SU9354"/>
    <n v="72564391"/>
    <s v="LAMPA"/>
    <x v="3078"/>
    <x v="2"/>
    <x v="1"/>
    <x v="17"/>
    <x v="1"/>
    <n v="5"/>
    <n v="70000"/>
    <n v="0"/>
    <n v="70000"/>
    <n v="7.827876185364107"/>
    <n v="10000"/>
    <n v="89"/>
    <x v="3955"/>
    <x v="3"/>
    <x v="3"/>
    <x v="1"/>
  </r>
  <r>
    <x v="327"/>
    <s v="ZTAN"/>
    <x v="51"/>
    <s v="BPKD94"/>
    <n v="125897258"/>
    <s v="PUERTO MONTT"/>
    <x v="3079"/>
    <x v="0"/>
    <x v="0"/>
    <x v="53"/>
    <x v="10"/>
    <n v="0"/>
    <n v="1100000"/>
    <n v="0"/>
    <n v="1100000"/>
    <n v="104.56276746086525"/>
    <n v="20000"/>
    <n v="55"/>
    <x v="3956"/>
    <x v="3"/>
    <x v="3"/>
    <x v="0"/>
  </r>
  <r>
    <x v="327"/>
    <s v="ZTAN"/>
    <x v="7"/>
    <s v="DJLF85"/>
    <n v="53173292"/>
    <s v="RENCA"/>
    <x v="3080"/>
    <x v="4"/>
    <x v="1"/>
    <x v="7"/>
    <x v="1"/>
    <n v="1"/>
    <n v="161824"/>
    <n v="0"/>
    <n v="161824"/>
    <n v="11.000016993797257"/>
    <n v="5000"/>
    <n v="100"/>
    <x v="3957"/>
    <x v="3"/>
    <x v="3"/>
    <x v="1"/>
  </r>
  <r>
    <x v="327"/>
    <s v="ZTAN"/>
    <x v="7"/>
    <s v="WC4022"/>
    <n v="154837728"/>
    <s v="RENCA"/>
    <x v="2554"/>
    <x v="1"/>
    <x v="1"/>
    <x v="7"/>
    <x v="1"/>
    <n v="1"/>
    <n v="196625"/>
    <n v="0"/>
    <n v="196625"/>
    <n v="11"/>
    <n v="5000"/>
    <n v="100"/>
    <x v="3958"/>
    <x v="3"/>
    <x v="3"/>
    <x v="1"/>
  </r>
  <r>
    <x v="327"/>
    <s v="ZTAN"/>
    <x v="8"/>
    <s v="CKYB66"/>
    <n v="115812335"/>
    <s v="VILLARRICA"/>
    <x v="3081"/>
    <x v="0"/>
    <x v="0"/>
    <x v="88"/>
    <x v="4"/>
    <n v="0"/>
    <n v="800000"/>
    <n v="0"/>
    <n v="800000"/>
    <n v="63.161019545177446"/>
    <n v="20000"/>
    <n v="63"/>
    <x v="3959"/>
    <x v="3"/>
    <x v="3"/>
    <x v="0"/>
  </r>
  <r>
    <x v="327"/>
    <s v="ZTAN"/>
    <x v="8"/>
    <s v="SV2718"/>
    <n v="99626232"/>
    <s v="PUDAHUEL"/>
    <x v="3082"/>
    <x v="1"/>
    <x v="1"/>
    <x v="10"/>
    <x v="1"/>
    <n v="1"/>
    <n v="55000"/>
    <n v="0"/>
    <n v="55000"/>
    <n v="15.453735729879938"/>
    <n v="5000"/>
    <n v="71"/>
    <x v="3960"/>
    <x v="3"/>
    <x v="3"/>
    <x v="1"/>
  </r>
  <r>
    <x v="328"/>
    <s v="ZPEP"/>
    <x v="32"/>
    <s v="HLBX77"/>
    <s v="16093509K"/>
    <s v="LAMPA"/>
    <x v="3083"/>
    <x v="1"/>
    <x v="1"/>
    <x v="17"/>
    <x v="1"/>
    <n v="5"/>
    <n v="70000"/>
    <n v="0"/>
    <n v="70000"/>
    <n v="5.9445963619070268"/>
    <n v="10000"/>
    <n v="100"/>
    <x v="3961"/>
    <x v="3"/>
    <x v="3"/>
    <x v="1"/>
  </r>
  <r>
    <x v="328"/>
    <s v="ZPEP"/>
    <x v="32"/>
    <s v="SU9354"/>
    <s v="72564391"/>
    <s v="LAMPA"/>
    <x v="3084"/>
    <x v="2"/>
    <x v="1"/>
    <x v="17"/>
    <x v="1"/>
    <n v="5"/>
    <n v="70000"/>
    <n v="0"/>
    <n v="70000"/>
    <n v="8.2472283421892829"/>
    <n v="10000"/>
    <n v="85"/>
    <x v="3962"/>
    <x v="3"/>
    <x v="3"/>
    <x v="1"/>
  </r>
  <r>
    <x v="328"/>
    <s v="ZTAN"/>
    <x v="51"/>
    <s v="BYZH29"/>
    <s v="122975819"/>
    <s v="TALCA"/>
    <x v="3085"/>
    <x v="0"/>
    <x v="0"/>
    <x v="12"/>
    <x v="3"/>
    <n v="0"/>
    <n v="330000"/>
    <n v="0"/>
    <n v="330000"/>
    <n v="42.006323861119469"/>
    <n v="20000"/>
    <n v="85"/>
    <x v="3963"/>
    <x v="3"/>
    <x v="3"/>
    <x v="0"/>
  </r>
  <r>
    <x v="328"/>
    <s v="ZTAN"/>
    <x v="51"/>
    <s v="KKPF51"/>
    <s v="95707724"/>
    <s v="CURICO"/>
    <x v="3086"/>
    <x v="8"/>
    <x v="0"/>
    <x v="73"/>
    <x v="3"/>
    <n v="0"/>
    <n v="300000"/>
    <n v="0"/>
    <n v="300000"/>
    <n v="35.183723540373919"/>
    <n v="20000"/>
    <n v="43"/>
    <x v="3964"/>
    <x v="3"/>
    <x v="3"/>
    <x v="0"/>
  </r>
  <r>
    <x v="328"/>
    <s v="ZTAN"/>
    <x v="9"/>
    <s v="DJLF85"/>
    <s v="125108660"/>
    <s v="SAN BERNARDO"/>
    <x v="3087"/>
    <x v="4"/>
    <x v="1"/>
    <x v="4"/>
    <x v="1"/>
    <n v="4"/>
    <n v="65996"/>
    <n v="0"/>
    <n v="65996"/>
    <n v="11.000011667386156"/>
    <n v="5000"/>
    <n v="100"/>
    <x v="3965"/>
    <x v="3"/>
    <x v="3"/>
    <x v="1"/>
  </r>
  <r>
    <x v="328"/>
    <s v="ZTAN"/>
    <x v="7"/>
    <s v="HLBX77"/>
    <s v="16093509K"/>
    <s v="RENCA"/>
    <x v="3088"/>
    <x v="1"/>
    <x v="1"/>
    <x v="7"/>
    <x v="1"/>
    <n v="1"/>
    <n v="55000"/>
    <n v="0"/>
    <n v="55000"/>
    <n v="25.273412370186577"/>
    <n v="5000"/>
    <n v="65"/>
    <x v="3966"/>
    <x v="3"/>
    <x v="3"/>
    <x v="1"/>
  </r>
  <r>
    <x v="328"/>
    <s v="ZTAN"/>
    <x v="7"/>
    <s v="WC4022"/>
    <s v="154837728"/>
    <s v="RENCA"/>
    <x v="3089"/>
    <x v="1"/>
    <x v="1"/>
    <x v="7"/>
    <x v="1"/>
    <n v="1"/>
    <n v="234554"/>
    <n v="0"/>
    <n v="234554"/>
    <n v="11.000021103922757"/>
    <n v="5000"/>
    <n v="100"/>
    <x v="3967"/>
    <x v="3"/>
    <x v="3"/>
    <x v="1"/>
  </r>
  <r>
    <x v="328"/>
    <s v="ZTAN"/>
    <x v="8"/>
    <s v="BWPL69"/>
    <s v="78551976"/>
    <s v="TEMUCO"/>
    <x v="3090"/>
    <x v="5"/>
    <x v="0"/>
    <x v="14"/>
    <x v="4"/>
    <n v="0"/>
    <n v="665000"/>
    <n v="0"/>
    <n v="665000"/>
    <n v="60.353042610155647"/>
    <n v="20000"/>
    <n v="76"/>
    <x v="3968"/>
    <x v="3"/>
    <x v="3"/>
    <x v="0"/>
  </r>
  <r>
    <x v="328"/>
    <s v="ZTAN"/>
    <x v="8"/>
    <s v="SV2718"/>
    <s v="99626232"/>
    <s v="LAS CONDES"/>
    <x v="3091"/>
    <x v="1"/>
    <x v="1"/>
    <x v="3"/>
    <x v="1"/>
    <n v="4"/>
    <n v="55000"/>
    <n v="0"/>
    <n v="55000"/>
    <n v="11.442504535392706"/>
    <n v="5000"/>
    <n v="96"/>
    <x v="3969"/>
    <x v="3"/>
    <x v="3"/>
    <x v="1"/>
  </r>
  <r>
    <x v="328"/>
    <s v="ZTAN"/>
    <x v="8"/>
    <s v="TP3884"/>
    <s v="154837728"/>
    <s v="LA REINA"/>
    <x v="3092"/>
    <x v="1"/>
    <x v="1"/>
    <x v="11"/>
    <x v="1"/>
    <n v="3"/>
    <n v="74290"/>
    <n v="0"/>
    <n v="74290"/>
    <n v="11.000010364796415"/>
    <n v="5000"/>
    <n v="100"/>
    <x v="3970"/>
    <x v="3"/>
    <x v="3"/>
    <x v="1"/>
  </r>
  <r>
    <x v="328"/>
    <s v="ZTAN"/>
    <x v="8"/>
    <s v="WC2233"/>
    <s v="125108660"/>
    <s v="REÑACA"/>
    <x v="3093"/>
    <x v="4"/>
    <x v="1"/>
    <x v="6"/>
    <x v="2"/>
    <n v="0"/>
    <n v="180000"/>
    <n v="0"/>
    <n v="180000"/>
    <n v="50.068983933419375"/>
    <n v="20000"/>
    <n v="85"/>
    <x v="3971"/>
    <x v="3"/>
    <x v="3"/>
    <x v="0"/>
  </r>
  <r>
    <x v="329"/>
    <s v="ZPEP"/>
    <x v="17"/>
    <s v="SU9354"/>
    <s v="72564391"/>
    <s v="LAMPA"/>
    <x v="3094"/>
    <x v="2"/>
    <x v="1"/>
    <x v="17"/>
    <x v="1"/>
    <n v="5"/>
    <n v="70000"/>
    <n v="0"/>
    <n v="70000"/>
    <n v="4.1216814576149829"/>
    <n v="10000"/>
    <n v="100"/>
    <x v="3972"/>
    <x v="3"/>
    <x v="3"/>
    <x v="1"/>
  </r>
  <r>
    <x v="329"/>
    <s v="ZPEP"/>
    <x v="32"/>
    <s v="DJLF85"/>
    <s v="53173292"/>
    <s v="LAMPA"/>
    <x v="3095"/>
    <x v="4"/>
    <x v="1"/>
    <x v="17"/>
    <x v="1"/>
    <n v="5"/>
    <n v="70000"/>
    <n v="0"/>
    <n v="70000"/>
    <n v="7.0171428800559745"/>
    <n v="10000"/>
    <n v="100"/>
    <x v="3973"/>
    <x v="3"/>
    <x v="3"/>
    <x v="1"/>
  </r>
  <r>
    <x v="329"/>
    <s v="ZTAN"/>
    <x v="51"/>
    <s v="BDHB75"/>
    <s v="98494073"/>
    <s v="VALDIVIA"/>
    <x v="3096"/>
    <x v="0"/>
    <x v="0"/>
    <x v="77"/>
    <x v="11"/>
    <n v="0"/>
    <n v="800000"/>
    <n v="0"/>
    <n v="800000"/>
    <n v="86.675955439891283"/>
    <n v="20000"/>
    <n v="46"/>
    <x v="3974"/>
    <x v="3"/>
    <x v="3"/>
    <x v="0"/>
  </r>
  <r>
    <x v="329"/>
    <s v="ZTAN"/>
    <x v="17"/>
    <s v="HLBX77"/>
    <s v="16093509K"/>
    <s v="LAMPA"/>
    <x v="2666"/>
    <x v="1"/>
    <x v="1"/>
    <x v="17"/>
    <x v="1"/>
    <n v="5"/>
    <n v="70000"/>
    <n v="0"/>
    <n v="70000"/>
    <n v="8.7901048533936059"/>
    <n v="10000"/>
    <n v="80"/>
    <x v="3975"/>
    <x v="3"/>
    <x v="3"/>
    <x v="1"/>
  </r>
  <r>
    <x v="329"/>
    <s v="ZTAN"/>
    <x v="17"/>
    <s v="TP3884"/>
    <s v="154837728"/>
    <s v="LAMPA"/>
    <x v="3097"/>
    <x v="1"/>
    <x v="1"/>
    <x v="17"/>
    <x v="1"/>
    <n v="5"/>
    <n v="70000"/>
    <n v="0"/>
    <n v="70000"/>
    <n v="8.5209981740718206"/>
    <n v="10000"/>
    <n v="82"/>
    <x v="3976"/>
    <x v="3"/>
    <x v="3"/>
    <x v="1"/>
  </r>
  <r>
    <x v="329"/>
    <s v="ZTAN"/>
    <x v="5"/>
    <s v="SV2718"/>
    <s v="78907355"/>
    <s v="PAINE"/>
    <x v="2423"/>
    <x v="1"/>
    <x v="1"/>
    <x v="13"/>
    <x v="1"/>
    <n v="5"/>
    <n v="90000"/>
    <n v="0"/>
    <n v="90000"/>
    <n v="27.777777777777779"/>
    <n v="10000"/>
    <n v="32"/>
    <x v="3977"/>
    <x v="3"/>
    <x v="3"/>
    <x v="1"/>
  </r>
  <r>
    <x v="329"/>
    <s v="ZTAN"/>
    <x v="10"/>
    <s v="RH1133"/>
    <s v="65941082"/>
    <s v="QUILICURA"/>
    <x v="3098"/>
    <x v="0"/>
    <x v="0"/>
    <x v="8"/>
    <x v="1"/>
    <n v="1"/>
    <n v="140289"/>
    <n v="0"/>
    <n v="140289"/>
    <n v="6.2399199377293453"/>
    <n v="5000"/>
    <n v="100"/>
    <x v="3978"/>
    <x v="3"/>
    <x v="3"/>
    <x v="1"/>
  </r>
  <r>
    <x v="329"/>
    <s v="ZTAN"/>
    <x v="6"/>
    <s v="KKPF51"/>
    <s v="95707734"/>
    <s v="LINARES"/>
    <x v="3099"/>
    <x v="8"/>
    <x v="0"/>
    <x v="59"/>
    <x v="3"/>
    <n v="0"/>
    <n v="350000"/>
    <n v="0"/>
    <n v="350000"/>
    <n v="31.62315320785266"/>
    <n v="20000"/>
    <n v="80"/>
    <x v="3979"/>
    <x v="3"/>
    <x v="3"/>
    <x v="0"/>
  </r>
  <r>
    <x v="329"/>
    <s v="ZTAN"/>
    <x v="7"/>
    <s v="HLBX77"/>
    <s v="16093509K"/>
    <s v="RENCA"/>
    <x v="3100"/>
    <x v="1"/>
    <x v="1"/>
    <x v="7"/>
    <x v="1"/>
    <n v="1"/>
    <n v="55176"/>
    <n v="0"/>
    <n v="55176"/>
    <n v="11"/>
    <n v="5000"/>
    <n v="100"/>
    <x v="3980"/>
    <x v="3"/>
    <x v="3"/>
    <x v="1"/>
  </r>
  <r>
    <x v="329"/>
    <s v="ZTAN"/>
    <x v="7"/>
    <s v="WC2233"/>
    <s v="125108338"/>
    <s v="RENCA"/>
    <x v="3101"/>
    <x v="4"/>
    <x v="1"/>
    <x v="7"/>
    <x v="1"/>
    <n v="1"/>
    <n v="55000"/>
    <n v="0"/>
    <n v="55000"/>
    <n v="2.2820629849383844"/>
    <n v="5000"/>
    <n v="100"/>
    <x v="3981"/>
    <x v="3"/>
    <x v="3"/>
    <x v="1"/>
  </r>
  <r>
    <x v="329"/>
    <s v="ZTAN"/>
    <x v="8"/>
    <s v="SV2718"/>
    <s v="99626232"/>
    <s v="CERRILLOS"/>
    <x v="3102"/>
    <x v="1"/>
    <x v="1"/>
    <x v="9"/>
    <x v="1"/>
    <n v="2"/>
    <n v="64444"/>
    <n v="0"/>
    <n v="64444"/>
    <n v="11.000010241459478"/>
    <n v="5000"/>
    <n v="100"/>
    <x v="3982"/>
    <x v="3"/>
    <x v="3"/>
    <x v="1"/>
  </r>
  <r>
    <x v="329"/>
    <s v="ZTAN"/>
    <x v="8"/>
    <s v="TP3884"/>
    <s v="78907355"/>
    <s v="LA REINA"/>
    <x v="3103"/>
    <x v="1"/>
    <x v="1"/>
    <x v="11"/>
    <x v="1"/>
    <n v="3"/>
    <n v="68971"/>
    <n v="0"/>
    <n v="68971"/>
    <n v="11.000054225956371"/>
    <n v="5000"/>
    <n v="100"/>
    <x v="3983"/>
    <x v="3"/>
    <x v="3"/>
    <x v="1"/>
  </r>
  <r>
    <x v="330"/>
    <s v="ZPEP"/>
    <x v="5"/>
    <s v="WC2233"/>
    <s v="125108660"/>
    <s v="COLINA"/>
    <x v="3104"/>
    <x v="4"/>
    <x v="1"/>
    <x v="5"/>
    <x v="1"/>
    <n v="5"/>
    <n v="70000"/>
    <n v="0"/>
    <n v="70000"/>
    <n v="8.1290049865639169"/>
    <n v="10000"/>
    <n v="86"/>
    <x v="3984"/>
    <x v="3"/>
    <x v="3"/>
    <x v="1"/>
  </r>
  <r>
    <x v="330"/>
    <s v="ZPEP"/>
    <x v="32"/>
    <s v="WC2233"/>
    <s v="125108660"/>
    <s v="LAMPA"/>
    <x v="3105"/>
    <x v="4"/>
    <x v="1"/>
    <x v="17"/>
    <x v="1"/>
    <n v="5"/>
    <n v="70000"/>
    <n v="0"/>
    <n v="70000"/>
    <n v="13.55365115999891"/>
    <n v="10000"/>
    <n v="52"/>
    <x v="3985"/>
    <x v="3"/>
    <x v="3"/>
    <x v="1"/>
  </r>
  <r>
    <x v="330"/>
    <s v="ZPEP"/>
    <x v="2"/>
    <s v="BPKD89"/>
    <s v="125897258"/>
    <s v="PUCON"/>
    <x v="3106"/>
    <x v="0"/>
    <x v="0"/>
    <x v="48"/>
    <x v="4"/>
    <n v="0"/>
    <n v="700000"/>
    <n v="0"/>
    <n v="700000"/>
    <n v="24.043770654028368"/>
    <n v="20000"/>
    <n v="100"/>
    <x v="3986"/>
    <x v="3"/>
    <x v="3"/>
    <x v="0"/>
  </r>
  <r>
    <x v="330"/>
    <s v="ZTAN"/>
    <x v="95"/>
    <s v="SU9354"/>
    <s v="72564391"/>
    <s v="SANTIAGO"/>
    <x v="1067"/>
    <x v="2"/>
    <x v="1"/>
    <x v="20"/>
    <x v="1"/>
    <n v="1"/>
    <n v="93522"/>
    <n v="0"/>
    <n v="93522"/>
    <n v="11"/>
    <n v="5000"/>
    <n v="100"/>
    <x v="3987"/>
    <x v="3"/>
    <x v="3"/>
    <x v="1"/>
  </r>
  <r>
    <x v="330"/>
    <s v="ZTAN"/>
    <x v="10"/>
    <s v="RH1133"/>
    <s v="65941082"/>
    <s v="SANTIAGO"/>
    <x v="419"/>
    <x v="0"/>
    <x v="0"/>
    <x v="20"/>
    <x v="1"/>
    <n v="1"/>
    <n v="90684"/>
    <n v="0"/>
    <n v="90684"/>
    <n v="10.999999999999995"/>
    <n v="5000"/>
    <n v="100"/>
    <x v="3988"/>
    <x v="3"/>
    <x v="3"/>
    <x v="1"/>
  </r>
  <r>
    <x v="330"/>
    <s v="ZTAN"/>
    <x v="7"/>
    <s v="HLBX77"/>
    <s v="16093509K"/>
    <s v="RENCA"/>
    <x v="3107"/>
    <x v="1"/>
    <x v="1"/>
    <x v="7"/>
    <x v="1"/>
    <n v="1"/>
    <n v="73568"/>
    <n v="0"/>
    <n v="73568"/>
    <n v="11.000000000000005"/>
    <n v="5000"/>
    <n v="100"/>
    <x v="3989"/>
    <x v="3"/>
    <x v="3"/>
    <x v="1"/>
  </r>
  <r>
    <x v="330"/>
    <s v="ZTAN"/>
    <x v="7"/>
    <s v="WC2233"/>
    <s v="125108660"/>
    <s v="RENCA"/>
    <x v="3108"/>
    <x v="4"/>
    <x v="1"/>
    <x v="7"/>
    <x v="1"/>
    <n v="1"/>
    <n v="55000"/>
    <n v="0"/>
    <n v="55000"/>
    <n v="16.44736842105263"/>
    <n v="5000"/>
    <n v="67"/>
    <x v="3990"/>
    <x v="3"/>
    <x v="3"/>
    <x v="1"/>
  </r>
  <r>
    <x v="330"/>
    <s v="ZTAN"/>
    <x v="7"/>
    <s v="WG4022"/>
    <s v="154837728"/>
    <s v="RENCA"/>
    <x v="3109"/>
    <x v="1"/>
    <x v="0"/>
    <x v="7"/>
    <x v="1"/>
    <n v="1"/>
    <n v="107816"/>
    <n v="0"/>
    <n v="107816"/>
    <n v="10.999971432885642"/>
    <n v="5000"/>
    <n v="100"/>
    <x v="3991"/>
    <x v="3"/>
    <x v="3"/>
    <x v="1"/>
  </r>
  <r>
    <x v="330"/>
    <s v="ZTAN"/>
    <x v="8"/>
    <s v="CKYB66"/>
    <s v="115812335"/>
    <s v="LOS ANGELES"/>
    <x v="3110"/>
    <x v="0"/>
    <x v="0"/>
    <x v="57"/>
    <x v="0"/>
    <n v="0"/>
    <n v="460000"/>
    <n v="0"/>
    <n v="460000"/>
    <n v="37.188245280730833"/>
    <n v="20000"/>
    <n v="62"/>
    <x v="3992"/>
    <x v="3"/>
    <x v="3"/>
    <x v="0"/>
  </r>
  <r>
    <x v="330"/>
    <s v="ZTAN"/>
    <x v="8"/>
    <s v="RK5135"/>
    <s v="138841065"/>
    <s v="SAN MIGUEL"/>
    <x v="3111"/>
    <x v="3"/>
    <x v="1"/>
    <x v="23"/>
    <x v="1"/>
    <n v="2"/>
    <n v="68917"/>
    <n v="0"/>
    <n v="68917"/>
    <n v="11.000073422142204"/>
    <n v="5000"/>
    <n v="100"/>
    <x v="3993"/>
    <x v="3"/>
    <x v="3"/>
    <x v="1"/>
  </r>
  <r>
    <x v="330"/>
    <s v="ZTAN"/>
    <x v="8"/>
    <s v="SU9354"/>
    <s v="72564391"/>
    <s v="SAN BERNARDO"/>
    <x v="3112"/>
    <x v="2"/>
    <x v="1"/>
    <x v="4"/>
    <x v="1"/>
    <n v="4"/>
    <n v="55000"/>
    <n v="0"/>
    <n v="55000"/>
    <n v="11.628054478492329"/>
    <n v="5000"/>
    <n v="95"/>
    <x v="3994"/>
    <x v="3"/>
    <x v="3"/>
    <x v="1"/>
  </r>
  <r>
    <x v="330"/>
    <s v="ZTAN"/>
    <x v="8"/>
    <s v="SV2718"/>
    <s v="99626232"/>
    <s v="ÑUÑOA"/>
    <x v="3113"/>
    <x v="1"/>
    <x v="1"/>
    <x v="15"/>
    <x v="1"/>
    <n v="4"/>
    <n v="55000"/>
    <n v="0"/>
    <n v="55000"/>
    <n v="12.085468432756455"/>
    <n v="5000"/>
    <n v="91"/>
    <x v="3995"/>
    <x v="3"/>
    <x v="3"/>
    <x v="1"/>
  </r>
  <r>
    <x v="330"/>
    <s v="ZTAN"/>
    <x v="8"/>
    <s v="TP3884"/>
    <s v="78907355"/>
    <s v="PUDAHUEL"/>
    <x v="3114"/>
    <x v="1"/>
    <x v="1"/>
    <x v="10"/>
    <x v="1"/>
    <n v="1"/>
    <n v="55000"/>
    <n v="0"/>
    <n v="55000"/>
    <n v="13.656995858205624"/>
    <n v="5000"/>
    <n v="81"/>
    <x v="3996"/>
    <x v="3"/>
    <x v="3"/>
    <x v="1"/>
  </r>
  <r>
    <x v="331"/>
    <s v="ZPEP"/>
    <x v="17"/>
    <s v="SU9354"/>
    <s v="72564391"/>
    <s v="LAMPA"/>
    <x v="3115"/>
    <x v="2"/>
    <x v="1"/>
    <x v="17"/>
    <x v="1"/>
    <n v="5"/>
    <n v="70000"/>
    <n v="0"/>
    <n v="70000"/>
    <n v="4.9258865188337753"/>
    <n v="10000"/>
    <n v="100"/>
    <x v="3997"/>
    <x v="3"/>
    <x v="3"/>
    <x v="1"/>
  </r>
  <r>
    <x v="331"/>
    <s v="ZTAN"/>
    <x v="51"/>
    <s v="KKPF51"/>
    <s v="95707734"/>
    <s v="TALCAHUANO"/>
    <x v="3116"/>
    <x v="8"/>
    <x v="0"/>
    <x v="0"/>
    <x v="0"/>
    <n v="0"/>
    <n v="420000"/>
    <n v="0"/>
    <n v="420000"/>
    <n v="83.340774473911395"/>
    <n v="20000"/>
    <n v="25"/>
    <x v="3998"/>
    <x v="3"/>
    <x v="3"/>
    <x v="0"/>
  </r>
  <r>
    <x v="331"/>
    <s v="ZTAN"/>
    <x v="10"/>
    <s v="BWPL69"/>
    <s v="78551976"/>
    <s v="TALCAHUANO"/>
    <x v="419"/>
    <x v="5"/>
    <x v="0"/>
    <x v="0"/>
    <x v="0"/>
    <n v="0"/>
    <n v="420000"/>
    <n v="0"/>
    <n v="420000"/>
    <n v="50.946142649199395"/>
    <n v="20000"/>
    <n v="41"/>
    <x v="3999"/>
    <x v="3"/>
    <x v="3"/>
    <x v="0"/>
  </r>
  <r>
    <x v="331"/>
    <s v="ZTAN"/>
    <x v="7"/>
    <s v="DJLF85"/>
    <s v="53173292"/>
    <s v="RENCA"/>
    <x v="3088"/>
    <x v="4"/>
    <x v="1"/>
    <x v="7"/>
    <x v="1"/>
    <n v="1"/>
    <n v="55000"/>
    <n v="0"/>
    <n v="55000"/>
    <n v="25.273412370186577"/>
    <n v="5000"/>
    <n v="44"/>
    <x v="4000"/>
    <x v="3"/>
    <x v="3"/>
    <x v="1"/>
  </r>
  <r>
    <x v="331"/>
    <s v="ZTAN"/>
    <x v="7"/>
    <s v="HLBX77"/>
    <s v="16093509K"/>
    <s v="RENCA"/>
    <x v="3088"/>
    <x v="1"/>
    <x v="1"/>
    <x v="7"/>
    <x v="1"/>
    <n v="1"/>
    <n v="55000"/>
    <n v="0"/>
    <n v="55000"/>
    <n v="25.273412370186577"/>
    <n v="5000"/>
    <n v="44"/>
    <x v="4001"/>
    <x v="3"/>
    <x v="3"/>
    <x v="1"/>
  </r>
  <r>
    <x v="331"/>
    <s v="ZTAN"/>
    <x v="7"/>
    <s v="WC2233"/>
    <s v="125108660"/>
    <s v="RENCA"/>
    <x v="2555"/>
    <x v="4"/>
    <x v="1"/>
    <x v="7"/>
    <x v="1"/>
    <n v="1"/>
    <n v="143000"/>
    <n v="0"/>
    <n v="143000"/>
    <n v="11"/>
    <n v="5000"/>
    <n v="100"/>
    <x v="4002"/>
    <x v="3"/>
    <x v="3"/>
    <x v="1"/>
  </r>
  <r>
    <x v="331"/>
    <s v="ZTAN"/>
    <x v="7"/>
    <s v="WG4022"/>
    <s v="154837728"/>
    <s v="RENCA"/>
    <x v="1186"/>
    <x v="1"/>
    <x v="0"/>
    <x v="7"/>
    <x v="1"/>
    <n v="1"/>
    <n v="71815"/>
    <n v="0"/>
    <n v="71815"/>
    <n v="11.000061268878477"/>
    <n v="5000"/>
    <n v="100"/>
    <x v="4003"/>
    <x v="3"/>
    <x v="3"/>
    <x v="1"/>
  </r>
  <r>
    <x v="331"/>
    <s v="ZTAN"/>
    <x v="8"/>
    <s v="BYZH29"/>
    <s v="129975819"/>
    <s v="OSORNO"/>
    <x v="3117"/>
    <x v="0"/>
    <x v="0"/>
    <x v="64"/>
    <x v="10"/>
    <n v="0"/>
    <n v="950000"/>
    <n v="0"/>
    <n v="950000"/>
    <n v="67.126044339931937"/>
    <n v="20000"/>
    <n v="71"/>
    <x v="4004"/>
    <x v="3"/>
    <x v="3"/>
    <x v="0"/>
  </r>
  <r>
    <x v="331"/>
    <s v="ZTAN"/>
    <x v="8"/>
    <s v="SV2718"/>
    <s v="99626232"/>
    <s v="PUDAHUEL"/>
    <x v="3118"/>
    <x v="1"/>
    <x v="1"/>
    <x v="10"/>
    <x v="1"/>
    <n v="1"/>
    <n v="55356"/>
    <n v="0"/>
    <n v="55356"/>
    <n v="11.00009538344143"/>
    <n v="5000"/>
    <n v="100"/>
    <x v="4005"/>
    <x v="3"/>
    <x v="3"/>
    <x v="1"/>
  </r>
  <r>
    <x v="332"/>
    <s v="ZTAN"/>
    <x v="10"/>
    <s v="RH1133"/>
    <s v="65941082"/>
    <s v="SANTIAGO"/>
    <x v="419"/>
    <x v="0"/>
    <x v="0"/>
    <x v="20"/>
    <x v="1"/>
    <n v="1"/>
    <n v="90684"/>
    <n v="0"/>
    <n v="90684"/>
    <n v="10.999999999999995"/>
    <n v="5000"/>
    <n v="100"/>
    <x v="4006"/>
    <x v="3"/>
    <x v="3"/>
    <x v="1"/>
  </r>
  <r>
    <x v="332"/>
    <s v="ZTAN"/>
    <x v="7"/>
    <s v="HLBX77"/>
    <s v="16093509K"/>
    <s v="RENCA"/>
    <x v="3119"/>
    <x v="1"/>
    <x v="1"/>
    <x v="7"/>
    <x v="1"/>
    <n v="1"/>
    <n v="124102"/>
    <n v="0"/>
    <n v="124102"/>
    <n v="11"/>
    <n v="5000"/>
    <n v="100"/>
    <x v="4007"/>
    <x v="3"/>
    <x v="3"/>
    <x v="1"/>
  </r>
  <r>
    <x v="332"/>
    <s v="ZTAN"/>
    <x v="7"/>
    <s v="WG4022"/>
    <s v="154837728"/>
    <s v="RENCA"/>
    <x v="3120"/>
    <x v="1"/>
    <x v="0"/>
    <x v="7"/>
    <x v="1"/>
    <n v="1"/>
    <n v="94171"/>
    <n v="0"/>
    <n v="94171"/>
    <n v="10.999961453236358"/>
    <n v="5000"/>
    <n v="100"/>
    <x v="4008"/>
    <x v="3"/>
    <x v="3"/>
    <x v="1"/>
  </r>
  <r>
    <x v="332"/>
    <s v="ZTAN"/>
    <x v="8"/>
    <s v="PKYS74"/>
    <s v="6270439K"/>
    <s v="CORONEL"/>
    <x v="3121"/>
    <x v="0"/>
    <x v="0"/>
    <x v="16"/>
    <x v="0"/>
    <n v="0"/>
    <n v="480000"/>
    <n v="0"/>
    <n v="480000"/>
    <n v="50.413813384867453"/>
    <n v="20000"/>
    <n v="48"/>
    <x v="4009"/>
    <x v="3"/>
    <x v="3"/>
    <x v="0"/>
  </r>
  <r>
    <x v="332"/>
    <s v="ZTAN"/>
    <x v="8"/>
    <s v="TP3884"/>
    <s v="78907355"/>
    <s v="PUDAHUEL"/>
    <x v="3122"/>
    <x v="1"/>
    <x v="1"/>
    <x v="10"/>
    <x v="1"/>
    <n v="1"/>
    <n v="57697"/>
    <n v="0"/>
    <n v="57697"/>
    <n v="10.999961869900096"/>
    <n v="5000"/>
    <n v="100"/>
    <x v="4010"/>
    <x v="3"/>
    <x v="3"/>
    <x v="1"/>
  </r>
  <r>
    <x v="333"/>
    <s v="ZPEP"/>
    <x v="5"/>
    <s v="WC2233"/>
    <s v="125108660"/>
    <s v="COLINA"/>
    <x v="3123"/>
    <x v="4"/>
    <x v="1"/>
    <x v="5"/>
    <x v="1"/>
    <n v="5"/>
    <n v="70000"/>
    <n v="0"/>
    <n v="70000"/>
    <n v="4.4172872429375465"/>
    <n v="10000"/>
    <n v="100"/>
    <x v="4011"/>
    <x v="3"/>
    <x v="3"/>
    <x v="1"/>
  </r>
  <r>
    <x v="333"/>
    <s v="ZTAN"/>
    <x v="63"/>
    <s v="RH1133"/>
    <s v="65941082"/>
    <s v="MAIPU"/>
    <x v="3124"/>
    <x v="0"/>
    <x v="0"/>
    <x v="2"/>
    <x v="1"/>
    <n v="2"/>
    <n v="178156"/>
    <n v="0"/>
    <n v="178156"/>
    <n v="11"/>
    <n v="5000"/>
    <n v="100"/>
    <x v="4012"/>
    <x v="3"/>
    <x v="3"/>
    <x v="1"/>
  </r>
  <r>
    <x v="333"/>
    <s v="ZTAN"/>
    <x v="10"/>
    <s v="RH1133"/>
    <s v="65941082"/>
    <s v="SANTIAGO"/>
    <x v="3125"/>
    <x v="0"/>
    <x v="0"/>
    <x v="20"/>
    <x v="1"/>
    <n v="1"/>
    <n v="96730"/>
    <n v="0"/>
    <n v="96730"/>
    <n v="11.000045487627363"/>
    <n v="5000"/>
    <n v="100"/>
    <x v="4013"/>
    <x v="3"/>
    <x v="3"/>
    <x v="1"/>
  </r>
  <r>
    <x v="333"/>
    <s v="ZTAN"/>
    <x v="7"/>
    <s v="DJLF85"/>
    <s v="53173292"/>
    <s v="RENCA"/>
    <x v="2472"/>
    <x v="4"/>
    <x v="1"/>
    <x v="7"/>
    <x v="1"/>
    <n v="1"/>
    <n v="55000"/>
    <n v="0"/>
    <n v="55000"/>
    <n v="11.574074074074074"/>
    <n v="5000"/>
    <n v="95"/>
    <x v="4014"/>
    <x v="3"/>
    <x v="3"/>
    <x v="1"/>
  </r>
  <r>
    <x v="333"/>
    <s v="ZTAN"/>
    <x v="7"/>
    <s v="HLBX77"/>
    <s v="16093509K"/>
    <s v="RENCA"/>
    <x v="2472"/>
    <x v="1"/>
    <x v="1"/>
    <x v="7"/>
    <x v="1"/>
    <n v="1"/>
    <n v="55000"/>
    <n v="0"/>
    <n v="55000"/>
    <n v="11.574074074074074"/>
    <n v="5000"/>
    <n v="95"/>
    <x v="4015"/>
    <x v="3"/>
    <x v="3"/>
    <x v="1"/>
  </r>
  <r>
    <x v="333"/>
    <s v="ZTAN"/>
    <x v="7"/>
    <s v="TP3884"/>
    <s v="154837728"/>
    <s v="MELIPILLA"/>
    <x v="3126"/>
    <x v="1"/>
    <x v="1"/>
    <x v="29"/>
    <x v="1"/>
    <n v="5"/>
    <n v="90000"/>
    <n v="0"/>
    <n v="90000"/>
    <n v="21.401564692174162"/>
    <n v="10000"/>
    <n v="42"/>
    <x v="4016"/>
    <x v="3"/>
    <x v="3"/>
    <x v="1"/>
  </r>
  <r>
    <x v="333"/>
    <s v="ZTAN"/>
    <x v="8"/>
    <s v="BYZH29"/>
    <s v="122975819"/>
    <s v="ANGOL"/>
    <x v="3127"/>
    <x v="0"/>
    <x v="0"/>
    <x v="84"/>
    <x v="4"/>
    <n v="0"/>
    <n v="530000"/>
    <n v="0"/>
    <n v="530000"/>
    <n v="33.89800155291222"/>
    <n v="20000"/>
    <n v="78"/>
    <x v="4017"/>
    <x v="3"/>
    <x v="3"/>
    <x v="0"/>
  </r>
  <r>
    <x v="333"/>
    <s v="ZTAN"/>
    <x v="8"/>
    <s v="KKPF51"/>
    <s v="95707334"/>
    <s v="TALCA"/>
    <x v="3128"/>
    <x v="8"/>
    <x v="0"/>
    <x v="12"/>
    <x v="3"/>
    <n v="0"/>
    <n v="330000"/>
    <n v="0"/>
    <n v="330000"/>
    <n v="29.0838584585555"/>
    <n v="20000"/>
    <n v="65"/>
    <x v="4018"/>
    <x v="3"/>
    <x v="3"/>
    <x v="0"/>
  </r>
  <r>
    <x v="333"/>
    <s v="ZTAN"/>
    <x v="8"/>
    <s v="SU9354"/>
    <s v="72564391"/>
    <s v="REÑACA"/>
    <x v="3129"/>
    <x v="2"/>
    <x v="1"/>
    <x v="6"/>
    <x v="2"/>
    <n v="0"/>
    <n v="180000"/>
    <n v="0"/>
    <n v="180000"/>
    <n v="22.733587612720711"/>
    <n v="20000"/>
    <n v="40"/>
    <x v="4019"/>
    <x v="3"/>
    <x v="3"/>
    <x v="0"/>
  </r>
  <r>
    <x v="333"/>
    <s v="ZTAN"/>
    <x v="8"/>
    <s v="WC2233"/>
    <s v="125108660"/>
    <s v="REÑACA"/>
    <x v="3130"/>
    <x v="4"/>
    <x v="1"/>
    <x v="6"/>
    <x v="2"/>
    <n v="0"/>
    <n v="180000"/>
    <n v="0"/>
    <n v="180000"/>
    <n v="27.410026587725792"/>
    <n v="20000"/>
    <n v="33"/>
    <x v="4020"/>
    <x v="3"/>
    <x v="3"/>
    <x v="0"/>
  </r>
  <r>
    <x v="334"/>
    <s v="ZPEP"/>
    <x v="17"/>
    <s v="RH1133"/>
    <s v="65941082"/>
    <s v="LAMPA"/>
    <x v="3131"/>
    <x v="0"/>
    <x v="0"/>
    <x v="17"/>
    <x v="1"/>
    <n v="5"/>
    <n v="120000"/>
    <n v="0"/>
    <n v="120000"/>
    <n v="10.082339102671821"/>
    <n v="10000"/>
    <n v="100"/>
    <x v="4021"/>
    <x v="4"/>
    <x v="3"/>
    <x v="1"/>
  </r>
  <r>
    <x v="334"/>
    <s v="ZPEP"/>
    <x v="5"/>
    <s v="WC2233"/>
    <s v="125108660"/>
    <s v="COLINA"/>
    <x v="3132"/>
    <x v="4"/>
    <x v="1"/>
    <x v="5"/>
    <x v="1"/>
    <n v="5"/>
    <n v="70000"/>
    <n v="0"/>
    <n v="70000"/>
    <n v="4.1524297646165529"/>
    <n v="10000"/>
    <n v="100"/>
    <x v="4022"/>
    <x v="4"/>
    <x v="3"/>
    <x v="1"/>
  </r>
  <r>
    <x v="334"/>
    <s v="ZPEP"/>
    <x v="2"/>
    <s v="DRFV76"/>
    <s v="113693568"/>
    <s v="PUCON"/>
    <x v="3133"/>
    <x v="0"/>
    <x v="0"/>
    <x v="48"/>
    <x v="4"/>
    <n v="0"/>
    <n v="800000"/>
    <n v="0"/>
    <n v="800000"/>
    <n v="48.167671665066088"/>
    <n v="20000"/>
    <n v="85"/>
    <x v="4023"/>
    <x v="4"/>
    <x v="3"/>
    <x v="0"/>
  </r>
  <r>
    <x v="334"/>
    <s v="ZTAN"/>
    <x v="49"/>
    <s v="TP3884"/>
    <s v="154837728"/>
    <s v="PUDAHUEL"/>
    <x v="319"/>
    <x v="1"/>
    <x v="1"/>
    <x v="10"/>
    <x v="1"/>
    <n v="1"/>
    <n v="57200"/>
    <n v="0"/>
    <n v="57200"/>
    <n v="11"/>
    <n v="5000"/>
    <n v="100"/>
    <x v="4024"/>
    <x v="4"/>
    <x v="3"/>
    <x v="1"/>
  </r>
  <r>
    <x v="334"/>
    <s v="ZTAN"/>
    <x v="4"/>
    <s v="HLBX77"/>
    <s v="16093509K"/>
    <s v="SANTIAGO"/>
    <x v="359"/>
    <x v="1"/>
    <x v="1"/>
    <x v="20"/>
    <x v="2"/>
    <n v="0"/>
    <n v="55000"/>
    <n v="0"/>
    <n v="55000"/>
    <n v="12.215707178393746"/>
    <n v="20000"/>
    <n v="23"/>
    <x v="4025"/>
    <x v="4"/>
    <x v="3"/>
    <x v="0"/>
  </r>
  <r>
    <x v="334"/>
    <s v="ZTAN"/>
    <x v="7"/>
    <s v="DJLF85"/>
    <s v="53173292"/>
    <s v="RENCA"/>
    <x v="3134"/>
    <x v="4"/>
    <x v="1"/>
    <x v="7"/>
    <x v="1"/>
    <n v="1"/>
    <n v="91618"/>
    <n v="0"/>
    <n v="91618"/>
    <n v="11.000012006387399"/>
    <n v="5000"/>
    <n v="100"/>
    <x v="4026"/>
    <x v="4"/>
    <x v="3"/>
    <x v="1"/>
  </r>
  <r>
    <x v="334"/>
    <s v="ZTAN"/>
    <x v="7"/>
    <s v="HLBX77"/>
    <s v="16093509K"/>
    <s v="RENCA"/>
    <x v="3135"/>
    <x v="1"/>
    <x v="1"/>
    <x v="7"/>
    <x v="1"/>
    <n v="1"/>
    <n v="55000"/>
    <n v="0"/>
    <n v="55000"/>
    <n v="23.600490890210516"/>
    <n v="5000"/>
    <n v="47"/>
    <x v="4027"/>
    <x v="4"/>
    <x v="3"/>
    <x v="1"/>
  </r>
  <r>
    <x v="334"/>
    <s v="ZTAN"/>
    <x v="7"/>
    <s v="WG4022"/>
    <s v="154837728"/>
    <s v="RENCA"/>
    <x v="3136"/>
    <x v="1"/>
    <x v="0"/>
    <x v="7"/>
    <x v="1"/>
    <n v="1"/>
    <n v="112354"/>
    <n v="0"/>
    <n v="112354"/>
    <n v="11"/>
    <n v="5000"/>
    <n v="100"/>
    <x v="4028"/>
    <x v="4"/>
    <x v="3"/>
    <x v="1"/>
  </r>
  <r>
    <x v="334"/>
    <s v="ZTAN"/>
    <x v="8"/>
    <s v="SV2718"/>
    <s v="78907355"/>
    <s v="ÑUÑOA"/>
    <x v="3137"/>
    <x v="1"/>
    <x v="1"/>
    <x v="15"/>
    <x v="1"/>
    <n v="4"/>
    <n v="72080"/>
    <n v="0"/>
    <n v="72080"/>
    <n v="11.000045782654478"/>
    <n v="5000"/>
    <n v="100"/>
    <x v="4029"/>
    <x v="4"/>
    <x v="3"/>
    <x v="1"/>
  </r>
  <r>
    <x v="334"/>
    <s v="ZTAN"/>
    <x v="8"/>
    <s v="TP3884"/>
    <s v="99626232"/>
    <s v="PUDAHUEL"/>
    <x v="3138"/>
    <x v="1"/>
    <x v="1"/>
    <x v="10"/>
    <x v="1"/>
    <n v="1"/>
    <n v="70275"/>
    <n v="0"/>
    <n v="70275"/>
    <n v="11.000062611526786"/>
    <n v="5000"/>
    <n v="100"/>
    <x v="4030"/>
    <x v="4"/>
    <x v="3"/>
    <x v="1"/>
  </r>
  <r>
    <x v="334"/>
    <s v="ZTAN"/>
    <x v="8"/>
    <s v="WC2233"/>
    <s v="53173292"/>
    <s v="LA FLORIDA"/>
    <x v="3139"/>
    <x v="4"/>
    <x v="1"/>
    <x v="33"/>
    <x v="1"/>
    <n v="3"/>
    <n v="80147"/>
    <n v="0"/>
    <n v="80147"/>
    <n v="10.99995608087707"/>
    <n v="5000"/>
    <n v="100"/>
    <x v="4031"/>
    <x v="4"/>
    <x v="3"/>
    <x v="1"/>
  </r>
  <r>
    <x v="335"/>
    <s v="ZPEP"/>
    <x v="5"/>
    <s v="SU9354"/>
    <s v="72564391"/>
    <s v="COLINA"/>
    <x v="3140"/>
    <x v="2"/>
    <x v="1"/>
    <x v="5"/>
    <x v="1"/>
    <n v="5"/>
    <n v="70000"/>
    <n v="0"/>
    <n v="70000"/>
    <n v="7.2576088252523316"/>
    <n v="10000"/>
    <n v="96"/>
    <x v="4032"/>
    <x v="4"/>
    <x v="3"/>
    <x v="1"/>
  </r>
  <r>
    <x v="335"/>
    <s v="ZTAN"/>
    <x v="4"/>
    <s v="PKYS74"/>
    <s v="6270439K"/>
    <s v="LOS ANGELES"/>
    <x v="3141"/>
    <x v="0"/>
    <x v="0"/>
    <x v="57"/>
    <x v="0"/>
    <n v="0"/>
    <n v="460000"/>
    <n v="0"/>
    <n v="460000"/>
    <n v="44.020823763589"/>
    <n v="20000"/>
    <n v="52"/>
    <x v="4033"/>
    <x v="4"/>
    <x v="3"/>
    <x v="0"/>
  </r>
  <r>
    <x v="335"/>
    <s v="ZTAN"/>
    <x v="7"/>
    <s v="125108660"/>
    <s v="125108660"/>
    <s v="SAN MIGUEL"/>
    <x v="3142"/>
    <x v="0"/>
    <x v="0"/>
    <x v="23"/>
    <x v="1"/>
    <n v="2"/>
    <n v="92252"/>
    <n v="0"/>
    <n v="92252"/>
    <n v="11.00005961962678"/>
    <n v="5000"/>
    <n v="100"/>
    <x v="4034"/>
    <x v="4"/>
    <x v="3"/>
    <x v="1"/>
  </r>
  <r>
    <x v="335"/>
    <s v="ZTAN"/>
    <x v="7"/>
    <s v="DJLF85"/>
    <s v="53173292"/>
    <s v="RENCA"/>
    <x v="312"/>
    <x v="4"/>
    <x v="1"/>
    <x v="7"/>
    <x v="1"/>
    <n v="1"/>
    <n v="55000"/>
    <n v="0"/>
    <n v="55000"/>
    <n v="17.806267806267812"/>
    <n v="5000"/>
    <n v="62"/>
    <x v="4035"/>
    <x v="4"/>
    <x v="3"/>
    <x v="1"/>
  </r>
  <r>
    <x v="335"/>
    <s v="ZTAN"/>
    <x v="7"/>
    <s v="SU9354"/>
    <s v="72564391"/>
    <s v="RENCA"/>
    <x v="3143"/>
    <x v="2"/>
    <x v="1"/>
    <x v="7"/>
    <x v="1"/>
    <n v="1"/>
    <n v="55000"/>
    <n v="0"/>
    <n v="55000"/>
    <n v="11.575048404747873"/>
    <n v="5000"/>
    <n v="82"/>
    <x v="4036"/>
    <x v="4"/>
    <x v="3"/>
    <x v="1"/>
  </r>
  <r>
    <x v="335"/>
    <s v="ZTAN"/>
    <x v="7"/>
    <s v="SV2718"/>
    <s v="78907355"/>
    <s v="SANTIAGO"/>
    <x v="3144"/>
    <x v="1"/>
    <x v="1"/>
    <x v="20"/>
    <x v="1"/>
    <n v="1"/>
    <n v="55000"/>
    <n v="0"/>
    <n v="55000"/>
    <n v="12.156576707999028"/>
    <n v="5000"/>
    <n v="90"/>
    <x v="4037"/>
    <x v="4"/>
    <x v="3"/>
    <x v="1"/>
  </r>
  <r>
    <x v="335"/>
    <s v="ZTAN"/>
    <x v="7"/>
    <s v="TP3884"/>
    <s v="99626232"/>
    <s v="SAN MIGUEL"/>
    <x v="3145"/>
    <x v="1"/>
    <x v="1"/>
    <x v="23"/>
    <x v="1"/>
    <n v="2"/>
    <n v="110576"/>
    <n v="0"/>
    <n v="110576"/>
    <n v="10.999960208507421"/>
    <n v="5000"/>
    <n v="100"/>
    <x v="4038"/>
    <x v="4"/>
    <x v="3"/>
    <x v="1"/>
  </r>
  <r>
    <x v="335"/>
    <s v="ZTAN"/>
    <x v="7"/>
    <s v="WC2233"/>
    <s v="53173292"/>
    <s v="SANTIAGO"/>
    <x v="3146"/>
    <x v="4"/>
    <x v="1"/>
    <x v="20"/>
    <x v="1"/>
    <n v="1"/>
    <n v="75594"/>
    <n v="0"/>
    <n v="75594"/>
    <n v="10.99997089723815"/>
    <n v="5000"/>
    <n v="100"/>
    <x v="4039"/>
    <x v="4"/>
    <x v="3"/>
    <x v="1"/>
  </r>
  <r>
    <x v="335"/>
    <s v="ZTAN"/>
    <x v="7"/>
    <s v="WG4022"/>
    <s v="154837728"/>
    <s v="RENCA"/>
    <x v="3147"/>
    <x v="1"/>
    <x v="0"/>
    <x v="7"/>
    <x v="1"/>
    <n v="1"/>
    <n v="139182"/>
    <n v="0"/>
    <n v="139182"/>
    <n v="11.000007903326502"/>
    <n v="5000"/>
    <n v="100"/>
    <x v="4040"/>
    <x v="4"/>
    <x v="3"/>
    <x v="1"/>
  </r>
  <r>
    <x v="335"/>
    <s v="ZTAN"/>
    <x v="8"/>
    <s v="HLBX77"/>
    <s v="16093509K"/>
    <s v="PUDAHUEL"/>
    <x v="3148"/>
    <x v="1"/>
    <x v="1"/>
    <x v="10"/>
    <x v="1"/>
    <n v="1"/>
    <n v="62184"/>
    <n v="0"/>
    <n v="62184"/>
    <n v="10.999962852306075"/>
    <n v="5000"/>
    <n v="100"/>
    <x v="4041"/>
    <x v="4"/>
    <x v="3"/>
    <x v="1"/>
  </r>
  <r>
    <x v="335"/>
    <s v="ZTAN"/>
    <x v="8"/>
    <s v="SV2718"/>
    <s v="78907355"/>
    <s v="SAN BERNARDO"/>
    <x v="3149"/>
    <x v="1"/>
    <x v="1"/>
    <x v="4"/>
    <x v="1"/>
    <n v="4"/>
    <n v="55000"/>
    <n v="0"/>
    <n v="55000"/>
    <n v="12.450142837093276"/>
    <n v="5000"/>
    <n v="88"/>
    <x v="4042"/>
    <x v="4"/>
    <x v="3"/>
    <x v="1"/>
  </r>
  <r>
    <x v="335"/>
    <s v="ZTAN"/>
    <x v="8"/>
    <s v="TP3884"/>
    <s v="99626232"/>
    <s v="LA REINA"/>
    <x v="3150"/>
    <x v="1"/>
    <x v="1"/>
    <x v="11"/>
    <x v="1"/>
    <n v="3"/>
    <n v="55000"/>
    <n v="0"/>
    <n v="55000"/>
    <n v="13.671797319333416"/>
    <n v="5000"/>
    <n v="80"/>
    <x v="4043"/>
    <x v="4"/>
    <x v="3"/>
    <x v="1"/>
  </r>
  <r>
    <x v="336"/>
    <s v="ZPEP"/>
    <x v="2"/>
    <s v="BYZH29"/>
    <s v="122975819"/>
    <s v="PUERTO MONTT"/>
    <x v="3151"/>
    <x v="0"/>
    <x v="0"/>
    <x v="53"/>
    <x v="10"/>
    <n v="0"/>
    <n v="1100000"/>
    <n v="0"/>
    <n v="1100000"/>
    <n v="51.797539428522434"/>
    <n v="20000"/>
    <n v="100"/>
    <x v="4044"/>
    <x v="4"/>
    <x v="3"/>
    <x v="0"/>
  </r>
  <r>
    <x v="336"/>
    <s v="ZTAN"/>
    <x v="17"/>
    <s v="DJLF85"/>
    <s v="53173292"/>
    <s v="LO BARNECHEA"/>
    <x v="3152"/>
    <x v="4"/>
    <x v="1"/>
    <x v="41"/>
    <x v="1"/>
    <n v="4"/>
    <n v="73887"/>
    <n v="0"/>
    <n v="73887"/>
    <n v="11"/>
    <n v="5000"/>
    <n v="100"/>
    <x v="4045"/>
    <x v="4"/>
    <x v="3"/>
    <x v="1"/>
  </r>
  <r>
    <x v="336"/>
    <s v="ZTAN"/>
    <x v="12"/>
    <s v="WC2233"/>
    <s v="125108660"/>
    <s v="VITACURA"/>
    <x v="3153"/>
    <x v="4"/>
    <x v="1"/>
    <x v="27"/>
    <x v="1"/>
    <n v="4"/>
    <n v="167105"/>
    <n v="0"/>
    <n v="167105"/>
    <n v="11.000031596990921"/>
    <n v="5000"/>
    <n v="100"/>
    <x v="4046"/>
    <x v="4"/>
    <x v="3"/>
    <x v="1"/>
  </r>
  <r>
    <x v="336"/>
    <s v="ZTAN"/>
    <x v="96"/>
    <s v="BWPL69"/>
    <s v="78551976"/>
    <s v="TEMUCO"/>
    <x v="1144"/>
    <x v="5"/>
    <x v="0"/>
    <x v="14"/>
    <x v="4"/>
    <n v="0"/>
    <n v="665000"/>
    <n v="0"/>
    <n v="665000"/>
    <n v="64.531780688985933"/>
    <n v="20000"/>
    <n v="52"/>
    <x v="4047"/>
    <x v="4"/>
    <x v="3"/>
    <x v="0"/>
  </r>
  <r>
    <x v="336"/>
    <s v="ZTAN"/>
    <x v="16"/>
    <s v="HLBX77"/>
    <s v="16093509K"/>
    <s v="MAIPU"/>
    <x v="3154"/>
    <x v="1"/>
    <x v="1"/>
    <x v="2"/>
    <x v="1"/>
    <n v="2"/>
    <n v="55000"/>
    <n v="0"/>
    <n v="55000"/>
    <n v="16.350555918901243"/>
    <n v="5000"/>
    <n v="67"/>
    <x v="4048"/>
    <x v="4"/>
    <x v="3"/>
    <x v="1"/>
  </r>
  <r>
    <x v="336"/>
    <s v="ZTAN"/>
    <x v="7"/>
    <s v="DJLF85"/>
    <s v="53173292"/>
    <s v="RENCA"/>
    <x v="1219"/>
    <x v="4"/>
    <x v="1"/>
    <x v="7"/>
    <x v="1"/>
    <n v="1"/>
    <n v="55000"/>
    <n v="0"/>
    <n v="55000"/>
    <n v="20.014556040756915"/>
    <n v="5000"/>
    <n v="55"/>
    <x v="4049"/>
    <x v="4"/>
    <x v="3"/>
    <x v="1"/>
  </r>
  <r>
    <x v="336"/>
    <s v="ZTAN"/>
    <x v="7"/>
    <s v="HLBX77"/>
    <s v="16093509K"/>
    <s v="RENCA"/>
    <x v="1219"/>
    <x v="1"/>
    <x v="1"/>
    <x v="7"/>
    <x v="1"/>
    <n v="1"/>
    <n v="55000"/>
    <n v="0"/>
    <n v="55000"/>
    <n v="20.014556040756915"/>
    <n v="5000"/>
    <n v="55"/>
    <x v="4050"/>
    <x v="4"/>
    <x v="3"/>
    <x v="1"/>
  </r>
  <r>
    <x v="336"/>
    <s v="ZTAN"/>
    <x v="7"/>
    <s v="SV2718"/>
    <s v="99626232"/>
    <s v="SANTIAGO"/>
    <x v="3088"/>
    <x v="1"/>
    <x v="1"/>
    <x v="20"/>
    <x v="1"/>
    <n v="1"/>
    <n v="55000"/>
    <n v="0"/>
    <n v="55000"/>
    <n v="25.273412370186577"/>
    <n v="5000"/>
    <n v="44"/>
    <x v="4051"/>
    <x v="4"/>
    <x v="3"/>
    <x v="1"/>
  </r>
  <r>
    <x v="336"/>
    <s v="ZTAN"/>
    <x v="7"/>
    <s v="TP3884"/>
    <s v="78907355"/>
    <s v="SAN MIGUEL"/>
    <x v="3155"/>
    <x v="1"/>
    <x v="1"/>
    <x v="23"/>
    <x v="1"/>
    <n v="2"/>
    <n v="55000"/>
    <n v="0"/>
    <n v="55000"/>
    <n v="11.888704433838281"/>
    <n v="5000"/>
    <n v="93"/>
    <x v="4052"/>
    <x v="4"/>
    <x v="3"/>
    <x v="1"/>
  </r>
  <r>
    <x v="336"/>
    <s v="ZTAN"/>
    <x v="7"/>
    <s v="WC2233"/>
    <s v="125108660"/>
    <s v="SANTIAGO"/>
    <x v="3156"/>
    <x v="4"/>
    <x v="1"/>
    <x v="20"/>
    <x v="1"/>
    <n v="1"/>
    <n v="55000"/>
    <n v="0"/>
    <n v="55000"/>
    <n v="11.517359802320227"/>
    <n v="5000"/>
    <n v="96"/>
    <x v="4053"/>
    <x v="4"/>
    <x v="3"/>
    <x v="1"/>
  </r>
  <r>
    <x v="336"/>
    <s v="ZTAN"/>
    <x v="7"/>
    <s v="WG4022"/>
    <s v="154837728"/>
    <s v="RENCA"/>
    <x v="3157"/>
    <x v="1"/>
    <x v="0"/>
    <x v="7"/>
    <x v="1"/>
    <n v="1"/>
    <n v="91476"/>
    <n v="0"/>
    <n v="91476"/>
    <n v="10.999999999999993"/>
    <n v="5000"/>
    <n v="100"/>
    <x v="4054"/>
    <x v="4"/>
    <x v="3"/>
    <x v="1"/>
  </r>
  <r>
    <x v="336"/>
    <s v="ZTAN"/>
    <x v="8"/>
    <s v="SV2718"/>
    <s v="99626232"/>
    <s v="PUDAHUEL"/>
    <x v="3158"/>
    <x v="1"/>
    <x v="1"/>
    <x v="10"/>
    <x v="1"/>
    <n v="1"/>
    <n v="60506"/>
    <n v="0"/>
    <n v="60506"/>
    <n v="11.000050904278138"/>
    <n v="5000"/>
    <n v="100"/>
    <x v="4055"/>
    <x v="4"/>
    <x v="3"/>
    <x v="1"/>
  </r>
  <r>
    <x v="337"/>
    <s v="ZPEP"/>
    <x v="2"/>
    <s v="BPKD94"/>
    <s v="125897258"/>
    <s v="PUERTO MONTT"/>
    <x v="3159"/>
    <x v="0"/>
    <x v="0"/>
    <x v="53"/>
    <x v="10"/>
    <n v="0"/>
    <n v="1100000"/>
    <n v="0"/>
    <n v="1100000"/>
    <n v="49.68246132333298"/>
    <n v="20000"/>
    <n v="100"/>
    <x v="4056"/>
    <x v="4"/>
    <x v="3"/>
    <x v="0"/>
  </r>
  <r>
    <x v="337"/>
    <s v="ZPEP"/>
    <x v="2"/>
    <s v="WC2233"/>
    <s v="125108660"/>
    <s v="SAN BERNARDO"/>
    <x v="3160"/>
    <x v="4"/>
    <x v="1"/>
    <x v="4"/>
    <x v="1"/>
    <n v="4"/>
    <n v="82038"/>
    <n v="0"/>
    <n v="82038"/>
    <n v="10.999999999999998"/>
    <n v="5000"/>
    <n v="100"/>
    <x v="4057"/>
    <x v="4"/>
    <x v="3"/>
    <x v="1"/>
  </r>
  <r>
    <x v="337"/>
    <s v="ZPEP"/>
    <x v="9"/>
    <s v="HLBX77"/>
    <s v="16093509K"/>
    <s v="SAN BERNARDO"/>
    <x v="3161"/>
    <x v="1"/>
    <x v="1"/>
    <x v="4"/>
    <x v="1"/>
    <n v="4"/>
    <n v="55000"/>
    <n v="0"/>
    <n v="55000"/>
    <n v="14.370744300040242"/>
    <n v="5000"/>
    <n v="77"/>
    <x v="4058"/>
    <x v="4"/>
    <x v="3"/>
    <x v="1"/>
  </r>
  <r>
    <x v="337"/>
    <s v="ZTAN"/>
    <x v="12"/>
    <s v="DJLF85"/>
    <s v="53173292"/>
    <s v="VITACURA"/>
    <x v="3162"/>
    <x v="4"/>
    <x v="1"/>
    <x v="27"/>
    <x v="1"/>
    <n v="4"/>
    <n v="210470"/>
    <n v="0"/>
    <n v="210470"/>
    <n v="10.999974913346518"/>
    <n v="5000"/>
    <n v="100"/>
    <x v="4059"/>
    <x v="4"/>
    <x v="3"/>
    <x v="1"/>
  </r>
  <r>
    <x v="337"/>
    <s v="ZTAN"/>
    <x v="7"/>
    <s v="WG4022"/>
    <s v="154837728"/>
    <s v="RENCA"/>
    <x v="315"/>
    <x v="1"/>
    <x v="0"/>
    <x v="7"/>
    <x v="1"/>
    <n v="1"/>
    <n v="104544"/>
    <n v="0"/>
    <n v="104544"/>
    <n v="10.999999999999989"/>
    <n v="5000"/>
    <n v="100"/>
    <x v="4060"/>
    <x v="4"/>
    <x v="3"/>
    <x v="1"/>
  </r>
  <r>
    <x v="337"/>
    <s v="ZTAN"/>
    <x v="8"/>
    <s v="BDHB75"/>
    <s v="98494073"/>
    <s v="LOS ANGELES"/>
    <x v="2226"/>
    <x v="0"/>
    <x v="0"/>
    <x v="57"/>
    <x v="0"/>
    <n v="0"/>
    <n v="460000"/>
    <n v="0"/>
    <n v="460000"/>
    <n v="53.778526000748187"/>
    <n v="20000"/>
    <n v="43"/>
    <x v="4061"/>
    <x v="4"/>
    <x v="3"/>
    <x v="0"/>
  </r>
  <r>
    <x v="337"/>
    <s v="ZTAN"/>
    <x v="8"/>
    <s v="DSJR93"/>
    <s v="123181255"/>
    <s v="VILLARRICA"/>
    <x v="3163"/>
    <x v="0"/>
    <x v="0"/>
    <x v="88"/>
    <x v="4"/>
    <n v="0"/>
    <n v="800000"/>
    <n v="0"/>
    <n v="800000"/>
    <n v="52.450761847315832"/>
    <n v="20000"/>
    <n v="76"/>
    <x v="4062"/>
    <x v="4"/>
    <x v="3"/>
    <x v="0"/>
  </r>
  <r>
    <x v="337"/>
    <s v="ZTAN"/>
    <x v="8"/>
    <s v="KKPF51"/>
    <s v="95707734"/>
    <s v="TALCAHUANO"/>
    <x v="3164"/>
    <x v="8"/>
    <x v="0"/>
    <x v="0"/>
    <x v="0"/>
    <n v="0"/>
    <n v="420000"/>
    <n v="0"/>
    <n v="420000"/>
    <n v="29.750183459464669"/>
    <n v="20000"/>
    <n v="71"/>
    <x v="4063"/>
    <x v="4"/>
    <x v="3"/>
    <x v="0"/>
  </r>
  <r>
    <x v="337"/>
    <s v="ZTAN"/>
    <x v="83"/>
    <s v="TP3884"/>
    <s v="99626232"/>
    <s v="SANTIAGO"/>
    <x v="3165"/>
    <x v="1"/>
    <x v="1"/>
    <x v="20"/>
    <x v="1"/>
    <n v="1"/>
    <n v="55000"/>
    <n v="0"/>
    <n v="55000"/>
    <n v="19.151751514729437"/>
    <n v="5000"/>
    <n v="57"/>
    <x v="4064"/>
    <x v="4"/>
    <x v="3"/>
    <x v="1"/>
  </r>
  <r>
    <x v="338"/>
    <s v="ZPEP"/>
    <x v="2"/>
    <s v="HLBX77"/>
    <s v="16093509K"/>
    <s v="SAN BERNARDO"/>
    <x v="3166"/>
    <x v="1"/>
    <x v="1"/>
    <x v="4"/>
    <x v="1"/>
    <n v="4"/>
    <n v="339016"/>
    <n v="0"/>
    <n v="339016"/>
    <n v="11.000012978753791"/>
    <n v="5000"/>
    <n v="100"/>
    <x v="4065"/>
    <x v="4"/>
    <x v="3"/>
    <x v="1"/>
  </r>
  <r>
    <x v="338"/>
    <s v="ZPEP"/>
    <x v="2"/>
    <s v="SU9354"/>
    <s v="72564391"/>
    <s v="SAN BERNARDO"/>
    <x v="3167"/>
    <x v="2"/>
    <x v="1"/>
    <x v="4"/>
    <x v="1"/>
    <n v="4"/>
    <n v="146398"/>
    <n v="0"/>
    <n v="146398"/>
    <n v="11.000007513768972"/>
    <n v="5000"/>
    <n v="100"/>
    <x v="4066"/>
    <x v="4"/>
    <x v="3"/>
    <x v="1"/>
  </r>
  <r>
    <x v="338"/>
    <s v="ZTAN"/>
    <x v="63"/>
    <s v="RH1133"/>
    <s v="65941082"/>
    <s v="MAIPU"/>
    <x v="3168"/>
    <x v="0"/>
    <x v="0"/>
    <x v="2"/>
    <x v="1"/>
    <n v="2"/>
    <n v="165913"/>
    <n v="0"/>
    <n v="165913"/>
    <n v="11"/>
    <n v="5000"/>
    <n v="100"/>
    <x v="4067"/>
    <x v="4"/>
    <x v="3"/>
    <x v="1"/>
  </r>
  <r>
    <x v="338"/>
    <s v="ZTAN"/>
    <x v="4"/>
    <s v="SV2718"/>
    <s v="78907355"/>
    <s v="SAN BERNARDO"/>
    <x v="2423"/>
    <x v="1"/>
    <x v="1"/>
    <x v="4"/>
    <x v="1"/>
    <n v="4"/>
    <n v="55000"/>
    <n v="0"/>
    <n v="55000"/>
    <n v="16.97530864197531"/>
    <n v="5000"/>
    <n v="65"/>
    <x v="4068"/>
    <x v="4"/>
    <x v="3"/>
    <x v="1"/>
  </r>
  <r>
    <x v="338"/>
    <s v="ZTAN"/>
    <x v="72"/>
    <s v="DJLF85"/>
    <s v="53173292"/>
    <s v="PROVIDENCIA"/>
    <x v="3169"/>
    <x v="4"/>
    <x v="1"/>
    <x v="54"/>
    <x v="1"/>
    <n v="2"/>
    <n v="127435"/>
    <n v="0"/>
    <n v="127435"/>
    <n v="11"/>
    <n v="5000"/>
    <n v="100"/>
    <x v="4069"/>
    <x v="4"/>
    <x v="3"/>
    <x v="1"/>
  </r>
  <r>
    <x v="338"/>
    <s v="ZTAN"/>
    <x v="7"/>
    <s v="DJLF85"/>
    <s v="53173292"/>
    <s v="MELIPILLA"/>
    <x v="3170"/>
    <x v="4"/>
    <x v="1"/>
    <x v="29"/>
    <x v="1"/>
    <n v="5"/>
    <n v="90000"/>
    <n v="0"/>
    <n v="90000"/>
    <n v="7.6577496426383505"/>
    <n v="10000"/>
    <n v="90"/>
    <x v="4070"/>
    <x v="4"/>
    <x v="3"/>
    <x v="1"/>
  </r>
  <r>
    <x v="338"/>
    <s v="ZTAN"/>
    <x v="7"/>
    <s v="SU9354"/>
    <s v="72564391"/>
    <s v="RENCA"/>
    <x v="1219"/>
    <x v="2"/>
    <x v="1"/>
    <x v="7"/>
    <x v="1"/>
    <n v="1"/>
    <n v="55000"/>
    <n v="0"/>
    <n v="55000"/>
    <n v="20.014556040756915"/>
    <n v="5000"/>
    <n v="75"/>
    <x v="4071"/>
    <x v="4"/>
    <x v="3"/>
    <x v="1"/>
  </r>
  <r>
    <x v="338"/>
    <s v="ZTAN"/>
    <x v="7"/>
    <s v="WC2233"/>
    <s v="125108660"/>
    <s v="MELIPILLA"/>
    <x v="234"/>
    <x v="4"/>
    <x v="1"/>
    <x v="29"/>
    <x v="1"/>
    <n v="5"/>
    <n v="90000"/>
    <n v="0"/>
    <n v="90000"/>
    <n v="9.9946695095948854"/>
    <n v="10000"/>
    <n v="90"/>
    <x v="4072"/>
    <x v="4"/>
    <x v="3"/>
    <x v="1"/>
  </r>
  <r>
    <x v="338"/>
    <s v="ZTAN"/>
    <x v="7"/>
    <s v="WG4022"/>
    <s v="154837728"/>
    <s v="RENCA"/>
    <x v="419"/>
    <x v="1"/>
    <x v="0"/>
    <x v="7"/>
    <x v="1"/>
    <n v="1"/>
    <n v="90684"/>
    <n v="0"/>
    <n v="90684"/>
    <n v="10.999999999999995"/>
    <n v="5000"/>
    <n v="100"/>
    <x v="4073"/>
    <x v="4"/>
    <x v="3"/>
    <x v="1"/>
  </r>
  <r>
    <x v="338"/>
    <s v="ZTAN"/>
    <x v="8"/>
    <s v="TP3884"/>
    <s v="99626232"/>
    <s v="PUDAHUEL"/>
    <x v="3171"/>
    <x v="1"/>
    <x v="1"/>
    <x v="10"/>
    <x v="1"/>
    <n v="1"/>
    <n v="83242"/>
    <n v="0"/>
    <n v="83242"/>
    <n v="11.000050215264915"/>
    <n v="5000"/>
    <n v="100"/>
    <x v="4074"/>
    <x v="4"/>
    <x v="3"/>
    <x v="1"/>
  </r>
  <r>
    <x v="338"/>
    <s v="ZTAN"/>
    <x v="83"/>
    <s v="TP3884"/>
    <s v="99626232"/>
    <s v="QUILICURA"/>
    <x v="3172"/>
    <x v="1"/>
    <x v="1"/>
    <x v="8"/>
    <x v="1"/>
    <n v="1"/>
    <n v="59071"/>
    <n v="0"/>
    <n v="59071"/>
    <n v="10.999981378372844"/>
    <n v="5000"/>
    <n v="100"/>
    <x v="4075"/>
    <x v="4"/>
    <x v="3"/>
    <x v="1"/>
  </r>
  <r>
    <x v="339"/>
    <s v="ZPEP"/>
    <x v="17"/>
    <s v="RH1133"/>
    <s v="65941082"/>
    <s v="LAMPA"/>
    <x v="3173"/>
    <x v="0"/>
    <x v="0"/>
    <x v="17"/>
    <x v="1"/>
    <n v="5"/>
    <n v="120000"/>
    <n v="0"/>
    <n v="120000"/>
    <n v="5.5774314812542549"/>
    <n v="10000"/>
    <n v="100"/>
    <x v="4076"/>
    <x v="4"/>
    <x v="3"/>
    <x v="1"/>
  </r>
  <r>
    <x v="339"/>
    <s v="ZPEP"/>
    <x v="2"/>
    <s v="WC2233"/>
    <s v="125108660"/>
    <s v="MACHALI"/>
    <x v="3174"/>
    <x v="4"/>
    <x v="1"/>
    <x v="43"/>
    <x v="6"/>
    <n v="0"/>
    <n v="230000"/>
    <n v="0"/>
    <n v="230000"/>
    <n v="72.500772290835272"/>
    <n v="20000"/>
    <n v="16"/>
    <x v="4077"/>
    <x v="4"/>
    <x v="3"/>
    <x v="0"/>
  </r>
  <r>
    <x v="339"/>
    <s v="ZTAN"/>
    <x v="63"/>
    <s v="WG4022"/>
    <s v="154837728"/>
    <s v="MAIPU"/>
    <x v="3175"/>
    <x v="1"/>
    <x v="0"/>
    <x v="2"/>
    <x v="1"/>
    <n v="2"/>
    <n v="164274"/>
    <n v="0"/>
    <n v="164274"/>
    <n v="11"/>
    <n v="5000"/>
    <n v="100"/>
    <x v="4078"/>
    <x v="4"/>
    <x v="3"/>
    <x v="1"/>
  </r>
  <r>
    <x v="339"/>
    <s v="ZTAN"/>
    <x v="4"/>
    <s v="SU9354"/>
    <s v="72564391"/>
    <s v="ARAUCO"/>
    <x v="3176"/>
    <x v="2"/>
    <x v="1"/>
    <x v="74"/>
    <x v="0"/>
    <n v="0"/>
    <n v="480000"/>
    <n v="0"/>
    <n v="480000"/>
    <n v="49.230769230769234"/>
    <n v="20000"/>
    <n v="49"/>
    <x v="4079"/>
    <x v="4"/>
    <x v="3"/>
    <x v="0"/>
  </r>
  <r>
    <x v="339"/>
    <s v="ZTAN"/>
    <x v="12"/>
    <s v="HLBX77"/>
    <s v="16093509K"/>
    <s v="VITACURA"/>
    <x v="3177"/>
    <x v="1"/>
    <x v="1"/>
    <x v="27"/>
    <x v="1"/>
    <n v="4"/>
    <n v="98778"/>
    <n v="0"/>
    <n v="98778"/>
    <n v="11.000022272210966"/>
    <n v="5000"/>
    <n v="100"/>
    <x v="4080"/>
    <x v="4"/>
    <x v="3"/>
    <x v="1"/>
  </r>
  <r>
    <x v="339"/>
    <s v="ZTAN"/>
    <x v="10"/>
    <s v="KKPF51"/>
    <s v="95707734"/>
    <s v="LA LIGUA"/>
    <x v="3178"/>
    <x v="8"/>
    <x v="0"/>
    <x v="22"/>
    <x v="2"/>
    <n v="0"/>
    <n v="230000"/>
    <n v="0"/>
    <n v="230000"/>
    <n v="27.064554846908759"/>
    <n v="20000"/>
    <n v="42"/>
    <x v="4081"/>
    <x v="4"/>
    <x v="3"/>
    <x v="0"/>
  </r>
  <r>
    <x v="339"/>
    <s v="ZTAN"/>
    <x v="7"/>
    <s v="DJLF85"/>
    <s v="53173292"/>
    <s v="RENCA"/>
    <x v="3179"/>
    <x v="4"/>
    <x v="1"/>
    <x v="7"/>
    <x v="1"/>
    <n v="1"/>
    <n v="55000"/>
    <n v="0"/>
    <n v="55000"/>
    <n v="20.011643137825644"/>
    <n v="5000"/>
    <n v="65"/>
    <x v="4082"/>
    <x v="4"/>
    <x v="3"/>
    <x v="1"/>
  </r>
  <r>
    <x v="339"/>
    <s v="ZTAN"/>
    <x v="7"/>
    <s v="TP3884"/>
    <s v="78907355"/>
    <s v="MELIPILLA"/>
    <x v="3180"/>
    <x v="1"/>
    <x v="1"/>
    <x v="29"/>
    <x v="1"/>
    <n v="5"/>
    <n v="90000"/>
    <n v="0"/>
    <n v="90000"/>
    <n v="20.446181107728655"/>
    <n v="10000"/>
    <n v="55"/>
    <x v="4083"/>
    <x v="4"/>
    <x v="3"/>
    <x v="1"/>
  </r>
  <r>
    <x v="339"/>
    <s v="ZTAN"/>
    <x v="7"/>
    <s v="WG4022"/>
    <s v="154837728"/>
    <s v="RENCA"/>
    <x v="3181"/>
    <x v="1"/>
    <x v="0"/>
    <x v="7"/>
    <x v="1"/>
    <n v="1"/>
    <n v="86592"/>
    <n v="0"/>
    <n v="86592"/>
    <n v="10.999999999999995"/>
    <n v="5000"/>
    <n v="100"/>
    <x v="4084"/>
    <x v="4"/>
    <x v="3"/>
    <x v="1"/>
  </r>
  <r>
    <x v="339"/>
    <s v="ZTAN"/>
    <x v="7"/>
    <s v="XR6339"/>
    <s v="78907355"/>
    <s v="RENCA"/>
    <x v="3182"/>
    <x v="1"/>
    <x v="1"/>
    <x v="7"/>
    <x v="1"/>
    <n v="1"/>
    <n v="55000"/>
    <n v="0"/>
    <n v="55000"/>
    <n v="21.71852787869215"/>
    <n v="5000"/>
    <n v="44"/>
    <x v="4085"/>
    <x v="4"/>
    <x v="3"/>
    <x v="1"/>
  </r>
  <r>
    <x v="339"/>
    <s v="ZTAN"/>
    <x v="8"/>
    <s v="BDHB75"/>
    <s v="98494073"/>
    <s v="LOS ANGELES"/>
    <x v="419"/>
    <x v="0"/>
    <x v="0"/>
    <x v="57"/>
    <x v="0"/>
    <n v="0"/>
    <n v="460000"/>
    <n v="0"/>
    <n v="460000"/>
    <n v="55.798156234837435"/>
    <n v="20000"/>
    <n v="41"/>
    <x v="4086"/>
    <x v="4"/>
    <x v="3"/>
    <x v="0"/>
  </r>
  <r>
    <x v="339"/>
    <s v="ZTAN"/>
    <x v="8"/>
    <s v="SV2718"/>
    <s v="99626232"/>
    <s v="PUDAHUEL"/>
    <x v="3183"/>
    <x v="1"/>
    <x v="1"/>
    <x v="10"/>
    <x v="1"/>
    <n v="1"/>
    <n v="55000"/>
    <n v="0"/>
    <n v="55000"/>
    <n v="14.740921602418579"/>
    <n v="5000"/>
    <n v="75"/>
    <x v="4087"/>
    <x v="4"/>
    <x v="3"/>
    <x v="1"/>
  </r>
  <r>
    <x v="339"/>
    <s v="ZTAN"/>
    <x v="8"/>
    <s v="TP3884"/>
    <s v="154837728"/>
    <s v="CERRILLOS"/>
    <x v="3184"/>
    <x v="1"/>
    <x v="1"/>
    <x v="9"/>
    <x v="1"/>
    <n v="2"/>
    <n v="55000"/>
    <n v="0"/>
    <n v="55000"/>
    <n v="15.336910086667482"/>
    <n v="5000"/>
    <n v="72"/>
    <x v="4088"/>
    <x v="4"/>
    <x v="3"/>
    <x v="1"/>
  </r>
  <r>
    <x v="340"/>
    <s v="ZPEP"/>
    <x v="2"/>
    <s v="BWPL69"/>
    <s v="78551976"/>
    <s v="PUERTO MONTT"/>
    <x v="3185"/>
    <x v="5"/>
    <x v="0"/>
    <x v="53"/>
    <x v="10"/>
    <n v="0"/>
    <n v="1100000"/>
    <n v="0"/>
    <n v="1100000"/>
    <n v="58.995911047037971"/>
    <n v="20000"/>
    <n v="93"/>
    <x v="4089"/>
    <x v="4"/>
    <x v="3"/>
    <x v="0"/>
  </r>
  <r>
    <x v="340"/>
    <s v="ZPEP"/>
    <x v="2"/>
    <s v="BYZH29"/>
    <s v="122975819"/>
    <s v="TALCA"/>
    <x v="3186"/>
    <x v="0"/>
    <x v="0"/>
    <x v="12"/>
    <x v="3"/>
    <n v="0"/>
    <n v="330000"/>
    <n v="0"/>
    <n v="330000"/>
    <n v="19.618357551105809"/>
    <n v="20000"/>
    <n v="84"/>
    <x v="4090"/>
    <x v="4"/>
    <x v="3"/>
    <x v="0"/>
  </r>
  <r>
    <x v="340"/>
    <s v="ZTAN"/>
    <x v="17"/>
    <s v="HLBX77"/>
    <s v="154837728"/>
    <s v="LO BARNECHEA"/>
    <x v="2666"/>
    <x v="1"/>
    <x v="1"/>
    <x v="41"/>
    <x v="1"/>
    <n v="4"/>
    <n v="87599"/>
    <n v="0"/>
    <n v="87599"/>
    <n v="11.000062786463234"/>
    <n v="5000"/>
    <n v="100"/>
    <x v="4091"/>
    <x v="4"/>
    <x v="3"/>
    <x v="1"/>
  </r>
  <r>
    <x v="340"/>
    <s v="ZTAN"/>
    <x v="89"/>
    <s v="DJLF85"/>
    <s v="53173292"/>
    <s v="PADRE HURTADO"/>
    <x v="3187"/>
    <x v="4"/>
    <x v="1"/>
    <x v="26"/>
    <x v="1"/>
    <n v="5"/>
    <n v="70000"/>
    <n v="0"/>
    <n v="70000"/>
    <n v="5.8551094612713781"/>
    <n v="10000"/>
    <n v="100"/>
    <x v="4092"/>
    <x v="4"/>
    <x v="3"/>
    <x v="1"/>
  </r>
  <r>
    <x v="340"/>
    <s v="ZTAN"/>
    <x v="10"/>
    <s v="KKPF51"/>
    <s v="95707734"/>
    <s v="SANTIAGO"/>
    <x v="419"/>
    <x v="8"/>
    <x v="0"/>
    <x v="20"/>
    <x v="1"/>
    <n v="1"/>
    <n v="90684"/>
    <n v="0"/>
    <n v="90684"/>
    <n v="10.999999999999995"/>
    <n v="5000"/>
    <n v="100"/>
    <x v="4093"/>
    <x v="4"/>
    <x v="3"/>
    <x v="1"/>
  </r>
  <r>
    <x v="340"/>
    <s v="ZTAN"/>
    <x v="10"/>
    <s v="SU9354"/>
    <s v="72564391"/>
    <s v="SANTIAGO"/>
    <x v="1219"/>
    <x v="2"/>
    <x v="1"/>
    <x v="20"/>
    <x v="1"/>
    <n v="1"/>
    <n v="55000"/>
    <n v="0"/>
    <n v="55000"/>
    <n v="20.014556040756915"/>
    <n v="5000"/>
    <n v="55"/>
    <x v="4094"/>
    <x v="4"/>
    <x v="3"/>
    <x v="1"/>
  </r>
  <r>
    <x v="340"/>
    <s v="ZTAN"/>
    <x v="10"/>
    <s v="TP3884"/>
    <s v="99626232"/>
    <s v="SANTIAGO"/>
    <x v="1219"/>
    <x v="1"/>
    <x v="1"/>
    <x v="20"/>
    <x v="1"/>
    <n v="1"/>
    <n v="55000"/>
    <n v="0"/>
    <n v="55000"/>
    <n v="20.014556040756915"/>
    <n v="5000"/>
    <n v="55"/>
    <x v="4095"/>
    <x v="4"/>
    <x v="3"/>
    <x v="1"/>
  </r>
  <r>
    <x v="340"/>
    <s v="ZTAN"/>
    <x v="41"/>
    <s v="WC2233"/>
    <s v="125108660"/>
    <s v="PEDRO AGUIRRE CERDA"/>
    <x v="1483"/>
    <x v="4"/>
    <x v="1"/>
    <x v="83"/>
    <x v="1"/>
    <n v="3"/>
    <n v="59409"/>
    <n v="0"/>
    <n v="59409"/>
    <n v="11.00003703155088"/>
    <n v="5000"/>
    <n v="100"/>
    <x v="4096"/>
    <x v="4"/>
    <x v="3"/>
    <x v="1"/>
  </r>
  <r>
    <x v="340"/>
    <s v="ZTAN"/>
    <x v="7"/>
    <s v="DJLF85"/>
    <s v="53173292"/>
    <s v="RENCA"/>
    <x v="1219"/>
    <x v="4"/>
    <x v="1"/>
    <x v="7"/>
    <x v="1"/>
    <n v="1"/>
    <n v="55000"/>
    <n v="0"/>
    <n v="55000"/>
    <n v="20.014556040756915"/>
    <n v="5000"/>
    <n v="55"/>
    <x v="4097"/>
    <x v="4"/>
    <x v="3"/>
    <x v="1"/>
  </r>
  <r>
    <x v="340"/>
    <s v="ZTAN"/>
    <x v="7"/>
    <s v="DJLF85"/>
    <s v="53173292"/>
    <s v="SANTIAGO"/>
    <x v="3100"/>
    <x v="4"/>
    <x v="1"/>
    <x v="20"/>
    <x v="1"/>
    <n v="1"/>
    <n v="55176"/>
    <n v="0"/>
    <n v="55176"/>
    <n v="11"/>
    <n v="5000"/>
    <n v="100"/>
    <x v="4098"/>
    <x v="4"/>
    <x v="3"/>
    <x v="1"/>
  </r>
  <r>
    <x v="340"/>
    <s v="ZTAN"/>
    <x v="7"/>
    <s v="HLBX77"/>
    <s v="16093509K"/>
    <s v="RENCA"/>
    <x v="1219"/>
    <x v="1"/>
    <x v="1"/>
    <x v="7"/>
    <x v="1"/>
    <n v="1"/>
    <n v="55000"/>
    <n v="0"/>
    <n v="55000"/>
    <n v="20.014556040756915"/>
    <n v="5000"/>
    <n v="55"/>
    <x v="4099"/>
    <x v="4"/>
    <x v="3"/>
    <x v="1"/>
  </r>
  <r>
    <x v="340"/>
    <s v="ZTAN"/>
    <x v="7"/>
    <s v="TP3884"/>
    <s v="99626232"/>
    <s v="SANTIAGO"/>
    <x v="3188"/>
    <x v="1"/>
    <x v="1"/>
    <x v="20"/>
    <x v="1"/>
    <n v="1"/>
    <n v="55000"/>
    <n v="0"/>
    <n v="55000"/>
    <n v="13.436919769373592"/>
    <n v="5000"/>
    <n v="82"/>
    <x v="4100"/>
    <x v="4"/>
    <x v="3"/>
    <x v="1"/>
  </r>
  <r>
    <x v="340"/>
    <s v="ZTAN"/>
    <x v="7"/>
    <s v="WG4022"/>
    <s v="154837728"/>
    <s v="RENCA"/>
    <x v="419"/>
    <x v="1"/>
    <x v="0"/>
    <x v="7"/>
    <x v="1"/>
    <n v="1"/>
    <n v="90684"/>
    <n v="0"/>
    <n v="90684"/>
    <n v="10.999999999999995"/>
    <n v="5000"/>
    <n v="100"/>
    <x v="4101"/>
    <x v="4"/>
    <x v="3"/>
    <x v="1"/>
  </r>
  <r>
    <x v="340"/>
    <s v="ZTAN"/>
    <x v="8"/>
    <s v="SV2718"/>
    <s v="99626232"/>
    <s v="SAN BERNARDO"/>
    <x v="3189"/>
    <x v="1"/>
    <x v="1"/>
    <x v="4"/>
    <x v="1"/>
    <n v="4"/>
    <n v="55000"/>
    <n v="0"/>
    <n v="55000"/>
    <n v="11.955482131988523"/>
    <n v="5000"/>
    <n v="95"/>
    <x v="4102"/>
    <x v="4"/>
    <x v="3"/>
    <x v="1"/>
  </r>
  <r>
    <x v="340"/>
    <s v="ZTAN"/>
    <x v="8"/>
    <s v="TP3884"/>
    <s v="78907355"/>
    <s v="SAN MIGUEL"/>
    <x v="3190"/>
    <x v="1"/>
    <x v="1"/>
    <x v="23"/>
    <x v="1"/>
    <n v="2"/>
    <n v="75581"/>
    <n v="0"/>
    <n v="75581"/>
    <n v="10.999967981464181"/>
    <n v="5000"/>
    <n v="100"/>
    <x v="4103"/>
    <x v="4"/>
    <x v="3"/>
    <x v="1"/>
  </r>
  <r>
    <x v="341"/>
    <s v="ZPEP"/>
    <x v="95"/>
    <s v="SV2718"/>
    <s v="99626232"/>
    <s v="SANTIAGO"/>
    <x v="3191"/>
    <x v="1"/>
    <x v="1"/>
    <x v="20"/>
    <x v="1"/>
    <n v="1"/>
    <n v="55000"/>
    <n v="0"/>
    <n v="55000"/>
    <n v="31.718569780853517"/>
    <n v="5000"/>
    <n v="35"/>
    <x v="4104"/>
    <x v="4"/>
    <x v="3"/>
    <x v="1"/>
  </r>
  <r>
    <x v="341"/>
    <s v="ZPEP"/>
    <x v="32"/>
    <s v="HLBX77"/>
    <s v="16093509K"/>
    <s v="LAMPA"/>
    <x v="3192"/>
    <x v="1"/>
    <x v="1"/>
    <x v="17"/>
    <x v="1"/>
    <n v="5"/>
    <n v="70000"/>
    <n v="0"/>
    <n v="70000"/>
    <n v="5.9857197828038817"/>
    <n v="10000"/>
    <n v="100"/>
    <x v="4105"/>
    <x v="4"/>
    <x v="3"/>
    <x v="1"/>
  </r>
  <r>
    <x v="341"/>
    <s v="ZPEP"/>
    <x v="2"/>
    <s v="DJLF85"/>
    <s v="53173292"/>
    <s v="SAN BERNARDO"/>
    <x v="3193"/>
    <x v="4"/>
    <x v="1"/>
    <x v="4"/>
    <x v="1"/>
    <n v="4"/>
    <n v="144449"/>
    <n v="0"/>
    <n v="144449"/>
    <n v="11.00000609211893"/>
    <n v="5000"/>
    <n v="100"/>
    <x v="4106"/>
    <x v="4"/>
    <x v="3"/>
    <x v="1"/>
  </r>
  <r>
    <x v="341"/>
    <s v="ZPEP"/>
    <x v="2"/>
    <s v="SU9354"/>
    <s v="72564391"/>
    <s v="SAN BERNARDO"/>
    <x v="3194"/>
    <x v="2"/>
    <x v="1"/>
    <x v="4"/>
    <x v="1"/>
    <n v="4"/>
    <n v="92528"/>
    <n v="0"/>
    <n v="92528"/>
    <n v="10.999995244684747"/>
    <n v="5000"/>
    <n v="100"/>
    <x v="4107"/>
    <x v="4"/>
    <x v="3"/>
    <x v="1"/>
  </r>
  <r>
    <x v="341"/>
    <s v="ZTAN"/>
    <x v="41"/>
    <s v="KKPF51"/>
    <s v="95707734"/>
    <s v="LAS CABRAS"/>
    <x v="2555"/>
    <x v="8"/>
    <x v="0"/>
    <x v="61"/>
    <x v="6"/>
    <n v="0"/>
    <n v="230000"/>
    <n v="0"/>
    <n v="230000"/>
    <n v="17.692307692307693"/>
    <n v="20000"/>
    <n v="65"/>
    <x v="4108"/>
    <x v="4"/>
    <x v="3"/>
    <x v="0"/>
  </r>
  <r>
    <x v="341"/>
    <s v="ZTAN"/>
    <x v="7"/>
    <s v="WC2233"/>
    <s v="125108660"/>
    <s v="RENCA"/>
    <x v="3195"/>
    <x v="4"/>
    <x v="1"/>
    <x v="7"/>
    <x v="1"/>
    <n v="1"/>
    <n v="55000"/>
    <n v="0"/>
    <n v="55000"/>
    <n v="18.486027923985446"/>
    <n v="5000"/>
    <n v="60"/>
    <x v="4109"/>
    <x v="4"/>
    <x v="3"/>
    <x v="1"/>
  </r>
  <r>
    <x v="341"/>
    <s v="ZTAN"/>
    <x v="7"/>
    <s v="WG4022"/>
    <s v="154837728"/>
    <s v="RENCA"/>
    <x v="419"/>
    <x v="1"/>
    <x v="0"/>
    <x v="7"/>
    <x v="1"/>
    <n v="1"/>
    <n v="90684"/>
    <n v="0"/>
    <n v="90684"/>
    <n v="10.999999999999995"/>
    <n v="5000"/>
    <n v="100"/>
    <x v="4110"/>
    <x v="4"/>
    <x v="3"/>
    <x v="1"/>
  </r>
  <r>
    <x v="341"/>
    <s v="ZTAN"/>
    <x v="7"/>
    <s v="XR6339"/>
    <s v="78907355"/>
    <s v="RENCA"/>
    <x v="1219"/>
    <x v="1"/>
    <x v="1"/>
    <x v="7"/>
    <x v="1"/>
    <n v="1"/>
    <n v="55000"/>
    <n v="0"/>
    <n v="55000"/>
    <n v="20.014556040756915"/>
    <n v="5000"/>
    <n v="55"/>
    <x v="4111"/>
    <x v="4"/>
    <x v="3"/>
    <x v="1"/>
  </r>
  <r>
    <x v="341"/>
    <s v="ZTAN"/>
    <x v="8"/>
    <s v="BPKD94"/>
    <s v="125897258"/>
    <s v="VILLARRICA"/>
    <x v="3196"/>
    <x v="0"/>
    <x v="0"/>
    <x v="88"/>
    <x v="4"/>
    <n v="0"/>
    <n v="800000"/>
    <n v="0"/>
    <n v="800000"/>
    <n v="99.102380191416216"/>
    <n v="20000"/>
    <n v="40"/>
    <x v="4112"/>
    <x v="4"/>
    <x v="3"/>
    <x v="0"/>
  </r>
  <r>
    <x v="341"/>
    <s v="ZTAN"/>
    <x v="8"/>
    <s v="BYZH29"/>
    <s v="122975819"/>
    <s v="TALCA"/>
    <x v="3197"/>
    <x v="0"/>
    <x v="0"/>
    <x v="12"/>
    <x v="3"/>
    <n v="0"/>
    <n v="330000"/>
    <n v="0"/>
    <n v="330000"/>
    <n v="30.266454862626983"/>
    <n v="20000"/>
    <n v="55"/>
    <x v="4113"/>
    <x v="4"/>
    <x v="3"/>
    <x v="0"/>
  </r>
  <r>
    <x v="341"/>
    <s v="ZTAN"/>
    <x v="8"/>
    <s v="SU9354"/>
    <s v="72564391"/>
    <s v="VIÑA DEL MAR"/>
    <x v="3198"/>
    <x v="2"/>
    <x v="1"/>
    <x v="6"/>
    <x v="2"/>
    <n v="0"/>
    <n v="180000"/>
    <n v="0"/>
    <n v="180000"/>
    <n v="34.550270643786718"/>
    <n v="20000"/>
    <n v="26"/>
    <x v="4114"/>
    <x v="4"/>
    <x v="3"/>
    <x v="0"/>
  </r>
  <r>
    <x v="341"/>
    <s v="ZTAN"/>
    <x v="8"/>
    <s v="SV2718"/>
    <s v="78907355"/>
    <s v="LAS CONDES"/>
    <x v="3199"/>
    <x v="1"/>
    <x v="1"/>
    <x v="3"/>
    <x v="1"/>
    <n v="4"/>
    <n v="72681"/>
    <n v="0"/>
    <n v="72681"/>
    <n v="10.99993946181554"/>
    <n v="5000"/>
    <n v="100"/>
    <x v="4115"/>
    <x v="4"/>
    <x v="3"/>
    <x v="1"/>
  </r>
  <r>
    <x v="341"/>
    <s v="ZTAN"/>
    <x v="8"/>
    <s v="TP3884"/>
    <s v="99626232"/>
    <s v="PUDAHUEL"/>
    <x v="3200"/>
    <x v="1"/>
    <x v="1"/>
    <x v="10"/>
    <x v="1"/>
    <n v="1"/>
    <n v="72880"/>
    <n v="0"/>
    <n v="72880"/>
    <n v="11.000057354854485"/>
    <n v="5000"/>
    <n v="100"/>
    <x v="4116"/>
    <x v="4"/>
    <x v="3"/>
    <x v="1"/>
  </r>
  <r>
    <x v="342"/>
    <s v="ZPEP"/>
    <x v="17"/>
    <s v="HLBX77"/>
    <s v="16093509K"/>
    <s v="LAMPA"/>
    <x v="3201"/>
    <x v="1"/>
    <x v="1"/>
    <x v="17"/>
    <x v="1"/>
    <n v="5"/>
    <n v="70000"/>
    <n v="0"/>
    <n v="70000"/>
    <n v="6.7359507313317941"/>
    <n v="10000"/>
    <n v="100"/>
    <x v="4117"/>
    <x v="4"/>
    <x v="3"/>
    <x v="1"/>
  </r>
  <r>
    <x v="342"/>
    <s v="ZTAN"/>
    <x v="17"/>
    <s v="DJLF85"/>
    <s v="53173292"/>
    <s v="LO BARNECHEA"/>
    <x v="3202"/>
    <x v="4"/>
    <x v="1"/>
    <x v="41"/>
    <x v="1"/>
    <n v="4"/>
    <n v="109835"/>
    <n v="0"/>
    <n v="109835"/>
    <n v="11"/>
    <n v="5000"/>
    <n v="100"/>
    <x v="4118"/>
    <x v="4"/>
    <x v="3"/>
    <x v="1"/>
  </r>
  <r>
    <x v="342"/>
    <s v="ZTAN"/>
    <x v="10"/>
    <s v="WG4022"/>
    <s v="154837728"/>
    <s v="SANTIAGO"/>
    <x v="3203"/>
    <x v="1"/>
    <x v="0"/>
    <x v="20"/>
    <x v="1"/>
    <n v="1"/>
    <n v="158400"/>
    <n v="0"/>
    <n v="158400"/>
    <n v="10.99996944452932"/>
    <n v="5000"/>
    <n v="100"/>
    <x v="4119"/>
    <x v="4"/>
    <x v="3"/>
    <x v="1"/>
  </r>
  <r>
    <x v="342"/>
    <s v="ZTAN"/>
    <x v="6"/>
    <s v="WC2233"/>
    <s v="125108660"/>
    <s v="RANCAGUA"/>
    <x v="3204"/>
    <x v="4"/>
    <x v="1"/>
    <x v="28"/>
    <x v="6"/>
    <n v="0"/>
    <n v="180000"/>
    <n v="0"/>
    <n v="180000"/>
    <n v="21.356873353741015"/>
    <n v="20000"/>
    <n v="42"/>
    <x v="4120"/>
    <x v="4"/>
    <x v="3"/>
    <x v="0"/>
  </r>
  <r>
    <x v="342"/>
    <s v="ZTAN"/>
    <x v="7"/>
    <s v="DJLF85"/>
    <s v="53173292"/>
    <s v="RENCA"/>
    <x v="1219"/>
    <x v="4"/>
    <x v="1"/>
    <x v="7"/>
    <x v="1"/>
    <n v="1"/>
    <n v="55000"/>
    <n v="0"/>
    <n v="55000"/>
    <n v="20.014556040756915"/>
    <n v="5000"/>
    <n v="55"/>
    <x v="4121"/>
    <x v="4"/>
    <x v="3"/>
    <x v="1"/>
  </r>
  <r>
    <x v="342"/>
    <s v="ZTAN"/>
    <x v="7"/>
    <s v="WG4022"/>
    <s v="154837728"/>
    <s v="RENCA"/>
    <x v="419"/>
    <x v="1"/>
    <x v="0"/>
    <x v="7"/>
    <x v="1"/>
    <n v="1"/>
    <n v="90684"/>
    <n v="0"/>
    <n v="90684"/>
    <n v="10.999999999999995"/>
    <n v="5000"/>
    <n v="100"/>
    <x v="4122"/>
    <x v="4"/>
    <x v="3"/>
    <x v="1"/>
  </r>
  <r>
    <x v="342"/>
    <s v="ZTAN"/>
    <x v="7"/>
    <s v="XR6339"/>
    <s v="78907355"/>
    <s v="RENCA"/>
    <x v="1219"/>
    <x v="1"/>
    <x v="1"/>
    <x v="7"/>
    <x v="1"/>
    <n v="1"/>
    <n v="55000"/>
    <n v="0"/>
    <n v="55000"/>
    <n v="20.014556040756915"/>
    <n v="5000"/>
    <n v="55"/>
    <x v="4123"/>
    <x v="4"/>
    <x v="3"/>
    <x v="1"/>
  </r>
  <r>
    <x v="342"/>
    <s v="ZTAN"/>
    <x v="8"/>
    <s v="DCRX99"/>
    <s v="78778995"/>
    <s v="TALCAHUANO"/>
    <x v="3205"/>
    <x v="0"/>
    <x v="0"/>
    <x v="0"/>
    <x v="0"/>
    <n v="0"/>
    <n v="420000"/>
    <n v="0"/>
    <n v="420000"/>
    <n v="45.676998368678632"/>
    <n v="20000"/>
    <n v="75"/>
    <x v="4124"/>
    <x v="4"/>
    <x v="3"/>
    <x v="0"/>
  </r>
  <r>
    <x v="342"/>
    <s v="ZTAN"/>
    <x v="8"/>
    <s v="SV2718"/>
    <s v="99626232"/>
    <s v="MAIPU"/>
    <x v="3206"/>
    <x v="1"/>
    <x v="1"/>
    <x v="2"/>
    <x v="1"/>
    <n v="2"/>
    <n v="55000"/>
    <n v="0"/>
    <n v="55000"/>
    <n v="14.494128560285034"/>
    <n v="5000"/>
    <n v="76"/>
    <x v="4125"/>
    <x v="4"/>
    <x v="3"/>
    <x v="1"/>
  </r>
  <r>
    <x v="342"/>
    <s v="ZTAN"/>
    <x v="8"/>
    <s v="TP3884"/>
    <s v="78907355"/>
    <s v="LA REINA"/>
    <x v="3207"/>
    <x v="1"/>
    <x v="1"/>
    <x v="11"/>
    <x v="1"/>
    <n v="3"/>
    <n v="60177"/>
    <n v="0"/>
    <n v="60177"/>
    <n v="11.000073118122328"/>
    <n v="5000"/>
    <n v="100"/>
    <x v="4126"/>
    <x v="4"/>
    <x v="3"/>
    <x v="1"/>
  </r>
  <r>
    <x v="343"/>
    <s v="ZPEP"/>
    <x v="46"/>
    <s v="HLBX77"/>
    <s v="16093509K"/>
    <s v="PUENTE ALTO"/>
    <x v="3208"/>
    <x v="1"/>
    <x v="1"/>
    <x v="30"/>
    <x v="1"/>
    <n v="4"/>
    <n v="84043"/>
    <n v="0"/>
    <n v="84043"/>
    <n v="11.000003926562806"/>
    <n v="5000"/>
    <n v="100"/>
    <x v="4127"/>
    <x v="4"/>
    <x v="3"/>
    <x v="1"/>
  </r>
  <r>
    <x v="343"/>
    <s v="ZPEP"/>
    <x v="32"/>
    <s v="DJLF85"/>
    <s v="53173292"/>
    <s v="LAMPA"/>
    <x v="3209"/>
    <x v="4"/>
    <x v="1"/>
    <x v="17"/>
    <x v="1"/>
    <n v="5"/>
    <n v="70000"/>
    <n v="0"/>
    <n v="70000"/>
    <n v="10.170648960051144"/>
    <n v="10000"/>
    <n v="69"/>
    <x v="4128"/>
    <x v="4"/>
    <x v="3"/>
    <x v="1"/>
  </r>
  <r>
    <x v="343"/>
    <s v="ZPEP"/>
    <x v="9"/>
    <s v="KKPF51"/>
    <s v="95707734"/>
    <s v="SAN BERNARDO"/>
    <x v="3210"/>
    <x v="8"/>
    <x v="0"/>
    <x v="4"/>
    <x v="1"/>
    <n v="4"/>
    <n v="295139"/>
    <n v="0"/>
    <n v="295139"/>
    <n v="10.999982855562582"/>
    <n v="5000"/>
    <n v="100"/>
    <x v="4129"/>
    <x v="4"/>
    <x v="3"/>
    <x v="1"/>
  </r>
  <r>
    <x v="343"/>
    <s v="ZTAN"/>
    <x v="17"/>
    <s v="XR6339"/>
    <s v="78907355"/>
    <s v="LO BARNECHEA"/>
    <x v="3211"/>
    <x v="1"/>
    <x v="1"/>
    <x v="41"/>
    <x v="1"/>
    <n v="4"/>
    <n v="196894"/>
    <n v="0"/>
    <n v="196894"/>
    <n v="10.311015684323532"/>
    <n v="5000"/>
    <n v="100"/>
    <x v="4130"/>
    <x v="4"/>
    <x v="3"/>
    <x v="1"/>
  </r>
  <r>
    <x v="343"/>
    <s v="ZTAN"/>
    <x v="10"/>
    <s v="BPKD94"/>
    <s v="125897258"/>
    <s v="SANTIAGO"/>
    <x v="419"/>
    <x v="0"/>
    <x v="0"/>
    <x v="20"/>
    <x v="1"/>
    <n v="1"/>
    <n v="90684"/>
    <n v="0"/>
    <n v="90684"/>
    <n v="10.999999999999995"/>
    <n v="5000"/>
    <n v="100"/>
    <x v="4131"/>
    <x v="4"/>
    <x v="3"/>
    <x v="1"/>
  </r>
  <r>
    <x v="343"/>
    <s v="ZTAN"/>
    <x v="7"/>
    <s v="DJLF85"/>
    <s v="53173292"/>
    <s v="RENCA"/>
    <x v="3212"/>
    <x v="4"/>
    <x v="1"/>
    <x v="7"/>
    <x v="1"/>
    <n v="1"/>
    <n v="111044"/>
    <n v="0"/>
    <n v="111044"/>
    <n v="9.4145774868799226"/>
    <n v="5000"/>
    <n v="100"/>
    <x v="4132"/>
    <x v="4"/>
    <x v="3"/>
    <x v="1"/>
  </r>
  <r>
    <x v="343"/>
    <s v="ZTAN"/>
    <x v="7"/>
    <s v="WC2233"/>
    <s v="125108660"/>
    <s v="RENCA"/>
    <x v="1219"/>
    <x v="4"/>
    <x v="1"/>
    <x v="7"/>
    <x v="1"/>
    <n v="1"/>
    <n v="55000"/>
    <n v="0"/>
    <n v="55000"/>
    <n v="20.014556040756915"/>
    <n v="5000"/>
    <n v="55"/>
    <x v="4133"/>
    <x v="4"/>
    <x v="3"/>
    <x v="1"/>
  </r>
  <r>
    <x v="343"/>
    <s v="ZTAN"/>
    <x v="7"/>
    <s v="WG4022"/>
    <s v="154837728"/>
    <s v="RENCA"/>
    <x v="419"/>
    <x v="1"/>
    <x v="0"/>
    <x v="7"/>
    <x v="1"/>
    <n v="1"/>
    <n v="90684"/>
    <n v="0"/>
    <n v="90684"/>
    <n v="10.999999999999995"/>
    <n v="5000"/>
    <n v="100"/>
    <x v="4134"/>
    <x v="4"/>
    <x v="3"/>
    <x v="1"/>
  </r>
  <r>
    <x v="344"/>
    <s v="ZPEP"/>
    <x v="46"/>
    <s v="WC2233"/>
    <s v="125108660"/>
    <s v="PUENTE ALTO"/>
    <x v="3213"/>
    <x v="4"/>
    <x v="1"/>
    <x v="30"/>
    <x v="1"/>
    <n v="4"/>
    <n v="62669"/>
    <n v="0"/>
    <n v="62669"/>
    <n v="10.999984202738544"/>
    <n v="5000"/>
    <n v="100"/>
    <x v="4135"/>
    <x v="4"/>
    <x v="3"/>
    <x v="1"/>
  </r>
  <r>
    <x v="344"/>
    <s v="ZPEP"/>
    <x v="46"/>
    <s v="XR6339"/>
    <s v="78907355"/>
    <s v="PUENTE ALTO"/>
    <x v="3214"/>
    <x v="1"/>
    <x v="1"/>
    <x v="30"/>
    <x v="1"/>
    <n v="4"/>
    <n v="66158"/>
    <n v="0"/>
    <n v="66158"/>
    <n v="10.999933492950255"/>
    <n v="5000"/>
    <n v="100"/>
    <x v="4136"/>
    <x v="4"/>
    <x v="3"/>
    <x v="1"/>
  </r>
  <r>
    <x v="344"/>
    <s v="ZPEP"/>
    <x v="2"/>
    <s v="BYZH29"/>
    <s v="122975819"/>
    <s v="TALCA"/>
    <x v="3215"/>
    <x v="0"/>
    <x v="0"/>
    <x v="12"/>
    <x v="3"/>
    <n v="0"/>
    <n v="330000"/>
    <n v="0"/>
    <n v="330000"/>
    <n v="30.853722501619824"/>
    <n v="20000"/>
    <n v="53"/>
    <x v="4137"/>
    <x v="4"/>
    <x v="3"/>
    <x v="0"/>
  </r>
  <r>
    <x v="344"/>
    <s v="ZPEP"/>
    <x v="9"/>
    <s v="HLBX77"/>
    <s v="16093509K"/>
    <s v="SAN BERNARDO"/>
    <x v="3216"/>
    <x v="1"/>
    <x v="1"/>
    <x v="4"/>
    <x v="1"/>
    <n v="4"/>
    <n v="134944"/>
    <n v="0"/>
    <n v="134944"/>
    <n v="10.999960872797455"/>
    <n v="5000"/>
    <n v="100"/>
    <x v="4138"/>
    <x v="4"/>
    <x v="3"/>
    <x v="1"/>
  </r>
  <r>
    <x v="344"/>
    <s v="ZPEP"/>
    <x v="9"/>
    <s v="RH1133"/>
    <s v="138841065"/>
    <s v="SAN BERNARDO"/>
    <x v="3217"/>
    <x v="0"/>
    <x v="0"/>
    <x v="4"/>
    <x v="1"/>
    <n v="4"/>
    <n v="158095"/>
    <n v="0"/>
    <n v="158095"/>
    <n v="10.999994433729373"/>
    <n v="5000"/>
    <n v="100"/>
    <x v="4139"/>
    <x v="4"/>
    <x v="3"/>
    <x v="1"/>
  </r>
  <r>
    <x v="344"/>
    <s v="ZTAN"/>
    <x v="10"/>
    <s v="KKPF51"/>
    <s v="95707734"/>
    <s v="QUILICURA"/>
    <x v="3218"/>
    <x v="8"/>
    <x v="0"/>
    <x v="8"/>
    <x v="1"/>
    <n v="1"/>
    <n v="206360"/>
    <n v="0"/>
    <n v="206360"/>
    <n v="10.577139928241927"/>
    <n v="5000"/>
    <n v="100"/>
    <x v="4140"/>
    <x v="4"/>
    <x v="3"/>
    <x v="1"/>
  </r>
  <r>
    <x v="344"/>
    <s v="ZTAN"/>
    <x v="10"/>
    <s v="WG4022"/>
    <s v="154837728"/>
    <s v="QUILICURA"/>
    <x v="419"/>
    <x v="1"/>
    <x v="0"/>
    <x v="8"/>
    <x v="1"/>
    <n v="1"/>
    <n v="90684"/>
    <n v="0"/>
    <n v="90684"/>
    <n v="10.999999999999995"/>
    <n v="5000"/>
    <n v="100"/>
    <x v="4141"/>
    <x v="4"/>
    <x v="3"/>
    <x v="1"/>
  </r>
  <r>
    <x v="344"/>
    <s v="ZTAN"/>
    <x v="7"/>
    <s v="DJLF85"/>
    <s v="53173292"/>
    <s v="RENCA"/>
    <x v="3219"/>
    <x v="4"/>
    <x v="1"/>
    <x v="7"/>
    <x v="1"/>
    <n v="1"/>
    <n v="87428"/>
    <n v="0"/>
    <n v="87428"/>
    <n v="11"/>
    <n v="5000"/>
    <n v="100"/>
    <x v="4142"/>
    <x v="4"/>
    <x v="3"/>
    <x v="1"/>
  </r>
  <r>
    <x v="344"/>
    <s v="ZTAN"/>
    <x v="7"/>
    <s v="WG4022"/>
    <s v="154837728"/>
    <s v="RENCA"/>
    <x v="419"/>
    <x v="1"/>
    <x v="0"/>
    <x v="7"/>
    <x v="1"/>
    <n v="1"/>
    <n v="90684"/>
    <n v="0"/>
    <n v="90684"/>
    <n v="10.999999999999995"/>
    <n v="5000"/>
    <n v="100"/>
    <x v="4143"/>
    <x v="4"/>
    <x v="3"/>
    <x v="1"/>
  </r>
  <r>
    <x v="344"/>
    <s v="ZTAN"/>
    <x v="7"/>
    <s v="XR6339"/>
    <s v="78907355"/>
    <s v="RENCA"/>
    <x v="1219"/>
    <x v="1"/>
    <x v="1"/>
    <x v="7"/>
    <x v="1"/>
    <n v="1"/>
    <n v="55000"/>
    <n v="0"/>
    <n v="55000"/>
    <n v="20.014556040756915"/>
    <n v="5000"/>
    <n v="55"/>
    <x v="4144"/>
    <x v="4"/>
    <x v="3"/>
    <x v="1"/>
  </r>
  <r>
    <x v="344"/>
    <s v="ZTAN"/>
    <x v="8"/>
    <s v="BPKD94"/>
    <s v="125897258"/>
    <s v="LINARES"/>
    <x v="3220"/>
    <x v="0"/>
    <x v="0"/>
    <x v="59"/>
    <x v="3"/>
    <n v="0"/>
    <n v="350000"/>
    <n v="0"/>
    <n v="350000"/>
    <n v="35.592979030650639"/>
    <n v="20000"/>
    <n v="49"/>
    <x v="4145"/>
    <x v="4"/>
    <x v="3"/>
    <x v="0"/>
  </r>
  <r>
    <x v="344"/>
    <s v="ZTAN"/>
    <x v="8"/>
    <s v="DRFV76"/>
    <s v="113693568"/>
    <s v="TALCA"/>
    <x v="3221"/>
    <x v="0"/>
    <x v="0"/>
    <x v="12"/>
    <x v="3"/>
    <n v="0"/>
    <n v="330000"/>
    <n v="0"/>
    <n v="330000"/>
    <n v="44.279254498369717"/>
    <n v="20000"/>
    <n v="37"/>
    <x v="4146"/>
    <x v="4"/>
    <x v="3"/>
    <x v="0"/>
  </r>
  <r>
    <x v="345"/>
    <s v="ZPEP"/>
    <x v="5"/>
    <s v="XR6339"/>
    <s v="78907355"/>
    <s v="PAINE"/>
    <x v="3222"/>
    <x v="1"/>
    <x v="1"/>
    <x v="13"/>
    <x v="1"/>
    <n v="5"/>
    <n v="90000"/>
    <n v="0"/>
    <n v="90000"/>
    <n v="18.706585133668945"/>
    <n v="10000"/>
    <n v="48"/>
    <x v="4147"/>
    <x v="4"/>
    <x v="3"/>
    <x v="1"/>
  </r>
  <r>
    <x v="345"/>
    <s v="ZPEP"/>
    <x v="46"/>
    <s v="HLBX77"/>
    <s v="16093509K"/>
    <s v="PUENTE ALTO"/>
    <x v="3223"/>
    <x v="1"/>
    <x v="1"/>
    <x v="30"/>
    <x v="1"/>
    <n v="4"/>
    <n v="93353"/>
    <n v="0"/>
    <n v="93353"/>
    <n v="10.99994344078014"/>
    <n v="5000"/>
    <n v="100"/>
    <x v="4148"/>
    <x v="4"/>
    <x v="3"/>
    <x v="1"/>
  </r>
  <r>
    <x v="345"/>
    <s v="ZPEP"/>
    <x v="32"/>
    <s v="WC2233"/>
    <s v="125108660"/>
    <s v="LAMPA"/>
    <x v="3224"/>
    <x v="4"/>
    <x v="1"/>
    <x v="17"/>
    <x v="1"/>
    <n v="5"/>
    <n v="70000"/>
    <n v="0"/>
    <n v="70000"/>
    <n v="6.491290542746075"/>
    <n v="10000"/>
    <n v="100"/>
    <x v="4149"/>
    <x v="4"/>
    <x v="3"/>
    <x v="1"/>
  </r>
  <r>
    <x v="345"/>
    <s v="ZTAN"/>
    <x v="5"/>
    <s v="XR6339"/>
    <s v="78907355"/>
    <s v="PAINE"/>
    <x v="3225"/>
    <x v="1"/>
    <x v="1"/>
    <x v="13"/>
    <x v="1"/>
    <n v="5"/>
    <n v="90000"/>
    <n v="0"/>
    <n v="90000"/>
    <n v="52.328623757195182"/>
    <n v="10000"/>
    <n v="17"/>
    <x v="4150"/>
    <x v="4"/>
    <x v="3"/>
    <x v="1"/>
  </r>
  <r>
    <x v="345"/>
    <s v="ZTAN"/>
    <x v="6"/>
    <s v="TP3884"/>
    <s v="154837728"/>
    <s v="LA DEHESA"/>
    <x v="3226"/>
    <x v="1"/>
    <x v="1"/>
    <x v="41"/>
    <x v="1"/>
    <n v="4"/>
    <n v="60790"/>
    <n v="0"/>
    <n v="60790"/>
    <n v="10.999927620150551"/>
    <n v="5000"/>
    <n v="100"/>
    <x v="4151"/>
    <x v="4"/>
    <x v="3"/>
    <x v="1"/>
  </r>
  <r>
    <x v="345"/>
    <s v="ZTAN"/>
    <x v="7"/>
    <s v="WG4022"/>
    <s v="154837728"/>
    <s v="RENCA"/>
    <x v="315"/>
    <x v="1"/>
    <x v="0"/>
    <x v="7"/>
    <x v="1"/>
    <n v="1"/>
    <n v="104544"/>
    <n v="0"/>
    <n v="104544"/>
    <n v="10.999999999999989"/>
    <n v="5000"/>
    <n v="100"/>
    <x v="4152"/>
    <x v="4"/>
    <x v="3"/>
    <x v="1"/>
  </r>
  <r>
    <x v="345"/>
    <s v="ZTAN"/>
    <x v="8"/>
    <s v="SV2718"/>
    <s v="99626232"/>
    <s v="PUDAHUEL"/>
    <x v="3227"/>
    <x v="1"/>
    <x v="1"/>
    <x v="10"/>
    <x v="1"/>
    <n v="1"/>
    <n v="65271"/>
    <n v="0"/>
    <n v="65271"/>
    <n v="10.512828772528872"/>
    <n v="5000"/>
    <n v="100"/>
    <x v="4153"/>
    <x v="4"/>
    <x v="3"/>
    <x v="1"/>
  </r>
  <r>
    <x v="346"/>
    <s v="ZPEP"/>
    <x v="5"/>
    <s v="WC2233"/>
    <s v="125108660"/>
    <s v="PAINE"/>
    <x v="3228"/>
    <x v="4"/>
    <x v="1"/>
    <x v="13"/>
    <x v="1"/>
    <n v="5"/>
    <n v="90000"/>
    <n v="0"/>
    <n v="90000"/>
    <n v="10.856754771242144"/>
    <n v="10000"/>
    <n v="83"/>
    <x v="4154"/>
    <x v="4"/>
    <x v="3"/>
    <x v="1"/>
  </r>
  <r>
    <x v="346"/>
    <s v="ZPEP"/>
    <x v="32"/>
    <s v="HLBX77"/>
    <s v="16093509K"/>
    <s v="LAMPA"/>
    <x v="3229"/>
    <x v="1"/>
    <x v="1"/>
    <x v="17"/>
    <x v="1"/>
    <n v="5"/>
    <n v="70000"/>
    <n v="0"/>
    <n v="70000"/>
    <n v="5.4689679041899328"/>
    <n v="10000"/>
    <n v="100"/>
    <x v="4155"/>
    <x v="4"/>
    <x v="3"/>
    <x v="1"/>
  </r>
  <r>
    <x v="346"/>
    <s v="ZPEP"/>
    <x v="2"/>
    <s v="BWPL69"/>
    <s v="78551976"/>
    <s v="PUCON"/>
    <x v="3230"/>
    <x v="5"/>
    <x v="0"/>
    <x v="48"/>
    <x v="4"/>
    <n v="0"/>
    <n v="800000"/>
    <n v="0"/>
    <n v="800000"/>
    <n v="47.926978455625004"/>
    <n v="20000"/>
    <n v="83"/>
    <x v="4156"/>
    <x v="4"/>
    <x v="3"/>
    <x v="0"/>
  </r>
  <r>
    <x v="346"/>
    <s v="ZTAN"/>
    <x v="7"/>
    <s v="DJLF85"/>
    <s v="53173292"/>
    <s v="RENCA"/>
    <x v="3219"/>
    <x v="4"/>
    <x v="1"/>
    <x v="7"/>
    <x v="1"/>
    <n v="1"/>
    <n v="87428"/>
    <n v="0"/>
    <n v="87428"/>
    <n v="11"/>
    <n v="5000"/>
    <n v="100"/>
    <x v="4157"/>
    <x v="4"/>
    <x v="3"/>
    <x v="1"/>
  </r>
  <r>
    <x v="346"/>
    <s v="ZTAN"/>
    <x v="7"/>
    <s v="DJLF85"/>
    <s v="78907355"/>
    <s v="RENCA"/>
    <x v="319"/>
    <x v="4"/>
    <x v="1"/>
    <x v="7"/>
    <x v="1"/>
    <n v="1"/>
    <n v="57200"/>
    <n v="0"/>
    <n v="57200"/>
    <n v="11"/>
    <n v="5000"/>
    <n v="100"/>
    <x v="4158"/>
    <x v="4"/>
    <x v="3"/>
    <x v="1"/>
  </r>
  <r>
    <x v="346"/>
    <s v="ZTAN"/>
    <x v="7"/>
    <s v="WG4022"/>
    <s v="154837728"/>
    <s v="RENCA"/>
    <x v="3231"/>
    <x v="1"/>
    <x v="0"/>
    <x v="7"/>
    <x v="1"/>
    <n v="1"/>
    <n v="160081"/>
    <n v="0"/>
    <n v="160081"/>
    <n v="11.000013743059755"/>
    <n v="5000"/>
    <n v="100"/>
    <x v="4159"/>
    <x v="4"/>
    <x v="3"/>
    <x v="1"/>
  </r>
  <r>
    <x v="346"/>
    <s v="ZTAN"/>
    <x v="7"/>
    <s v="XR6339"/>
    <s v="78907355"/>
    <s v="RENCA"/>
    <x v="1219"/>
    <x v="1"/>
    <x v="1"/>
    <x v="7"/>
    <x v="1"/>
    <n v="1"/>
    <n v="55000"/>
    <n v="0"/>
    <n v="55000"/>
    <n v="20.014556040756915"/>
    <n v="5000"/>
    <n v="55"/>
    <x v="4160"/>
    <x v="4"/>
    <x v="3"/>
    <x v="1"/>
  </r>
  <r>
    <x v="346"/>
    <s v="ZTAN"/>
    <x v="8"/>
    <s v="BYZH29"/>
    <s v="122975819"/>
    <s v="TEMUCO"/>
    <x v="3232"/>
    <x v="0"/>
    <x v="0"/>
    <x v="14"/>
    <x v="4"/>
    <n v="0"/>
    <n v="665000"/>
    <n v="0"/>
    <n v="665000"/>
    <n v="39.572545103775276"/>
    <n v="20000"/>
    <n v="84"/>
    <x v="4161"/>
    <x v="4"/>
    <x v="3"/>
    <x v="0"/>
  </r>
  <r>
    <x v="346"/>
    <s v="ZTAN"/>
    <x v="8"/>
    <s v="DRFV76"/>
    <s v="113693568"/>
    <s v="GORBEA"/>
    <x v="3233"/>
    <x v="0"/>
    <x v="0"/>
    <x v="95"/>
    <x v="4"/>
    <n v="0"/>
    <n v="800000"/>
    <n v="0"/>
    <n v="600000"/>
    <n v="95.063058495468653"/>
    <n v="20000"/>
    <n v="38"/>
    <x v="4162"/>
    <x v="4"/>
    <x v="3"/>
    <x v="0"/>
  </r>
  <r>
    <x v="346"/>
    <s v="ZTAN"/>
    <x v="8"/>
    <s v="SV2718"/>
    <s v="99626232"/>
    <s v="PUDAHUEL"/>
    <x v="3234"/>
    <x v="1"/>
    <x v="1"/>
    <x v="10"/>
    <x v="1"/>
    <n v="1"/>
    <n v="55000"/>
    <n v="0"/>
    <n v="55000"/>
    <n v="11.123695493892081"/>
    <n v="5000"/>
    <n v="85"/>
    <x v="4163"/>
    <x v="4"/>
    <x v="3"/>
    <x v="1"/>
  </r>
  <r>
    <x v="347"/>
    <s v="ZPEP"/>
    <x v="46"/>
    <s v="HLBX77"/>
    <s v="16093509K"/>
    <s v="PUENTE ALTO"/>
    <x v="3235"/>
    <x v="1"/>
    <x v="1"/>
    <x v="30"/>
    <x v="1"/>
    <n v="4"/>
    <n v="146221"/>
    <n v="0"/>
    <n v="146221"/>
    <n v="11.000015045739048"/>
    <n v="5000"/>
    <n v="100"/>
    <x v="4164"/>
    <x v="4"/>
    <x v="3"/>
    <x v="1"/>
  </r>
  <r>
    <x v="347"/>
    <s v="ZPEP"/>
    <x v="46"/>
    <s v="XR6339"/>
    <s v="78907355"/>
    <s v="PUENTE ALTO"/>
    <x v="3236"/>
    <x v="1"/>
    <x v="1"/>
    <x v="30"/>
    <x v="1"/>
    <n v="4"/>
    <n v="74101"/>
    <n v="0"/>
    <n v="74101"/>
    <n v="10.999991093244821"/>
    <n v="5000"/>
    <n v="100"/>
    <x v="4165"/>
    <x v="4"/>
    <x v="3"/>
    <x v="1"/>
  </r>
  <r>
    <x v="347"/>
    <s v="ZPEP"/>
    <x v="2"/>
    <s v="HLBX77"/>
    <s v="16093509K"/>
    <s v="SAN BERNARDO"/>
    <x v="3237"/>
    <x v="1"/>
    <x v="1"/>
    <x v="4"/>
    <x v="1"/>
    <n v="4"/>
    <n v="102465"/>
    <n v="0"/>
    <n v="102465"/>
    <n v="11"/>
    <n v="5000"/>
    <n v="100"/>
    <x v="4166"/>
    <x v="4"/>
    <x v="3"/>
    <x v="1"/>
  </r>
  <r>
    <x v="347"/>
    <s v="ZTAN"/>
    <x v="6"/>
    <s v="TP3884"/>
    <s v="154837728"/>
    <s v="MAIPU"/>
    <x v="3238"/>
    <x v="1"/>
    <x v="1"/>
    <x v="2"/>
    <x v="1"/>
    <n v="2"/>
    <n v="98294"/>
    <n v="0"/>
    <n v="98294"/>
    <n v="11.00002238187963"/>
    <n v="5000"/>
    <n v="100"/>
    <x v="4167"/>
    <x v="4"/>
    <x v="3"/>
    <x v="1"/>
  </r>
  <r>
    <x v="347"/>
    <s v="ZTAN"/>
    <x v="6"/>
    <s v="XR6339"/>
    <s v="78907355"/>
    <s v="PEÑALOLEN"/>
    <x v="3239"/>
    <x v="1"/>
    <x v="1"/>
    <x v="34"/>
    <x v="1"/>
    <n v="4"/>
    <n v="80601"/>
    <n v="0"/>
    <n v="80601"/>
    <n v="10.999945410377487"/>
    <n v="5000"/>
    <n v="100"/>
    <x v="4168"/>
    <x v="4"/>
    <x v="3"/>
    <x v="1"/>
  </r>
  <r>
    <x v="347"/>
    <s v="ZTAN"/>
    <x v="7"/>
    <s v="HLBX77"/>
    <s v="16093509K"/>
    <s v="RENCA"/>
    <x v="3240"/>
    <x v="1"/>
    <x v="1"/>
    <x v="7"/>
    <x v="1"/>
    <n v="1"/>
    <n v="55000"/>
    <n v="0"/>
    <n v="55000"/>
    <n v="14.778272178156106"/>
    <n v="5000"/>
    <n v="74"/>
    <x v="4169"/>
    <x v="4"/>
    <x v="3"/>
    <x v="1"/>
  </r>
  <r>
    <x v="347"/>
    <s v="ZTAN"/>
    <x v="7"/>
    <s v="HLBX77"/>
    <s v="1693509K"/>
    <s v="RENCA"/>
    <x v="319"/>
    <x v="1"/>
    <x v="1"/>
    <x v="7"/>
    <x v="1"/>
    <n v="1"/>
    <n v="57200"/>
    <n v="0"/>
    <n v="57200"/>
    <n v="11"/>
    <n v="5000"/>
    <n v="100"/>
    <x v="4170"/>
    <x v="4"/>
    <x v="3"/>
    <x v="1"/>
  </r>
  <r>
    <x v="347"/>
    <s v="ZTAN"/>
    <x v="7"/>
    <s v="TP3884"/>
    <s v="99626232"/>
    <s v="SAN MIGUEL"/>
    <x v="3241"/>
    <x v="1"/>
    <x v="1"/>
    <x v="23"/>
    <x v="1"/>
    <n v="2"/>
    <n v="71210"/>
    <n v="0"/>
    <n v="71210"/>
    <n v="11.000061789421649"/>
    <n v="5000"/>
    <n v="100"/>
    <x v="4171"/>
    <x v="4"/>
    <x v="3"/>
    <x v="1"/>
  </r>
  <r>
    <x v="347"/>
    <s v="ZTAN"/>
    <x v="7"/>
    <s v="WC2233"/>
    <s v="125108660"/>
    <s v="MELIPILLA"/>
    <x v="1293"/>
    <x v="4"/>
    <x v="1"/>
    <x v="29"/>
    <x v="1"/>
    <n v="5"/>
    <n v="90000"/>
    <n v="0"/>
    <n v="90000"/>
    <n v="18.037518037518037"/>
    <n v="10000"/>
    <n v="50"/>
    <x v="4172"/>
    <x v="4"/>
    <x v="3"/>
    <x v="1"/>
  </r>
  <r>
    <x v="347"/>
    <s v="ZTAN"/>
    <x v="7"/>
    <s v="WG4022"/>
    <s v="154837728"/>
    <s v="RENCA"/>
    <x v="3242"/>
    <x v="1"/>
    <x v="0"/>
    <x v="7"/>
    <x v="1"/>
    <n v="1"/>
    <n v="132218"/>
    <n v="0"/>
    <n v="132218"/>
    <n v="10.294305423628522"/>
    <n v="5000"/>
    <n v="100"/>
    <x v="4173"/>
    <x v="4"/>
    <x v="3"/>
    <x v="1"/>
  </r>
  <r>
    <x v="347"/>
    <s v="ZTAN"/>
    <x v="7"/>
    <s v="XR6339"/>
    <s v="78907355"/>
    <s v="RENCA"/>
    <x v="2472"/>
    <x v="1"/>
    <x v="1"/>
    <x v="7"/>
    <x v="1"/>
    <n v="1"/>
    <n v="55000"/>
    <n v="0"/>
    <n v="55000"/>
    <n v="11.574074074074074"/>
    <n v="5000"/>
    <n v="95"/>
    <x v="4174"/>
    <x v="4"/>
    <x v="3"/>
    <x v="1"/>
  </r>
  <r>
    <x v="347"/>
    <s v="ZTAN"/>
    <x v="8"/>
    <s v="BPHS56"/>
    <s v="104966535"/>
    <s v="QUILICURA"/>
    <x v="3243"/>
    <x v="0"/>
    <x v="0"/>
    <x v="8"/>
    <x v="1"/>
    <n v="1"/>
    <n v="62590"/>
    <n v="0"/>
    <n v="62590"/>
    <n v="11"/>
    <n v="5000"/>
    <n v="100"/>
    <x v="4175"/>
    <x v="4"/>
    <x v="3"/>
    <x v="1"/>
  </r>
  <r>
    <x v="347"/>
    <s v="ZTAN"/>
    <x v="8"/>
    <s v="SV2718"/>
    <s v="99626232"/>
    <s v="PUDAHUEL"/>
    <x v="3244"/>
    <x v="1"/>
    <x v="1"/>
    <x v="10"/>
    <x v="1"/>
    <n v="1"/>
    <n v="55000"/>
    <n v="0"/>
    <n v="55000"/>
    <n v="15.722281617508331"/>
    <n v="5000"/>
    <n v="48"/>
    <x v="4176"/>
    <x v="4"/>
    <x v="3"/>
    <x v="1"/>
  </r>
  <r>
    <x v="347"/>
    <s v="ZTAN"/>
    <x v="8"/>
    <s v="WC2233"/>
    <s v="125108660"/>
    <s v="REÑACA"/>
    <x v="3245"/>
    <x v="4"/>
    <x v="1"/>
    <x v="6"/>
    <x v="2"/>
    <n v="0"/>
    <n v="180000"/>
    <n v="0"/>
    <n v="180000"/>
    <n v="29.373368146214087"/>
    <n v="20000"/>
    <n v="31"/>
    <x v="4177"/>
    <x v="4"/>
    <x v="3"/>
    <x v="0"/>
  </r>
  <r>
    <x v="348"/>
    <s v="ZPEP"/>
    <x v="5"/>
    <s v="XR6339"/>
    <s v="78907355"/>
    <s v="PAINE"/>
    <x v="3246"/>
    <x v="1"/>
    <x v="1"/>
    <x v="13"/>
    <x v="1"/>
    <n v="5"/>
    <n v="90000"/>
    <n v="0"/>
    <n v="90000"/>
    <n v="9.8961128068894535"/>
    <n v="10000"/>
    <n v="91"/>
    <x v="4178"/>
    <x v="4"/>
    <x v="3"/>
    <x v="1"/>
  </r>
  <r>
    <x v="348"/>
    <s v="ZPEP"/>
    <x v="32"/>
    <s v="HLBX77"/>
    <s v="16093509K"/>
    <s v="LAMPA"/>
    <x v="3247"/>
    <x v="1"/>
    <x v="1"/>
    <x v="17"/>
    <x v="1"/>
    <n v="5"/>
    <n v="70000"/>
    <n v="0"/>
    <n v="70000"/>
    <n v="7.8744054823860807"/>
    <n v="10000"/>
    <n v="89"/>
    <x v="4179"/>
    <x v="4"/>
    <x v="3"/>
    <x v="1"/>
  </r>
  <r>
    <x v="348"/>
    <s v="ZPEP"/>
    <x v="9"/>
    <s v="SV2718"/>
    <s v="99626232"/>
    <s v="SAN BERNARDO"/>
    <x v="3248"/>
    <x v="1"/>
    <x v="1"/>
    <x v="4"/>
    <x v="1"/>
    <n v="4"/>
    <n v="55000"/>
    <n v="0"/>
    <n v="55000"/>
    <n v="21.473889702293803"/>
    <n v="5000"/>
    <n v="51"/>
    <x v="4180"/>
    <x v="4"/>
    <x v="3"/>
    <x v="1"/>
  </r>
  <r>
    <x v="348"/>
    <s v="ZTAN"/>
    <x v="58"/>
    <s v="SU9354"/>
    <s v="725654391"/>
    <s v="COLINA"/>
    <x v="1468"/>
    <x v="2"/>
    <x v="1"/>
    <x v="5"/>
    <x v="1"/>
    <n v="5"/>
    <n v="70000"/>
    <n v="0"/>
    <n v="70000"/>
    <n v="20.583392143025169"/>
    <n v="10000"/>
    <n v="34"/>
    <x v="4181"/>
    <x v="4"/>
    <x v="3"/>
    <x v="1"/>
  </r>
  <r>
    <x v="348"/>
    <s v="ZTAN"/>
    <x v="10"/>
    <s v="RK5135"/>
    <s v="138841065"/>
    <s v="SANTIAGO"/>
    <x v="315"/>
    <x v="3"/>
    <x v="1"/>
    <x v="20"/>
    <x v="1"/>
    <n v="1"/>
    <n v="104544"/>
    <n v="0"/>
    <n v="104544"/>
    <n v="10.999999999999989"/>
    <n v="5000"/>
    <n v="100"/>
    <x v="4182"/>
    <x v="4"/>
    <x v="3"/>
    <x v="1"/>
  </r>
  <r>
    <x v="348"/>
    <s v="ZTAN"/>
    <x v="6"/>
    <s v="CKYB66"/>
    <s v="115812335"/>
    <s v="HUALPEN"/>
    <x v="3249"/>
    <x v="0"/>
    <x v="0"/>
    <x v="44"/>
    <x v="0"/>
    <n v="0"/>
    <n v="400000"/>
    <n v="0"/>
    <n v="400000"/>
    <n v="41.369324645775173"/>
    <n v="20000"/>
    <n v="48"/>
    <x v="4183"/>
    <x v="4"/>
    <x v="3"/>
    <x v="0"/>
  </r>
  <r>
    <x v="348"/>
    <s v="ZTAN"/>
    <x v="6"/>
    <s v="SU9354"/>
    <s v="72561391"/>
    <s v="RANCAGUA"/>
    <x v="3250"/>
    <x v="2"/>
    <x v="1"/>
    <x v="28"/>
    <x v="6"/>
    <n v="0"/>
    <n v="180000"/>
    <n v="0"/>
    <n v="180000"/>
    <n v="20.969733684382209"/>
    <n v="20000"/>
    <n v="49"/>
    <x v="4184"/>
    <x v="4"/>
    <x v="3"/>
    <x v="0"/>
  </r>
  <r>
    <x v="348"/>
    <s v="ZTAN"/>
    <x v="6"/>
    <s v="SV2718"/>
    <s v="99626232"/>
    <s v="LA REINA"/>
    <x v="3251"/>
    <x v="1"/>
    <x v="1"/>
    <x v="11"/>
    <x v="1"/>
    <n v="3"/>
    <n v="63461"/>
    <n v="0"/>
    <n v="63461"/>
    <n v="10.999965333148443"/>
    <n v="5000"/>
    <n v="100"/>
    <x v="4185"/>
    <x v="4"/>
    <x v="3"/>
    <x v="1"/>
  </r>
  <r>
    <x v="348"/>
    <s v="ZTAN"/>
    <x v="7"/>
    <s v="WG4022"/>
    <s v="154837728"/>
    <s v="RENCA"/>
    <x v="3252"/>
    <x v="1"/>
    <x v="0"/>
    <x v="7"/>
    <x v="1"/>
    <n v="1"/>
    <n v="225441"/>
    <n v="0"/>
    <n v="225441"/>
    <n v="11.000019517336268"/>
    <n v="5000"/>
    <n v="100"/>
    <x v="4186"/>
    <x v="4"/>
    <x v="3"/>
    <x v="1"/>
  </r>
  <r>
    <x v="348"/>
    <s v="ZTAN"/>
    <x v="8"/>
    <s v="KKPF51"/>
    <s v="95707734"/>
    <s v="COQUIMBO"/>
    <x v="3253"/>
    <x v="8"/>
    <x v="0"/>
    <x v="42"/>
    <x v="8"/>
    <n v="0"/>
    <n v="650000"/>
    <n v="0"/>
    <n v="650000"/>
    <n v="73.964497041420117"/>
    <n v="20000"/>
    <n v="44"/>
    <x v="4187"/>
    <x v="4"/>
    <x v="3"/>
    <x v="0"/>
  </r>
  <r>
    <x v="348"/>
    <s v="ZTAN"/>
    <x v="8"/>
    <s v="TP3884"/>
    <s v="154837728"/>
    <s v="PUDAHUEL"/>
    <x v="3254"/>
    <x v="1"/>
    <x v="1"/>
    <x v="10"/>
    <x v="1"/>
    <n v="1"/>
    <n v="73733"/>
    <n v="0"/>
    <n v="73733"/>
    <n v="11.000000000000002"/>
    <n v="5000"/>
    <n v="100"/>
    <x v="4188"/>
    <x v="4"/>
    <x v="3"/>
    <x v="1"/>
  </r>
  <r>
    <x v="349"/>
    <s v="ZPEP"/>
    <x v="17"/>
    <s v="WG4022"/>
    <s v="154837728"/>
    <s v="LAMPA"/>
    <x v="2534"/>
    <x v="1"/>
    <x v="0"/>
    <x v="17"/>
    <x v="1"/>
    <n v="5"/>
    <n v="120000"/>
    <n v="0"/>
    <n v="120000"/>
    <n v="9.7227241128419362"/>
    <n v="10000"/>
    <n v="100"/>
    <x v="4189"/>
    <x v="4"/>
    <x v="3"/>
    <x v="1"/>
  </r>
  <r>
    <x v="349"/>
    <s v="ZPEP"/>
    <x v="5"/>
    <s v="WC2233"/>
    <s v="125108660"/>
    <s v="PAINE"/>
    <x v="3255"/>
    <x v="4"/>
    <x v="1"/>
    <x v="13"/>
    <x v="1"/>
    <n v="5"/>
    <n v="90000"/>
    <n v="0"/>
    <n v="90000"/>
    <n v="17.758905104303974"/>
    <n v="10000"/>
    <n v="51"/>
    <x v="4190"/>
    <x v="4"/>
    <x v="3"/>
    <x v="1"/>
  </r>
  <r>
    <x v="349"/>
    <s v="ZPEP"/>
    <x v="46"/>
    <s v="HLBX77"/>
    <s v="16093509K"/>
    <s v="PUENTE ALTO"/>
    <x v="3256"/>
    <x v="1"/>
    <x v="1"/>
    <x v="30"/>
    <x v="1"/>
    <n v="4"/>
    <n v="55000"/>
    <n v="0"/>
    <n v="55000"/>
    <n v="11.912316685690277"/>
    <n v="5000"/>
    <n v="92"/>
    <x v="4191"/>
    <x v="4"/>
    <x v="3"/>
    <x v="1"/>
  </r>
  <r>
    <x v="349"/>
    <s v="ZTAN"/>
    <x v="17"/>
    <s v="WG4022"/>
    <s v="154837728"/>
    <s v="LO BARNECHEA"/>
    <x v="3257"/>
    <x v="1"/>
    <x v="0"/>
    <x v="41"/>
    <x v="1"/>
    <n v="4"/>
    <n v="55000"/>
    <n v="0"/>
    <n v="55000"/>
    <n v="11.206193969030155"/>
    <n v="5000"/>
    <n v="98"/>
    <x v="4192"/>
    <x v="4"/>
    <x v="3"/>
    <x v="1"/>
  </r>
  <r>
    <x v="349"/>
    <s v="ZTAN"/>
    <x v="10"/>
    <s v="DRFV76"/>
    <s v="113693568"/>
    <s v="TALCAHUANO"/>
    <x v="3258"/>
    <x v="0"/>
    <x v="0"/>
    <x v="0"/>
    <x v="0"/>
    <n v="0"/>
    <n v="420000"/>
    <n v="0"/>
    <n v="420000"/>
    <n v="46.51780967570437"/>
    <n v="20000"/>
    <n v="45"/>
    <x v="4193"/>
    <x v="4"/>
    <x v="3"/>
    <x v="0"/>
  </r>
  <r>
    <x v="349"/>
    <s v="ZTAN"/>
    <x v="10"/>
    <s v="RK5135"/>
    <s v="138841065"/>
    <s v="SANTIAGO"/>
    <x v="315"/>
    <x v="3"/>
    <x v="1"/>
    <x v="20"/>
    <x v="1"/>
    <n v="1"/>
    <n v="104544"/>
    <n v="0"/>
    <n v="104544"/>
    <n v="10.999999999999989"/>
    <n v="5000"/>
    <n v="100"/>
    <x v="4194"/>
    <x v="4"/>
    <x v="3"/>
    <x v="1"/>
  </r>
  <r>
    <x v="349"/>
    <s v="ZTAN"/>
    <x v="6"/>
    <s v="BYZH29"/>
    <s v="122975819"/>
    <s v="COPIAPO"/>
    <x v="3259"/>
    <x v="0"/>
    <x v="0"/>
    <x v="60"/>
    <x v="9"/>
    <n v="0"/>
    <n v="1000000"/>
    <n v="0"/>
    <n v="1000000"/>
    <n v="94.780441108172909"/>
    <n v="20000"/>
    <n v="53"/>
    <x v="4195"/>
    <x v="4"/>
    <x v="3"/>
    <x v="0"/>
  </r>
  <r>
    <x v="349"/>
    <s v="ZTAN"/>
    <x v="6"/>
    <s v="WC2233"/>
    <s v="125108660"/>
    <s v="VALPARAISO"/>
    <x v="3260"/>
    <x v="4"/>
    <x v="1"/>
    <x v="36"/>
    <x v="2"/>
    <n v="0"/>
    <n v="180000"/>
    <n v="0"/>
    <n v="180000"/>
    <n v="31.674526641796305"/>
    <n v="20000"/>
    <n v="28"/>
    <x v="4196"/>
    <x v="4"/>
    <x v="3"/>
    <x v="0"/>
  </r>
  <r>
    <x v="349"/>
    <s v="ZTAN"/>
    <x v="7"/>
    <s v="DJLF85"/>
    <s v="53173292"/>
    <s v="RENCA"/>
    <x v="3261"/>
    <x v="4"/>
    <x v="1"/>
    <x v="7"/>
    <x v="1"/>
    <n v="1"/>
    <n v="125125"/>
    <n v="0"/>
    <n v="125125"/>
    <n v="11"/>
    <n v="5000"/>
    <n v="100"/>
    <x v="4197"/>
    <x v="4"/>
    <x v="3"/>
    <x v="1"/>
  </r>
  <r>
    <x v="349"/>
    <s v="ZTAN"/>
    <x v="8"/>
    <s v="SV2718"/>
    <s v="99626232"/>
    <s v="LAS CONDES"/>
    <x v="3262"/>
    <x v="1"/>
    <x v="1"/>
    <x v="3"/>
    <x v="1"/>
    <n v="4"/>
    <n v="55000"/>
    <n v="0"/>
    <n v="55000"/>
    <n v="14.062899514190745"/>
    <n v="5000"/>
    <n v="78"/>
    <x v="4198"/>
    <x v="4"/>
    <x v="3"/>
    <x v="1"/>
  </r>
  <r>
    <x v="349"/>
    <s v="ZTAN"/>
    <x v="8"/>
    <s v="SV2718"/>
    <s v="99626232"/>
    <s v="SAN BERNARDO"/>
    <x v="2388"/>
    <x v="1"/>
    <x v="1"/>
    <x v="4"/>
    <x v="1"/>
    <n v="4"/>
    <n v="55000"/>
    <n v="0"/>
    <n v="55000"/>
    <n v="13.917004048582996"/>
    <n v="5000"/>
    <n v="79"/>
    <x v="4199"/>
    <x v="4"/>
    <x v="3"/>
    <x v="1"/>
  </r>
  <r>
    <x v="349"/>
    <s v="ZTAN"/>
    <x v="8"/>
    <s v="XR6339"/>
    <s v="78907355"/>
    <s v="PUDAHUEL"/>
    <x v="3263"/>
    <x v="1"/>
    <x v="1"/>
    <x v="10"/>
    <x v="1"/>
    <n v="1"/>
    <n v="55000"/>
    <n v="0"/>
    <n v="55000"/>
    <n v="13.116787102620972"/>
    <n v="5000"/>
    <n v="84"/>
    <x v="4200"/>
    <x v="4"/>
    <x v="3"/>
    <x v="1"/>
  </r>
  <r>
    <x v="350"/>
    <s v="ZPEP"/>
    <x v="46"/>
    <s v="HLBX77"/>
    <s v="16093509K"/>
    <s v="PUENTE ALTO"/>
    <x v="3264"/>
    <x v="1"/>
    <x v="1"/>
    <x v="30"/>
    <x v="1"/>
    <n v="4"/>
    <n v="55000"/>
    <n v="0"/>
    <n v="55000"/>
    <n v="18.622604455881355"/>
    <n v="5000"/>
    <n v="59"/>
    <x v="4201"/>
    <x v="4"/>
    <x v="3"/>
    <x v="1"/>
  </r>
  <r>
    <x v="350"/>
    <s v="ZPEP"/>
    <x v="32"/>
    <s v="WC2233"/>
    <s v="125108660"/>
    <s v="LAMPA"/>
    <x v="3265"/>
    <x v="4"/>
    <x v="1"/>
    <x v="17"/>
    <x v="1"/>
    <n v="5"/>
    <n v="70000"/>
    <n v="0"/>
    <n v="70000"/>
    <n v="16.121602947950255"/>
    <n v="10000"/>
    <n v="43"/>
    <x v="4202"/>
    <x v="4"/>
    <x v="3"/>
    <x v="1"/>
  </r>
  <r>
    <x v="350"/>
    <s v="ZPEP"/>
    <x v="7"/>
    <s v="WG4022"/>
    <s v="154837728"/>
    <s v="RENCA"/>
    <x v="3266"/>
    <x v="1"/>
    <x v="0"/>
    <x v="7"/>
    <x v="1"/>
    <n v="1"/>
    <n v="66298"/>
    <n v="0"/>
    <n v="66298"/>
    <n v="10.999946906648614"/>
    <n v="5000"/>
    <n v="100"/>
    <x v="4203"/>
    <x v="4"/>
    <x v="3"/>
    <x v="1"/>
  </r>
  <r>
    <x v="350"/>
    <s v="ZTAN"/>
    <x v="17"/>
    <s v="WG4022"/>
    <s v="154837728"/>
    <s v="LO BARNECHEA"/>
    <x v="2666"/>
    <x v="1"/>
    <x v="0"/>
    <x v="41"/>
    <x v="1"/>
    <n v="4"/>
    <n v="87599"/>
    <n v="0"/>
    <n v="87599"/>
    <n v="11.000062786463234"/>
    <n v="5000"/>
    <n v="100"/>
    <x v="4204"/>
    <x v="4"/>
    <x v="3"/>
    <x v="1"/>
  </r>
  <r>
    <x v="350"/>
    <s v="ZTAN"/>
    <x v="75"/>
    <s v="SV2718"/>
    <s v="78907355"/>
    <s v="PADRE HURTADO"/>
    <x v="3267"/>
    <x v="1"/>
    <x v="1"/>
    <x v="26"/>
    <x v="1"/>
    <n v="5"/>
    <n v="70000"/>
    <n v="0"/>
    <n v="70000"/>
    <n v="25.720164609053498"/>
    <n v="10000"/>
    <n v="27"/>
    <x v="4205"/>
    <x v="4"/>
    <x v="3"/>
    <x v="1"/>
  </r>
  <r>
    <x v="350"/>
    <s v="ZTAN"/>
    <x v="7"/>
    <s v="WG4022"/>
    <s v="154837728"/>
    <s v="RENCA"/>
    <x v="3268"/>
    <x v="1"/>
    <x v="0"/>
    <x v="7"/>
    <x v="1"/>
    <n v="1"/>
    <n v="64649"/>
    <n v="0"/>
    <n v="64649"/>
    <n v="10.999965970189884"/>
    <n v="5000"/>
    <n v="100"/>
    <x v="4206"/>
    <x v="4"/>
    <x v="3"/>
    <x v="1"/>
  </r>
  <r>
    <x v="350"/>
    <s v="ZTAN"/>
    <x v="8"/>
    <s v="TP3884"/>
    <s v="154837728"/>
    <s v="PUDAHUEL"/>
    <x v="3269"/>
    <x v="1"/>
    <x v="1"/>
    <x v="10"/>
    <x v="1"/>
    <n v="1"/>
    <n v="82672"/>
    <n v="0"/>
    <n v="82672"/>
    <n v="11.000053222630262"/>
    <n v="5000"/>
    <n v="100"/>
    <x v="4207"/>
    <x v="4"/>
    <x v="3"/>
    <x v="1"/>
  </r>
  <r>
    <x v="351"/>
    <s v="ZPEP"/>
    <x v="5"/>
    <s v="XR6339"/>
    <s v="78907355"/>
    <s v="PAINE"/>
    <x v="3270"/>
    <x v="1"/>
    <x v="1"/>
    <x v="13"/>
    <x v="1"/>
    <n v="5"/>
    <n v="90000"/>
    <n v="0"/>
    <n v="90000"/>
    <n v="18.090052280251086"/>
    <n v="10000"/>
    <n v="50"/>
    <x v="4208"/>
    <x v="4"/>
    <x v="3"/>
    <x v="1"/>
  </r>
  <r>
    <x v="351"/>
    <s v="ZPEP"/>
    <x v="7"/>
    <s v="RX2274"/>
    <s v="100822326"/>
    <s v="SAN CARLOS"/>
    <x v="3271"/>
    <x v="0"/>
    <x v="0"/>
    <x v="32"/>
    <x v="5"/>
    <n v="0"/>
    <n v="350000"/>
    <n v="0"/>
    <n v="350000"/>
    <n v="34.888357256778306"/>
    <n v="20000"/>
    <n v="50"/>
    <x v="4209"/>
    <x v="4"/>
    <x v="3"/>
    <x v="0"/>
  </r>
  <r>
    <x v="351"/>
    <s v="ZPEP"/>
    <x v="8"/>
    <s v="KKPF51"/>
    <s v="95707734"/>
    <s v="COQUIMBO"/>
    <x v="3272"/>
    <x v="8"/>
    <x v="0"/>
    <x v="42"/>
    <x v="8"/>
    <n v="0"/>
    <n v="650000"/>
    <n v="0"/>
    <n v="650000"/>
    <n v="50.304224471379989"/>
    <n v="20000"/>
    <n v="19"/>
    <x v="4210"/>
    <x v="4"/>
    <x v="3"/>
    <x v="0"/>
  </r>
  <r>
    <x v="351"/>
    <s v="ZTAN"/>
    <x v="6"/>
    <s v="BYZH29"/>
    <s v="122975819"/>
    <s v="TALCA"/>
    <x v="3273"/>
    <x v="0"/>
    <x v="0"/>
    <x v="12"/>
    <x v="3"/>
    <n v="0"/>
    <n v="330000"/>
    <n v="0"/>
    <n v="330000"/>
    <n v="33.376486770774342"/>
    <n v="20000"/>
    <n v="49"/>
    <x v="4211"/>
    <x v="4"/>
    <x v="3"/>
    <x v="0"/>
  </r>
  <r>
    <x v="351"/>
    <s v="ZTAN"/>
    <x v="6"/>
    <s v="CKYB66"/>
    <s v="115812335"/>
    <s v="TEMUCO"/>
    <x v="3274"/>
    <x v="0"/>
    <x v="0"/>
    <x v="14"/>
    <x v="4"/>
    <n v="0"/>
    <n v="665000"/>
    <n v="0"/>
    <n v="665000"/>
    <n v="68.150607718953069"/>
    <n v="20000"/>
    <n v="49"/>
    <x v="4212"/>
    <x v="4"/>
    <x v="3"/>
    <x v="0"/>
  </r>
  <r>
    <x v="351"/>
    <s v="ZTAN"/>
    <x v="6"/>
    <s v="DCRX92"/>
    <s v="78778555"/>
    <s v="CALAMA"/>
    <x v="3275"/>
    <x v="0"/>
    <x v="0"/>
    <x v="37"/>
    <x v="7"/>
    <n v="0"/>
    <n v="1600000"/>
    <n v="0"/>
    <n v="1600000"/>
    <n v="164.21709499958939"/>
    <n v="20000"/>
    <n v="49"/>
    <x v="4213"/>
    <x v="4"/>
    <x v="3"/>
    <x v="0"/>
  </r>
  <r>
    <x v="351"/>
    <s v="ZTAN"/>
    <x v="6"/>
    <s v="DYZH29"/>
    <s v="122975819"/>
    <s v="LINARES"/>
    <x v="3276"/>
    <x v="0"/>
    <x v="0"/>
    <x v="59"/>
    <x v="3"/>
    <n v="0"/>
    <n v="350000"/>
    <n v="0"/>
    <n v="350000"/>
    <n v="62.133854074205573"/>
    <n v="20000"/>
    <n v="28"/>
    <x v="4214"/>
    <x v="4"/>
    <x v="3"/>
    <x v="0"/>
  </r>
  <r>
    <x v="351"/>
    <s v="ZTAN"/>
    <x v="7"/>
    <s v="RX2274"/>
    <s v="100822326"/>
    <s v="CHILLAN"/>
    <x v="359"/>
    <x v="0"/>
    <x v="0"/>
    <x v="21"/>
    <x v="5"/>
    <n v="0"/>
    <n v="400000"/>
    <n v="0"/>
    <n v="400000"/>
    <n v="88.841506751954526"/>
    <n v="20000"/>
    <n v="23"/>
    <x v="4215"/>
    <x v="4"/>
    <x v="3"/>
    <x v="0"/>
  </r>
  <r>
    <x v="351"/>
    <s v="ZTAN"/>
    <x v="8"/>
    <s v="DJLF85"/>
    <s v="53173292"/>
    <s v="EL BOSQUE"/>
    <x v="3277"/>
    <x v="4"/>
    <x v="1"/>
    <x v="25"/>
    <x v="1"/>
    <n v="3"/>
    <n v="73040"/>
    <n v="0"/>
    <n v="73040"/>
    <n v="11.000000000000005"/>
    <n v="5000"/>
    <n v="100"/>
    <x v="4216"/>
    <x v="4"/>
    <x v="3"/>
    <x v="1"/>
  </r>
  <r>
    <x v="351"/>
    <s v="ZTAN"/>
    <x v="8"/>
    <s v="DRFV76"/>
    <s v="113693568"/>
    <s v="PUERTO MONTT"/>
    <x v="3278"/>
    <x v="0"/>
    <x v="0"/>
    <x v="53"/>
    <x v="10"/>
    <n v="0"/>
    <n v="1100000"/>
    <n v="0"/>
    <n v="1100000"/>
    <n v="64.924333640248364"/>
    <n v="20000"/>
    <n v="85"/>
    <x v="4217"/>
    <x v="4"/>
    <x v="3"/>
    <x v="0"/>
  </r>
  <r>
    <x v="351"/>
    <s v="ZTAN"/>
    <x v="8"/>
    <s v="SV2718"/>
    <s v="99626232"/>
    <s v="LA REINA"/>
    <x v="3279"/>
    <x v="1"/>
    <x v="1"/>
    <x v="11"/>
    <x v="1"/>
    <n v="3"/>
    <n v="55000"/>
    <n v="0"/>
    <n v="55000"/>
    <n v="11.944940340452519"/>
    <n v="5000"/>
    <n v="92"/>
    <x v="4218"/>
    <x v="4"/>
    <x v="3"/>
    <x v="1"/>
  </r>
  <r>
    <x v="351"/>
    <s v="ZTAN"/>
    <x v="8"/>
    <s v="TP3884"/>
    <s v="154837728"/>
    <s v="PUDAHUEL"/>
    <x v="3280"/>
    <x v="1"/>
    <x v="1"/>
    <x v="10"/>
    <x v="1"/>
    <n v="1"/>
    <n v="88697"/>
    <n v="0"/>
    <n v="88697"/>
    <n v="10.999950393134407"/>
    <n v="5000"/>
    <n v="100"/>
    <x v="4219"/>
    <x v="4"/>
    <x v="3"/>
    <x v="1"/>
  </r>
  <r>
    <x v="352"/>
    <s v="ZPEP"/>
    <x v="5"/>
    <s v="HLBX77"/>
    <s v="16093509K"/>
    <s v="PAINE"/>
    <x v="3281"/>
    <x v="1"/>
    <x v="1"/>
    <x v="13"/>
    <x v="1"/>
    <n v="5"/>
    <n v="90000"/>
    <n v="0"/>
    <n v="90000"/>
    <n v="9.9958461705913315"/>
    <n v="10000"/>
    <n v="90"/>
    <x v="4220"/>
    <x v="4"/>
    <x v="3"/>
    <x v="1"/>
  </r>
  <r>
    <x v="352"/>
    <s v="ZPEP"/>
    <x v="2"/>
    <s v="CJXX69"/>
    <s v="167832741"/>
    <s v="PUCON"/>
    <x v="3282"/>
    <x v="0"/>
    <x v="0"/>
    <x v="48"/>
    <x v="4"/>
    <n v="0"/>
    <n v="665000"/>
    <n v="0"/>
    <n v="665000"/>
    <n v="29.780004137853194"/>
    <n v="20000"/>
    <n v="100"/>
    <x v="4221"/>
    <x v="4"/>
    <x v="3"/>
    <x v="0"/>
  </r>
  <r>
    <x v="352"/>
    <s v="ZPEP"/>
    <x v="89"/>
    <s v="WC2233"/>
    <s v="53173292"/>
    <s v="PADRE HURTADO"/>
    <x v="3283"/>
    <x v="4"/>
    <x v="1"/>
    <x v="26"/>
    <x v="1"/>
    <n v="5"/>
    <n v="70000"/>
    <n v="0"/>
    <n v="70000"/>
    <n v="6.9620775635115528"/>
    <n v="10000"/>
    <n v="100"/>
    <x v="4222"/>
    <x v="4"/>
    <x v="3"/>
    <x v="1"/>
  </r>
  <r>
    <x v="352"/>
    <s v="ZTAN"/>
    <x v="47"/>
    <s v="DJLF85"/>
    <s v="53173292"/>
    <s v="SAN JOAQUIN"/>
    <x v="3284"/>
    <x v="4"/>
    <x v="1"/>
    <x v="67"/>
    <x v="1"/>
    <n v="3"/>
    <n v="55000"/>
    <n v="0"/>
    <n v="55000"/>
    <n v="15.600181529385065"/>
    <n v="5000"/>
    <n v="71"/>
    <x v="4223"/>
    <x v="4"/>
    <x v="3"/>
    <x v="1"/>
  </r>
  <r>
    <x v="352"/>
    <s v="ZTAN"/>
    <x v="10"/>
    <s v="RK5135"/>
    <s v="138841065"/>
    <s v="QUILICURA"/>
    <x v="3285"/>
    <x v="3"/>
    <x v="1"/>
    <x v="8"/>
    <x v="1"/>
    <n v="1"/>
    <n v="309804"/>
    <n v="0"/>
    <n v="309804"/>
    <n v="11"/>
    <n v="5000"/>
    <n v="100"/>
    <x v="4224"/>
    <x v="4"/>
    <x v="3"/>
    <x v="1"/>
  </r>
  <r>
    <x v="352"/>
    <s v="ZTAN"/>
    <x v="41"/>
    <s v="RK5135"/>
    <s v="138841065"/>
    <s v="LAS CABRAS"/>
    <x v="315"/>
    <x v="3"/>
    <x v="1"/>
    <x v="61"/>
    <x v="6"/>
    <n v="0"/>
    <n v="180000"/>
    <n v="0"/>
    <n v="180000"/>
    <n v="18.93939393939392"/>
    <n v="20000"/>
    <n v="48"/>
    <x v="4225"/>
    <x v="4"/>
    <x v="3"/>
    <x v="0"/>
  </r>
  <r>
    <x v="352"/>
    <s v="ZTAN"/>
    <x v="8"/>
    <s v="BWPL69"/>
    <s v="78551976"/>
    <s v="OSORNO"/>
    <x v="964"/>
    <x v="5"/>
    <x v="0"/>
    <x v="64"/>
    <x v="10"/>
    <n v="0"/>
    <n v="950000"/>
    <n v="0"/>
    <n v="950000"/>
    <n v="76.302769388935303"/>
    <n v="20000"/>
    <n v="62"/>
    <x v="4226"/>
    <x v="4"/>
    <x v="3"/>
    <x v="0"/>
  </r>
  <r>
    <x v="352"/>
    <s v="ZTAN"/>
    <x v="8"/>
    <s v="SV2718"/>
    <s v="78907355"/>
    <s v="ÑUÑOA"/>
    <x v="3286"/>
    <x v="1"/>
    <x v="1"/>
    <x v="15"/>
    <x v="1"/>
    <n v="4"/>
    <n v="55000"/>
    <n v="0"/>
    <n v="55000"/>
    <n v="13.060410334346505"/>
    <n v="5000"/>
    <n v="84"/>
    <x v="4227"/>
    <x v="4"/>
    <x v="3"/>
    <x v="1"/>
  </r>
  <r>
    <x v="352"/>
    <s v="ZTAN"/>
    <x v="8"/>
    <s v="TP3884"/>
    <s v="154837728"/>
    <s v="PUDAHUEL"/>
    <x v="3287"/>
    <x v="1"/>
    <x v="1"/>
    <x v="10"/>
    <x v="1"/>
    <n v="1"/>
    <n v="55000"/>
    <n v="0"/>
    <n v="55000"/>
    <n v="19.903450172617195"/>
    <n v="5000"/>
    <n v="55"/>
    <x v="4228"/>
    <x v="4"/>
    <x v="3"/>
    <x v="1"/>
  </r>
  <r>
    <x v="352"/>
    <s v="ZTAN"/>
    <x v="8"/>
    <s v="XR6339"/>
    <s v="78907355"/>
    <s v="LAS CONDES"/>
    <x v="3288"/>
    <x v="1"/>
    <x v="1"/>
    <x v="3"/>
    <x v="1"/>
    <n v="4"/>
    <n v="55000"/>
    <n v="0"/>
    <n v="55000"/>
    <n v="15.377733042554377"/>
    <n v="5000"/>
    <n v="72"/>
    <x v="4229"/>
    <x v="4"/>
    <x v="3"/>
    <x v="1"/>
  </r>
  <r>
    <x v="353"/>
    <s v="ZTAN"/>
    <x v="89"/>
    <s v="HLBX77"/>
    <s v="16093509K"/>
    <s v="PADRE HURTADO"/>
    <x v="3289"/>
    <x v="1"/>
    <x v="1"/>
    <x v="26"/>
    <x v="1"/>
    <n v="5"/>
    <n v="70000"/>
    <n v="0"/>
    <n v="70000"/>
    <n v="11.814345991561181"/>
    <n v="10000"/>
    <n v="59"/>
    <x v="4230"/>
    <x v="5"/>
    <x v="3"/>
    <x v="1"/>
  </r>
  <r>
    <x v="353"/>
    <s v="ZTAN"/>
    <x v="7"/>
    <s v="HLBX77"/>
    <s v="16093509K"/>
    <s v="RENCA"/>
    <x v="2472"/>
    <x v="1"/>
    <x v="1"/>
    <x v="7"/>
    <x v="1"/>
    <n v="1"/>
    <n v="55000"/>
    <n v="0"/>
    <n v="55000"/>
    <n v="11.574074074074074"/>
    <n v="5000"/>
    <n v="95"/>
    <x v="4231"/>
    <x v="5"/>
    <x v="3"/>
    <x v="1"/>
  </r>
  <r>
    <x v="353"/>
    <s v="ZTAN"/>
    <x v="7"/>
    <s v="WG4022"/>
    <s v="154837728"/>
    <s v="RENCA"/>
    <x v="3290"/>
    <x v="1"/>
    <x v="0"/>
    <x v="7"/>
    <x v="1"/>
    <n v="1"/>
    <n v="218387"/>
    <n v="0"/>
    <n v="218387"/>
    <n v="10.999979852317486"/>
    <n v="5000"/>
    <n v="100"/>
    <x v="4232"/>
    <x v="5"/>
    <x v="3"/>
    <x v="1"/>
  </r>
  <r>
    <x v="353"/>
    <s v="ZTAN"/>
    <x v="8"/>
    <s v="DJLF85"/>
    <s v="53173292"/>
    <s v="QUILIN"/>
    <x v="2388"/>
    <x v="4"/>
    <x v="1"/>
    <x v="34"/>
    <x v="1"/>
    <n v="4"/>
    <n v="55000"/>
    <n v="0"/>
    <n v="55000"/>
    <n v="13.917004048582996"/>
    <n v="5000"/>
    <n v="79"/>
    <x v="4233"/>
    <x v="5"/>
    <x v="3"/>
    <x v="1"/>
  </r>
  <r>
    <x v="353"/>
    <s v="ZTAN"/>
    <x v="8"/>
    <s v="TP3884"/>
    <s v="154837728"/>
    <s v="PUDAHUEL"/>
    <x v="3291"/>
    <x v="1"/>
    <x v="1"/>
    <x v="10"/>
    <x v="1"/>
    <n v="1"/>
    <n v="57713"/>
    <n v="0"/>
    <n v="57713"/>
    <n v="7.6975298762270592"/>
    <n v="5000"/>
    <n v="100"/>
    <x v="4234"/>
    <x v="5"/>
    <x v="3"/>
    <x v="1"/>
  </r>
  <r>
    <x v="354"/>
    <s v="ZPEP"/>
    <x v="2"/>
    <s v="CKYB66"/>
    <s v="115812335"/>
    <s v="PUCON"/>
    <x v="3292"/>
    <x v="0"/>
    <x v="0"/>
    <x v="48"/>
    <x v="4"/>
    <n v="0"/>
    <n v="800000"/>
    <n v="0"/>
    <n v="800000"/>
    <n v="71.287142829137181"/>
    <n v="20000"/>
    <n v="85"/>
    <x v="4235"/>
    <x v="5"/>
    <x v="3"/>
    <x v="0"/>
  </r>
  <r>
    <x v="354"/>
    <s v="ZTAN"/>
    <x v="63"/>
    <s v="RH1133"/>
    <s v="65941082"/>
    <s v="MAIPU"/>
    <x v="3293"/>
    <x v="0"/>
    <x v="0"/>
    <x v="2"/>
    <x v="1"/>
    <n v="2"/>
    <n v="154825"/>
    <n v="0"/>
    <n v="154825"/>
    <n v="11"/>
    <n v="5000"/>
    <n v="100"/>
    <x v="4236"/>
    <x v="5"/>
    <x v="3"/>
    <x v="1"/>
  </r>
  <r>
    <x v="354"/>
    <s v="ZTAN"/>
    <x v="6"/>
    <s v="SV2718"/>
    <s v="99626232"/>
    <s v="PUENTE ALTO"/>
    <x v="3294"/>
    <x v="1"/>
    <x v="1"/>
    <x v="30"/>
    <x v="1"/>
    <n v="4"/>
    <n v="60377"/>
    <n v="0"/>
    <n v="60377"/>
    <n v="11.000036437837046"/>
    <n v="5000"/>
    <n v="100"/>
    <x v="4237"/>
    <x v="5"/>
    <x v="3"/>
    <x v="1"/>
  </r>
  <r>
    <x v="354"/>
    <s v="ZTAN"/>
    <x v="6"/>
    <s v="TP3884"/>
    <s v="103018366"/>
    <s v="LOS ANDES"/>
    <x v="3295"/>
    <x v="1"/>
    <x v="1"/>
    <x v="38"/>
    <x v="2"/>
    <n v="0"/>
    <n v="180000"/>
    <n v="0"/>
    <n v="180000"/>
    <n v="32.353152634984539"/>
    <n v="20000"/>
    <n v="28"/>
    <x v="4238"/>
    <x v="5"/>
    <x v="3"/>
    <x v="0"/>
  </r>
  <r>
    <x v="354"/>
    <s v="ZTAN"/>
    <x v="7"/>
    <s v="DJLF85"/>
    <s v="53173292"/>
    <s v="RENCA"/>
    <x v="1219"/>
    <x v="4"/>
    <x v="1"/>
    <x v="7"/>
    <x v="1"/>
    <n v="1"/>
    <n v="55000"/>
    <n v="0"/>
    <n v="55000"/>
    <n v="20.014556040756915"/>
    <n v="5000"/>
    <n v="55"/>
    <x v="4239"/>
    <x v="5"/>
    <x v="3"/>
    <x v="1"/>
  </r>
  <r>
    <x v="354"/>
    <s v="ZTAN"/>
    <x v="7"/>
    <s v="HLBX77"/>
    <s v="16093509K"/>
    <s v="RENCA"/>
    <x v="1219"/>
    <x v="1"/>
    <x v="1"/>
    <x v="7"/>
    <x v="1"/>
    <n v="1"/>
    <n v="55000"/>
    <n v="0"/>
    <n v="55000"/>
    <n v="20.014556040756915"/>
    <n v="5000"/>
    <n v="55"/>
    <x v="4240"/>
    <x v="5"/>
    <x v="3"/>
    <x v="1"/>
  </r>
  <r>
    <x v="354"/>
    <s v="ZTAN"/>
    <x v="7"/>
    <s v="WG4022"/>
    <s v="154837728"/>
    <s v="RENCA"/>
    <x v="419"/>
    <x v="1"/>
    <x v="0"/>
    <x v="7"/>
    <x v="1"/>
    <n v="1"/>
    <n v="90684"/>
    <n v="0"/>
    <n v="90684"/>
    <n v="10.999999999999995"/>
    <n v="5000"/>
    <n v="100"/>
    <x v="4241"/>
    <x v="5"/>
    <x v="3"/>
    <x v="1"/>
  </r>
  <r>
    <x v="354"/>
    <s v="ZTAN"/>
    <x v="8"/>
    <s v="KKPF51"/>
    <s v="95707734"/>
    <s v="CORONEL"/>
    <x v="3296"/>
    <x v="8"/>
    <x v="0"/>
    <x v="16"/>
    <x v="0"/>
    <n v="0"/>
    <n v="480000"/>
    <n v="0"/>
    <n v="480000"/>
    <n v="25.541153183066214"/>
    <n v="20000"/>
    <n v="94"/>
    <x v="4242"/>
    <x v="5"/>
    <x v="3"/>
    <x v="0"/>
  </r>
  <r>
    <x v="354"/>
    <s v="ZTAN"/>
    <x v="8"/>
    <s v="SGYC12"/>
    <s v="162559923"/>
    <s v="TALCA"/>
    <x v="3297"/>
    <x v="0"/>
    <x v="0"/>
    <x v="12"/>
    <x v="3"/>
    <n v="0"/>
    <n v="330000"/>
    <n v="0"/>
    <n v="330000"/>
    <n v="37.535829655580322"/>
    <n v="20000"/>
    <n v="70"/>
    <x v="4243"/>
    <x v="5"/>
    <x v="3"/>
    <x v="0"/>
  </r>
  <r>
    <x v="355"/>
    <s v="ZTAN"/>
    <x v="2"/>
    <s v="DJLF85"/>
    <s v="53173292"/>
    <s v="HUECHURABA"/>
    <x v="3298"/>
    <x v="4"/>
    <x v="1"/>
    <x v="24"/>
    <x v="1"/>
    <n v="1"/>
    <n v="75919"/>
    <n v="0"/>
    <n v="75919"/>
    <n v="11.000043467551469"/>
    <n v="5000"/>
    <n v="100"/>
    <x v="4244"/>
    <x v="5"/>
    <x v="3"/>
    <x v="1"/>
  </r>
  <r>
    <x v="355"/>
    <s v="ZTAN"/>
    <x v="6"/>
    <s v="DJLF85"/>
    <s v="53173292"/>
    <s v="CERRILLOS"/>
    <x v="3299"/>
    <x v="4"/>
    <x v="1"/>
    <x v="9"/>
    <x v="1"/>
    <n v="2"/>
    <n v="62691"/>
    <n v="0"/>
    <n v="62691"/>
    <n v="10.999964907355414"/>
    <n v="5000"/>
    <n v="100"/>
    <x v="4245"/>
    <x v="5"/>
    <x v="3"/>
    <x v="1"/>
  </r>
  <r>
    <x v="355"/>
    <s v="ZTAN"/>
    <x v="6"/>
    <s v="TP3884"/>
    <s v="789078355"/>
    <s v="SAN BERNARDO"/>
    <x v="3300"/>
    <x v="1"/>
    <x v="1"/>
    <x v="4"/>
    <x v="1"/>
    <n v="4"/>
    <n v="57486"/>
    <n v="0"/>
    <n v="57486"/>
    <n v="9.5018181818181819"/>
    <n v="5000"/>
    <n v="100"/>
    <x v="4246"/>
    <x v="5"/>
    <x v="3"/>
    <x v="1"/>
  </r>
  <r>
    <x v="355"/>
    <s v="ZTAN"/>
    <x v="16"/>
    <s v="HLBX77"/>
    <s v="16093509K"/>
    <s v="SAN BERNARDO"/>
    <x v="3301"/>
    <x v="1"/>
    <x v="1"/>
    <x v="4"/>
    <x v="1"/>
    <n v="4"/>
    <n v="113564"/>
    <n v="0"/>
    <n v="113564"/>
    <n v="11"/>
    <n v="5000"/>
    <n v="100"/>
    <x v="4247"/>
    <x v="5"/>
    <x v="3"/>
    <x v="1"/>
  </r>
  <r>
    <x v="355"/>
    <s v="ZTAN"/>
    <x v="7"/>
    <s v="HLBX77"/>
    <s v="16093509K"/>
    <s v="RENCA"/>
    <x v="1219"/>
    <x v="1"/>
    <x v="1"/>
    <x v="7"/>
    <x v="1"/>
    <n v="1"/>
    <n v="55000"/>
    <n v="0"/>
    <n v="55000"/>
    <n v="20.014556040756915"/>
    <n v="5000"/>
    <n v="55"/>
    <x v="4248"/>
    <x v="5"/>
    <x v="3"/>
    <x v="1"/>
  </r>
  <r>
    <x v="355"/>
    <s v="ZTAN"/>
    <x v="7"/>
    <s v="WG4022"/>
    <s v="154837728"/>
    <s v="RENCA"/>
    <x v="419"/>
    <x v="1"/>
    <x v="0"/>
    <x v="7"/>
    <x v="1"/>
    <n v="1"/>
    <n v="90684"/>
    <n v="0"/>
    <n v="90684"/>
    <n v="10.999999999999995"/>
    <n v="5000"/>
    <n v="100"/>
    <x v="4249"/>
    <x v="5"/>
    <x v="3"/>
    <x v="1"/>
  </r>
  <r>
    <x v="355"/>
    <s v="ZTAN"/>
    <x v="7"/>
    <s v="XR6339"/>
    <s v="78907355"/>
    <s v="RENCA"/>
    <x v="1219"/>
    <x v="1"/>
    <x v="1"/>
    <x v="7"/>
    <x v="1"/>
    <n v="1"/>
    <n v="55000"/>
    <n v="0"/>
    <n v="55000"/>
    <n v="20.014556040756915"/>
    <n v="5000"/>
    <n v="55"/>
    <x v="4250"/>
    <x v="5"/>
    <x v="3"/>
    <x v="1"/>
  </r>
  <r>
    <x v="355"/>
    <s v="ZTAN"/>
    <x v="7"/>
    <s v="XR6339"/>
    <s v="78907355"/>
    <s v="SANTIAGO"/>
    <x v="3302"/>
    <x v="1"/>
    <x v="1"/>
    <x v="20"/>
    <x v="1"/>
    <n v="1"/>
    <n v="55000"/>
    <n v="0"/>
    <n v="55000"/>
    <n v="14.619883040935669"/>
    <n v="5000"/>
    <n v="75"/>
    <x v="4251"/>
    <x v="5"/>
    <x v="3"/>
    <x v="1"/>
  </r>
  <r>
    <x v="356"/>
    <s v="ZTAN"/>
    <x v="6"/>
    <s v="SV2718"/>
    <s v="99626232"/>
    <s v="QUILICURA"/>
    <x v="3303"/>
    <x v="1"/>
    <x v="1"/>
    <x v="8"/>
    <x v="1"/>
    <n v="1"/>
    <n v="65723"/>
    <n v="0"/>
    <n v="65723"/>
    <n v="11.000033473923809"/>
    <n v="5000"/>
    <n v="100"/>
    <x v="4252"/>
    <x v="5"/>
    <x v="3"/>
    <x v="1"/>
  </r>
  <r>
    <x v="356"/>
    <s v="ZTAN"/>
    <x v="7"/>
    <s v="DJLF85"/>
    <s v="53173292"/>
    <s v="RENCA"/>
    <x v="1219"/>
    <x v="4"/>
    <x v="1"/>
    <x v="7"/>
    <x v="1"/>
    <n v="1"/>
    <n v="55000"/>
    <n v="0"/>
    <n v="55000"/>
    <n v="20.014556040756915"/>
    <n v="5000"/>
    <n v="55"/>
    <x v="4253"/>
    <x v="5"/>
    <x v="3"/>
    <x v="1"/>
  </r>
  <r>
    <x v="356"/>
    <s v="ZTAN"/>
    <x v="7"/>
    <s v="HLBX77"/>
    <s v="16093509K"/>
    <s v="RENCA"/>
    <x v="1219"/>
    <x v="1"/>
    <x v="1"/>
    <x v="7"/>
    <x v="1"/>
    <n v="1"/>
    <n v="55000"/>
    <n v="0"/>
    <n v="55000"/>
    <n v="20.014556040756915"/>
    <n v="5000"/>
    <n v="55"/>
    <x v="4254"/>
    <x v="5"/>
    <x v="3"/>
    <x v="1"/>
  </r>
  <r>
    <x v="356"/>
    <s v="ZTAN"/>
    <x v="7"/>
    <s v="WG4022"/>
    <s v="154837728"/>
    <s v="RENCA"/>
    <x v="419"/>
    <x v="1"/>
    <x v="0"/>
    <x v="7"/>
    <x v="1"/>
    <n v="1"/>
    <n v="90684"/>
    <n v="0"/>
    <n v="90684"/>
    <n v="10.999999999999995"/>
    <n v="5000"/>
    <n v="100"/>
    <x v="4255"/>
    <x v="5"/>
    <x v="3"/>
    <x v="1"/>
  </r>
  <r>
    <x v="356"/>
    <s v="ZTAN"/>
    <x v="8"/>
    <s v="SV2718"/>
    <s v="78907355"/>
    <s v="LAS CONDES"/>
    <x v="3304"/>
    <x v="1"/>
    <x v="1"/>
    <x v="3"/>
    <x v="1"/>
    <n v="4"/>
    <n v="55000"/>
    <n v="0"/>
    <n v="55000"/>
    <n v="13.31196963902779"/>
    <n v="5000"/>
    <n v="83"/>
    <x v="4256"/>
    <x v="5"/>
    <x v="3"/>
    <x v="1"/>
  </r>
  <r>
    <x v="356"/>
    <s v="ZTAN"/>
    <x v="8"/>
    <s v="TP3884"/>
    <s v="154837728"/>
    <s v="PUDAHUEL"/>
    <x v="3305"/>
    <x v="1"/>
    <x v="1"/>
    <x v="10"/>
    <x v="1"/>
    <n v="1"/>
    <n v="99977"/>
    <n v="0"/>
    <n v="99977"/>
    <n v="10.999973593989992"/>
    <n v="5000"/>
    <n v="100"/>
    <x v="4257"/>
    <x v="5"/>
    <x v="3"/>
    <x v="1"/>
  </r>
  <r>
    <x v="356"/>
    <s v="ZTAN"/>
    <x v="8"/>
    <s v="XR6339"/>
    <s v="78907355"/>
    <s v="CERRILLOS"/>
    <x v="3306"/>
    <x v="1"/>
    <x v="1"/>
    <x v="9"/>
    <x v="1"/>
    <n v="2"/>
    <n v="55361"/>
    <n v="0"/>
    <n v="55361"/>
    <n v="10.999974169602391"/>
    <n v="5000"/>
    <n v="100"/>
    <x v="4258"/>
    <x v="5"/>
    <x v="3"/>
    <x v="1"/>
  </r>
  <r>
    <x v="357"/>
    <s v="ZPEP"/>
    <x v="89"/>
    <s v="DJLF85"/>
    <s v="53173292"/>
    <s v="PADRE HURTADO"/>
    <x v="3307"/>
    <x v="4"/>
    <x v="1"/>
    <x v="26"/>
    <x v="1"/>
    <n v="5"/>
    <n v="70000"/>
    <n v="0"/>
    <n v="70000"/>
    <n v="10.453643318703211"/>
    <n v="10000"/>
    <n v="67"/>
    <x v="4259"/>
    <x v="5"/>
    <x v="3"/>
    <x v="1"/>
  </r>
  <r>
    <x v="357"/>
    <s v="ZTAN"/>
    <x v="16"/>
    <s v="XR6339"/>
    <s v="78907355"/>
    <s v="SAN BERNARDO"/>
    <x v="3308"/>
    <x v="1"/>
    <x v="1"/>
    <x v="4"/>
    <x v="1"/>
    <n v="4"/>
    <n v="122712"/>
    <n v="0"/>
    <n v="122712"/>
    <n v="11.00003585643085"/>
    <n v="5000"/>
    <n v="100"/>
    <x v="4260"/>
    <x v="5"/>
    <x v="3"/>
    <x v="1"/>
  </r>
  <r>
    <x v="357"/>
    <s v="ZTAN"/>
    <x v="7"/>
    <s v="DJLF85"/>
    <s v="53173292"/>
    <s v="RENCA"/>
    <x v="3309"/>
    <x v="4"/>
    <x v="1"/>
    <x v="7"/>
    <x v="1"/>
    <n v="1"/>
    <n v="64920"/>
    <n v="0"/>
    <n v="64920"/>
    <n v="6.7436739103336523"/>
    <n v="5000"/>
    <n v="100"/>
    <x v="4261"/>
    <x v="5"/>
    <x v="3"/>
    <x v="1"/>
  </r>
  <r>
    <x v="357"/>
    <s v="ZTAN"/>
    <x v="7"/>
    <s v="HLBX77"/>
    <s v="16093509K"/>
    <s v="RENCA"/>
    <x v="3310"/>
    <x v="1"/>
    <x v="1"/>
    <x v="7"/>
    <x v="1"/>
    <n v="1"/>
    <n v="79636"/>
    <n v="0"/>
    <n v="79636"/>
    <n v="11.000055251671359"/>
    <n v="5000"/>
    <n v="100"/>
    <x v="4262"/>
    <x v="5"/>
    <x v="3"/>
    <x v="1"/>
  </r>
  <r>
    <x v="357"/>
    <s v="ZTAN"/>
    <x v="7"/>
    <s v="XR6339"/>
    <s v="78907355"/>
    <s v="RENCA"/>
    <x v="471"/>
    <x v="1"/>
    <x v="1"/>
    <x v="7"/>
    <x v="1"/>
    <n v="1"/>
    <n v="55000"/>
    <n v="0"/>
    <n v="55000"/>
    <n v="24.431414356787492"/>
    <n v="5000"/>
    <n v="45"/>
    <x v="4263"/>
    <x v="5"/>
    <x v="3"/>
    <x v="1"/>
  </r>
  <r>
    <x v="357"/>
    <s v="ZTAN"/>
    <x v="68"/>
    <s v="TP3884"/>
    <s v="99626232"/>
    <s v="SAN BERNARDO"/>
    <x v="3311"/>
    <x v="1"/>
    <x v="1"/>
    <x v="4"/>
    <x v="1"/>
    <n v="4"/>
    <n v="58608"/>
    <n v="0"/>
    <n v="58608"/>
    <n v="11"/>
    <n v="5000"/>
    <n v="100"/>
    <x v="4264"/>
    <x v="5"/>
    <x v="3"/>
    <x v="1"/>
  </r>
  <r>
    <x v="357"/>
    <s v="ZTAN"/>
    <x v="8"/>
    <s v="BPKD94"/>
    <s v="125897258"/>
    <s v="TEMUCO"/>
    <x v="3312"/>
    <x v="0"/>
    <x v="0"/>
    <x v="14"/>
    <x v="4"/>
    <n v="0"/>
    <n v="665000"/>
    <n v="0"/>
    <n v="665000"/>
    <n v="68.46727007094853"/>
    <n v="20000"/>
    <n v="49"/>
    <x v="4265"/>
    <x v="5"/>
    <x v="3"/>
    <x v="0"/>
  </r>
  <r>
    <x v="358"/>
    <s v="ZPEP"/>
    <x v="5"/>
    <s v="XR6339"/>
    <s v="78907355"/>
    <s v="PAINE"/>
    <x v="3313"/>
    <x v="1"/>
    <x v="1"/>
    <x v="13"/>
    <x v="1"/>
    <n v="5"/>
    <n v="90000"/>
    <n v="0"/>
    <n v="90000"/>
    <n v="11.226928661600411"/>
    <n v="10000"/>
    <n v="80"/>
    <x v="4266"/>
    <x v="5"/>
    <x v="3"/>
    <x v="1"/>
  </r>
  <r>
    <x v="358"/>
    <s v="ZPEP"/>
    <x v="11"/>
    <s v="DJLF85"/>
    <s v="53173292"/>
    <s v="BUIN"/>
    <x v="3314"/>
    <x v="4"/>
    <x v="1"/>
    <x v="56"/>
    <x v="1"/>
    <n v="5"/>
    <n v="90000"/>
    <n v="0"/>
    <n v="90000"/>
    <n v="7.4372482181592812"/>
    <n v="10000"/>
    <n v="100"/>
    <x v="4267"/>
    <x v="5"/>
    <x v="3"/>
    <x v="1"/>
  </r>
  <r>
    <x v="358"/>
    <s v="ZTAN"/>
    <x v="17"/>
    <s v="WG4022"/>
    <s v="154837728"/>
    <s v="LAMPA"/>
    <x v="2666"/>
    <x v="1"/>
    <x v="0"/>
    <x v="17"/>
    <x v="1"/>
    <n v="5"/>
    <n v="120000"/>
    <n v="0"/>
    <n v="120000"/>
    <n v="15.068751177246181"/>
    <n v="10000"/>
    <n v="80"/>
    <x v="4268"/>
    <x v="5"/>
    <x v="3"/>
    <x v="1"/>
  </r>
  <r>
    <x v="358"/>
    <s v="ZTAN"/>
    <x v="17"/>
    <s v="WG4022"/>
    <s v="154837728"/>
    <s v="LO BARNECHEA"/>
    <x v="3315"/>
    <x v="1"/>
    <x v="0"/>
    <x v="41"/>
    <x v="1"/>
    <n v="4"/>
    <n v="128282"/>
    <n v="0"/>
    <n v="128282"/>
    <n v="11"/>
    <n v="5000"/>
    <n v="100"/>
    <x v="4269"/>
    <x v="5"/>
    <x v="3"/>
    <x v="1"/>
  </r>
  <r>
    <x v="358"/>
    <s v="ZTAN"/>
    <x v="10"/>
    <s v="RH1133"/>
    <s v="65941082"/>
    <s v="SANTIAGO"/>
    <x v="315"/>
    <x v="0"/>
    <x v="0"/>
    <x v="20"/>
    <x v="1"/>
    <n v="1"/>
    <n v="104544"/>
    <n v="0"/>
    <n v="104544"/>
    <n v="10.999999999999989"/>
    <n v="5000"/>
    <n v="100"/>
    <x v="4270"/>
    <x v="5"/>
    <x v="3"/>
    <x v="1"/>
  </r>
  <r>
    <x v="358"/>
    <s v="ZTAN"/>
    <x v="6"/>
    <s v="CKYB66"/>
    <s v="115812335"/>
    <s v="CHIGUAYANTE"/>
    <x v="3316"/>
    <x v="0"/>
    <x v="0"/>
    <x v="82"/>
    <x v="0"/>
    <n v="0"/>
    <n v="380000"/>
    <n v="0"/>
    <n v="380000"/>
    <n v="25.952029721903514"/>
    <n v="20000"/>
    <n v="75"/>
    <x v="4271"/>
    <x v="5"/>
    <x v="3"/>
    <x v="0"/>
  </r>
  <r>
    <x v="358"/>
    <s v="ZTAN"/>
    <x v="7"/>
    <s v="DJLF85"/>
    <s v="53173292"/>
    <s v="RENCA"/>
    <x v="3135"/>
    <x v="4"/>
    <x v="1"/>
    <x v="7"/>
    <x v="1"/>
    <n v="1"/>
    <n v="55000"/>
    <n v="0"/>
    <n v="55000"/>
    <n v="23.600490890210516"/>
    <n v="5000"/>
    <n v="47"/>
    <x v="4272"/>
    <x v="5"/>
    <x v="3"/>
    <x v="1"/>
  </r>
  <r>
    <x v="358"/>
    <s v="ZTAN"/>
    <x v="7"/>
    <s v="HLBX77"/>
    <s v="16093509K"/>
    <s v="RENCA"/>
    <x v="3317"/>
    <x v="1"/>
    <x v="1"/>
    <x v="7"/>
    <x v="1"/>
    <n v="1"/>
    <n v="82546"/>
    <n v="0"/>
    <n v="82546"/>
    <n v="10.99997334825831"/>
    <n v="5000"/>
    <n v="100"/>
    <x v="4273"/>
    <x v="5"/>
    <x v="3"/>
    <x v="1"/>
  </r>
  <r>
    <x v="358"/>
    <s v="ZTAN"/>
    <x v="7"/>
    <s v="HLBX77"/>
    <s v="16093509K"/>
    <s v="SAN MIGUEL"/>
    <x v="1382"/>
    <x v="1"/>
    <x v="1"/>
    <x v="23"/>
    <x v="1"/>
    <n v="2"/>
    <n v="75922"/>
    <n v="0"/>
    <n v="75922"/>
    <n v="11.000000000000002"/>
    <n v="5000"/>
    <n v="100"/>
    <x v="4274"/>
    <x v="5"/>
    <x v="3"/>
    <x v="1"/>
  </r>
  <r>
    <x v="358"/>
    <s v="ZTAN"/>
    <x v="7"/>
    <s v="WG4022"/>
    <s v="154837728"/>
    <s v="RENCA"/>
    <x v="3318"/>
    <x v="1"/>
    <x v="0"/>
    <x v="7"/>
    <x v="1"/>
    <n v="1"/>
    <n v="89723"/>
    <n v="0"/>
    <n v="89723"/>
    <n v="11.00003555398628"/>
    <n v="5000"/>
    <n v="100"/>
    <x v="4275"/>
    <x v="5"/>
    <x v="3"/>
    <x v="1"/>
  </r>
  <r>
    <x v="358"/>
    <s v="ZTAN"/>
    <x v="8"/>
    <s v="SV2718"/>
    <s v="99626232"/>
    <s v="HUECHURABA"/>
    <x v="948"/>
    <x v="1"/>
    <x v="1"/>
    <x v="24"/>
    <x v="1"/>
    <n v="1"/>
    <n v="55000"/>
    <n v="0"/>
    <n v="55000"/>
    <n v="11.454038069057436"/>
    <n v="5000"/>
    <n v="96"/>
    <x v="4276"/>
    <x v="5"/>
    <x v="3"/>
    <x v="1"/>
  </r>
  <r>
    <x v="359"/>
    <s v="ZPEP"/>
    <x v="17"/>
    <s v="WG4022"/>
    <s v="154837728"/>
    <s v="LO BARNECHEA"/>
    <x v="3319"/>
    <x v="1"/>
    <x v="0"/>
    <x v="41"/>
    <x v="1"/>
    <n v="4"/>
    <n v="181087"/>
    <n v="0"/>
    <n v="181087"/>
    <n v="11.000023082876023"/>
    <n v="5000"/>
    <n v="100"/>
    <x v="4277"/>
    <x v="5"/>
    <x v="3"/>
    <x v="1"/>
  </r>
  <r>
    <x v="359"/>
    <s v="ZPEP"/>
    <x v="11"/>
    <s v="DJLF85"/>
    <s v="53173292"/>
    <s v="BUIN"/>
    <x v="3320"/>
    <x v="4"/>
    <x v="1"/>
    <x v="56"/>
    <x v="1"/>
    <n v="5"/>
    <n v="90000"/>
    <n v="0"/>
    <n v="90000"/>
    <n v="8.5422060911624236"/>
    <n v="10000"/>
    <n v="100"/>
    <x v="4278"/>
    <x v="5"/>
    <x v="3"/>
    <x v="1"/>
  </r>
  <r>
    <x v="359"/>
    <s v="ZTAN"/>
    <x v="63"/>
    <s v="KKPF51"/>
    <s v="95707734"/>
    <s v="MAIPU"/>
    <x v="3321"/>
    <x v="8"/>
    <x v="0"/>
    <x v="2"/>
    <x v="1"/>
    <n v="2"/>
    <n v="154649"/>
    <n v="0"/>
    <n v="154649"/>
    <n v="11"/>
    <n v="5000"/>
    <n v="100"/>
    <x v="4279"/>
    <x v="5"/>
    <x v="3"/>
    <x v="1"/>
  </r>
  <r>
    <x v="359"/>
    <s v="ZTAN"/>
    <x v="8"/>
    <s v="BYZH29"/>
    <s v="122975819"/>
    <s v="TEMUCO"/>
    <x v="3322"/>
    <x v="0"/>
    <x v="0"/>
    <x v="14"/>
    <x v="4"/>
    <n v="0"/>
    <n v="665000"/>
    <n v="0"/>
    <n v="665000"/>
    <n v="74.245763525568478"/>
    <n v="20000"/>
    <n v="45"/>
    <x v="4280"/>
    <x v="5"/>
    <x v="3"/>
    <x v="0"/>
  </r>
  <r>
    <x v="359"/>
    <s v="ZTAN"/>
    <x v="8"/>
    <s v="HLBX77"/>
    <s v="16093509K"/>
    <s v="PUDAHUEL"/>
    <x v="3323"/>
    <x v="1"/>
    <x v="1"/>
    <x v="10"/>
    <x v="1"/>
    <n v="1"/>
    <n v="62702"/>
    <n v="0"/>
    <n v="62702"/>
    <n v="10.999964913511807"/>
    <n v="5000"/>
    <n v="100"/>
    <x v="4281"/>
    <x v="5"/>
    <x v="3"/>
    <x v="1"/>
  </r>
  <r>
    <x v="359"/>
    <s v="ZTAN"/>
    <x v="8"/>
    <s v="SV2718"/>
    <s v="99626232"/>
    <s v="LA REINA"/>
    <x v="3324"/>
    <x v="1"/>
    <x v="1"/>
    <x v="11"/>
    <x v="1"/>
    <n v="3"/>
    <n v="59055"/>
    <n v="0"/>
    <n v="59055"/>
    <n v="11.000033528169249"/>
    <n v="5000"/>
    <n v="100"/>
    <x v="4282"/>
    <x v="5"/>
    <x v="3"/>
    <x v="1"/>
  </r>
  <r>
    <x v="359"/>
    <s v="ZTAN"/>
    <x v="8"/>
    <s v="TP3884"/>
    <s v="107643206"/>
    <s v="REÑACA"/>
    <x v="3325"/>
    <x v="1"/>
    <x v="1"/>
    <x v="6"/>
    <x v="2"/>
    <n v="0"/>
    <n v="180000"/>
    <n v="0"/>
    <n v="180000"/>
    <n v="28.032143524574845"/>
    <n v="20000"/>
    <n v="32"/>
    <x v="4283"/>
    <x v="5"/>
    <x v="3"/>
    <x v="0"/>
  </r>
  <r>
    <x v="359"/>
    <s v="ZTAN"/>
    <x v="8"/>
    <s v="XR6339"/>
    <s v="78907355"/>
    <s v="ÑUÑOA"/>
    <x v="3326"/>
    <x v="1"/>
    <x v="1"/>
    <x v="15"/>
    <x v="1"/>
    <n v="4"/>
    <n v="55000"/>
    <n v="0"/>
    <n v="55000"/>
    <n v="14.044226546141669"/>
    <n v="5000"/>
    <n v="78"/>
    <x v="4284"/>
    <x v="5"/>
    <x v="3"/>
    <x v="1"/>
  </r>
  <r>
    <x v="360"/>
    <s v="ZPEP"/>
    <x v="7"/>
    <s v="KKPF51"/>
    <n v="95707734"/>
    <s v="SAN CARLOS"/>
    <x v="3327"/>
    <x v="8"/>
    <x v="0"/>
    <x v="32"/>
    <x v="5"/>
    <n v="0"/>
    <n v="350000"/>
    <n v="0"/>
    <n v="350000"/>
    <n v="21.678538247135336"/>
    <n v="20000"/>
    <n v="85"/>
    <x v="4285"/>
    <x v="5"/>
    <x v="3"/>
    <x v="0"/>
  </r>
  <r>
    <x v="360"/>
    <s v="ZTAN"/>
    <x v="8"/>
    <s v="DRFV76"/>
    <n v="113693568"/>
    <s v="VILLARRICA"/>
    <x v="3328"/>
    <x v="0"/>
    <x v="0"/>
    <x v="88"/>
    <x v="4"/>
    <n v="0"/>
    <n v="800000"/>
    <n v="0"/>
    <n v="800000"/>
    <n v="61.124694376528119"/>
    <n v="20000"/>
    <n v="65"/>
    <x v="4286"/>
    <x v="5"/>
    <x v="3"/>
    <x v="0"/>
  </r>
  <r>
    <x v="360"/>
    <s v="ZTAN"/>
    <x v="8"/>
    <s v="SV2718"/>
    <n v="99626232"/>
    <s v="LAS CONDES"/>
    <x v="3329"/>
    <x v="1"/>
    <x v="1"/>
    <x v="3"/>
    <x v="1"/>
    <n v="4"/>
    <n v="55000"/>
    <n v="0"/>
    <n v="55000"/>
    <n v="17.237596765600017"/>
    <n v="5000"/>
    <n v="64"/>
    <x v="4287"/>
    <x v="5"/>
    <x v="3"/>
    <x v="1"/>
  </r>
  <r>
    <x v="361"/>
    <s v="ZPEP"/>
    <x v="5"/>
    <s v="HLBX77"/>
    <s v="16093509K"/>
    <s v="PAINE"/>
    <x v="3330"/>
    <x v="1"/>
    <x v="1"/>
    <x v="13"/>
    <x v="1"/>
    <n v="5"/>
    <n v="90000"/>
    <n v="0"/>
    <n v="90000"/>
    <n v="9.5647405404716057"/>
    <n v="10000"/>
    <n v="94"/>
    <x v="4288"/>
    <x v="5"/>
    <x v="3"/>
    <x v="1"/>
  </r>
  <r>
    <x v="361"/>
    <s v="ZTAN"/>
    <x v="10"/>
    <s v="RH1133"/>
    <s v="65941082"/>
    <s v="QUILICURA"/>
    <x v="3331"/>
    <x v="0"/>
    <x v="0"/>
    <x v="8"/>
    <x v="1"/>
    <n v="1"/>
    <n v="156834"/>
    <n v="0"/>
    <n v="156834"/>
    <n v="10.450305178709453"/>
    <n v="5000"/>
    <n v="100"/>
    <x v="4289"/>
    <x v="5"/>
    <x v="3"/>
    <x v="1"/>
  </r>
  <r>
    <x v="361"/>
    <s v="ZTAN"/>
    <x v="7"/>
    <s v="DJLF85"/>
    <s v="53173292"/>
    <s v="RENCA"/>
    <x v="3332"/>
    <x v="4"/>
    <x v="1"/>
    <x v="7"/>
    <x v="1"/>
    <n v="1"/>
    <n v="135850"/>
    <n v="0"/>
    <n v="135850"/>
    <n v="11"/>
    <n v="5000"/>
    <n v="100"/>
    <x v="4290"/>
    <x v="5"/>
    <x v="3"/>
    <x v="1"/>
  </r>
  <r>
    <x v="361"/>
    <s v="ZTAN"/>
    <x v="7"/>
    <s v="HLBX77"/>
    <s v="16093509K"/>
    <s v="RENCA"/>
    <x v="1219"/>
    <x v="1"/>
    <x v="1"/>
    <x v="7"/>
    <x v="1"/>
    <n v="1"/>
    <n v="55000"/>
    <n v="0"/>
    <n v="55000"/>
    <n v="20.014556040756915"/>
    <n v="5000"/>
    <n v="55"/>
    <x v="4291"/>
    <x v="5"/>
    <x v="3"/>
    <x v="1"/>
  </r>
  <r>
    <x v="361"/>
    <s v="ZTAN"/>
    <x v="7"/>
    <s v="WG4022"/>
    <s v="154837728"/>
    <s v="RENCA"/>
    <x v="419"/>
    <x v="1"/>
    <x v="0"/>
    <x v="7"/>
    <x v="1"/>
    <n v="1"/>
    <n v="90684"/>
    <n v="0"/>
    <n v="90684"/>
    <n v="10.999999999999995"/>
    <n v="5000"/>
    <n v="100"/>
    <x v="4292"/>
    <x v="5"/>
    <x v="3"/>
    <x v="1"/>
  </r>
  <r>
    <x v="361"/>
    <s v="ZTAN"/>
    <x v="7"/>
    <s v="XR6339"/>
    <s v="78907355"/>
    <s v="RENCA"/>
    <x v="1219"/>
    <x v="1"/>
    <x v="1"/>
    <x v="7"/>
    <x v="1"/>
    <n v="1"/>
    <n v="55000"/>
    <n v="0"/>
    <n v="55000"/>
    <n v="20.014556040756915"/>
    <n v="5000"/>
    <n v="55"/>
    <x v="4293"/>
    <x v="5"/>
    <x v="3"/>
    <x v="1"/>
  </r>
  <r>
    <x v="361"/>
    <s v="ZTAN"/>
    <x v="8"/>
    <s v="CKYB66"/>
    <s v="115812335"/>
    <s v="ANGOL"/>
    <x v="3333"/>
    <x v="0"/>
    <x v="0"/>
    <x v="84"/>
    <x v="4"/>
    <n v="0"/>
    <n v="530000"/>
    <n v="0"/>
    <n v="530000"/>
    <n v="41.361011393788047"/>
    <n v="20000"/>
    <n v="64"/>
    <x v="4294"/>
    <x v="5"/>
    <x v="3"/>
    <x v="0"/>
  </r>
  <r>
    <x v="361"/>
    <s v="ZTAN"/>
    <x v="8"/>
    <s v="SV2718"/>
    <s v="99626232"/>
    <s v="PUDAHUEL"/>
    <x v="3334"/>
    <x v="1"/>
    <x v="1"/>
    <x v="10"/>
    <x v="1"/>
    <n v="1"/>
    <n v="55000"/>
    <n v="0"/>
    <n v="55000"/>
    <n v="14.233917614084849"/>
    <n v="5000"/>
    <n v="77"/>
    <x v="4295"/>
    <x v="5"/>
    <x v="3"/>
    <x v="1"/>
  </r>
  <r>
    <x v="361"/>
    <s v="ZTAN"/>
    <x v="8"/>
    <s v="TP3884"/>
    <s v="107643206"/>
    <s v="MAIPU"/>
    <x v="3335"/>
    <x v="1"/>
    <x v="1"/>
    <x v="2"/>
    <x v="1"/>
    <n v="2"/>
    <n v="75665"/>
    <n v="0"/>
    <n v="75665"/>
    <n v="11.000026168039522"/>
    <n v="5000"/>
    <n v="100"/>
    <x v="4296"/>
    <x v="5"/>
    <x v="3"/>
    <x v="1"/>
  </r>
  <r>
    <x v="362"/>
    <s v="ZPEP"/>
    <x v="11"/>
    <s v="RK5135"/>
    <s v="138841065"/>
    <s v="VILLA ALEMANA"/>
    <x v="3336"/>
    <x v="3"/>
    <x v="1"/>
    <x v="96"/>
    <x v="2"/>
    <n v="0"/>
    <n v="180000"/>
    <n v="0"/>
    <n v="180000"/>
    <n v="20.427989068756073"/>
    <n v="20000"/>
    <n v="44"/>
    <x v="4297"/>
    <x v="5"/>
    <x v="3"/>
    <x v="0"/>
  </r>
  <r>
    <x v="362"/>
    <s v="ZPEP"/>
    <x v="2"/>
    <s v="KKPF51"/>
    <s v="95707734"/>
    <s v="COQUIMBO"/>
    <x v="3337"/>
    <x v="8"/>
    <x v="0"/>
    <x v="42"/>
    <x v="8"/>
    <n v="0"/>
    <n v="600000"/>
    <n v="0"/>
    <n v="600000"/>
    <n v="23.594495561482155"/>
    <n v="20000"/>
    <n v="100"/>
    <x v="4298"/>
    <x v="5"/>
    <x v="3"/>
    <x v="0"/>
  </r>
  <r>
    <x v="362"/>
    <s v="ZTAN"/>
    <x v="10"/>
    <s v="RH1133"/>
    <s v="65941082"/>
    <s v="QUILICURA"/>
    <x v="3338"/>
    <x v="0"/>
    <x v="0"/>
    <x v="8"/>
    <x v="1"/>
    <n v="1"/>
    <n v="157362"/>
    <n v="0"/>
    <n v="157362"/>
    <n v="11.000027961078178"/>
    <n v="5000"/>
    <n v="100"/>
    <x v="4299"/>
    <x v="5"/>
    <x v="3"/>
    <x v="1"/>
  </r>
  <r>
    <x v="362"/>
    <s v="ZTAN"/>
    <x v="7"/>
    <s v="DJLF85"/>
    <s v="53173292"/>
    <s v="RENCA"/>
    <x v="3179"/>
    <x v="4"/>
    <x v="1"/>
    <x v="7"/>
    <x v="1"/>
    <n v="1"/>
    <n v="55000"/>
    <n v="0"/>
    <n v="55000"/>
    <n v="20.011643137825644"/>
    <n v="5000"/>
    <n v="55"/>
    <x v="4300"/>
    <x v="5"/>
    <x v="3"/>
    <x v="1"/>
  </r>
  <r>
    <x v="362"/>
    <s v="ZTAN"/>
    <x v="7"/>
    <s v="HLBX77"/>
    <s v="16093509K"/>
    <s v="RENCA"/>
    <x v="2555"/>
    <x v="1"/>
    <x v="1"/>
    <x v="7"/>
    <x v="1"/>
    <n v="1"/>
    <n v="143000"/>
    <n v="0"/>
    <n v="143000"/>
    <n v="11"/>
    <n v="5000"/>
    <n v="100"/>
    <x v="4301"/>
    <x v="5"/>
    <x v="3"/>
    <x v="1"/>
  </r>
  <r>
    <x v="362"/>
    <s v="ZTAN"/>
    <x v="7"/>
    <s v="WG4022"/>
    <s v="154837728"/>
    <s v="RENCA"/>
    <x v="3339"/>
    <x v="1"/>
    <x v="0"/>
    <x v="7"/>
    <x v="1"/>
    <n v="1"/>
    <n v="57433"/>
    <n v="0"/>
    <n v="57433"/>
    <n v="10.449583348495324"/>
    <n v="5000"/>
    <n v="100"/>
    <x v="4302"/>
    <x v="5"/>
    <x v="3"/>
    <x v="1"/>
  </r>
  <r>
    <x v="362"/>
    <s v="ZTAN"/>
    <x v="7"/>
    <s v="XR6339"/>
    <s v="78907355"/>
    <s v="RENCA"/>
    <x v="1219"/>
    <x v="1"/>
    <x v="1"/>
    <x v="7"/>
    <x v="1"/>
    <n v="1"/>
    <n v="55000"/>
    <n v="0"/>
    <n v="55000"/>
    <n v="20.014556040756915"/>
    <n v="5000"/>
    <n v="55"/>
    <x v="4303"/>
    <x v="5"/>
    <x v="3"/>
    <x v="1"/>
  </r>
  <r>
    <x v="362"/>
    <s v="ZTAN"/>
    <x v="8"/>
    <s v="DRFV76"/>
    <s v="113693568"/>
    <s v="VALDIVIA"/>
    <x v="3340"/>
    <x v="0"/>
    <x v="0"/>
    <x v="77"/>
    <x v="11"/>
    <n v="0"/>
    <n v="800000"/>
    <n v="0"/>
    <n v="800000"/>
    <n v="58.223230777964254"/>
    <n v="20000"/>
    <n v="69"/>
    <x v="4304"/>
    <x v="5"/>
    <x v="3"/>
    <x v="0"/>
  </r>
  <r>
    <x v="362"/>
    <s v="ZTAN"/>
    <x v="8"/>
    <s v="SV2718"/>
    <s v="99626232"/>
    <s v="LA FLORIDA"/>
    <x v="3341"/>
    <x v="1"/>
    <x v="1"/>
    <x v="33"/>
    <x v="1"/>
    <n v="3"/>
    <n v="55000"/>
    <n v="0"/>
    <n v="55000"/>
    <n v="14.227658049879581"/>
    <n v="5000"/>
    <n v="77"/>
    <x v="4305"/>
    <x v="5"/>
    <x v="3"/>
    <x v="1"/>
  </r>
  <r>
    <x v="362"/>
    <s v="ZTAN"/>
    <x v="8"/>
    <s v="TP3884"/>
    <s v="107643206"/>
    <s v="CERRILLOS"/>
    <x v="3342"/>
    <x v="1"/>
    <x v="1"/>
    <x v="9"/>
    <x v="1"/>
    <n v="2"/>
    <n v="55000"/>
    <n v="0"/>
    <n v="55000"/>
    <n v="12.514505449498284"/>
    <n v="5000"/>
    <n v="88"/>
    <x v="4306"/>
    <x v="5"/>
    <x v="3"/>
    <x v="1"/>
  </r>
  <r>
    <x v="363"/>
    <s v="ZPEP"/>
    <x v="5"/>
    <s v="DJLF85"/>
    <s v="53173292"/>
    <s v="COLINA"/>
    <x v="3343"/>
    <x v="4"/>
    <x v="1"/>
    <x v="5"/>
    <x v="1"/>
    <n v="5"/>
    <n v="70000"/>
    <n v="0"/>
    <n v="70000"/>
    <n v="5.1269919279174232"/>
    <n v="10000"/>
    <n v="100"/>
    <x v="4307"/>
    <x v="5"/>
    <x v="3"/>
    <x v="1"/>
  </r>
  <r>
    <x v="363"/>
    <s v="ZPEP"/>
    <x v="5"/>
    <s v="HLBX77"/>
    <s v="16093509K"/>
    <s v="COLINA"/>
    <x v="3344"/>
    <x v="1"/>
    <x v="1"/>
    <x v="5"/>
    <x v="1"/>
    <n v="5"/>
    <n v="70000"/>
    <n v="0"/>
    <n v="70000"/>
    <n v="6.2925873321227588"/>
    <n v="10000"/>
    <n v="100"/>
    <x v="4308"/>
    <x v="5"/>
    <x v="3"/>
    <x v="1"/>
  </r>
  <r>
    <x v="363"/>
    <s v="ZPEP"/>
    <x v="11"/>
    <s v="RK5135"/>
    <s v="138841065"/>
    <s v="VILLA ALEMANA"/>
    <x v="3336"/>
    <x v="3"/>
    <x v="1"/>
    <x v="96"/>
    <x v="2"/>
    <n v="0"/>
    <n v="180000"/>
    <n v="0"/>
    <n v="180000"/>
    <n v="20.427989068756073"/>
    <n v="20000"/>
    <n v="44"/>
    <x v="4309"/>
    <x v="5"/>
    <x v="3"/>
    <x v="0"/>
  </r>
  <r>
    <x v="363"/>
    <s v="ZTAN"/>
    <x v="10"/>
    <s v="RH1133"/>
    <s v="65941082"/>
    <s v="QUILICURA"/>
    <x v="419"/>
    <x v="0"/>
    <x v="0"/>
    <x v="8"/>
    <x v="1"/>
    <n v="1"/>
    <n v="90684"/>
    <n v="0"/>
    <n v="90684"/>
    <n v="10.999999999999995"/>
    <n v="5000"/>
    <n v="100"/>
    <x v="4310"/>
    <x v="5"/>
    <x v="3"/>
    <x v="1"/>
  </r>
  <r>
    <x v="363"/>
    <s v="ZTAN"/>
    <x v="7"/>
    <s v="DJLF85"/>
    <s v="53173292"/>
    <s v="RENCA"/>
    <x v="3219"/>
    <x v="4"/>
    <x v="1"/>
    <x v="7"/>
    <x v="1"/>
    <n v="1"/>
    <n v="87428"/>
    <n v="0"/>
    <n v="87428"/>
    <n v="11"/>
    <n v="5000"/>
    <n v="100"/>
    <x v="4311"/>
    <x v="5"/>
    <x v="3"/>
    <x v="1"/>
  </r>
  <r>
    <x v="363"/>
    <s v="ZTAN"/>
    <x v="7"/>
    <s v="WG4022"/>
    <s v="154837728"/>
    <s v="RENCA"/>
    <x v="3345"/>
    <x v="1"/>
    <x v="0"/>
    <x v="7"/>
    <x v="1"/>
    <n v="1"/>
    <n v="239965"/>
    <n v="0"/>
    <n v="239965"/>
    <n v="11"/>
    <n v="5000"/>
    <n v="100"/>
    <x v="4312"/>
    <x v="5"/>
    <x v="3"/>
    <x v="1"/>
  </r>
  <r>
    <x v="363"/>
    <s v="ZTAN"/>
    <x v="7"/>
    <s v="XR6339"/>
    <s v="78907355"/>
    <s v="RENCA"/>
    <x v="3346"/>
    <x v="1"/>
    <x v="1"/>
    <x v="7"/>
    <x v="1"/>
    <n v="1"/>
    <n v="83853"/>
    <n v="0"/>
    <n v="83853"/>
    <n v="10.999999999999996"/>
    <n v="5000"/>
    <n v="100"/>
    <x v="4313"/>
    <x v="5"/>
    <x v="3"/>
    <x v="1"/>
  </r>
  <r>
    <x v="363"/>
    <s v="ZTAN"/>
    <x v="8"/>
    <s v="TP3884"/>
    <s v="107643206"/>
    <s v="QUILICURA"/>
    <x v="3347"/>
    <x v="1"/>
    <x v="1"/>
    <x v="8"/>
    <x v="1"/>
    <n v="1"/>
    <n v="75788"/>
    <n v="0"/>
    <n v="75788"/>
    <n v="11.000029028418824"/>
    <n v="5000"/>
    <n v="100"/>
    <x v="4314"/>
    <x v="5"/>
    <x v="3"/>
    <x v="1"/>
  </r>
  <r>
    <x v="364"/>
    <s v="ZPEP"/>
    <x v="17"/>
    <s v="KKPF51"/>
    <s v="95707734"/>
    <s v="LO BARNECHEA"/>
    <x v="3348"/>
    <x v="8"/>
    <x v="0"/>
    <x v="41"/>
    <x v="1"/>
    <n v="4"/>
    <n v="55000"/>
    <n v="0"/>
    <n v="55000"/>
    <n v="1.9008147929010444"/>
    <n v="5000"/>
    <n v="100"/>
    <x v="4315"/>
    <x v="5"/>
    <x v="3"/>
    <x v="1"/>
  </r>
  <r>
    <x v="364"/>
    <s v="ZPEP"/>
    <x v="5"/>
    <s v="HLBX77"/>
    <s v="16093509K"/>
    <s v="COLINA"/>
    <x v="3349"/>
    <x v="1"/>
    <x v="1"/>
    <x v="5"/>
    <x v="1"/>
    <n v="5"/>
    <n v="70000"/>
    <n v="0"/>
    <n v="70000"/>
    <n v="4.449416490808777"/>
    <n v="10000"/>
    <n v="100"/>
    <x v="4316"/>
    <x v="5"/>
    <x v="3"/>
    <x v="1"/>
  </r>
  <r>
    <x v="364"/>
    <s v="ZPEP"/>
    <x v="11"/>
    <s v="DJLF85"/>
    <s v="53173292"/>
    <s v="BUIN"/>
    <x v="3350"/>
    <x v="4"/>
    <x v="1"/>
    <x v="56"/>
    <x v="1"/>
    <n v="5"/>
    <n v="90000"/>
    <n v="0"/>
    <n v="90000"/>
    <n v="11.40586109181972"/>
    <n v="10000"/>
    <n v="79"/>
    <x v="4317"/>
    <x v="5"/>
    <x v="3"/>
    <x v="1"/>
  </r>
  <r>
    <x v="364"/>
    <s v="ZPEP"/>
    <x v="11"/>
    <s v="RK5135"/>
    <s v="138841065"/>
    <s v="VILLA ALEMANA"/>
    <x v="3336"/>
    <x v="3"/>
    <x v="1"/>
    <x v="96"/>
    <x v="2"/>
    <n v="0"/>
    <n v="180000"/>
    <n v="0"/>
    <n v="180000"/>
    <n v="20.427989068756073"/>
    <n v="20000"/>
    <n v="44"/>
    <x v="4318"/>
    <x v="5"/>
    <x v="3"/>
    <x v="0"/>
  </r>
  <r>
    <x v="364"/>
    <s v="ZTAN"/>
    <x v="97"/>
    <s v="XR6339"/>
    <s v="78907355"/>
    <s v="PUENTE ALTO"/>
    <x v="3351"/>
    <x v="1"/>
    <x v="1"/>
    <x v="30"/>
    <x v="1"/>
    <n v="4"/>
    <n v="55000"/>
    <n v="0"/>
    <n v="0"/>
    <n v="0"/>
    <n v="0"/>
    <n v="100"/>
    <x v="4319"/>
    <x v="5"/>
    <x v="3"/>
    <x v="1"/>
  </r>
  <r>
    <x v="364"/>
    <s v="ZTAN"/>
    <x v="97"/>
    <s v="XR6339"/>
    <s v="78907355"/>
    <s v="SAN MIGUEL"/>
    <x v="3352"/>
    <x v="1"/>
    <x v="1"/>
    <x v="23"/>
    <x v="1"/>
    <n v="2"/>
    <n v="55000"/>
    <n v="0"/>
    <n v="0"/>
    <n v="0"/>
    <n v="0"/>
    <n v="100"/>
    <x v="4320"/>
    <x v="5"/>
    <x v="3"/>
    <x v="1"/>
  </r>
  <r>
    <x v="364"/>
    <s v="ZTAN"/>
    <x v="7"/>
    <s v="DJLF85"/>
    <s v="53173292"/>
    <s v="RENCA"/>
    <x v="3353"/>
    <x v="4"/>
    <x v="1"/>
    <x v="7"/>
    <x v="1"/>
    <n v="1"/>
    <n v="133023"/>
    <n v="0"/>
    <n v="133023"/>
    <n v="11"/>
    <n v="5000"/>
    <n v="100"/>
    <x v="4321"/>
    <x v="5"/>
    <x v="3"/>
    <x v="1"/>
  </r>
  <r>
    <x v="364"/>
    <s v="ZTAN"/>
    <x v="7"/>
    <s v="SV2718"/>
    <s v="78907355"/>
    <s v="SANTIAGO"/>
    <x v="3354"/>
    <x v="1"/>
    <x v="1"/>
    <x v="20"/>
    <x v="1"/>
    <n v="1"/>
    <n v="57836"/>
    <n v="0"/>
    <n v="57836"/>
    <n v="11.000038038723421"/>
    <n v="5000"/>
    <n v="100"/>
    <x v="4322"/>
    <x v="5"/>
    <x v="3"/>
    <x v="1"/>
  </r>
  <r>
    <x v="364"/>
    <s v="ZTAN"/>
    <x v="7"/>
    <s v="WG4022"/>
    <s v="154837728"/>
    <s v="RENCA"/>
    <x v="3355"/>
    <x v="1"/>
    <x v="0"/>
    <x v="7"/>
    <x v="1"/>
    <n v="1"/>
    <n v="100888"/>
    <n v="0"/>
    <n v="100888"/>
    <n v="11.00004361289197"/>
    <n v="5000"/>
    <n v="100"/>
    <x v="4323"/>
    <x v="5"/>
    <x v="3"/>
    <x v="1"/>
  </r>
  <r>
    <x v="364"/>
    <s v="ZTAN"/>
    <x v="7"/>
    <s v="XR6339"/>
    <s v="78997355"/>
    <s v="RENCA"/>
    <x v="3356"/>
    <x v="1"/>
    <x v="1"/>
    <x v="7"/>
    <x v="1"/>
    <n v="1"/>
    <n v="55000"/>
    <n v="0"/>
    <n v="55000"/>
    <n v="22.238395600841017"/>
    <n v="5000"/>
    <n v="22"/>
    <x v="4324"/>
    <x v="5"/>
    <x v="3"/>
    <x v="1"/>
  </r>
  <r>
    <x v="364"/>
    <s v="ZTAN"/>
    <x v="8"/>
    <s v="SV2718"/>
    <s v="99626232"/>
    <s v="SAN BERNARDO"/>
    <x v="3357"/>
    <x v="1"/>
    <x v="1"/>
    <x v="4"/>
    <x v="1"/>
    <n v="4"/>
    <n v="55000"/>
    <n v="0"/>
    <n v="55000"/>
    <n v="11.591392863917049"/>
    <n v="5000"/>
    <n v="95"/>
    <x v="4325"/>
    <x v="5"/>
    <x v="3"/>
    <x v="1"/>
  </r>
  <r>
    <x v="364"/>
    <s v="ZTAN"/>
    <x v="8"/>
    <s v="TP3884"/>
    <s v="107643206"/>
    <s v="PUDAHUEL"/>
    <x v="3358"/>
    <x v="1"/>
    <x v="1"/>
    <x v="10"/>
    <x v="1"/>
    <n v="1"/>
    <n v="68761"/>
    <n v="0"/>
    <n v="68761"/>
    <n v="11"/>
    <n v="5000"/>
    <n v="100"/>
    <x v="4326"/>
    <x v="5"/>
    <x v="3"/>
    <x v="1"/>
  </r>
  <r>
    <x v="365"/>
    <s v="ZPEP"/>
    <x v="11"/>
    <s v="RK5135"/>
    <s v="138841065"/>
    <s v="VILLA ALEMANA"/>
    <x v="3359"/>
    <x v="3"/>
    <x v="1"/>
    <x v="96"/>
    <x v="2"/>
    <n v="0"/>
    <n v="180000"/>
    <n v="0"/>
    <n v="180000"/>
    <n v="21.58211274495698"/>
    <n v="20000"/>
    <n v="42"/>
    <x v="4327"/>
    <x v="5"/>
    <x v="3"/>
    <x v="0"/>
  </r>
  <r>
    <x v="365"/>
    <s v="ZTAN"/>
    <x v="10"/>
    <s v="KKPF51"/>
    <s v="95707334"/>
    <s v="SANTIAGO"/>
    <x v="3360"/>
    <x v="8"/>
    <x v="0"/>
    <x v="20"/>
    <x v="1"/>
    <n v="1"/>
    <n v="181368"/>
    <n v="0"/>
    <n v="181368"/>
    <n v="11.000000000000012"/>
    <n v="5000"/>
    <n v="100"/>
    <x v="4328"/>
    <x v="5"/>
    <x v="3"/>
    <x v="1"/>
  </r>
  <r>
    <x v="365"/>
    <s v="ZTAN"/>
    <x v="6"/>
    <s v="RK5135"/>
    <s v="138841065"/>
    <s v="QUILLOTA"/>
    <x v="3361"/>
    <x v="3"/>
    <x v="1"/>
    <x v="19"/>
    <x v="2"/>
    <n v="0"/>
    <n v="180000"/>
    <n v="0"/>
    <n v="180000"/>
    <n v="24.731321669309249"/>
    <n v="20000"/>
    <n v="36"/>
    <x v="4329"/>
    <x v="5"/>
    <x v="3"/>
    <x v="0"/>
  </r>
  <r>
    <x v="365"/>
    <s v="ZTAN"/>
    <x v="9"/>
    <s v="DJLF85"/>
    <s v="53173292"/>
    <s v="SAN BERNARDO"/>
    <x v="3362"/>
    <x v="4"/>
    <x v="1"/>
    <x v="4"/>
    <x v="1"/>
    <n v="4"/>
    <n v="62348"/>
    <n v="0"/>
    <n v="62348"/>
    <n v="11.000000000000002"/>
    <n v="5000"/>
    <n v="100"/>
    <x v="4330"/>
    <x v="5"/>
    <x v="3"/>
    <x v="1"/>
  </r>
  <r>
    <x v="365"/>
    <s v="ZTAN"/>
    <x v="9"/>
    <s v="WG4022"/>
    <s v="154837728"/>
    <s v="SAN BERNARDO"/>
    <x v="3363"/>
    <x v="1"/>
    <x v="0"/>
    <x v="4"/>
    <x v="1"/>
    <n v="4"/>
    <n v="161733"/>
    <n v="0"/>
    <n v="161733"/>
    <n v="10.999999999999993"/>
    <n v="5000"/>
    <n v="100"/>
    <x v="4331"/>
    <x v="5"/>
    <x v="3"/>
    <x v="1"/>
  </r>
  <r>
    <x v="365"/>
    <s v="ZTAN"/>
    <x v="7"/>
    <s v="HLBX77"/>
    <s v="16093509K"/>
    <s v="RENCA"/>
    <x v="400"/>
    <x v="1"/>
    <x v="1"/>
    <x v="7"/>
    <x v="1"/>
    <n v="1"/>
    <n v="90798"/>
    <n v="0"/>
    <n v="90798"/>
    <n v="10.999951540996321"/>
    <n v="5000"/>
    <n v="100"/>
    <x v="4332"/>
    <x v="5"/>
    <x v="3"/>
    <x v="1"/>
  </r>
  <r>
    <x v="365"/>
    <s v="ZTAN"/>
    <x v="7"/>
    <s v="WG4022"/>
    <s v="154837728"/>
    <s v="RENCA"/>
    <x v="3364"/>
    <x v="1"/>
    <x v="0"/>
    <x v="7"/>
    <x v="1"/>
    <n v="1"/>
    <n v="225463"/>
    <n v="0"/>
    <n v="225463"/>
    <n v="11.000019515431838"/>
    <n v="5000"/>
    <n v="100"/>
    <x v="4333"/>
    <x v="5"/>
    <x v="3"/>
    <x v="1"/>
  </r>
  <r>
    <x v="365"/>
    <s v="ZTAN"/>
    <x v="7"/>
    <s v="XR6339"/>
    <s v="78907355"/>
    <s v="MELIPILLA"/>
    <x v="3365"/>
    <x v="1"/>
    <x v="1"/>
    <x v="29"/>
    <x v="1"/>
    <n v="5"/>
    <n v="90000"/>
    <n v="0"/>
    <n v="90000"/>
    <n v="27.080700487452599"/>
    <n v="10000"/>
    <n v="33"/>
    <x v="4334"/>
    <x v="5"/>
    <x v="3"/>
    <x v="1"/>
  </r>
  <r>
    <x v="365"/>
    <s v="ZTAN"/>
    <x v="7"/>
    <s v="XR6339"/>
    <s v="78907355"/>
    <s v="RENCA"/>
    <x v="400"/>
    <x v="1"/>
    <x v="1"/>
    <x v="7"/>
    <x v="1"/>
    <n v="1"/>
    <n v="90798"/>
    <n v="0"/>
    <n v="90798"/>
    <n v="10.999951540996321"/>
    <n v="5000"/>
    <n v="100"/>
    <x v="4335"/>
    <x v="5"/>
    <x v="3"/>
    <x v="1"/>
  </r>
  <r>
    <x v="365"/>
    <s v="ZTAN"/>
    <x v="8"/>
    <s v="SV2718"/>
    <s v="99626232"/>
    <s v="LA REINA"/>
    <x v="2377"/>
    <x v="1"/>
    <x v="1"/>
    <x v="11"/>
    <x v="1"/>
    <n v="3"/>
    <n v="55000"/>
    <n v="0"/>
    <n v="55000"/>
    <n v="17.181057103586149"/>
    <n v="5000"/>
    <n v="64"/>
    <x v="4336"/>
    <x v="5"/>
    <x v="3"/>
    <x v="1"/>
  </r>
  <r>
    <x v="366"/>
    <s v="ZPEP"/>
    <x v="9"/>
    <s v="DJLF85"/>
    <s v="53173292"/>
    <s v="SAN BERNARDO"/>
    <x v="3366"/>
    <x v="4"/>
    <x v="1"/>
    <x v="4"/>
    <x v="1"/>
    <n v="4"/>
    <n v="91737"/>
    <n v="0"/>
    <n v="91737"/>
    <n v="10.999956833290168"/>
    <n v="5000"/>
    <n v="100"/>
    <x v="4337"/>
    <x v="5"/>
    <x v="3"/>
    <x v="1"/>
  </r>
  <r>
    <x v="366"/>
    <s v="ZPEP"/>
    <x v="9"/>
    <s v="HLBX77"/>
    <s v="16093509K"/>
    <s v="SAN BERNARDO"/>
    <x v="3367"/>
    <x v="1"/>
    <x v="1"/>
    <x v="4"/>
    <x v="1"/>
    <n v="4"/>
    <n v="113607"/>
    <n v="0"/>
    <n v="113607"/>
    <n v="10.999956428913771"/>
    <n v="5000"/>
    <n v="100"/>
    <x v="4338"/>
    <x v="5"/>
    <x v="3"/>
    <x v="1"/>
  </r>
  <r>
    <x v="366"/>
    <s v="ZTAN"/>
    <x v="10"/>
    <s v="KKPF51"/>
    <s v="95707734"/>
    <s v="TALCAHUANO"/>
    <x v="419"/>
    <x v="8"/>
    <x v="0"/>
    <x v="0"/>
    <x v="0"/>
    <n v="0"/>
    <n v="420000"/>
    <n v="0"/>
    <n v="420000"/>
    <n v="50.946142649199395"/>
    <n v="20000"/>
    <n v="41"/>
    <x v="4339"/>
    <x v="5"/>
    <x v="3"/>
    <x v="0"/>
  </r>
  <r>
    <x v="366"/>
    <s v="ZTAN"/>
    <x v="6"/>
    <s v="SV2718"/>
    <s v="99626232"/>
    <s v="QUILICURA"/>
    <x v="3368"/>
    <x v="1"/>
    <x v="1"/>
    <x v="8"/>
    <x v="1"/>
    <n v="1"/>
    <n v="55000"/>
    <n v="0"/>
    <n v="55000"/>
    <n v="11.939391308123128"/>
    <n v="5000"/>
    <n v="92"/>
    <x v="4340"/>
    <x v="5"/>
    <x v="3"/>
    <x v="1"/>
  </r>
  <r>
    <x v="366"/>
    <s v="ZTAN"/>
    <x v="8"/>
    <s v="TP3884"/>
    <s v="107643206"/>
    <s v="PUDAHUEL"/>
    <x v="1661"/>
    <x v="1"/>
    <x v="1"/>
    <x v="10"/>
    <x v="1"/>
    <n v="1"/>
    <n v="55000"/>
    <n v="0"/>
    <n v="55000"/>
    <n v="11.193877966377661"/>
    <n v="5000"/>
    <n v="99"/>
    <x v="4341"/>
    <x v="5"/>
    <x v="3"/>
    <x v="1"/>
  </r>
  <r>
    <x v="366"/>
    <s v="ZTAN"/>
    <x v="8"/>
    <s v="XR6339"/>
    <s v="78907355"/>
    <s v="HUECHURABA"/>
    <x v="3369"/>
    <x v="1"/>
    <x v="1"/>
    <x v="24"/>
    <x v="1"/>
    <n v="1"/>
    <n v="55000"/>
    <n v="0"/>
    <n v="55000"/>
    <n v="14.009847649274928"/>
    <n v="5000"/>
    <n v="79"/>
    <x v="4342"/>
    <x v="5"/>
    <x v="3"/>
    <x v="1"/>
  </r>
  <r>
    <x v="367"/>
    <s v="ZPEP"/>
    <x v="17"/>
    <s v="RK5135"/>
    <s v="138841065"/>
    <s v="LAMPA"/>
    <x v="3370"/>
    <x v="3"/>
    <x v="1"/>
    <x v="17"/>
    <x v="1"/>
    <n v="5"/>
    <n v="70000"/>
    <n v="0"/>
    <n v="70000"/>
    <n v="8.4947332653754675"/>
    <n v="10000"/>
    <n v="82"/>
    <x v="4343"/>
    <x v="5"/>
    <x v="3"/>
    <x v="1"/>
  </r>
  <r>
    <x v="367"/>
    <s v="ZPEP"/>
    <x v="11"/>
    <s v="DJLF85"/>
    <s v="125108660"/>
    <s v="VILLA ALEMANA"/>
    <x v="3371"/>
    <x v="4"/>
    <x v="1"/>
    <x v="96"/>
    <x v="2"/>
    <n v="0"/>
    <n v="180000"/>
    <n v="0"/>
    <n v="180000"/>
    <n v="27.099291805174161"/>
    <n v="20000"/>
    <n v="33"/>
    <x v="4344"/>
    <x v="5"/>
    <x v="3"/>
    <x v="0"/>
  </r>
  <r>
    <x v="367"/>
    <s v="ZPEP"/>
    <x v="11"/>
    <s v="HLBX77"/>
    <s v="16093509K"/>
    <s v="VILLA ALEMANA"/>
    <x v="3372"/>
    <x v="1"/>
    <x v="1"/>
    <x v="96"/>
    <x v="2"/>
    <n v="0"/>
    <n v="180000"/>
    <n v="0"/>
    <n v="180000"/>
    <n v="19.382662208654363"/>
    <n v="20000"/>
    <n v="46"/>
    <x v="4345"/>
    <x v="5"/>
    <x v="3"/>
    <x v="0"/>
  </r>
  <r>
    <x v="367"/>
    <s v="ZPEP"/>
    <x v="11"/>
    <s v="XR6339"/>
    <s v="78907355"/>
    <s v="BUIN"/>
    <x v="3373"/>
    <x v="1"/>
    <x v="1"/>
    <x v="56"/>
    <x v="1"/>
    <n v="5"/>
    <n v="90000"/>
    <n v="0"/>
    <n v="90000"/>
    <n v="8.6476098967091044"/>
    <n v="10000"/>
    <n v="100"/>
    <x v="4346"/>
    <x v="5"/>
    <x v="3"/>
    <x v="1"/>
  </r>
  <r>
    <x v="367"/>
    <s v="ZTAN"/>
    <x v="17"/>
    <s v="RK5135"/>
    <s v="138841065"/>
    <s v="LAMPA"/>
    <x v="3374"/>
    <x v="3"/>
    <x v="1"/>
    <x v="17"/>
    <x v="1"/>
    <n v="5"/>
    <n v="70000"/>
    <n v="0"/>
    <n v="70000"/>
    <n v="16.269043496449864"/>
    <n v="10000"/>
    <n v="43"/>
    <x v="4347"/>
    <x v="5"/>
    <x v="3"/>
    <x v="1"/>
  </r>
  <r>
    <x v="367"/>
    <s v="ZTAN"/>
    <x v="12"/>
    <s v="TP3884"/>
    <s v="99626232"/>
    <s v="VITACURA"/>
    <x v="3375"/>
    <x v="1"/>
    <x v="1"/>
    <x v="27"/>
    <x v="1"/>
    <n v="4"/>
    <n v="133813"/>
    <n v="0"/>
    <n v="133813"/>
    <n v="11.00000739838929"/>
    <n v="5000"/>
    <n v="100"/>
    <x v="4348"/>
    <x v="5"/>
    <x v="3"/>
    <x v="1"/>
  </r>
  <r>
    <x v="367"/>
    <s v="ZTAN"/>
    <x v="6"/>
    <s v="BWPL69"/>
    <s v="78551976"/>
    <s v="TALCA"/>
    <x v="3376"/>
    <x v="5"/>
    <x v="0"/>
    <x v="12"/>
    <x v="3"/>
    <n v="0"/>
    <n v="330000"/>
    <n v="0"/>
    <n v="330000"/>
    <n v="37.311154678479603"/>
    <n v="20000"/>
    <n v="55"/>
    <x v="4349"/>
    <x v="5"/>
    <x v="3"/>
    <x v="0"/>
  </r>
  <r>
    <x v="367"/>
    <s v="ZTAN"/>
    <x v="6"/>
    <s v="BYZH29"/>
    <s v="122975819"/>
    <s v="OSORNO"/>
    <x v="3377"/>
    <x v="0"/>
    <x v="0"/>
    <x v="64"/>
    <x v="10"/>
    <n v="0"/>
    <n v="950000"/>
    <n v="0"/>
    <n v="950000"/>
    <n v="68.110025652386497"/>
    <n v="20000"/>
    <n v="80"/>
    <x v="4350"/>
    <x v="5"/>
    <x v="3"/>
    <x v="0"/>
  </r>
  <r>
    <x v="367"/>
    <s v="ZTAN"/>
    <x v="7"/>
    <s v="DJLF85"/>
    <s v="53173292"/>
    <s v="RENCA"/>
    <x v="1219"/>
    <x v="4"/>
    <x v="1"/>
    <x v="7"/>
    <x v="1"/>
    <n v="1"/>
    <n v="55000"/>
    <n v="0"/>
    <n v="55000"/>
    <n v="20.014556040756915"/>
    <n v="5000"/>
    <n v="55"/>
    <x v="4351"/>
    <x v="5"/>
    <x v="3"/>
    <x v="1"/>
  </r>
  <r>
    <x v="367"/>
    <s v="ZTAN"/>
    <x v="7"/>
    <s v="WG4022"/>
    <s v="154837728"/>
    <s v="RENCA"/>
    <x v="3378"/>
    <x v="1"/>
    <x v="0"/>
    <x v="7"/>
    <x v="1"/>
    <n v="1"/>
    <n v="109576"/>
    <n v="0"/>
    <n v="109576"/>
    <n v="10.999949806756014"/>
    <n v="5000"/>
    <n v="100"/>
    <x v="4352"/>
    <x v="5"/>
    <x v="3"/>
    <x v="1"/>
  </r>
  <r>
    <x v="367"/>
    <s v="ZTAN"/>
    <x v="7"/>
    <s v="XR6339"/>
    <s v="16093509K"/>
    <s v="RENCA"/>
    <x v="1219"/>
    <x v="1"/>
    <x v="1"/>
    <x v="7"/>
    <x v="1"/>
    <n v="1"/>
    <n v="55000"/>
    <n v="0"/>
    <n v="55000"/>
    <n v="20.014556040756915"/>
    <n v="5000"/>
    <n v="55"/>
    <x v="4353"/>
    <x v="5"/>
    <x v="3"/>
    <x v="1"/>
  </r>
  <r>
    <x v="367"/>
    <s v="ZTAN"/>
    <x v="8"/>
    <s v="KKPF51"/>
    <s v="95707734"/>
    <s v="TALCA"/>
    <x v="3379"/>
    <x v="8"/>
    <x v="0"/>
    <x v="12"/>
    <x v="3"/>
    <n v="0"/>
    <n v="330000"/>
    <n v="0"/>
    <n v="330000"/>
    <n v="28.487396916627748"/>
    <n v="20000"/>
    <n v="58"/>
    <x v="4354"/>
    <x v="5"/>
    <x v="3"/>
    <x v="0"/>
  </r>
  <r>
    <x v="367"/>
    <s v="ZTAN"/>
    <x v="8"/>
    <s v="SV2718"/>
    <s v="99626232"/>
    <s v="ÑUÑOA"/>
    <x v="3380"/>
    <x v="1"/>
    <x v="1"/>
    <x v="15"/>
    <x v="1"/>
    <n v="4"/>
    <n v="73357"/>
    <n v="0"/>
    <n v="73357"/>
    <n v="11.000029990403073"/>
    <n v="5000"/>
    <n v="100"/>
    <x v="4355"/>
    <x v="5"/>
    <x v="3"/>
    <x v="1"/>
  </r>
  <r>
    <x v="368"/>
    <s v="ZPEP"/>
    <x v="17"/>
    <s v="TP3884"/>
    <s v="99626232"/>
    <s v="LAMPA"/>
    <x v="3381"/>
    <x v="1"/>
    <x v="1"/>
    <x v="17"/>
    <x v="1"/>
    <n v="5"/>
    <n v="70000"/>
    <n v="0"/>
    <n v="70000"/>
    <n v="10.193679918450561"/>
    <n v="10000"/>
    <n v="69"/>
    <x v="4356"/>
    <x v="5"/>
    <x v="3"/>
    <x v="1"/>
  </r>
  <r>
    <x v="368"/>
    <s v="ZPEP"/>
    <x v="17"/>
    <s v="WG4022"/>
    <s v="154837728"/>
    <s v="LO BARNECHEA"/>
    <x v="3382"/>
    <x v="1"/>
    <x v="0"/>
    <x v="41"/>
    <x v="1"/>
    <n v="4"/>
    <n v="55000"/>
    <n v="0"/>
    <n v="55000"/>
    <n v="8.6560192383962136"/>
    <n v="5000"/>
    <n v="100"/>
    <x v="4357"/>
    <x v="5"/>
    <x v="3"/>
    <x v="1"/>
  </r>
  <r>
    <x v="368"/>
    <s v="ZPEP"/>
    <x v="11"/>
    <s v="HLBX77"/>
    <s v="16093509K"/>
    <s v="VILLA ALEMANA"/>
    <x v="3383"/>
    <x v="1"/>
    <x v="1"/>
    <x v="96"/>
    <x v="2"/>
    <n v="0"/>
    <n v="180000"/>
    <n v="0"/>
    <n v="180000"/>
    <n v="19.107671730199684"/>
    <n v="20000"/>
    <n v="47"/>
    <x v="4358"/>
    <x v="5"/>
    <x v="3"/>
    <x v="0"/>
  </r>
  <r>
    <x v="368"/>
    <s v="ZPEP"/>
    <x v="11"/>
    <s v="WC2233"/>
    <s v="125108660"/>
    <s v="VILLA ALEMANA"/>
    <x v="3384"/>
    <x v="4"/>
    <x v="1"/>
    <x v="96"/>
    <x v="2"/>
    <n v="0"/>
    <n v="180000"/>
    <n v="0"/>
    <n v="180000"/>
    <n v="17.192042758520568"/>
    <n v="20000"/>
    <n v="52"/>
    <x v="4359"/>
    <x v="5"/>
    <x v="3"/>
    <x v="0"/>
  </r>
  <r>
    <x v="368"/>
    <s v="ZTAN"/>
    <x v="17"/>
    <s v="WG4022"/>
    <s v="154837728"/>
    <s v="LAMPA"/>
    <x v="3385"/>
    <x v="1"/>
    <x v="0"/>
    <x v="17"/>
    <x v="1"/>
    <n v="5"/>
    <n v="120000"/>
    <n v="0"/>
    <n v="120000"/>
    <n v="12.196361418843379"/>
    <n v="10000"/>
    <n v="98"/>
    <x v="4360"/>
    <x v="5"/>
    <x v="3"/>
    <x v="1"/>
  </r>
  <r>
    <x v="368"/>
    <s v="ZTAN"/>
    <x v="7"/>
    <s v="DJLF85"/>
    <s v="53173292"/>
    <s v="RENCA"/>
    <x v="3386"/>
    <x v="4"/>
    <x v="1"/>
    <x v="7"/>
    <x v="1"/>
    <n v="1"/>
    <n v="55000"/>
    <n v="0"/>
    <n v="55000"/>
    <n v="12.577178138577635"/>
    <n v="5000"/>
    <n v="87"/>
    <x v="4361"/>
    <x v="5"/>
    <x v="3"/>
    <x v="1"/>
  </r>
  <r>
    <x v="368"/>
    <s v="ZTAN"/>
    <x v="7"/>
    <s v="RH1133"/>
    <s v="65941082"/>
    <s v="MELIPILLA"/>
    <x v="3387"/>
    <x v="0"/>
    <x v="0"/>
    <x v="29"/>
    <x v="1"/>
    <n v="5"/>
    <n v="120000"/>
    <n v="0"/>
    <n v="120000"/>
    <n v="7.614986293024673"/>
    <n v="10000"/>
    <n v="100"/>
    <x v="4362"/>
    <x v="5"/>
    <x v="3"/>
    <x v="1"/>
  </r>
  <r>
    <x v="368"/>
    <s v="ZTAN"/>
    <x v="7"/>
    <s v="RK5135"/>
    <s v="138841065"/>
    <s v="MELIPILLA"/>
    <x v="385"/>
    <x v="3"/>
    <x v="1"/>
    <x v="29"/>
    <x v="1"/>
    <n v="5"/>
    <n v="90000"/>
    <n v="0"/>
    <n v="90000"/>
    <n v="11.993603411513863"/>
    <n v="10000"/>
    <n v="75"/>
    <x v="4363"/>
    <x v="5"/>
    <x v="3"/>
    <x v="1"/>
  </r>
  <r>
    <x v="368"/>
    <s v="ZTAN"/>
    <x v="7"/>
    <s v="WG4022"/>
    <s v="154837728"/>
    <s v="RENCA"/>
    <x v="3388"/>
    <x v="1"/>
    <x v="0"/>
    <x v="7"/>
    <x v="1"/>
    <n v="1"/>
    <n v="221584"/>
    <n v="0"/>
    <n v="221584"/>
    <n v="10.842826384811117"/>
    <n v="5000"/>
    <n v="100"/>
    <x v="4364"/>
    <x v="5"/>
    <x v="3"/>
    <x v="1"/>
  </r>
  <r>
    <x v="368"/>
    <s v="ZTAN"/>
    <x v="7"/>
    <s v="XR6339"/>
    <s v="78907355"/>
    <s v="RENCA"/>
    <x v="1219"/>
    <x v="1"/>
    <x v="1"/>
    <x v="7"/>
    <x v="1"/>
    <n v="1"/>
    <n v="55000"/>
    <n v="0"/>
    <n v="55000"/>
    <n v="20.014556040756915"/>
    <n v="5000"/>
    <n v="55"/>
    <x v="4365"/>
    <x v="5"/>
    <x v="3"/>
    <x v="1"/>
  </r>
  <r>
    <x v="368"/>
    <s v="ZTAN"/>
    <x v="8"/>
    <s v="HLBX77"/>
    <s v="16093509K"/>
    <s v="PUDAHUEL"/>
    <x v="3389"/>
    <x v="1"/>
    <x v="1"/>
    <x v="10"/>
    <x v="1"/>
    <n v="1"/>
    <n v="98212"/>
    <n v="0"/>
    <n v="98212"/>
    <n v="10.999955199139826"/>
    <n v="5000"/>
    <n v="100"/>
    <x v="4366"/>
    <x v="5"/>
    <x v="3"/>
    <x v="1"/>
  </r>
  <r>
    <x v="368"/>
    <s v="ZTAN"/>
    <x v="8"/>
    <s v="SV2718"/>
    <s v="99626232"/>
    <s v="LAS CONDES"/>
    <x v="3390"/>
    <x v="1"/>
    <x v="1"/>
    <x v="3"/>
    <x v="1"/>
    <n v="4"/>
    <n v="59485"/>
    <n v="0"/>
    <n v="59485"/>
    <n v="11.000014793665356"/>
    <n v="5000"/>
    <n v="100"/>
    <x v="4367"/>
    <x v="5"/>
    <x v="3"/>
    <x v="1"/>
  </r>
  <r>
    <x v="368"/>
    <s v="ZTAN"/>
    <x v="8"/>
    <s v="TP3884"/>
    <s v="1074643206"/>
    <s v="REÑACA"/>
    <x v="3391"/>
    <x v="1"/>
    <x v="1"/>
    <x v="6"/>
    <x v="2"/>
    <n v="0"/>
    <n v="180000"/>
    <n v="0"/>
    <n v="180000"/>
    <n v="23.276203185736343"/>
    <n v="20000"/>
    <n v="45"/>
    <x v="4368"/>
    <x v="5"/>
    <x v="3"/>
    <x v="0"/>
  </r>
  <r>
    <x v="368"/>
    <s v="ZTAN"/>
    <x v="8"/>
    <s v="WC2233"/>
    <s v="125108660"/>
    <s v="ÑUÑOA"/>
    <x v="3392"/>
    <x v="4"/>
    <x v="1"/>
    <x v="15"/>
    <x v="1"/>
    <n v="4"/>
    <n v="55000"/>
    <n v="0"/>
    <n v="55000"/>
    <n v="12.630844061895729"/>
    <n v="5000"/>
    <n v="87"/>
    <x v="4369"/>
    <x v="5"/>
    <x v="3"/>
    <x v="1"/>
  </r>
  <r>
    <x v="369"/>
    <s v="ZPEP"/>
    <x v="95"/>
    <s v="RH1133"/>
    <s v="65941082"/>
    <s v="SANTIAGO"/>
    <x v="3393"/>
    <x v="0"/>
    <x v="0"/>
    <x v="20"/>
    <x v="1"/>
    <n v="1"/>
    <n v="137610"/>
    <n v="0"/>
    <n v="137610"/>
    <n v="11"/>
    <n v="5000"/>
    <n v="100"/>
    <x v="4370"/>
    <x v="5"/>
    <x v="3"/>
    <x v="1"/>
  </r>
  <r>
    <x v="369"/>
    <s v="ZPEP"/>
    <x v="11"/>
    <s v="HLBX77"/>
    <s v="16093509K"/>
    <s v="VILLA ALEMANA"/>
    <x v="3394"/>
    <x v="1"/>
    <x v="1"/>
    <x v="96"/>
    <x v="2"/>
    <n v="0"/>
    <n v="180000"/>
    <n v="0"/>
    <n v="180000"/>
    <n v="24.246734773050569"/>
    <n v="20000"/>
    <n v="37"/>
    <x v="4371"/>
    <x v="5"/>
    <x v="3"/>
    <x v="0"/>
  </r>
  <r>
    <x v="369"/>
    <s v="ZPEP"/>
    <x v="11"/>
    <s v="RK5135"/>
    <s v="138841065"/>
    <s v="VILLA ALEMANA"/>
    <x v="3395"/>
    <x v="3"/>
    <x v="1"/>
    <x v="96"/>
    <x v="2"/>
    <n v="0"/>
    <n v="180000"/>
    <n v="0"/>
    <n v="180000"/>
    <n v="20.502726862672738"/>
    <n v="20000"/>
    <n v="44"/>
    <x v="4372"/>
    <x v="5"/>
    <x v="3"/>
    <x v="0"/>
  </r>
  <r>
    <x v="369"/>
    <s v="ZPEP"/>
    <x v="2"/>
    <s v="KKPF51"/>
    <s v="957077334"/>
    <s v="COQUIMBO"/>
    <x v="3396"/>
    <x v="8"/>
    <x v="0"/>
    <x v="42"/>
    <x v="8"/>
    <n v="0"/>
    <n v="700000"/>
    <n v="0"/>
    <n v="700000"/>
    <n v="37.568240024558897"/>
    <n v="20000"/>
    <n v="93"/>
    <x v="4373"/>
    <x v="5"/>
    <x v="3"/>
    <x v="0"/>
  </r>
  <r>
    <x v="369"/>
    <s v="ZPEP"/>
    <x v="9"/>
    <s v="DJLF85"/>
    <s v="53173292"/>
    <s v="SAN BERNARDO"/>
    <x v="3397"/>
    <x v="4"/>
    <x v="1"/>
    <x v="4"/>
    <x v="1"/>
    <n v="4"/>
    <n v="154489"/>
    <n v="0"/>
    <n v="154489"/>
    <n v="11.000003560125174"/>
    <n v="5000"/>
    <n v="100"/>
    <x v="4374"/>
    <x v="5"/>
    <x v="3"/>
    <x v="1"/>
  </r>
  <r>
    <x v="369"/>
    <s v="ZPEP"/>
    <x v="9"/>
    <s v="WC2233"/>
    <s v="125108660"/>
    <s v="SAN BERNARDO"/>
    <x v="3398"/>
    <x v="4"/>
    <x v="1"/>
    <x v="4"/>
    <x v="1"/>
    <n v="4"/>
    <n v="114977"/>
    <n v="0"/>
    <n v="114977"/>
    <n v="10.999973212098947"/>
    <n v="5000"/>
    <n v="100"/>
    <x v="4375"/>
    <x v="5"/>
    <x v="3"/>
    <x v="1"/>
  </r>
  <r>
    <x v="369"/>
    <s v="ZTAN"/>
    <x v="16"/>
    <s v="SV2718"/>
    <s v="99626232"/>
    <s v="MAIPU"/>
    <x v="1476"/>
    <x v="1"/>
    <x v="1"/>
    <x v="2"/>
    <x v="1"/>
    <n v="2"/>
    <n v="59976"/>
    <n v="0"/>
    <n v="59976"/>
    <n v="10.999926637810873"/>
    <n v="5000"/>
    <n v="100"/>
    <x v="4376"/>
    <x v="5"/>
    <x v="3"/>
    <x v="1"/>
  </r>
  <r>
    <x v="369"/>
    <s v="ZTAN"/>
    <x v="8"/>
    <s v="DRFV76"/>
    <s v="113693568"/>
    <s v="TALCAHUANO"/>
    <x v="3399"/>
    <x v="0"/>
    <x v="0"/>
    <x v="0"/>
    <x v="0"/>
    <n v="0"/>
    <n v="420000"/>
    <n v="0"/>
    <n v="420000"/>
    <n v="29.166828704603937"/>
    <n v="20000"/>
    <n v="72"/>
    <x v="4377"/>
    <x v="5"/>
    <x v="3"/>
    <x v="0"/>
  </r>
  <r>
    <x v="369"/>
    <s v="ZTAN"/>
    <x v="8"/>
    <s v="SV2718"/>
    <s v="78907355"/>
    <s v="SAN MIGUEL"/>
    <x v="1626"/>
    <x v="1"/>
    <x v="1"/>
    <x v="23"/>
    <x v="1"/>
    <n v="2"/>
    <n v="55000"/>
    <n v="0"/>
    <n v="55000"/>
    <n v="14.663538445131705"/>
    <n v="5000"/>
    <n v="75"/>
    <x v="4378"/>
    <x v="5"/>
    <x v="3"/>
    <x v="1"/>
  </r>
  <r>
    <x v="370"/>
    <s v="ZPEP"/>
    <x v="5"/>
    <s v="TP3884"/>
    <s v="107643206"/>
    <s v="LOS ANDES"/>
    <x v="3400"/>
    <x v="1"/>
    <x v="1"/>
    <x v="38"/>
    <x v="2"/>
    <n v="0"/>
    <n v="180000"/>
    <n v="0"/>
    <n v="180000"/>
    <n v="16.76344451532691"/>
    <n v="20000"/>
    <n v="54"/>
    <x v="4379"/>
    <x v="5"/>
    <x v="3"/>
    <x v="0"/>
  </r>
  <r>
    <x v="370"/>
    <s v="ZPEP"/>
    <x v="5"/>
    <s v="WG4022"/>
    <s v="154837728"/>
    <s v="LOS ANDES"/>
    <x v="3401"/>
    <x v="1"/>
    <x v="0"/>
    <x v="38"/>
    <x v="2"/>
    <n v="0"/>
    <n v="230000"/>
    <n v="0"/>
    <n v="230000"/>
    <n v="15.318647856255138"/>
    <n v="20000"/>
    <n v="75"/>
    <x v="4380"/>
    <x v="5"/>
    <x v="3"/>
    <x v="0"/>
  </r>
  <r>
    <x v="370"/>
    <s v="ZPEP"/>
    <x v="11"/>
    <s v="WC2233"/>
    <s v="125108660"/>
    <s v="VILLA ALEMANA"/>
    <x v="3402"/>
    <x v="4"/>
    <x v="1"/>
    <x v="96"/>
    <x v="2"/>
    <n v="0"/>
    <n v="180000"/>
    <n v="0"/>
    <n v="180000"/>
    <n v="17.348461191492316"/>
    <n v="20000"/>
    <n v="52"/>
    <x v="4381"/>
    <x v="5"/>
    <x v="3"/>
    <x v="0"/>
  </r>
  <r>
    <x v="370"/>
    <s v="ZTAN"/>
    <x v="7"/>
    <s v="HLBX77"/>
    <s v="16093509K"/>
    <s v="MELIPILLA"/>
    <x v="448"/>
    <x v="1"/>
    <x v="1"/>
    <x v="29"/>
    <x v="1"/>
    <n v="5"/>
    <n v="90000"/>
    <n v="0"/>
    <n v="90000"/>
    <n v="14.992004264392326"/>
    <n v="10000"/>
    <n v="60"/>
    <x v="4382"/>
    <x v="5"/>
    <x v="3"/>
    <x v="1"/>
  </r>
  <r>
    <x v="370"/>
    <s v="ZTAN"/>
    <x v="7"/>
    <s v="RH1133"/>
    <s v="65941082"/>
    <s v="MELIPILLA"/>
    <x v="3403"/>
    <x v="0"/>
    <x v="0"/>
    <x v="29"/>
    <x v="1"/>
    <n v="5"/>
    <n v="120000"/>
    <n v="0"/>
    <n v="120000"/>
    <n v="9.7337810872633472"/>
    <n v="10000"/>
    <n v="100"/>
    <x v="4383"/>
    <x v="5"/>
    <x v="3"/>
    <x v="1"/>
  </r>
  <r>
    <x v="370"/>
    <s v="ZTAN"/>
    <x v="8"/>
    <s v="BYZH29"/>
    <s v="122975819"/>
    <s v="VILLARRICA"/>
    <x v="419"/>
    <x v="0"/>
    <x v="0"/>
    <x v="88"/>
    <x v="4"/>
    <n v="0"/>
    <n v="800000"/>
    <n v="0"/>
    <n v="800000"/>
    <n v="97.040271712760756"/>
    <n v="20000"/>
    <n v="41"/>
    <x v="4384"/>
    <x v="5"/>
    <x v="3"/>
    <x v="0"/>
  </r>
  <r>
    <x v="370"/>
    <s v="ZTAN"/>
    <x v="8"/>
    <s v="SV2718"/>
    <s v="99626232"/>
    <s v="LAS CONDES"/>
    <x v="3404"/>
    <x v="1"/>
    <x v="1"/>
    <x v="3"/>
    <x v="1"/>
    <n v="4"/>
    <n v="58865"/>
    <n v="0"/>
    <n v="58865"/>
    <n v="10.999925253204768"/>
    <n v="5000"/>
    <n v="100"/>
    <x v="4385"/>
    <x v="5"/>
    <x v="3"/>
    <x v="1"/>
  </r>
  <r>
    <x v="370"/>
    <s v="ZTAN"/>
    <x v="8"/>
    <s v="TP3884"/>
    <s v="107643206"/>
    <s v="PUDAHUEL"/>
    <x v="3405"/>
    <x v="1"/>
    <x v="1"/>
    <x v="10"/>
    <x v="1"/>
    <n v="1"/>
    <n v="97631"/>
    <n v="0"/>
    <n v="97631"/>
    <n v="10.601106899281286"/>
    <n v="5000"/>
    <n v="100"/>
    <x v="4386"/>
    <x v="5"/>
    <x v="3"/>
    <x v="1"/>
  </r>
  <r>
    <x v="371"/>
    <s v="ZPEP"/>
    <x v="5"/>
    <s v="HLBX77"/>
    <s v="16093509K"/>
    <s v="PAINE"/>
    <x v="3406"/>
    <x v="1"/>
    <x v="1"/>
    <x v="13"/>
    <x v="1"/>
    <n v="5"/>
    <n v="90000"/>
    <n v="0"/>
    <n v="90000"/>
    <n v="10.630369074602747"/>
    <n v="10000"/>
    <n v="85"/>
    <x v="4387"/>
    <x v="5"/>
    <x v="3"/>
    <x v="1"/>
  </r>
  <r>
    <x v="371"/>
    <s v="ZPEP"/>
    <x v="11"/>
    <s v="RK5135"/>
    <s v="138841065"/>
    <s v="VILLA ALEMANA"/>
    <x v="3395"/>
    <x v="3"/>
    <x v="1"/>
    <x v="96"/>
    <x v="2"/>
    <n v="0"/>
    <n v="180000"/>
    <n v="0"/>
    <n v="180000"/>
    <n v="20.502726862672738"/>
    <n v="20000"/>
    <n v="44"/>
    <x v="4388"/>
    <x v="5"/>
    <x v="3"/>
    <x v="0"/>
  </r>
  <r>
    <x v="371"/>
    <s v="ZTAN"/>
    <x v="24"/>
    <s v="KKPF51"/>
    <s v="95707734"/>
    <s v="MACHALI"/>
    <x v="3407"/>
    <x v="8"/>
    <x v="0"/>
    <x v="43"/>
    <x v="6"/>
    <n v="0"/>
    <n v="230000"/>
    <n v="0"/>
    <n v="230000"/>
    <n v="16.85055753366451"/>
    <n v="20000"/>
    <n v="68"/>
    <x v="4389"/>
    <x v="5"/>
    <x v="3"/>
    <x v="0"/>
  </r>
  <r>
    <x v="371"/>
    <s v="ZTAN"/>
    <x v="16"/>
    <s v="BWPL69"/>
    <s v="78551976"/>
    <s v="TEMUCO"/>
    <x v="419"/>
    <x v="5"/>
    <x v="0"/>
    <x v="14"/>
    <x v="4"/>
    <n v="0"/>
    <n v="665000"/>
    <n v="0"/>
    <n v="665000"/>
    <n v="80.66472586123237"/>
    <n v="20000"/>
    <n v="41"/>
    <x v="4390"/>
    <x v="5"/>
    <x v="3"/>
    <x v="0"/>
  </r>
  <r>
    <x v="371"/>
    <s v="ZTAN"/>
    <x v="7"/>
    <s v="HLBX77"/>
    <s v="16093509K"/>
    <s v="RENCA"/>
    <x v="1247"/>
    <x v="1"/>
    <x v="1"/>
    <x v="7"/>
    <x v="1"/>
    <n v="1"/>
    <n v="55000"/>
    <n v="0"/>
    <n v="55000"/>
    <n v="11.707109408258834"/>
    <n v="5000"/>
    <n v="93"/>
    <x v="4391"/>
    <x v="5"/>
    <x v="3"/>
    <x v="1"/>
  </r>
  <r>
    <x v="371"/>
    <s v="ZTAN"/>
    <x v="7"/>
    <s v="WG4022"/>
    <s v="81417709"/>
    <s v="RENCA"/>
    <x v="3408"/>
    <x v="1"/>
    <x v="0"/>
    <x v="7"/>
    <x v="1"/>
    <n v="1"/>
    <n v="267375"/>
    <n v="0"/>
    <n v="267375"/>
    <n v="11.000008228150143"/>
    <n v="5000"/>
    <n v="100"/>
    <x v="4392"/>
    <x v="5"/>
    <x v="3"/>
    <x v="1"/>
  </r>
  <r>
    <x v="371"/>
    <s v="ZTAN"/>
    <x v="7"/>
    <s v="XR6339"/>
    <s v="78907355"/>
    <s v="RENCA"/>
    <x v="3409"/>
    <x v="1"/>
    <x v="1"/>
    <x v="7"/>
    <x v="1"/>
    <n v="1"/>
    <n v="60667"/>
    <n v="0"/>
    <n v="60667"/>
    <n v="9.6354944252088561"/>
    <n v="5000"/>
    <n v="100"/>
    <x v="4393"/>
    <x v="5"/>
    <x v="3"/>
    <x v="1"/>
  </r>
  <r>
    <x v="371"/>
    <s v="ZTAN"/>
    <x v="8"/>
    <s v="DJLF85"/>
    <s v="53173292"/>
    <s v="PUENTE ALTO"/>
    <x v="3410"/>
    <x v="4"/>
    <x v="1"/>
    <x v="30"/>
    <x v="1"/>
    <n v="4"/>
    <n v="55000"/>
    <n v="0"/>
    <n v="55000"/>
    <n v="12.996679939033758"/>
    <n v="5000"/>
    <n v="85"/>
    <x v="4394"/>
    <x v="5"/>
    <x v="3"/>
    <x v="1"/>
  </r>
  <r>
    <x v="371"/>
    <s v="ZTAN"/>
    <x v="8"/>
    <s v="SV2718"/>
    <s v="99626232"/>
    <s v="PUDAHUEL"/>
    <x v="3411"/>
    <x v="1"/>
    <x v="1"/>
    <x v="10"/>
    <x v="1"/>
    <n v="1"/>
    <n v="55000"/>
    <n v="0"/>
    <n v="55000"/>
    <n v="18.208182426124438"/>
    <n v="5000"/>
    <n v="60"/>
    <x v="4395"/>
    <x v="5"/>
    <x v="3"/>
    <x v="1"/>
  </r>
  <r>
    <x v="371"/>
    <s v="ZTAN"/>
    <x v="8"/>
    <s v="TP3884"/>
    <s v="107643206"/>
    <s v="REÑACA"/>
    <x v="3412"/>
    <x v="1"/>
    <x v="1"/>
    <x v="6"/>
    <x v="2"/>
    <n v="0"/>
    <n v="180000"/>
    <n v="0"/>
    <n v="180000"/>
    <n v="35.115099492781894"/>
    <n v="20000"/>
    <n v="26"/>
    <x v="4396"/>
    <x v="5"/>
    <x v="3"/>
    <x v="0"/>
  </r>
  <r>
    <x v="371"/>
    <s v="ZTAN"/>
    <x v="8"/>
    <s v="WC2233"/>
    <s v="125108660"/>
    <s v="REÑACA"/>
    <x v="3413"/>
    <x v="4"/>
    <x v="1"/>
    <x v="6"/>
    <x v="2"/>
    <n v="0"/>
    <n v="180000"/>
    <n v="0"/>
    <n v="180000"/>
    <n v="35.115099492781887"/>
    <n v="20000"/>
    <n v="26"/>
    <x v="4397"/>
    <x v="5"/>
    <x v="3"/>
    <x v="0"/>
  </r>
  <r>
    <x v="371"/>
    <s v="ZTAN"/>
    <x v="8"/>
    <s v="XR6339"/>
    <s v="78907355"/>
    <s v="LA REINA"/>
    <x v="3414"/>
    <x v="1"/>
    <x v="1"/>
    <x v="11"/>
    <x v="1"/>
    <n v="3"/>
    <n v="55000"/>
    <n v="0"/>
    <n v="55000"/>
    <n v="15.900181551163898"/>
    <n v="5000"/>
    <n v="69"/>
    <x v="4398"/>
    <x v="5"/>
    <x v="3"/>
    <x v="1"/>
  </r>
  <r>
    <x v="372"/>
    <s v="ZPEP"/>
    <x v="11"/>
    <s v="RK5135"/>
    <s v="138841065"/>
    <s v="VILLA ALEMANA"/>
    <x v="3415"/>
    <x v="3"/>
    <x v="1"/>
    <x v="96"/>
    <x v="2"/>
    <n v="0"/>
    <n v="180000"/>
    <n v="0"/>
    <n v="180000"/>
    <n v="20.81815342979078"/>
    <n v="20000"/>
    <n v="43"/>
    <x v="4399"/>
    <x v="5"/>
    <x v="3"/>
    <x v="0"/>
  </r>
  <r>
    <x v="372"/>
    <s v="ZTAN"/>
    <x v="17"/>
    <s v="XR6339"/>
    <s v="78907355"/>
    <s v="LAMPA"/>
    <x v="3416"/>
    <x v="1"/>
    <x v="1"/>
    <x v="17"/>
    <x v="1"/>
    <n v="5"/>
    <n v="70000"/>
    <n v="0"/>
    <n v="70000"/>
    <n v="9.299730307821072"/>
    <n v="10000"/>
    <n v="100"/>
    <x v="4400"/>
    <x v="5"/>
    <x v="3"/>
    <x v="1"/>
  </r>
  <r>
    <x v="372"/>
    <s v="ZTAN"/>
    <x v="24"/>
    <s v="RH1133"/>
    <s v="65941082"/>
    <s v="MACHALI"/>
    <x v="3417"/>
    <x v="0"/>
    <x v="0"/>
    <x v="43"/>
    <x v="6"/>
    <n v="0"/>
    <n v="230000"/>
    <n v="0"/>
    <n v="230000"/>
    <n v="25.38631346578364"/>
    <n v="20000"/>
    <n v="45"/>
    <x v="4401"/>
    <x v="5"/>
    <x v="3"/>
    <x v="0"/>
  </r>
  <r>
    <x v="372"/>
    <s v="ZTAN"/>
    <x v="16"/>
    <s v="DJLF85"/>
    <s v="53173292"/>
    <s v="SAN BERNARDO"/>
    <x v="3418"/>
    <x v="4"/>
    <x v="1"/>
    <x v="4"/>
    <x v="1"/>
    <n v="4"/>
    <n v="55000"/>
    <n v="0"/>
    <n v="55000"/>
    <n v="17.675793803830821"/>
    <n v="5000"/>
    <n v="62"/>
    <x v="4402"/>
    <x v="5"/>
    <x v="3"/>
    <x v="1"/>
  </r>
  <r>
    <x v="372"/>
    <s v="ZTAN"/>
    <x v="16"/>
    <s v="KKPF51"/>
    <s v="95707334"/>
    <s v="VALDIVIA"/>
    <x v="3419"/>
    <x v="8"/>
    <x v="0"/>
    <x v="77"/>
    <x v="11"/>
    <n v="0"/>
    <n v="800000"/>
    <n v="0"/>
    <n v="800000"/>
    <n v="52.810857912386787"/>
    <n v="20000"/>
    <n v="100"/>
    <x v="4403"/>
    <x v="5"/>
    <x v="3"/>
    <x v="0"/>
  </r>
  <r>
    <x v="372"/>
    <s v="ZTAN"/>
    <x v="7"/>
    <s v="HLBX77"/>
    <s v="16093509K"/>
    <s v="RENCA"/>
    <x v="3420"/>
    <x v="1"/>
    <x v="1"/>
    <x v="7"/>
    <x v="1"/>
    <n v="1"/>
    <n v="55000"/>
    <n v="0"/>
    <n v="55000"/>
    <n v="20.013099483298159"/>
    <n v="5000"/>
    <n v="55"/>
    <x v="4404"/>
    <x v="5"/>
    <x v="3"/>
    <x v="1"/>
  </r>
  <r>
    <x v="372"/>
    <s v="ZTAN"/>
    <x v="7"/>
    <s v="WG4022"/>
    <s v="81417709"/>
    <s v="RENCA"/>
    <x v="419"/>
    <x v="1"/>
    <x v="0"/>
    <x v="7"/>
    <x v="1"/>
    <n v="1"/>
    <n v="90684"/>
    <n v="0"/>
    <n v="90684"/>
    <n v="10.999999999999995"/>
    <n v="5000"/>
    <n v="100"/>
    <x v="4405"/>
    <x v="5"/>
    <x v="3"/>
    <x v="1"/>
  </r>
  <r>
    <x v="372"/>
    <s v="ZTAN"/>
    <x v="8"/>
    <s v="DJLF85"/>
    <s v="53173292"/>
    <s v="ÑUÑOA"/>
    <x v="3421"/>
    <x v="4"/>
    <x v="1"/>
    <x v="15"/>
    <x v="1"/>
    <n v="4"/>
    <n v="56686"/>
    <n v="0"/>
    <n v="56686"/>
    <n v="11.000091204933605"/>
    <n v="5000"/>
    <n v="100"/>
    <x v="4406"/>
    <x v="5"/>
    <x v="3"/>
    <x v="1"/>
  </r>
  <r>
    <x v="372"/>
    <s v="ZTAN"/>
    <x v="8"/>
    <s v="PKYS74"/>
    <s v="6270439K"/>
    <s v="CORONEL"/>
    <x v="3422"/>
    <x v="0"/>
    <x v="0"/>
    <x v="16"/>
    <x v="0"/>
    <n v="0"/>
    <n v="480000"/>
    <n v="0"/>
    <n v="480000"/>
    <n v="37.134744969402519"/>
    <n v="20000"/>
    <n v="65"/>
    <x v="4407"/>
    <x v="5"/>
    <x v="3"/>
    <x v="0"/>
  </r>
  <r>
    <x v="372"/>
    <s v="ZTAN"/>
    <x v="8"/>
    <s v="SV2718"/>
    <s v="99626232"/>
    <s v="CERRILLOS"/>
    <x v="3423"/>
    <x v="1"/>
    <x v="1"/>
    <x v="9"/>
    <x v="1"/>
    <n v="2"/>
    <n v="55000"/>
    <n v="0"/>
    <n v="55000"/>
    <n v="13.69641278497877"/>
    <n v="5000"/>
    <n v="80"/>
    <x v="4408"/>
    <x v="5"/>
    <x v="3"/>
    <x v="1"/>
  </r>
  <r>
    <x v="373"/>
    <s v="ZPEP"/>
    <x v="11"/>
    <s v="RK5135"/>
    <s v="138841065"/>
    <s v="VILLA ALEMANA"/>
    <x v="3424"/>
    <x v="3"/>
    <x v="1"/>
    <x v="96"/>
    <x v="2"/>
    <n v="0"/>
    <n v="180000"/>
    <n v="0"/>
    <n v="180000"/>
    <n v="27.634487840825351"/>
    <n v="20000"/>
    <n v="33"/>
    <x v="4409"/>
    <x v="5"/>
    <x v="3"/>
    <x v="0"/>
  </r>
  <r>
    <x v="373"/>
    <s v="ZTAN"/>
    <x v="17"/>
    <s v="WC2233"/>
    <s v="125108660"/>
    <s v="LAMPA"/>
    <x v="3425"/>
    <x v="4"/>
    <x v="1"/>
    <x v="17"/>
    <x v="1"/>
    <n v="5"/>
    <n v="70000"/>
    <n v="0"/>
    <n v="70000"/>
    <n v="8.4158891988073474"/>
    <n v="10000"/>
    <n v="83"/>
    <x v="4410"/>
    <x v="5"/>
    <x v="3"/>
    <x v="1"/>
  </r>
  <r>
    <x v="373"/>
    <s v="ZTAN"/>
    <x v="10"/>
    <s v="CJXX49"/>
    <s v="167832741"/>
    <s v="TALCAHUANO"/>
    <x v="315"/>
    <x v="5"/>
    <x v="0"/>
    <x v="0"/>
    <x v="0"/>
    <n v="0"/>
    <n v="420000"/>
    <n v="0"/>
    <n v="420000"/>
    <n v="44.191919191919148"/>
    <n v="20000"/>
    <n v="48"/>
    <x v="4411"/>
    <x v="5"/>
    <x v="3"/>
    <x v="0"/>
  </r>
  <r>
    <x v="373"/>
    <s v="ZTAN"/>
    <x v="10"/>
    <s v="PN4466"/>
    <s v="81417709"/>
    <s v="SANTIAGO"/>
    <x v="721"/>
    <x v="1"/>
    <x v="0"/>
    <x v="20"/>
    <x v="1"/>
    <n v="1"/>
    <n v="171926"/>
    <n v="0"/>
    <n v="171926"/>
    <n v="11.000025592465585"/>
    <n v="5000"/>
    <n v="100"/>
    <x v="4412"/>
    <x v="5"/>
    <x v="3"/>
    <x v="1"/>
  </r>
  <r>
    <x v="373"/>
    <s v="ZTAN"/>
    <x v="10"/>
    <s v="RH1133"/>
    <s v="65941082"/>
    <s v="SANTIAGO"/>
    <x v="3426"/>
    <x v="0"/>
    <x v="0"/>
    <x v="20"/>
    <x v="1"/>
    <n v="1"/>
    <n v="172352"/>
    <n v="0"/>
    <n v="172352"/>
    <n v="10.999974470909594"/>
    <n v="5000"/>
    <n v="100"/>
    <x v="4413"/>
    <x v="5"/>
    <x v="3"/>
    <x v="1"/>
  </r>
  <r>
    <x v="373"/>
    <s v="ZTAN"/>
    <x v="10"/>
    <s v="WG4022"/>
    <s v="154837728"/>
    <s v="SANTIAGO"/>
    <x v="3427"/>
    <x v="1"/>
    <x v="0"/>
    <x v="20"/>
    <x v="1"/>
    <n v="1"/>
    <n v="65925"/>
    <n v="0"/>
    <n v="65925"/>
    <n v="6.3449211757232771"/>
    <n v="5000"/>
    <n v="100"/>
    <x v="4414"/>
    <x v="5"/>
    <x v="3"/>
    <x v="1"/>
  </r>
  <r>
    <x v="373"/>
    <s v="ZTAN"/>
    <x v="7"/>
    <s v="DJLF85"/>
    <s v="53173292"/>
    <s v="RENCA"/>
    <x v="1219"/>
    <x v="4"/>
    <x v="1"/>
    <x v="7"/>
    <x v="1"/>
    <n v="1"/>
    <n v="55000"/>
    <n v="0"/>
    <n v="55000"/>
    <n v="20.014556040756915"/>
    <n v="5000"/>
    <n v="55"/>
    <x v="4415"/>
    <x v="5"/>
    <x v="3"/>
    <x v="1"/>
  </r>
  <r>
    <x v="373"/>
    <s v="ZTAN"/>
    <x v="7"/>
    <s v="HLBX77"/>
    <s v="16093509K"/>
    <s v="RENCA"/>
    <x v="1219"/>
    <x v="1"/>
    <x v="1"/>
    <x v="7"/>
    <x v="1"/>
    <n v="1"/>
    <n v="55000"/>
    <n v="0"/>
    <n v="55000"/>
    <n v="20.014556040756915"/>
    <n v="5000"/>
    <n v="55"/>
    <x v="4416"/>
    <x v="5"/>
    <x v="3"/>
    <x v="1"/>
  </r>
  <r>
    <x v="373"/>
    <s v="ZTAN"/>
    <x v="7"/>
    <s v="WG4022"/>
    <s v="81417709"/>
    <s v="RENCA"/>
    <x v="419"/>
    <x v="1"/>
    <x v="0"/>
    <x v="7"/>
    <x v="1"/>
    <n v="1"/>
    <n v="90684"/>
    <n v="0"/>
    <n v="90684"/>
    <n v="10.999999999999995"/>
    <n v="5000"/>
    <n v="100"/>
    <x v="4417"/>
    <x v="5"/>
    <x v="3"/>
    <x v="1"/>
  </r>
  <r>
    <x v="373"/>
    <s v="ZTAN"/>
    <x v="8"/>
    <s v="BDHB75"/>
    <s v="9849407*3"/>
    <s v="OSORNO"/>
    <x v="3428"/>
    <x v="0"/>
    <x v="0"/>
    <x v="64"/>
    <x v="10"/>
    <n v="0"/>
    <n v="950000"/>
    <n v="0"/>
    <n v="950000"/>
    <n v="75.172263175719522"/>
    <n v="20000"/>
    <n v="63"/>
    <x v="4418"/>
    <x v="5"/>
    <x v="3"/>
    <x v="0"/>
  </r>
  <r>
    <x v="373"/>
    <s v="ZTAN"/>
    <x v="8"/>
    <s v="BWPL69"/>
    <s v="78551976"/>
    <s v="CHILLAN"/>
    <x v="3429"/>
    <x v="5"/>
    <x v="0"/>
    <x v="21"/>
    <x v="5"/>
    <n v="0"/>
    <n v="400000"/>
    <n v="0"/>
    <n v="400000"/>
    <n v="44.70782319844237"/>
    <n v="20000"/>
    <n v="45"/>
    <x v="4419"/>
    <x v="5"/>
    <x v="3"/>
    <x v="0"/>
  </r>
  <r>
    <x v="373"/>
    <s v="ZTAN"/>
    <x v="8"/>
    <s v="BYZH29"/>
    <s v="122975819"/>
    <s v="HUALAÑE"/>
    <x v="3430"/>
    <x v="0"/>
    <x v="0"/>
    <x v="97"/>
    <x v="3"/>
    <n v="0"/>
    <n v="350000"/>
    <n v="0"/>
    <n v="350000"/>
    <n v="47.762008733624434"/>
    <n v="20000"/>
    <n v="37"/>
    <x v="4420"/>
    <x v="5"/>
    <x v="3"/>
    <x v="0"/>
  </r>
  <r>
    <x v="373"/>
    <s v="ZTAN"/>
    <x v="8"/>
    <s v="TP3884"/>
    <s v="107643206"/>
    <s v="PUDAHUEL"/>
    <x v="3431"/>
    <x v="1"/>
    <x v="1"/>
    <x v="10"/>
    <x v="1"/>
    <n v="1"/>
    <n v="110297"/>
    <n v="0"/>
    <n v="110297"/>
    <n v="10.999978059283814"/>
    <n v="5000"/>
    <n v="100"/>
    <x v="4421"/>
    <x v="5"/>
    <x v="3"/>
    <x v="1"/>
  </r>
  <r>
    <x v="373"/>
    <s v="ZTAN"/>
    <x v="8"/>
    <s v="XR6339"/>
    <s v="78907355"/>
    <s v="SAN BERNARDO"/>
    <x v="3432"/>
    <x v="1"/>
    <x v="1"/>
    <x v="4"/>
    <x v="1"/>
    <n v="4"/>
    <n v="55000"/>
    <n v="0"/>
    <n v="55000"/>
    <n v="16.170145207903968"/>
    <n v="5000"/>
    <n v="68"/>
    <x v="4422"/>
    <x v="5"/>
    <x v="3"/>
    <x v="1"/>
  </r>
  <r>
    <x v="374"/>
    <s v="ZPEP"/>
    <x v="17"/>
    <s v="RK5135"/>
    <s v="138841065"/>
    <s v="LO BARNECHEA"/>
    <x v="3433"/>
    <x v="3"/>
    <x v="1"/>
    <x v="41"/>
    <x v="1"/>
    <n v="4"/>
    <n v="55000"/>
    <n v="0"/>
    <n v="55000"/>
    <n v="17.518713170887082"/>
    <n v="5000"/>
    <n v="63"/>
    <x v="4423"/>
    <x v="5"/>
    <x v="3"/>
    <x v="1"/>
  </r>
  <r>
    <x v="374"/>
    <s v="ZPEP"/>
    <x v="95"/>
    <s v="HLBX77"/>
    <s v="16093509K"/>
    <s v="SANTIAGO"/>
    <x v="3434"/>
    <x v="1"/>
    <x v="1"/>
    <x v="20"/>
    <x v="1"/>
    <n v="1"/>
    <n v="154134"/>
    <n v="0"/>
    <n v="154134"/>
    <n v="11.000017127980261"/>
    <n v="5000"/>
    <n v="100"/>
    <x v="4424"/>
    <x v="5"/>
    <x v="3"/>
    <x v="1"/>
  </r>
  <r>
    <x v="374"/>
    <s v="ZPEP"/>
    <x v="5"/>
    <s v="XR6339"/>
    <s v="78907355"/>
    <s v="LOS ANDES"/>
    <x v="3435"/>
    <x v="1"/>
    <x v="1"/>
    <x v="38"/>
    <x v="2"/>
    <n v="0"/>
    <n v="180000"/>
    <n v="0"/>
    <n v="180000"/>
    <n v="35.94033903719825"/>
    <n v="20000"/>
    <n v="25"/>
    <x v="4425"/>
    <x v="5"/>
    <x v="3"/>
    <x v="0"/>
  </r>
  <r>
    <x v="374"/>
    <s v="ZPEP"/>
    <x v="11"/>
    <s v="WC2233"/>
    <s v="125108660"/>
    <s v="BUIN"/>
    <x v="3436"/>
    <x v="4"/>
    <x v="1"/>
    <x v="56"/>
    <x v="1"/>
    <n v="5"/>
    <n v="90000"/>
    <n v="0"/>
    <n v="90000"/>
    <n v="9.4637223974763405"/>
    <n v="10000"/>
    <n v="95"/>
    <x v="4426"/>
    <x v="5"/>
    <x v="3"/>
    <x v="1"/>
  </r>
  <r>
    <x v="374"/>
    <s v="ZPEP"/>
    <x v="9"/>
    <s v="DJLF85"/>
    <s v="53173292"/>
    <s v="SAN BERNARDO"/>
    <x v="3437"/>
    <x v="4"/>
    <x v="1"/>
    <x v="4"/>
    <x v="1"/>
    <n v="4"/>
    <n v="108833"/>
    <n v="0"/>
    <n v="108833"/>
    <n v="10.999954517659781"/>
    <n v="5000"/>
    <n v="100"/>
    <x v="4427"/>
    <x v="5"/>
    <x v="3"/>
    <x v="1"/>
  </r>
  <r>
    <x v="374"/>
    <s v="ZTAN"/>
    <x v="17"/>
    <s v="RK5135"/>
    <s v="138841065"/>
    <s v="LAMPA"/>
    <x v="3438"/>
    <x v="3"/>
    <x v="1"/>
    <x v="17"/>
    <x v="1"/>
    <n v="5"/>
    <n v="70000"/>
    <n v="0"/>
    <n v="70000"/>
    <n v="6.2786463238525716"/>
    <n v="10000"/>
    <n v="100"/>
    <x v="4428"/>
    <x v="5"/>
    <x v="3"/>
    <x v="1"/>
  </r>
  <r>
    <x v="374"/>
    <s v="ZTAN"/>
    <x v="4"/>
    <s v="TP3884"/>
    <s v="99626232"/>
    <s v="SAN BERNARDO"/>
    <x v="234"/>
    <x v="1"/>
    <x v="1"/>
    <x v="4"/>
    <x v="1"/>
    <n v="4"/>
    <n v="99053"/>
    <n v="0"/>
    <n v="99053"/>
    <n v="11.000022210376692"/>
    <n v="5000"/>
    <n v="100"/>
    <x v="4429"/>
    <x v="5"/>
    <x v="3"/>
    <x v="1"/>
  </r>
  <r>
    <x v="374"/>
    <s v="ZTAN"/>
    <x v="82"/>
    <s v="XR6339"/>
    <s v="78907355"/>
    <s v="PUENTE ALTO"/>
    <x v="3439"/>
    <x v="1"/>
    <x v="1"/>
    <x v="30"/>
    <x v="1"/>
    <n v="4"/>
    <n v="74131"/>
    <n v="0"/>
    <n v="74131"/>
    <n v="10.999970322886989"/>
    <n v="5000"/>
    <n v="100"/>
    <x v="4430"/>
    <x v="5"/>
    <x v="3"/>
    <x v="1"/>
  </r>
  <r>
    <x v="374"/>
    <s v="ZTAN"/>
    <x v="10"/>
    <s v="RH1133"/>
    <s v="65941082"/>
    <s v="SANTIAGO"/>
    <x v="3440"/>
    <x v="0"/>
    <x v="0"/>
    <x v="20"/>
    <x v="1"/>
    <n v="1"/>
    <n v="112837"/>
    <n v="0"/>
    <n v="112837"/>
    <n v="11.000009748584018"/>
    <n v="5000"/>
    <n v="100"/>
    <x v="4431"/>
    <x v="5"/>
    <x v="3"/>
    <x v="1"/>
  </r>
  <r>
    <x v="374"/>
    <s v="ZTAN"/>
    <x v="6"/>
    <s v="CKYB66"/>
    <s v="115812335"/>
    <s v="CURICO"/>
    <x v="3441"/>
    <x v="0"/>
    <x v="0"/>
    <x v="73"/>
    <x v="3"/>
    <n v="0"/>
    <n v="300000"/>
    <n v="0"/>
    <n v="300000"/>
    <n v="47.089551770253216"/>
    <n v="20000"/>
    <n v="32"/>
    <x v="4432"/>
    <x v="5"/>
    <x v="3"/>
    <x v="0"/>
  </r>
  <r>
    <x v="374"/>
    <s v="ZTAN"/>
    <x v="16"/>
    <s v="RK5135"/>
    <s v="138841065"/>
    <s v="MAIPU"/>
    <x v="400"/>
    <x v="3"/>
    <x v="1"/>
    <x v="2"/>
    <x v="1"/>
    <n v="2"/>
    <n v="90798"/>
    <n v="0"/>
    <n v="90798"/>
    <n v="10.999951540996321"/>
    <n v="5000"/>
    <n v="100"/>
    <x v="4433"/>
    <x v="5"/>
    <x v="3"/>
    <x v="1"/>
  </r>
  <r>
    <x v="374"/>
    <s v="ZTAN"/>
    <x v="7"/>
    <s v="HLBX77"/>
    <s v="16093509K"/>
    <s v="RENCA"/>
    <x v="1219"/>
    <x v="1"/>
    <x v="1"/>
    <x v="7"/>
    <x v="1"/>
    <n v="1"/>
    <n v="55000"/>
    <n v="0"/>
    <n v="55000"/>
    <n v="20.014556040756915"/>
    <n v="5000"/>
    <n v="55"/>
    <x v="4434"/>
    <x v="5"/>
    <x v="3"/>
    <x v="1"/>
  </r>
  <r>
    <x v="374"/>
    <s v="ZTAN"/>
    <x v="7"/>
    <s v="WC2233"/>
    <s v="125108660"/>
    <s v="RENCA"/>
    <x v="1219"/>
    <x v="4"/>
    <x v="1"/>
    <x v="7"/>
    <x v="1"/>
    <n v="1"/>
    <n v="55000"/>
    <n v="0"/>
    <n v="55000"/>
    <n v="20.014556040756915"/>
    <n v="5000"/>
    <n v="55"/>
    <x v="4435"/>
    <x v="5"/>
    <x v="3"/>
    <x v="1"/>
  </r>
  <r>
    <x v="374"/>
    <s v="ZTAN"/>
    <x v="7"/>
    <s v="WG4022"/>
    <s v="81417709"/>
    <s v="RENCA"/>
    <x v="3442"/>
    <x v="1"/>
    <x v="0"/>
    <x v="7"/>
    <x v="1"/>
    <n v="1"/>
    <n v="166841"/>
    <n v="0"/>
    <n v="166841"/>
    <n v="10.99997362764878"/>
    <n v="5000"/>
    <n v="100"/>
    <x v="4436"/>
    <x v="5"/>
    <x v="3"/>
    <x v="1"/>
  </r>
  <r>
    <x v="374"/>
    <s v="ZTAN"/>
    <x v="8"/>
    <s v="BPKD94"/>
    <s v="125897258"/>
    <s v="LINARES"/>
    <x v="3443"/>
    <x v="0"/>
    <x v="0"/>
    <x v="59"/>
    <x v="3"/>
    <n v="0"/>
    <n v="350000"/>
    <n v="0"/>
    <n v="350000"/>
    <n v="38.689851099344487"/>
    <n v="20000"/>
    <n v="45"/>
    <x v="4437"/>
    <x v="5"/>
    <x v="3"/>
    <x v="0"/>
  </r>
  <r>
    <x v="375"/>
    <s v="ZTAN"/>
    <x v="10"/>
    <s v="KKPF51"/>
    <s v="95707334"/>
    <s v="QUILICURA"/>
    <x v="3444"/>
    <x v="8"/>
    <x v="0"/>
    <x v="8"/>
    <x v="1"/>
    <n v="1"/>
    <n v="132070"/>
    <n v="0"/>
    <n v="132070"/>
    <n v="8.7997388129314249"/>
    <n v="5000"/>
    <n v="100"/>
    <x v="4438"/>
    <x v="6"/>
    <x v="3"/>
    <x v="1"/>
  </r>
  <r>
    <x v="375"/>
    <s v="ZTAN"/>
    <x v="10"/>
    <s v="RK5135"/>
    <s v="138841065"/>
    <s v="QUILICURA"/>
    <x v="3445"/>
    <x v="3"/>
    <x v="1"/>
    <x v="8"/>
    <x v="1"/>
    <n v="1"/>
    <n v="55000"/>
    <n v="0"/>
    <n v="55000"/>
    <n v="12.292700371016048"/>
    <n v="5000"/>
    <n v="89"/>
    <x v="4439"/>
    <x v="6"/>
    <x v="3"/>
    <x v="1"/>
  </r>
  <r>
    <x v="375"/>
    <s v="ZTAN"/>
    <x v="52"/>
    <s v="DJLF85"/>
    <s v="125108660"/>
    <s v="PROVIDENCIA"/>
    <x v="3446"/>
    <x v="4"/>
    <x v="1"/>
    <x v="54"/>
    <x v="1"/>
    <n v="2"/>
    <n v="69577"/>
    <n v="0"/>
    <n v="69577"/>
    <n v="11.000037943704193"/>
    <n v="5000"/>
    <n v="100"/>
    <x v="4440"/>
    <x v="6"/>
    <x v="3"/>
    <x v="1"/>
  </r>
  <r>
    <x v="375"/>
    <s v="ZTAN"/>
    <x v="7"/>
    <s v="HLBX77"/>
    <s v="16093509K"/>
    <s v="RENCA"/>
    <x v="1219"/>
    <x v="1"/>
    <x v="1"/>
    <x v="7"/>
    <x v="1"/>
    <n v="1"/>
    <n v="55000"/>
    <n v="0"/>
    <n v="55000"/>
    <n v="20.014556040756915"/>
    <n v="5000"/>
    <n v="55"/>
    <x v="4441"/>
    <x v="6"/>
    <x v="3"/>
    <x v="1"/>
  </r>
  <r>
    <x v="375"/>
    <s v="ZTAN"/>
    <x v="7"/>
    <s v="WC2233"/>
    <s v="125108660"/>
    <s v="RENCA"/>
    <x v="1219"/>
    <x v="4"/>
    <x v="1"/>
    <x v="7"/>
    <x v="1"/>
    <n v="1"/>
    <n v="55000"/>
    <n v="0"/>
    <n v="55000"/>
    <n v="20.014556040756915"/>
    <n v="5000"/>
    <n v="55"/>
    <x v="4442"/>
    <x v="6"/>
    <x v="3"/>
    <x v="1"/>
  </r>
  <r>
    <x v="375"/>
    <s v="ZTAN"/>
    <x v="7"/>
    <s v="WG4022"/>
    <s v="81417709"/>
    <s v="RENCA"/>
    <x v="419"/>
    <x v="1"/>
    <x v="0"/>
    <x v="7"/>
    <x v="1"/>
    <n v="1"/>
    <n v="90684"/>
    <n v="0"/>
    <n v="90684"/>
    <n v="10.999999999999995"/>
    <n v="5000"/>
    <n v="100"/>
    <x v="4443"/>
    <x v="6"/>
    <x v="3"/>
    <x v="1"/>
  </r>
  <r>
    <x v="375"/>
    <s v="ZTAN"/>
    <x v="8"/>
    <s v="CJXX49"/>
    <s v="167832741"/>
    <s v="CHILLAN"/>
    <x v="3447"/>
    <x v="5"/>
    <x v="0"/>
    <x v="21"/>
    <x v="5"/>
    <n v="0"/>
    <n v="400000"/>
    <n v="0"/>
    <n v="400000"/>
    <n v="36.134021084201301"/>
    <n v="20000"/>
    <n v="55"/>
    <x v="4444"/>
    <x v="6"/>
    <x v="3"/>
    <x v="0"/>
  </r>
  <r>
    <x v="375"/>
    <s v="ZTAN"/>
    <x v="8"/>
    <s v="SV2718"/>
    <s v="99626232"/>
    <s v="EL BOSQUE"/>
    <x v="3448"/>
    <x v="1"/>
    <x v="1"/>
    <x v="25"/>
    <x v="1"/>
    <n v="3"/>
    <n v="55000"/>
    <n v="0"/>
    <n v="55000"/>
    <n v="15.673087883278241"/>
    <n v="5000"/>
    <n v="70"/>
    <x v="4445"/>
    <x v="6"/>
    <x v="3"/>
    <x v="1"/>
  </r>
  <r>
    <x v="375"/>
    <s v="ZTAN"/>
    <x v="8"/>
    <s v="TP3884"/>
    <s v="107643206"/>
    <s v="PUDAHUEL"/>
    <x v="3449"/>
    <x v="1"/>
    <x v="1"/>
    <x v="10"/>
    <x v="1"/>
    <n v="1"/>
    <n v="73477"/>
    <n v="0"/>
    <n v="73477"/>
    <n v="10.999979041100405"/>
    <n v="5000"/>
    <n v="100"/>
    <x v="4446"/>
    <x v="6"/>
    <x v="3"/>
    <x v="1"/>
  </r>
  <r>
    <x v="376"/>
    <s v="ZPEP"/>
    <x v="95"/>
    <s v="XR6339"/>
    <s v="78907355"/>
    <s v="SANTIAGO"/>
    <x v="3450"/>
    <x v="1"/>
    <x v="1"/>
    <x v="20"/>
    <x v="1"/>
    <n v="1"/>
    <n v="86111"/>
    <n v="0"/>
    <n v="86111"/>
    <n v="11.000017883923118"/>
    <n v="5000"/>
    <n v="100"/>
    <x v="4447"/>
    <x v="6"/>
    <x v="3"/>
    <x v="1"/>
  </r>
  <r>
    <x v="376"/>
    <s v="ZPEP"/>
    <x v="2"/>
    <s v="WC2233"/>
    <s v="XXXXXXXXX"/>
    <s v="SAN BERNARDO"/>
    <x v="3451"/>
    <x v="4"/>
    <x v="1"/>
    <x v="4"/>
    <x v="1"/>
    <n v="4"/>
    <n v="101359"/>
    <n v="0"/>
    <n v="101359"/>
    <n v="11.000005426259841"/>
    <n v="5000"/>
    <n v="100"/>
    <x v="4448"/>
    <x v="6"/>
    <x v="3"/>
    <x v="1"/>
  </r>
  <r>
    <x v="376"/>
    <s v="ZTAN"/>
    <x v="4"/>
    <s v="DRFV76"/>
    <s v="113693568"/>
    <s v="LOS ANGELES"/>
    <x v="3452"/>
    <x v="0"/>
    <x v="0"/>
    <x v="57"/>
    <x v="0"/>
    <n v="0"/>
    <n v="20000"/>
    <n v="0"/>
    <n v="20000"/>
    <n v="2.1542438604049972"/>
    <n v="20000"/>
    <n v="46"/>
    <x v="4449"/>
    <x v="6"/>
    <x v="3"/>
    <x v="0"/>
  </r>
  <r>
    <x v="376"/>
    <s v="ZTAN"/>
    <x v="4"/>
    <s v="HLBX77"/>
    <s v="154837728"/>
    <s v="PADRE HURTADO"/>
    <x v="400"/>
    <x v="1"/>
    <x v="1"/>
    <x v="26"/>
    <x v="1"/>
    <n v="5"/>
    <n v="70000"/>
    <n v="0"/>
    <n v="70000"/>
    <n v="8.4803256445047506"/>
    <n v="10000"/>
    <n v="83"/>
    <x v="4450"/>
    <x v="6"/>
    <x v="3"/>
    <x v="1"/>
  </r>
  <r>
    <x v="376"/>
    <s v="ZTAN"/>
    <x v="10"/>
    <s v="KKPF51"/>
    <s v="95707734"/>
    <s v="QUILICURA"/>
    <x v="3453"/>
    <x v="8"/>
    <x v="0"/>
    <x v="8"/>
    <x v="1"/>
    <n v="1"/>
    <n v="107369"/>
    <n v="0"/>
    <n v="107369"/>
    <n v="11.000020490123761"/>
    <n v="5000"/>
    <n v="100"/>
    <x v="4451"/>
    <x v="6"/>
    <x v="3"/>
    <x v="1"/>
  </r>
  <r>
    <x v="376"/>
    <s v="ZTAN"/>
    <x v="10"/>
    <s v="RH1133"/>
    <s v="65941082"/>
    <s v="QUILICURA"/>
    <x v="3454"/>
    <x v="0"/>
    <x v="0"/>
    <x v="8"/>
    <x v="1"/>
    <n v="1"/>
    <n v="61384"/>
    <n v="0"/>
    <n v="61384"/>
    <n v="9.8460788276583333"/>
    <n v="5000"/>
    <n v="100"/>
    <x v="4452"/>
    <x v="6"/>
    <x v="3"/>
    <x v="1"/>
  </r>
  <r>
    <x v="376"/>
    <s v="ZTAN"/>
    <x v="10"/>
    <s v="WG4022"/>
    <s v="154837728"/>
    <s v="QUILICURA"/>
    <x v="3455"/>
    <x v="1"/>
    <x v="0"/>
    <x v="8"/>
    <x v="1"/>
    <n v="1"/>
    <n v="172137"/>
    <n v="0"/>
    <n v="172137"/>
    <n v="10.733841122165511"/>
    <n v="5000"/>
    <n v="100"/>
    <x v="4453"/>
    <x v="6"/>
    <x v="3"/>
    <x v="1"/>
  </r>
  <r>
    <x v="376"/>
    <s v="ZTAN"/>
    <x v="7"/>
    <s v="DJLF85"/>
    <s v="53173292"/>
    <s v="RENCA"/>
    <x v="1046"/>
    <x v="4"/>
    <x v="1"/>
    <x v="7"/>
    <x v="1"/>
    <n v="1"/>
    <n v="55000"/>
    <n v="0"/>
    <n v="55000"/>
    <n v="14.467592592592597"/>
    <n v="5000"/>
    <n v="76"/>
    <x v="4454"/>
    <x v="6"/>
    <x v="3"/>
    <x v="1"/>
  </r>
  <r>
    <x v="376"/>
    <s v="ZTAN"/>
    <x v="7"/>
    <s v="HLBX77"/>
    <s v="16093509K"/>
    <s v="RENCA"/>
    <x v="3456"/>
    <x v="1"/>
    <x v="1"/>
    <x v="7"/>
    <x v="1"/>
    <n v="1"/>
    <n v="55000"/>
    <n v="0"/>
    <n v="55000"/>
    <n v="11.573099907415202"/>
    <n v="5000"/>
    <n v="100"/>
    <x v="4455"/>
    <x v="6"/>
    <x v="3"/>
    <x v="1"/>
  </r>
  <r>
    <x v="377"/>
    <s v="ZPEP"/>
    <x v="5"/>
    <s v="DJLF85"/>
    <s v="53173292"/>
    <s v="MELIPILLA"/>
    <x v="3457"/>
    <x v="4"/>
    <x v="1"/>
    <x v="29"/>
    <x v="1"/>
    <n v="5"/>
    <n v="90000"/>
    <n v="0"/>
    <n v="90000"/>
    <n v="8.1948032200113463"/>
    <n v="10000"/>
    <n v="100"/>
    <x v="4456"/>
    <x v="6"/>
    <x v="3"/>
    <x v="1"/>
  </r>
  <r>
    <x v="377"/>
    <s v="ZPEP"/>
    <x v="5"/>
    <s v="XR6339"/>
    <s v="78907355"/>
    <s v="PAINE"/>
    <x v="3458"/>
    <x v="1"/>
    <x v="1"/>
    <x v="13"/>
    <x v="1"/>
    <n v="5"/>
    <n v="90000"/>
    <n v="0"/>
    <n v="90000"/>
    <n v="14.113551361565662"/>
    <n v="10000"/>
    <n v="64"/>
    <x v="4457"/>
    <x v="6"/>
    <x v="3"/>
    <x v="1"/>
  </r>
  <r>
    <x v="377"/>
    <s v="ZPEP"/>
    <x v="2"/>
    <s v="HLBX77"/>
    <s v="16093509K"/>
    <s v="SAN BERNARDO"/>
    <x v="3459"/>
    <x v="1"/>
    <x v="1"/>
    <x v="4"/>
    <x v="1"/>
    <n v="4"/>
    <n v="133440"/>
    <n v="0"/>
    <n v="133440"/>
    <n v="11.000026378960142"/>
    <n v="5000"/>
    <n v="100"/>
    <x v="4458"/>
    <x v="6"/>
    <x v="3"/>
    <x v="1"/>
  </r>
  <r>
    <x v="377"/>
    <s v="ZTAN"/>
    <x v="4"/>
    <s v="XR6339"/>
    <s v="78907355"/>
    <s v="SAN BERNARDO"/>
    <x v="3460"/>
    <x v="1"/>
    <x v="1"/>
    <x v="4"/>
    <x v="1"/>
    <n v="4"/>
    <n v="55000"/>
    <n v="0"/>
    <n v="55000"/>
    <n v="6.474396703943496"/>
    <n v="5000"/>
    <n v="100"/>
    <x v="4459"/>
    <x v="6"/>
    <x v="3"/>
    <x v="1"/>
  </r>
  <r>
    <x v="377"/>
    <s v="ZTAN"/>
    <x v="16"/>
    <s v="KKPF51"/>
    <s v="95707734"/>
    <s v="MAIPU"/>
    <x v="3461"/>
    <x v="8"/>
    <x v="0"/>
    <x v="2"/>
    <x v="1"/>
    <n v="2"/>
    <n v="199738"/>
    <n v="0"/>
    <n v="199738"/>
    <n v="10.999998788412947"/>
    <n v="5000"/>
    <n v="100"/>
    <x v="4460"/>
    <x v="6"/>
    <x v="3"/>
    <x v="1"/>
  </r>
  <r>
    <x v="377"/>
    <s v="ZTAN"/>
    <x v="7"/>
    <s v="HLBX77"/>
    <s v="16093509K"/>
    <s v="RENCA"/>
    <x v="3462"/>
    <x v="1"/>
    <x v="1"/>
    <x v="7"/>
    <x v="1"/>
    <n v="1"/>
    <n v="71993"/>
    <n v="0"/>
    <n v="71993"/>
    <n v="7.3817775408087938"/>
    <n v="5000"/>
    <n v="100"/>
    <x v="4461"/>
    <x v="6"/>
    <x v="3"/>
    <x v="1"/>
  </r>
  <r>
    <x v="377"/>
    <s v="ZTAN"/>
    <x v="7"/>
    <s v="WC2233"/>
    <s v="125108660"/>
    <s v="RENCA"/>
    <x v="3463"/>
    <x v="4"/>
    <x v="1"/>
    <x v="7"/>
    <x v="1"/>
    <n v="1"/>
    <n v="68930"/>
    <n v="0"/>
    <n v="68930"/>
    <n v="10.999936167496493"/>
    <n v="5000"/>
    <n v="100"/>
    <x v="4462"/>
    <x v="6"/>
    <x v="3"/>
    <x v="1"/>
  </r>
  <r>
    <x v="377"/>
    <s v="ZTAN"/>
    <x v="7"/>
    <s v="WG4022"/>
    <s v="154837728"/>
    <s v="RENCA"/>
    <x v="3464"/>
    <x v="1"/>
    <x v="0"/>
    <x v="7"/>
    <x v="1"/>
    <n v="1"/>
    <n v="94873"/>
    <n v="0"/>
    <n v="94873"/>
    <n v="11.00002318894351"/>
    <n v="5000"/>
    <n v="100"/>
    <x v="4463"/>
    <x v="6"/>
    <x v="3"/>
    <x v="1"/>
  </r>
  <r>
    <x v="377"/>
    <s v="ZTAN"/>
    <x v="8"/>
    <s v="DJLF85"/>
    <s v="563173292"/>
    <s v="HUECHURABA"/>
    <x v="3465"/>
    <x v="4"/>
    <x v="1"/>
    <x v="24"/>
    <x v="1"/>
    <n v="1"/>
    <n v="55000"/>
    <n v="0"/>
    <n v="55000"/>
    <n v="7.7388490220908963"/>
    <n v="5000"/>
    <n v="66"/>
    <x v="4464"/>
    <x v="6"/>
    <x v="3"/>
    <x v="1"/>
  </r>
  <r>
    <x v="377"/>
    <s v="ZTAN"/>
    <x v="8"/>
    <s v="SV2718"/>
    <s v="99626232"/>
    <s v="LA REINA"/>
    <x v="3466"/>
    <x v="1"/>
    <x v="1"/>
    <x v="11"/>
    <x v="1"/>
    <n v="3"/>
    <n v="55000"/>
    <n v="0"/>
    <n v="55000"/>
    <n v="11.996684552632729"/>
    <n v="5000"/>
    <n v="92"/>
    <x v="4465"/>
    <x v="6"/>
    <x v="3"/>
    <x v="1"/>
  </r>
  <r>
    <x v="377"/>
    <s v="ZTAN"/>
    <x v="8"/>
    <s v="TP3884"/>
    <s v="107643206"/>
    <s v="QUILIN"/>
    <x v="3467"/>
    <x v="1"/>
    <x v="1"/>
    <x v="34"/>
    <x v="1"/>
    <n v="4"/>
    <n v="105061"/>
    <n v="0"/>
    <n v="105061"/>
    <n v="11.000000000000004"/>
    <n v="5000"/>
    <n v="100"/>
    <x v="4466"/>
    <x v="6"/>
    <x v="3"/>
    <x v="1"/>
  </r>
  <r>
    <x v="378"/>
    <s v="ZPEP"/>
    <x v="95"/>
    <s v="DJLF85"/>
    <s v="53173292"/>
    <s v="SANTIAGO"/>
    <x v="3468"/>
    <x v="4"/>
    <x v="1"/>
    <x v="20"/>
    <x v="1"/>
    <n v="1"/>
    <n v="148901"/>
    <n v="0"/>
    <n v="148901"/>
    <n v="10.999979315154309"/>
    <n v="5000"/>
    <n v="100"/>
    <x v="4467"/>
    <x v="6"/>
    <x v="3"/>
    <x v="1"/>
  </r>
  <r>
    <x v="378"/>
    <s v="ZPEP"/>
    <x v="5"/>
    <s v="WC2233"/>
    <s v="125108660"/>
    <s v="MELIPILLA"/>
    <x v="3469"/>
    <x v="4"/>
    <x v="1"/>
    <x v="29"/>
    <x v="1"/>
    <n v="5"/>
    <n v="90000"/>
    <n v="0"/>
    <n v="90000"/>
    <n v="8.119372823557006"/>
    <n v="10000"/>
    <n v="100"/>
    <x v="4468"/>
    <x v="6"/>
    <x v="3"/>
    <x v="1"/>
  </r>
  <r>
    <x v="378"/>
    <s v="ZTAN"/>
    <x v="4"/>
    <s v="XR6339"/>
    <s v="78907355"/>
    <s v="SAN BERNARDO"/>
    <x v="3470"/>
    <x v="1"/>
    <x v="1"/>
    <x v="4"/>
    <x v="1"/>
    <n v="4"/>
    <n v="80546"/>
    <n v="0"/>
    <n v="80546"/>
    <n v="10.999945373101715"/>
    <n v="5000"/>
    <n v="100"/>
    <x v="4469"/>
    <x v="6"/>
    <x v="3"/>
    <x v="1"/>
  </r>
  <r>
    <x v="378"/>
    <s v="ZTAN"/>
    <x v="7"/>
    <s v="HLBX77"/>
    <s v="16093509K"/>
    <s v="RENCA"/>
    <x v="3471"/>
    <x v="1"/>
    <x v="1"/>
    <x v="7"/>
    <x v="1"/>
    <n v="1"/>
    <n v="127435"/>
    <n v="0"/>
    <n v="127435"/>
    <n v="11.000000000000009"/>
    <n v="5000"/>
    <n v="100"/>
    <x v="4470"/>
    <x v="6"/>
    <x v="3"/>
    <x v="1"/>
  </r>
  <r>
    <x v="378"/>
    <s v="ZTAN"/>
    <x v="7"/>
    <s v="RK5135"/>
    <s v="138841065"/>
    <s v="SAN MIGUEL"/>
    <x v="3472"/>
    <x v="3"/>
    <x v="1"/>
    <x v="23"/>
    <x v="1"/>
    <n v="2"/>
    <n v="55055"/>
    <n v="0"/>
    <n v="55055"/>
    <n v="11"/>
    <n v="5000"/>
    <n v="100"/>
    <x v="4471"/>
    <x v="6"/>
    <x v="3"/>
    <x v="1"/>
  </r>
  <r>
    <x v="378"/>
    <s v="ZTAN"/>
    <x v="7"/>
    <s v="WG4022"/>
    <s v="154837728"/>
    <s v="RENCA"/>
    <x v="3473"/>
    <x v="1"/>
    <x v="0"/>
    <x v="7"/>
    <x v="1"/>
    <n v="1"/>
    <n v="87516"/>
    <n v="0"/>
    <n v="87516"/>
    <n v="11.000000000000005"/>
    <n v="5000"/>
    <n v="100"/>
    <x v="4472"/>
    <x v="6"/>
    <x v="3"/>
    <x v="1"/>
  </r>
  <r>
    <x v="378"/>
    <s v="ZTAN"/>
    <x v="8"/>
    <s v="BWPL69"/>
    <s v="78551976"/>
    <s v="TEMUCO"/>
    <x v="3474"/>
    <x v="5"/>
    <x v="0"/>
    <x v="14"/>
    <x v="4"/>
    <n v="0"/>
    <n v="665000"/>
    <n v="0"/>
    <n v="665000"/>
    <n v="70.067781359019946"/>
    <n v="20000"/>
    <n v="47"/>
    <x v="4473"/>
    <x v="6"/>
    <x v="3"/>
    <x v="0"/>
  </r>
  <r>
    <x v="378"/>
    <s v="ZTAN"/>
    <x v="8"/>
    <s v="DRFV76"/>
    <s v="113693568"/>
    <s v="CURACAUTIN"/>
    <x v="3475"/>
    <x v="0"/>
    <x v="0"/>
    <x v="98"/>
    <x v="4"/>
    <n v="0"/>
    <n v="665000"/>
    <n v="0"/>
    <n v="1"/>
    <n v="1.213651148113986E-4"/>
    <n v="20000"/>
    <n v="45"/>
    <x v="4474"/>
    <x v="6"/>
    <x v="3"/>
    <x v="0"/>
  </r>
  <r>
    <x v="378"/>
    <s v="ZTAN"/>
    <x v="8"/>
    <s v="HLBX77"/>
    <s v="16093509K"/>
    <s v="BATUCO"/>
    <x v="3476"/>
    <x v="1"/>
    <x v="1"/>
    <x v="17"/>
    <x v="1"/>
    <n v="5"/>
    <n v="70000"/>
    <n v="0"/>
    <n v="70000"/>
    <n v="20.717414466674558"/>
    <n v="10000"/>
    <n v="34"/>
    <x v="4475"/>
    <x v="6"/>
    <x v="3"/>
    <x v="1"/>
  </r>
  <r>
    <x v="378"/>
    <s v="ZTAN"/>
    <x v="8"/>
    <s v="TP3884"/>
    <s v="107643206"/>
    <s v="PUDAHUEL"/>
    <x v="3477"/>
    <x v="1"/>
    <x v="1"/>
    <x v="10"/>
    <x v="1"/>
    <n v="1"/>
    <n v="66306"/>
    <n v="0"/>
    <n v="66306"/>
    <n v="11.000033179601184"/>
    <n v="5000"/>
    <n v="100"/>
    <x v="4476"/>
    <x v="6"/>
    <x v="3"/>
    <x v="1"/>
  </r>
  <r>
    <x v="379"/>
    <s v="ZPEP"/>
    <x v="95"/>
    <s v="HLBX77"/>
    <s v="16093509K"/>
    <s v="SANTIAGO"/>
    <x v="3478"/>
    <x v="1"/>
    <x v="1"/>
    <x v="20"/>
    <x v="1"/>
    <n v="1"/>
    <n v="100091"/>
    <n v="0"/>
    <n v="100091"/>
    <n v="10.999978020045722"/>
    <n v="5000"/>
    <n v="100"/>
    <x v="4477"/>
    <x v="6"/>
    <x v="3"/>
    <x v="1"/>
  </r>
  <r>
    <x v="379"/>
    <s v="ZPEP"/>
    <x v="5"/>
    <s v="WC2233"/>
    <s v="125108660"/>
    <s v="MELIPILLA"/>
    <x v="3479"/>
    <x v="4"/>
    <x v="1"/>
    <x v="29"/>
    <x v="1"/>
    <n v="5"/>
    <n v="90000"/>
    <n v="0"/>
    <n v="90000"/>
    <n v="9.9592665996076022"/>
    <n v="10000"/>
    <n v="90"/>
    <x v="4478"/>
    <x v="6"/>
    <x v="3"/>
    <x v="1"/>
  </r>
  <r>
    <x v="379"/>
    <s v="ZTAN"/>
    <x v="4"/>
    <s v="RH1133"/>
    <s v="65941082"/>
    <s v="PADRE HURTADO"/>
    <x v="3480"/>
    <x v="0"/>
    <x v="0"/>
    <x v="26"/>
    <x v="1"/>
    <n v="5"/>
    <n v="120000"/>
    <n v="0"/>
    <n v="120000"/>
    <n v="13.498160875580702"/>
    <n v="10000"/>
    <n v="89"/>
    <x v="4479"/>
    <x v="6"/>
    <x v="3"/>
    <x v="1"/>
  </r>
  <r>
    <x v="379"/>
    <s v="ZTAN"/>
    <x v="10"/>
    <s v="KKPF51"/>
    <s v="95707334"/>
    <s v="SANTIAGO"/>
    <x v="315"/>
    <x v="8"/>
    <x v="0"/>
    <x v="20"/>
    <x v="1"/>
    <n v="1"/>
    <n v="104544"/>
    <n v="0"/>
    <n v="104544"/>
    <n v="10.999999999999989"/>
    <n v="5000"/>
    <n v="100"/>
    <x v="4480"/>
    <x v="6"/>
    <x v="3"/>
    <x v="1"/>
  </r>
  <r>
    <x v="379"/>
    <s v="ZTAN"/>
    <x v="10"/>
    <s v="RH1133"/>
    <s v="65941082"/>
    <s v="SANTIAGO"/>
    <x v="3481"/>
    <x v="0"/>
    <x v="0"/>
    <x v="20"/>
    <x v="1"/>
    <n v="1"/>
    <n v="143594"/>
    <n v="0"/>
    <n v="143594"/>
    <n v="10.999999999999993"/>
    <n v="5000"/>
    <n v="100"/>
    <x v="4481"/>
    <x v="6"/>
    <x v="3"/>
    <x v="1"/>
  </r>
  <r>
    <x v="379"/>
    <s v="ZTAN"/>
    <x v="10"/>
    <s v="RK5135"/>
    <s v="138841065"/>
    <s v="QUILICURA"/>
    <x v="3482"/>
    <x v="3"/>
    <x v="1"/>
    <x v="8"/>
    <x v="1"/>
    <n v="1"/>
    <n v="68072"/>
    <n v="0"/>
    <n v="68072"/>
    <n v="9.9572874612369091"/>
    <n v="5000"/>
    <n v="100"/>
    <x v="4482"/>
    <x v="6"/>
    <x v="3"/>
    <x v="1"/>
  </r>
  <r>
    <x v="379"/>
    <s v="ZTAN"/>
    <x v="10"/>
    <s v="WC2233"/>
    <s v="125108660"/>
    <s v="LOS ANDES"/>
    <x v="911"/>
    <x v="4"/>
    <x v="1"/>
    <x v="38"/>
    <x v="2"/>
    <n v="0"/>
    <n v="1"/>
    <n v="0"/>
    <n v="1"/>
    <n v="2.5621316935690495E-4"/>
    <n v="20000"/>
    <n v="20"/>
    <x v="4483"/>
    <x v="6"/>
    <x v="3"/>
    <x v="0"/>
  </r>
  <r>
    <x v="379"/>
    <s v="ZTAN"/>
    <x v="7"/>
    <s v="HLBX77"/>
    <s v="16093509K"/>
    <s v="RENCA"/>
    <x v="2555"/>
    <x v="1"/>
    <x v="1"/>
    <x v="7"/>
    <x v="1"/>
    <n v="1"/>
    <n v="143000"/>
    <n v="0"/>
    <n v="143000"/>
    <n v="11"/>
    <n v="5000"/>
    <n v="100"/>
    <x v="4484"/>
    <x v="6"/>
    <x v="3"/>
    <x v="1"/>
  </r>
  <r>
    <x v="379"/>
    <s v="ZTAN"/>
    <x v="7"/>
    <s v="WG4022"/>
    <s v="81417709"/>
    <s v="RENCA"/>
    <x v="3483"/>
    <x v="1"/>
    <x v="0"/>
    <x v="7"/>
    <x v="1"/>
    <n v="1"/>
    <n v="221650"/>
    <n v="0"/>
    <n v="221650"/>
    <n v="11"/>
    <n v="5000"/>
    <n v="100"/>
    <x v="4485"/>
    <x v="6"/>
    <x v="3"/>
    <x v="1"/>
  </r>
  <r>
    <x v="379"/>
    <s v="ZTAN"/>
    <x v="7"/>
    <s v="XR6339"/>
    <s v="78907355"/>
    <s v="RENCA"/>
    <x v="2555"/>
    <x v="1"/>
    <x v="1"/>
    <x v="7"/>
    <x v="1"/>
    <n v="1"/>
    <n v="143000"/>
    <n v="0"/>
    <n v="143000"/>
    <n v="11"/>
    <n v="5000"/>
    <n v="100"/>
    <x v="4486"/>
    <x v="6"/>
    <x v="3"/>
    <x v="1"/>
  </r>
  <r>
    <x v="379"/>
    <s v="ZTAN"/>
    <x v="8"/>
    <s v="CKYB66"/>
    <s v="115812335"/>
    <s v="VILLARRICA"/>
    <x v="3484"/>
    <x v="0"/>
    <x v="0"/>
    <x v="88"/>
    <x v="4"/>
    <n v="0"/>
    <n v="800000"/>
    <n v="0"/>
    <n v="800000"/>
    <n v="40.935792209918723"/>
    <n v="20000"/>
    <n v="98"/>
    <x v="4487"/>
    <x v="6"/>
    <x v="3"/>
    <x v="0"/>
  </r>
  <r>
    <x v="380"/>
    <s v="ZPEP"/>
    <x v="5"/>
    <s v="WC2233"/>
    <s v="125108660"/>
    <s v="MELIPILLA"/>
    <x v="3485"/>
    <x v="4"/>
    <x v="1"/>
    <x v="29"/>
    <x v="1"/>
    <n v="5"/>
    <n v="90000"/>
    <n v="0"/>
    <n v="90000"/>
    <n v="8.1254864006442613"/>
    <n v="10000"/>
    <n v="100"/>
    <x v="4488"/>
    <x v="6"/>
    <x v="3"/>
    <x v="1"/>
  </r>
  <r>
    <x v="380"/>
    <s v="ZPEP"/>
    <x v="11"/>
    <s v="DJLF85"/>
    <s v="125108660"/>
    <s v="BUIN"/>
    <x v="3486"/>
    <x v="4"/>
    <x v="1"/>
    <x v="56"/>
    <x v="1"/>
    <n v="5"/>
    <n v="90000"/>
    <n v="0"/>
    <n v="90000"/>
    <n v="6.9739113724347632"/>
    <n v="10000"/>
    <n v="100"/>
    <x v="4489"/>
    <x v="6"/>
    <x v="3"/>
    <x v="1"/>
  </r>
  <r>
    <x v="380"/>
    <s v="ZTAN"/>
    <x v="10"/>
    <s v="DJLF85"/>
    <s v="53173292"/>
    <s v="QUILICURA"/>
    <x v="3487"/>
    <x v="4"/>
    <x v="1"/>
    <x v="8"/>
    <x v="1"/>
    <n v="1"/>
    <n v="86605"/>
    <n v="0"/>
    <n v="86605"/>
    <n v="10.999974597368288"/>
    <n v="5000"/>
    <n v="100"/>
    <x v="4490"/>
    <x v="6"/>
    <x v="3"/>
    <x v="1"/>
  </r>
  <r>
    <x v="380"/>
    <s v="ZTAN"/>
    <x v="14"/>
    <s v="TP3884"/>
    <s v="107643206"/>
    <s v="LA PINTANA"/>
    <x v="3488"/>
    <x v="1"/>
    <x v="1"/>
    <x v="31"/>
    <x v="1"/>
    <n v="4"/>
    <n v="55000"/>
    <n v="0"/>
    <n v="1"/>
    <n v="3.3387198012793976E-4"/>
    <n v="5000"/>
    <n v="60"/>
    <x v="4491"/>
    <x v="6"/>
    <x v="3"/>
    <x v="1"/>
  </r>
  <r>
    <x v="380"/>
    <s v="ZTAN"/>
    <x v="7"/>
    <s v="HLBX77"/>
    <s v="16093509K"/>
    <s v="RENCA"/>
    <x v="1219"/>
    <x v="1"/>
    <x v="1"/>
    <x v="7"/>
    <x v="1"/>
    <n v="1"/>
    <n v="55000"/>
    <n v="0"/>
    <n v="55000"/>
    <n v="20.014556040756915"/>
    <n v="5000"/>
    <n v="55"/>
    <x v="4492"/>
    <x v="6"/>
    <x v="3"/>
    <x v="1"/>
  </r>
  <r>
    <x v="380"/>
    <s v="ZTAN"/>
    <x v="7"/>
    <s v="WG4022"/>
    <s v="81417709"/>
    <s v="RENCA"/>
    <x v="3489"/>
    <x v="1"/>
    <x v="0"/>
    <x v="7"/>
    <x v="1"/>
    <n v="1"/>
    <n v="176928"/>
    <n v="0"/>
    <n v="176928"/>
    <n v="10.99997513118301"/>
    <n v="5000"/>
    <n v="100"/>
    <x v="4493"/>
    <x v="6"/>
    <x v="3"/>
    <x v="1"/>
  </r>
  <r>
    <x v="380"/>
    <s v="ZTAN"/>
    <x v="7"/>
    <s v="XR6339"/>
    <s v="78907355"/>
    <s v="RENCA"/>
    <x v="1219"/>
    <x v="1"/>
    <x v="1"/>
    <x v="7"/>
    <x v="1"/>
    <n v="1"/>
    <n v="55000"/>
    <n v="0"/>
    <n v="55000"/>
    <n v="20.014556040756915"/>
    <n v="5000"/>
    <n v="55"/>
    <x v="4494"/>
    <x v="6"/>
    <x v="3"/>
    <x v="1"/>
  </r>
  <r>
    <x v="381"/>
    <s v="ZPEP"/>
    <x v="5"/>
    <s v="DJLF85"/>
    <s v="125108660"/>
    <s v="MELIPILLA"/>
    <x v="3490"/>
    <x v="4"/>
    <x v="1"/>
    <x v="29"/>
    <x v="1"/>
    <n v="5"/>
    <n v="90000"/>
    <n v="0"/>
    <n v="90000"/>
    <n v="8.8046425902084557"/>
    <n v="10000"/>
    <n v="100"/>
    <x v="4495"/>
    <x v="6"/>
    <x v="3"/>
    <x v="1"/>
  </r>
  <r>
    <x v="381"/>
    <s v="ZPEP"/>
    <x v="5"/>
    <s v="HLBX77"/>
    <s v="16093509K"/>
    <s v="MELIPILLA"/>
    <x v="3491"/>
    <x v="1"/>
    <x v="1"/>
    <x v="29"/>
    <x v="1"/>
    <n v="5"/>
    <n v="90000"/>
    <n v="0"/>
    <n v="90000"/>
    <n v="8.4521168796287078"/>
    <n v="10000"/>
    <n v="100"/>
    <x v="4496"/>
    <x v="6"/>
    <x v="3"/>
    <x v="1"/>
  </r>
  <r>
    <x v="381"/>
    <s v="ZPEP"/>
    <x v="5"/>
    <s v="TP3884"/>
    <s v="107643206"/>
    <s v="MELIPILLA"/>
    <x v="2495"/>
    <x v="1"/>
    <x v="1"/>
    <x v="29"/>
    <x v="1"/>
    <n v="5"/>
    <n v="90000"/>
    <n v="0"/>
    <n v="90000"/>
    <n v="8.7434666873919209"/>
    <n v="10000"/>
    <n v="100"/>
    <x v="4497"/>
    <x v="6"/>
    <x v="3"/>
    <x v="1"/>
  </r>
  <r>
    <x v="381"/>
    <s v="ZTAN"/>
    <x v="4"/>
    <s v="XR6339"/>
    <s v="78907355"/>
    <s v="SAN BERNARDO"/>
    <x v="3492"/>
    <x v="1"/>
    <x v="1"/>
    <x v="4"/>
    <x v="1"/>
    <n v="4"/>
    <n v="85536"/>
    <n v="0"/>
    <n v="85536"/>
    <n v="10.064242852100246"/>
    <n v="5000"/>
    <n v="100"/>
    <x v="4498"/>
    <x v="6"/>
    <x v="3"/>
    <x v="1"/>
  </r>
  <r>
    <x v="381"/>
    <s v="ZTAN"/>
    <x v="10"/>
    <s v="RK5135"/>
    <s v="138841065"/>
    <s v="QUILICURA"/>
    <x v="3493"/>
    <x v="3"/>
    <x v="1"/>
    <x v="8"/>
    <x v="1"/>
    <n v="1"/>
    <n v="100503"/>
    <n v="0"/>
    <n v="100503"/>
    <n v="11.000031740437649"/>
    <n v="5000"/>
    <n v="100"/>
    <x v="4499"/>
    <x v="6"/>
    <x v="3"/>
    <x v="1"/>
  </r>
  <r>
    <x v="381"/>
    <s v="ZTAN"/>
    <x v="41"/>
    <s v="WG4022"/>
    <s v="81417709"/>
    <s v="EL MANZANO"/>
    <x v="1870"/>
    <x v="1"/>
    <x v="0"/>
    <x v="61"/>
    <x v="6"/>
    <n v="0"/>
    <n v="260000"/>
    <n v="0"/>
    <n v="260000"/>
    <n v="14.43674484719261"/>
    <n v="20000"/>
    <n v="90"/>
    <x v="4500"/>
    <x v="6"/>
    <x v="3"/>
    <x v="0"/>
  </r>
  <r>
    <x v="381"/>
    <s v="ZTAN"/>
    <x v="7"/>
    <s v="DFCF93"/>
    <s v="1218678435"/>
    <s v="CHILLAN"/>
    <x v="3494"/>
    <x v="0"/>
    <x v="0"/>
    <x v="21"/>
    <x v="5"/>
    <n v="0"/>
    <n v="400000"/>
    <n v="0"/>
    <n v="400000"/>
    <n v="64.750064750064752"/>
    <n v="20000"/>
    <n v="31"/>
    <x v="4501"/>
    <x v="6"/>
    <x v="3"/>
    <x v="0"/>
  </r>
  <r>
    <x v="381"/>
    <s v="ZTAN"/>
    <x v="7"/>
    <s v="DJLF85"/>
    <s v="53173292"/>
    <s v="RENCA"/>
    <x v="45"/>
    <x v="4"/>
    <x v="1"/>
    <x v="7"/>
    <x v="1"/>
    <n v="1"/>
    <n v="55000"/>
    <n v="0"/>
    <n v="55000"/>
    <n v="25.01819505094614"/>
    <n v="5000"/>
    <n v="44"/>
    <x v="4502"/>
    <x v="6"/>
    <x v="3"/>
    <x v="1"/>
  </r>
  <r>
    <x v="381"/>
    <s v="ZTAN"/>
    <x v="7"/>
    <s v="HLBX77"/>
    <s v="16093509K"/>
    <s v="RENCA"/>
    <x v="3179"/>
    <x v="1"/>
    <x v="1"/>
    <x v="7"/>
    <x v="1"/>
    <n v="1"/>
    <n v="55000"/>
    <n v="0"/>
    <n v="55000"/>
    <n v="20.011643137825644"/>
    <n v="5000"/>
    <n v="55"/>
    <x v="4503"/>
    <x v="6"/>
    <x v="3"/>
    <x v="1"/>
  </r>
  <r>
    <x v="381"/>
    <s v="ZTAN"/>
    <x v="8"/>
    <s v="BWPL69"/>
    <s v="78551976"/>
    <s v="LOS ANGELES"/>
    <x v="3495"/>
    <x v="5"/>
    <x v="0"/>
    <x v="57"/>
    <x v="0"/>
    <n v="0"/>
    <n v="460000"/>
    <n v="0"/>
    <n v="460000"/>
    <n v="30.801990076402351"/>
    <n v="20000"/>
    <n v="75"/>
    <x v="4504"/>
    <x v="6"/>
    <x v="3"/>
    <x v="0"/>
  </r>
  <r>
    <x v="381"/>
    <s v="ZTAN"/>
    <x v="8"/>
    <s v="DKDL88"/>
    <s v="122975819"/>
    <s v="TALCA"/>
    <x v="3496"/>
    <x v="0"/>
    <x v="0"/>
    <x v="12"/>
    <x v="3"/>
    <n v="0"/>
    <n v="360000"/>
    <n v="0"/>
    <n v="360000"/>
    <n v="25.519734197790701"/>
    <n v="20000"/>
    <n v="71"/>
    <x v="4505"/>
    <x v="6"/>
    <x v="3"/>
    <x v="0"/>
  </r>
  <r>
    <x v="382"/>
    <s v="ZPEP"/>
    <x v="17"/>
    <s v="RH1133"/>
    <s v="65941082"/>
    <s v="LO BARNECHEA"/>
    <x v="3497"/>
    <x v="0"/>
    <x v="0"/>
    <x v="41"/>
    <x v="1"/>
    <n v="4"/>
    <n v="155562"/>
    <n v="0"/>
    <n v="155562"/>
    <n v="10.729168534614159"/>
    <n v="5000"/>
    <n v="100"/>
    <x v="4506"/>
    <x v="6"/>
    <x v="3"/>
    <x v="1"/>
  </r>
  <r>
    <x v="382"/>
    <s v="ZPEP"/>
    <x v="5"/>
    <s v="WC2233"/>
    <s v="125108660"/>
    <s v="MELIPILLA"/>
    <x v="3498"/>
    <x v="4"/>
    <x v="1"/>
    <x v="29"/>
    <x v="1"/>
    <n v="5"/>
    <n v="90000"/>
    <n v="0"/>
    <n v="90000"/>
    <n v="8.2343382885751293"/>
    <n v="10000"/>
    <n v="100"/>
    <x v="4507"/>
    <x v="6"/>
    <x v="3"/>
    <x v="1"/>
  </r>
  <r>
    <x v="382"/>
    <s v="ZPEP"/>
    <x v="11"/>
    <s v="DJLF85"/>
    <s v="53173292"/>
    <s v="BUIN"/>
    <x v="3499"/>
    <x v="4"/>
    <x v="1"/>
    <x v="56"/>
    <x v="1"/>
    <n v="5"/>
    <n v="90000"/>
    <n v="0"/>
    <n v="90000"/>
    <n v="9.141659150191364"/>
    <n v="10000"/>
    <n v="98"/>
    <x v="4508"/>
    <x v="6"/>
    <x v="3"/>
    <x v="1"/>
  </r>
  <r>
    <x v="382"/>
    <s v="ZPEP"/>
    <x v="7"/>
    <s v="WG4022"/>
    <s v="81417709"/>
    <s v="RENCA"/>
    <x v="3500"/>
    <x v="1"/>
    <x v="0"/>
    <x v="7"/>
    <x v="1"/>
    <n v="1"/>
    <n v="101640"/>
    <n v="0"/>
    <n v="101640"/>
    <n v="11"/>
    <n v="5000"/>
    <n v="100"/>
    <x v="4509"/>
    <x v="6"/>
    <x v="3"/>
    <x v="1"/>
  </r>
  <r>
    <x v="382"/>
    <s v="ZTAN"/>
    <x v="17"/>
    <s v="RH1133"/>
    <s v="65941082"/>
    <s v="LAMPA"/>
    <x v="2666"/>
    <x v="0"/>
    <x v="0"/>
    <x v="17"/>
    <x v="1"/>
    <n v="5"/>
    <n v="120000"/>
    <n v="0"/>
    <n v="120000"/>
    <n v="15.068751177246181"/>
    <n v="10000"/>
    <n v="80"/>
    <x v="4510"/>
    <x v="6"/>
    <x v="3"/>
    <x v="1"/>
  </r>
  <r>
    <x v="382"/>
    <s v="ZTAN"/>
    <x v="4"/>
    <s v="DJLF85"/>
    <s v="53173292"/>
    <s v="SAN ANTONIO"/>
    <x v="3501"/>
    <x v="4"/>
    <x v="1"/>
    <x v="55"/>
    <x v="2"/>
    <n v="0"/>
    <n v="180000"/>
    <n v="0"/>
    <n v="180000"/>
    <n v="20.682047982351317"/>
    <n v="20000"/>
    <n v="100"/>
    <x v="4511"/>
    <x v="6"/>
    <x v="3"/>
    <x v="0"/>
  </r>
  <r>
    <x v="382"/>
    <s v="ZTAN"/>
    <x v="4"/>
    <s v="TP3884"/>
    <s v="107643206"/>
    <s v="SAN BERNARDO"/>
    <x v="3502"/>
    <x v="1"/>
    <x v="1"/>
    <x v="4"/>
    <x v="1"/>
    <n v="4"/>
    <n v="55000"/>
    <n v="0"/>
    <n v="55000"/>
    <n v="14.79274026099773"/>
    <n v="5000"/>
    <n v="74"/>
    <x v="4512"/>
    <x v="6"/>
    <x v="3"/>
    <x v="1"/>
  </r>
  <r>
    <x v="382"/>
    <s v="ZTAN"/>
    <x v="7"/>
    <s v="HLBX77"/>
    <s v="160935096K"/>
    <s v="RENCA"/>
    <x v="3420"/>
    <x v="1"/>
    <x v="1"/>
    <x v="7"/>
    <x v="1"/>
    <n v="1"/>
    <n v="55000"/>
    <n v="0"/>
    <n v="55000"/>
    <n v="20.013099483298159"/>
    <n v="5000"/>
    <n v="55"/>
    <x v="4513"/>
    <x v="6"/>
    <x v="3"/>
    <x v="1"/>
  </r>
  <r>
    <x v="382"/>
    <s v="ZTAN"/>
    <x v="7"/>
    <s v="WG4022"/>
    <s v="81417709"/>
    <s v="RENCA"/>
    <x v="3503"/>
    <x v="1"/>
    <x v="0"/>
    <x v="7"/>
    <x v="1"/>
    <n v="1"/>
    <n v="216058"/>
    <n v="0"/>
    <n v="216058"/>
    <n v="11.00002036493972"/>
    <n v="5000"/>
    <n v="100"/>
    <x v="4514"/>
    <x v="6"/>
    <x v="3"/>
    <x v="1"/>
  </r>
  <r>
    <x v="382"/>
    <s v="ZTAN"/>
    <x v="7"/>
    <s v="XR6339"/>
    <s v="789078355"/>
    <s v="RENCA"/>
    <x v="3504"/>
    <x v="1"/>
    <x v="1"/>
    <x v="7"/>
    <x v="1"/>
    <n v="1"/>
    <n v="55000"/>
    <n v="0"/>
    <n v="55000"/>
    <n v="20.016012810248196"/>
    <n v="5000"/>
    <n v="55"/>
    <x v="4515"/>
    <x v="6"/>
    <x v="3"/>
    <x v="1"/>
  </r>
  <r>
    <x v="382"/>
    <s v="ZTAN"/>
    <x v="8"/>
    <s v="DRFV76"/>
    <s v="113693568"/>
    <s v="TALCAHUANO"/>
    <x v="3505"/>
    <x v="0"/>
    <x v="0"/>
    <x v="0"/>
    <x v="0"/>
    <n v="0"/>
    <n v="430000"/>
    <n v="0"/>
    <n v="430000"/>
    <n v="37.271839998058368"/>
    <n v="20000"/>
    <n v="58"/>
    <x v="4516"/>
    <x v="6"/>
    <x v="3"/>
    <x v="0"/>
  </r>
  <r>
    <x v="382"/>
    <s v="ZTAN"/>
    <x v="8"/>
    <s v="RK5135"/>
    <s v="8841065"/>
    <s v="CERRILLOS"/>
    <x v="3506"/>
    <x v="3"/>
    <x v="1"/>
    <x v="9"/>
    <x v="1"/>
    <n v="2"/>
    <n v="55000"/>
    <n v="0"/>
    <n v="55000"/>
    <n v="13.812466881471455"/>
    <n v="5000"/>
    <n v="80"/>
    <x v="4517"/>
    <x v="6"/>
    <x v="3"/>
    <x v="1"/>
  </r>
  <r>
    <x v="382"/>
    <s v="ZTAN"/>
    <x v="8"/>
    <s v="SV2718"/>
    <s v="99626232"/>
    <s v="HUECHURABA"/>
    <x v="3507"/>
    <x v="1"/>
    <x v="1"/>
    <x v="24"/>
    <x v="1"/>
    <n v="1"/>
    <n v="56166"/>
    <n v="0"/>
    <n v="56166"/>
    <n v="10.999978456759782"/>
    <n v="5000"/>
    <n v="100"/>
    <x v="4518"/>
    <x v="6"/>
    <x v="3"/>
    <x v="1"/>
  </r>
  <r>
    <x v="382"/>
    <s v="ZTAN"/>
    <x v="8"/>
    <s v="TP3884"/>
    <s v="107643206"/>
    <s v="QUILICURA"/>
    <x v="3508"/>
    <x v="1"/>
    <x v="1"/>
    <x v="8"/>
    <x v="1"/>
    <n v="1"/>
    <n v="55000"/>
    <n v="0"/>
    <n v="55000"/>
    <n v="11.251953748332665"/>
    <n v="5000"/>
    <n v="98"/>
    <x v="4519"/>
    <x v="6"/>
    <x v="3"/>
    <x v="1"/>
  </r>
  <r>
    <x v="383"/>
    <s v="ZPEP"/>
    <x v="46"/>
    <s v="HLBX77"/>
    <s v="16093509K"/>
    <s v="PUENTE ALTO"/>
    <x v="3509"/>
    <x v="1"/>
    <x v="1"/>
    <x v="30"/>
    <x v="1"/>
    <n v="4"/>
    <n v="112535"/>
    <n v="0"/>
    <n v="112535"/>
    <n v="11.000004887370546"/>
    <n v="5000"/>
    <n v="100"/>
    <x v="4520"/>
    <x v="6"/>
    <x v="3"/>
    <x v="1"/>
  </r>
  <r>
    <x v="383"/>
    <s v="ZTAN"/>
    <x v="4"/>
    <s v="RK5135"/>
    <s v="138841065"/>
    <s v="SAN BERNARDO"/>
    <x v="3510"/>
    <x v="3"/>
    <x v="1"/>
    <x v="4"/>
    <x v="1"/>
    <n v="4"/>
    <n v="92994"/>
    <n v="0"/>
    <n v="92994"/>
    <n v="11.000000000000002"/>
    <n v="5000"/>
    <n v="100"/>
    <x v="4521"/>
    <x v="6"/>
    <x v="3"/>
    <x v="1"/>
  </r>
  <r>
    <x v="383"/>
    <s v="ZTAN"/>
    <x v="10"/>
    <s v="KKPF51"/>
    <s v="95707334"/>
    <s v="SANTIAGO"/>
    <x v="419"/>
    <x v="8"/>
    <x v="0"/>
    <x v="20"/>
    <x v="1"/>
    <n v="1"/>
    <n v="90684"/>
    <n v="0"/>
    <n v="90684"/>
    <n v="10.999999999999995"/>
    <n v="5000"/>
    <n v="100"/>
    <x v="4522"/>
    <x v="6"/>
    <x v="3"/>
    <x v="1"/>
  </r>
  <r>
    <x v="383"/>
    <s v="ZTAN"/>
    <x v="10"/>
    <s v="RH1133"/>
    <s v="65941082"/>
    <s v="SANTIAGO"/>
    <x v="419"/>
    <x v="0"/>
    <x v="0"/>
    <x v="20"/>
    <x v="1"/>
    <n v="1"/>
    <n v="90684"/>
    <n v="0"/>
    <n v="90684"/>
    <n v="10.999999999999995"/>
    <n v="5000"/>
    <n v="100"/>
    <x v="4523"/>
    <x v="6"/>
    <x v="3"/>
    <x v="1"/>
  </r>
  <r>
    <x v="383"/>
    <s v="ZTAN"/>
    <x v="7"/>
    <s v="WC2233"/>
    <s v="125108660"/>
    <s v="RENCA"/>
    <x v="1219"/>
    <x v="4"/>
    <x v="1"/>
    <x v="7"/>
    <x v="1"/>
    <n v="1"/>
    <n v="55000"/>
    <n v="0"/>
    <n v="55000"/>
    <n v="20.014556040756915"/>
    <n v="5000"/>
    <n v="55"/>
    <x v="4524"/>
    <x v="6"/>
    <x v="3"/>
    <x v="1"/>
  </r>
  <r>
    <x v="383"/>
    <s v="ZTAN"/>
    <x v="7"/>
    <s v="WG4022"/>
    <s v="81417709"/>
    <s v="RENCA"/>
    <x v="419"/>
    <x v="1"/>
    <x v="0"/>
    <x v="7"/>
    <x v="1"/>
    <n v="1"/>
    <n v="90684"/>
    <n v="0"/>
    <n v="90684"/>
    <n v="10.999999999999995"/>
    <n v="5000"/>
    <n v="100"/>
    <x v="4525"/>
    <x v="6"/>
    <x v="3"/>
    <x v="1"/>
  </r>
  <r>
    <x v="383"/>
    <s v="ZTAN"/>
    <x v="7"/>
    <s v="XR6339"/>
    <s v="78907355"/>
    <s v="RENCA"/>
    <x v="1219"/>
    <x v="1"/>
    <x v="1"/>
    <x v="7"/>
    <x v="1"/>
    <n v="1"/>
    <n v="55000"/>
    <n v="0"/>
    <n v="55000"/>
    <n v="20.014556040756915"/>
    <n v="5000"/>
    <n v="55"/>
    <x v="4526"/>
    <x v="6"/>
    <x v="3"/>
    <x v="1"/>
  </r>
  <r>
    <x v="383"/>
    <s v="ZTAN"/>
    <x v="8"/>
    <s v="HLBX77"/>
    <s v="16093509K"/>
    <s v="PUDAHUEL"/>
    <x v="3511"/>
    <x v="1"/>
    <x v="1"/>
    <x v="10"/>
    <x v="1"/>
    <n v="1"/>
    <n v="69872"/>
    <n v="0"/>
    <n v="69872"/>
    <n v="8.7856154910096826"/>
    <n v="5000"/>
    <n v="100"/>
    <x v="4527"/>
    <x v="6"/>
    <x v="3"/>
    <x v="1"/>
  </r>
  <r>
    <x v="383"/>
    <s v="ZTAN"/>
    <x v="8"/>
    <s v="SV2718"/>
    <s v="99626232"/>
    <s v="ÑUÑOA"/>
    <x v="3512"/>
    <x v="1"/>
    <x v="1"/>
    <x v="15"/>
    <x v="1"/>
    <n v="4"/>
    <n v="55000"/>
    <n v="0"/>
    <n v="55000"/>
    <n v="15.366562360303973"/>
    <n v="5000"/>
    <n v="72"/>
    <x v="4528"/>
    <x v="6"/>
    <x v="3"/>
    <x v="1"/>
  </r>
  <r>
    <x v="383"/>
    <s v="ZTAN"/>
    <x v="8"/>
    <s v="TP3884"/>
    <s v="107643206"/>
    <s v="ÑUÑOA"/>
    <x v="3513"/>
    <x v="1"/>
    <x v="1"/>
    <x v="15"/>
    <x v="1"/>
    <n v="4"/>
    <n v="55000"/>
    <n v="0"/>
    <n v="55000"/>
    <n v="15.002318540138022"/>
    <n v="5000"/>
    <n v="73"/>
    <x v="4529"/>
    <x v="6"/>
    <x v="3"/>
    <x v="1"/>
  </r>
  <r>
    <x v="384"/>
    <s v="ZPEP"/>
    <x v="46"/>
    <s v="HLBX77"/>
    <s v="16093509K"/>
    <s v="PUENTE ALTO"/>
    <x v="3514"/>
    <x v="1"/>
    <x v="1"/>
    <x v="30"/>
    <x v="1"/>
    <n v="4"/>
    <n v="93907"/>
    <n v="0"/>
    <n v="93907"/>
    <n v="10.999948459887737"/>
    <n v="5000"/>
    <n v="100"/>
    <x v="4530"/>
    <x v="6"/>
    <x v="3"/>
    <x v="1"/>
  </r>
  <r>
    <x v="384"/>
    <s v="ZPEP"/>
    <x v="2"/>
    <s v="DJLF85"/>
    <s v="125108660"/>
    <s v="SAN BERNARDO"/>
    <x v="3515"/>
    <x v="4"/>
    <x v="1"/>
    <x v="4"/>
    <x v="1"/>
    <n v="4"/>
    <n v="67406"/>
    <n v="0"/>
    <n v="67406"/>
    <n v="10.999942883719413"/>
    <n v="5000"/>
    <n v="100"/>
    <x v="4531"/>
    <x v="6"/>
    <x v="3"/>
    <x v="1"/>
  </r>
  <r>
    <x v="384"/>
    <s v="ZTAN"/>
    <x v="97"/>
    <s v="XR6339"/>
    <s v="78907355"/>
    <s v="LAS CONDES"/>
    <x v="3516"/>
    <x v="1"/>
    <x v="1"/>
    <x v="3"/>
    <x v="1"/>
    <n v="4"/>
    <n v="131293"/>
    <n v="0"/>
    <n v="131293"/>
    <n v="11.000006702570101"/>
    <n v="5000"/>
    <n v="100"/>
    <x v="4532"/>
    <x v="6"/>
    <x v="3"/>
    <x v="1"/>
  </r>
  <r>
    <x v="384"/>
    <s v="ZTAN"/>
    <x v="6"/>
    <s v="DJLF85"/>
    <s v="125108660"/>
    <s v="VIÑA DEL MAR"/>
    <x v="3517"/>
    <x v="4"/>
    <x v="1"/>
    <x v="6"/>
    <x v="2"/>
    <n v="0"/>
    <n v="203000"/>
    <n v="0"/>
    <n v="203000"/>
    <n v="38.867742454296895"/>
    <n v="20000"/>
    <n v="26"/>
    <x v="4533"/>
    <x v="6"/>
    <x v="3"/>
    <x v="0"/>
  </r>
  <r>
    <x v="384"/>
    <s v="ZTAN"/>
    <x v="6"/>
    <s v="TP3884"/>
    <s v="107643206"/>
    <s v="QUILPUE"/>
    <x v="3518"/>
    <x v="1"/>
    <x v="1"/>
    <x v="58"/>
    <x v="2"/>
    <n v="0"/>
    <n v="203000"/>
    <n v="0"/>
    <n v="203000"/>
    <n v="25.21801783895252"/>
    <n v="20000"/>
    <n v="40"/>
    <x v="4534"/>
    <x v="6"/>
    <x v="3"/>
    <x v="0"/>
  </r>
  <r>
    <x v="384"/>
    <s v="ZTAN"/>
    <x v="7"/>
    <s v="DJLF85"/>
    <s v="53173292"/>
    <s v="RENCA"/>
    <x v="3519"/>
    <x v="4"/>
    <x v="1"/>
    <x v="7"/>
    <x v="1"/>
    <n v="1"/>
    <n v="154747"/>
    <n v="0"/>
    <n v="154747"/>
    <n v="10.472932274852971"/>
    <n v="5000"/>
    <n v="100"/>
    <x v="4535"/>
    <x v="6"/>
    <x v="3"/>
    <x v="1"/>
  </r>
  <r>
    <x v="384"/>
    <s v="ZTAN"/>
    <x v="7"/>
    <s v="HLBX77"/>
    <s v="16093509K"/>
    <s v="RENCA"/>
    <x v="3520"/>
    <x v="1"/>
    <x v="1"/>
    <x v="7"/>
    <x v="1"/>
    <n v="1"/>
    <n v="105655"/>
    <n v="0"/>
    <n v="105655"/>
    <n v="10.26275090097152"/>
    <n v="5000"/>
    <n v="100"/>
    <x v="4536"/>
    <x v="6"/>
    <x v="3"/>
    <x v="1"/>
  </r>
  <r>
    <x v="384"/>
    <s v="ZTAN"/>
    <x v="7"/>
    <s v="RK5135"/>
    <s v="138841065"/>
    <s v="MELIPILLA"/>
    <x v="1875"/>
    <x v="3"/>
    <x v="1"/>
    <x v="29"/>
    <x v="1"/>
    <n v="5"/>
    <n v="90000"/>
    <n v="0"/>
    <n v="90000"/>
    <n v="25.012506253126556"/>
    <n v="10000"/>
    <n v="36"/>
    <x v="4537"/>
    <x v="6"/>
    <x v="3"/>
    <x v="1"/>
  </r>
  <r>
    <x v="384"/>
    <s v="ZTAN"/>
    <x v="7"/>
    <s v="WG4022"/>
    <s v="81417709"/>
    <s v="RENCA"/>
    <x v="419"/>
    <x v="1"/>
    <x v="0"/>
    <x v="7"/>
    <x v="1"/>
    <n v="1"/>
    <n v="90684"/>
    <n v="0"/>
    <n v="90684"/>
    <n v="10.999999999999995"/>
    <n v="5000"/>
    <n v="100"/>
    <x v="4538"/>
    <x v="6"/>
    <x v="3"/>
    <x v="1"/>
  </r>
  <r>
    <x v="384"/>
    <s v="ZTAN"/>
    <x v="8"/>
    <s v="SV2718"/>
    <s v="99626232"/>
    <s v="SAN BERNARDO"/>
    <x v="2742"/>
    <x v="1"/>
    <x v="1"/>
    <x v="4"/>
    <x v="1"/>
    <n v="4"/>
    <n v="55843"/>
    <n v="0"/>
    <n v="55843"/>
    <n v="11.000078792892882"/>
    <n v="5000"/>
    <n v="100"/>
    <x v="4539"/>
    <x v="6"/>
    <x v="3"/>
    <x v="1"/>
  </r>
  <r>
    <x v="384"/>
    <s v="ZTAN"/>
    <x v="8"/>
    <s v="XR6339"/>
    <s v="78907355"/>
    <s v="PUDAHUEL"/>
    <x v="3521"/>
    <x v="1"/>
    <x v="1"/>
    <x v="10"/>
    <x v="1"/>
    <n v="1"/>
    <n v="55000"/>
    <n v="0"/>
    <n v="55000"/>
    <n v="8.8769238715008782"/>
    <n v="5000"/>
    <n v="100"/>
    <x v="4540"/>
    <x v="6"/>
    <x v="3"/>
    <x v="1"/>
  </r>
  <r>
    <x v="385"/>
    <s v="ZPEP"/>
    <x v="46"/>
    <s v="DJLF85"/>
    <s v="125108660"/>
    <s v="PUENTE ALTO"/>
    <x v="3522"/>
    <x v="4"/>
    <x v="1"/>
    <x v="30"/>
    <x v="1"/>
    <n v="4"/>
    <n v="76815"/>
    <n v="0"/>
    <n v="76815"/>
    <n v="10.999971359835035"/>
    <n v="5000"/>
    <n v="100"/>
    <x v="4541"/>
    <x v="6"/>
    <x v="3"/>
    <x v="1"/>
  </r>
  <r>
    <x v="385"/>
    <s v="ZPEP"/>
    <x v="46"/>
    <s v="HLBX77"/>
    <s v="16093509K"/>
    <s v="PUENTE ALTO"/>
    <x v="3523"/>
    <x v="1"/>
    <x v="1"/>
    <x v="30"/>
    <x v="1"/>
    <n v="4"/>
    <n v="124274"/>
    <n v="0"/>
    <n v="124274"/>
    <n v="11.000015932559247"/>
    <n v="5000"/>
    <n v="100"/>
    <x v="4542"/>
    <x v="6"/>
    <x v="3"/>
    <x v="1"/>
  </r>
  <r>
    <x v="385"/>
    <s v="ZPEP"/>
    <x v="11"/>
    <s v="XR6339"/>
    <s v="78907355"/>
    <s v="BUIN"/>
    <x v="3524"/>
    <x v="1"/>
    <x v="1"/>
    <x v="56"/>
    <x v="1"/>
    <n v="5"/>
    <n v="90000"/>
    <n v="0"/>
    <n v="90000"/>
    <n v="10.519671786240268"/>
    <n v="10000"/>
    <n v="86"/>
    <x v="4543"/>
    <x v="6"/>
    <x v="3"/>
    <x v="1"/>
  </r>
  <r>
    <x v="385"/>
    <s v="ZTAN"/>
    <x v="4"/>
    <s v="SV2718"/>
    <s v="99626232"/>
    <s v="FLORIDA"/>
    <x v="3525"/>
    <x v="1"/>
    <x v="1"/>
    <x v="99"/>
    <x v="0"/>
    <n v="0"/>
    <n v="55000"/>
    <n v="0"/>
    <n v="55000"/>
    <n v="7.3294243070362475"/>
    <n v="20000"/>
    <n v="95000"/>
    <x v="4544"/>
    <x v="6"/>
    <x v="3"/>
    <x v="0"/>
  </r>
  <r>
    <x v="385"/>
    <s v="ZTAN"/>
    <x v="10"/>
    <s v="KKPF51"/>
    <s v="95707734"/>
    <s v="SANTIAGO"/>
    <x v="3526"/>
    <x v="8"/>
    <x v="0"/>
    <x v="20"/>
    <x v="1"/>
    <n v="1"/>
    <n v="173263"/>
    <n v="0"/>
    <n v="173263"/>
    <n v="10.999987302554732"/>
    <n v="5000"/>
    <n v="100"/>
    <x v="4545"/>
    <x v="6"/>
    <x v="3"/>
    <x v="1"/>
  </r>
  <r>
    <x v="385"/>
    <s v="ZTAN"/>
    <x v="10"/>
    <s v="PN4466"/>
    <s v="81417709"/>
    <s v="QUILICURA"/>
    <x v="3527"/>
    <x v="1"/>
    <x v="0"/>
    <x v="8"/>
    <x v="1"/>
    <n v="1"/>
    <n v="93478"/>
    <n v="0"/>
    <n v="93478"/>
    <n v="10.306284454244762"/>
    <n v="5000"/>
    <n v="100"/>
    <x v="4546"/>
    <x v="6"/>
    <x v="3"/>
    <x v="1"/>
  </r>
  <r>
    <x v="385"/>
    <s v="ZTAN"/>
    <x v="10"/>
    <s v="RH1133"/>
    <s v="65941082"/>
    <s v="QUILICURA"/>
    <x v="3528"/>
    <x v="0"/>
    <x v="0"/>
    <x v="8"/>
    <x v="1"/>
    <n v="1"/>
    <n v="128492"/>
    <n v="0"/>
    <n v="128492"/>
    <n v="10.685316546224147"/>
    <n v="5000"/>
    <n v="100"/>
    <x v="4547"/>
    <x v="6"/>
    <x v="3"/>
    <x v="1"/>
  </r>
  <r>
    <x v="385"/>
    <s v="ZTAN"/>
    <x v="6"/>
    <s v="TP3884"/>
    <s v="107643206"/>
    <s v="LOS ANDES"/>
    <x v="3529"/>
    <x v="1"/>
    <x v="1"/>
    <x v="38"/>
    <x v="2"/>
    <n v="0"/>
    <n v="203000"/>
    <n v="0"/>
    <n v="203000"/>
    <n v="30.189464917759739"/>
    <n v="20000"/>
    <n v="34"/>
    <x v="4548"/>
    <x v="6"/>
    <x v="3"/>
    <x v="0"/>
  </r>
  <r>
    <x v="385"/>
    <s v="ZTAN"/>
    <x v="7"/>
    <s v="DJLF85"/>
    <s v="125108660"/>
    <s v="RENCA"/>
    <x v="1219"/>
    <x v="4"/>
    <x v="1"/>
    <x v="7"/>
    <x v="1"/>
    <n v="1"/>
    <n v="55000"/>
    <n v="0"/>
    <n v="55000"/>
    <n v="20.014556040756915"/>
    <n v="5000"/>
    <n v="55"/>
    <x v="4549"/>
    <x v="6"/>
    <x v="3"/>
    <x v="1"/>
  </r>
  <r>
    <x v="385"/>
    <s v="ZTAN"/>
    <x v="7"/>
    <s v="WG4022"/>
    <s v="154837728"/>
    <s v="RENCA"/>
    <x v="2521"/>
    <x v="1"/>
    <x v="0"/>
    <x v="7"/>
    <x v="1"/>
    <n v="1"/>
    <n v="55000"/>
    <n v="0"/>
    <n v="55000"/>
    <n v="6.6711949929649217"/>
    <n v="5000"/>
    <n v="100"/>
    <x v="4550"/>
    <x v="6"/>
    <x v="3"/>
    <x v="1"/>
  </r>
  <r>
    <x v="385"/>
    <s v="ZTAN"/>
    <x v="7"/>
    <s v="XR6339"/>
    <s v="78907355"/>
    <s v="RENCA"/>
    <x v="3530"/>
    <x v="1"/>
    <x v="1"/>
    <x v="7"/>
    <x v="1"/>
    <n v="1"/>
    <n v="65978"/>
    <n v="0"/>
    <n v="65978"/>
    <n v="11"/>
    <n v="5000"/>
    <n v="100"/>
    <x v="4551"/>
    <x v="6"/>
    <x v="3"/>
    <x v="1"/>
  </r>
  <r>
    <x v="385"/>
    <s v="ZTAN"/>
    <x v="8"/>
    <s v="SV2718"/>
    <s v="99626232"/>
    <s v="LAS CONDES"/>
    <x v="3531"/>
    <x v="1"/>
    <x v="1"/>
    <x v="3"/>
    <x v="1"/>
    <n v="4"/>
    <n v="74372"/>
    <n v="0"/>
    <n v="74372"/>
    <n v="10.999985209507329"/>
    <n v="5000"/>
    <n v="100"/>
    <x v="4552"/>
    <x v="6"/>
    <x v="3"/>
    <x v="1"/>
  </r>
  <r>
    <x v="386"/>
    <s v="ZPEP"/>
    <x v="46"/>
    <s v="HLBX77"/>
    <s v="16093509K"/>
    <s v="PUENTE ALTO"/>
    <x v="3532"/>
    <x v="1"/>
    <x v="1"/>
    <x v="30"/>
    <x v="1"/>
    <n v="4"/>
    <n v="104052"/>
    <n v="0"/>
    <n v="104052"/>
    <n v="10.999968285179666"/>
    <n v="5000"/>
    <n v="100"/>
    <x v="4553"/>
    <x v="6"/>
    <x v="3"/>
    <x v="1"/>
  </r>
  <r>
    <x v="386"/>
    <s v="ZPEP"/>
    <x v="8"/>
    <s v="WC2233"/>
    <s v="12510866"/>
    <s v="QUILICURA"/>
    <x v="3533"/>
    <x v="4"/>
    <x v="1"/>
    <x v="8"/>
    <x v="1"/>
    <n v="1"/>
    <n v="130636"/>
    <n v="0"/>
    <n v="130636"/>
    <n v="11.000000000000009"/>
    <n v="5000"/>
    <n v="100"/>
    <x v="4554"/>
    <x v="6"/>
    <x v="3"/>
    <x v="1"/>
  </r>
  <r>
    <x v="386"/>
    <s v="ZTAN"/>
    <x v="47"/>
    <s v="RK5135"/>
    <s v="138841065"/>
    <s v="SAN JOAQUIN"/>
    <x v="3534"/>
    <x v="3"/>
    <x v="1"/>
    <x v="67"/>
    <x v="1"/>
    <n v="3"/>
    <n v="5000"/>
    <n v="0"/>
    <n v="5000"/>
    <n v="1.2782493097453729"/>
    <n v="5000"/>
    <n v="78"/>
    <x v="4555"/>
    <x v="6"/>
    <x v="3"/>
    <x v="1"/>
  </r>
  <r>
    <x v="386"/>
    <s v="ZTAN"/>
    <x v="65"/>
    <s v="WG4022"/>
    <s v="154837728"/>
    <s v="LINARES"/>
    <x v="1931"/>
    <x v="1"/>
    <x v="0"/>
    <x v="59"/>
    <x v="3"/>
    <n v="0"/>
    <n v="350000"/>
    <n v="0"/>
    <n v="350000"/>
    <n v="20.583392143025158"/>
    <n v="20000"/>
    <n v="85"/>
    <x v="4556"/>
    <x v="6"/>
    <x v="3"/>
    <x v="0"/>
  </r>
  <r>
    <x v="386"/>
    <s v="ZTAN"/>
    <x v="6"/>
    <s v="DKDL88"/>
    <s v="122975819"/>
    <s v="COPIAPO"/>
    <x v="3535"/>
    <x v="0"/>
    <x v="0"/>
    <x v="60"/>
    <x v="9"/>
    <n v="0"/>
    <n v="1000000"/>
    <n v="0"/>
    <n v="1000000"/>
    <n v="89.499073684587373"/>
    <n v="20000"/>
    <n v="56"/>
    <x v="4557"/>
    <x v="6"/>
    <x v="3"/>
    <x v="0"/>
  </r>
  <r>
    <x v="386"/>
    <s v="ZTAN"/>
    <x v="6"/>
    <s v="KKPF51"/>
    <s v="95707734"/>
    <s v="LA SERENA"/>
    <x v="3536"/>
    <x v="8"/>
    <x v="0"/>
    <x v="63"/>
    <x v="8"/>
    <n v="0"/>
    <n v="650000"/>
    <n v="0"/>
    <n v="750000"/>
    <n v="57.978095102628956"/>
    <n v="20000"/>
    <n v="66"/>
    <x v="4558"/>
    <x v="6"/>
    <x v="3"/>
    <x v="0"/>
  </r>
  <r>
    <x v="386"/>
    <s v="ZTAN"/>
    <x v="7"/>
    <s v="DJLF85"/>
    <s v="53173292"/>
    <s v="RENCA"/>
    <x v="3537"/>
    <x v="4"/>
    <x v="1"/>
    <x v="7"/>
    <x v="1"/>
    <n v="1"/>
    <n v="102747"/>
    <n v="0"/>
    <n v="102747"/>
    <n v="11.000042823801468"/>
    <n v="5000"/>
    <n v="100"/>
    <x v="4559"/>
    <x v="6"/>
    <x v="3"/>
    <x v="1"/>
  </r>
  <r>
    <x v="386"/>
    <s v="ZTAN"/>
    <x v="7"/>
    <s v="HLBX77"/>
    <s v="16093509K"/>
    <s v="RENCA"/>
    <x v="3538"/>
    <x v="1"/>
    <x v="1"/>
    <x v="7"/>
    <x v="1"/>
    <n v="1"/>
    <n v="55000"/>
    <n v="0"/>
    <n v="55000"/>
    <n v="16.01164483260553"/>
    <n v="5000"/>
    <n v="69"/>
    <x v="4560"/>
    <x v="6"/>
    <x v="3"/>
    <x v="1"/>
  </r>
  <r>
    <x v="386"/>
    <s v="ZTAN"/>
    <x v="7"/>
    <s v="XR6339"/>
    <s v="78907355"/>
    <s v="SANTIAGO"/>
    <x v="3539"/>
    <x v="1"/>
    <x v="1"/>
    <x v="20"/>
    <x v="1"/>
    <n v="1"/>
    <n v="79181"/>
    <n v="0"/>
    <n v="79181"/>
    <n v="6.074351952007242"/>
    <n v="5000"/>
    <n v="100"/>
    <x v="4561"/>
    <x v="6"/>
    <x v="3"/>
    <x v="1"/>
  </r>
  <r>
    <x v="386"/>
    <s v="ZTAN"/>
    <x v="8"/>
    <s v="BWPL69"/>
    <s v="78551976"/>
    <s v="TALCA"/>
    <x v="3540"/>
    <x v="5"/>
    <x v="0"/>
    <x v="12"/>
    <x v="3"/>
    <n v="0"/>
    <n v="360000"/>
    <n v="0"/>
    <n v="360000"/>
    <n v="35.074113550494062"/>
    <n v="20000"/>
    <n v="51"/>
    <x v="4562"/>
    <x v="6"/>
    <x v="3"/>
    <x v="0"/>
  </r>
  <r>
    <x v="386"/>
    <s v="ZTAN"/>
    <x v="8"/>
    <s v="SV2718"/>
    <s v="99626232"/>
    <s v="LA REINA"/>
    <x v="3541"/>
    <x v="1"/>
    <x v="1"/>
    <x v="11"/>
    <x v="1"/>
    <n v="3"/>
    <n v="55000"/>
    <n v="0"/>
    <n v="55000"/>
    <n v="13.702725596691414"/>
    <n v="5000"/>
    <n v="80"/>
    <x v="4563"/>
    <x v="6"/>
    <x v="3"/>
    <x v="1"/>
  </r>
  <r>
    <x v="386"/>
    <s v="ZTAN"/>
    <x v="8"/>
    <s v="TP3884"/>
    <s v="107643204"/>
    <s v="SAN MIGUEL"/>
    <x v="97"/>
    <x v="1"/>
    <x v="1"/>
    <x v="23"/>
    <x v="1"/>
    <n v="2"/>
    <n v="55000"/>
    <n v="0"/>
    <n v="55000"/>
    <n v="13.918412794817289"/>
    <n v="5000"/>
    <n v="79"/>
    <x v="4564"/>
    <x v="6"/>
    <x v="3"/>
    <x v="1"/>
  </r>
  <r>
    <x v="387"/>
    <s v="ZPEP"/>
    <x v="5"/>
    <s v="DJLF85"/>
    <s v="53173292"/>
    <s v="MELIPILLA"/>
    <x v="3542"/>
    <x v="4"/>
    <x v="1"/>
    <x v="29"/>
    <x v="1"/>
    <n v="5"/>
    <n v="90000"/>
    <n v="0"/>
    <n v="90000"/>
    <n v="8.1735109225350957"/>
    <n v="10000"/>
    <n v="100"/>
    <x v="4565"/>
    <x v="6"/>
    <x v="3"/>
    <x v="1"/>
  </r>
  <r>
    <x v="387"/>
    <s v="ZPEP"/>
    <x v="5"/>
    <s v="WC4022"/>
    <s v="125108660"/>
    <s v="MELIPILLA"/>
    <x v="3543"/>
    <x v="1"/>
    <x v="1"/>
    <x v="29"/>
    <x v="1"/>
    <n v="5"/>
    <n v="90000"/>
    <n v="0"/>
    <n v="90000"/>
    <n v="7.4242724213027129"/>
    <n v="10000"/>
    <n v="100"/>
    <x v="4566"/>
    <x v="6"/>
    <x v="3"/>
    <x v="1"/>
  </r>
  <r>
    <x v="387"/>
    <s v="ZPEP"/>
    <x v="11"/>
    <s v="HLBX77"/>
    <s v="16093509K"/>
    <s v="BUIN"/>
    <x v="3544"/>
    <x v="1"/>
    <x v="1"/>
    <x v="56"/>
    <x v="1"/>
    <n v="5"/>
    <n v="90000"/>
    <n v="0"/>
    <n v="90000"/>
    <n v="9.5675977356685351"/>
    <n v="10000"/>
    <n v="94"/>
    <x v="4567"/>
    <x v="6"/>
    <x v="3"/>
    <x v="1"/>
  </r>
  <r>
    <x v="387"/>
    <s v="ZPEP"/>
    <x v="89"/>
    <s v="WC2233"/>
    <s v="125108660"/>
    <s v="LAS CONDES"/>
    <x v="3545"/>
    <x v="4"/>
    <x v="1"/>
    <x v="3"/>
    <x v="1"/>
    <n v="4"/>
    <n v="143701"/>
    <n v="0"/>
    <n v="143701"/>
    <n v="10.99996402263665"/>
    <n v="5000"/>
    <n v="100"/>
    <x v="4568"/>
    <x v="6"/>
    <x v="3"/>
    <x v="1"/>
  </r>
  <r>
    <x v="387"/>
    <s v="ZTAN"/>
    <x v="63"/>
    <s v="RH1133"/>
    <s v="65941082"/>
    <s v="MAIPU"/>
    <x v="3546"/>
    <x v="0"/>
    <x v="0"/>
    <x v="2"/>
    <x v="1"/>
    <n v="2"/>
    <n v="203225"/>
    <n v="0"/>
    <n v="203225"/>
    <n v="11"/>
    <n v="5000"/>
    <n v="100"/>
    <x v="4569"/>
    <x v="6"/>
    <x v="3"/>
    <x v="1"/>
  </r>
  <r>
    <x v="387"/>
    <s v="ZTAN"/>
    <x v="5"/>
    <s v="TP3884"/>
    <s v="107643206"/>
    <s v="LOS ANDES"/>
    <x v="3547"/>
    <x v="1"/>
    <x v="1"/>
    <x v="38"/>
    <x v="2"/>
    <n v="0"/>
    <n v="203000"/>
    <n v="0"/>
    <n v="203000"/>
    <n v="32.975958414554903"/>
    <n v="20000"/>
    <n v="31"/>
    <x v="4570"/>
    <x v="6"/>
    <x v="3"/>
    <x v="0"/>
  </r>
  <r>
    <x v="387"/>
    <s v="ZTAN"/>
    <x v="10"/>
    <s v="RH1133"/>
    <s v="65941082"/>
    <s v="SANTIAGO"/>
    <x v="3548"/>
    <x v="0"/>
    <x v="0"/>
    <x v="20"/>
    <x v="1"/>
    <n v="1"/>
    <n v="102590"/>
    <n v="0"/>
    <n v="102590"/>
    <n v="10.999957110996741"/>
    <n v="5000"/>
    <n v="100"/>
    <x v="4571"/>
    <x v="6"/>
    <x v="3"/>
    <x v="1"/>
  </r>
  <r>
    <x v="387"/>
    <s v="ZTAN"/>
    <x v="7"/>
    <s v="RK5135"/>
    <s v="138841065"/>
    <s v="SANTIAGO"/>
    <x v="3549"/>
    <x v="3"/>
    <x v="1"/>
    <x v="20"/>
    <x v="1"/>
    <n v="1"/>
    <n v="66713"/>
    <n v="0"/>
    <n v="66713"/>
    <n v="9.8763842008645693"/>
    <n v="5000"/>
    <n v="100"/>
    <x v="4572"/>
    <x v="6"/>
    <x v="3"/>
    <x v="1"/>
  </r>
  <r>
    <x v="387"/>
    <s v="ZTAN"/>
    <x v="7"/>
    <s v="WG4022"/>
    <s v="154837728"/>
    <s v="RENCA"/>
    <x v="1144"/>
    <x v="1"/>
    <x v="0"/>
    <x v="7"/>
    <x v="1"/>
    <n v="1"/>
    <n v="113355"/>
    <n v="0"/>
    <n v="113355"/>
    <n v="11"/>
    <n v="5000"/>
    <n v="100"/>
    <x v="4573"/>
    <x v="6"/>
    <x v="3"/>
    <x v="1"/>
  </r>
  <r>
    <x v="387"/>
    <s v="ZTAN"/>
    <x v="8"/>
    <s v="HLBX77"/>
    <s v="16093509K"/>
    <s v="PUDAHUEL"/>
    <x v="3550"/>
    <x v="1"/>
    <x v="1"/>
    <x v="10"/>
    <x v="1"/>
    <n v="1"/>
    <n v="78474"/>
    <n v="0"/>
    <n v="78474"/>
    <n v="10.999969161847037"/>
    <n v="5000"/>
    <n v="100"/>
    <x v="4574"/>
    <x v="6"/>
    <x v="3"/>
    <x v="1"/>
  </r>
  <r>
    <x v="387"/>
    <s v="ZTAN"/>
    <x v="8"/>
    <s v="RK5135"/>
    <s v="138841065"/>
    <s v="LAS CONDES"/>
    <x v="3551"/>
    <x v="3"/>
    <x v="1"/>
    <x v="3"/>
    <x v="1"/>
    <n v="4"/>
    <n v="55000"/>
    <n v="0"/>
    <n v="55000"/>
    <n v="14.968430219899844"/>
    <n v="5000"/>
    <n v="73"/>
    <x v="4575"/>
    <x v="6"/>
    <x v="3"/>
    <x v="1"/>
  </r>
  <r>
    <x v="387"/>
    <s v="ZTAN"/>
    <x v="8"/>
    <s v="SV2718"/>
    <s v="99626232"/>
    <s v="SANTIAGO"/>
    <x v="3552"/>
    <x v="1"/>
    <x v="1"/>
    <x v="20"/>
    <x v="1"/>
    <n v="1"/>
    <n v="55000"/>
    <n v="0"/>
    <n v="55000"/>
    <n v="14.147473261275536"/>
    <n v="5000"/>
    <n v="78"/>
    <x v="4576"/>
    <x v="6"/>
    <x v="3"/>
    <x v="1"/>
  </r>
  <r>
    <x v="387"/>
    <s v="ZTAN"/>
    <x v="8"/>
    <s v="XR6339"/>
    <s v="78907355"/>
    <s v="MAIPU"/>
    <x v="2377"/>
    <x v="1"/>
    <x v="1"/>
    <x v="2"/>
    <x v="1"/>
    <n v="2"/>
    <n v="55000"/>
    <n v="0"/>
    <n v="55000"/>
    <n v="17.181057103586149"/>
    <n v="5000"/>
    <n v="64"/>
    <x v="4577"/>
    <x v="6"/>
    <x v="3"/>
    <x v="1"/>
  </r>
  <r>
    <x v="388"/>
    <s v="ZPEP"/>
    <x v="17"/>
    <s v="TP3884"/>
    <s v="107643203"/>
    <s v="LO BARNECHEA"/>
    <x v="3553"/>
    <x v="1"/>
    <x v="1"/>
    <x v="41"/>
    <x v="1"/>
    <n v="4"/>
    <n v="139254"/>
    <n v="0"/>
    <n v="139254"/>
    <n v="10.999969193071749"/>
    <n v="5000"/>
    <n v="100"/>
    <x v="4578"/>
    <x v="6"/>
    <x v="3"/>
    <x v="1"/>
  </r>
  <r>
    <x v="388"/>
    <s v="ZPEP"/>
    <x v="5"/>
    <s v="DJLF85"/>
    <s v="53173292"/>
    <s v="MELIPILLA"/>
    <x v="3554"/>
    <x v="4"/>
    <x v="1"/>
    <x v="29"/>
    <x v="1"/>
    <n v="5"/>
    <n v="90000"/>
    <n v="0"/>
    <n v="90000"/>
    <n v="13.027467691880124"/>
    <n v="10000"/>
    <n v="69"/>
    <x v="4579"/>
    <x v="6"/>
    <x v="3"/>
    <x v="1"/>
  </r>
  <r>
    <x v="388"/>
    <s v="ZPEP"/>
    <x v="5"/>
    <s v="WC4022"/>
    <s v="125108660"/>
    <s v="MELIPILLA"/>
    <x v="3555"/>
    <x v="1"/>
    <x v="1"/>
    <x v="29"/>
    <x v="1"/>
    <n v="5"/>
    <n v="90000"/>
    <n v="0"/>
    <n v="90000"/>
    <n v="13.149167073316832"/>
    <n v="10000"/>
    <n v="68"/>
    <x v="4580"/>
    <x v="6"/>
    <x v="3"/>
    <x v="1"/>
  </r>
  <r>
    <x v="388"/>
    <s v="ZPEP"/>
    <x v="11"/>
    <s v="HLBX77"/>
    <s v="16093509K"/>
    <s v="BUIN"/>
    <x v="3556"/>
    <x v="1"/>
    <x v="1"/>
    <x v="56"/>
    <x v="1"/>
    <n v="5"/>
    <n v="90000"/>
    <n v="0"/>
    <n v="90000"/>
    <n v="10.558571917952857"/>
    <n v="10000"/>
    <n v="85"/>
    <x v="4581"/>
    <x v="6"/>
    <x v="3"/>
    <x v="1"/>
  </r>
  <r>
    <x v="388"/>
    <s v="ZPEP"/>
    <x v="89"/>
    <s v="XR6339"/>
    <s v="78907355"/>
    <s v="LAS CONDES"/>
    <x v="3557"/>
    <x v="1"/>
    <x v="1"/>
    <x v="3"/>
    <x v="1"/>
    <n v="4"/>
    <n v="85955"/>
    <n v="0"/>
    <n v="85955"/>
    <n v="11.000029434084926"/>
    <n v="5000"/>
    <n v="100"/>
    <x v="4582"/>
    <x v="6"/>
    <x v="3"/>
    <x v="1"/>
  </r>
  <r>
    <x v="388"/>
    <s v="ZPEP"/>
    <x v="98"/>
    <s v="RH1133"/>
    <s v="65941082"/>
    <s v="SAN FERNANDO"/>
    <x v="3558"/>
    <x v="0"/>
    <x v="0"/>
    <x v="92"/>
    <x v="6"/>
    <n v="0"/>
    <n v="280000"/>
    <n v="0"/>
    <n v="280000"/>
    <n v="11.439646874443334"/>
    <n v="20000"/>
    <n v="100"/>
    <x v="4583"/>
    <x v="6"/>
    <x v="3"/>
    <x v="0"/>
  </r>
  <r>
    <x v="388"/>
    <s v="ZTAN"/>
    <x v="6"/>
    <s v="DKDL88"/>
    <s v="122975819"/>
    <s v="TALCA"/>
    <x v="3559"/>
    <x v="0"/>
    <x v="0"/>
    <x v="12"/>
    <x v="3"/>
    <n v="0"/>
    <n v="360000"/>
    <n v="0"/>
    <n v="360000"/>
    <n v="32.25043538087764"/>
    <n v="20000"/>
    <n v="57"/>
    <x v="4584"/>
    <x v="6"/>
    <x v="3"/>
    <x v="0"/>
  </r>
  <r>
    <x v="388"/>
    <s v="ZTAN"/>
    <x v="99"/>
    <s v="KKPF51"/>
    <s v="95707734"/>
    <s v="SANTIAGO"/>
    <x v="3560"/>
    <x v="8"/>
    <x v="0"/>
    <x v="20"/>
    <x v="1"/>
    <n v="1"/>
    <n v="124696"/>
    <n v="0"/>
    <n v="124696"/>
    <n v="11"/>
    <n v="5000"/>
    <n v="100"/>
    <x v="4585"/>
    <x v="6"/>
    <x v="3"/>
    <x v="1"/>
  </r>
  <r>
    <x v="388"/>
    <s v="ZTAN"/>
    <x v="8"/>
    <s v="SV2718"/>
    <s v="99626232"/>
    <s v="ÑUÑOA"/>
    <x v="3561"/>
    <x v="1"/>
    <x v="1"/>
    <x v="15"/>
    <x v="1"/>
    <n v="4"/>
    <n v="55000"/>
    <n v="0"/>
    <n v="55000"/>
    <n v="11.589438860442085"/>
    <n v="5000"/>
    <n v="95"/>
    <x v="4586"/>
    <x v="6"/>
    <x v="3"/>
    <x v="1"/>
  </r>
  <r>
    <x v="388"/>
    <s v="ZTAN"/>
    <x v="8"/>
    <s v="WG4022"/>
    <s v="154837728"/>
    <s v="PUDAHUEL"/>
    <x v="3562"/>
    <x v="1"/>
    <x v="0"/>
    <x v="10"/>
    <x v="1"/>
    <n v="1"/>
    <n v="109227"/>
    <n v="0"/>
    <n v="109227"/>
    <n v="11.000030212393119"/>
    <n v="5000"/>
    <n v="100"/>
    <x v="4587"/>
    <x v="6"/>
    <x v="3"/>
    <x v="1"/>
  </r>
  <r>
    <x v="389"/>
    <s v="ZPEP"/>
    <x v="95"/>
    <s v="WC2233"/>
    <s v="125108660"/>
    <s v="SANTIAGO"/>
    <x v="3563"/>
    <x v="4"/>
    <x v="1"/>
    <x v="20"/>
    <x v="1"/>
    <n v="1"/>
    <n v="153268"/>
    <n v="0"/>
    <n v="153268"/>
    <n v="11.000011483165679"/>
    <n v="5000"/>
    <n v="100"/>
    <x v="4588"/>
    <x v="9"/>
    <x v="2"/>
    <x v="2"/>
  </r>
  <r>
    <x v="389"/>
    <s v="ZPEP"/>
    <x v="46"/>
    <s v="HLBX77"/>
    <s v="16043509K"/>
    <s v="PUENTE ALTO"/>
    <x v="3564"/>
    <x v="1"/>
    <x v="1"/>
    <x v="30"/>
    <x v="1"/>
    <n v="4"/>
    <n v="92680"/>
    <n v="0"/>
    <n v="92680"/>
    <n v="11.00003204584217"/>
    <n v="5000"/>
    <n v="100"/>
    <x v="4589"/>
    <x v="9"/>
    <x v="2"/>
    <x v="2"/>
  </r>
  <r>
    <x v="389"/>
    <s v="ZTAN"/>
    <x v="9"/>
    <s v="RK5135"/>
    <s v="138841065"/>
    <s v="SAN BERNARDO"/>
    <x v="3565"/>
    <x v="3"/>
    <x v="1"/>
    <x v="4"/>
    <x v="1"/>
    <n v="4"/>
    <n v="55000"/>
    <n v="0"/>
    <n v="55000"/>
    <n v="11.003212938177947"/>
    <n v="5000"/>
    <n v="100"/>
    <x v="4590"/>
    <x v="9"/>
    <x v="2"/>
    <x v="2"/>
  </r>
  <r>
    <x v="389"/>
    <s v="ZTAN"/>
    <x v="7"/>
    <s v="WG4022"/>
    <s v="154837728"/>
    <s v="RENCA"/>
    <x v="3566"/>
    <x v="1"/>
    <x v="0"/>
    <x v="7"/>
    <x v="1"/>
    <n v="1"/>
    <n v="315678"/>
    <n v="0"/>
    <n v="315678"/>
    <n v="10.999999999999996"/>
    <n v="5000"/>
    <n v="100"/>
    <x v="4591"/>
    <x v="9"/>
    <x v="2"/>
    <x v="2"/>
  </r>
  <r>
    <x v="389"/>
    <s v="ZTAN"/>
    <x v="8"/>
    <s v="DJLF85"/>
    <s v="125108660"/>
    <s v="LA REINA"/>
    <x v="3567"/>
    <x v="4"/>
    <x v="1"/>
    <x v="11"/>
    <x v="1"/>
    <n v="3"/>
    <n v="55000"/>
    <n v="0"/>
    <n v="55000"/>
    <n v="16.926253850722755"/>
    <n v="5000"/>
    <n v="65"/>
    <x v="4592"/>
    <x v="9"/>
    <x v="2"/>
    <x v="2"/>
  </r>
  <r>
    <x v="389"/>
    <s v="ZTAN"/>
    <x v="8"/>
    <s v="SV2718"/>
    <s v="99626232"/>
    <s v="MAIPU"/>
    <x v="3568"/>
    <x v="1"/>
    <x v="1"/>
    <x v="2"/>
    <x v="1"/>
    <n v="2"/>
    <n v="57649"/>
    <n v="0"/>
    <n v="57649"/>
    <n v="10.999996183803299"/>
    <n v="5000"/>
    <n v="100"/>
    <x v="4593"/>
    <x v="9"/>
    <x v="2"/>
    <x v="2"/>
  </r>
  <r>
    <x v="389"/>
    <s v="ZTAN"/>
    <x v="8"/>
    <s v="TP3884"/>
    <s v="107643206"/>
    <s v="LAS CONDES"/>
    <x v="3569"/>
    <x v="1"/>
    <x v="1"/>
    <x v="3"/>
    <x v="1"/>
    <n v="4"/>
    <n v="64301"/>
    <n v="0"/>
    <n v="64301"/>
    <n v="10.99993499361911"/>
    <n v="5000"/>
    <n v="100"/>
    <x v="4594"/>
    <x v="9"/>
    <x v="2"/>
    <x v="2"/>
  </r>
  <r>
    <x v="389"/>
    <s v="ZTAN"/>
    <x v="8"/>
    <s v="XR6339"/>
    <s v="78907355"/>
    <s v="SAN BERNARDO"/>
    <x v="3570"/>
    <x v="1"/>
    <x v="1"/>
    <x v="4"/>
    <x v="1"/>
    <n v="4"/>
    <n v="55000"/>
    <n v="0"/>
    <n v="55000"/>
    <n v="12.670884151258107"/>
    <n v="5000"/>
    <n v="87"/>
    <x v="4595"/>
    <x v="9"/>
    <x v="2"/>
    <x v="2"/>
  </r>
  <r>
    <x v="390"/>
    <s v="ZPEP"/>
    <x v="17"/>
    <s v="WC2233"/>
    <s v="125108660"/>
    <s v="LAMPA"/>
    <x v="473"/>
    <x v="4"/>
    <x v="1"/>
    <x v="17"/>
    <x v="1"/>
    <n v="5"/>
    <n v="70000"/>
    <n v="0"/>
    <n v="70000"/>
    <n v="19.509476031215161"/>
    <n v="10000"/>
    <n v="36"/>
    <x v="4596"/>
    <x v="6"/>
    <x v="3"/>
    <x v="1"/>
  </r>
  <r>
    <x v="390"/>
    <s v="ZPEP"/>
    <x v="95"/>
    <s v="HLBX77"/>
    <s v="16093509K"/>
    <s v="SANTIAGO"/>
    <x v="3571"/>
    <x v="1"/>
    <x v="1"/>
    <x v="20"/>
    <x v="1"/>
    <n v="1"/>
    <n v="201460"/>
    <n v="0"/>
    <n v="201460"/>
    <n v="11.000027300772611"/>
    <n v="5000"/>
    <n v="100"/>
    <x v="4597"/>
    <x v="6"/>
    <x v="3"/>
    <x v="1"/>
  </r>
  <r>
    <x v="390"/>
    <s v="ZPEP"/>
    <x v="14"/>
    <s v="SV2718"/>
    <s v="99626232"/>
    <s v="LA PINTANA"/>
    <x v="3572"/>
    <x v="1"/>
    <x v="1"/>
    <x v="31"/>
    <x v="1"/>
    <n v="4"/>
    <n v="55000"/>
    <n v="0"/>
    <n v="55000"/>
    <n v="33.212560386473427"/>
    <n v="5000"/>
    <n v="33"/>
    <x v="4598"/>
    <x v="6"/>
    <x v="3"/>
    <x v="1"/>
  </r>
  <r>
    <x v="390"/>
    <s v="ZTAN"/>
    <x v="10"/>
    <s v="PN4466"/>
    <s v="81417709"/>
    <s v="QUILICURA"/>
    <x v="3573"/>
    <x v="1"/>
    <x v="0"/>
    <x v="8"/>
    <x v="1"/>
    <n v="1"/>
    <n v="86858"/>
    <n v="0"/>
    <n v="86858"/>
    <n v="11.000002532870324"/>
    <n v="5000"/>
    <n v="100"/>
    <x v="4599"/>
    <x v="6"/>
    <x v="3"/>
    <x v="1"/>
  </r>
  <r>
    <x v="390"/>
    <s v="ZTAN"/>
    <x v="6"/>
    <s v="DJLF85"/>
    <s v="53173292"/>
    <s v="PUENTE ALTO"/>
    <x v="3574"/>
    <x v="4"/>
    <x v="1"/>
    <x v="30"/>
    <x v="1"/>
    <n v="4"/>
    <n v="55000"/>
    <n v="0"/>
    <n v="55000"/>
    <n v="11.241926252963781"/>
    <n v="5000"/>
    <n v="98"/>
    <x v="4600"/>
    <x v="6"/>
    <x v="3"/>
    <x v="1"/>
  </r>
  <r>
    <x v="390"/>
    <s v="ZTAN"/>
    <x v="7"/>
    <s v="XR6339"/>
    <s v="78907355"/>
    <s v="RENCA"/>
    <x v="3575"/>
    <x v="1"/>
    <x v="1"/>
    <x v="7"/>
    <x v="1"/>
    <n v="1"/>
    <n v="85536"/>
    <n v="0"/>
    <n v="85536"/>
    <n v="11"/>
    <n v="5000"/>
    <n v="100"/>
    <x v="4601"/>
    <x v="6"/>
    <x v="3"/>
    <x v="1"/>
  </r>
  <r>
    <x v="390"/>
    <s v="ZTAN"/>
    <x v="8"/>
    <s v="BPKD94"/>
    <s v="125897258"/>
    <s v="ANGOL"/>
    <x v="3576"/>
    <x v="0"/>
    <x v="0"/>
    <x v="84"/>
    <x v="4"/>
    <n v="0"/>
    <n v="530000"/>
    <n v="0"/>
    <n v="530000"/>
    <n v="59.314237879191438"/>
    <n v="20000"/>
    <n v="45"/>
    <x v="4602"/>
    <x v="6"/>
    <x v="3"/>
    <x v="0"/>
  </r>
  <r>
    <x v="390"/>
    <s v="ZTAN"/>
    <x v="8"/>
    <s v="RK5135"/>
    <s v="138841065"/>
    <s v="PUENTE ALTO"/>
    <x v="3577"/>
    <x v="3"/>
    <x v="1"/>
    <x v="30"/>
    <x v="1"/>
    <n v="4"/>
    <n v="55000"/>
    <n v="0"/>
    <n v="55000"/>
    <n v="20.105131560669971"/>
    <n v="5000"/>
    <n v="55"/>
    <x v="4603"/>
    <x v="6"/>
    <x v="3"/>
    <x v="1"/>
  </r>
  <r>
    <x v="390"/>
    <s v="ZTAN"/>
    <x v="8"/>
    <s v="SV2718"/>
    <s v="99626232"/>
    <s v="CERRILLOS"/>
    <x v="3578"/>
    <x v="1"/>
    <x v="1"/>
    <x v="9"/>
    <x v="1"/>
    <n v="2"/>
    <n v="55000"/>
    <n v="0"/>
    <n v="55000"/>
    <n v="17.084883915979642"/>
    <n v="5000"/>
    <n v="64"/>
    <x v="4604"/>
    <x v="6"/>
    <x v="3"/>
    <x v="1"/>
  </r>
  <r>
    <x v="390"/>
    <s v="ZTAN"/>
    <x v="8"/>
    <s v="WG4022"/>
    <s v="154837728"/>
    <s v="PUDAHUEL"/>
    <x v="3579"/>
    <x v="1"/>
    <x v="0"/>
    <x v="10"/>
    <x v="1"/>
    <n v="1"/>
    <n v="121152"/>
    <n v="0"/>
    <n v="121152"/>
    <n v="10.999968221829787"/>
    <n v="5000"/>
    <n v="100"/>
    <x v="4605"/>
    <x v="6"/>
    <x v="3"/>
    <x v="1"/>
  </r>
  <r>
    <x v="391"/>
    <s v="ZPEP"/>
    <x v="46"/>
    <s v="HLBX77"/>
    <s v="16093509K"/>
    <s v="PUENTE ALTO"/>
    <x v="3580"/>
    <x v="1"/>
    <x v="1"/>
    <x v="30"/>
    <x v="1"/>
    <n v="4"/>
    <n v="102199"/>
    <n v="0"/>
    <n v="102199"/>
    <n v="11.000021526671548"/>
    <n v="5000"/>
    <n v="100"/>
    <x v="4606"/>
    <x v="6"/>
    <x v="3"/>
    <x v="1"/>
  </r>
  <r>
    <x v="391"/>
    <s v="ZPEP"/>
    <x v="10"/>
    <s v="DJLF85"/>
    <s v="125108660"/>
    <s v="PROVIDENCIA"/>
    <x v="3581"/>
    <x v="4"/>
    <x v="1"/>
    <x v="54"/>
    <x v="1"/>
    <n v="2"/>
    <n v="143624"/>
    <n v="0"/>
    <n v="143624"/>
    <n v="11.000006127113089"/>
    <n v="5000"/>
    <n v="100"/>
    <x v="4607"/>
    <x v="6"/>
    <x v="3"/>
    <x v="1"/>
  </r>
  <r>
    <x v="391"/>
    <s v="ZTAN"/>
    <x v="10"/>
    <s v="DJLF85"/>
    <s v="125108660"/>
    <s v="SAN BERNARDO"/>
    <x v="3582"/>
    <x v="4"/>
    <x v="1"/>
    <x v="4"/>
    <x v="1"/>
    <n v="4"/>
    <n v="104220"/>
    <n v="0"/>
    <n v="104220"/>
    <n v="11.000052773233413"/>
    <n v="5000"/>
    <n v="100"/>
    <x v="4608"/>
    <x v="6"/>
    <x v="3"/>
    <x v="1"/>
  </r>
  <r>
    <x v="391"/>
    <s v="ZTAN"/>
    <x v="10"/>
    <s v="TP3884"/>
    <s v="107643206"/>
    <s v="SANTIAGO"/>
    <x v="1000"/>
    <x v="1"/>
    <x v="1"/>
    <x v="20"/>
    <x v="1"/>
    <n v="1"/>
    <n v="74290"/>
    <n v="0"/>
    <n v="74290"/>
    <n v="11.000059227671169"/>
    <n v="5000"/>
    <n v="100"/>
    <x v="4609"/>
    <x v="6"/>
    <x v="3"/>
    <x v="1"/>
  </r>
  <r>
    <x v="391"/>
    <s v="ZTAN"/>
    <x v="8"/>
    <s v="DRFV76"/>
    <s v="113693568"/>
    <s v="OSORNO"/>
    <x v="3583"/>
    <x v="0"/>
    <x v="0"/>
    <x v="64"/>
    <x v="10"/>
    <n v="0"/>
    <n v="950000"/>
    <n v="0"/>
    <n v="950000"/>
    <n v="73.986501746860242"/>
    <n v="20000"/>
    <n v="65"/>
    <x v="4610"/>
    <x v="6"/>
    <x v="3"/>
    <x v="0"/>
  </r>
  <r>
    <x v="392"/>
    <s v="ZPEP"/>
    <x v="11"/>
    <s v="WG4022"/>
    <s v="81417709"/>
    <s v="CURICO"/>
    <x v="3584"/>
    <x v="1"/>
    <x v="0"/>
    <x v="73"/>
    <x v="3"/>
    <n v="0"/>
    <n v="300000"/>
    <n v="0"/>
    <n v="300000"/>
    <n v="14.614577066318523"/>
    <n v="20000"/>
    <n v="100"/>
    <x v="4611"/>
    <x v="6"/>
    <x v="3"/>
    <x v="0"/>
  </r>
  <r>
    <x v="392"/>
    <s v="ZPEP"/>
    <x v="10"/>
    <s v="XR6339"/>
    <s v="78907355"/>
    <s v="PROVIDENCIA"/>
    <x v="3585"/>
    <x v="1"/>
    <x v="1"/>
    <x v="54"/>
    <x v="1"/>
    <n v="2"/>
    <n v="103109"/>
    <n v="0"/>
    <n v="103109"/>
    <n v="10.999982930711488"/>
    <n v="5000"/>
    <n v="100"/>
    <x v="4612"/>
    <x v="6"/>
    <x v="3"/>
    <x v="1"/>
  </r>
  <r>
    <x v="392"/>
    <s v="ZPEP"/>
    <x v="9"/>
    <s v="HLBX77"/>
    <s v="16093509K"/>
    <s v="SAN BERNARDO"/>
    <x v="3586"/>
    <x v="1"/>
    <x v="1"/>
    <x v="4"/>
    <x v="1"/>
    <n v="4"/>
    <n v="122055"/>
    <n v="0"/>
    <n v="122055"/>
    <n v="10.999989185214025"/>
    <n v="5000"/>
    <n v="100"/>
    <x v="4613"/>
    <x v="6"/>
    <x v="3"/>
    <x v="1"/>
  </r>
  <r>
    <x v="392"/>
    <s v="ZTAN"/>
    <x v="7"/>
    <s v="DJLF85"/>
    <s v="53173292"/>
    <s v="RENCA"/>
    <x v="2472"/>
    <x v="4"/>
    <x v="1"/>
    <x v="7"/>
    <x v="1"/>
    <n v="1"/>
    <n v="55000"/>
    <n v="0"/>
    <n v="55000"/>
    <n v="11.574074074074074"/>
    <n v="5000"/>
    <n v="95"/>
    <x v="4614"/>
    <x v="6"/>
    <x v="3"/>
    <x v="1"/>
  </r>
  <r>
    <x v="392"/>
    <s v="ZTAN"/>
    <x v="7"/>
    <s v="WC222"/>
    <s v="125108660"/>
    <s v="RENCA"/>
    <x v="3587"/>
    <x v="0"/>
    <x v="0"/>
    <x v="7"/>
    <x v="1"/>
    <n v="1"/>
    <n v="121550"/>
    <n v="0"/>
    <n v="121550"/>
    <n v="7.6920642956587777"/>
    <n v="5000"/>
    <n v="100"/>
    <x v="4615"/>
    <x v="6"/>
    <x v="3"/>
    <x v="1"/>
  </r>
  <r>
    <x v="392"/>
    <s v="ZTAN"/>
    <x v="100"/>
    <s v="TP3884"/>
    <s v="107643206"/>
    <s v="PAINE"/>
    <x v="3588"/>
    <x v="1"/>
    <x v="1"/>
    <x v="13"/>
    <x v="1"/>
    <n v="5"/>
    <n v="90000"/>
    <n v="0"/>
    <n v="90000"/>
    <n v="11.208388856370725"/>
    <n v="10000"/>
    <n v="80"/>
    <x v="4616"/>
    <x v="6"/>
    <x v="3"/>
    <x v="1"/>
  </r>
  <r>
    <x v="392"/>
    <s v="ZTAN"/>
    <x v="8"/>
    <s v="PKYS74"/>
    <s v="6270439K"/>
    <s v="TALCAHUANO"/>
    <x v="3589"/>
    <x v="0"/>
    <x v="0"/>
    <x v="0"/>
    <x v="0"/>
    <n v="0"/>
    <n v="430000"/>
    <n v="0"/>
    <n v="430000"/>
    <n v="42.311049186102693"/>
    <n v="20000"/>
    <n v="50"/>
    <x v="4617"/>
    <x v="6"/>
    <x v="3"/>
    <x v="0"/>
  </r>
  <r>
    <x v="392"/>
    <s v="ZTAN"/>
    <x v="8"/>
    <s v="SV2718"/>
    <s v="99626232"/>
    <s v="EL BOSQUE"/>
    <x v="3590"/>
    <x v="1"/>
    <x v="1"/>
    <x v="25"/>
    <x v="1"/>
    <n v="3"/>
    <n v="65039"/>
    <n v="0"/>
    <n v="65039"/>
    <n v="11.000049047713279"/>
    <n v="5000"/>
    <n v="100"/>
    <x v="4618"/>
    <x v="6"/>
    <x v="3"/>
    <x v="1"/>
  </r>
  <r>
    <x v="392"/>
    <s v="ZTAN"/>
    <x v="8"/>
    <s v="TP3884"/>
    <s v="107643206"/>
    <s v="PUDAHUEL"/>
    <x v="3591"/>
    <x v="1"/>
    <x v="1"/>
    <x v="10"/>
    <x v="1"/>
    <n v="1"/>
    <n v="90810"/>
    <n v="0"/>
    <n v="90810"/>
    <n v="11.000059355016893"/>
    <n v="5000"/>
    <n v="100"/>
    <x v="4619"/>
    <x v="6"/>
    <x v="3"/>
    <x v="1"/>
  </r>
  <r>
    <x v="392"/>
    <s v="ZTAN"/>
    <x v="8"/>
    <s v="XR6339"/>
    <s v="78907355"/>
    <s v="CERRILLOS"/>
    <x v="3592"/>
    <x v="1"/>
    <x v="1"/>
    <x v="9"/>
    <x v="1"/>
    <n v="2"/>
    <n v="55000"/>
    <n v="0"/>
    <n v="55000"/>
    <n v="13.986262946829315"/>
    <n v="5000"/>
    <n v="79"/>
    <x v="4620"/>
    <x v="6"/>
    <x v="3"/>
    <x v="1"/>
  </r>
  <r>
    <x v="393"/>
    <s v="ZTAN"/>
    <x v="5"/>
    <s v="XR6339"/>
    <n v="78907355"/>
    <s v="LAMPA"/>
    <x v="3593"/>
    <x v="1"/>
    <x v="1"/>
    <x v="17"/>
    <x v="1"/>
    <n v="5"/>
    <n v="70000"/>
    <n v="0"/>
    <n v="70000"/>
    <n v="56.482131474264321"/>
    <n v="10000"/>
    <n v="12"/>
    <x v="4621"/>
    <x v="7"/>
    <x v="3"/>
    <x v="1"/>
  </r>
  <r>
    <x v="393"/>
    <s v="ZTAN"/>
    <x v="65"/>
    <s v="WG4022"/>
    <n v="81417709"/>
    <s v="LINARES"/>
    <x v="1590"/>
    <x v="1"/>
    <x v="0"/>
    <x v="59"/>
    <x v="3"/>
    <n v="0"/>
    <n v="350000"/>
    <n v="0"/>
    <n v="350000"/>
    <n v="37.424349350954856"/>
    <n v="20000"/>
    <n v="47"/>
    <x v="4622"/>
    <x v="7"/>
    <x v="3"/>
    <x v="0"/>
  </r>
  <r>
    <x v="393"/>
    <s v="ZTAN"/>
    <x v="7"/>
    <s v="DJLF85"/>
    <n v="53173292"/>
    <s v="RENCA"/>
    <x v="1219"/>
    <x v="4"/>
    <x v="1"/>
    <x v="7"/>
    <x v="1"/>
    <n v="1"/>
    <n v="55000"/>
    <n v="0"/>
    <n v="55000"/>
    <n v="20.014556040756915"/>
    <n v="5000"/>
    <n v="55"/>
    <x v="4623"/>
    <x v="7"/>
    <x v="3"/>
    <x v="1"/>
  </r>
  <r>
    <x v="393"/>
    <s v="ZTAN"/>
    <x v="7"/>
    <s v="WC2233"/>
    <n v="125108660"/>
    <s v="RENCA"/>
    <x v="1219"/>
    <x v="4"/>
    <x v="1"/>
    <x v="7"/>
    <x v="1"/>
    <n v="1"/>
    <n v="55000"/>
    <n v="0"/>
    <n v="55000"/>
    <n v="20.014556040756915"/>
    <n v="5000"/>
    <n v="55"/>
    <x v="4624"/>
    <x v="7"/>
    <x v="3"/>
    <x v="1"/>
  </r>
  <r>
    <x v="393"/>
    <s v="ZTAN"/>
    <x v="7"/>
    <s v="WG4022"/>
    <n v="81417709"/>
    <s v="RENCA"/>
    <x v="3594"/>
    <x v="1"/>
    <x v="0"/>
    <x v="7"/>
    <x v="1"/>
    <n v="1"/>
    <n v="294842"/>
    <n v="0"/>
    <n v="294842"/>
    <n v="11.000007461628579"/>
    <n v="5000"/>
    <n v="100"/>
    <x v="4625"/>
    <x v="7"/>
    <x v="3"/>
    <x v="1"/>
  </r>
  <r>
    <x v="393"/>
    <s v="ZTAN"/>
    <x v="8"/>
    <s v="RK5135"/>
    <n v="138841065"/>
    <s v="MAIPU"/>
    <x v="3595"/>
    <x v="3"/>
    <x v="1"/>
    <x v="2"/>
    <x v="1"/>
    <n v="2"/>
    <n v="55000"/>
    <n v="0"/>
    <n v="55000"/>
    <n v="12.071833996918389"/>
    <n v="5000"/>
    <n v="91"/>
    <x v="4626"/>
    <x v="7"/>
    <x v="3"/>
    <x v="1"/>
  </r>
  <r>
    <x v="393"/>
    <s v="ZTAN"/>
    <x v="8"/>
    <s v="TP3884"/>
    <n v="107643206"/>
    <s v="REÑACA"/>
    <x v="3596"/>
    <x v="1"/>
    <x v="1"/>
    <x v="6"/>
    <x v="2"/>
    <n v="0"/>
    <n v="203000"/>
    <n v="0"/>
    <n v="203000"/>
    <n v="27.073597507628616"/>
    <n v="20000"/>
    <n v="37"/>
    <x v="4627"/>
    <x v="7"/>
    <x v="3"/>
    <x v="0"/>
  </r>
  <r>
    <x v="393"/>
    <s v="ZTAN"/>
    <x v="8"/>
    <s v="XR6339"/>
    <n v="154837728"/>
    <s v="ÑUÑOA"/>
    <x v="3597"/>
    <x v="1"/>
    <x v="1"/>
    <x v="15"/>
    <x v="1"/>
    <n v="4"/>
    <n v="55000"/>
    <n v="0"/>
    <n v="55000"/>
    <n v="13.647507220772003"/>
    <n v="5000"/>
    <n v="81"/>
    <x v="4628"/>
    <x v="7"/>
    <x v="3"/>
    <x v="1"/>
  </r>
  <r>
    <x v="394"/>
    <s v="ZPEP"/>
    <x v="17"/>
    <s v="DJLF85"/>
    <s v="53173292"/>
    <s v="LAMPA"/>
    <x v="3598"/>
    <x v="4"/>
    <x v="1"/>
    <x v="17"/>
    <x v="1"/>
    <n v="5"/>
    <n v="70000"/>
    <n v="0"/>
    <n v="70000"/>
    <n v="8.0087867832135835"/>
    <n v="10000"/>
    <n v="87"/>
    <x v="4629"/>
    <x v="7"/>
    <x v="3"/>
    <x v="1"/>
  </r>
  <r>
    <x v="394"/>
    <s v="ZPEP"/>
    <x v="11"/>
    <s v="HLBX77"/>
    <s v="16093509K"/>
    <s v="BUIN"/>
    <x v="3599"/>
    <x v="1"/>
    <x v="1"/>
    <x v="56"/>
    <x v="1"/>
    <n v="5"/>
    <n v="90000"/>
    <n v="0"/>
    <n v="90000"/>
    <n v="6.7341982039145138"/>
    <n v="10000"/>
    <n v="100"/>
    <x v="4630"/>
    <x v="7"/>
    <x v="3"/>
    <x v="1"/>
  </r>
  <r>
    <x v="394"/>
    <s v="ZTAN"/>
    <x v="5"/>
    <s v="XR6339"/>
    <s v="78907355"/>
    <s v="COLINA"/>
    <x v="3547"/>
    <x v="1"/>
    <x v="1"/>
    <x v="5"/>
    <x v="1"/>
    <n v="5"/>
    <n v="70000"/>
    <n v="0"/>
    <n v="70000"/>
    <n v="11.371020142949968"/>
    <n v="10000"/>
    <n v="62"/>
    <x v="4631"/>
    <x v="7"/>
    <x v="3"/>
    <x v="1"/>
  </r>
  <r>
    <x v="394"/>
    <s v="ZTAN"/>
    <x v="10"/>
    <s v="RH1133"/>
    <s v="65941082"/>
    <s v="QUILICURA"/>
    <x v="3600"/>
    <x v="0"/>
    <x v="0"/>
    <x v="8"/>
    <x v="1"/>
    <n v="1"/>
    <n v="117610"/>
    <n v="0"/>
    <n v="117610"/>
    <n v="10.999967264785795"/>
    <n v="5000"/>
    <n v="100"/>
    <x v="4632"/>
    <x v="7"/>
    <x v="3"/>
    <x v="1"/>
  </r>
  <r>
    <x v="394"/>
    <s v="ZTAN"/>
    <x v="6"/>
    <s v="DKDL88"/>
    <s v="122975819"/>
    <s v="TEMUCO"/>
    <x v="3601"/>
    <x v="0"/>
    <x v="0"/>
    <x v="14"/>
    <x v="4"/>
    <n v="0"/>
    <n v="700000"/>
    <n v="0"/>
    <n v="700000"/>
    <n v="67.229860814979574"/>
    <n v="20000"/>
    <n v="52"/>
    <x v="4633"/>
    <x v="7"/>
    <x v="3"/>
    <x v="0"/>
  </r>
  <r>
    <x v="394"/>
    <s v="ZTAN"/>
    <x v="7"/>
    <s v="HLBX77"/>
    <s v="16093509K"/>
    <s v="RENCA"/>
    <x v="3602"/>
    <x v="1"/>
    <x v="1"/>
    <x v="7"/>
    <x v="1"/>
    <n v="1"/>
    <n v="58854"/>
    <n v="0"/>
    <n v="58854"/>
    <n v="9.2633865331948257"/>
    <n v="5000"/>
    <n v="100"/>
    <x v="4634"/>
    <x v="7"/>
    <x v="3"/>
    <x v="1"/>
  </r>
  <r>
    <x v="394"/>
    <s v="ZTAN"/>
    <x v="7"/>
    <s v="KKPF51"/>
    <s v="95707734"/>
    <s v="MELIPILLA"/>
    <x v="810"/>
    <x v="8"/>
    <x v="0"/>
    <x v="29"/>
    <x v="1"/>
    <n v="5"/>
    <n v="120000"/>
    <n v="0"/>
    <n v="120000"/>
    <n v="7.2688505524326423"/>
    <n v="10000"/>
    <n v="100"/>
    <x v="4635"/>
    <x v="7"/>
    <x v="3"/>
    <x v="1"/>
  </r>
  <r>
    <x v="394"/>
    <s v="ZTAN"/>
    <x v="7"/>
    <s v="WC2233"/>
    <s v="125108660"/>
    <s v="RENCA"/>
    <x v="3538"/>
    <x v="4"/>
    <x v="1"/>
    <x v="7"/>
    <x v="1"/>
    <n v="1"/>
    <n v="55000"/>
    <n v="0"/>
    <n v="55000"/>
    <n v="16.01164483260553"/>
    <n v="5000"/>
    <n v="69"/>
    <x v="4636"/>
    <x v="7"/>
    <x v="3"/>
    <x v="1"/>
  </r>
  <r>
    <x v="394"/>
    <s v="ZTAN"/>
    <x v="8"/>
    <s v="SV2718"/>
    <s v="99626232"/>
    <s v="QUILICURA"/>
    <x v="3603"/>
    <x v="1"/>
    <x v="1"/>
    <x v="8"/>
    <x v="1"/>
    <n v="1"/>
    <n v="55000"/>
    <n v="0"/>
    <n v="55000"/>
    <n v="12.447550548371181"/>
    <n v="5000"/>
    <n v="88"/>
    <x v="4637"/>
    <x v="7"/>
    <x v="3"/>
    <x v="1"/>
  </r>
  <r>
    <x v="394"/>
    <s v="ZTAN"/>
    <x v="8"/>
    <s v="TP3884"/>
    <s v="107643206"/>
    <s v="PUDAHUEL"/>
    <x v="3604"/>
    <x v="1"/>
    <x v="1"/>
    <x v="10"/>
    <x v="1"/>
    <n v="1"/>
    <n v="55000"/>
    <n v="0"/>
    <n v="55000"/>
    <n v="11.18609182357703"/>
    <n v="5000"/>
    <n v="98"/>
    <x v="4638"/>
    <x v="7"/>
    <x v="3"/>
    <x v="1"/>
  </r>
  <r>
    <x v="394"/>
    <s v="ZTAN"/>
    <x v="94"/>
    <s v="BWPL69"/>
    <s v="78551976"/>
    <s v="LOS ANGELES"/>
    <x v="1067"/>
    <x v="5"/>
    <x v="0"/>
    <x v="57"/>
    <x v="0"/>
    <n v="0"/>
    <n v="460000"/>
    <n v="0"/>
    <n v="460000"/>
    <n v="54.104916490237592"/>
    <n v="20000"/>
    <n v="43"/>
    <x v="4639"/>
    <x v="7"/>
    <x v="3"/>
    <x v="0"/>
  </r>
  <r>
    <x v="395"/>
    <s v="ZPEP"/>
    <x v="11"/>
    <s v="DJLF85"/>
    <s v="53173292"/>
    <s v="BUIN"/>
    <x v="3605"/>
    <x v="4"/>
    <x v="1"/>
    <x v="56"/>
    <x v="1"/>
    <n v="5"/>
    <n v="90000"/>
    <n v="0"/>
    <n v="90000"/>
    <n v="8.8774556028581451"/>
    <n v="10000"/>
    <n v="100"/>
    <x v="4640"/>
    <x v="7"/>
    <x v="3"/>
    <x v="1"/>
  </r>
  <r>
    <x v="395"/>
    <s v="ZPEP"/>
    <x v="11"/>
    <s v="XR6339"/>
    <s v="154837728"/>
    <s v="BUIN"/>
    <x v="3606"/>
    <x v="1"/>
    <x v="1"/>
    <x v="56"/>
    <x v="1"/>
    <n v="5"/>
    <n v="90000"/>
    <n v="0"/>
    <n v="90000"/>
    <n v="9.5593155530064049"/>
    <n v="10000"/>
    <n v="94"/>
    <x v="4641"/>
    <x v="7"/>
    <x v="3"/>
    <x v="1"/>
  </r>
  <r>
    <x v="395"/>
    <s v="ZTAN"/>
    <x v="51"/>
    <s v="KKPF51"/>
    <s v="95707334"/>
    <s v="CURICO"/>
    <x v="3607"/>
    <x v="8"/>
    <x v="0"/>
    <x v="73"/>
    <x v="3"/>
    <n v="0"/>
    <n v="300000"/>
    <n v="0"/>
    <n v="300000"/>
    <n v="22.549609140108238"/>
    <n v="20000"/>
    <n v="68"/>
    <x v="4642"/>
    <x v="7"/>
    <x v="3"/>
    <x v="0"/>
  </r>
  <r>
    <x v="395"/>
    <s v="ZTAN"/>
    <x v="51"/>
    <s v="RH1133"/>
    <s v="65941082"/>
    <s v="RANCAGUA"/>
    <x v="3608"/>
    <x v="0"/>
    <x v="0"/>
    <x v="28"/>
    <x v="6"/>
    <n v="0"/>
    <n v="250000"/>
    <n v="0"/>
    <n v="250000"/>
    <n v="25.489760253510958"/>
    <n v="20000"/>
    <n v="49"/>
    <x v="4643"/>
    <x v="7"/>
    <x v="3"/>
    <x v="0"/>
  </r>
  <r>
    <x v="395"/>
    <s v="ZTAN"/>
    <x v="17"/>
    <s v="RK5135"/>
    <s v="138841065"/>
    <s v="LAMPA"/>
    <x v="3609"/>
    <x v="3"/>
    <x v="1"/>
    <x v="17"/>
    <x v="1"/>
    <n v="5"/>
    <n v="70000"/>
    <n v="0"/>
    <n v="70000"/>
    <n v="6.9485805042684134"/>
    <n v="10000"/>
    <n v="100"/>
    <x v="4644"/>
    <x v="7"/>
    <x v="3"/>
    <x v="1"/>
  </r>
  <r>
    <x v="395"/>
    <s v="ZTAN"/>
    <x v="7"/>
    <s v="HLBX77"/>
    <s v="16093509K"/>
    <s v="RENCA"/>
    <x v="3610"/>
    <x v="1"/>
    <x v="1"/>
    <x v="7"/>
    <x v="1"/>
    <n v="1"/>
    <n v="55000"/>
    <n v="0"/>
    <n v="55000"/>
    <n v="12.96191553544495"/>
    <n v="5000"/>
    <n v="85"/>
    <x v="4645"/>
    <x v="7"/>
    <x v="3"/>
    <x v="1"/>
  </r>
  <r>
    <x v="395"/>
    <s v="ZTAN"/>
    <x v="7"/>
    <s v="WC2233"/>
    <s v="125108660"/>
    <s v="RENCA"/>
    <x v="3611"/>
    <x v="4"/>
    <x v="1"/>
    <x v="7"/>
    <x v="1"/>
    <n v="1"/>
    <n v="55000"/>
    <n v="0"/>
    <n v="55000"/>
    <n v="20.228992191609017"/>
    <n v="5000"/>
    <n v="54"/>
    <x v="4646"/>
    <x v="7"/>
    <x v="3"/>
    <x v="1"/>
  </r>
  <r>
    <x v="395"/>
    <s v="ZTAN"/>
    <x v="7"/>
    <s v="WG4022"/>
    <s v="81417709"/>
    <s v="RENCA"/>
    <x v="2998"/>
    <x v="1"/>
    <x v="0"/>
    <x v="7"/>
    <x v="1"/>
    <n v="1"/>
    <n v="110332"/>
    <n v="0"/>
    <n v="110332"/>
    <n v="10.999980060218141"/>
    <n v="5000"/>
    <n v="100"/>
    <x v="4647"/>
    <x v="7"/>
    <x v="3"/>
    <x v="1"/>
  </r>
  <r>
    <x v="395"/>
    <s v="ZTAN"/>
    <x v="8"/>
    <s v="DJLF85"/>
    <s v="53173292"/>
    <s v="SAN BERNARDO"/>
    <x v="3612"/>
    <x v="4"/>
    <x v="1"/>
    <x v="4"/>
    <x v="1"/>
    <n v="4"/>
    <n v="55000"/>
    <n v="0"/>
    <n v="55000"/>
    <n v="11.994486897658676"/>
    <n v="5000"/>
    <n v="92"/>
    <x v="4648"/>
    <x v="7"/>
    <x v="3"/>
    <x v="1"/>
  </r>
  <r>
    <x v="395"/>
    <s v="ZTAN"/>
    <x v="8"/>
    <s v="SV2718"/>
    <s v="99626232"/>
    <s v="QUILIN"/>
    <x v="3613"/>
    <x v="1"/>
    <x v="1"/>
    <x v="34"/>
    <x v="1"/>
    <n v="4"/>
    <n v="55000"/>
    <n v="0"/>
    <n v="55000"/>
    <n v="17.855171831680916"/>
    <n v="5000"/>
    <n v="62"/>
    <x v="4649"/>
    <x v="7"/>
    <x v="3"/>
    <x v="1"/>
  </r>
  <r>
    <x v="395"/>
    <s v="ZTAN"/>
    <x v="8"/>
    <s v="TP3884"/>
    <s v="107643206"/>
    <s v="PUDAHUEL"/>
    <x v="3614"/>
    <x v="1"/>
    <x v="1"/>
    <x v="10"/>
    <x v="1"/>
    <n v="1"/>
    <n v="107452"/>
    <n v="0"/>
    <n v="107452"/>
    <n v="10.999959051635887"/>
    <n v="5000"/>
    <n v="100"/>
    <x v="4650"/>
    <x v="7"/>
    <x v="3"/>
    <x v="1"/>
  </r>
  <r>
    <x v="396"/>
    <s v="ZPEP"/>
    <x v="11"/>
    <s v="WG4022"/>
    <n v="81417709"/>
    <s v="CURICO"/>
    <x v="3615"/>
    <x v="1"/>
    <x v="0"/>
    <x v="73"/>
    <x v="3"/>
    <n v="0"/>
    <n v="1"/>
    <n v="0"/>
    <n v="1"/>
    <n v="5.5943179631312073E-5"/>
    <n v="20000"/>
    <n v="100"/>
    <x v="4651"/>
    <x v="7"/>
    <x v="3"/>
    <x v="0"/>
  </r>
  <r>
    <x v="396"/>
    <s v="ZPEP"/>
    <x v="9"/>
    <s v="WC2233"/>
    <n v="125108660"/>
    <s v="SAN BERNARDO"/>
    <x v="3616"/>
    <x v="4"/>
    <x v="1"/>
    <x v="4"/>
    <x v="1"/>
    <n v="4"/>
    <n v="101018"/>
    <n v="0"/>
    <n v="101018"/>
    <n v="11.000017422665145"/>
    <n v="5000"/>
    <n v="100"/>
    <x v="4652"/>
    <x v="7"/>
    <x v="3"/>
    <x v="1"/>
  </r>
  <r>
    <x v="396"/>
    <s v="ZTAN"/>
    <x v="51"/>
    <s v="DKDL88"/>
    <n v="122975819"/>
    <s v="LOS ANGELES"/>
    <x v="3617"/>
    <x v="0"/>
    <x v="0"/>
    <x v="57"/>
    <x v="0"/>
    <n v="0"/>
    <n v="460000"/>
    <n v="0"/>
    <n v="460000"/>
    <n v="57.354320027131088"/>
    <n v="20000"/>
    <n v="68"/>
    <x v="4653"/>
    <x v="7"/>
    <x v="3"/>
    <x v="0"/>
  </r>
  <r>
    <x v="396"/>
    <s v="ZTAN"/>
    <x v="10"/>
    <s v="XR6339"/>
    <n v="107643206"/>
    <s v="QUILICURA"/>
    <x v="2427"/>
    <x v="1"/>
    <x v="1"/>
    <x v="8"/>
    <x v="1"/>
    <n v="1"/>
    <n v="89100"/>
    <n v="0"/>
    <n v="89100"/>
    <n v="11"/>
    <n v="5000"/>
    <n v="100"/>
    <x v="4654"/>
    <x v="7"/>
    <x v="3"/>
    <x v="1"/>
  </r>
  <r>
    <x v="396"/>
    <s v="ZTAN"/>
    <x v="7"/>
    <s v="DJLF85"/>
    <n v="125108660"/>
    <s v="SAN MIGUEL"/>
    <x v="1219"/>
    <x v="4"/>
    <x v="1"/>
    <x v="23"/>
    <x v="1"/>
    <n v="2"/>
    <n v="55000"/>
    <n v="0"/>
    <n v="55000"/>
    <n v="20.014556040756915"/>
    <n v="5000"/>
    <n v="55"/>
    <x v="4655"/>
    <x v="7"/>
    <x v="3"/>
    <x v="1"/>
  </r>
  <r>
    <x v="396"/>
    <s v="ZTAN"/>
    <x v="7"/>
    <s v="HLBX77"/>
    <n v="154837728"/>
    <s v="SAN MIGUEL"/>
    <x v="3618"/>
    <x v="1"/>
    <x v="1"/>
    <x v="23"/>
    <x v="1"/>
    <n v="2"/>
    <n v="55000"/>
    <n v="0"/>
    <n v="55000"/>
    <n v="15.008868877063723"/>
    <n v="5000"/>
    <n v="73"/>
    <x v="4656"/>
    <x v="7"/>
    <x v="3"/>
    <x v="1"/>
  </r>
  <r>
    <x v="396"/>
    <s v="ZTAN"/>
    <x v="7"/>
    <s v="WC2233"/>
    <n v="125108660"/>
    <s v="RENCA"/>
    <x v="3619"/>
    <x v="4"/>
    <x v="1"/>
    <x v="7"/>
    <x v="1"/>
    <n v="1"/>
    <n v="91029"/>
    <n v="0"/>
    <n v="91029"/>
    <n v="10.999951663967906"/>
    <n v="5000"/>
    <n v="100"/>
    <x v="4657"/>
    <x v="7"/>
    <x v="3"/>
    <x v="1"/>
  </r>
  <r>
    <x v="396"/>
    <s v="ZTAN"/>
    <x v="7"/>
    <s v="WG4022"/>
    <n v="81417709"/>
    <s v="RENCA"/>
    <x v="419"/>
    <x v="1"/>
    <x v="0"/>
    <x v="7"/>
    <x v="1"/>
    <n v="1"/>
    <n v="90684"/>
    <n v="0"/>
    <n v="90684"/>
    <n v="10.999999999999995"/>
    <n v="5000"/>
    <n v="100"/>
    <x v="4658"/>
    <x v="7"/>
    <x v="3"/>
    <x v="1"/>
  </r>
  <r>
    <x v="396"/>
    <s v="ZTAN"/>
    <x v="7"/>
    <s v="XR6339"/>
    <n v="78907355"/>
    <s v="RENCA"/>
    <x v="1219"/>
    <x v="1"/>
    <x v="1"/>
    <x v="7"/>
    <x v="1"/>
    <n v="1"/>
    <n v="55000"/>
    <n v="0"/>
    <n v="55000"/>
    <n v="20.014556040756915"/>
    <n v="5000"/>
    <n v="55"/>
    <x v="4659"/>
    <x v="7"/>
    <x v="3"/>
    <x v="1"/>
  </r>
  <r>
    <x v="397"/>
    <s v="ZTAN"/>
    <x v="10"/>
    <s v="RH1133"/>
    <s v="65941082"/>
    <s v="QUILICURA"/>
    <x v="3620"/>
    <x v="0"/>
    <x v="0"/>
    <x v="8"/>
    <x v="1"/>
    <n v="1"/>
    <n v="83753"/>
    <n v="0"/>
    <n v="83753"/>
    <n v="10.999955345064452"/>
    <n v="5000"/>
    <n v="100"/>
    <x v="4660"/>
    <x v="7"/>
    <x v="3"/>
    <x v="1"/>
  </r>
  <r>
    <x v="397"/>
    <s v="ZTAN"/>
    <x v="10"/>
    <s v="XR6339"/>
    <s v="78907355"/>
    <s v="QUILICURA"/>
    <x v="3621"/>
    <x v="1"/>
    <x v="1"/>
    <x v="8"/>
    <x v="1"/>
    <n v="1"/>
    <n v="80903"/>
    <n v="0"/>
    <n v="80903"/>
    <n v="11.000027193125577"/>
    <n v="5000"/>
    <n v="100"/>
    <x v="4661"/>
    <x v="7"/>
    <x v="3"/>
    <x v="1"/>
  </r>
  <r>
    <x v="397"/>
    <s v="ZTAN"/>
    <x v="7"/>
    <s v="DJLF85"/>
    <s v="53173292"/>
    <s v="RENCA"/>
    <x v="3622"/>
    <x v="4"/>
    <x v="1"/>
    <x v="7"/>
    <x v="1"/>
    <n v="1"/>
    <n v="67858"/>
    <n v="0"/>
    <n v="67858"/>
    <n v="11.000016210345438"/>
    <n v="5000"/>
    <n v="100"/>
    <x v="4662"/>
    <x v="7"/>
    <x v="3"/>
    <x v="1"/>
  </r>
  <r>
    <x v="397"/>
    <s v="ZTAN"/>
    <x v="7"/>
    <s v="WC2233"/>
    <s v="125108660"/>
    <s v="RENCA"/>
    <x v="45"/>
    <x v="4"/>
    <x v="1"/>
    <x v="7"/>
    <x v="1"/>
    <n v="1"/>
    <n v="55000"/>
    <n v="0"/>
    <n v="55000"/>
    <n v="25.01819505094614"/>
    <n v="5000"/>
    <n v="44"/>
    <x v="4663"/>
    <x v="7"/>
    <x v="3"/>
    <x v="1"/>
  </r>
  <r>
    <x v="397"/>
    <s v="ZTAN"/>
    <x v="7"/>
    <s v="WG4022"/>
    <s v="81417709"/>
    <s v="RENCA"/>
    <x v="419"/>
    <x v="1"/>
    <x v="0"/>
    <x v="7"/>
    <x v="1"/>
    <n v="1"/>
    <n v="90684"/>
    <n v="0"/>
    <n v="90684"/>
    <n v="10.999999999999995"/>
    <n v="5000"/>
    <n v="100"/>
    <x v="4664"/>
    <x v="7"/>
    <x v="3"/>
    <x v="1"/>
  </r>
  <r>
    <x v="397"/>
    <s v="ZTAN"/>
    <x v="8"/>
    <s v="BWP'L69"/>
    <s v="78551976"/>
    <s v="CONCEPCION"/>
    <x v="3623"/>
    <x v="0"/>
    <x v="0"/>
    <x v="81"/>
    <x v="0"/>
    <n v="0"/>
    <n v="460000"/>
    <n v="0"/>
    <n v="460000"/>
    <n v="55.07926624838354"/>
    <n v="20000"/>
    <n v="75"/>
    <x v="4665"/>
    <x v="7"/>
    <x v="3"/>
    <x v="0"/>
  </r>
  <r>
    <x v="397"/>
    <s v="ZTAN"/>
    <x v="8"/>
    <s v="HLBX77"/>
    <s v="16093509K"/>
    <s v="VIÑA DEL MAR"/>
    <x v="3624"/>
    <x v="1"/>
    <x v="1"/>
    <x v="6"/>
    <x v="2"/>
    <n v="0"/>
    <n v="203000"/>
    <n v="0"/>
    <n v="203000"/>
    <n v="15.106886805511111"/>
    <n v="20000"/>
    <n v="67"/>
    <x v="4666"/>
    <x v="7"/>
    <x v="3"/>
    <x v="0"/>
  </r>
  <r>
    <x v="397"/>
    <s v="ZTAN"/>
    <x v="8"/>
    <s v="SV2718"/>
    <s v="99626232"/>
    <s v="CERRILLOS"/>
    <x v="3625"/>
    <x v="1"/>
    <x v="1"/>
    <x v="9"/>
    <x v="1"/>
    <n v="2"/>
    <n v="55000"/>
    <n v="0"/>
    <n v="55000"/>
    <n v="17.297066103096803"/>
    <n v="5000"/>
    <n v="64"/>
    <x v="4667"/>
    <x v="7"/>
    <x v="3"/>
    <x v="1"/>
  </r>
  <r>
    <x v="397"/>
    <s v="ZTAN"/>
    <x v="8"/>
    <s v="TP3884"/>
    <s v="107643206"/>
    <s v="VIÑA DEL MAR"/>
    <x v="3626"/>
    <x v="1"/>
    <x v="1"/>
    <x v="6"/>
    <x v="2"/>
    <n v="0"/>
    <n v="203000"/>
    <n v="0"/>
    <n v="203000"/>
    <n v="9.6024673137688961"/>
    <n v="20000"/>
    <n v="100"/>
    <x v="4668"/>
    <x v="7"/>
    <x v="3"/>
    <x v="0"/>
  </r>
  <r>
    <x v="398"/>
    <s v="ZPEP"/>
    <x v="17"/>
    <s v="XR6339"/>
    <n v="78907355"/>
    <s v="LAMPA"/>
    <x v="3627"/>
    <x v="1"/>
    <x v="1"/>
    <x v="17"/>
    <x v="1"/>
    <n v="5"/>
    <n v="70000"/>
    <n v="0"/>
    <n v="70000"/>
    <n v="7.9799361605107144"/>
    <n v="10000"/>
    <n v="88"/>
    <x v="4669"/>
    <x v="7"/>
    <x v="3"/>
    <x v="1"/>
  </r>
  <r>
    <x v="398"/>
    <s v="ZPEP"/>
    <x v="11"/>
    <s v="RK5135"/>
    <n v="138841065"/>
    <s v="BUIN"/>
    <x v="3628"/>
    <x v="3"/>
    <x v="1"/>
    <x v="56"/>
    <x v="1"/>
    <n v="5"/>
    <n v="90000"/>
    <n v="0"/>
    <n v="90000"/>
    <n v="12.698394781806304"/>
    <n v="10000"/>
    <n v="71"/>
    <x v="4670"/>
    <x v="7"/>
    <x v="3"/>
    <x v="1"/>
  </r>
  <r>
    <x v="398"/>
    <s v="ZTAN"/>
    <x v="41"/>
    <s v="RH1133"/>
    <n v="65941082"/>
    <s v="PEDRO AGUIRRE CERDA"/>
    <x v="3629"/>
    <x v="0"/>
    <x v="0"/>
    <x v="83"/>
    <x v="1"/>
    <n v="3"/>
    <n v="113535"/>
    <n v="0"/>
    <n v="113535"/>
    <n v="11.000003875458273"/>
    <n v="5000"/>
    <n v="100"/>
    <x v="4671"/>
    <x v="7"/>
    <x v="3"/>
    <x v="1"/>
  </r>
  <r>
    <x v="398"/>
    <s v="ZTAN"/>
    <x v="7"/>
    <s v="WG4022"/>
    <n v="81417709"/>
    <s v="RENCA"/>
    <x v="3630"/>
    <x v="1"/>
    <x v="0"/>
    <x v="7"/>
    <x v="1"/>
    <n v="1"/>
    <n v="223894"/>
    <n v="0"/>
    <n v="223894"/>
    <n v="10.999999999999995"/>
    <n v="5000"/>
    <n v="100"/>
    <x v="4672"/>
    <x v="7"/>
    <x v="3"/>
    <x v="1"/>
  </r>
  <r>
    <x v="398"/>
    <s v="ZTAN"/>
    <x v="100"/>
    <s v="SU9354"/>
    <n v="72564391"/>
    <s v="PAINE"/>
    <x v="3631"/>
    <x v="2"/>
    <x v="1"/>
    <x v="13"/>
    <x v="1"/>
    <n v="5"/>
    <n v="90000"/>
    <n v="0"/>
    <n v="90000"/>
    <n v="8.0276865991151709"/>
    <n v="10000"/>
    <n v="100"/>
    <x v="4673"/>
    <x v="7"/>
    <x v="3"/>
    <x v="1"/>
  </r>
  <r>
    <x v="398"/>
    <s v="ZTAN"/>
    <x v="8"/>
    <s v="HXKC25"/>
    <n v="134896663"/>
    <s v="VALDIVIA"/>
    <x v="3632"/>
    <x v="0"/>
    <x v="0"/>
    <x v="77"/>
    <x v="11"/>
    <n v="0"/>
    <n v="900000"/>
    <n v="0"/>
    <n v="900000"/>
    <n v="81.357844342556305"/>
    <n v="20000"/>
    <n v="55"/>
    <x v="4674"/>
    <x v="7"/>
    <x v="3"/>
    <x v="0"/>
  </r>
  <r>
    <x v="398"/>
    <s v="ZTAN"/>
    <x v="8"/>
    <s v="KKPF51"/>
    <n v="95707734"/>
    <s v="LINARES"/>
    <x v="3633"/>
    <x v="8"/>
    <x v="0"/>
    <x v="59"/>
    <x v="3"/>
    <n v="0"/>
    <n v="350000"/>
    <n v="0"/>
    <n v="350000"/>
    <n v="32.962924244607471"/>
    <n v="20000"/>
    <n v="53"/>
    <x v="4675"/>
    <x v="7"/>
    <x v="3"/>
    <x v="0"/>
  </r>
  <r>
    <x v="398"/>
    <s v="ZTAN"/>
    <x v="8"/>
    <s v="SV2718"/>
    <n v="99626232"/>
    <s v="LA REINA"/>
    <x v="3634"/>
    <x v="1"/>
    <x v="1"/>
    <x v="11"/>
    <x v="1"/>
    <n v="3"/>
    <n v="55000"/>
    <n v="0"/>
    <n v="55000"/>
    <n v="19.782037909578101"/>
    <n v="5000"/>
    <n v="56"/>
    <x v="4676"/>
    <x v="7"/>
    <x v="3"/>
    <x v="1"/>
  </r>
  <r>
    <x v="398"/>
    <s v="ZTAN"/>
    <x v="8"/>
    <s v="TP3884"/>
    <n v="107643206"/>
    <s v="REÑACA"/>
    <x v="3635"/>
    <x v="1"/>
    <x v="1"/>
    <x v="6"/>
    <x v="2"/>
    <n v="0"/>
    <n v="203000"/>
    <n v="0"/>
    <n v="203000"/>
    <n v="38.325315853465135"/>
    <n v="20000"/>
    <n v="26"/>
    <x v="4677"/>
    <x v="7"/>
    <x v="3"/>
    <x v="0"/>
  </r>
  <r>
    <x v="399"/>
    <s v="ZPEP"/>
    <x v="11"/>
    <s v="DJLF85"/>
    <s v="53173292"/>
    <s v="BUIN"/>
    <x v="3636"/>
    <x v="4"/>
    <x v="1"/>
    <x v="56"/>
    <x v="1"/>
    <n v="5"/>
    <n v="90000"/>
    <n v="0"/>
    <n v="90000"/>
    <n v="9.8553022621203805"/>
    <n v="10000"/>
    <n v="91"/>
    <x v="4678"/>
    <x v="7"/>
    <x v="3"/>
    <x v="1"/>
  </r>
  <r>
    <x v="399"/>
    <s v="ZTAN"/>
    <x v="17"/>
    <s v="HLBX77"/>
    <s v="16093509K"/>
    <s v="LAMPA"/>
    <x v="3637"/>
    <x v="1"/>
    <x v="1"/>
    <x v="17"/>
    <x v="1"/>
    <n v="5"/>
    <n v="70000"/>
    <n v="0"/>
    <n v="70000"/>
    <n v="6.9721115537848606"/>
    <n v="10000"/>
    <n v="100"/>
    <x v="4679"/>
    <x v="7"/>
    <x v="3"/>
    <x v="1"/>
  </r>
  <r>
    <x v="399"/>
    <s v="ZTAN"/>
    <x v="4"/>
    <s v="TP3884"/>
    <s v="107643206"/>
    <s v="SAN BERNARDO"/>
    <x v="890"/>
    <x v="1"/>
    <x v="1"/>
    <x v="4"/>
    <x v="1"/>
    <n v="4"/>
    <n v="71280"/>
    <n v="0"/>
    <n v="71280"/>
    <n v="11"/>
    <n v="5000"/>
    <n v="100"/>
    <x v="4680"/>
    <x v="7"/>
    <x v="3"/>
    <x v="1"/>
  </r>
  <r>
    <x v="399"/>
    <s v="ZTAN"/>
    <x v="10"/>
    <s v="DKDL88"/>
    <s v="122975819"/>
    <s v="TALCAHUANO"/>
    <x v="3309"/>
    <x v="0"/>
    <x v="0"/>
    <x v="0"/>
    <x v="0"/>
    <n v="0"/>
    <n v="430000"/>
    <n v="0"/>
    <n v="430000"/>
    <n v="44.666971371587657"/>
    <n v="20000"/>
    <n v="48"/>
    <x v="4681"/>
    <x v="7"/>
    <x v="3"/>
    <x v="0"/>
  </r>
  <r>
    <x v="399"/>
    <s v="ZTAN"/>
    <x v="10"/>
    <s v="KKPF51"/>
    <s v="95707734"/>
    <s v="SANTIAGO"/>
    <x v="3638"/>
    <x v="8"/>
    <x v="0"/>
    <x v="20"/>
    <x v="1"/>
    <n v="1"/>
    <n v="156221"/>
    <n v="0"/>
    <n v="156221"/>
    <n v="11.000007041311374"/>
    <n v="5000"/>
    <n v="100"/>
    <x v="4682"/>
    <x v="7"/>
    <x v="3"/>
    <x v="1"/>
  </r>
  <r>
    <x v="399"/>
    <s v="ZTAN"/>
    <x v="10"/>
    <s v="RH1133"/>
    <s v="65941082"/>
    <s v="QUILICURA"/>
    <x v="3639"/>
    <x v="0"/>
    <x v="0"/>
    <x v="8"/>
    <x v="1"/>
    <n v="1"/>
    <n v="76385"/>
    <n v="0"/>
    <n v="76385"/>
    <n v="10.605993285254495"/>
    <n v="5000"/>
    <n v="100"/>
    <x v="4683"/>
    <x v="7"/>
    <x v="3"/>
    <x v="1"/>
  </r>
  <r>
    <x v="399"/>
    <s v="ZTAN"/>
    <x v="10"/>
    <s v="WC2233"/>
    <s v="125108660"/>
    <s v="TALAGANTE"/>
    <x v="3640"/>
    <x v="4"/>
    <x v="1"/>
    <x v="50"/>
    <x v="1"/>
    <n v="4"/>
    <n v="55000"/>
    <n v="0"/>
    <n v="55000"/>
    <n v="12.763389956372412"/>
    <n v="5000"/>
    <n v="86"/>
    <x v="4684"/>
    <x v="7"/>
    <x v="3"/>
    <x v="1"/>
  </r>
  <r>
    <x v="399"/>
    <s v="ZTAN"/>
    <x v="101"/>
    <s v="RK5135"/>
    <s v="138841065"/>
    <s v="QUILICURA"/>
    <x v="3641"/>
    <x v="3"/>
    <x v="1"/>
    <x v="8"/>
    <x v="1"/>
    <n v="1"/>
    <n v="55000"/>
    <n v="0"/>
    <n v="55000"/>
    <n v="11.315009874917713"/>
    <n v="5000"/>
    <n v="97"/>
    <x v="4685"/>
    <x v="7"/>
    <x v="3"/>
    <x v="1"/>
  </r>
  <r>
    <x v="399"/>
    <s v="ZTAN"/>
    <x v="7"/>
    <s v="BDHB75"/>
    <s v="98494073"/>
    <s v="CHILLAN"/>
    <x v="3642"/>
    <x v="0"/>
    <x v="0"/>
    <x v="21"/>
    <x v="5"/>
    <n v="0"/>
    <n v="400000"/>
    <n v="0"/>
    <n v="1"/>
    <n v="5.6009230321156893E-5"/>
    <n v="20000"/>
    <n v="89"/>
    <x v="4686"/>
    <x v="7"/>
    <x v="3"/>
    <x v="0"/>
  </r>
  <r>
    <x v="399"/>
    <s v="ZTAN"/>
    <x v="7"/>
    <s v="WG4022"/>
    <s v="81417709"/>
    <s v="RENCA"/>
    <x v="315"/>
    <x v="1"/>
    <x v="0"/>
    <x v="7"/>
    <x v="1"/>
    <n v="1"/>
    <n v="104544"/>
    <n v="0"/>
    <n v="104544"/>
    <n v="10.999999999999989"/>
    <n v="5000"/>
    <n v="100"/>
    <x v="4687"/>
    <x v="7"/>
    <x v="3"/>
    <x v="1"/>
  </r>
  <r>
    <x v="399"/>
    <s v="ZTAN"/>
    <x v="8"/>
    <s v="BWPL69"/>
    <s v="78551976"/>
    <s v="TEMUCO"/>
    <x v="3643"/>
    <x v="5"/>
    <x v="0"/>
    <x v="14"/>
    <x v="4"/>
    <n v="0"/>
    <n v="700000"/>
    <n v="0"/>
    <n v="700000"/>
    <n v="106.24669876328845"/>
    <n v="20000"/>
    <n v="33"/>
    <x v="4688"/>
    <x v="7"/>
    <x v="3"/>
    <x v="0"/>
  </r>
  <r>
    <x v="399"/>
    <s v="ZTAN"/>
    <x v="8"/>
    <s v="FJCX67"/>
    <s v="90366327"/>
    <s v="OSORNO"/>
    <x v="3644"/>
    <x v="0"/>
    <x v="0"/>
    <x v="64"/>
    <x v="10"/>
    <n v="0"/>
    <n v="950000"/>
    <n v="0"/>
    <n v="950000"/>
    <n v="125.95994738851887"/>
    <n v="20000"/>
    <n v="38"/>
    <x v="4689"/>
    <x v="7"/>
    <x v="3"/>
    <x v="0"/>
  </r>
  <r>
    <x v="399"/>
    <s v="ZTAN"/>
    <x v="8"/>
    <s v="SU9354"/>
    <s v="72564391"/>
    <s v="PERALILLO"/>
    <x v="3645"/>
    <x v="2"/>
    <x v="1"/>
    <x v="100"/>
    <x v="6"/>
    <n v="0"/>
    <n v="250000"/>
    <n v="0"/>
    <n v="1"/>
    <n v="2.2335388189046717E-4"/>
    <n v="20000"/>
    <n v="22"/>
    <x v="4690"/>
    <x v="7"/>
    <x v="3"/>
    <x v="0"/>
  </r>
  <r>
    <x v="400"/>
    <s v="ZPEP"/>
    <x v="11"/>
    <s v="SU9354"/>
    <s v="72564391"/>
    <s v="CURICO"/>
    <x v="3646"/>
    <x v="2"/>
    <x v="1"/>
    <x v="73"/>
    <x v="3"/>
    <n v="0"/>
    <n v="350000"/>
    <n v="0"/>
    <n v="350000"/>
    <n v="29.224287219634714"/>
    <n v="20000"/>
    <n v="60"/>
    <x v="4691"/>
    <x v="7"/>
    <x v="3"/>
    <x v="0"/>
  </r>
  <r>
    <x v="400"/>
    <s v="ZTAN"/>
    <x v="41"/>
    <s v="RH1133"/>
    <s v="65941082"/>
    <s v="EL MANZANO"/>
    <x v="3647"/>
    <x v="0"/>
    <x v="0"/>
    <x v="61"/>
    <x v="6"/>
    <n v="0"/>
    <n v="260000"/>
    <n v="0"/>
    <n v="260000"/>
    <n v="13.500181733215639"/>
    <n v="20000"/>
    <n v="96"/>
    <x v="4692"/>
    <x v="7"/>
    <x v="3"/>
    <x v="0"/>
  </r>
  <r>
    <x v="400"/>
    <s v="ZTAN"/>
    <x v="7"/>
    <s v="DJLF85"/>
    <s v="125108660"/>
    <s v="SAN MIGUEL"/>
    <x v="2546"/>
    <x v="4"/>
    <x v="1"/>
    <x v="23"/>
    <x v="1"/>
    <n v="2"/>
    <n v="55000"/>
    <n v="0"/>
    <n v="55000"/>
    <n v="22.238395600841006"/>
    <n v="5000"/>
    <n v="49"/>
    <x v="4693"/>
    <x v="7"/>
    <x v="3"/>
    <x v="1"/>
  </r>
  <r>
    <x v="400"/>
    <s v="ZTAN"/>
    <x v="7"/>
    <s v="KKPF51"/>
    <s v="95707734"/>
    <s v="MELIPILLA"/>
    <x v="3648"/>
    <x v="8"/>
    <x v="0"/>
    <x v="29"/>
    <x v="1"/>
    <n v="5"/>
    <n v="120000"/>
    <n v="0"/>
    <n v="120000"/>
    <n v="10.297423927780734"/>
    <n v="10000"/>
    <n v="100"/>
    <x v="4694"/>
    <x v="7"/>
    <x v="3"/>
    <x v="1"/>
  </r>
  <r>
    <x v="400"/>
    <s v="ZTAN"/>
    <x v="7"/>
    <s v="RK5135"/>
    <s v="138841065"/>
    <s v="SANTIAGO"/>
    <x v="3649"/>
    <x v="3"/>
    <x v="1"/>
    <x v="20"/>
    <x v="1"/>
    <n v="1"/>
    <n v="62641"/>
    <n v="0"/>
    <n v="62641"/>
    <n v="11.000070241983632"/>
    <n v="5000"/>
    <n v="100"/>
    <x v="4695"/>
    <x v="7"/>
    <x v="3"/>
    <x v="1"/>
  </r>
  <r>
    <x v="400"/>
    <s v="ZTAN"/>
    <x v="7"/>
    <s v="WG4022"/>
    <s v="81417709"/>
    <s v="RENCA"/>
    <x v="3650"/>
    <x v="1"/>
    <x v="0"/>
    <x v="7"/>
    <x v="1"/>
    <n v="1"/>
    <n v="94463"/>
    <n v="0"/>
    <n v="94463"/>
    <n v="11.000058224163025"/>
    <n v="5000"/>
    <n v="100"/>
    <x v="4696"/>
    <x v="7"/>
    <x v="3"/>
    <x v="1"/>
  </r>
  <r>
    <x v="400"/>
    <s v="ZTAN"/>
    <x v="7"/>
    <s v="XR6339"/>
    <s v="78907355"/>
    <s v="SAN MIGUEL"/>
    <x v="1382"/>
    <x v="1"/>
    <x v="1"/>
    <x v="23"/>
    <x v="1"/>
    <n v="2"/>
    <n v="75922"/>
    <n v="0"/>
    <n v="75922"/>
    <n v="11.000000000000002"/>
    <n v="5000"/>
    <n v="100"/>
    <x v="4697"/>
    <x v="7"/>
    <x v="3"/>
    <x v="1"/>
  </r>
  <r>
    <x v="400"/>
    <s v="ZTAN"/>
    <x v="8"/>
    <s v="BPKD94"/>
    <s v="125897258"/>
    <s v="VILLARRICA"/>
    <x v="3651"/>
    <x v="0"/>
    <x v="0"/>
    <x v="88"/>
    <x v="4"/>
    <n v="0"/>
    <n v="800000"/>
    <n v="0"/>
    <n v="800000"/>
    <n v="81.112375112289939"/>
    <n v="20000"/>
    <n v="70"/>
    <x v="4698"/>
    <x v="7"/>
    <x v="3"/>
    <x v="0"/>
  </r>
  <r>
    <x v="400"/>
    <s v="ZTAN"/>
    <x v="8"/>
    <s v="HLBX77"/>
    <s v="16093509K"/>
    <s v="PUDAHUEL"/>
    <x v="3652"/>
    <x v="1"/>
    <x v="1"/>
    <x v="10"/>
    <x v="1"/>
    <n v="1"/>
    <n v="87417"/>
    <n v="0"/>
    <n v="87417"/>
    <n v="10.051350804411616"/>
    <n v="5000"/>
    <n v="100"/>
    <x v="4699"/>
    <x v="7"/>
    <x v="3"/>
    <x v="1"/>
  </r>
  <r>
    <x v="400"/>
    <s v="ZTAN"/>
    <x v="8"/>
    <s v="SV2718"/>
    <s v="99626232"/>
    <s v="LA FLORIDA"/>
    <x v="3653"/>
    <x v="1"/>
    <x v="1"/>
    <x v="33"/>
    <x v="1"/>
    <n v="3"/>
    <n v="55000"/>
    <n v="0"/>
    <n v="55000"/>
    <n v="39.254871172650063"/>
    <n v="5000"/>
    <n v="28"/>
    <x v="4700"/>
    <x v="7"/>
    <x v="3"/>
    <x v="1"/>
  </r>
  <r>
    <x v="400"/>
    <s v="ZTAN"/>
    <x v="8"/>
    <s v="TP3884"/>
    <s v="107643206"/>
    <s v="ÑUÑOA"/>
    <x v="3654"/>
    <x v="1"/>
    <x v="1"/>
    <x v="15"/>
    <x v="1"/>
    <n v="4"/>
    <n v="55000"/>
    <n v="0"/>
    <n v="55000"/>
    <n v="27.497250274972501"/>
    <n v="5000"/>
    <n v="40"/>
    <x v="4701"/>
    <x v="7"/>
    <x v="3"/>
    <x v="1"/>
  </r>
  <r>
    <x v="401"/>
    <s v="ZPEP"/>
    <x v="17"/>
    <s v="WC2233"/>
    <s v="125108660"/>
    <s v="LAMPA"/>
    <x v="3655"/>
    <x v="4"/>
    <x v="1"/>
    <x v="17"/>
    <x v="1"/>
    <n v="5"/>
    <n v="70000"/>
    <n v="0"/>
    <n v="70000"/>
    <n v="58.528428093645488"/>
    <n v="10000"/>
    <n v="12"/>
    <x v="4702"/>
    <x v="7"/>
    <x v="3"/>
    <x v="1"/>
  </r>
  <r>
    <x v="401"/>
    <s v="ZPEP"/>
    <x v="11"/>
    <s v="CKYB66"/>
    <s v="115812335"/>
    <s v="CURICO"/>
    <x v="3656"/>
    <x v="0"/>
    <x v="0"/>
    <x v="73"/>
    <x v="3"/>
    <n v="0"/>
    <n v="300000"/>
    <n v="0"/>
    <n v="300000"/>
    <n v="12.736582010851574"/>
    <n v="20000"/>
    <n v="100"/>
    <x v="4703"/>
    <x v="7"/>
    <x v="3"/>
    <x v="0"/>
  </r>
  <r>
    <x v="401"/>
    <s v="ZPEP"/>
    <x v="11"/>
    <s v="SU9354"/>
    <s v="72564391"/>
    <s v="CURICO"/>
    <x v="3657"/>
    <x v="2"/>
    <x v="1"/>
    <x v="73"/>
    <x v="3"/>
    <n v="0"/>
    <n v="300000"/>
    <n v="0"/>
    <n v="300000"/>
    <n v="34.67566692866059"/>
    <n v="20000"/>
    <n v="43"/>
    <x v="4704"/>
    <x v="7"/>
    <x v="3"/>
    <x v="0"/>
  </r>
  <r>
    <x v="401"/>
    <s v="ZPEP"/>
    <x v="11"/>
    <s v="WG4022"/>
    <s v="81417709"/>
    <s v="CURICO"/>
    <x v="3658"/>
    <x v="1"/>
    <x v="0"/>
    <x v="73"/>
    <x v="3"/>
    <n v="0"/>
    <n v="300000"/>
    <n v="0"/>
    <n v="300000"/>
    <n v="13.506516894401555"/>
    <n v="20000"/>
    <n v="100"/>
    <x v="4705"/>
    <x v="7"/>
    <x v="3"/>
    <x v="0"/>
  </r>
  <r>
    <x v="401"/>
    <s v="ZPEP"/>
    <x v="11"/>
    <s v="WT7053"/>
    <s v="172861164"/>
    <s v="CURICO"/>
    <x v="3659"/>
    <x v="0"/>
    <x v="0"/>
    <x v="73"/>
    <x v="3"/>
    <n v="0"/>
    <n v="300000"/>
    <n v="0"/>
    <n v="300000"/>
    <n v="13.340210953202545"/>
    <n v="20000"/>
    <n v="100"/>
    <x v="4706"/>
    <x v="7"/>
    <x v="3"/>
    <x v="0"/>
  </r>
  <r>
    <x v="401"/>
    <s v="ZPEP"/>
    <x v="9"/>
    <s v="DJLF85"/>
    <s v="53173292"/>
    <s v="SAN BERNARDO"/>
    <x v="3660"/>
    <x v="4"/>
    <x v="1"/>
    <x v="4"/>
    <x v="1"/>
    <n v="4"/>
    <n v="163849"/>
    <n v="0"/>
    <n v="163849"/>
    <n v="11.000002685400016"/>
    <n v="5000"/>
    <n v="100"/>
    <x v="4707"/>
    <x v="7"/>
    <x v="3"/>
    <x v="1"/>
  </r>
  <r>
    <x v="401"/>
    <s v="ZTAN"/>
    <x v="17"/>
    <s v="WC2233"/>
    <s v="125108660"/>
    <s v="LAMPA"/>
    <x v="3661"/>
    <x v="4"/>
    <x v="1"/>
    <x v="17"/>
    <x v="1"/>
    <n v="5"/>
    <n v="70000"/>
    <n v="0"/>
    <n v="70000"/>
    <n v="13.812154696132596"/>
    <n v="10000"/>
    <n v="51"/>
    <x v="4708"/>
    <x v="7"/>
    <x v="3"/>
    <x v="1"/>
  </r>
  <r>
    <x v="401"/>
    <s v="ZTAN"/>
    <x v="10"/>
    <s v="KKPF51"/>
    <s v="95707734"/>
    <s v="SANTIAGO"/>
    <x v="3662"/>
    <x v="8"/>
    <x v="0"/>
    <x v="20"/>
    <x v="1"/>
    <n v="1"/>
    <n v="84394"/>
    <n v="0"/>
    <n v="84394"/>
    <n v="10.999973931857873"/>
    <n v="5000"/>
    <n v="100"/>
    <x v="4709"/>
    <x v="7"/>
    <x v="3"/>
    <x v="1"/>
  </r>
  <r>
    <x v="401"/>
    <s v="ZTAN"/>
    <x v="7"/>
    <s v="RK5135"/>
    <s v="138841065"/>
    <s v="SANTIAGO"/>
    <x v="3663"/>
    <x v="3"/>
    <x v="1"/>
    <x v="20"/>
    <x v="1"/>
    <n v="1"/>
    <n v="55000"/>
    <n v="0"/>
    <n v="55000"/>
    <n v="13.483366428869113"/>
    <n v="5000"/>
    <n v="82"/>
    <x v="4710"/>
    <x v="7"/>
    <x v="3"/>
    <x v="1"/>
  </r>
  <r>
    <x v="401"/>
    <s v="ZTAN"/>
    <x v="7"/>
    <s v="WG4022"/>
    <s v="81417709"/>
    <s v="RENCA"/>
    <x v="2202"/>
    <x v="1"/>
    <x v="0"/>
    <x v="7"/>
    <x v="1"/>
    <n v="1"/>
    <n v="78593"/>
    <n v="0"/>
    <n v="78593"/>
    <n v="9.5335888789150651"/>
    <n v="5000"/>
    <n v="100"/>
    <x v="4711"/>
    <x v="7"/>
    <x v="3"/>
    <x v="1"/>
  </r>
  <r>
    <x v="401"/>
    <s v="ZTAN"/>
    <x v="8"/>
    <s v="HLBX77"/>
    <s v="16093509K"/>
    <s v="PUDAHUEL"/>
    <x v="3664"/>
    <x v="1"/>
    <x v="1"/>
    <x v="10"/>
    <x v="1"/>
    <n v="1"/>
    <n v="61638"/>
    <n v="0"/>
    <n v="61638"/>
    <n v="10.999989292330101"/>
    <n v="5000"/>
    <n v="100"/>
    <x v="4712"/>
    <x v="7"/>
    <x v="3"/>
    <x v="1"/>
  </r>
  <r>
    <x v="402"/>
    <s v="ZTAN"/>
    <x v="10"/>
    <s v="WC2233"/>
    <s v="125108660"/>
    <s v="QUILICURA"/>
    <x v="3204"/>
    <x v="4"/>
    <x v="1"/>
    <x v="8"/>
    <x v="1"/>
    <n v="1"/>
    <n v="92710"/>
    <n v="0"/>
    <n v="92710"/>
    <n v="10.999976270140719"/>
    <n v="5000"/>
    <n v="100"/>
    <x v="4713"/>
    <x v="7"/>
    <x v="3"/>
    <x v="1"/>
  </r>
  <r>
    <x v="402"/>
    <s v="ZTAN"/>
    <x v="6"/>
    <s v="SV2718"/>
    <s v="99626232"/>
    <s v="LA DEHESA"/>
    <x v="3665"/>
    <x v="1"/>
    <x v="1"/>
    <x v="41"/>
    <x v="1"/>
    <n v="4"/>
    <n v="55000"/>
    <n v="0"/>
    <n v="55000"/>
    <n v="18.235832416015704"/>
    <n v="5000"/>
    <n v="60"/>
    <x v="4714"/>
    <x v="7"/>
    <x v="3"/>
    <x v="1"/>
  </r>
  <r>
    <x v="402"/>
    <s v="ZTAN"/>
    <x v="6"/>
    <s v="XR6339"/>
    <s v="78907355"/>
    <s v="MAIPU"/>
    <x v="3666"/>
    <x v="1"/>
    <x v="1"/>
    <x v="2"/>
    <x v="1"/>
    <n v="2"/>
    <n v="55000"/>
    <n v="0"/>
    <n v="55000"/>
    <n v="17.308333805378794"/>
    <n v="5000"/>
    <n v="64"/>
    <x v="4715"/>
    <x v="7"/>
    <x v="3"/>
    <x v="1"/>
  </r>
  <r>
    <x v="402"/>
    <s v="ZTAN"/>
    <x v="7"/>
    <s v="HLBX77"/>
    <s v="16093509K"/>
    <s v="RENCA"/>
    <x v="2472"/>
    <x v="1"/>
    <x v="1"/>
    <x v="7"/>
    <x v="1"/>
    <n v="1"/>
    <n v="55000"/>
    <n v="0"/>
    <n v="55000"/>
    <n v="11.574074074074074"/>
    <n v="5000"/>
    <n v="95"/>
    <x v="4716"/>
    <x v="7"/>
    <x v="3"/>
    <x v="1"/>
  </r>
  <r>
    <x v="402"/>
    <s v="ZTAN"/>
    <x v="7"/>
    <s v="SU9354"/>
    <s v="72564391"/>
    <s v="RENCA"/>
    <x v="3667"/>
    <x v="2"/>
    <x v="1"/>
    <x v="7"/>
    <x v="1"/>
    <n v="1"/>
    <n v="55000"/>
    <n v="0"/>
    <n v="55000"/>
    <n v="11.574561218906519"/>
    <n v="5000"/>
    <n v="96"/>
    <x v="4717"/>
    <x v="7"/>
    <x v="3"/>
    <x v="1"/>
  </r>
  <r>
    <x v="402"/>
    <s v="ZTAN"/>
    <x v="7"/>
    <s v="WG4022"/>
    <s v="81417709"/>
    <s v="RENCA"/>
    <x v="3668"/>
    <x v="1"/>
    <x v="0"/>
    <x v="7"/>
    <x v="1"/>
    <n v="1"/>
    <n v="173133"/>
    <n v="0"/>
    <n v="173133"/>
    <n v="10.999974586070625"/>
    <n v="5000"/>
    <n v="100"/>
    <x v="4718"/>
    <x v="7"/>
    <x v="3"/>
    <x v="1"/>
  </r>
  <r>
    <x v="402"/>
    <s v="ZTAN"/>
    <x v="8"/>
    <s v="TP3884"/>
    <s v="107643206"/>
    <s v="PUENTE ALTO"/>
    <x v="3669"/>
    <x v="1"/>
    <x v="1"/>
    <x v="30"/>
    <x v="1"/>
    <n v="4"/>
    <n v="55000"/>
    <n v="0"/>
    <n v="55000"/>
    <n v="12.345235636879483"/>
    <n v="5000"/>
    <n v="89"/>
    <x v="4719"/>
    <x v="7"/>
    <x v="3"/>
    <x v="1"/>
  </r>
  <r>
    <x v="403"/>
    <s v="ZTAN"/>
    <x v="4"/>
    <s v="XR6339"/>
    <s v="154837728"/>
    <s v="SAN BERNARDO"/>
    <x v="890"/>
    <x v="1"/>
    <x v="1"/>
    <x v="4"/>
    <x v="1"/>
    <n v="4"/>
    <n v="71280"/>
    <n v="0"/>
    <n v="71280"/>
    <n v="11"/>
    <n v="5000"/>
    <n v="100"/>
    <x v="4720"/>
    <x v="7"/>
    <x v="3"/>
    <x v="1"/>
  </r>
  <r>
    <x v="403"/>
    <s v="ZTAN"/>
    <x v="10"/>
    <s v="DRFV76"/>
    <s v="113693568"/>
    <s v="TALCAHUANO"/>
    <x v="3670"/>
    <x v="0"/>
    <x v="0"/>
    <x v="0"/>
    <x v="0"/>
    <n v="0"/>
    <n v="430000"/>
    <n v="0"/>
    <n v="430000"/>
    <n v="47.610084480219669"/>
    <n v="20000"/>
    <n v="45"/>
    <x v="4721"/>
    <x v="7"/>
    <x v="3"/>
    <x v="0"/>
  </r>
  <r>
    <x v="403"/>
    <s v="ZTAN"/>
    <x v="6"/>
    <s v="DJLF85"/>
    <s v="125108660"/>
    <s v="LAMPA"/>
    <x v="3575"/>
    <x v="4"/>
    <x v="1"/>
    <x v="17"/>
    <x v="1"/>
    <n v="5"/>
    <n v="70000"/>
    <n v="0"/>
    <n v="70000"/>
    <n v="9.0020576131687235"/>
    <n v="10000"/>
    <n v="78"/>
    <x v="4722"/>
    <x v="7"/>
    <x v="3"/>
    <x v="1"/>
  </r>
  <r>
    <x v="403"/>
    <s v="ZTAN"/>
    <x v="6"/>
    <s v="KKPF51"/>
    <s v="95707734"/>
    <s v="COPIAPO"/>
    <x v="3671"/>
    <x v="8"/>
    <x v="0"/>
    <x v="60"/>
    <x v="9"/>
    <n v="0"/>
    <n v="1000000"/>
    <n v="0"/>
    <n v="1000000"/>
    <n v="81.312712429461214"/>
    <n v="20000"/>
    <n v="65"/>
    <x v="4723"/>
    <x v="7"/>
    <x v="3"/>
    <x v="0"/>
  </r>
  <r>
    <x v="403"/>
    <s v="ZTAN"/>
    <x v="6"/>
    <s v="TP3884"/>
    <s v="107643206"/>
    <s v="LOS ANDES"/>
    <x v="3672"/>
    <x v="1"/>
    <x v="1"/>
    <x v="38"/>
    <x v="2"/>
    <n v="0"/>
    <n v="203000"/>
    <n v="0"/>
    <n v="203000"/>
    <n v="31.377034483824598"/>
    <n v="20000"/>
    <n v="32"/>
    <x v="4724"/>
    <x v="7"/>
    <x v="3"/>
    <x v="0"/>
  </r>
  <r>
    <x v="403"/>
    <s v="ZTAN"/>
    <x v="6"/>
    <s v="WC2233"/>
    <s v="125108660"/>
    <s v="LAMPA"/>
    <x v="3673"/>
    <x v="4"/>
    <x v="1"/>
    <x v="17"/>
    <x v="1"/>
    <n v="5"/>
    <n v="70000"/>
    <n v="0"/>
    <n v="70000"/>
    <n v="9.8652686171712052"/>
    <n v="10000"/>
    <n v="71"/>
    <x v="4725"/>
    <x v="7"/>
    <x v="3"/>
    <x v="1"/>
  </r>
  <r>
    <x v="403"/>
    <s v="ZTAN"/>
    <x v="41"/>
    <s v="RH1133"/>
    <s v="65941082"/>
    <s v="EL MANZANO"/>
    <x v="3674"/>
    <x v="0"/>
    <x v="0"/>
    <x v="61"/>
    <x v="6"/>
    <n v="0"/>
    <n v="260000"/>
    <n v="0"/>
    <n v="260000"/>
    <n v="20.977757122755381"/>
    <n v="20000"/>
    <n v="62"/>
    <x v="4726"/>
    <x v="7"/>
    <x v="3"/>
    <x v="0"/>
  </r>
  <r>
    <x v="403"/>
    <s v="ZTAN"/>
    <x v="70"/>
    <s v="SU9354"/>
    <s v="72564391"/>
    <s v="SANTIAGO"/>
    <x v="3675"/>
    <x v="2"/>
    <x v="1"/>
    <x v="20"/>
    <x v="1"/>
    <n v="1"/>
    <n v="55000"/>
    <n v="0"/>
    <n v="55000"/>
    <n v="18.206735830194045"/>
    <n v="5000"/>
    <n v="60"/>
    <x v="4727"/>
    <x v="7"/>
    <x v="3"/>
    <x v="1"/>
  </r>
  <r>
    <x v="403"/>
    <s v="ZTAN"/>
    <x v="7"/>
    <s v="HLBX77"/>
    <s v="16093509K"/>
    <s v="RENCA"/>
    <x v="3676"/>
    <x v="1"/>
    <x v="1"/>
    <x v="7"/>
    <x v="1"/>
    <n v="1"/>
    <n v="55000"/>
    <n v="0"/>
    <n v="55000"/>
    <n v="11.57358697024536"/>
    <n v="5000"/>
    <n v="95"/>
    <x v="4728"/>
    <x v="7"/>
    <x v="3"/>
    <x v="1"/>
  </r>
  <r>
    <x v="403"/>
    <s v="ZTAN"/>
    <x v="7"/>
    <s v="RK5135"/>
    <s v="138841065"/>
    <s v="RENCA"/>
    <x v="2472"/>
    <x v="3"/>
    <x v="1"/>
    <x v="7"/>
    <x v="1"/>
    <n v="1"/>
    <n v="55000"/>
    <n v="0"/>
    <n v="55000"/>
    <n v="11.574074074074074"/>
    <n v="5000"/>
    <n v="95"/>
    <x v="4729"/>
    <x v="7"/>
    <x v="3"/>
    <x v="1"/>
  </r>
  <r>
    <x v="403"/>
    <s v="ZTAN"/>
    <x v="7"/>
    <s v="WG4022"/>
    <s v="81417709"/>
    <s v="RENCA"/>
    <x v="3677"/>
    <x v="1"/>
    <x v="0"/>
    <x v="7"/>
    <x v="1"/>
    <n v="1"/>
    <n v="94090"/>
    <n v="0"/>
    <n v="94090"/>
    <n v="9.9004587735173946"/>
    <n v="5000"/>
    <n v="100"/>
    <x v="4730"/>
    <x v="7"/>
    <x v="3"/>
    <x v="1"/>
  </r>
  <r>
    <x v="403"/>
    <s v="ZTAN"/>
    <x v="8"/>
    <s v="RK5135"/>
    <s v="138841065"/>
    <s v="ÑUÑOA"/>
    <x v="1068"/>
    <x v="3"/>
    <x v="1"/>
    <x v="15"/>
    <x v="1"/>
    <n v="4"/>
    <n v="65465"/>
    <n v="0"/>
    <n v="65465"/>
    <n v="10.999932788923616"/>
    <n v="5000"/>
    <n v="100"/>
    <x v="4731"/>
    <x v="7"/>
    <x v="3"/>
    <x v="1"/>
  </r>
  <r>
    <x v="403"/>
    <s v="ZTAN"/>
    <x v="8"/>
    <s v="SV2718"/>
    <s v="99626232"/>
    <s v="ÑUÑOA"/>
    <x v="3678"/>
    <x v="1"/>
    <x v="1"/>
    <x v="15"/>
    <x v="1"/>
    <n v="4"/>
    <n v="55000"/>
    <n v="0"/>
    <n v="55000"/>
    <n v="14.277481556089736"/>
    <n v="5000"/>
    <n v="77"/>
    <x v="4732"/>
    <x v="7"/>
    <x v="3"/>
    <x v="1"/>
  </r>
  <r>
    <x v="404"/>
    <s v="ZPEP"/>
    <x v="17"/>
    <s v="HLBX77"/>
    <s v="16093509K"/>
    <s v="LAMPA"/>
    <x v="3679"/>
    <x v="1"/>
    <x v="1"/>
    <x v="17"/>
    <x v="1"/>
    <n v="5"/>
    <n v="70000"/>
    <n v="0"/>
    <n v="70000"/>
    <n v="7.9559919985451906"/>
    <n v="10000"/>
    <n v="88"/>
    <x v="4733"/>
    <x v="7"/>
    <x v="3"/>
    <x v="1"/>
  </r>
  <r>
    <x v="404"/>
    <s v="ZTAN"/>
    <x v="102"/>
    <s v="DJLF85"/>
    <s v="125108660"/>
    <s v="TALAGANTE"/>
    <x v="3680"/>
    <x v="4"/>
    <x v="1"/>
    <x v="50"/>
    <x v="1"/>
    <n v="4"/>
    <n v="55000"/>
    <n v="0"/>
    <n v="55000"/>
    <n v="16.480882176675063"/>
    <n v="5000"/>
    <n v="67"/>
    <x v="4734"/>
    <x v="7"/>
    <x v="3"/>
    <x v="1"/>
  </r>
  <r>
    <x v="404"/>
    <s v="ZTAN"/>
    <x v="6"/>
    <s v="CVSK23"/>
    <s v="95439802"/>
    <s v="TALCA"/>
    <x v="3681"/>
    <x v="0"/>
    <x v="0"/>
    <x v="12"/>
    <x v="3"/>
    <n v="0"/>
    <n v="360000"/>
    <n v="0"/>
    <n v="360000"/>
    <n v="36.364077140328973"/>
    <n v="20000"/>
    <n v="51"/>
    <x v="4735"/>
    <x v="7"/>
    <x v="3"/>
    <x v="0"/>
  </r>
  <r>
    <x v="404"/>
    <s v="ZTAN"/>
    <x v="6"/>
    <s v="DJLF85"/>
    <s v="53173292"/>
    <s v="VALPARAISO"/>
    <x v="3682"/>
    <x v="4"/>
    <x v="1"/>
    <x v="36"/>
    <x v="2"/>
    <n v="0"/>
    <n v="203000"/>
    <n v="0"/>
    <n v="203000"/>
    <n v="28.791059170590568"/>
    <n v="20000"/>
    <n v="35"/>
    <x v="4736"/>
    <x v="7"/>
    <x v="3"/>
    <x v="0"/>
  </r>
  <r>
    <x v="404"/>
    <s v="ZTAN"/>
    <x v="6"/>
    <s v="TP3884"/>
    <s v="107643206"/>
    <s v="QUILPUE"/>
    <x v="3683"/>
    <x v="1"/>
    <x v="1"/>
    <x v="58"/>
    <x v="2"/>
    <n v="0"/>
    <n v="203000"/>
    <n v="0"/>
    <n v="203000"/>
    <n v="26.267164233179951"/>
    <n v="20000"/>
    <n v="39"/>
    <x v="4737"/>
    <x v="7"/>
    <x v="3"/>
    <x v="0"/>
  </r>
  <r>
    <x v="404"/>
    <s v="ZTAN"/>
    <x v="7"/>
    <s v="RK5135"/>
    <s v="138841065"/>
    <s v="RENCA"/>
    <x v="3684"/>
    <x v="3"/>
    <x v="1"/>
    <x v="7"/>
    <x v="1"/>
    <n v="1"/>
    <n v="81972"/>
    <n v="0"/>
    <n v="81972"/>
    <n v="10.630527817403708"/>
    <n v="5000"/>
    <n v="100"/>
    <x v="4738"/>
    <x v="7"/>
    <x v="3"/>
    <x v="1"/>
  </r>
  <r>
    <x v="404"/>
    <s v="ZTAN"/>
    <x v="7"/>
    <s v="SU9354"/>
    <s v="72564391"/>
    <s v="RENCA"/>
    <x v="3685"/>
    <x v="2"/>
    <x v="1"/>
    <x v="7"/>
    <x v="1"/>
    <n v="1"/>
    <n v="55000"/>
    <n v="0"/>
    <n v="55000"/>
    <n v="11.830501183050119"/>
    <n v="5000"/>
    <n v="95"/>
    <x v="4739"/>
    <x v="7"/>
    <x v="3"/>
    <x v="1"/>
  </r>
  <r>
    <x v="404"/>
    <s v="ZTAN"/>
    <x v="7"/>
    <s v="WG4022"/>
    <s v="81417709"/>
    <s v="RENCA"/>
    <x v="3686"/>
    <x v="1"/>
    <x v="0"/>
    <x v="7"/>
    <x v="1"/>
    <n v="1"/>
    <n v="115532"/>
    <n v="0"/>
    <n v="115532"/>
    <n v="11.000009521179866"/>
    <n v="5000"/>
    <n v="100"/>
    <x v="4740"/>
    <x v="7"/>
    <x v="3"/>
    <x v="1"/>
  </r>
  <r>
    <x v="404"/>
    <s v="ZTAN"/>
    <x v="7"/>
    <s v="XR6339"/>
    <s v="154837728"/>
    <s v="SANTIAGO"/>
    <x v="3687"/>
    <x v="1"/>
    <x v="1"/>
    <x v="20"/>
    <x v="1"/>
    <n v="1"/>
    <n v="94229"/>
    <n v="0"/>
    <n v="94229"/>
    <n v="10.999964979045796"/>
    <n v="5000"/>
    <n v="100"/>
    <x v="4741"/>
    <x v="7"/>
    <x v="3"/>
    <x v="1"/>
  </r>
  <r>
    <x v="404"/>
    <s v="ZTAN"/>
    <x v="8"/>
    <s v="HLBX77"/>
    <s v="16093509K"/>
    <s v="PUDAHUEL"/>
    <x v="3688"/>
    <x v="1"/>
    <x v="1"/>
    <x v="10"/>
    <x v="1"/>
    <n v="1"/>
    <n v="70954"/>
    <n v="0"/>
    <n v="70954"/>
    <n v="10.026849810638177"/>
    <n v="5000"/>
    <n v="100"/>
    <x v="4742"/>
    <x v="7"/>
    <x v="3"/>
    <x v="1"/>
  </r>
  <r>
    <x v="404"/>
    <s v="ZTAN"/>
    <x v="8"/>
    <s v="SV2718"/>
    <s v="99626232"/>
    <s v="SAN BERNARDO"/>
    <x v="3689"/>
    <x v="1"/>
    <x v="1"/>
    <x v="4"/>
    <x v="1"/>
    <n v="4"/>
    <n v="63474"/>
    <n v="0"/>
    <n v="63474"/>
    <n v="11.000006931976515"/>
    <n v="5000"/>
    <n v="100"/>
    <x v="4743"/>
    <x v="7"/>
    <x v="3"/>
    <x v="1"/>
  </r>
  <r>
    <x v="405"/>
    <s v="ZPEP"/>
    <x v="9"/>
    <s v="DJLF85"/>
    <s v="125108660"/>
    <s v="SAN BERNARDO"/>
    <x v="3690"/>
    <x v="4"/>
    <x v="1"/>
    <x v="4"/>
    <x v="1"/>
    <n v="4"/>
    <n v="88892"/>
    <n v="0"/>
    <n v="88892"/>
    <n v="11.000028461577489"/>
    <n v="5000"/>
    <n v="100"/>
    <x v="4744"/>
    <x v="7"/>
    <x v="3"/>
    <x v="1"/>
  </r>
  <r>
    <x v="405"/>
    <s v="ZPEP"/>
    <x v="9"/>
    <s v="XR6339"/>
    <s v="154837728"/>
    <s v="SAN BERNARDO"/>
    <x v="3691"/>
    <x v="1"/>
    <x v="1"/>
    <x v="4"/>
    <x v="1"/>
    <n v="4"/>
    <n v="107831"/>
    <n v="0"/>
    <n v="107831"/>
    <n v="11.000020402334032"/>
    <n v="5000"/>
    <n v="100"/>
    <x v="4745"/>
    <x v="7"/>
    <x v="3"/>
    <x v="1"/>
  </r>
  <r>
    <x v="405"/>
    <s v="ZTAN"/>
    <x v="17"/>
    <s v="SU9354"/>
    <s v="72564391"/>
    <s v="LAMPA"/>
    <x v="3692"/>
    <x v="2"/>
    <x v="1"/>
    <x v="17"/>
    <x v="1"/>
    <n v="5"/>
    <n v="70000"/>
    <n v="0"/>
    <n v="70000"/>
    <n v="4.5398534275893381"/>
    <n v="10000"/>
    <n v="100"/>
    <x v="4746"/>
    <x v="7"/>
    <x v="3"/>
    <x v="1"/>
  </r>
  <r>
    <x v="405"/>
    <s v="ZTAN"/>
    <x v="12"/>
    <s v="WC2233"/>
    <s v="125108660"/>
    <s v="VITACURA"/>
    <x v="3693"/>
    <x v="4"/>
    <x v="1"/>
    <x v="27"/>
    <x v="1"/>
    <n v="4"/>
    <n v="55000"/>
    <n v="0"/>
    <n v="55000"/>
    <n v="11.749174353474984"/>
    <n v="5000"/>
    <n v="94"/>
    <x v="4747"/>
    <x v="7"/>
    <x v="3"/>
    <x v="1"/>
  </r>
  <r>
    <x v="405"/>
    <s v="ZTAN"/>
    <x v="10"/>
    <s v="RH1133"/>
    <s v="65941082"/>
    <s v="SANTIAGO"/>
    <x v="3694"/>
    <x v="0"/>
    <x v="0"/>
    <x v="20"/>
    <x v="1"/>
    <n v="1"/>
    <n v="82273"/>
    <n v="0"/>
    <n v="82273"/>
    <n v="11.00000534805117"/>
    <n v="5000"/>
    <n v="100"/>
    <x v="4748"/>
    <x v="7"/>
    <x v="3"/>
    <x v="1"/>
  </r>
  <r>
    <x v="405"/>
    <s v="ZTAN"/>
    <x v="6"/>
    <s v="SU9354"/>
    <s v="72564391"/>
    <s v="QUILLOTA"/>
    <x v="3695"/>
    <x v="2"/>
    <x v="1"/>
    <x v="19"/>
    <x v="2"/>
    <n v="0"/>
    <n v="203000"/>
    <n v="0"/>
    <n v="203000"/>
    <n v="30.619047762697853"/>
    <n v="20000"/>
    <n v="55"/>
    <x v="4749"/>
    <x v="7"/>
    <x v="3"/>
    <x v="0"/>
  </r>
  <r>
    <x v="405"/>
    <s v="ZTAN"/>
    <x v="6"/>
    <s v="SV2718"/>
    <s v="99626232"/>
    <s v="LA REINA"/>
    <x v="3696"/>
    <x v="1"/>
    <x v="1"/>
    <x v="11"/>
    <x v="1"/>
    <n v="3"/>
    <n v="75082"/>
    <n v="0"/>
    <n v="75082"/>
    <n v="11.000026371230744"/>
    <n v="5000"/>
    <n v="100"/>
    <x v="4750"/>
    <x v="7"/>
    <x v="3"/>
    <x v="1"/>
  </r>
  <r>
    <x v="405"/>
    <s v="ZTAN"/>
    <x v="7"/>
    <s v="HLBX77"/>
    <s v="16093509K"/>
    <s v="SANTIAGO"/>
    <x v="3697"/>
    <x v="1"/>
    <x v="1"/>
    <x v="20"/>
    <x v="1"/>
    <n v="1"/>
    <n v="55000"/>
    <n v="0"/>
    <n v="55000"/>
    <n v="12.082070207811611"/>
    <n v="5000"/>
    <n v="91"/>
    <x v="4751"/>
    <x v="7"/>
    <x v="3"/>
    <x v="1"/>
  </r>
  <r>
    <x v="405"/>
    <s v="ZTAN"/>
    <x v="7"/>
    <s v="RK5135"/>
    <s v="138841065"/>
    <s v="RENCA"/>
    <x v="3088"/>
    <x v="3"/>
    <x v="1"/>
    <x v="7"/>
    <x v="1"/>
    <n v="1"/>
    <n v="55000"/>
    <n v="0"/>
    <n v="55000"/>
    <n v="25.273412370186577"/>
    <n v="5000"/>
    <n v="55"/>
    <x v="4752"/>
    <x v="7"/>
    <x v="3"/>
    <x v="1"/>
  </r>
  <r>
    <x v="405"/>
    <s v="ZTAN"/>
    <x v="7"/>
    <s v="WG4022"/>
    <s v="81417709"/>
    <s v="RENCA"/>
    <x v="3271"/>
    <x v="1"/>
    <x v="0"/>
    <x v="7"/>
    <x v="1"/>
    <n v="1"/>
    <n v="110352"/>
    <n v="0"/>
    <n v="110352"/>
    <n v="11"/>
    <n v="5000"/>
    <n v="100"/>
    <x v="4753"/>
    <x v="7"/>
    <x v="3"/>
    <x v="1"/>
  </r>
  <r>
    <x v="405"/>
    <s v="ZTAN"/>
    <x v="8"/>
    <s v="TP3884"/>
    <s v="107643206"/>
    <s v="PUDAHUEL"/>
    <x v="3698"/>
    <x v="1"/>
    <x v="1"/>
    <x v="10"/>
    <x v="1"/>
    <n v="1"/>
    <n v="55000"/>
    <n v="0"/>
    <n v="55000"/>
    <n v="11.410220237996448"/>
    <n v="5000"/>
    <n v="96"/>
    <x v="4754"/>
    <x v="7"/>
    <x v="3"/>
    <x v="1"/>
  </r>
  <r>
    <x v="406"/>
    <s v="ZTAN"/>
    <x v="4"/>
    <s v="WR7391"/>
    <s v="156295558"/>
    <s v="SAN BERNARDO"/>
    <x v="3699"/>
    <x v="0"/>
    <x v="0"/>
    <x v="4"/>
    <x v="1"/>
    <n v="4"/>
    <n v="83707"/>
    <n v="0"/>
    <n v="83707"/>
    <n v="10.999981602525182"/>
    <n v="5000"/>
    <n v="100"/>
    <x v="4755"/>
    <x v="7"/>
    <x v="3"/>
    <x v="1"/>
  </r>
  <r>
    <x v="406"/>
    <s v="ZTAN"/>
    <x v="6"/>
    <s v="DKDL88"/>
    <s v="122975819"/>
    <s v="CURICO"/>
    <x v="3700"/>
    <x v="0"/>
    <x v="0"/>
    <x v="73"/>
    <x v="3"/>
    <n v="0"/>
    <n v="300000"/>
    <n v="0"/>
    <n v="300000"/>
    <n v="37.821101148752909"/>
    <n v="20000"/>
    <n v="55"/>
    <x v="4756"/>
    <x v="7"/>
    <x v="3"/>
    <x v="0"/>
  </r>
  <r>
    <x v="406"/>
    <s v="ZTAN"/>
    <x v="6"/>
    <s v="KKPF51"/>
    <s v="95707734"/>
    <s v="LINARES"/>
    <x v="3701"/>
    <x v="8"/>
    <x v="0"/>
    <x v="59"/>
    <x v="3"/>
    <n v="0"/>
    <n v="350000"/>
    <n v="0"/>
    <n v="350000"/>
    <n v="52.202186525869919"/>
    <n v="20000"/>
    <n v="34"/>
    <x v="4757"/>
    <x v="7"/>
    <x v="3"/>
    <x v="0"/>
  </r>
  <r>
    <x v="406"/>
    <s v="ZTAN"/>
    <x v="41"/>
    <s v="RH1133"/>
    <s v="65941082"/>
    <s v="EL MANZANO"/>
    <x v="3702"/>
    <x v="0"/>
    <x v="0"/>
    <x v="61"/>
    <x v="6"/>
    <n v="0"/>
    <n v="260000"/>
    <n v="0"/>
    <n v="260000"/>
    <n v="29.97408394588064"/>
    <n v="20000"/>
    <n v="43"/>
    <x v="4758"/>
    <x v="7"/>
    <x v="3"/>
    <x v="0"/>
  </r>
  <r>
    <x v="406"/>
    <s v="ZTAN"/>
    <x v="7"/>
    <s v="HLBX77"/>
    <s v="16093509K"/>
    <s v="SANTIAGO"/>
    <x v="3703"/>
    <x v="1"/>
    <x v="1"/>
    <x v="20"/>
    <x v="1"/>
    <n v="1"/>
    <n v="57946"/>
    <n v="0"/>
    <n v="57946"/>
    <n v="10.999996203363056"/>
    <n v="5000"/>
    <n v="100"/>
    <x v="4759"/>
    <x v="7"/>
    <x v="3"/>
    <x v="1"/>
  </r>
  <r>
    <x v="406"/>
    <s v="ZTAN"/>
    <x v="7"/>
    <s v="WC2233"/>
    <s v="125108660"/>
    <s v="RENCA"/>
    <x v="3088"/>
    <x v="4"/>
    <x v="1"/>
    <x v="7"/>
    <x v="1"/>
    <n v="1"/>
    <n v="55000"/>
    <n v="0"/>
    <n v="55000"/>
    <n v="25.273412370186577"/>
    <n v="5000"/>
    <n v="44"/>
    <x v="4760"/>
    <x v="7"/>
    <x v="3"/>
    <x v="1"/>
  </r>
  <r>
    <x v="406"/>
    <s v="ZTAN"/>
    <x v="7"/>
    <s v="WG4022"/>
    <s v="81417709"/>
    <s v="RENCA"/>
    <x v="3704"/>
    <x v="1"/>
    <x v="0"/>
    <x v="7"/>
    <x v="1"/>
    <n v="1"/>
    <n v="129241"/>
    <n v="0"/>
    <n v="129241"/>
    <n v="11.000020426992227"/>
    <n v="5000"/>
    <n v="100"/>
    <x v="4761"/>
    <x v="7"/>
    <x v="3"/>
    <x v="1"/>
  </r>
  <r>
    <x v="406"/>
    <s v="ZTAN"/>
    <x v="8"/>
    <s v="BPKD94"/>
    <s v="125897258"/>
    <s v="VILLARRICA"/>
    <x v="3705"/>
    <x v="0"/>
    <x v="0"/>
    <x v="88"/>
    <x v="4"/>
    <n v="0"/>
    <n v="800000"/>
    <n v="0"/>
    <n v="800000"/>
    <n v="72.142264545684085"/>
    <n v="20000"/>
    <n v="55"/>
    <x v="4762"/>
    <x v="7"/>
    <x v="3"/>
    <x v="0"/>
  </r>
  <r>
    <x v="406"/>
    <s v="ZTAN"/>
    <x v="8"/>
    <s v="PKYS74"/>
    <s v="6270439K"/>
    <s v="CONCEPCION"/>
    <x v="3706"/>
    <x v="0"/>
    <x v="0"/>
    <x v="81"/>
    <x v="0"/>
    <n v="0"/>
    <n v="460000"/>
    <n v="0"/>
    <n v="460000"/>
    <n v="33.570834826384043"/>
    <n v="20000"/>
    <n v="69"/>
    <x v="4763"/>
    <x v="7"/>
    <x v="3"/>
    <x v="0"/>
  </r>
  <r>
    <x v="406"/>
    <s v="ZTAN"/>
    <x v="8"/>
    <s v="SV2718"/>
    <s v="99626232"/>
    <s v="CERRILLOS"/>
    <x v="1476"/>
    <x v="1"/>
    <x v="1"/>
    <x v="9"/>
    <x v="1"/>
    <n v="2"/>
    <n v="59976"/>
    <n v="0"/>
    <n v="59976"/>
    <n v="10.999926637810873"/>
    <n v="5000"/>
    <n v="100"/>
    <x v="4764"/>
    <x v="7"/>
    <x v="3"/>
    <x v="1"/>
  </r>
  <r>
    <x v="406"/>
    <s v="ZTAN"/>
    <x v="8"/>
    <s v="TP3884"/>
    <s v="107643206"/>
    <s v="PUDAHUEL"/>
    <x v="3707"/>
    <x v="1"/>
    <x v="1"/>
    <x v="10"/>
    <x v="1"/>
    <n v="1"/>
    <n v="85844"/>
    <n v="0"/>
    <n v="85844"/>
    <n v="11"/>
    <n v="5000"/>
    <n v="100"/>
    <x v="4765"/>
    <x v="7"/>
    <x v="3"/>
    <x v="1"/>
  </r>
  <r>
    <x v="407"/>
    <s v="ZTAN"/>
    <x v="7"/>
    <s v="HLBX77"/>
    <s v="16093509K"/>
    <s v="MELIPILLA"/>
    <x v="3708"/>
    <x v="1"/>
    <x v="1"/>
    <x v="29"/>
    <x v="1"/>
    <n v="5"/>
    <n v="90000"/>
    <n v="0"/>
    <n v="90000"/>
    <n v="20.262055923274346"/>
    <n v="10000"/>
    <n v="44"/>
    <x v="4766"/>
    <x v="7"/>
    <x v="3"/>
    <x v="1"/>
  </r>
  <r>
    <x v="407"/>
    <s v="ZTAN"/>
    <x v="8"/>
    <s v="RK5135"/>
    <s v="138841065"/>
    <s v="LA REINA"/>
    <x v="3709"/>
    <x v="3"/>
    <x v="1"/>
    <x v="11"/>
    <x v="1"/>
    <n v="3"/>
    <n v="55000"/>
    <n v="0"/>
    <n v="55000"/>
    <n v="13.240569103733838"/>
    <n v="5000"/>
    <n v="83"/>
    <x v="4767"/>
    <x v="7"/>
    <x v="3"/>
    <x v="1"/>
  </r>
  <r>
    <x v="407"/>
    <s v="ZTAN"/>
    <x v="8"/>
    <s v="SU9354"/>
    <s v="72561391"/>
    <s v="QUILICURA"/>
    <x v="3710"/>
    <x v="2"/>
    <x v="1"/>
    <x v="8"/>
    <x v="1"/>
    <n v="1"/>
    <n v="55000"/>
    <n v="0"/>
    <n v="55000"/>
    <n v="16.027509033686908"/>
    <n v="5000"/>
    <n v="69"/>
    <x v="4768"/>
    <x v="7"/>
    <x v="3"/>
    <x v="1"/>
  </r>
  <r>
    <x v="407"/>
    <s v="ZTAN"/>
    <x v="8"/>
    <s v="SV2718"/>
    <s v="99626232"/>
    <s v="ÑUÑOA"/>
    <x v="3711"/>
    <x v="1"/>
    <x v="1"/>
    <x v="15"/>
    <x v="1"/>
    <n v="4"/>
    <n v="55000"/>
    <n v="0"/>
    <n v="55000"/>
    <n v="20.913978903499096"/>
    <n v="5000"/>
    <n v="53"/>
    <x v="4769"/>
    <x v="7"/>
    <x v="3"/>
    <x v="1"/>
  </r>
  <r>
    <x v="407"/>
    <s v="ZTAN"/>
    <x v="8"/>
    <s v="TP3884"/>
    <s v="107643206"/>
    <s v="MAIPU"/>
    <x v="3712"/>
    <x v="1"/>
    <x v="1"/>
    <x v="2"/>
    <x v="1"/>
    <n v="2"/>
    <n v="55000"/>
    <n v="0"/>
    <n v="55000"/>
    <n v="11.38725786548957"/>
    <n v="5000"/>
    <n v="97"/>
    <x v="4770"/>
    <x v="7"/>
    <x v="3"/>
    <x v="1"/>
  </r>
  <r>
    <x v="407"/>
    <s v="ZTAN"/>
    <x v="8"/>
    <s v="XR6339"/>
    <s v="78907355"/>
    <s v="LA FLORIDA"/>
    <x v="3713"/>
    <x v="1"/>
    <x v="1"/>
    <x v="33"/>
    <x v="1"/>
    <n v="3"/>
    <n v="55000"/>
    <n v="0"/>
    <n v="55000"/>
    <n v="20.602954838322994"/>
    <n v="5000"/>
    <n v="53"/>
    <x v="4771"/>
    <x v="7"/>
    <x v="3"/>
    <x v="1"/>
  </r>
  <r>
    <x v="408"/>
    <s v="ZPEP"/>
    <x v="5"/>
    <s v="DKDL88"/>
    <s v="122975819"/>
    <s v="GRANEROS"/>
    <x v="3714"/>
    <x v="0"/>
    <x v="0"/>
    <x v="46"/>
    <x v="6"/>
    <n v="0"/>
    <n v="260000"/>
    <n v="0"/>
    <n v="260000"/>
    <n v="13.969917394803842"/>
    <n v="20000"/>
    <n v="93"/>
    <x v="4772"/>
    <x v="7"/>
    <x v="3"/>
    <x v="0"/>
  </r>
  <r>
    <x v="408"/>
    <s v="ZPEP"/>
    <x v="103"/>
    <s v="WC2233"/>
    <s v="125108660"/>
    <s v="SANTIAGO"/>
    <x v="3715"/>
    <x v="4"/>
    <x v="1"/>
    <x v="20"/>
    <x v="1"/>
    <n v="1"/>
    <n v="104720"/>
    <n v="0"/>
    <n v="104720"/>
    <n v="11.000000000000011"/>
    <n v="5000"/>
    <n v="100"/>
    <x v="4773"/>
    <x v="7"/>
    <x v="3"/>
    <x v="1"/>
  </r>
  <r>
    <x v="408"/>
    <s v="ZTAN"/>
    <x v="10"/>
    <s v="KKPF51"/>
    <s v="95707734"/>
    <s v="SANTIAGO"/>
    <x v="3716"/>
    <x v="8"/>
    <x v="0"/>
    <x v="20"/>
    <x v="1"/>
    <n v="1"/>
    <n v="140593"/>
    <n v="0"/>
    <n v="140593"/>
    <n v="10.999984352017025"/>
    <n v="5000"/>
    <n v="100"/>
    <x v="4774"/>
    <x v="7"/>
    <x v="3"/>
    <x v="1"/>
  </r>
  <r>
    <x v="408"/>
    <s v="ZTAN"/>
    <x v="10"/>
    <s v="RH1133"/>
    <s v="65941082"/>
    <s v="SANTIAGO"/>
    <x v="3717"/>
    <x v="0"/>
    <x v="0"/>
    <x v="20"/>
    <x v="1"/>
    <n v="1"/>
    <n v="130267"/>
    <n v="0"/>
    <n v="130267"/>
    <n v="11.000013510729207"/>
    <n v="5000"/>
    <n v="100"/>
    <x v="4775"/>
    <x v="7"/>
    <x v="3"/>
    <x v="1"/>
  </r>
  <r>
    <x v="408"/>
    <s v="ZTAN"/>
    <x v="16"/>
    <s v="SU9354"/>
    <s v="72564391"/>
    <s v="SAN BERNARDO"/>
    <x v="471"/>
    <x v="2"/>
    <x v="1"/>
    <x v="4"/>
    <x v="1"/>
    <n v="4"/>
    <n v="55000"/>
    <n v="0"/>
    <n v="55000"/>
    <n v="24.431414356787492"/>
    <n v="5000"/>
    <n v="45"/>
    <x v="4776"/>
    <x v="7"/>
    <x v="3"/>
    <x v="1"/>
  </r>
  <r>
    <x v="408"/>
    <s v="ZTAN"/>
    <x v="16"/>
    <s v="SU9354"/>
    <s v="72564391"/>
    <s v="TEMUCO"/>
    <x v="385"/>
    <x v="2"/>
    <x v="1"/>
    <x v="14"/>
    <x v="4"/>
    <n v="0"/>
    <n v="800000"/>
    <n v="0"/>
    <n v="800000"/>
    <n v="106.60980810234545"/>
    <n v="20000"/>
    <n v="38"/>
    <x v="4777"/>
    <x v="7"/>
    <x v="3"/>
    <x v="0"/>
  </r>
  <r>
    <x v="408"/>
    <s v="ZTAN"/>
    <x v="16"/>
    <s v="XR6339"/>
    <s v="154837728"/>
    <s v="SAN BERNARDO"/>
    <x v="3718"/>
    <x v="1"/>
    <x v="1"/>
    <x v="4"/>
    <x v="1"/>
    <n v="4"/>
    <n v="62143"/>
    <n v="0"/>
    <n v="62143"/>
    <n v="10.999929196020817"/>
    <n v="5000"/>
    <n v="100"/>
    <x v="4778"/>
    <x v="7"/>
    <x v="3"/>
    <x v="1"/>
  </r>
  <r>
    <x v="408"/>
    <s v="ZTAN"/>
    <x v="7"/>
    <s v="HLBX77"/>
    <s v="16093509K"/>
    <s v="RENCA"/>
    <x v="3719"/>
    <x v="1"/>
    <x v="1"/>
    <x v="7"/>
    <x v="1"/>
    <n v="1"/>
    <n v="139425"/>
    <n v="0"/>
    <n v="139425"/>
    <n v="11"/>
    <n v="5000"/>
    <n v="100"/>
    <x v="4779"/>
    <x v="7"/>
    <x v="3"/>
    <x v="1"/>
  </r>
  <r>
    <x v="408"/>
    <s v="ZTAN"/>
    <x v="7"/>
    <s v="WG4022"/>
    <s v="81417709"/>
    <s v="RENCA"/>
    <x v="3720"/>
    <x v="1"/>
    <x v="0"/>
    <x v="7"/>
    <x v="1"/>
    <n v="1"/>
    <n v="184228"/>
    <n v="0"/>
    <n v="184228"/>
    <n v="11"/>
    <n v="5000"/>
    <n v="100"/>
    <x v="4780"/>
    <x v="7"/>
    <x v="3"/>
    <x v="1"/>
  </r>
  <r>
    <x v="408"/>
    <s v="ZTAN"/>
    <x v="8"/>
    <s v="BDH75"/>
    <s v="98494073"/>
    <s v="PUERTO MONTT"/>
    <x v="3721"/>
    <x v="0"/>
    <x v="0"/>
    <x v="53"/>
    <x v="10"/>
    <n v="0"/>
    <n v="1100000"/>
    <n v="0"/>
    <n v="1100000"/>
    <n v="53.312137719791401"/>
    <n v="20000"/>
    <n v="100"/>
    <x v="4781"/>
    <x v="7"/>
    <x v="3"/>
    <x v="0"/>
  </r>
  <r>
    <x v="408"/>
    <s v="ZTAN"/>
    <x v="8"/>
    <s v="CKYB66"/>
    <s v="115812335"/>
    <s v="CHILLAN"/>
    <x v="3722"/>
    <x v="0"/>
    <x v="0"/>
    <x v="21"/>
    <x v="5"/>
    <n v="0"/>
    <n v="400000"/>
    <n v="0"/>
    <n v="400000"/>
    <n v="54.909228182161385"/>
    <n v="20000"/>
    <n v="36"/>
    <x v="4782"/>
    <x v="7"/>
    <x v="3"/>
    <x v="0"/>
  </r>
  <r>
    <x v="408"/>
    <s v="ZTAN"/>
    <x v="94"/>
    <s v="PKYS74"/>
    <s v="6270439K"/>
    <s v="LOS ANGELES"/>
    <x v="3723"/>
    <x v="0"/>
    <x v="0"/>
    <x v="57"/>
    <x v="0"/>
    <n v="0"/>
    <n v="460000"/>
    <n v="0"/>
    <n v="460000"/>
    <n v="23.33461842826128"/>
    <n v="20000"/>
    <n v="99"/>
    <x v="4783"/>
    <x v="7"/>
    <x v="3"/>
    <x v="0"/>
  </r>
  <r>
    <x v="409"/>
    <s v="ZTAN"/>
    <x v="104"/>
    <s v="HLBX77"/>
    <s v="16093509K"/>
    <s v="SANTIAGO"/>
    <x v="3724"/>
    <x v="1"/>
    <x v="1"/>
    <x v="20"/>
    <x v="1"/>
    <n v="1"/>
    <n v="59542"/>
    <n v="0"/>
    <n v="59542"/>
    <n v="10.999937187554268"/>
    <n v="5000"/>
    <n v="100"/>
    <x v="4784"/>
    <x v="7"/>
    <x v="3"/>
    <x v="1"/>
  </r>
  <r>
    <x v="409"/>
    <s v="ZTAN"/>
    <x v="10"/>
    <s v="RH1133"/>
    <s v="65941082"/>
    <s v="QUILICURA"/>
    <x v="3725"/>
    <x v="0"/>
    <x v="0"/>
    <x v="8"/>
    <x v="1"/>
    <n v="1"/>
    <n v="99542"/>
    <n v="0"/>
    <n v="99542"/>
    <n v="11.000027626598889"/>
    <n v="5000"/>
    <n v="100"/>
    <x v="4785"/>
    <x v="7"/>
    <x v="3"/>
    <x v="1"/>
  </r>
  <r>
    <x v="409"/>
    <s v="ZTAN"/>
    <x v="16"/>
    <s v="TP3884"/>
    <s v="107643206"/>
    <s v="SAN BERNARDO"/>
    <x v="3726"/>
    <x v="1"/>
    <x v="1"/>
    <x v="4"/>
    <x v="1"/>
    <n v="4"/>
    <n v="66086"/>
    <n v="0"/>
    <n v="66086"/>
    <n v="11.000033290056265"/>
    <n v="5000"/>
    <n v="100"/>
    <x v="4786"/>
    <x v="7"/>
    <x v="3"/>
    <x v="1"/>
  </r>
  <r>
    <x v="409"/>
    <s v="ZTAN"/>
    <x v="16"/>
    <s v="WG4022"/>
    <s v="81417709"/>
    <s v="SAN BERNARDO"/>
    <x v="3727"/>
    <x v="1"/>
    <x v="0"/>
    <x v="4"/>
    <x v="1"/>
    <n v="4"/>
    <n v="170839"/>
    <n v="0"/>
    <n v="170839"/>
    <n v="11.000012877636697"/>
    <n v="5000"/>
    <n v="100"/>
    <x v="4787"/>
    <x v="7"/>
    <x v="3"/>
    <x v="1"/>
  </r>
  <r>
    <x v="409"/>
    <s v="ZTAN"/>
    <x v="7"/>
    <s v="BWPL69"/>
    <s v="78551976"/>
    <s v="LINARES"/>
    <x v="3728"/>
    <x v="5"/>
    <x v="0"/>
    <x v="59"/>
    <x v="3"/>
    <n v="0"/>
    <n v="350000"/>
    <n v="0"/>
    <n v="350000"/>
    <n v="15.780835753061474"/>
    <n v="20000"/>
    <n v="100"/>
    <x v="4788"/>
    <x v="7"/>
    <x v="3"/>
    <x v="0"/>
  </r>
  <r>
    <x v="409"/>
    <s v="ZTAN"/>
    <x v="7"/>
    <s v="WG4022"/>
    <s v="81417709"/>
    <s v="RENCA"/>
    <x v="3729"/>
    <x v="1"/>
    <x v="0"/>
    <x v="7"/>
    <x v="1"/>
    <n v="1"/>
    <n v="170031"/>
    <n v="0"/>
    <n v="170031"/>
    <n v="9.9100679590147678"/>
    <n v="5000"/>
    <n v="100"/>
    <x v="4789"/>
    <x v="7"/>
    <x v="3"/>
    <x v="1"/>
  </r>
  <r>
    <x v="409"/>
    <s v="ZTAN"/>
    <x v="7"/>
    <s v="XR6339"/>
    <s v="7890735*5"/>
    <s v="RENCA"/>
    <x v="400"/>
    <x v="1"/>
    <x v="1"/>
    <x v="7"/>
    <x v="1"/>
    <n v="1"/>
    <n v="90798"/>
    <n v="0"/>
    <n v="90798"/>
    <n v="10.999951540996321"/>
    <n v="5000"/>
    <n v="100"/>
    <x v="4790"/>
    <x v="7"/>
    <x v="3"/>
    <x v="1"/>
  </r>
  <r>
    <x v="409"/>
    <s v="ZTAN"/>
    <x v="8"/>
    <s v="DJLF85"/>
    <s v="125108660"/>
    <s v="VIÑA DEL MAR"/>
    <x v="3730"/>
    <x v="4"/>
    <x v="1"/>
    <x v="6"/>
    <x v="2"/>
    <n v="0"/>
    <n v="203000"/>
    <n v="0"/>
    <n v="203000"/>
    <n v="20.690301854177196"/>
    <n v="20000"/>
    <n v="49"/>
    <x v="4791"/>
    <x v="7"/>
    <x v="3"/>
    <x v="0"/>
  </r>
  <r>
    <x v="409"/>
    <s v="ZTAN"/>
    <x v="8"/>
    <s v="SU9354"/>
    <s v="72564391"/>
    <s v="REÑACA"/>
    <x v="3731"/>
    <x v="2"/>
    <x v="1"/>
    <x v="6"/>
    <x v="2"/>
    <n v="0"/>
    <n v="203000"/>
    <n v="0"/>
    <n v="203000"/>
    <n v="28.694850758505272"/>
    <n v="20000"/>
    <n v="35"/>
    <x v="4792"/>
    <x v="7"/>
    <x v="3"/>
    <x v="0"/>
  </r>
  <r>
    <x v="409"/>
    <s v="ZTAN"/>
    <x v="8"/>
    <s v="TP3884"/>
    <s v="107643206"/>
    <s v="PUDAHUEL"/>
    <x v="3732"/>
    <x v="1"/>
    <x v="1"/>
    <x v="10"/>
    <x v="1"/>
    <n v="1"/>
    <n v="79515"/>
    <n v="0"/>
    <n v="79515"/>
    <n v="9.4049059509404902"/>
    <n v="5000"/>
    <n v="100"/>
    <x v="4793"/>
    <x v="7"/>
    <x v="3"/>
    <x v="1"/>
  </r>
  <r>
    <x v="410"/>
    <s v="ZPEP"/>
    <x v="5"/>
    <s v="DJLF85"/>
    <s v="125108660"/>
    <s v="BUIN"/>
    <x v="3733"/>
    <x v="4"/>
    <x v="1"/>
    <x v="56"/>
    <x v="1"/>
    <n v="5"/>
    <n v="90000"/>
    <n v="0"/>
    <n v="90000"/>
    <n v="9.9641953247995563"/>
    <n v="10000"/>
    <n v="90"/>
    <x v="4794"/>
    <x v="7"/>
    <x v="3"/>
    <x v="1"/>
  </r>
  <r>
    <x v="410"/>
    <s v="ZPEP"/>
    <x v="72"/>
    <s v="RK5135"/>
    <s v="138841065"/>
    <s v="COLINA"/>
    <x v="3734"/>
    <x v="3"/>
    <x v="1"/>
    <x v="5"/>
    <x v="1"/>
    <n v="5"/>
    <n v="70000"/>
    <n v="0"/>
    <n v="70000"/>
    <n v="21.870352550083108"/>
    <n v="10000"/>
    <n v="32"/>
    <x v="4795"/>
    <x v="7"/>
    <x v="3"/>
    <x v="1"/>
  </r>
  <r>
    <x v="410"/>
    <s v="ZTAN"/>
    <x v="17"/>
    <s v="HLBX77"/>
    <s v="16093509K"/>
    <s v="LAMPA"/>
    <x v="3735"/>
    <x v="1"/>
    <x v="1"/>
    <x v="17"/>
    <x v="1"/>
    <n v="5"/>
    <n v="70000"/>
    <n v="0"/>
    <n v="70000"/>
    <n v="4.750932370477706"/>
    <n v="10000"/>
    <n v="100"/>
    <x v="4796"/>
    <x v="7"/>
    <x v="3"/>
    <x v="1"/>
  </r>
  <r>
    <x v="410"/>
    <s v="ZTAN"/>
    <x v="17"/>
    <s v="XR6339"/>
    <s v="789073558"/>
    <s v="LAMPA"/>
    <x v="3736"/>
    <x v="1"/>
    <x v="1"/>
    <x v="17"/>
    <x v="1"/>
    <n v="5"/>
    <n v="70000"/>
    <n v="0"/>
    <n v="70000"/>
    <n v="5.9590189752189939"/>
    <n v="10000"/>
    <n v="100"/>
    <x v="4797"/>
    <x v="7"/>
    <x v="3"/>
    <x v="1"/>
  </r>
  <r>
    <x v="410"/>
    <s v="ZTAN"/>
    <x v="7"/>
    <s v="DKDL88"/>
    <s v="122975819"/>
    <s v="LINARES"/>
    <x v="3737"/>
    <x v="0"/>
    <x v="0"/>
    <x v="59"/>
    <x v="3"/>
    <n v="0"/>
    <n v="350000"/>
    <n v="0"/>
    <n v="350000"/>
    <n v="15.344954578934439"/>
    <n v="20000"/>
    <n v="100"/>
    <x v="4798"/>
    <x v="7"/>
    <x v="3"/>
    <x v="0"/>
  </r>
  <r>
    <x v="410"/>
    <s v="ZTAN"/>
    <x v="7"/>
    <s v="RK5135"/>
    <s v="138841065"/>
    <s v="RENCA"/>
    <x v="385"/>
    <x v="3"/>
    <x v="1"/>
    <x v="7"/>
    <x v="1"/>
    <n v="1"/>
    <n v="82544"/>
    <n v="0"/>
    <n v="82544"/>
    <n v="11.000000000000004"/>
    <n v="5000"/>
    <n v="100"/>
    <x v="4799"/>
    <x v="7"/>
    <x v="3"/>
    <x v="1"/>
  </r>
  <r>
    <x v="410"/>
    <s v="ZTAN"/>
    <x v="7"/>
    <s v="SV2718"/>
    <s v="99626232"/>
    <s v="SANTIAGO"/>
    <x v="3738"/>
    <x v="1"/>
    <x v="1"/>
    <x v="20"/>
    <x v="1"/>
    <n v="1"/>
    <n v="55000"/>
    <n v="0"/>
    <n v="55000"/>
    <n v="13.580246913580247"/>
    <n v="5000"/>
    <n v="81"/>
    <x v="4800"/>
    <x v="7"/>
    <x v="3"/>
    <x v="1"/>
  </r>
  <r>
    <x v="410"/>
    <s v="ZTAN"/>
    <x v="7"/>
    <s v="WG4022"/>
    <s v="81417709"/>
    <s v="RENCA"/>
    <x v="3739"/>
    <x v="1"/>
    <x v="0"/>
    <x v="7"/>
    <x v="1"/>
    <n v="1"/>
    <n v="106973"/>
    <n v="0"/>
    <n v="106973"/>
    <n v="11.000020565975641"/>
    <n v="5000"/>
    <n v="100"/>
    <x v="4801"/>
    <x v="7"/>
    <x v="3"/>
    <x v="1"/>
  </r>
  <r>
    <x v="411"/>
    <s v="ZPEP"/>
    <x v="5"/>
    <s v="CVSK23"/>
    <s v="95439802"/>
    <s v="GRANEROS"/>
    <x v="3740"/>
    <x v="0"/>
    <x v="0"/>
    <x v="46"/>
    <x v="6"/>
    <n v="0"/>
    <n v="260000"/>
    <n v="0"/>
    <n v="260000"/>
    <n v="14.538638668976448"/>
    <n v="20000"/>
    <n v="53"/>
    <x v="4802"/>
    <x v="7"/>
    <x v="3"/>
    <x v="0"/>
  </r>
  <r>
    <x v="411"/>
    <s v="ZTAN"/>
    <x v="63"/>
    <s v="KKPF51"/>
    <s v="95707734"/>
    <s v="MAIPU"/>
    <x v="3741"/>
    <x v="8"/>
    <x v="0"/>
    <x v="2"/>
    <x v="1"/>
    <n v="2"/>
    <n v="204941"/>
    <n v="0"/>
    <n v="204941"/>
    <n v="11"/>
    <n v="5000"/>
    <n v="100"/>
    <x v="4803"/>
    <x v="7"/>
    <x v="3"/>
    <x v="1"/>
  </r>
  <r>
    <x v="411"/>
    <s v="ZTAN"/>
    <x v="17"/>
    <s v="SU9354"/>
    <s v="72564391"/>
    <s v="LAMPA"/>
    <x v="3742"/>
    <x v="2"/>
    <x v="1"/>
    <x v="17"/>
    <x v="1"/>
    <n v="5"/>
    <n v="70000"/>
    <n v="0"/>
    <n v="70000"/>
    <n v="6.9410014873574619"/>
    <n v="10000"/>
    <n v="100"/>
    <x v="4804"/>
    <x v="7"/>
    <x v="3"/>
    <x v="1"/>
  </r>
  <r>
    <x v="411"/>
    <s v="ZTAN"/>
    <x v="4"/>
    <s v="DJLF85"/>
    <s v="125108660"/>
    <s v="PADRE HURTADO"/>
    <x v="414"/>
    <x v="4"/>
    <x v="1"/>
    <x v="26"/>
    <x v="1"/>
    <n v="5"/>
    <n v="1"/>
    <n v="0"/>
    <n v="1"/>
    <n v="1.0250943086763986E-4"/>
    <n v="10000"/>
    <n v="98"/>
    <x v="4805"/>
    <x v="7"/>
    <x v="3"/>
    <x v="1"/>
  </r>
  <r>
    <x v="411"/>
    <s v="ZTAN"/>
    <x v="10"/>
    <s v="KKPF51"/>
    <s v="95707734"/>
    <s v="SANTIAGO"/>
    <x v="419"/>
    <x v="8"/>
    <x v="0"/>
    <x v="20"/>
    <x v="1"/>
    <n v="1"/>
    <n v="90684"/>
    <n v="0"/>
    <n v="90684"/>
    <n v="10.999999999999995"/>
    <n v="5000"/>
    <n v="100"/>
    <x v="4806"/>
    <x v="7"/>
    <x v="3"/>
    <x v="1"/>
  </r>
  <r>
    <x v="411"/>
    <s v="ZTAN"/>
    <x v="10"/>
    <s v="RH1133"/>
    <s v="65941082"/>
    <s v="SANTIAGO"/>
    <x v="315"/>
    <x v="0"/>
    <x v="0"/>
    <x v="20"/>
    <x v="1"/>
    <n v="1"/>
    <n v="104544"/>
    <n v="0"/>
    <n v="104544"/>
    <n v="10.999999999999989"/>
    <n v="5000"/>
    <n v="100"/>
    <x v="4807"/>
    <x v="7"/>
    <x v="3"/>
    <x v="1"/>
  </r>
  <r>
    <x v="411"/>
    <s v="ZTAN"/>
    <x v="6"/>
    <s v="BWPL69"/>
    <s v="78551976"/>
    <s v="CHILLAN"/>
    <x v="3743"/>
    <x v="5"/>
    <x v="0"/>
    <x v="21"/>
    <x v="5"/>
    <n v="0"/>
    <n v="400000"/>
    <n v="0"/>
    <n v="400000"/>
    <n v="61.504019287660427"/>
    <n v="20000"/>
    <n v="33"/>
    <x v="4808"/>
    <x v="7"/>
    <x v="3"/>
    <x v="0"/>
  </r>
  <r>
    <x v="411"/>
    <s v="ZTAN"/>
    <x v="7"/>
    <s v="HLBX77"/>
    <s v="16093509K"/>
    <s v="RENCA"/>
    <x v="3219"/>
    <x v="1"/>
    <x v="1"/>
    <x v="7"/>
    <x v="1"/>
    <n v="1"/>
    <n v="87428"/>
    <n v="0"/>
    <n v="87428"/>
    <n v="11"/>
    <n v="5000"/>
    <n v="100"/>
    <x v="4809"/>
    <x v="7"/>
    <x v="3"/>
    <x v="1"/>
  </r>
  <r>
    <x v="411"/>
    <s v="ZTAN"/>
    <x v="7"/>
    <s v="WG4022"/>
    <s v="81417709"/>
    <s v="RENCA"/>
    <x v="419"/>
    <x v="1"/>
    <x v="0"/>
    <x v="7"/>
    <x v="1"/>
    <n v="1"/>
    <n v="90684"/>
    <n v="0"/>
    <n v="90684"/>
    <n v="10.999999999999995"/>
    <n v="5000"/>
    <n v="100"/>
    <x v="4810"/>
    <x v="7"/>
    <x v="3"/>
    <x v="1"/>
  </r>
  <r>
    <x v="411"/>
    <s v="ZTAN"/>
    <x v="8"/>
    <s v="PKYS74"/>
    <s v="6270439K"/>
    <s v="CORONEL"/>
    <x v="3744"/>
    <x v="0"/>
    <x v="0"/>
    <x v="16"/>
    <x v="0"/>
    <n v="0"/>
    <n v="480000"/>
    <n v="0"/>
    <n v="480000"/>
    <n v="79.72044696597267"/>
    <n v="20000"/>
    <n v="30"/>
    <x v="4811"/>
    <x v="7"/>
    <x v="3"/>
    <x v="0"/>
  </r>
  <r>
    <x v="412"/>
    <s v="ZPEP"/>
    <x v="17"/>
    <s v="TP3884"/>
    <s v="107643206"/>
    <s v="LAMPA"/>
    <x v="3745"/>
    <x v="1"/>
    <x v="1"/>
    <x v="17"/>
    <x v="1"/>
    <n v="5"/>
    <n v="70000"/>
    <n v="0"/>
    <n v="70000"/>
    <n v="9.5623712495013926"/>
    <n v="10000"/>
    <n v="73"/>
    <x v="4812"/>
    <x v="7"/>
    <x v="3"/>
    <x v="1"/>
  </r>
  <r>
    <x v="412"/>
    <s v="ZPEP"/>
    <x v="5"/>
    <s v="RK5135"/>
    <s v="138841065"/>
    <s v="BUIN"/>
    <x v="3746"/>
    <x v="3"/>
    <x v="1"/>
    <x v="56"/>
    <x v="1"/>
    <n v="5"/>
    <n v="90000"/>
    <n v="0"/>
    <n v="90000"/>
    <n v="7.9995306941992803"/>
    <n v="10000"/>
    <n v="100"/>
    <x v="4813"/>
    <x v="7"/>
    <x v="3"/>
    <x v="1"/>
  </r>
  <r>
    <x v="412"/>
    <s v="ZPEP"/>
    <x v="2"/>
    <s v="BPKD94"/>
    <s v="125897258"/>
    <s v="PROVIDENCIA"/>
    <x v="3747"/>
    <x v="0"/>
    <x v="0"/>
    <x v="54"/>
    <x v="1"/>
    <n v="2"/>
    <n v="126250"/>
    <n v="0"/>
    <n v="126250"/>
    <n v="10.999993029707387"/>
    <n v="5000"/>
    <n v="100"/>
    <x v="4814"/>
    <x v="7"/>
    <x v="3"/>
    <x v="1"/>
  </r>
  <r>
    <x v="412"/>
    <s v="ZPEP"/>
    <x v="103"/>
    <s v="DJLF85"/>
    <s v="125108660"/>
    <s v="SANTIAGO"/>
    <x v="3748"/>
    <x v="4"/>
    <x v="1"/>
    <x v="20"/>
    <x v="1"/>
    <n v="1"/>
    <n v="58819"/>
    <n v="0"/>
    <n v="58819"/>
    <n v="10.999962597247151"/>
    <n v="5000"/>
    <n v="100"/>
    <x v="4815"/>
    <x v="7"/>
    <x v="3"/>
    <x v="1"/>
  </r>
  <r>
    <x v="412"/>
    <s v="ZPEP"/>
    <x v="103"/>
    <s v="RK5135"/>
    <s v="138841065"/>
    <s v="SANTIAGO"/>
    <x v="3749"/>
    <x v="3"/>
    <x v="1"/>
    <x v="20"/>
    <x v="1"/>
    <n v="1"/>
    <n v="55000"/>
    <n v="0"/>
    <n v="55000"/>
    <n v="20.571514063435064"/>
    <n v="5000"/>
    <n v="53"/>
    <x v="4816"/>
    <x v="7"/>
    <x v="3"/>
    <x v="1"/>
  </r>
  <r>
    <x v="412"/>
    <s v="ZPEP"/>
    <x v="103"/>
    <s v="SU9357"/>
    <s v="72564391"/>
    <s v="SANTIAGO"/>
    <x v="3748"/>
    <x v="0"/>
    <x v="0"/>
    <x v="20"/>
    <x v="1"/>
    <n v="1"/>
    <n v="58819"/>
    <n v="0"/>
    <n v="58819"/>
    <n v="10.999962597247151"/>
    <n v="5000"/>
    <n v="100"/>
    <x v="4817"/>
    <x v="7"/>
    <x v="3"/>
    <x v="1"/>
  </r>
  <r>
    <x v="412"/>
    <s v="ZTAN"/>
    <x v="105"/>
    <s v="SU9354"/>
    <s v="72564391"/>
    <s v="VALPARAISO"/>
    <x v="3750"/>
    <x v="2"/>
    <x v="1"/>
    <x v="36"/>
    <x v="2"/>
    <n v="0"/>
    <n v="1"/>
    <n v="0"/>
    <n v="1"/>
    <n v="1.6330263243843484E-4"/>
    <n v="8000"/>
    <n v="87"/>
    <x v="4818"/>
    <x v="7"/>
    <x v="3"/>
    <x v="0"/>
  </r>
  <r>
    <x v="412"/>
    <s v="ZTAN"/>
    <x v="7"/>
    <s v="DJLF85"/>
    <s v="125108660"/>
    <s v="RENCA"/>
    <x v="1219"/>
    <x v="4"/>
    <x v="1"/>
    <x v="7"/>
    <x v="1"/>
    <n v="1"/>
    <n v="55000"/>
    <n v="0"/>
    <n v="55000"/>
    <n v="20.014556040756915"/>
    <n v="5000"/>
    <n v="55"/>
    <x v="4819"/>
    <x v="7"/>
    <x v="3"/>
    <x v="1"/>
  </r>
  <r>
    <x v="412"/>
    <s v="ZTAN"/>
    <x v="7"/>
    <s v="HLBX77"/>
    <s v="16093509K"/>
    <s v="RENCA"/>
    <x v="3751"/>
    <x v="1"/>
    <x v="1"/>
    <x v="7"/>
    <x v="1"/>
    <n v="1"/>
    <n v="61618"/>
    <n v="0"/>
    <n v="61618"/>
    <n v="11.000071408169095"/>
    <n v="5000"/>
    <n v="100"/>
    <x v="4820"/>
    <x v="7"/>
    <x v="3"/>
    <x v="1"/>
  </r>
  <r>
    <x v="413"/>
    <s v="ZPEP"/>
    <x v="5"/>
    <s v="DJLF85"/>
    <n v="125108660"/>
    <s v="BUIN"/>
    <x v="3752"/>
    <x v="4"/>
    <x v="1"/>
    <x v="56"/>
    <x v="1"/>
    <n v="5"/>
    <n v="90000"/>
    <n v="0"/>
    <n v="90000"/>
    <n v="11.819958393746454"/>
    <n v="10000"/>
    <n v="76"/>
    <x v="4821"/>
    <x v="7"/>
    <x v="3"/>
    <x v="1"/>
  </r>
  <r>
    <x v="413"/>
    <s v="ZPEP"/>
    <x v="52"/>
    <s v="KKPF51"/>
    <n v="95707734"/>
    <s v="PUERTO MONTT"/>
    <x v="3753"/>
    <x v="8"/>
    <x v="0"/>
    <x v="53"/>
    <x v="10"/>
    <n v="0"/>
    <n v="1100000"/>
    <n v="0"/>
    <n v="1100000"/>
    <n v="44.722282755413005"/>
    <n v="20000"/>
    <n v="100"/>
    <x v="4822"/>
    <x v="7"/>
    <x v="3"/>
    <x v="0"/>
  </r>
  <r>
    <x v="413"/>
    <s v="ZTAN"/>
    <x v="7"/>
    <s v="HLBX77"/>
    <n v="160935094"/>
    <s v="RENCA"/>
    <x v="2225"/>
    <x v="1"/>
    <x v="1"/>
    <x v="7"/>
    <x v="1"/>
    <n v="1"/>
    <n v="103774"/>
    <n v="0"/>
    <n v="103774"/>
    <n v="11"/>
    <n v="5000"/>
    <n v="100"/>
    <x v="4823"/>
    <x v="7"/>
    <x v="3"/>
    <x v="1"/>
  </r>
  <r>
    <x v="413"/>
    <s v="ZTAN"/>
    <x v="7"/>
    <s v="RK5135"/>
    <n v="138841065"/>
    <s v="SANTIAGO"/>
    <x v="3754"/>
    <x v="3"/>
    <x v="1"/>
    <x v="20"/>
    <x v="1"/>
    <n v="1"/>
    <n v="84733"/>
    <n v="0"/>
    <n v="84733"/>
    <n v="11.000000000000004"/>
    <n v="5000"/>
    <n v="100"/>
    <x v="4824"/>
    <x v="7"/>
    <x v="3"/>
    <x v="1"/>
  </r>
  <r>
    <x v="413"/>
    <s v="ZTAN"/>
    <x v="7"/>
    <s v="WG4022"/>
    <n v="81417709"/>
    <s v="RENCA"/>
    <x v="3755"/>
    <x v="1"/>
    <x v="0"/>
    <x v="7"/>
    <x v="1"/>
    <n v="1"/>
    <n v="281601"/>
    <n v="0"/>
    <n v="281601"/>
    <n v="11.000017578090663"/>
    <n v="5000"/>
    <n v="100"/>
    <x v="4825"/>
    <x v="7"/>
    <x v="3"/>
    <x v="1"/>
  </r>
  <r>
    <x v="413"/>
    <s v="ZTAN"/>
    <x v="7"/>
    <s v="XR6339"/>
    <n v="78907355"/>
    <s v="SAN MIGUEL"/>
    <x v="2059"/>
    <x v="1"/>
    <x v="1"/>
    <x v="23"/>
    <x v="1"/>
    <n v="2"/>
    <n v="55000"/>
    <n v="0"/>
    <n v="55000"/>
    <n v="27.527527527527528"/>
    <n v="5000"/>
    <n v="40"/>
    <x v="4826"/>
    <x v="7"/>
    <x v="3"/>
    <x v="1"/>
  </r>
  <r>
    <x v="413"/>
    <s v="ZTAN"/>
    <x v="8"/>
    <s v="SV2718"/>
    <n v="99626232"/>
    <s v="LA FLORIDA"/>
    <x v="3756"/>
    <x v="1"/>
    <x v="1"/>
    <x v="33"/>
    <x v="1"/>
    <n v="3"/>
    <n v="55000"/>
    <n v="0"/>
    <n v="55000"/>
    <n v="13.114159954601158"/>
    <n v="5000"/>
    <n v="84"/>
    <x v="4827"/>
    <x v="7"/>
    <x v="3"/>
    <x v="1"/>
  </r>
  <r>
    <x v="413"/>
    <s v="ZTAN"/>
    <x v="8"/>
    <s v="TP3884"/>
    <n v="107643206"/>
    <s v="LA REINA"/>
    <x v="3757"/>
    <x v="1"/>
    <x v="1"/>
    <x v="11"/>
    <x v="1"/>
    <n v="3"/>
    <n v="55000"/>
    <n v="0"/>
    <n v="55000"/>
    <n v="16.857720836142953"/>
    <n v="5000"/>
    <n v="65"/>
    <x v="4828"/>
    <x v="7"/>
    <x v="3"/>
    <x v="1"/>
  </r>
  <r>
    <x v="414"/>
    <s v="ZPEP"/>
    <x v="11"/>
    <s v="DJLF85"/>
    <s v="125108660"/>
    <s v="SANTIAGO"/>
    <x v="3758"/>
    <x v="4"/>
    <x v="1"/>
    <x v="20"/>
    <x v="1"/>
    <n v="1"/>
    <n v="84079"/>
    <n v="0"/>
    <n v="84079"/>
    <n v="11.000022241032612"/>
    <n v="5000"/>
    <n v="100"/>
    <x v="4829"/>
    <x v="8"/>
    <x v="3"/>
    <x v="1"/>
  </r>
  <r>
    <x v="414"/>
    <s v="ZPEP"/>
    <x v="52"/>
    <s v="CKYB66"/>
    <s v="115812335"/>
    <s v="PUERTO MONTT"/>
    <x v="3759"/>
    <x v="0"/>
    <x v="0"/>
    <x v="53"/>
    <x v="10"/>
    <n v="0"/>
    <n v="1100000"/>
    <n v="0"/>
    <n v="1100000"/>
    <n v="50.103874441512588"/>
    <n v="20000"/>
    <n v="100"/>
    <x v="4830"/>
    <x v="8"/>
    <x v="3"/>
    <x v="0"/>
  </r>
  <r>
    <x v="414"/>
    <s v="ZTAN"/>
    <x v="4"/>
    <s v="RK5135"/>
    <s v="138841065"/>
    <s v="SAN BERNARDO"/>
    <x v="3760"/>
    <x v="3"/>
    <x v="1"/>
    <x v="4"/>
    <x v="1"/>
    <n v="4"/>
    <n v="64350"/>
    <n v="0"/>
    <n v="64350"/>
    <n v="8.6364246409877872"/>
    <n v="5000"/>
    <n v="100"/>
    <x v="4831"/>
    <x v="8"/>
    <x v="3"/>
    <x v="1"/>
  </r>
  <r>
    <x v="414"/>
    <s v="ZTAN"/>
    <x v="41"/>
    <s v="RH1133"/>
    <s v="65941082"/>
    <s v="EL MANZANO"/>
    <x v="3761"/>
    <x v="0"/>
    <x v="0"/>
    <x v="61"/>
    <x v="6"/>
    <n v="0"/>
    <n v="260000"/>
    <n v="0"/>
    <n v="260000"/>
    <n v="22.222830026120374"/>
    <n v="20000"/>
    <n v="58"/>
    <x v="4832"/>
    <x v="8"/>
    <x v="3"/>
    <x v="0"/>
  </r>
  <r>
    <x v="414"/>
    <s v="ZTAN"/>
    <x v="7"/>
    <s v="HLBX77"/>
    <s v="16093509K"/>
    <s v="RENCA"/>
    <x v="3762"/>
    <x v="1"/>
    <x v="1"/>
    <x v="7"/>
    <x v="1"/>
    <n v="1"/>
    <n v="76817"/>
    <n v="0"/>
    <n v="76817"/>
    <n v="10.999942721310537"/>
    <n v="5000"/>
    <n v="100"/>
    <x v="4833"/>
    <x v="8"/>
    <x v="3"/>
    <x v="1"/>
  </r>
  <r>
    <x v="414"/>
    <s v="ZTAN"/>
    <x v="7"/>
    <s v="SU9354"/>
    <s v="72564391"/>
    <s v="CONCON"/>
    <x v="1304"/>
    <x v="2"/>
    <x v="1"/>
    <x v="101"/>
    <x v="2"/>
    <n v="0"/>
    <n v="203000"/>
    <n v="0"/>
    <n v="203000"/>
    <n v="25.349650349650346"/>
    <n v="20000"/>
    <n v="40"/>
    <x v="4834"/>
    <x v="8"/>
    <x v="3"/>
    <x v="0"/>
  </r>
  <r>
    <x v="414"/>
    <s v="ZTAN"/>
    <x v="7"/>
    <s v="SU9354"/>
    <s v="72564391"/>
    <s v="SAN MIGUEL"/>
    <x v="1590"/>
    <x v="2"/>
    <x v="1"/>
    <x v="23"/>
    <x v="1"/>
    <n v="2"/>
    <n v="102874"/>
    <n v="0"/>
    <n v="102874"/>
    <n v="10.999978614657513"/>
    <n v="5000"/>
    <n v="100"/>
    <x v="4835"/>
    <x v="8"/>
    <x v="3"/>
    <x v="1"/>
  </r>
  <r>
    <x v="414"/>
    <s v="ZTAN"/>
    <x v="7"/>
    <s v="WG4022"/>
    <s v="81417709"/>
    <s v="RENCA"/>
    <x v="3763"/>
    <x v="1"/>
    <x v="0"/>
    <x v="7"/>
    <x v="1"/>
    <n v="1"/>
    <n v="209099"/>
    <n v="0"/>
    <n v="209099"/>
    <n v="10.999994213270444"/>
    <n v="5000"/>
    <n v="100"/>
    <x v="4836"/>
    <x v="8"/>
    <x v="3"/>
    <x v="1"/>
  </r>
  <r>
    <x v="414"/>
    <s v="ZTAN"/>
    <x v="8"/>
    <s v="SV2718"/>
    <s v="99626232"/>
    <s v="SAN BERNARDO"/>
    <x v="3764"/>
    <x v="1"/>
    <x v="1"/>
    <x v="4"/>
    <x v="1"/>
    <n v="4"/>
    <n v="55000"/>
    <n v="0"/>
    <n v="55000"/>
    <n v="17.647436308798046"/>
    <n v="5000"/>
    <n v="62"/>
    <x v="4837"/>
    <x v="8"/>
    <x v="3"/>
    <x v="1"/>
  </r>
  <r>
    <x v="414"/>
    <s v="ZTAN"/>
    <x v="8"/>
    <s v="TP3884"/>
    <s v="107643206"/>
    <s v="PUDAHUEL"/>
    <x v="3765"/>
    <x v="1"/>
    <x v="1"/>
    <x v="10"/>
    <x v="1"/>
    <n v="1"/>
    <n v="59693"/>
    <n v="0"/>
    <n v="59693"/>
    <n v="8.2877016632882565"/>
    <n v="5000"/>
    <n v="100"/>
    <x v="4838"/>
    <x v="8"/>
    <x v="3"/>
    <x v="1"/>
  </r>
  <r>
    <x v="414"/>
    <s v="ZTAN"/>
    <x v="8"/>
    <s v="XR6339"/>
    <s v="78907355"/>
    <s v="HUECHURABA"/>
    <x v="3766"/>
    <x v="1"/>
    <x v="1"/>
    <x v="24"/>
    <x v="1"/>
    <n v="1"/>
    <n v="55000"/>
    <n v="0"/>
    <n v="55000"/>
    <n v="11.320832389930633"/>
    <n v="5000"/>
    <n v="98"/>
    <x v="4839"/>
    <x v="8"/>
    <x v="3"/>
    <x v="1"/>
  </r>
  <r>
    <x v="415"/>
    <s v="ZPEP"/>
    <x v="2"/>
    <s v="BWPL69"/>
    <s v="78551976"/>
    <s v="PROVIDENCIA"/>
    <x v="3767"/>
    <x v="5"/>
    <x v="0"/>
    <x v="54"/>
    <x v="1"/>
    <n v="2"/>
    <n v="151545"/>
    <n v="0"/>
    <n v="151545"/>
    <n v="10.999966610679065"/>
    <n v="5000"/>
    <n v="100"/>
    <x v="4840"/>
    <x v="8"/>
    <x v="3"/>
    <x v="1"/>
  </r>
  <r>
    <x v="415"/>
    <s v="ZPEP"/>
    <x v="106"/>
    <s v="SU9354"/>
    <s v="72564391"/>
    <s v="SANTA CRUZ"/>
    <x v="3768"/>
    <x v="2"/>
    <x v="1"/>
    <x v="75"/>
    <x v="6"/>
    <n v="0"/>
    <n v="260000"/>
    <n v="0"/>
    <n v="260000"/>
    <n v="23.310023310023311"/>
    <n v="20000"/>
    <n v="56"/>
    <x v="4841"/>
    <x v="8"/>
    <x v="3"/>
    <x v="0"/>
  </r>
  <r>
    <x v="415"/>
    <s v="ZTAN"/>
    <x v="6"/>
    <s v="SV2718"/>
    <s v="99626232"/>
    <s v="SANTIAGO"/>
    <x v="3769"/>
    <x v="1"/>
    <x v="1"/>
    <x v="20"/>
    <x v="1"/>
    <n v="1"/>
    <n v="55000"/>
    <n v="0"/>
    <n v="55000"/>
    <n v="23.163746630727761"/>
    <n v="5000"/>
    <n v="47"/>
    <x v="4842"/>
    <x v="8"/>
    <x v="3"/>
    <x v="1"/>
  </r>
  <r>
    <x v="415"/>
    <s v="ZTAN"/>
    <x v="16"/>
    <s v="HLBX77"/>
    <s v="16093509K"/>
    <s v="SAN BERNARDO"/>
    <x v="3770"/>
    <x v="1"/>
    <x v="1"/>
    <x v="4"/>
    <x v="1"/>
    <n v="4"/>
    <n v="99053"/>
    <n v="0"/>
    <n v="99053"/>
    <n v="9.4284109729863506"/>
    <n v="5000"/>
    <n v="100"/>
    <x v="4843"/>
    <x v="8"/>
    <x v="3"/>
    <x v="1"/>
  </r>
  <r>
    <x v="415"/>
    <s v="ZTAN"/>
    <x v="16"/>
    <s v="RK5135"/>
    <s v="138841065"/>
    <s v="SAN BERNARDO"/>
    <x v="371"/>
    <x v="3"/>
    <x v="1"/>
    <x v="4"/>
    <x v="1"/>
    <n v="4"/>
    <n v="115562"/>
    <n v="0"/>
    <n v="115562"/>
    <n v="11.000038074931465"/>
    <n v="5000"/>
    <n v="100"/>
    <x v="4844"/>
    <x v="8"/>
    <x v="3"/>
    <x v="1"/>
  </r>
  <r>
    <x v="415"/>
    <s v="ZTAN"/>
    <x v="7"/>
    <s v="DJLF85"/>
    <s v="125108660"/>
    <s v="SAN MIGUEL"/>
    <x v="2564"/>
    <x v="4"/>
    <x v="1"/>
    <x v="23"/>
    <x v="1"/>
    <n v="2"/>
    <n v="89131"/>
    <n v="0"/>
    <n v="89131"/>
    <n v="11.000024682825693"/>
    <n v="5000"/>
    <n v="100"/>
    <x v="4845"/>
    <x v="8"/>
    <x v="3"/>
    <x v="1"/>
  </r>
  <r>
    <x v="415"/>
    <s v="ZTAN"/>
    <x v="7"/>
    <s v="HLBX77"/>
    <s v="16093509K"/>
    <s v="RENCA"/>
    <x v="1219"/>
    <x v="1"/>
    <x v="1"/>
    <x v="7"/>
    <x v="1"/>
    <n v="1"/>
    <n v="55000"/>
    <n v="0"/>
    <n v="55000"/>
    <n v="20.014556040756915"/>
    <n v="5000"/>
    <n v="55"/>
    <x v="4846"/>
    <x v="8"/>
    <x v="3"/>
    <x v="1"/>
  </r>
  <r>
    <x v="415"/>
    <s v="ZTAN"/>
    <x v="7"/>
    <s v="RK5135"/>
    <s v="138841065"/>
    <s v="SAN MIGUEL"/>
    <x v="2564"/>
    <x v="3"/>
    <x v="1"/>
    <x v="23"/>
    <x v="1"/>
    <n v="2"/>
    <n v="89131"/>
    <n v="0"/>
    <n v="89131"/>
    <n v="11.000024682825693"/>
    <n v="5000"/>
    <n v="100"/>
    <x v="4847"/>
    <x v="8"/>
    <x v="3"/>
    <x v="1"/>
  </r>
  <r>
    <x v="415"/>
    <s v="ZTAN"/>
    <x v="7"/>
    <s v="WG4022"/>
    <s v="154837728"/>
    <s v="RENCA"/>
    <x v="3318"/>
    <x v="1"/>
    <x v="0"/>
    <x v="7"/>
    <x v="1"/>
    <n v="1"/>
    <n v="89723"/>
    <n v="0"/>
    <n v="89723"/>
    <n v="11.00003555398628"/>
    <n v="5000"/>
    <n v="100"/>
    <x v="4848"/>
    <x v="8"/>
    <x v="3"/>
    <x v="1"/>
  </r>
  <r>
    <x v="415"/>
    <s v="ZTAN"/>
    <x v="8"/>
    <s v="SV2718"/>
    <s v="99626232"/>
    <s v="LAS CONDES"/>
    <x v="3771"/>
    <x v="1"/>
    <x v="1"/>
    <x v="3"/>
    <x v="1"/>
    <n v="4"/>
    <n v="72130"/>
    <n v="0"/>
    <n v="72130"/>
    <n v="11.000021350381108"/>
    <n v="5000"/>
    <n v="100"/>
    <x v="4849"/>
    <x v="8"/>
    <x v="3"/>
    <x v="1"/>
  </r>
  <r>
    <x v="416"/>
    <s v="ZTAN"/>
    <x v="17"/>
    <s v="TP3884"/>
    <s v="107643206"/>
    <s v="LAMPA"/>
    <x v="3438"/>
    <x v="1"/>
    <x v="1"/>
    <x v="17"/>
    <x v="1"/>
    <n v="5"/>
    <n v="70000"/>
    <n v="0"/>
    <n v="70000"/>
    <n v="6.2786463238525716"/>
    <n v="10000"/>
    <n v="100"/>
    <x v="4850"/>
    <x v="8"/>
    <x v="3"/>
    <x v="1"/>
  </r>
  <r>
    <x v="416"/>
    <s v="ZTAN"/>
    <x v="10"/>
    <s v="RH1133"/>
    <s v="65941082"/>
    <s v="QUILICURA"/>
    <x v="3772"/>
    <x v="0"/>
    <x v="0"/>
    <x v="8"/>
    <x v="1"/>
    <n v="1"/>
    <n v="71960"/>
    <n v="0"/>
    <n v="71960"/>
    <n v="10.891775468379645"/>
    <n v="5000"/>
    <n v="100"/>
    <x v="4851"/>
    <x v="8"/>
    <x v="3"/>
    <x v="1"/>
  </r>
  <r>
    <x v="416"/>
    <s v="ZTAN"/>
    <x v="7"/>
    <s v="DJLF85"/>
    <s v="125108660"/>
    <s v="SAN MIGUEL"/>
    <x v="3773"/>
    <x v="4"/>
    <x v="1"/>
    <x v="23"/>
    <x v="1"/>
    <n v="2"/>
    <n v="82544"/>
    <n v="0"/>
    <n v="82544"/>
    <n v="5.4567329939842661"/>
    <n v="5000"/>
    <n v="100"/>
    <x v="4852"/>
    <x v="8"/>
    <x v="3"/>
    <x v="1"/>
  </r>
  <r>
    <x v="416"/>
    <s v="ZTAN"/>
    <x v="7"/>
    <s v="HLBX77"/>
    <s v="16093509K"/>
    <s v="SAN MIGUEL"/>
    <x v="372"/>
    <x v="1"/>
    <x v="1"/>
    <x v="23"/>
    <x v="1"/>
    <n v="2"/>
    <n v="57781"/>
    <n v="0"/>
    <n v="57781"/>
    <n v="11.000038074931469"/>
    <n v="5000"/>
    <n v="100"/>
    <x v="4853"/>
    <x v="8"/>
    <x v="3"/>
    <x v="1"/>
  </r>
  <r>
    <x v="416"/>
    <s v="ZTAN"/>
    <x v="7"/>
    <s v="SU9354"/>
    <s v="7254391"/>
    <s v="RENCA"/>
    <x v="3774"/>
    <x v="2"/>
    <x v="1"/>
    <x v="7"/>
    <x v="1"/>
    <n v="1"/>
    <n v="55000"/>
    <n v="0"/>
    <n v="55000"/>
    <n v="7.2387470386943935"/>
    <n v="5000"/>
    <n v="100"/>
    <x v="4854"/>
    <x v="8"/>
    <x v="3"/>
    <x v="1"/>
  </r>
  <r>
    <x v="416"/>
    <s v="ZTAN"/>
    <x v="7"/>
    <s v="WG4022"/>
    <s v="154837728"/>
    <s v="RENCA"/>
    <x v="1144"/>
    <x v="1"/>
    <x v="0"/>
    <x v="7"/>
    <x v="1"/>
    <n v="1"/>
    <n v="113355"/>
    <n v="0"/>
    <n v="113355"/>
    <n v="11"/>
    <n v="5000"/>
    <n v="100"/>
    <x v="4855"/>
    <x v="8"/>
    <x v="3"/>
    <x v="1"/>
  </r>
  <r>
    <x v="416"/>
    <s v="ZTAN"/>
    <x v="8"/>
    <s v="RK5135"/>
    <s v="138841065"/>
    <s v="ÑUÑOA"/>
    <x v="96"/>
    <x v="3"/>
    <x v="1"/>
    <x v="15"/>
    <x v="1"/>
    <n v="4"/>
    <n v="55000"/>
    <n v="0"/>
    <n v="55000"/>
    <n v="16.007916642412248"/>
    <n v="5000"/>
    <n v="69"/>
    <x v="4856"/>
    <x v="8"/>
    <x v="3"/>
    <x v="1"/>
  </r>
  <r>
    <x v="416"/>
    <s v="ZTAN"/>
    <x v="8"/>
    <s v="SV2718"/>
    <s v="99626232"/>
    <s v="HUECHURABA"/>
    <x v="3775"/>
    <x v="1"/>
    <x v="1"/>
    <x v="24"/>
    <x v="1"/>
    <n v="1"/>
    <n v="55000"/>
    <n v="0"/>
    <n v="55000"/>
    <n v="12.226841251139319"/>
    <n v="5000"/>
    <n v="90"/>
    <x v="4857"/>
    <x v="8"/>
    <x v="3"/>
    <x v="1"/>
  </r>
  <r>
    <x v="416"/>
    <s v="ZTAN"/>
    <x v="8"/>
    <s v="TP3884"/>
    <s v="107643206"/>
    <s v="PUDAHUEL"/>
    <x v="3776"/>
    <x v="1"/>
    <x v="1"/>
    <x v="10"/>
    <x v="1"/>
    <n v="1"/>
    <n v="66973"/>
    <n v="0"/>
    <n v="66973"/>
    <n v="10.999954011510264"/>
    <n v="5000"/>
    <n v="100"/>
    <x v="4858"/>
    <x v="8"/>
    <x v="3"/>
    <x v="1"/>
  </r>
  <r>
    <x v="417"/>
    <s v="ZTAN"/>
    <x v="107"/>
    <s v="DJLF85"/>
    <n v="12518660"/>
    <s v="SANTIAGO"/>
    <x v="3777"/>
    <x v="4"/>
    <x v="1"/>
    <x v="20"/>
    <x v="1"/>
    <n v="1"/>
    <n v="55000"/>
    <n v="0"/>
    <n v="55000"/>
    <n v="27.262543248307232"/>
    <n v="5000"/>
    <n v="40"/>
    <x v="4859"/>
    <x v="8"/>
    <x v="3"/>
    <x v="1"/>
  </r>
  <r>
    <x v="417"/>
    <s v="ZTAN"/>
    <x v="10"/>
    <s v="KKPF51"/>
    <n v="95707734"/>
    <s v="QUILICURA"/>
    <x v="3778"/>
    <x v="8"/>
    <x v="0"/>
    <x v="8"/>
    <x v="1"/>
    <n v="1"/>
    <n v="116192"/>
    <n v="0"/>
    <n v="116192"/>
    <n v="10.999978225738502"/>
    <n v="5000"/>
    <n v="100"/>
    <x v="4860"/>
    <x v="8"/>
    <x v="3"/>
    <x v="1"/>
  </r>
  <r>
    <x v="417"/>
    <s v="ZTAN"/>
    <x v="7"/>
    <s v="WG4022"/>
    <n v="81417709"/>
    <s v="RENCA"/>
    <x v="419"/>
    <x v="1"/>
    <x v="0"/>
    <x v="7"/>
    <x v="1"/>
    <n v="1"/>
    <n v="90684"/>
    <n v="0"/>
    <n v="90684"/>
    <n v="10.999999999999995"/>
    <n v="5000"/>
    <n v="100"/>
    <x v="4861"/>
    <x v="8"/>
    <x v="3"/>
    <x v="1"/>
  </r>
  <r>
    <x v="417"/>
    <s v="ZTAN"/>
    <x v="7"/>
    <s v="XR6339"/>
    <n v="78907355"/>
    <s v="RENCA"/>
    <x v="2708"/>
    <x v="1"/>
    <x v="1"/>
    <x v="7"/>
    <x v="1"/>
    <n v="1"/>
    <n v="91896"/>
    <n v="0"/>
    <n v="91896"/>
    <n v="10.999976059945897"/>
    <n v="5000"/>
    <n v="100"/>
    <x v="4862"/>
    <x v="8"/>
    <x v="3"/>
    <x v="1"/>
  </r>
  <r>
    <x v="417"/>
    <s v="ZTAN"/>
    <x v="8"/>
    <s v="CVSK23"/>
    <n v="9543982"/>
    <s v="TEMUCO"/>
    <x v="3779"/>
    <x v="0"/>
    <x v="0"/>
    <x v="14"/>
    <x v="4"/>
    <n v="0"/>
    <n v="700000"/>
    <n v="0"/>
    <n v="700000"/>
    <n v="68.476534070010416"/>
    <n v="20000"/>
    <n v="51"/>
    <x v="4863"/>
    <x v="8"/>
    <x v="3"/>
    <x v="0"/>
  </r>
  <r>
    <x v="418"/>
    <s v="ZPEP"/>
    <x v="17"/>
    <s v="SU9354"/>
    <s v="72561394"/>
    <s v="LAMPA"/>
    <x v="3780"/>
    <x v="2"/>
    <x v="1"/>
    <x v="17"/>
    <x v="1"/>
    <n v="5"/>
    <n v="70000"/>
    <n v="0"/>
    <n v="70000"/>
    <n v="5.7582268609766611"/>
    <n v="10000"/>
    <n v="100"/>
    <x v="4864"/>
    <x v="8"/>
    <x v="3"/>
    <x v="1"/>
  </r>
  <r>
    <x v="418"/>
    <s v="ZTAN"/>
    <x v="4"/>
    <s v="KKPF51"/>
    <s v="95707734"/>
    <s v="PADRE HURTADO"/>
    <x v="3781"/>
    <x v="8"/>
    <x v="0"/>
    <x v="26"/>
    <x v="1"/>
    <n v="5"/>
    <n v="120000"/>
    <n v="0"/>
    <n v="120000"/>
    <n v="16.220380908611666"/>
    <n v="10000"/>
    <n v="74"/>
    <x v="4865"/>
    <x v="8"/>
    <x v="3"/>
    <x v="1"/>
  </r>
  <r>
    <x v="418"/>
    <s v="ZTAN"/>
    <x v="10"/>
    <s v="RH1133"/>
    <s v="65941082"/>
    <s v="SANTIAGO"/>
    <x v="3782"/>
    <x v="0"/>
    <x v="0"/>
    <x v="20"/>
    <x v="1"/>
    <n v="1"/>
    <n v="180952"/>
    <n v="0"/>
    <n v="180952"/>
    <n v="10.999981155255762"/>
    <n v="5000"/>
    <n v="100"/>
    <x v="4866"/>
    <x v="8"/>
    <x v="3"/>
    <x v="1"/>
  </r>
  <r>
    <x v="418"/>
    <s v="ZTAN"/>
    <x v="7"/>
    <s v="HLBX77"/>
    <s v="16093509K"/>
    <s v="RENCA"/>
    <x v="3783"/>
    <x v="1"/>
    <x v="1"/>
    <x v="7"/>
    <x v="1"/>
    <n v="1"/>
    <n v="99219"/>
    <n v="0"/>
    <n v="99219"/>
    <n v="10.999950110588195"/>
    <n v="5000"/>
    <n v="100"/>
    <x v="4867"/>
    <x v="8"/>
    <x v="3"/>
    <x v="1"/>
  </r>
  <r>
    <x v="418"/>
    <s v="ZTAN"/>
    <x v="7"/>
    <s v="RH1133"/>
    <s v="65941082"/>
    <s v="MELIPILLA"/>
    <x v="3784"/>
    <x v="0"/>
    <x v="0"/>
    <x v="29"/>
    <x v="1"/>
    <n v="5"/>
    <n v="120000"/>
    <n v="0"/>
    <n v="120000"/>
    <n v="19.75516762259727"/>
    <n v="10000"/>
    <n v="61"/>
    <x v="4868"/>
    <x v="8"/>
    <x v="3"/>
    <x v="1"/>
  </r>
  <r>
    <x v="418"/>
    <s v="ZTAN"/>
    <x v="7"/>
    <s v="WG4022"/>
    <s v="81417709"/>
    <s v="RENCA"/>
    <x v="3785"/>
    <x v="1"/>
    <x v="0"/>
    <x v="7"/>
    <x v="1"/>
    <n v="1"/>
    <n v="115192"/>
    <n v="0"/>
    <n v="115192"/>
    <n v="11"/>
    <n v="5000"/>
    <n v="100"/>
    <x v="4869"/>
    <x v="8"/>
    <x v="3"/>
    <x v="1"/>
  </r>
  <r>
    <x v="418"/>
    <s v="ZTAN"/>
    <x v="8"/>
    <s v="BPKD94"/>
    <s v="125897258"/>
    <s v="ANGOL"/>
    <x v="3786"/>
    <x v="0"/>
    <x v="0"/>
    <x v="84"/>
    <x v="4"/>
    <n v="0"/>
    <n v="530000"/>
    <n v="0"/>
    <n v="530000"/>
    <n v="67.322446573922548"/>
    <n v="14000"/>
    <n v="68"/>
    <x v="4870"/>
    <x v="8"/>
    <x v="3"/>
    <x v="0"/>
  </r>
  <r>
    <x v="418"/>
    <s v="ZTAN"/>
    <x v="8"/>
    <s v="SV2718"/>
    <s v="99626232"/>
    <s v="CERRILLOS"/>
    <x v="3787"/>
    <x v="1"/>
    <x v="1"/>
    <x v="9"/>
    <x v="1"/>
    <n v="2"/>
    <n v="55000"/>
    <n v="0"/>
    <n v="55000"/>
    <n v="13.373990263735088"/>
    <n v="5000"/>
    <n v="82"/>
    <x v="4871"/>
    <x v="8"/>
    <x v="3"/>
    <x v="1"/>
  </r>
  <r>
    <x v="419"/>
    <s v="ZPEP"/>
    <x v="17"/>
    <s v="DJLF85"/>
    <s v="125108660"/>
    <s v="LAMPA"/>
    <x v="3788"/>
    <x v="4"/>
    <x v="1"/>
    <x v="17"/>
    <x v="1"/>
    <n v="5"/>
    <n v="70000"/>
    <n v="0"/>
    <n v="70000"/>
    <n v="8.7286584301383137"/>
    <n v="10000"/>
    <n v="80"/>
    <x v="4872"/>
    <x v="8"/>
    <x v="3"/>
    <x v="1"/>
  </r>
  <r>
    <x v="419"/>
    <s v="ZTAN"/>
    <x v="7"/>
    <s v="HLBX77"/>
    <s v="16093509K"/>
    <s v="RENCA"/>
    <x v="1219"/>
    <x v="1"/>
    <x v="1"/>
    <x v="7"/>
    <x v="1"/>
    <n v="1"/>
    <n v="55000"/>
    <n v="0"/>
    <n v="55000"/>
    <n v="20.014556040756915"/>
    <n v="5000"/>
    <n v="55"/>
    <x v="4873"/>
    <x v="8"/>
    <x v="3"/>
    <x v="1"/>
  </r>
  <r>
    <x v="419"/>
    <s v="ZTAN"/>
    <x v="7"/>
    <s v="SU9354"/>
    <s v="72564391"/>
    <s v="LINARES"/>
    <x v="1557"/>
    <x v="2"/>
    <x v="1"/>
    <x v="59"/>
    <x v="3"/>
    <n v="0"/>
    <n v="280000"/>
    <n v="0"/>
    <n v="280000"/>
    <n v="33.806626098715348"/>
    <n v="20000"/>
    <n v="41"/>
    <x v="4874"/>
    <x v="8"/>
    <x v="3"/>
    <x v="0"/>
  </r>
  <r>
    <x v="419"/>
    <s v="ZTAN"/>
    <x v="7"/>
    <s v="WG4022"/>
    <s v="81417709"/>
    <s v="RENCA"/>
    <x v="3789"/>
    <x v="1"/>
    <x v="0"/>
    <x v="7"/>
    <x v="1"/>
    <n v="1"/>
    <n v="176025"/>
    <n v="0"/>
    <n v="176025"/>
    <n v="10.775077113497479"/>
    <n v="5000"/>
    <n v="100"/>
    <x v="4875"/>
    <x v="8"/>
    <x v="3"/>
    <x v="1"/>
  </r>
  <r>
    <x v="419"/>
    <s v="ZTAN"/>
    <x v="8"/>
    <s v="RK5135"/>
    <s v="138841065"/>
    <s v="SAN BERNARDO"/>
    <x v="3790"/>
    <x v="3"/>
    <x v="1"/>
    <x v="4"/>
    <x v="1"/>
    <n v="4"/>
    <n v="55000"/>
    <n v="0"/>
    <n v="55000"/>
    <n v="15.769071975778704"/>
    <n v="5000"/>
    <n v="70"/>
    <x v="4876"/>
    <x v="8"/>
    <x v="3"/>
    <x v="1"/>
  </r>
  <r>
    <x v="419"/>
    <s v="ZTAN"/>
    <x v="8"/>
    <s v="SV2718"/>
    <s v="99626232"/>
    <s v="ÑUÑOA"/>
    <x v="3791"/>
    <x v="1"/>
    <x v="1"/>
    <x v="15"/>
    <x v="1"/>
    <n v="4"/>
    <n v="55000"/>
    <n v="0"/>
    <n v="55000"/>
    <n v="17.59572072072072"/>
    <n v="5000"/>
    <n v="63"/>
    <x v="4877"/>
    <x v="8"/>
    <x v="3"/>
    <x v="1"/>
  </r>
  <r>
    <x v="419"/>
    <s v="ZTAN"/>
    <x v="8"/>
    <s v="TP3884"/>
    <s v="107643206"/>
    <s v="REÑACA"/>
    <x v="3792"/>
    <x v="1"/>
    <x v="1"/>
    <x v="6"/>
    <x v="2"/>
    <n v="0"/>
    <n v="203000"/>
    <n v="0"/>
    <n v="203000"/>
    <n v="27.353698139140054"/>
    <n v="20000"/>
    <n v="37"/>
    <x v="4878"/>
    <x v="8"/>
    <x v="3"/>
    <x v="0"/>
  </r>
  <r>
    <x v="419"/>
    <s v="ZTAN"/>
    <x v="8"/>
    <s v="WG4022"/>
    <s v="81417709"/>
    <s v="PUDAHUEL"/>
    <x v="3793"/>
    <x v="1"/>
    <x v="0"/>
    <x v="10"/>
    <x v="1"/>
    <n v="1"/>
    <n v="150309"/>
    <n v="0"/>
    <n v="150309"/>
    <n v="10.999987558975944"/>
    <n v="5000"/>
    <n v="100"/>
    <x v="4879"/>
    <x v="8"/>
    <x v="3"/>
    <x v="1"/>
  </r>
  <r>
    <x v="419"/>
    <s v="ZTAN"/>
    <x v="8"/>
    <s v="XR6339"/>
    <s v="78907355"/>
    <s v="LAS CONDES"/>
    <x v="3794"/>
    <x v="1"/>
    <x v="1"/>
    <x v="3"/>
    <x v="1"/>
    <n v="4"/>
    <n v="62533"/>
    <n v="0"/>
    <n v="62533"/>
    <n v="11.000035181536733"/>
    <n v="5000"/>
    <n v="100"/>
    <x v="4880"/>
    <x v="8"/>
    <x v="3"/>
    <x v="1"/>
  </r>
  <r>
    <x v="420"/>
    <s v="ZPEP"/>
    <x v="17"/>
    <s v="RK5135"/>
    <s v="138841065"/>
    <s v="LAMPA"/>
    <x v="3795"/>
    <x v="3"/>
    <x v="1"/>
    <x v="17"/>
    <x v="1"/>
    <n v="5"/>
    <n v="70000"/>
    <n v="0"/>
    <n v="70000"/>
    <n v="11.827520951608543"/>
    <n v="10000"/>
    <n v="59"/>
    <x v="4881"/>
    <x v="8"/>
    <x v="3"/>
    <x v="1"/>
  </r>
  <r>
    <x v="420"/>
    <s v="ZPEP"/>
    <x v="46"/>
    <s v="RK5135"/>
    <s v="138841065"/>
    <s v="PUENTE ALTO"/>
    <x v="3796"/>
    <x v="3"/>
    <x v="1"/>
    <x v="30"/>
    <x v="1"/>
    <n v="4"/>
    <n v="142565"/>
    <n v="0"/>
    <n v="142565"/>
    <n v="10.999978395861882"/>
    <n v="5000"/>
    <n v="100"/>
    <x v="4882"/>
    <x v="8"/>
    <x v="3"/>
    <x v="1"/>
  </r>
  <r>
    <x v="420"/>
    <s v="ZPEP"/>
    <x v="98"/>
    <s v="PN4466"/>
    <s v="81417709"/>
    <s v="RANCAGUA"/>
    <x v="3797"/>
    <x v="1"/>
    <x v="0"/>
    <x v="28"/>
    <x v="6"/>
    <n v="0"/>
    <n v="250000"/>
    <n v="0"/>
    <n v="250000"/>
    <n v="11.987044402409877"/>
    <n v="20000"/>
    <n v="100"/>
    <x v="4883"/>
    <x v="8"/>
    <x v="3"/>
    <x v="0"/>
  </r>
  <r>
    <x v="420"/>
    <s v="ZPEP"/>
    <x v="98"/>
    <s v="RH1133"/>
    <s v="65941082"/>
    <s v="RANCAGUA"/>
    <x v="3798"/>
    <x v="0"/>
    <x v="0"/>
    <x v="28"/>
    <x v="6"/>
    <n v="0"/>
    <n v="250000"/>
    <n v="0"/>
    <n v="250000"/>
    <n v="13.74049157982676"/>
    <n v="20000"/>
    <n v="91"/>
    <x v="4884"/>
    <x v="8"/>
    <x v="3"/>
    <x v="0"/>
  </r>
  <r>
    <x v="420"/>
    <s v="ZTAN"/>
    <x v="47"/>
    <s v="TP3884"/>
    <s v="107643206"/>
    <s v="SAN JOAQUIN"/>
    <x v="3799"/>
    <x v="1"/>
    <x v="1"/>
    <x v="67"/>
    <x v="1"/>
    <n v="3"/>
    <n v="55000"/>
    <n v="0"/>
    <n v="55000"/>
    <n v="35.22931078657443"/>
    <n v="5000"/>
    <n v="31"/>
    <x v="4885"/>
    <x v="8"/>
    <x v="3"/>
    <x v="1"/>
  </r>
  <r>
    <x v="420"/>
    <s v="ZTAN"/>
    <x v="6"/>
    <s v="SV2718"/>
    <s v="99626232"/>
    <s v="SANTIAGO"/>
    <x v="3800"/>
    <x v="1"/>
    <x v="1"/>
    <x v="20"/>
    <x v="1"/>
    <n v="1"/>
    <n v="55000"/>
    <n v="0"/>
    <n v="55000"/>
    <n v="54.693715194908513"/>
    <n v="5000"/>
    <n v="20"/>
    <x v="4886"/>
    <x v="8"/>
    <x v="3"/>
    <x v="1"/>
  </r>
  <r>
    <x v="420"/>
    <s v="ZTAN"/>
    <x v="7"/>
    <s v="DJLF85"/>
    <s v="125108660"/>
    <s v="RENCA"/>
    <x v="3801"/>
    <x v="4"/>
    <x v="1"/>
    <x v="7"/>
    <x v="1"/>
    <n v="1"/>
    <n v="55000"/>
    <n v="0"/>
    <n v="55000"/>
    <n v="11.149401986620717"/>
    <n v="5000"/>
    <n v="100"/>
    <x v="4887"/>
    <x v="8"/>
    <x v="3"/>
    <x v="1"/>
  </r>
  <r>
    <x v="420"/>
    <s v="ZTAN"/>
    <x v="7"/>
    <s v="HLBX77"/>
    <s v="16093509K"/>
    <s v="RENCA"/>
    <x v="1219"/>
    <x v="1"/>
    <x v="1"/>
    <x v="7"/>
    <x v="1"/>
    <n v="1"/>
    <n v="55000"/>
    <n v="0"/>
    <n v="55000"/>
    <n v="20.014556040756915"/>
    <n v="5000"/>
    <n v="55"/>
    <x v="4888"/>
    <x v="8"/>
    <x v="3"/>
    <x v="1"/>
  </r>
  <r>
    <x v="420"/>
    <s v="ZTAN"/>
    <x v="7"/>
    <s v="WG4022"/>
    <s v="154837728"/>
    <s v="RENCA"/>
    <x v="3802"/>
    <x v="1"/>
    <x v="0"/>
    <x v="7"/>
    <x v="1"/>
    <n v="1"/>
    <n v="232806"/>
    <n v="0"/>
    <n v="232806"/>
    <n v="11.000016537399327"/>
    <n v="5000"/>
    <n v="100"/>
    <x v="4889"/>
    <x v="8"/>
    <x v="3"/>
    <x v="1"/>
  </r>
  <r>
    <x v="420"/>
    <s v="ZTAN"/>
    <x v="8"/>
    <s v="KKPF51"/>
    <s v="95707734"/>
    <s v="MAIPU"/>
    <x v="3803"/>
    <x v="8"/>
    <x v="0"/>
    <x v="2"/>
    <x v="1"/>
    <n v="2"/>
    <n v="81868"/>
    <n v="0"/>
    <n v="81868"/>
    <n v="11.000067181726566"/>
    <n v="5000"/>
    <n v="100"/>
    <x v="4890"/>
    <x v="8"/>
    <x v="3"/>
    <x v="1"/>
  </r>
  <r>
    <x v="420"/>
    <s v="ZTAN"/>
    <x v="8"/>
    <s v="TP3884"/>
    <s v="107643206"/>
    <s v="PUDAHUEL"/>
    <x v="3804"/>
    <x v="1"/>
    <x v="1"/>
    <x v="10"/>
    <x v="1"/>
    <n v="1"/>
    <n v="96385"/>
    <n v="0"/>
    <n v="96385"/>
    <n v="10.999965762413975"/>
    <n v="5000"/>
    <n v="100"/>
    <x v="4891"/>
    <x v="8"/>
    <x v="3"/>
    <x v="1"/>
  </r>
  <r>
    <x v="420"/>
    <s v="ZTAN"/>
    <x v="8"/>
    <s v="XR6339"/>
    <s v="78907355"/>
    <s v="QUILICURA"/>
    <x v="3805"/>
    <x v="1"/>
    <x v="1"/>
    <x v="8"/>
    <x v="1"/>
    <n v="1"/>
    <n v="71724"/>
    <n v="0"/>
    <n v="71724"/>
    <n v="10.999938654070304"/>
    <n v="5000"/>
    <n v="100"/>
    <x v="4892"/>
    <x v="8"/>
    <x v="3"/>
    <x v="1"/>
  </r>
  <r>
    <x v="421"/>
    <s v="ZPEP"/>
    <x v="46"/>
    <s v="HLBX77"/>
    <s v="16093509K"/>
    <s v="PUENTE ALTO"/>
    <x v="3806"/>
    <x v="1"/>
    <x v="1"/>
    <x v="30"/>
    <x v="1"/>
    <n v="4"/>
    <n v="86634"/>
    <n v="0"/>
    <n v="86634"/>
    <n v="11.000025394245668"/>
    <n v="5000"/>
    <n v="100"/>
    <x v="4893"/>
    <x v="8"/>
    <x v="3"/>
    <x v="1"/>
  </r>
  <r>
    <x v="421"/>
    <s v="ZPEP"/>
    <x v="32"/>
    <s v="SU9354"/>
    <s v="72564391"/>
    <s v="PROVIDENCIA"/>
    <x v="3807"/>
    <x v="2"/>
    <x v="1"/>
    <x v="54"/>
    <x v="1"/>
    <n v="2"/>
    <n v="106512"/>
    <n v="0"/>
    <n v="106512"/>
    <n v="11.000021687739922"/>
    <n v="5000"/>
    <n v="100"/>
    <x v="4894"/>
    <x v="8"/>
    <x v="3"/>
    <x v="1"/>
  </r>
  <r>
    <x v="421"/>
    <s v="ZPEP"/>
    <x v="9"/>
    <s v="HLBX77"/>
    <s v="16093509K"/>
    <s v="SAN BERNARDO"/>
    <x v="3808"/>
    <x v="1"/>
    <x v="1"/>
    <x v="4"/>
    <x v="1"/>
    <n v="4"/>
    <n v="55425"/>
    <n v="0"/>
    <n v="55425"/>
    <n v="10.999926567923678"/>
    <n v="5000"/>
    <n v="100"/>
    <x v="4895"/>
    <x v="8"/>
    <x v="3"/>
    <x v="1"/>
  </r>
  <r>
    <x v="421"/>
    <s v="ZTAN"/>
    <x v="72"/>
    <s v="TP3884"/>
    <s v="107643206"/>
    <s v="COLINA"/>
    <x v="3809"/>
    <x v="1"/>
    <x v="1"/>
    <x v="5"/>
    <x v="1"/>
    <n v="5"/>
    <n v="70000"/>
    <n v="0"/>
    <n v="70000"/>
    <n v="21.019001177064066"/>
    <n v="10000"/>
    <n v="33"/>
    <x v="4896"/>
    <x v="8"/>
    <x v="3"/>
    <x v="1"/>
  </r>
  <r>
    <x v="421"/>
    <s v="ZTAN"/>
    <x v="7"/>
    <s v="DJLF85"/>
    <s v="53173292"/>
    <s v="RENCA"/>
    <x v="3810"/>
    <x v="4"/>
    <x v="1"/>
    <x v="7"/>
    <x v="1"/>
    <n v="1"/>
    <n v="108963"/>
    <n v="0"/>
    <n v="108963"/>
    <n v="11.000030285593143"/>
    <n v="5000"/>
    <n v="100"/>
    <x v="4897"/>
    <x v="8"/>
    <x v="3"/>
    <x v="1"/>
  </r>
  <r>
    <x v="421"/>
    <s v="ZTAN"/>
    <x v="7"/>
    <s v="WC2233"/>
    <s v="125108660"/>
    <s v="RENCA"/>
    <x v="2207"/>
    <x v="4"/>
    <x v="1"/>
    <x v="7"/>
    <x v="1"/>
    <n v="1"/>
    <n v="136660"/>
    <n v="0"/>
    <n v="136660"/>
    <n v="11.00003219678676"/>
    <n v="5000"/>
    <n v="100"/>
    <x v="4898"/>
    <x v="8"/>
    <x v="3"/>
    <x v="1"/>
  </r>
  <r>
    <x v="421"/>
    <s v="ZTAN"/>
    <x v="7"/>
    <s v="WG4022"/>
    <s v="154837728"/>
    <s v="RENCA"/>
    <x v="3811"/>
    <x v="1"/>
    <x v="0"/>
    <x v="7"/>
    <x v="1"/>
    <n v="1"/>
    <n v="101044"/>
    <n v="0"/>
    <n v="101044"/>
    <n v="11.000021772736185"/>
    <n v="5000"/>
    <n v="100"/>
    <x v="4899"/>
    <x v="8"/>
    <x v="3"/>
    <x v="1"/>
  </r>
  <r>
    <x v="421"/>
    <s v="ZTAN"/>
    <x v="8"/>
    <s v="DRFV76"/>
    <s v="113693568"/>
    <s v="LINARES"/>
    <x v="3812"/>
    <x v="0"/>
    <x v="0"/>
    <x v="59"/>
    <x v="3"/>
    <n v="0"/>
    <n v="350000"/>
    <n v="0"/>
    <n v="350000"/>
    <n v="32.405577092404961"/>
    <n v="20000"/>
    <n v="65"/>
    <x v="4900"/>
    <x v="8"/>
    <x v="3"/>
    <x v="0"/>
  </r>
  <r>
    <x v="421"/>
    <s v="ZTAN"/>
    <x v="8"/>
    <s v="SU9354"/>
    <s v="72564391"/>
    <s v="ÑUÑOA"/>
    <x v="3813"/>
    <x v="2"/>
    <x v="1"/>
    <x v="15"/>
    <x v="1"/>
    <n v="4"/>
    <n v="55000"/>
    <n v="0"/>
    <n v="55000"/>
    <n v="13.325967707545891"/>
    <n v="5000"/>
    <n v="83"/>
    <x v="4901"/>
    <x v="8"/>
    <x v="3"/>
    <x v="1"/>
  </r>
  <r>
    <x v="421"/>
    <s v="ZTAN"/>
    <x v="8"/>
    <s v="SV2718"/>
    <s v="99626232"/>
    <s v="QUILIN"/>
    <x v="3814"/>
    <x v="1"/>
    <x v="1"/>
    <x v="34"/>
    <x v="1"/>
    <n v="4"/>
    <n v="55000"/>
    <n v="0"/>
    <n v="55000"/>
    <n v="13.624518187493187"/>
    <n v="5000"/>
    <n v="81"/>
    <x v="4902"/>
    <x v="8"/>
    <x v="3"/>
    <x v="1"/>
  </r>
  <r>
    <x v="421"/>
    <s v="ZTAN"/>
    <x v="8"/>
    <s v="TP3884"/>
    <s v="107643206"/>
    <s v="SAN BERNARDO"/>
    <x v="3815"/>
    <x v="1"/>
    <x v="1"/>
    <x v="4"/>
    <x v="1"/>
    <n v="4"/>
    <n v="55000"/>
    <n v="0"/>
    <n v="55000"/>
    <n v="11.019747387318073"/>
    <n v="5000"/>
    <n v="100"/>
    <x v="4903"/>
    <x v="8"/>
    <x v="3"/>
    <x v="1"/>
  </r>
  <r>
    <x v="421"/>
    <s v="ZTAN"/>
    <x v="8"/>
    <s v="XR6339"/>
    <s v="78907355"/>
    <s v="LA REINA"/>
    <x v="3816"/>
    <x v="1"/>
    <x v="1"/>
    <x v="11"/>
    <x v="1"/>
    <n v="3"/>
    <n v="55000"/>
    <n v="0"/>
    <n v="55000"/>
    <n v="12.013664997859387"/>
    <n v="5000"/>
    <n v="92"/>
    <x v="4904"/>
    <x v="8"/>
    <x v="3"/>
    <x v="1"/>
  </r>
  <r>
    <x v="422"/>
    <s v="ZPEP"/>
    <x v="17"/>
    <s v="RK5135"/>
    <n v="138441065"/>
    <s v="LAMPA"/>
    <x v="3817"/>
    <x v="3"/>
    <x v="1"/>
    <x v="17"/>
    <x v="1"/>
    <n v="5"/>
    <n v="70000"/>
    <n v="0"/>
    <n v="70000"/>
    <n v="17.404968869969963"/>
    <n v="10000"/>
    <n v="40"/>
    <x v="4905"/>
    <x v="8"/>
    <x v="3"/>
    <x v="1"/>
  </r>
  <r>
    <x v="422"/>
    <s v="ZPEP"/>
    <x v="32"/>
    <s v="SU9354"/>
    <n v="72564391"/>
    <s v="PROVIDENCIA"/>
    <x v="3818"/>
    <x v="2"/>
    <x v="1"/>
    <x v="54"/>
    <x v="1"/>
    <n v="2"/>
    <n v="98815"/>
    <n v="0"/>
    <n v="98815"/>
    <n v="11.0000267166565"/>
    <n v="5000"/>
    <n v="100"/>
    <x v="4906"/>
    <x v="8"/>
    <x v="3"/>
    <x v="1"/>
  </r>
  <r>
    <x v="422"/>
    <s v="ZPEP"/>
    <x v="32"/>
    <s v="XR6339"/>
    <n v="78907355"/>
    <s v="PROVIDENCIA"/>
    <x v="3819"/>
    <x v="1"/>
    <x v="1"/>
    <x v="54"/>
    <x v="1"/>
    <n v="2"/>
    <n v="92558"/>
    <n v="0"/>
    <n v="92558"/>
    <n v="10.999952462445332"/>
    <n v="5000"/>
    <n v="100"/>
    <x v="4907"/>
    <x v="8"/>
    <x v="3"/>
    <x v="1"/>
  </r>
  <r>
    <x v="422"/>
    <s v="ZTAN"/>
    <x v="17"/>
    <s v="RK5135"/>
    <n v="138841065"/>
    <s v="LAMPA"/>
    <x v="3438"/>
    <x v="3"/>
    <x v="1"/>
    <x v="17"/>
    <x v="1"/>
    <n v="5"/>
    <n v="70000"/>
    <n v="0"/>
    <n v="70000"/>
    <n v="6.2786463238525716"/>
    <n v="10000"/>
    <n v="100"/>
    <x v="4908"/>
    <x v="8"/>
    <x v="3"/>
    <x v="1"/>
  </r>
  <r>
    <x v="422"/>
    <s v="ZTAN"/>
    <x v="5"/>
    <s v="TP3884"/>
    <n v="107643206"/>
    <s v="BUIN"/>
    <x v="2423"/>
    <x v="1"/>
    <x v="1"/>
    <x v="56"/>
    <x v="1"/>
    <n v="5"/>
    <n v="90000"/>
    <n v="0"/>
    <n v="90000"/>
    <n v="27.777777777777779"/>
    <n v="10000"/>
    <n v="32"/>
    <x v="4909"/>
    <x v="8"/>
    <x v="3"/>
    <x v="1"/>
  </r>
  <r>
    <x v="422"/>
    <s v="ZTAN"/>
    <x v="10"/>
    <s v="CKYB66"/>
    <n v="115812335"/>
    <s v="FREIRE"/>
    <x v="1186"/>
    <x v="0"/>
    <x v="0"/>
    <x v="102"/>
    <x v="4"/>
    <n v="0"/>
    <n v="530000"/>
    <n v="0"/>
    <n v="530000"/>
    <n v="81.181263976962924"/>
    <n v="20000"/>
    <n v="33"/>
    <x v="4910"/>
    <x v="8"/>
    <x v="3"/>
    <x v="0"/>
  </r>
  <r>
    <x v="422"/>
    <s v="ZTAN"/>
    <x v="6"/>
    <s v="SU9354"/>
    <n v="72564391"/>
    <s v="QUILPUE"/>
    <x v="359"/>
    <x v="2"/>
    <x v="1"/>
    <x v="58"/>
    <x v="2"/>
    <n v="0"/>
    <n v="203000"/>
    <n v="0"/>
    <n v="203000"/>
    <n v="45.087064676616919"/>
    <n v="20000"/>
    <n v="23"/>
    <x v="4911"/>
    <x v="8"/>
    <x v="3"/>
    <x v="0"/>
  </r>
  <r>
    <x v="422"/>
    <s v="ZTAN"/>
    <x v="8"/>
    <s v="SV2718"/>
    <n v="99626232"/>
    <s v="ÑUÑOA"/>
    <x v="3820"/>
    <x v="1"/>
    <x v="1"/>
    <x v="15"/>
    <x v="1"/>
    <n v="4"/>
    <n v="55000"/>
    <n v="0"/>
    <n v="55000"/>
    <n v="13.861166555777334"/>
    <n v="5000"/>
    <n v="79"/>
    <x v="4912"/>
    <x v="8"/>
    <x v="3"/>
    <x v="1"/>
  </r>
  <r>
    <x v="422"/>
    <s v="ZTAN"/>
    <x v="83"/>
    <s v="CVSK23"/>
    <n v="95439802"/>
    <s v="SANTIAGO"/>
    <x v="3821"/>
    <x v="0"/>
    <x v="0"/>
    <x v="20"/>
    <x v="1"/>
    <n v="1"/>
    <n v="95159"/>
    <n v="0"/>
    <n v="95159"/>
    <n v="11.000023119249086"/>
    <n v="5000"/>
    <n v="100"/>
    <x v="4913"/>
    <x v="8"/>
    <x v="3"/>
    <x v="1"/>
  </r>
  <r>
    <x v="423"/>
    <s v="ZPEP"/>
    <x v="46"/>
    <s v="DJLF85"/>
    <s v="125108660"/>
    <s v="PUENTE ALTO"/>
    <x v="3822"/>
    <x v="4"/>
    <x v="1"/>
    <x v="30"/>
    <x v="1"/>
    <n v="4"/>
    <n v="63576"/>
    <n v="0"/>
    <n v="63576"/>
    <n v="11.000069208941795"/>
    <n v="5000"/>
    <n v="100"/>
    <x v="4914"/>
    <x v="8"/>
    <x v="3"/>
    <x v="1"/>
  </r>
  <r>
    <x v="423"/>
    <s v="ZPEP"/>
    <x v="46"/>
    <s v="HLBX77"/>
    <s v="16093509K"/>
    <s v="PUENTE ALTO"/>
    <x v="3823"/>
    <x v="1"/>
    <x v="1"/>
    <x v="30"/>
    <x v="1"/>
    <n v="4"/>
    <n v="107702"/>
    <n v="0"/>
    <n v="107702"/>
    <n v="10.999978551972145"/>
    <n v="5000"/>
    <n v="100"/>
    <x v="4915"/>
    <x v="8"/>
    <x v="3"/>
    <x v="1"/>
  </r>
  <r>
    <x v="423"/>
    <s v="ZTAN"/>
    <x v="17"/>
    <s v="KKPF51"/>
    <s v="95707734"/>
    <s v="LAMPA"/>
    <x v="3824"/>
    <x v="8"/>
    <x v="0"/>
    <x v="17"/>
    <x v="1"/>
    <n v="5"/>
    <n v="120000"/>
    <n v="0"/>
    <n v="120000"/>
    <n v="4.9289410991538647"/>
    <n v="10000"/>
    <n v="100"/>
    <x v="4916"/>
    <x v="8"/>
    <x v="3"/>
    <x v="1"/>
  </r>
  <r>
    <x v="423"/>
    <s v="ZTAN"/>
    <x v="6"/>
    <s v="SU9354"/>
    <s v="72564391"/>
    <s v="LOS ANDES"/>
    <x v="3825"/>
    <x v="2"/>
    <x v="1"/>
    <x v="38"/>
    <x v="2"/>
    <n v="0"/>
    <n v="203000"/>
    <n v="0"/>
    <n v="203000"/>
    <n v="42.067307692307686"/>
    <n v="20000"/>
    <n v="24"/>
    <x v="4917"/>
    <x v="8"/>
    <x v="3"/>
    <x v="0"/>
  </r>
  <r>
    <x v="423"/>
    <s v="ZTAN"/>
    <x v="6"/>
    <s v="SV2718"/>
    <s v="99626232"/>
    <s v="QUILICURA"/>
    <x v="3826"/>
    <x v="1"/>
    <x v="1"/>
    <x v="8"/>
    <x v="1"/>
    <n v="1"/>
    <n v="59696"/>
    <n v="0"/>
    <n v="59696"/>
    <n v="11.000058965740907"/>
    <n v="5000"/>
    <n v="100"/>
    <x v="4918"/>
    <x v="8"/>
    <x v="3"/>
    <x v="1"/>
  </r>
  <r>
    <x v="423"/>
    <s v="ZTAN"/>
    <x v="6"/>
    <s v="TP3884"/>
    <s v="107643206"/>
    <s v="QUILLOTA"/>
    <x v="3827"/>
    <x v="1"/>
    <x v="1"/>
    <x v="19"/>
    <x v="2"/>
    <n v="0"/>
    <n v="203000"/>
    <n v="0"/>
    <n v="203000"/>
    <n v="29.653824466888512"/>
    <n v="20000"/>
    <n v="34"/>
    <x v="4919"/>
    <x v="8"/>
    <x v="3"/>
    <x v="0"/>
  </r>
  <r>
    <x v="423"/>
    <s v="ZTAN"/>
    <x v="16"/>
    <s v="PN4466"/>
    <s v="81417709"/>
    <s v="SAN BERNARDO"/>
    <x v="3828"/>
    <x v="1"/>
    <x v="0"/>
    <x v="4"/>
    <x v="1"/>
    <n v="4"/>
    <n v="122338"/>
    <n v="0"/>
    <n v="122338"/>
    <n v="11.000035966048051"/>
    <n v="5000"/>
    <n v="100"/>
    <x v="4920"/>
    <x v="8"/>
    <x v="3"/>
    <x v="1"/>
  </r>
  <r>
    <x v="423"/>
    <s v="ZTAN"/>
    <x v="7"/>
    <s v="DJLF85"/>
    <s v="53173292"/>
    <s v="RENCA"/>
    <x v="220"/>
    <x v="4"/>
    <x v="1"/>
    <x v="7"/>
    <x v="1"/>
    <n v="1"/>
    <n v="76490"/>
    <n v="0"/>
    <n v="76490"/>
    <n v="11.000057524160148"/>
    <n v="5000"/>
    <n v="100"/>
    <x v="4921"/>
    <x v="8"/>
    <x v="3"/>
    <x v="1"/>
  </r>
  <r>
    <x v="423"/>
    <s v="ZTAN"/>
    <x v="7"/>
    <s v="WG4022"/>
    <s v="154837728"/>
    <s v="RENCA"/>
    <x v="3829"/>
    <x v="1"/>
    <x v="0"/>
    <x v="7"/>
    <x v="1"/>
    <n v="1"/>
    <n v="174977"/>
    <n v="0"/>
    <n v="174977"/>
    <n v="9.6204640422256436"/>
    <n v="5000"/>
    <n v="100"/>
    <x v="4922"/>
    <x v="8"/>
    <x v="3"/>
    <x v="1"/>
  </r>
  <r>
    <x v="423"/>
    <s v="ZTAN"/>
    <x v="7"/>
    <s v="XR6339"/>
    <s v="78907355"/>
    <s v="RENCA"/>
    <x v="1219"/>
    <x v="1"/>
    <x v="1"/>
    <x v="7"/>
    <x v="1"/>
    <n v="1"/>
    <n v="55000"/>
    <n v="0"/>
    <n v="55000"/>
    <n v="20.014556040756915"/>
    <n v="5000"/>
    <n v="55"/>
    <x v="4923"/>
    <x v="8"/>
    <x v="3"/>
    <x v="1"/>
  </r>
  <r>
    <x v="423"/>
    <s v="ZTAN"/>
    <x v="8"/>
    <s v="HLBX77"/>
    <s v="16093509K"/>
    <s v="PUDAHUEL"/>
    <x v="3830"/>
    <x v="1"/>
    <x v="1"/>
    <x v="10"/>
    <x v="1"/>
    <n v="1"/>
    <n v="82684"/>
    <n v="0"/>
    <n v="82684"/>
    <n v="10.999996008902805"/>
    <n v="5000"/>
    <n v="100"/>
    <x v="4924"/>
    <x v="8"/>
    <x v="3"/>
    <x v="1"/>
  </r>
  <r>
    <x v="424"/>
    <s v="ZPEP"/>
    <x v="95"/>
    <s v="DJLF85"/>
    <s v="125108660"/>
    <s v="SANTIAGO"/>
    <x v="3831"/>
    <x v="4"/>
    <x v="1"/>
    <x v="20"/>
    <x v="1"/>
    <n v="1"/>
    <n v="146547"/>
    <n v="0"/>
    <n v="146547"/>
    <n v="11.000012009812016"/>
    <n v="5000"/>
    <n v="100"/>
    <x v="4925"/>
    <x v="8"/>
    <x v="3"/>
    <x v="1"/>
  </r>
  <r>
    <x v="424"/>
    <s v="ZPEP"/>
    <x v="46"/>
    <s v="RK5135"/>
    <s v="138841065"/>
    <s v="PUENTE ALTO"/>
    <x v="3832"/>
    <x v="3"/>
    <x v="1"/>
    <x v="30"/>
    <x v="1"/>
    <n v="4"/>
    <n v="91749"/>
    <n v="0"/>
    <n v="91749"/>
    <n v="10.999944849811651"/>
    <n v="5000"/>
    <n v="100"/>
    <x v="4926"/>
    <x v="8"/>
    <x v="3"/>
    <x v="1"/>
  </r>
  <r>
    <x v="424"/>
    <s v="ZPEP"/>
    <x v="32"/>
    <s v="XR6339"/>
    <s v="78907355"/>
    <s v="PROVIDENCIA"/>
    <x v="3833"/>
    <x v="1"/>
    <x v="1"/>
    <x v="54"/>
    <x v="1"/>
    <n v="2"/>
    <n v="55000"/>
    <n v="0"/>
    <n v="55000"/>
    <n v="11.016171740114489"/>
    <n v="5000"/>
    <n v="100"/>
    <x v="4927"/>
    <x v="8"/>
    <x v="3"/>
    <x v="1"/>
  </r>
  <r>
    <x v="424"/>
    <s v="ZTAN"/>
    <x v="10"/>
    <s v="SU9354"/>
    <s v="72564391"/>
    <s v="QUILICURA"/>
    <x v="3834"/>
    <x v="2"/>
    <x v="1"/>
    <x v="8"/>
    <x v="1"/>
    <n v="1"/>
    <n v="92620"/>
    <n v="0"/>
    <n v="92620"/>
    <n v="10.999999999999995"/>
    <n v="5000"/>
    <n v="100"/>
    <x v="4928"/>
    <x v="8"/>
    <x v="3"/>
    <x v="1"/>
  </r>
  <r>
    <x v="424"/>
    <s v="ZTAN"/>
    <x v="6"/>
    <s v="KKPF51"/>
    <s v="95707734"/>
    <s v="LA SERENA"/>
    <x v="3835"/>
    <x v="8"/>
    <x v="0"/>
    <x v="63"/>
    <x v="8"/>
    <n v="0"/>
    <n v="650000"/>
    <n v="0"/>
    <n v="280000"/>
    <n v="31.825053136472654"/>
    <n v="20000"/>
    <n v="44"/>
    <x v="4929"/>
    <x v="8"/>
    <x v="3"/>
    <x v="0"/>
  </r>
  <r>
    <x v="424"/>
    <s v="ZTAN"/>
    <x v="6"/>
    <s v="SV2718"/>
    <s v="99626232"/>
    <s v="MAIPU"/>
    <x v="3836"/>
    <x v="1"/>
    <x v="1"/>
    <x v="2"/>
    <x v="1"/>
    <n v="2"/>
    <n v="56580"/>
    <n v="0"/>
    <n v="56580"/>
    <n v="10.999949452335496"/>
    <n v="5000"/>
    <n v="100"/>
    <x v="4930"/>
    <x v="8"/>
    <x v="3"/>
    <x v="1"/>
  </r>
  <r>
    <x v="424"/>
    <s v="ZTAN"/>
    <x v="6"/>
    <s v="WG4022"/>
    <s v="154837728"/>
    <s v="RANCAGUA"/>
    <x v="3837"/>
    <x v="1"/>
    <x v="0"/>
    <x v="28"/>
    <x v="6"/>
    <n v="0"/>
    <n v="250000"/>
    <n v="0"/>
    <n v="250000"/>
    <n v="41.535414756037582"/>
    <n v="20000"/>
    <n v="30"/>
    <x v="4931"/>
    <x v="8"/>
    <x v="3"/>
    <x v="0"/>
  </r>
  <r>
    <x v="424"/>
    <s v="ZTAN"/>
    <x v="6"/>
    <s v="XR6339"/>
    <s v="78907355"/>
    <s v="SANTIAGO"/>
    <x v="3838"/>
    <x v="1"/>
    <x v="1"/>
    <x v="20"/>
    <x v="1"/>
    <n v="1"/>
    <n v="55000"/>
    <n v="0"/>
    <n v="55000"/>
    <n v="13.621717475672851"/>
    <n v="5000"/>
    <n v="81"/>
    <x v="4932"/>
    <x v="8"/>
    <x v="3"/>
    <x v="1"/>
  </r>
  <r>
    <x v="424"/>
    <s v="ZTAN"/>
    <x v="16"/>
    <s v="RK5135"/>
    <s v="138841065"/>
    <s v="SAN BERNARDO"/>
    <x v="1247"/>
    <x v="3"/>
    <x v="1"/>
    <x v="4"/>
    <x v="1"/>
    <n v="4"/>
    <n v="55000"/>
    <n v="0"/>
    <n v="55000"/>
    <n v="11.707109408258834"/>
    <n v="5000"/>
    <n v="94"/>
    <x v="4933"/>
    <x v="8"/>
    <x v="3"/>
    <x v="1"/>
  </r>
  <r>
    <x v="424"/>
    <s v="ZTAN"/>
    <x v="7"/>
    <s v="DJLF85"/>
    <s v="53173292"/>
    <s v="RENCA"/>
    <x v="3839"/>
    <x v="4"/>
    <x v="1"/>
    <x v="7"/>
    <x v="1"/>
    <n v="1"/>
    <n v="86374"/>
    <n v="0"/>
    <n v="86374"/>
    <n v="10.999974529431245"/>
    <n v="5000"/>
    <n v="100"/>
    <x v="4934"/>
    <x v="8"/>
    <x v="3"/>
    <x v="1"/>
  </r>
  <r>
    <x v="424"/>
    <s v="ZTAN"/>
    <x v="7"/>
    <s v="HLBX77"/>
    <s v="16093509K"/>
    <s v="RENCA"/>
    <x v="3840"/>
    <x v="1"/>
    <x v="1"/>
    <x v="7"/>
    <x v="1"/>
    <n v="1"/>
    <n v="84056"/>
    <n v="0"/>
    <n v="84056"/>
    <n v="10.999934567820453"/>
    <n v="5000"/>
    <n v="100"/>
    <x v="4935"/>
    <x v="8"/>
    <x v="3"/>
    <x v="1"/>
  </r>
  <r>
    <x v="424"/>
    <s v="ZTAN"/>
    <x v="7"/>
    <s v="TP3884"/>
    <s v="107643206"/>
    <s v="SANTIAGO"/>
    <x v="3841"/>
    <x v="1"/>
    <x v="1"/>
    <x v="20"/>
    <x v="1"/>
    <n v="1"/>
    <n v="55000"/>
    <n v="0"/>
    <n v="55000"/>
    <n v="18.274853801169584"/>
    <n v="5000"/>
    <n v="60"/>
    <x v="4936"/>
    <x v="8"/>
    <x v="3"/>
    <x v="1"/>
  </r>
  <r>
    <x v="425"/>
    <s v="ZPEP"/>
    <x v="95"/>
    <s v="DJLF85"/>
    <s v="125108660"/>
    <s v="SANTIAGO"/>
    <x v="3842"/>
    <x v="4"/>
    <x v="1"/>
    <x v="20"/>
    <x v="1"/>
    <n v="1"/>
    <n v="139012"/>
    <n v="0"/>
    <n v="139012"/>
    <n v="10.999977843684025"/>
    <n v="5000"/>
    <n v="100"/>
    <x v="4937"/>
    <x v="8"/>
    <x v="3"/>
    <x v="1"/>
  </r>
  <r>
    <x v="425"/>
    <s v="ZTAN"/>
    <x v="6"/>
    <s v="DRFV76"/>
    <s v="113693568"/>
    <s v="LOS ANGELES"/>
    <x v="3843"/>
    <x v="0"/>
    <x v="0"/>
    <x v="57"/>
    <x v="0"/>
    <n v="0"/>
    <n v="460000"/>
    <n v="0"/>
    <n v="460000"/>
    <n v="56.223309206200192"/>
    <n v="20000"/>
    <n v="41"/>
    <x v="4938"/>
    <x v="8"/>
    <x v="3"/>
    <x v="0"/>
  </r>
  <r>
    <x v="425"/>
    <s v="ZTAN"/>
    <x v="6"/>
    <s v="SU9354"/>
    <s v="72564391"/>
    <s v="LA DEHESA"/>
    <x v="3844"/>
    <x v="2"/>
    <x v="1"/>
    <x v="41"/>
    <x v="1"/>
    <n v="4"/>
    <n v="55000"/>
    <n v="0"/>
    <n v="55000"/>
    <n v="17.748805989415256"/>
    <n v="5000"/>
    <n v="62"/>
    <x v="4939"/>
    <x v="8"/>
    <x v="3"/>
    <x v="1"/>
  </r>
  <r>
    <x v="425"/>
    <s v="ZTAN"/>
    <x v="6"/>
    <s v="TP3884"/>
    <s v="107643206"/>
    <s v="CERRILLOS"/>
    <x v="3845"/>
    <x v="1"/>
    <x v="1"/>
    <x v="9"/>
    <x v="1"/>
    <n v="2"/>
    <n v="100958"/>
    <n v="0"/>
    <n v="100958"/>
    <n v="10.99997602968832"/>
    <n v="5000"/>
    <n v="100"/>
    <x v="4940"/>
    <x v="8"/>
    <x v="3"/>
    <x v="1"/>
  </r>
  <r>
    <x v="425"/>
    <s v="ZTAN"/>
    <x v="7"/>
    <s v="XR6339"/>
    <s v="154837728"/>
    <s v="SAN MIGUEL"/>
    <x v="3538"/>
    <x v="1"/>
    <x v="1"/>
    <x v="23"/>
    <x v="1"/>
    <n v="2"/>
    <n v="55000"/>
    <n v="0"/>
    <n v="55000"/>
    <n v="16.01164483260553"/>
    <n v="5000"/>
    <n v="69"/>
    <x v="4941"/>
    <x v="8"/>
    <x v="3"/>
    <x v="1"/>
  </r>
  <r>
    <x v="425"/>
    <s v="ZTAN"/>
    <x v="8"/>
    <s v="HLBX77"/>
    <s v="16093509K"/>
    <s v="PUDAHUEL"/>
    <x v="3846"/>
    <x v="1"/>
    <x v="1"/>
    <x v="10"/>
    <x v="1"/>
    <n v="1"/>
    <n v="55000"/>
    <n v="0"/>
    <n v="55000"/>
    <n v="8.1816018088777813"/>
    <n v="5000"/>
    <n v="100"/>
    <x v="4942"/>
    <x v="8"/>
    <x v="3"/>
    <x v="1"/>
  </r>
  <r>
    <x v="425"/>
    <s v="ZTAN"/>
    <x v="8"/>
    <s v="SV2718"/>
    <s v="99626232"/>
    <s v="PUENTE ALTO"/>
    <x v="3847"/>
    <x v="1"/>
    <x v="1"/>
    <x v="30"/>
    <x v="1"/>
    <n v="4"/>
    <n v="55000"/>
    <n v="0"/>
    <n v="55000"/>
    <n v="12.469676015144989"/>
    <n v="5000"/>
    <n v="88"/>
    <x v="4943"/>
    <x v="8"/>
    <x v="3"/>
    <x v="1"/>
  </r>
  <r>
    <x v="426"/>
    <s v="ZPEP"/>
    <x v="17"/>
    <s v="KKPF51"/>
    <n v="95707734"/>
    <s v="LAMPA"/>
    <x v="3848"/>
    <x v="8"/>
    <x v="0"/>
    <x v="17"/>
    <x v="1"/>
    <n v="5"/>
    <n v="120000"/>
    <n v="0"/>
    <n v="120000"/>
    <n v="8.2958178017188935"/>
    <n v="10000"/>
    <n v="100"/>
    <x v="4944"/>
    <x v="8"/>
    <x v="3"/>
    <x v="1"/>
  </r>
  <r>
    <x v="426"/>
    <s v="ZTAN"/>
    <x v="6"/>
    <s v="SU9354"/>
    <n v="72564391"/>
    <s v="VIÑA DEL MAR"/>
    <x v="3849"/>
    <x v="2"/>
    <x v="1"/>
    <x v="6"/>
    <x v="2"/>
    <n v="0"/>
    <n v="203000"/>
    <n v="0"/>
    <n v="203000"/>
    <n v="32.843644835619983"/>
    <n v="20000"/>
    <n v="31"/>
    <x v="4945"/>
    <x v="8"/>
    <x v="3"/>
    <x v="0"/>
  </r>
  <r>
    <x v="426"/>
    <s v="ZTAN"/>
    <x v="7"/>
    <s v="DJLF85"/>
    <n v="53173292"/>
    <s v="RENCA"/>
    <x v="3850"/>
    <x v="4"/>
    <x v="1"/>
    <x v="7"/>
    <x v="1"/>
    <n v="1"/>
    <n v="68797"/>
    <n v="0"/>
    <n v="68797"/>
    <n v="10.999952033001295"/>
    <n v="5000"/>
    <n v="100"/>
    <x v="4946"/>
    <x v="8"/>
    <x v="3"/>
    <x v="1"/>
  </r>
  <r>
    <x v="426"/>
    <s v="ZTAN"/>
    <x v="7"/>
    <s v="WC2233"/>
    <n v="125108660"/>
    <s v="RENCA"/>
    <x v="3575"/>
    <x v="4"/>
    <x v="1"/>
    <x v="7"/>
    <x v="1"/>
    <n v="1"/>
    <n v="85536"/>
    <n v="0"/>
    <n v="85536"/>
    <n v="11"/>
    <n v="5000"/>
    <n v="100"/>
    <x v="4947"/>
    <x v="8"/>
    <x v="3"/>
    <x v="1"/>
  </r>
  <r>
    <x v="426"/>
    <s v="ZTAN"/>
    <x v="8"/>
    <s v="SV2718"/>
    <n v="99626232"/>
    <s v="LA REINA"/>
    <x v="3851"/>
    <x v="1"/>
    <x v="1"/>
    <x v="11"/>
    <x v="1"/>
    <n v="3"/>
    <n v="55000"/>
    <n v="0"/>
    <n v="55000"/>
    <n v="12.074325154990429"/>
    <n v="5000"/>
    <n v="91"/>
    <x v="4948"/>
    <x v="8"/>
    <x v="3"/>
    <x v="1"/>
  </r>
  <r>
    <x v="426"/>
    <s v="ZTAN"/>
    <x v="8"/>
    <s v="WG4022"/>
    <n v="81417709"/>
    <s v="PUDAHUEL"/>
    <x v="3852"/>
    <x v="1"/>
    <x v="0"/>
    <x v="10"/>
    <x v="1"/>
    <n v="1"/>
    <n v="97172"/>
    <n v="0"/>
    <n v="97172"/>
    <n v="11.00004754476566"/>
    <n v="5000"/>
    <n v="100"/>
    <x v="4949"/>
    <x v="8"/>
    <x v="3"/>
    <x v="1"/>
  </r>
  <r>
    <x v="426"/>
    <s v="ZTAN"/>
    <x v="83"/>
    <s v="XR6339"/>
    <n v="154837728"/>
    <s v="SANTIAGO"/>
    <x v="2946"/>
    <x v="1"/>
    <x v="1"/>
    <x v="20"/>
    <x v="1"/>
    <n v="1"/>
    <n v="74488"/>
    <n v="0"/>
    <n v="74488"/>
    <n v="11.000059070234508"/>
    <n v="5000"/>
    <n v="100"/>
    <x v="4950"/>
    <x v="8"/>
    <x v="3"/>
    <x v="1"/>
  </r>
  <r>
    <x v="427"/>
    <s v="ZPEP"/>
    <x v="108"/>
    <s v="SV2718"/>
    <s v="99626232"/>
    <s v="LAS CONDES"/>
    <x v="3853"/>
    <x v="1"/>
    <x v="1"/>
    <x v="3"/>
    <x v="1"/>
    <n v="4"/>
    <n v="55000"/>
    <n v="0"/>
    <n v="55000"/>
    <n v="31.83607316508451"/>
    <n v="5000"/>
    <n v="35"/>
    <x v="4951"/>
    <x v="8"/>
    <x v="3"/>
    <x v="1"/>
  </r>
  <r>
    <x v="427"/>
    <s v="ZTAN"/>
    <x v="17"/>
    <s v="KKPF51"/>
    <s v="95707734"/>
    <s v="LAMPA"/>
    <x v="3854"/>
    <x v="8"/>
    <x v="0"/>
    <x v="17"/>
    <x v="1"/>
    <n v="5"/>
    <n v="120000"/>
    <n v="0"/>
    <n v="120000"/>
    <n v="5.401281454024967"/>
    <n v="10000"/>
    <n v="100"/>
    <x v="4952"/>
    <x v="8"/>
    <x v="3"/>
    <x v="1"/>
  </r>
  <r>
    <x v="427"/>
    <s v="ZTAN"/>
    <x v="6"/>
    <s v="DKDL88"/>
    <s v="125975819"/>
    <s v="LINARES"/>
    <x v="3855"/>
    <x v="0"/>
    <x v="0"/>
    <x v="59"/>
    <x v="3"/>
    <n v="0"/>
    <n v="350000"/>
    <n v="0"/>
    <n v="350000"/>
    <n v="53.150132419758485"/>
    <n v="20000"/>
    <n v="48"/>
    <x v="4953"/>
    <x v="8"/>
    <x v="3"/>
    <x v="0"/>
  </r>
  <r>
    <x v="427"/>
    <s v="ZTAN"/>
    <x v="6"/>
    <s v="HLBX77"/>
    <s v="16093509K"/>
    <s v="SANTIAGO"/>
    <x v="3856"/>
    <x v="1"/>
    <x v="1"/>
    <x v="20"/>
    <x v="1"/>
    <n v="1"/>
    <n v="55000"/>
    <n v="0"/>
    <n v="55000"/>
    <n v="13.962013169986241"/>
    <n v="5000"/>
    <n v="79"/>
    <x v="4954"/>
    <x v="8"/>
    <x v="3"/>
    <x v="1"/>
  </r>
  <r>
    <x v="427"/>
    <s v="ZTAN"/>
    <x v="101"/>
    <s v="RK5135"/>
    <s v="138841065"/>
    <s v="QUILICURA"/>
    <x v="3857"/>
    <x v="3"/>
    <x v="1"/>
    <x v="8"/>
    <x v="1"/>
    <n v="1"/>
    <n v="55000"/>
    <n v="0"/>
    <n v="55000"/>
    <n v="13.740038472107722"/>
    <n v="5000"/>
    <n v="80"/>
    <x v="4955"/>
    <x v="8"/>
    <x v="3"/>
    <x v="1"/>
  </r>
  <r>
    <x v="427"/>
    <s v="ZTAN"/>
    <x v="7"/>
    <s v="WG4022"/>
    <s v="81417709"/>
    <s v="RENCA"/>
    <x v="3858"/>
    <x v="1"/>
    <x v="0"/>
    <x v="7"/>
    <x v="1"/>
    <n v="1"/>
    <n v="125396"/>
    <n v="0"/>
    <n v="125396"/>
    <n v="11.000035088950488"/>
    <n v="5000"/>
    <n v="100"/>
    <x v="4956"/>
    <x v="8"/>
    <x v="3"/>
    <x v="1"/>
  </r>
  <r>
    <x v="427"/>
    <s v="ZTAN"/>
    <x v="8"/>
    <s v="TP3884"/>
    <s v="107643206"/>
    <s v="VIÑA DEL MAR"/>
    <x v="3859"/>
    <x v="1"/>
    <x v="1"/>
    <x v="6"/>
    <x v="2"/>
    <n v="0"/>
    <n v="203000"/>
    <n v="0"/>
    <n v="203000"/>
    <n v="34.674182252967803"/>
    <n v="20000"/>
    <n v="29"/>
    <x v="4957"/>
    <x v="8"/>
    <x v="3"/>
    <x v="0"/>
  </r>
  <r>
    <x v="428"/>
    <s v="ZTAN"/>
    <x v="4"/>
    <s v="XR6339"/>
    <s v="78907355"/>
    <s v="SAN BERNARDO"/>
    <x v="3860"/>
    <x v="1"/>
    <x v="1"/>
    <x v="4"/>
    <x v="1"/>
    <n v="4"/>
    <n v="57024"/>
    <n v="0"/>
    <n v="57024"/>
    <n v="6.7692307692307692"/>
    <n v="5000"/>
    <n v="100"/>
    <x v="4958"/>
    <x v="8"/>
    <x v="3"/>
    <x v="1"/>
  </r>
  <r>
    <x v="428"/>
    <s v="ZTAN"/>
    <x v="79"/>
    <s v="SU9354"/>
    <s v="72564391"/>
    <s v="MELIPILLA"/>
    <x v="3861"/>
    <x v="2"/>
    <x v="1"/>
    <x v="29"/>
    <x v="1"/>
    <n v="5"/>
    <n v="90000"/>
    <n v="0"/>
    <n v="90000"/>
    <n v="16.413772979282172"/>
    <n v="10000"/>
    <n v="55"/>
    <x v="4959"/>
    <x v="8"/>
    <x v="3"/>
    <x v="1"/>
  </r>
  <r>
    <x v="428"/>
    <s v="ZTAN"/>
    <x v="6"/>
    <s v="KKPF51"/>
    <s v="95707334"/>
    <s v="COPIAPO"/>
    <x v="3862"/>
    <x v="8"/>
    <x v="0"/>
    <x v="60"/>
    <x v="9"/>
    <n v="0"/>
    <n v="1000000"/>
    <n v="0"/>
    <n v="1000000"/>
    <n v="195.51106592633141"/>
    <n v="20000"/>
    <n v="35"/>
    <x v="4960"/>
    <x v="8"/>
    <x v="3"/>
    <x v="0"/>
  </r>
  <r>
    <x v="428"/>
    <s v="ZTAN"/>
    <x v="7"/>
    <s v="DJLF85"/>
    <s v="53173292"/>
    <s v="RENCA"/>
    <x v="3863"/>
    <x v="4"/>
    <x v="1"/>
    <x v="7"/>
    <x v="1"/>
    <n v="1"/>
    <n v="55000"/>
    <n v="0"/>
    <n v="55000"/>
    <n v="25.273412370186566"/>
    <n v="5000"/>
    <n v="44"/>
    <x v="4961"/>
    <x v="8"/>
    <x v="3"/>
    <x v="1"/>
  </r>
  <r>
    <x v="428"/>
    <s v="ZTAN"/>
    <x v="7"/>
    <s v="HLBX77"/>
    <s v="16093509K"/>
    <s v="RENCA"/>
    <x v="3088"/>
    <x v="1"/>
    <x v="1"/>
    <x v="7"/>
    <x v="1"/>
    <n v="1"/>
    <n v="55000"/>
    <n v="0"/>
    <n v="55000"/>
    <n v="25.273412370186577"/>
    <n v="5000"/>
    <n v="44"/>
    <x v="4962"/>
    <x v="8"/>
    <x v="3"/>
    <x v="1"/>
  </r>
  <r>
    <x v="428"/>
    <s v="ZTAN"/>
    <x v="7"/>
    <s v="WG4022"/>
    <s v="81417709"/>
    <s v="RENCA"/>
    <x v="1186"/>
    <x v="1"/>
    <x v="0"/>
    <x v="7"/>
    <x v="1"/>
    <n v="1"/>
    <n v="71815"/>
    <n v="0"/>
    <n v="71815"/>
    <n v="11.000061268878477"/>
    <n v="5000"/>
    <n v="100"/>
    <x v="4963"/>
    <x v="8"/>
    <x v="3"/>
    <x v="1"/>
  </r>
  <r>
    <x v="428"/>
    <s v="ZTAN"/>
    <x v="8"/>
    <s v="DRFV76"/>
    <s v="113693569"/>
    <s v="VILLARRICA"/>
    <x v="3864"/>
    <x v="0"/>
    <x v="0"/>
    <x v="88"/>
    <x v="4"/>
    <n v="0"/>
    <n v="800000"/>
    <n v="0"/>
    <n v="800000"/>
    <n v="114.73087006155305"/>
    <n v="20000"/>
    <n v="35"/>
    <x v="4964"/>
    <x v="8"/>
    <x v="3"/>
    <x v="0"/>
  </r>
  <r>
    <x v="428"/>
    <s v="ZTAN"/>
    <x v="8"/>
    <s v="SV2718"/>
    <s v="99626232"/>
    <s v="SAN MIGUEL"/>
    <x v="3865"/>
    <x v="1"/>
    <x v="1"/>
    <x v="23"/>
    <x v="1"/>
    <n v="2"/>
    <n v="56014"/>
    <n v="0"/>
    <n v="56014"/>
    <n v="11.000090335301072"/>
    <n v="5000"/>
    <n v="100"/>
    <x v="4965"/>
    <x v="8"/>
    <x v="3"/>
    <x v="1"/>
  </r>
  <r>
    <x v="428"/>
    <s v="ZTAN"/>
    <x v="8"/>
    <s v="TP3884"/>
    <s v="107643206"/>
    <s v="VIÑA DEL MAR"/>
    <x v="3866"/>
    <x v="1"/>
    <x v="1"/>
    <x v="6"/>
    <x v="2"/>
    <n v="0"/>
    <n v="203000"/>
    <n v="0"/>
    <n v="203000"/>
    <n v="46.328415978967357"/>
    <n v="20000"/>
    <n v="22"/>
    <x v="4966"/>
    <x v="8"/>
    <x v="3"/>
    <x v="0"/>
  </r>
  <r>
    <x v="428"/>
    <s v="ZTAN"/>
    <x v="94"/>
    <s v="CJXX49"/>
    <s v="167832741"/>
    <s v="LOS ANGELES"/>
    <x v="1067"/>
    <x v="5"/>
    <x v="0"/>
    <x v="57"/>
    <x v="0"/>
    <n v="0"/>
    <n v="460000"/>
    <n v="0"/>
    <n v="460000"/>
    <n v="54.104916490237592"/>
    <n v="20000"/>
    <n v="43"/>
    <x v="4967"/>
    <x v="8"/>
    <x v="3"/>
    <x v="0"/>
  </r>
  <r>
    <x v="429"/>
    <s v="ZPEP"/>
    <x v="17"/>
    <s v="RK5135"/>
    <s v="138841065"/>
    <s v="LAMPA"/>
    <x v="3867"/>
    <x v="3"/>
    <x v="1"/>
    <x v="17"/>
    <x v="1"/>
    <n v="5"/>
    <n v="70000"/>
    <n v="0"/>
    <n v="70000"/>
    <n v="10.973988511801741"/>
    <n v="10000"/>
    <n v="64"/>
    <x v="4968"/>
    <x v="8"/>
    <x v="3"/>
    <x v="1"/>
  </r>
  <r>
    <x v="429"/>
    <s v="ZPEP"/>
    <x v="46"/>
    <s v="HLBX77"/>
    <s v="16093509K"/>
    <s v="PUENTE ALTO"/>
    <x v="3868"/>
    <x v="1"/>
    <x v="1"/>
    <x v="30"/>
    <x v="1"/>
    <n v="4"/>
    <n v="121894"/>
    <n v="0"/>
    <n v="121894"/>
    <n v="10.999972927364119"/>
    <n v="5000"/>
    <n v="100"/>
    <x v="4969"/>
    <x v="8"/>
    <x v="3"/>
    <x v="1"/>
  </r>
  <r>
    <x v="429"/>
    <s v="ZPEP"/>
    <x v="7"/>
    <s v="DJLF85"/>
    <s v="53173292"/>
    <s v="SAN BERNARDO"/>
    <x v="3869"/>
    <x v="4"/>
    <x v="1"/>
    <x v="4"/>
    <x v="1"/>
    <n v="4"/>
    <n v="55000"/>
    <n v="0"/>
    <n v="55000"/>
    <n v="19.50354609929078"/>
    <n v="5000"/>
    <n v="56"/>
    <x v="4970"/>
    <x v="8"/>
    <x v="3"/>
    <x v="1"/>
  </r>
  <r>
    <x v="429"/>
    <s v="ZPEP"/>
    <x v="33"/>
    <s v="SU9354"/>
    <s v="72564391"/>
    <s v="COLINA"/>
    <x v="3870"/>
    <x v="2"/>
    <x v="1"/>
    <x v="5"/>
    <x v="1"/>
    <n v="5"/>
    <n v="70000"/>
    <n v="0"/>
    <n v="70000"/>
    <n v="4.6496304208048382"/>
    <n v="10000"/>
    <n v="100"/>
    <x v="4971"/>
    <x v="8"/>
    <x v="3"/>
    <x v="1"/>
  </r>
  <r>
    <x v="429"/>
    <s v="ZTAN"/>
    <x v="47"/>
    <s v="XR6336"/>
    <s v="154837728"/>
    <s v="SAN JOAQUIN"/>
    <x v="613"/>
    <x v="0"/>
    <x v="0"/>
    <x v="67"/>
    <x v="1"/>
    <n v="3"/>
    <n v="55000"/>
    <n v="0"/>
    <n v="55000"/>
    <n v="32.345330510468123"/>
    <n v="5000"/>
    <n v="34"/>
    <x v="4972"/>
    <x v="8"/>
    <x v="3"/>
    <x v="1"/>
  </r>
  <r>
    <x v="429"/>
    <s v="ZTAN"/>
    <x v="10"/>
    <s v="KKPF51"/>
    <s v="95707734"/>
    <s v="QUILICURA"/>
    <x v="3871"/>
    <x v="8"/>
    <x v="0"/>
    <x v="8"/>
    <x v="1"/>
    <n v="1"/>
    <n v="170600"/>
    <n v="0"/>
    <n v="170600"/>
    <n v="10.999993552172603"/>
    <n v="5000"/>
    <n v="100"/>
    <x v="4973"/>
    <x v="8"/>
    <x v="3"/>
    <x v="1"/>
  </r>
  <r>
    <x v="429"/>
    <s v="ZTAN"/>
    <x v="6"/>
    <s v="BPKD94"/>
    <s v="125897258"/>
    <s v="CHIGUAYANTE"/>
    <x v="3872"/>
    <x v="0"/>
    <x v="0"/>
    <x v="82"/>
    <x v="0"/>
    <n v="0"/>
    <n v="420000"/>
    <n v="0"/>
    <n v="420000"/>
    <n v="51.778977735039575"/>
    <n v="20000"/>
    <n v="45"/>
    <x v="4974"/>
    <x v="8"/>
    <x v="3"/>
    <x v="0"/>
  </r>
  <r>
    <x v="429"/>
    <s v="ZTAN"/>
    <x v="7"/>
    <s v="RK5135"/>
    <s v="138841065"/>
    <s v="RENCA"/>
    <x v="3611"/>
    <x v="3"/>
    <x v="1"/>
    <x v="7"/>
    <x v="1"/>
    <n v="1"/>
    <n v="55000"/>
    <n v="0"/>
    <n v="55000"/>
    <n v="20.228992191609017"/>
    <n v="5000"/>
    <n v="54"/>
    <x v="4975"/>
    <x v="8"/>
    <x v="3"/>
    <x v="1"/>
  </r>
  <r>
    <x v="429"/>
    <s v="ZTAN"/>
    <x v="7"/>
    <s v="SU9354"/>
    <s v="72564391"/>
    <s v="RENCA"/>
    <x v="3611"/>
    <x v="2"/>
    <x v="1"/>
    <x v="7"/>
    <x v="1"/>
    <n v="1"/>
    <n v="55000"/>
    <n v="0"/>
    <n v="55000"/>
    <n v="20.228992191609017"/>
    <n v="5000"/>
    <n v="54"/>
    <x v="4976"/>
    <x v="8"/>
    <x v="3"/>
    <x v="1"/>
  </r>
  <r>
    <x v="429"/>
    <s v="ZTAN"/>
    <x v="7"/>
    <s v="WG4022"/>
    <s v="81417709"/>
    <s v="RENCA"/>
    <x v="3873"/>
    <x v="1"/>
    <x v="0"/>
    <x v="7"/>
    <x v="1"/>
    <n v="1"/>
    <n v="71815"/>
    <n v="0"/>
    <n v="71815"/>
    <n v="11.000061268878474"/>
    <n v="5000"/>
    <n v="100"/>
    <x v="4977"/>
    <x v="8"/>
    <x v="3"/>
    <x v="1"/>
  </r>
  <r>
    <x v="429"/>
    <s v="ZTAN"/>
    <x v="8"/>
    <s v="DKDL88"/>
    <s v="122975819"/>
    <s v="TEMUCO"/>
    <x v="3874"/>
    <x v="0"/>
    <x v="0"/>
    <x v="14"/>
    <x v="4"/>
    <n v="0"/>
    <n v="700000"/>
    <n v="0"/>
    <n v="700000"/>
    <n v="85.924362011612075"/>
    <n v="20000"/>
    <n v="41"/>
    <x v="4978"/>
    <x v="8"/>
    <x v="3"/>
    <x v="0"/>
  </r>
  <r>
    <x v="429"/>
    <s v="ZTAN"/>
    <x v="8"/>
    <s v="WC2233"/>
    <s v="125108660"/>
    <s v="LA REINA"/>
    <x v="3875"/>
    <x v="4"/>
    <x v="1"/>
    <x v="11"/>
    <x v="1"/>
    <n v="3"/>
    <n v="140095"/>
    <n v="0"/>
    <n v="140095"/>
    <n v="11.000007851820445"/>
    <n v="5000"/>
    <n v="100"/>
    <x v="4979"/>
    <x v="8"/>
    <x v="3"/>
    <x v="1"/>
  </r>
  <r>
    <x v="430"/>
    <s v="ZPEP"/>
    <x v="17"/>
    <s v="HLBX77"/>
    <s v="16093509K"/>
    <s v="LAMPA"/>
    <x v="3876"/>
    <x v="1"/>
    <x v="1"/>
    <x v="17"/>
    <x v="1"/>
    <n v="5"/>
    <n v="70000"/>
    <n v="0"/>
    <n v="70000"/>
    <n v="10.327530244910003"/>
    <n v="10000"/>
    <n v="68"/>
    <x v="4980"/>
    <x v="8"/>
    <x v="3"/>
    <x v="1"/>
  </r>
  <r>
    <x v="430"/>
    <s v="ZPEP"/>
    <x v="46"/>
    <s v="XR6339"/>
    <s v="154837728"/>
    <s v="PUENTE ALTO"/>
    <x v="3877"/>
    <x v="1"/>
    <x v="1"/>
    <x v="30"/>
    <x v="1"/>
    <n v="4"/>
    <n v="55000"/>
    <n v="0"/>
    <n v="55000"/>
    <n v="24.886877828054299"/>
    <n v="5000"/>
    <n v="44"/>
    <x v="4981"/>
    <x v="8"/>
    <x v="3"/>
    <x v="1"/>
  </r>
  <r>
    <x v="430"/>
    <s v="ZPEP"/>
    <x v="103"/>
    <s v="DJLF85"/>
    <s v="53173292"/>
    <s v="SANTIAGO"/>
    <x v="3878"/>
    <x v="4"/>
    <x v="1"/>
    <x v="20"/>
    <x v="1"/>
    <n v="1"/>
    <n v="124001"/>
    <n v="0"/>
    <n v="124001"/>
    <n v="11.000017741821022"/>
    <n v="5000"/>
    <n v="100"/>
    <x v="4982"/>
    <x v="8"/>
    <x v="3"/>
    <x v="1"/>
  </r>
  <r>
    <x v="430"/>
    <s v="ZPEP"/>
    <x v="103"/>
    <s v="WC2233"/>
    <s v="125108660"/>
    <s v="SANTIAGO"/>
    <x v="3878"/>
    <x v="4"/>
    <x v="1"/>
    <x v="20"/>
    <x v="1"/>
    <n v="1"/>
    <n v="124001"/>
    <n v="0"/>
    <n v="124001"/>
    <n v="11.000017741821022"/>
    <n v="5000"/>
    <n v="100"/>
    <x v="4983"/>
    <x v="8"/>
    <x v="3"/>
    <x v="1"/>
  </r>
  <r>
    <x v="430"/>
    <s v="ZTAN"/>
    <x v="51"/>
    <s v="TP3884"/>
    <s v="107643206"/>
    <s v="VALPARAISO"/>
    <x v="3879"/>
    <x v="1"/>
    <x v="1"/>
    <x v="36"/>
    <x v="2"/>
    <n v="0"/>
    <n v="203000"/>
    <n v="0"/>
    <n v="203000"/>
    <n v="63.761788471051972"/>
    <n v="20000"/>
    <n v="16"/>
    <x v="4984"/>
    <x v="8"/>
    <x v="3"/>
    <x v="0"/>
  </r>
  <r>
    <x v="430"/>
    <s v="ZTAN"/>
    <x v="17"/>
    <s v="WG4022"/>
    <s v="81417709"/>
    <s v="LAMPA"/>
    <x v="3880"/>
    <x v="1"/>
    <x v="0"/>
    <x v="17"/>
    <x v="1"/>
    <n v="5"/>
    <n v="120000"/>
    <n v="0"/>
    <n v="120000"/>
    <n v="5.0390632381440286"/>
    <n v="10000"/>
    <n v="100"/>
    <x v="4985"/>
    <x v="8"/>
    <x v="3"/>
    <x v="1"/>
  </r>
  <r>
    <x v="430"/>
    <s v="ZTAN"/>
    <x v="41"/>
    <s v="KKPF51"/>
    <s v="95707334"/>
    <s v="LAS CABRAS"/>
    <x v="3881"/>
    <x v="8"/>
    <x v="0"/>
    <x v="61"/>
    <x v="6"/>
    <n v="0"/>
    <n v="260000"/>
    <n v="0"/>
    <n v="260000"/>
    <n v="16.104755238691055"/>
    <n v="20000"/>
    <n v="81"/>
    <x v="4986"/>
    <x v="8"/>
    <x v="3"/>
    <x v="0"/>
  </r>
  <r>
    <x v="430"/>
    <s v="ZTAN"/>
    <x v="7"/>
    <s v="RK5135"/>
    <s v="138841065"/>
    <s v="RENCA"/>
    <x v="3882"/>
    <x v="3"/>
    <x v="1"/>
    <x v="7"/>
    <x v="1"/>
    <n v="1"/>
    <n v="55000"/>
    <n v="0"/>
    <n v="55000"/>
    <n v="19.061481943578013"/>
    <n v="5000"/>
    <n v="58"/>
    <x v="4987"/>
    <x v="8"/>
    <x v="3"/>
    <x v="1"/>
  </r>
  <r>
    <x v="430"/>
    <s v="ZTAN"/>
    <x v="7"/>
    <s v="SU9354"/>
    <s v="72564391"/>
    <s v="RENCA"/>
    <x v="3883"/>
    <x v="2"/>
    <x v="1"/>
    <x v="7"/>
    <x v="1"/>
    <n v="1"/>
    <n v="89098"/>
    <n v="0"/>
    <n v="89098"/>
    <n v="11.000024691967701"/>
    <n v="5000"/>
    <n v="100"/>
    <x v="4988"/>
    <x v="8"/>
    <x v="3"/>
    <x v="1"/>
  </r>
  <r>
    <x v="430"/>
    <s v="ZTAN"/>
    <x v="7"/>
    <s v="WG4022"/>
    <s v="81417709"/>
    <s v="RENCA"/>
    <x v="3884"/>
    <x v="1"/>
    <x v="0"/>
    <x v="7"/>
    <x v="1"/>
    <n v="1"/>
    <n v="125408"/>
    <n v="0"/>
    <n v="125408"/>
    <n v="10.999987720095362"/>
    <n v="5000"/>
    <n v="100"/>
    <x v="4989"/>
    <x v="8"/>
    <x v="3"/>
    <x v="1"/>
  </r>
  <r>
    <x v="430"/>
    <s v="ZTAN"/>
    <x v="8"/>
    <s v="HLBX77"/>
    <s v="16093509K"/>
    <s v="PUDAHUEL"/>
    <x v="3885"/>
    <x v="1"/>
    <x v="1"/>
    <x v="10"/>
    <x v="1"/>
    <n v="1"/>
    <n v="100682"/>
    <n v="0"/>
    <n v="100682"/>
    <n v="11.000010925499023"/>
    <n v="5000"/>
    <n v="100"/>
    <x v="4990"/>
    <x v="8"/>
    <x v="3"/>
    <x v="1"/>
  </r>
  <r>
    <x v="431"/>
    <s v="ZTAN"/>
    <x v="51"/>
    <s v="DRFV76"/>
    <s v="113693568"/>
    <s v="PUERTO MONTT"/>
    <x v="3886"/>
    <x v="0"/>
    <x v="0"/>
    <x v="53"/>
    <x v="10"/>
    <n v="0"/>
    <n v="1100000"/>
    <n v="0"/>
    <n v="1100000"/>
    <n v="121.83303336563755"/>
    <n v="20000"/>
    <n v="65"/>
    <x v="4991"/>
    <x v="10"/>
    <x v="3"/>
    <x v="0"/>
  </r>
  <r>
    <x v="431"/>
    <s v="ZTAN"/>
    <x v="10"/>
    <s v="SU9354"/>
    <s v="72564391"/>
    <s v="QUILICURA"/>
    <x v="3887"/>
    <x v="2"/>
    <x v="1"/>
    <x v="8"/>
    <x v="1"/>
    <n v="1"/>
    <n v="55000"/>
    <n v="0"/>
    <n v="55000"/>
    <n v="14.530275811053578"/>
    <n v="5000"/>
    <n v="76"/>
    <x v="4992"/>
    <x v="10"/>
    <x v="3"/>
    <x v="1"/>
  </r>
  <r>
    <x v="431"/>
    <s v="ZTAN"/>
    <x v="16"/>
    <s v="HLBX77"/>
    <s v="16093509K"/>
    <s v="SAN BERNARDO"/>
    <x v="399"/>
    <x v="1"/>
    <x v="1"/>
    <x v="4"/>
    <x v="1"/>
    <n v="4"/>
    <n v="75104"/>
    <n v="0"/>
    <n v="75104"/>
    <n v="11.000058585740232"/>
    <n v="5000"/>
    <n v="100"/>
    <x v="4993"/>
    <x v="10"/>
    <x v="3"/>
    <x v="1"/>
  </r>
  <r>
    <x v="431"/>
    <s v="ZTAN"/>
    <x v="7"/>
    <s v="DJLF85"/>
    <s v="53173292"/>
    <s v="RENCA"/>
    <x v="3888"/>
    <x v="4"/>
    <x v="1"/>
    <x v="7"/>
    <x v="1"/>
    <n v="1"/>
    <n v="133250"/>
    <n v="0"/>
    <n v="133250"/>
    <n v="10.999996697937203"/>
    <n v="5000"/>
    <n v="100"/>
    <x v="4994"/>
    <x v="10"/>
    <x v="3"/>
    <x v="1"/>
  </r>
  <r>
    <x v="431"/>
    <s v="ZTAN"/>
    <x v="7"/>
    <s v="WC2233"/>
    <s v="125108660"/>
    <s v="RENCA"/>
    <x v="3889"/>
    <x v="4"/>
    <x v="1"/>
    <x v="7"/>
    <x v="1"/>
    <n v="1"/>
    <n v="55000"/>
    <n v="0"/>
    <n v="55000"/>
    <n v="12.577178138577633"/>
    <n v="5000"/>
    <n v="87"/>
    <x v="4995"/>
    <x v="10"/>
    <x v="3"/>
    <x v="1"/>
  </r>
  <r>
    <x v="431"/>
    <s v="ZTAN"/>
    <x v="7"/>
    <s v="WG4022"/>
    <s v="81417709"/>
    <s v="RENCA"/>
    <x v="3890"/>
    <x v="1"/>
    <x v="0"/>
    <x v="7"/>
    <x v="1"/>
    <n v="1"/>
    <n v="204479"/>
    <n v="0"/>
    <n v="204479"/>
    <n v="11"/>
    <n v="5000"/>
    <n v="100"/>
    <x v="4996"/>
    <x v="10"/>
    <x v="3"/>
    <x v="1"/>
  </r>
  <r>
    <x v="431"/>
    <s v="ZTAN"/>
    <x v="8"/>
    <s v="RK5135"/>
    <s v="138841065"/>
    <s v="EL BOSQUE"/>
    <x v="3891"/>
    <x v="3"/>
    <x v="1"/>
    <x v="25"/>
    <x v="1"/>
    <n v="3"/>
    <n v="55879"/>
    <n v="0"/>
    <n v="55879"/>
    <n v="10.999976377580749"/>
    <n v="5000"/>
    <n v="100"/>
    <x v="4997"/>
    <x v="10"/>
    <x v="3"/>
    <x v="1"/>
  </r>
  <r>
    <x v="431"/>
    <s v="ZTAN"/>
    <x v="8"/>
    <s v="TP3884"/>
    <s v="107643206"/>
    <s v="REÑACA"/>
    <x v="3892"/>
    <x v="1"/>
    <x v="1"/>
    <x v="6"/>
    <x v="2"/>
    <n v="0"/>
    <n v="203000"/>
    <n v="0"/>
    <n v="203000"/>
    <n v="36.989795918367356"/>
    <n v="20000"/>
    <n v="27"/>
    <x v="4998"/>
    <x v="10"/>
    <x v="3"/>
    <x v="0"/>
  </r>
  <r>
    <x v="432"/>
    <s v="ZPEP"/>
    <x v="17"/>
    <s v="KKPF51"/>
    <s v="95707734"/>
    <s v="LAMPA"/>
    <x v="3893"/>
    <x v="8"/>
    <x v="0"/>
    <x v="17"/>
    <x v="1"/>
    <n v="5"/>
    <n v="120000"/>
    <n v="0"/>
    <n v="120000"/>
    <n v="7.6477351232432467"/>
    <n v="10000"/>
    <n v="100"/>
    <x v="4999"/>
    <x v="10"/>
    <x v="3"/>
    <x v="1"/>
  </r>
  <r>
    <x v="432"/>
    <s v="ZPEP"/>
    <x v="33"/>
    <s v="WC2233"/>
    <s v="125108660"/>
    <s v="SAN BERNARDO"/>
    <x v="3894"/>
    <x v="4"/>
    <x v="1"/>
    <x v="4"/>
    <x v="1"/>
    <n v="4"/>
    <n v="92724"/>
    <n v="0"/>
    <n v="92724"/>
    <n v="10.999953733855783"/>
    <n v="5000"/>
    <n v="100"/>
    <x v="5000"/>
    <x v="10"/>
    <x v="3"/>
    <x v="1"/>
  </r>
  <r>
    <x v="432"/>
    <s v="ZTAN"/>
    <x v="7"/>
    <s v="DJLF85"/>
    <s v="53173292"/>
    <s v="SANTIAGO"/>
    <x v="736"/>
    <x v="4"/>
    <x v="1"/>
    <x v="20"/>
    <x v="1"/>
    <n v="1"/>
    <n v="55000"/>
    <n v="0"/>
    <n v="55000"/>
    <n v="12.318580899480379"/>
    <n v="5000"/>
    <n v="89"/>
    <x v="5001"/>
    <x v="10"/>
    <x v="3"/>
    <x v="1"/>
  </r>
  <r>
    <x v="432"/>
    <s v="ZTAN"/>
    <x v="7"/>
    <s v="WG4022"/>
    <s v="81417709"/>
    <s v="RENCA"/>
    <x v="3895"/>
    <x v="1"/>
    <x v="0"/>
    <x v="7"/>
    <x v="1"/>
    <n v="1"/>
    <n v="179103"/>
    <n v="0"/>
    <n v="179103"/>
    <n v="10.164698270724912"/>
    <n v="5000"/>
    <n v="100"/>
    <x v="5002"/>
    <x v="10"/>
    <x v="3"/>
    <x v="1"/>
  </r>
  <r>
    <x v="432"/>
    <s v="ZTAN"/>
    <x v="8"/>
    <s v="DJLF85"/>
    <s v="53173292"/>
    <s v="ÑUÑOA"/>
    <x v="3896"/>
    <x v="4"/>
    <x v="1"/>
    <x v="15"/>
    <x v="1"/>
    <n v="4"/>
    <n v="55000"/>
    <n v="0"/>
    <n v="55000"/>
    <n v="14.93550577053632"/>
    <n v="5000"/>
    <n v="74"/>
    <x v="5003"/>
    <x v="10"/>
    <x v="3"/>
    <x v="1"/>
  </r>
  <r>
    <x v="432"/>
    <s v="ZTAN"/>
    <x v="8"/>
    <s v="HLBX77"/>
    <s v="16093509K"/>
    <s v="LAS CONDES"/>
    <x v="3897"/>
    <x v="1"/>
    <x v="1"/>
    <x v="3"/>
    <x v="1"/>
    <n v="4"/>
    <n v="55000"/>
    <n v="0"/>
    <n v="55000"/>
    <n v="13.616557734204793"/>
    <n v="5000"/>
    <n v="81"/>
    <x v="5004"/>
    <x v="10"/>
    <x v="3"/>
    <x v="1"/>
  </r>
  <r>
    <x v="432"/>
    <s v="ZTAN"/>
    <x v="8"/>
    <s v="TP3884"/>
    <s v="107643206"/>
    <s v="LA FLORIDA"/>
    <x v="3898"/>
    <x v="1"/>
    <x v="1"/>
    <x v="33"/>
    <x v="1"/>
    <n v="3"/>
    <n v="55000"/>
    <n v="0"/>
    <n v="55000"/>
    <n v="14.553190588583949"/>
    <n v="5000"/>
    <n v="76"/>
    <x v="5005"/>
    <x v="10"/>
    <x v="3"/>
    <x v="1"/>
  </r>
  <r>
    <x v="432"/>
    <s v="ZTAN"/>
    <x v="8"/>
    <s v="XR6339"/>
    <s v="154837728"/>
    <s v="QUILICURA"/>
    <x v="3899"/>
    <x v="1"/>
    <x v="1"/>
    <x v="8"/>
    <x v="1"/>
    <n v="1"/>
    <n v="55000"/>
    <n v="0"/>
    <n v="55000"/>
    <n v="12.338699545935855"/>
    <n v="5000"/>
    <n v="89"/>
    <x v="5006"/>
    <x v="10"/>
    <x v="3"/>
    <x v="1"/>
  </r>
  <r>
    <x v="433"/>
    <s v="ZPEP"/>
    <x v="103"/>
    <s v="RK5135"/>
    <n v="138841065"/>
    <s v="SANTIAGO"/>
    <x v="3900"/>
    <x v="3"/>
    <x v="1"/>
    <x v="20"/>
    <x v="1"/>
    <n v="1"/>
    <n v="110070"/>
    <n v="0"/>
    <n v="110070"/>
    <n v="10.999960025583627"/>
    <n v="5000"/>
    <n v="100"/>
    <x v="5007"/>
    <x v="10"/>
    <x v="3"/>
    <x v="1"/>
  </r>
  <r>
    <x v="433"/>
    <s v="ZTAN"/>
    <x v="51"/>
    <s v="BWPL69"/>
    <n v="78551976"/>
    <s v="LOS ANGELES"/>
    <x v="3901"/>
    <x v="5"/>
    <x v="0"/>
    <x v="57"/>
    <x v="0"/>
    <n v="0"/>
    <n v="460000"/>
    <n v="0"/>
    <n v="460000"/>
    <n v="139.55040499954498"/>
    <n v="20000"/>
    <n v="16"/>
    <x v="5008"/>
    <x v="10"/>
    <x v="3"/>
    <x v="0"/>
  </r>
  <r>
    <x v="433"/>
    <s v="ZTAN"/>
    <x v="17"/>
    <s v="KKPF51"/>
    <n v="95707734"/>
    <s v="LAMPA"/>
    <x v="854"/>
    <x v="8"/>
    <x v="0"/>
    <x v="17"/>
    <x v="1"/>
    <n v="5"/>
    <n v="120000"/>
    <n v="0"/>
    <n v="120000"/>
    <n v="7.5343755886230888"/>
    <n v="10000"/>
    <n v="100"/>
    <x v="5009"/>
    <x v="10"/>
    <x v="3"/>
    <x v="1"/>
  </r>
  <r>
    <x v="433"/>
    <s v="ZTAN"/>
    <x v="4"/>
    <s v="DJLF85"/>
    <n v="53173292"/>
    <s v="SAN BERNARDO"/>
    <x v="387"/>
    <x v="4"/>
    <x v="1"/>
    <x v="4"/>
    <x v="1"/>
    <n v="4"/>
    <n v="55000"/>
    <n v="0"/>
    <n v="55000"/>
    <n v="13.412017167381974"/>
    <n v="5000"/>
    <n v="82"/>
    <x v="5010"/>
    <x v="10"/>
    <x v="3"/>
    <x v="1"/>
  </r>
  <r>
    <x v="433"/>
    <s v="ZTAN"/>
    <x v="47"/>
    <s v="WC2233"/>
    <n v="125108660"/>
    <s v="SAN JOAQUIN"/>
    <x v="1527"/>
    <x v="4"/>
    <x v="1"/>
    <x v="67"/>
    <x v="1"/>
    <n v="3"/>
    <n v="55000"/>
    <n v="0"/>
    <n v="55000"/>
    <n v="23.486207191049619"/>
    <n v="5000"/>
    <n v="47"/>
    <x v="5011"/>
    <x v="10"/>
    <x v="3"/>
    <x v="1"/>
  </r>
  <r>
    <x v="433"/>
    <s v="ZTAN"/>
    <x v="41"/>
    <s v="KKPF51"/>
    <n v="95707334"/>
    <s v="LAS CABRAS"/>
    <x v="3902"/>
    <x v="8"/>
    <x v="0"/>
    <x v="61"/>
    <x v="6"/>
    <n v="0"/>
    <n v="260000"/>
    <n v="0"/>
    <n v="260000"/>
    <n v="17.49946155502909"/>
    <n v="20000"/>
    <n v="74"/>
    <x v="5012"/>
    <x v="10"/>
    <x v="3"/>
    <x v="0"/>
  </r>
  <r>
    <x v="433"/>
    <s v="ZTAN"/>
    <x v="41"/>
    <s v="SU9354"/>
    <n v="72564391"/>
    <s v="SAN VICENTE"/>
    <x v="3903"/>
    <x v="2"/>
    <x v="1"/>
    <x v="90"/>
    <x v="6"/>
    <n v="0"/>
    <n v="203000"/>
    <n v="0"/>
    <n v="203000"/>
    <n v="26.95024162285592"/>
    <n v="20000"/>
    <n v="38"/>
    <x v="5013"/>
    <x v="10"/>
    <x v="3"/>
    <x v="0"/>
  </r>
  <r>
    <x v="433"/>
    <s v="ZTAN"/>
    <x v="7"/>
    <s v="WC2233"/>
    <n v="125108660"/>
    <s v="RENCA"/>
    <x v="3904"/>
    <x v="4"/>
    <x v="1"/>
    <x v="7"/>
    <x v="1"/>
    <n v="1"/>
    <n v="55000"/>
    <n v="0"/>
    <n v="55000"/>
    <n v="20.819611316783636"/>
    <n v="5000"/>
    <n v="53"/>
    <x v="5014"/>
    <x v="10"/>
    <x v="3"/>
    <x v="1"/>
  </r>
  <r>
    <x v="433"/>
    <s v="ZTAN"/>
    <x v="7"/>
    <s v="WG4022"/>
    <n v="81417709"/>
    <s v="RENCA"/>
    <x v="3905"/>
    <x v="1"/>
    <x v="0"/>
    <x v="7"/>
    <x v="1"/>
    <n v="1"/>
    <n v="165312"/>
    <n v="0"/>
    <n v="165312"/>
    <n v="10.999973383726811"/>
    <n v="5000"/>
    <n v="100"/>
    <x v="5015"/>
    <x v="10"/>
    <x v="3"/>
    <x v="1"/>
  </r>
  <r>
    <x v="433"/>
    <s v="ZTAN"/>
    <x v="7"/>
    <s v="XR6339"/>
    <n v="78907355"/>
    <s v="RENCA"/>
    <x v="3906"/>
    <x v="1"/>
    <x v="1"/>
    <x v="7"/>
    <x v="1"/>
    <n v="1"/>
    <n v="62532"/>
    <n v="0"/>
    <n v="62532"/>
    <n v="10.999975372664361"/>
    <n v="5000"/>
    <n v="100"/>
    <x v="5016"/>
    <x v="10"/>
    <x v="3"/>
    <x v="1"/>
  </r>
  <r>
    <x v="433"/>
    <s v="ZTAN"/>
    <x v="8"/>
    <s v="BWPL69"/>
    <n v="78551976"/>
    <s v="LOS ANGELES"/>
    <x v="3907"/>
    <x v="5"/>
    <x v="0"/>
    <x v="57"/>
    <x v="0"/>
    <n v="0"/>
    <n v="460000"/>
    <n v="0"/>
    <n v="460000"/>
    <n v="63.077467357410669"/>
    <n v="20000"/>
    <n v="36"/>
    <x v="5017"/>
    <x v="10"/>
    <x v="3"/>
    <x v="0"/>
  </r>
  <r>
    <x v="434"/>
    <s v="ZPEP"/>
    <x v="58"/>
    <s v="RK5135"/>
    <s v="138841065"/>
    <s v="COLINA"/>
    <x v="3908"/>
    <x v="3"/>
    <x v="1"/>
    <x v="5"/>
    <x v="1"/>
    <n v="5"/>
    <n v="70000"/>
    <n v="0"/>
    <n v="70000"/>
    <n v="5.925935959256651"/>
    <n v="10000"/>
    <n v="100"/>
    <x v="5018"/>
    <x v="10"/>
    <x v="3"/>
    <x v="1"/>
  </r>
  <r>
    <x v="434"/>
    <s v="ZTAN"/>
    <x v="7"/>
    <s v="HLBX77"/>
    <s v="16093509K"/>
    <s v="RENCA"/>
    <x v="3909"/>
    <x v="1"/>
    <x v="1"/>
    <x v="7"/>
    <x v="1"/>
    <n v="1"/>
    <n v="67808"/>
    <n v="0"/>
    <n v="67808"/>
    <n v="11.000060022743751"/>
    <n v="5000"/>
    <n v="100"/>
    <x v="5019"/>
    <x v="10"/>
    <x v="3"/>
    <x v="1"/>
  </r>
  <r>
    <x v="434"/>
    <s v="ZTAN"/>
    <x v="7"/>
    <s v="WG4022"/>
    <s v="81417709"/>
    <s v="RENCA"/>
    <x v="1186"/>
    <x v="1"/>
    <x v="0"/>
    <x v="7"/>
    <x v="1"/>
    <n v="1"/>
    <n v="71815"/>
    <n v="0"/>
    <n v="71815"/>
    <n v="11.000061268878477"/>
    <n v="5000"/>
    <n v="100"/>
    <x v="5020"/>
    <x v="10"/>
    <x v="3"/>
    <x v="1"/>
  </r>
  <r>
    <x v="434"/>
    <s v="ZTAN"/>
    <x v="8"/>
    <s v="GLYG10"/>
    <s v="125579876"/>
    <s v="OSORNO"/>
    <x v="3910"/>
    <x v="0"/>
    <x v="0"/>
    <x v="64"/>
    <x v="10"/>
    <n v="0"/>
    <n v="950000"/>
    <n v="0"/>
    <n v="950000"/>
    <n v="101.31949984428796"/>
    <n v="20000"/>
    <n v="47"/>
    <x v="5021"/>
    <x v="10"/>
    <x v="3"/>
    <x v="0"/>
  </r>
  <r>
    <x v="434"/>
    <s v="ZTAN"/>
    <x v="8"/>
    <s v="WG4022"/>
    <s v="154837728"/>
    <s v="PUDAHUEL"/>
    <x v="3911"/>
    <x v="1"/>
    <x v="0"/>
    <x v="10"/>
    <x v="1"/>
    <n v="1"/>
    <n v="115207"/>
    <n v="0"/>
    <n v="115207"/>
    <n v="10.999961808008861"/>
    <n v="5000"/>
    <n v="100"/>
    <x v="5022"/>
    <x v="10"/>
    <x v="3"/>
    <x v="1"/>
  </r>
  <r>
    <x v="435"/>
    <s v="ZPEP"/>
    <x v="29"/>
    <s v="CKYB66"/>
    <n v="115812335"/>
    <s v="CONCEPCION"/>
    <x v="3912"/>
    <x v="0"/>
    <x v="0"/>
    <x v="81"/>
    <x v="0"/>
    <n v="0"/>
    <n v="460000"/>
    <n v="0"/>
    <n v="460000"/>
    <n v="28.623786989244302"/>
    <n v="20000"/>
    <n v="80"/>
    <x v="5023"/>
    <x v="10"/>
    <x v="3"/>
    <x v="0"/>
  </r>
  <r>
    <x v="435"/>
    <s v="ZPEP"/>
    <x v="58"/>
    <s v="TP3884"/>
    <n v="107643206"/>
    <s v="COLINA"/>
    <x v="3913"/>
    <x v="1"/>
    <x v="1"/>
    <x v="5"/>
    <x v="1"/>
    <n v="5"/>
    <n v="70000"/>
    <n v="0"/>
    <n v="70000"/>
    <n v="5.5327220992728421"/>
    <n v="10000"/>
    <n v="100"/>
    <x v="5024"/>
    <x v="10"/>
    <x v="3"/>
    <x v="1"/>
  </r>
  <r>
    <x v="435"/>
    <s v="ZPEP"/>
    <x v="33"/>
    <s v="WC4022"/>
    <n v="125108600"/>
    <s v="SAN BERNARDO"/>
    <x v="3914"/>
    <x v="1"/>
    <x v="1"/>
    <x v="4"/>
    <x v="1"/>
    <n v="4"/>
    <n v="160077"/>
    <n v="0"/>
    <n v="160077"/>
    <n v="10.99996564164233"/>
    <n v="5000"/>
    <n v="100"/>
    <x v="5025"/>
    <x v="10"/>
    <x v="3"/>
    <x v="1"/>
  </r>
  <r>
    <x v="435"/>
    <s v="ZTAN"/>
    <x v="4"/>
    <s v="XR6339"/>
    <n v="78907355"/>
    <s v="SAN BERNARDO"/>
    <x v="3915"/>
    <x v="1"/>
    <x v="1"/>
    <x v="4"/>
    <x v="1"/>
    <n v="4"/>
    <n v="55000"/>
    <n v="0"/>
    <n v="55000"/>
    <n v="14.146818251967693"/>
    <n v="5000"/>
    <n v="68"/>
    <x v="5026"/>
    <x v="10"/>
    <x v="3"/>
    <x v="1"/>
  </r>
  <r>
    <x v="435"/>
    <s v="ZTAN"/>
    <x v="10"/>
    <s v="SU9354"/>
    <n v="72564391"/>
    <s v="SANTIAGO"/>
    <x v="3916"/>
    <x v="2"/>
    <x v="1"/>
    <x v="20"/>
    <x v="1"/>
    <n v="1"/>
    <n v="130830"/>
    <n v="0"/>
    <n v="130830"/>
    <n v="11.00002438284087"/>
    <n v="5000"/>
    <n v="100"/>
    <x v="5027"/>
    <x v="10"/>
    <x v="3"/>
    <x v="1"/>
  </r>
  <r>
    <x v="435"/>
    <s v="ZTAN"/>
    <x v="8"/>
    <s v="WC1343"/>
    <n v="87493997"/>
    <s v="CONCEPCION"/>
    <x v="3917"/>
    <x v="0"/>
    <x v="0"/>
    <x v="81"/>
    <x v="0"/>
    <n v="0"/>
    <n v="460000"/>
    <n v="0"/>
    <n v="460000"/>
    <n v="56.701221541533656"/>
    <n v="20000"/>
    <n v="41"/>
    <x v="5028"/>
    <x v="10"/>
    <x v="3"/>
    <x v="0"/>
  </r>
  <r>
    <x v="435"/>
    <s v="ZTAN"/>
    <x v="8"/>
    <s v="WG4022"/>
    <n v="154837728"/>
    <s v="PUDAHUEL"/>
    <x v="3918"/>
    <x v="1"/>
    <x v="0"/>
    <x v="10"/>
    <x v="1"/>
    <n v="1"/>
    <n v="55408"/>
    <n v="0"/>
    <n v="55408"/>
    <n v="11.000067499692284"/>
    <n v="5000"/>
    <n v="100"/>
    <x v="5029"/>
    <x v="10"/>
    <x v="3"/>
    <x v="1"/>
  </r>
  <r>
    <x v="436"/>
    <s v="ZPEP"/>
    <x v="58"/>
    <s v="DJLF85"/>
    <s v="53173294"/>
    <s v="COLINA"/>
    <x v="3919"/>
    <x v="4"/>
    <x v="1"/>
    <x v="5"/>
    <x v="1"/>
    <n v="5"/>
    <n v="70000"/>
    <n v="0"/>
    <n v="70000"/>
    <n v="7.4146258791627835"/>
    <n v="10000"/>
    <n v="94"/>
    <x v="5030"/>
    <x v="10"/>
    <x v="3"/>
    <x v="1"/>
  </r>
  <r>
    <x v="436"/>
    <s v="ZPEP"/>
    <x v="58"/>
    <s v="HLBX77"/>
    <s v="16093509K"/>
    <s v="COLINA"/>
    <x v="3920"/>
    <x v="1"/>
    <x v="1"/>
    <x v="5"/>
    <x v="1"/>
    <n v="5"/>
    <n v="70000"/>
    <n v="0"/>
    <n v="70000"/>
    <n v="4.7038490252616851"/>
    <n v="10000"/>
    <n v="100"/>
    <x v="5031"/>
    <x v="10"/>
    <x v="3"/>
    <x v="1"/>
  </r>
  <r>
    <x v="436"/>
    <s v="ZPEP"/>
    <x v="98"/>
    <s v="HLBX77"/>
    <s v="16093509K"/>
    <s v="RANCAGUA"/>
    <x v="3921"/>
    <x v="1"/>
    <x v="1"/>
    <x v="28"/>
    <x v="6"/>
    <n v="0"/>
    <n v="180000"/>
    <n v="0"/>
    <n v="180000"/>
    <n v="34.358751173923999"/>
    <n v="20000"/>
    <n v="26"/>
    <x v="5032"/>
    <x v="10"/>
    <x v="3"/>
    <x v="0"/>
  </r>
  <r>
    <x v="436"/>
    <s v="ZPEP"/>
    <x v="98"/>
    <s v="WT7053"/>
    <s v="172861164"/>
    <s v="RANCAGUA"/>
    <x v="3922"/>
    <x v="0"/>
    <x v="0"/>
    <x v="28"/>
    <x v="6"/>
    <n v="0"/>
    <n v="250000"/>
    <n v="0"/>
    <n v="250000"/>
    <n v="13.021728577173013"/>
    <n v="20000"/>
    <n v="96"/>
    <x v="5033"/>
    <x v="10"/>
    <x v="3"/>
    <x v="0"/>
  </r>
  <r>
    <x v="436"/>
    <s v="ZTAN"/>
    <x v="41"/>
    <s v="RH1133"/>
    <s v="65941082"/>
    <s v="LAS CABRAS"/>
    <x v="3923"/>
    <x v="0"/>
    <x v="0"/>
    <x v="61"/>
    <x v="6"/>
    <n v="0"/>
    <n v="260000"/>
    <n v="0"/>
    <n v="260000"/>
    <n v="15.819992820157113"/>
    <n v="20000"/>
    <n v="82"/>
    <x v="5034"/>
    <x v="10"/>
    <x v="3"/>
    <x v="0"/>
  </r>
  <r>
    <x v="436"/>
    <s v="ZTAN"/>
    <x v="7"/>
    <s v="TP3884"/>
    <s v="107643206"/>
    <s v="SAN MIGUEL"/>
    <x v="3924"/>
    <x v="1"/>
    <x v="1"/>
    <x v="23"/>
    <x v="1"/>
    <n v="2"/>
    <n v="73753"/>
    <n v="0"/>
    <n v="73753"/>
    <n v="10.19412980227648"/>
    <n v="5000"/>
    <n v="100"/>
    <x v="5035"/>
    <x v="10"/>
    <x v="3"/>
    <x v="1"/>
  </r>
  <r>
    <x v="436"/>
    <s v="ZTAN"/>
    <x v="7"/>
    <s v="XR6339"/>
    <s v="154837728"/>
    <s v="SANTIAGO"/>
    <x v="3925"/>
    <x v="1"/>
    <x v="1"/>
    <x v="20"/>
    <x v="1"/>
    <n v="1"/>
    <n v="55643"/>
    <n v="0"/>
    <n v="55643"/>
    <n v="7.9461961279377133"/>
    <n v="5000"/>
    <n v="100"/>
    <x v="5036"/>
    <x v="10"/>
    <x v="3"/>
    <x v="1"/>
  </r>
  <r>
    <x v="437"/>
    <s v="ZPEP"/>
    <x v="58"/>
    <s v="DJLF85"/>
    <n v="53173292"/>
    <s v="COLINA"/>
    <x v="3926"/>
    <x v="4"/>
    <x v="1"/>
    <x v="5"/>
    <x v="1"/>
    <n v="5"/>
    <n v="70000"/>
    <n v="0"/>
    <n v="70000"/>
    <n v="4.6025137615161471"/>
    <n v="10000"/>
    <n v="100"/>
    <x v="5037"/>
    <x v="10"/>
    <x v="3"/>
    <x v="1"/>
  </r>
  <r>
    <x v="437"/>
    <s v="ZPEP"/>
    <x v="58"/>
    <s v="WC2233"/>
    <n v="1251408660"/>
    <s v="COLINA"/>
    <x v="3927"/>
    <x v="4"/>
    <x v="1"/>
    <x v="5"/>
    <x v="1"/>
    <n v="5"/>
    <n v="70000"/>
    <n v="0"/>
    <n v="70000"/>
    <n v="6.0568198926731522"/>
    <n v="10000"/>
    <n v="100"/>
    <x v="5038"/>
    <x v="10"/>
    <x v="3"/>
    <x v="1"/>
  </r>
  <r>
    <x v="437"/>
    <s v="ZPEP"/>
    <x v="33"/>
    <s v="RK5135"/>
    <n v="138841065"/>
    <s v="SAN BERNARDO"/>
    <x v="3928"/>
    <x v="3"/>
    <x v="1"/>
    <x v="4"/>
    <x v="1"/>
    <n v="4"/>
    <n v="133426"/>
    <n v="0"/>
    <n v="133426"/>
    <n v="11.00003297717979"/>
    <n v="5000"/>
    <n v="100"/>
    <x v="5039"/>
    <x v="10"/>
    <x v="3"/>
    <x v="1"/>
  </r>
  <r>
    <x v="437"/>
    <s v="ZTAN"/>
    <x v="63"/>
    <s v="DKDL88"/>
    <n v="122975819"/>
    <s v="MAIPU"/>
    <x v="3929"/>
    <x v="0"/>
    <x v="0"/>
    <x v="2"/>
    <x v="1"/>
    <n v="2"/>
    <n v="169840"/>
    <n v="0"/>
    <n v="169840"/>
    <n v="8.5102971388485251"/>
    <n v="5000"/>
    <n v="100"/>
    <x v="5040"/>
    <x v="10"/>
    <x v="3"/>
    <x v="1"/>
  </r>
  <r>
    <x v="437"/>
    <s v="ZTAN"/>
    <x v="17"/>
    <s v="WC2233"/>
    <n v="125108660"/>
    <s v="LAMPA"/>
    <x v="2528"/>
    <x v="4"/>
    <x v="1"/>
    <x v="17"/>
    <x v="1"/>
    <n v="5"/>
    <n v="70000"/>
    <n v="0"/>
    <n v="70000"/>
    <n v="5.1706499137609461"/>
    <n v="10000"/>
    <n v="100"/>
    <x v="5041"/>
    <x v="10"/>
    <x v="3"/>
    <x v="1"/>
  </r>
  <r>
    <x v="437"/>
    <s v="ZTAN"/>
    <x v="7"/>
    <s v="RK5135"/>
    <n v="138841065"/>
    <s v="RENCA"/>
    <x v="1703"/>
    <x v="3"/>
    <x v="1"/>
    <x v="7"/>
    <x v="1"/>
    <n v="1"/>
    <n v="58590"/>
    <n v="0"/>
    <n v="58590"/>
    <n v="10.999924902373087"/>
    <n v="5000"/>
    <n v="100"/>
    <x v="5042"/>
    <x v="10"/>
    <x v="3"/>
    <x v="1"/>
  </r>
  <r>
    <x v="437"/>
    <s v="ZTAN"/>
    <x v="7"/>
    <s v="WG4022"/>
    <n v="154837728"/>
    <s v="RENCA"/>
    <x v="3930"/>
    <x v="1"/>
    <x v="0"/>
    <x v="7"/>
    <x v="1"/>
    <n v="1"/>
    <n v="249405"/>
    <n v="0"/>
    <n v="249405"/>
    <n v="11.000000882099467"/>
    <n v="5000"/>
    <n v="100"/>
    <x v="5043"/>
    <x v="10"/>
    <x v="3"/>
    <x v="1"/>
  </r>
  <r>
    <x v="437"/>
    <s v="ZTAN"/>
    <x v="7"/>
    <s v="XR6339"/>
    <n v="78907355"/>
    <s v="RENCA"/>
    <x v="3931"/>
    <x v="1"/>
    <x v="1"/>
    <x v="7"/>
    <x v="1"/>
    <n v="1"/>
    <n v="73627"/>
    <n v="0"/>
    <n v="73627"/>
    <n v="10.999940239639049"/>
    <n v="5000"/>
    <n v="100"/>
    <x v="5044"/>
    <x v="10"/>
    <x v="3"/>
    <x v="1"/>
  </r>
  <r>
    <x v="437"/>
    <s v="ZTAN"/>
    <x v="8"/>
    <s v="CJXX49"/>
    <n v="167832741"/>
    <s v="VALDIVIA"/>
    <x v="3932"/>
    <x v="5"/>
    <x v="0"/>
    <x v="77"/>
    <x v="11"/>
    <n v="0"/>
    <n v="900000"/>
    <n v="0"/>
    <n v="900000"/>
    <n v="101.07975642024918"/>
    <n v="20000"/>
    <n v="45"/>
    <x v="5045"/>
    <x v="10"/>
    <x v="3"/>
    <x v="0"/>
  </r>
  <r>
    <x v="438"/>
    <s v="ZPEP"/>
    <x v="17"/>
    <s v="TP3884"/>
    <s v="107643206"/>
    <s v="LAMPA"/>
    <x v="3933"/>
    <x v="1"/>
    <x v="1"/>
    <x v="17"/>
    <x v="1"/>
    <n v="5"/>
    <n v="70000"/>
    <n v="0"/>
    <n v="70000"/>
    <n v="11.326860841423947"/>
    <n v="10000"/>
    <n v="62"/>
    <x v="5046"/>
    <x v="10"/>
    <x v="3"/>
    <x v="1"/>
  </r>
  <r>
    <x v="438"/>
    <s v="ZPEP"/>
    <x v="58"/>
    <s v="HLBX77"/>
    <s v="16093509K"/>
    <s v="COLINA"/>
    <x v="3934"/>
    <x v="1"/>
    <x v="1"/>
    <x v="5"/>
    <x v="1"/>
    <n v="5"/>
    <n v="70000"/>
    <n v="0"/>
    <n v="70000"/>
    <n v="5.6774679141956161"/>
    <n v="10000"/>
    <n v="100"/>
    <x v="5047"/>
    <x v="10"/>
    <x v="3"/>
    <x v="1"/>
  </r>
  <r>
    <x v="438"/>
    <s v="ZPEP"/>
    <x v="33"/>
    <s v="SU9354"/>
    <s v="72564391"/>
    <s v="SAN BERNARDO"/>
    <x v="3935"/>
    <x v="2"/>
    <x v="1"/>
    <x v="4"/>
    <x v="1"/>
    <n v="4"/>
    <n v="55000"/>
    <n v="0"/>
    <n v="55000"/>
    <n v="11.397074060259438"/>
    <n v="5000"/>
    <n v="97"/>
    <x v="5048"/>
    <x v="10"/>
    <x v="3"/>
    <x v="1"/>
  </r>
  <r>
    <x v="438"/>
    <s v="ZTAN"/>
    <x v="17"/>
    <s v="RH1133"/>
    <s v="65941082"/>
    <s v="LAMPA"/>
    <x v="3936"/>
    <x v="0"/>
    <x v="0"/>
    <x v="17"/>
    <x v="1"/>
    <n v="5"/>
    <n v="120000"/>
    <n v="0"/>
    <n v="120000"/>
    <n v="8.5879911257425032"/>
    <n v="10000"/>
    <n v="100"/>
    <x v="5049"/>
    <x v="10"/>
    <x v="3"/>
    <x v="1"/>
  </r>
  <r>
    <x v="438"/>
    <s v="ZTAN"/>
    <x v="7"/>
    <s v="DJLF85"/>
    <s v="53173292"/>
    <s v="RENCA"/>
    <x v="3575"/>
    <x v="4"/>
    <x v="1"/>
    <x v="7"/>
    <x v="1"/>
    <n v="1"/>
    <n v="57024"/>
    <n v="0"/>
    <n v="57024"/>
    <n v="7.333333333333333"/>
    <n v="5000"/>
    <n v="100"/>
    <x v="5050"/>
    <x v="10"/>
    <x v="3"/>
    <x v="1"/>
  </r>
  <r>
    <x v="438"/>
    <s v="ZTAN"/>
    <x v="7"/>
    <s v="KKPF51"/>
    <s v="95707734"/>
    <s v="RENCA"/>
    <x v="3937"/>
    <x v="8"/>
    <x v="0"/>
    <x v="7"/>
    <x v="1"/>
    <n v="1"/>
    <n v="172773"/>
    <n v="0"/>
    <n v="172773"/>
    <n v="11.000025467001134"/>
    <n v="5000"/>
    <n v="100"/>
    <x v="5051"/>
    <x v="10"/>
    <x v="3"/>
    <x v="1"/>
  </r>
  <r>
    <x v="438"/>
    <s v="ZTAN"/>
    <x v="7"/>
    <s v="WG4022"/>
    <s v="154837728"/>
    <s v="RENCA"/>
    <x v="3938"/>
    <x v="1"/>
    <x v="0"/>
    <x v="7"/>
    <x v="1"/>
    <n v="1"/>
    <n v="96801"/>
    <n v="0"/>
    <n v="96801"/>
    <n v="11.00002613615573"/>
    <n v="5000"/>
    <n v="100"/>
    <x v="5052"/>
    <x v="10"/>
    <x v="3"/>
    <x v="1"/>
  </r>
  <r>
    <x v="439"/>
    <s v="ZPEP"/>
    <x v="17"/>
    <s v="HLBX77"/>
    <s v="16093509K"/>
    <s v="LAMPA"/>
    <x v="3939"/>
    <x v="1"/>
    <x v="1"/>
    <x v="17"/>
    <x v="1"/>
    <n v="5"/>
    <n v="70000"/>
    <n v="0"/>
    <n v="70000"/>
    <n v="9.0880764437058552"/>
    <n v="10000"/>
    <n v="77"/>
    <x v="5053"/>
    <x v="10"/>
    <x v="3"/>
    <x v="1"/>
  </r>
  <r>
    <x v="439"/>
    <s v="ZPEP"/>
    <x v="58"/>
    <s v="SU9354"/>
    <s v="72564391"/>
    <s v="COLINA"/>
    <x v="3940"/>
    <x v="2"/>
    <x v="1"/>
    <x v="5"/>
    <x v="1"/>
    <n v="5"/>
    <n v="70000"/>
    <n v="0"/>
    <n v="70000"/>
    <n v="7.8320977266776932"/>
    <n v="10000"/>
    <n v="89"/>
    <x v="5054"/>
    <x v="10"/>
    <x v="3"/>
    <x v="1"/>
  </r>
  <r>
    <x v="439"/>
    <s v="ZTAN"/>
    <x v="4"/>
    <s v="CJXX49"/>
    <s v="167832741"/>
    <s v="LA UNION"/>
    <x v="3941"/>
    <x v="5"/>
    <x v="0"/>
    <x v="103"/>
    <x v="11"/>
    <n v="0"/>
    <n v="950000"/>
    <n v="0"/>
    <n v="950000"/>
    <n v="81.757000981084019"/>
    <n v="20000"/>
    <n v="65"/>
    <x v="5055"/>
    <x v="10"/>
    <x v="3"/>
    <x v="0"/>
  </r>
  <r>
    <x v="439"/>
    <s v="ZTAN"/>
    <x v="10"/>
    <s v="WG4022"/>
    <s v="154837728"/>
    <s v="SANTIAGO"/>
    <x v="3942"/>
    <x v="1"/>
    <x v="0"/>
    <x v="20"/>
    <x v="1"/>
    <n v="1"/>
    <n v="125484"/>
    <n v="0"/>
    <n v="125484"/>
    <n v="10.999986850928982"/>
    <n v="5000"/>
    <n v="100"/>
    <x v="5056"/>
    <x v="10"/>
    <x v="3"/>
    <x v="1"/>
  </r>
  <r>
    <x v="439"/>
    <s v="ZTAN"/>
    <x v="8"/>
    <s v="BWPL69"/>
    <s v="78551976"/>
    <s v="CORONEL"/>
    <x v="3943"/>
    <x v="5"/>
    <x v="0"/>
    <x v="16"/>
    <x v="0"/>
    <n v="0"/>
    <n v="480000"/>
    <n v="0"/>
    <n v="480000"/>
    <n v="58.513322752174133"/>
    <n v="20000"/>
    <n v="48"/>
    <x v="5057"/>
    <x v="10"/>
    <x v="3"/>
    <x v="0"/>
  </r>
  <r>
    <x v="439"/>
    <s v="ZTAN"/>
    <x v="8"/>
    <s v="SV2718"/>
    <s v="129626232"/>
    <s v="ÑUÑOA"/>
    <x v="3944"/>
    <x v="1"/>
    <x v="1"/>
    <x v="15"/>
    <x v="1"/>
    <n v="4"/>
    <n v="55000"/>
    <n v="0"/>
    <n v="55000"/>
    <n v="11.993963765145107"/>
    <n v="5000"/>
    <n v="92"/>
    <x v="5058"/>
    <x v="10"/>
    <x v="3"/>
    <x v="1"/>
  </r>
  <r>
    <x v="440"/>
    <s v="ZPEP"/>
    <x v="33"/>
    <s v="DJLF85"/>
    <n v="53173292"/>
    <s v="COLINA"/>
    <x v="3945"/>
    <x v="4"/>
    <x v="1"/>
    <x v="5"/>
    <x v="1"/>
    <n v="5"/>
    <n v="70000"/>
    <n v="0"/>
    <n v="70000"/>
    <n v="9.3205083138934182"/>
    <n v="10000"/>
    <n v="75"/>
    <x v="5059"/>
    <x v="10"/>
    <x v="3"/>
    <x v="1"/>
  </r>
  <r>
    <x v="440"/>
    <s v="ZTAN"/>
    <x v="10"/>
    <s v="SV2718"/>
    <n v="78907355"/>
    <s v="QUILICURA"/>
    <x v="3946"/>
    <x v="1"/>
    <x v="1"/>
    <x v="8"/>
    <x v="1"/>
    <n v="1"/>
    <n v="55000"/>
    <n v="0"/>
    <n v="55000"/>
    <n v="24.557956777996072"/>
    <n v="5000"/>
    <n v="45"/>
    <x v="5060"/>
    <x v="10"/>
    <x v="3"/>
    <x v="1"/>
  </r>
  <r>
    <x v="440"/>
    <s v="ZTAN"/>
    <x v="41"/>
    <s v="TP3884"/>
    <n v="107643206"/>
    <s v="LAS CABRAS"/>
    <x v="3947"/>
    <x v="1"/>
    <x v="1"/>
    <x v="61"/>
    <x v="6"/>
    <n v="0"/>
    <n v="203000"/>
    <n v="0"/>
    <n v="203000"/>
    <n v="48.967580084909308"/>
    <n v="20000"/>
    <n v="21"/>
    <x v="5061"/>
    <x v="10"/>
    <x v="3"/>
    <x v="0"/>
  </r>
  <r>
    <x v="440"/>
    <s v="ZTAN"/>
    <x v="7"/>
    <s v="RK5135"/>
    <n v="138841065"/>
    <s v="RENCA"/>
    <x v="3948"/>
    <x v="3"/>
    <x v="1"/>
    <x v="7"/>
    <x v="1"/>
    <n v="1"/>
    <n v="77909"/>
    <n v="0"/>
    <n v="77909"/>
    <n v="11.000025414324082"/>
    <n v="5000"/>
    <n v="100"/>
    <x v="5062"/>
    <x v="10"/>
    <x v="3"/>
    <x v="1"/>
  </r>
  <r>
    <x v="440"/>
    <s v="ZTAN"/>
    <x v="7"/>
    <s v="WG4022"/>
    <n v="154837728"/>
    <s v="RENCA"/>
    <x v="3949"/>
    <x v="1"/>
    <x v="0"/>
    <x v="7"/>
    <x v="1"/>
    <n v="1"/>
    <n v="116519"/>
    <n v="0"/>
    <n v="116519"/>
    <n v="10.021700108457537"/>
    <n v="5000"/>
    <n v="100"/>
    <x v="5063"/>
    <x v="10"/>
    <x v="3"/>
    <x v="1"/>
  </r>
  <r>
    <x v="440"/>
    <s v="ZTAN"/>
    <x v="33"/>
    <s v="DJLF85"/>
    <n v="53173292"/>
    <s v="COLINA"/>
    <x v="3950"/>
    <x v="4"/>
    <x v="1"/>
    <x v="5"/>
    <x v="1"/>
    <n v="5"/>
    <n v="70000"/>
    <n v="0"/>
    <n v="70000"/>
    <n v="48.010973936899866"/>
    <n v="10000"/>
    <n v="15"/>
    <x v="5064"/>
    <x v="10"/>
    <x v="3"/>
    <x v="1"/>
  </r>
  <r>
    <x v="441"/>
    <s v="ZPEP"/>
    <x v="17"/>
    <s v="DJLF85"/>
    <s v="53173292"/>
    <s v="LAMPA"/>
    <x v="3951"/>
    <x v="4"/>
    <x v="1"/>
    <x v="17"/>
    <x v="1"/>
    <n v="5"/>
    <n v="70000"/>
    <n v="0"/>
    <n v="70000"/>
    <n v="12.510723477266229"/>
    <n v="10000"/>
    <n v="56"/>
    <x v="5065"/>
    <x v="10"/>
    <x v="3"/>
    <x v="1"/>
  </r>
  <r>
    <x v="441"/>
    <s v="ZPEP"/>
    <x v="58"/>
    <s v="HLBX77"/>
    <s v="16093509K"/>
    <s v="COLINA"/>
    <x v="3952"/>
    <x v="1"/>
    <x v="1"/>
    <x v="5"/>
    <x v="1"/>
    <n v="5"/>
    <n v="70000"/>
    <n v="0"/>
    <n v="70000"/>
    <n v="9.6774371934326151"/>
    <n v="10000"/>
    <n v="72"/>
    <x v="5066"/>
    <x v="10"/>
    <x v="3"/>
    <x v="1"/>
  </r>
  <r>
    <x v="441"/>
    <s v="ZTAN"/>
    <x v="17"/>
    <s v="WC2233"/>
    <s v="125108660"/>
    <s v="LAMPA"/>
    <x v="3953"/>
    <x v="4"/>
    <x v="1"/>
    <x v="17"/>
    <x v="1"/>
    <n v="5"/>
    <n v="70000"/>
    <n v="0"/>
    <n v="70000"/>
    <n v="5.2952438875865067"/>
    <n v="10000"/>
    <n v="100"/>
    <x v="5067"/>
    <x v="10"/>
    <x v="3"/>
    <x v="1"/>
  </r>
  <r>
    <x v="441"/>
    <s v="ZTAN"/>
    <x v="41"/>
    <s v="KKPF51"/>
    <s v="95707734"/>
    <s v="LAS CABRAS"/>
    <x v="3954"/>
    <x v="8"/>
    <x v="0"/>
    <x v="61"/>
    <x v="6"/>
    <n v="0"/>
    <n v="260000"/>
    <n v="0"/>
    <n v="260000"/>
    <n v="18.440605646229734"/>
    <n v="20000"/>
    <n v="70"/>
    <x v="5068"/>
    <x v="10"/>
    <x v="3"/>
    <x v="0"/>
  </r>
  <r>
    <x v="441"/>
    <s v="ZTAN"/>
    <x v="41"/>
    <s v="SU9354"/>
    <s v="72564391"/>
    <s v="RANCAGUA"/>
    <x v="3955"/>
    <x v="2"/>
    <x v="1"/>
    <x v="28"/>
    <x v="6"/>
    <n v="0"/>
    <n v="180000"/>
    <n v="0"/>
    <n v="180000"/>
    <n v="33.392698130008903"/>
    <n v="20000"/>
    <n v="27"/>
    <x v="5069"/>
    <x v="10"/>
    <x v="3"/>
    <x v="0"/>
  </r>
  <r>
    <x v="441"/>
    <s v="ZTAN"/>
    <x v="41"/>
    <s v="XR6339"/>
    <s v="789073552"/>
    <s v="SAN VICENTE"/>
    <x v="3956"/>
    <x v="1"/>
    <x v="1"/>
    <x v="90"/>
    <x v="6"/>
    <n v="0"/>
    <n v="203000"/>
    <n v="0"/>
    <n v="203000"/>
    <n v="61.002728594953908"/>
    <n v="20000"/>
    <n v="17"/>
    <x v="5070"/>
    <x v="10"/>
    <x v="3"/>
    <x v="0"/>
  </r>
  <r>
    <x v="441"/>
    <s v="ZTAN"/>
    <x v="8"/>
    <s v="HLBX77"/>
    <s v="16093509K"/>
    <s v="PUDAHUEL"/>
    <x v="3957"/>
    <x v="1"/>
    <x v="1"/>
    <x v="10"/>
    <x v="1"/>
    <n v="1"/>
    <n v="82037"/>
    <n v="0"/>
    <n v="82037"/>
    <n v="10.999954411003577"/>
    <n v="5000"/>
    <n v="100"/>
    <x v="5071"/>
    <x v="10"/>
    <x v="3"/>
    <x v="1"/>
  </r>
  <r>
    <x v="441"/>
    <s v="ZTAN"/>
    <x v="8"/>
    <s v="SV2718"/>
    <s v="99626232"/>
    <s v="LAS CONDES"/>
    <x v="3958"/>
    <x v="1"/>
    <x v="1"/>
    <x v="3"/>
    <x v="1"/>
    <n v="4"/>
    <n v="55000"/>
    <n v="0"/>
    <n v="55000"/>
    <n v="12.985970429764794"/>
    <n v="5000"/>
    <n v="85"/>
    <x v="5072"/>
    <x v="10"/>
    <x v="3"/>
    <x v="1"/>
  </r>
  <r>
    <x v="441"/>
    <s v="ZTAN"/>
    <x v="8"/>
    <s v="TP3884"/>
    <s v="107643206"/>
    <s v="QUILIN"/>
    <x v="3959"/>
    <x v="1"/>
    <x v="1"/>
    <x v="34"/>
    <x v="1"/>
    <n v="4"/>
    <n v="55000"/>
    <n v="0"/>
    <n v="55000"/>
    <n v="23.420200987906657"/>
    <n v="5000"/>
    <n v="47"/>
    <x v="5073"/>
    <x v="10"/>
    <x v="3"/>
    <x v="1"/>
  </r>
  <r>
    <x v="442"/>
    <s v="ZPEP"/>
    <x v="58"/>
    <s v="RK5135"/>
    <n v="138841065"/>
    <s v="COLINA"/>
    <x v="3960"/>
    <x v="3"/>
    <x v="1"/>
    <x v="5"/>
    <x v="1"/>
    <n v="5"/>
    <n v="70000"/>
    <n v="0"/>
    <n v="70000"/>
    <n v="15.026618581487208"/>
    <n v="10000"/>
    <n v="47"/>
    <x v="5074"/>
    <x v="10"/>
    <x v="3"/>
    <x v="1"/>
  </r>
  <r>
    <x v="442"/>
    <s v="ZPEP"/>
    <x v="98"/>
    <s v="WG4022"/>
    <n v="81417709"/>
    <s v="RANCAGUA"/>
    <x v="3961"/>
    <x v="1"/>
    <x v="0"/>
    <x v="28"/>
    <x v="6"/>
    <n v="0"/>
    <n v="250000"/>
    <n v="0"/>
    <n v="250000"/>
    <n v="29.422772284219274"/>
    <n v="20000"/>
    <n v="42"/>
    <x v="5075"/>
    <x v="10"/>
    <x v="3"/>
    <x v="0"/>
  </r>
  <r>
    <x v="442"/>
    <s v="ZPEP"/>
    <x v="98"/>
    <s v="WG4022"/>
    <n v="81417709"/>
    <s v="SAN FERNANDO"/>
    <x v="3962"/>
    <x v="1"/>
    <x v="0"/>
    <x v="92"/>
    <x v="6"/>
    <n v="0"/>
    <n v="280000"/>
    <n v="0"/>
    <n v="280000"/>
    <n v="38.164505374380155"/>
    <n v="20000"/>
    <n v="37"/>
    <x v="5076"/>
    <x v="10"/>
    <x v="3"/>
    <x v="0"/>
  </r>
  <r>
    <x v="442"/>
    <s v="ZTAN"/>
    <x v="6"/>
    <s v="SV2718"/>
    <n v="99626232"/>
    <s v="QUILICURA"/>
    <x v="248"/>
    <x v="1"/>
    <x v="1"/>
    <x v="8"/>
    <x v="1"/>
    <n v="1"/>
    <n v="55000"/>
    <n v="0"/>
    <n v="55000"/>
    <n v="18.323560767590617"/>
    <n v="5000"/>
    <n v="60"/>
    <x v="5077"/>
    <x v="10"/>
    <x v="3"/>
    <x v="1"/>
  </r>
  <r>
    <x v="442"/>
    <s v="ZTAN"/>
    <x v="8"/>
    <s v="DKDL88"/>
    <n v="122975819"/>
    <s v="VILLARRICA"/>
    <x v="3963"/>
    <x v="0"/>
    <x v="0"/>
    <x v="88"/>
    <x v="4"/>
    <n v="0"/>
    <n v="800000"/>
    <n v="0"/>
    <n v="800000"/>
    <n v="53.191135697236057"/>
    <n v="20000"/>
    <n v="75"/>
    <x v="5078"/>
    <x v="10"/>
    <x v="3"/>
    <x v="0"/>
  </r>
  <r>
    <x v="442"/>
    <s v="ZTAN"/>
    <x v="8"/>
    <s v="TP3884"/>
    <n v="107643206"/>
    <s v="LA REINA"/>
    <x v="3964"/>
    <x v="1"/>
    <x v="1"/>
    <x v="11"/>
    <x v="1"/>
    <n v="3"/>
    <n v="55000"/>
    <n v="0"/>
    <n v="55000"/>
    <n v="12.363051111101116"/>
    <n v="5000"/>
    <n v="89"/>
    <x v="5079"/>
    <x v="10"/>
    <x v="3"/>
    <x v="1"/>
  </r>
  <r>
    <x v="443"/>
    <s v="ZPEP"/>
    <x v="58"/>
    <s v="RK5135"/>
    <n v="138841065"/>
    <s v="COLINA"/>
    <x v="3965"/>
    <x v="3"/>
    <x v="1"/>
    <x v="5"/>
    <x v="1"/>
    <n v="5"/>
    <n v="70000"/>
    <n v="0"/>
    <n v="70000"/>
    <n v="28.877887788778878"/>
    <n v="10000"/>
    <n v="24"/>
    <x v="5080"/>
    <x v="10"/>
    <x v="3"/>
    <x v="1"/>
  </r>
  <r>
    <x v="443"/>
    <s v="ZTAN"/>
    <x v="6"/>
    <s v="BPKD94"/>
    <n v="125897258"/>
    <s v="HUALPEN"/>
    <x v="3966"/>
    <x v="0"/>
    <x v="0"/>
    <x v="44"/>
    <x v="0"/>
    <n v="0"/>
    <n v="452000"/>
    <n v="0"/>
    <n v="452000"/>
    <n v="60.319748044946223"/>
    <n v="20000"/>
    <n v="67"/>
    <x v="5081"/>
    <x v="10"/>
    <x v="3"/>
    <x v="0"/>
  </r>
  <r>
    <x v="443"/>
    <s v="ZTAN"/>
    <x v="6"/>
    <s v="RK5135"/>
    <n v="72564391"/>
    <s v="VIÑA DEL MAR"/>
    <x v="3967"/>
    <x v="3"/>
    <x v="1"/>
    <x v="6"/>
    <x v="2"/>
    <n v="0"/>
    <n v="203000"/>
    <n v="0"/>
    <n v="203000"/>
    <n v="46.552159057032128"/>
    <n v="20000"/>
    <n v="35"/>
    <x v="5082"/>
    <x v="10"/>
    <x v="3"/>
    <x v="0"/>
  </r>
  <r>
    <x v="443"/>
    <s v="ZTAN"/>
    <x v="7"/>
    <s v="WG4022"/>
    <n v="154837728"/>
    <s v="RENCA"/>
    <x v="3968"/>
    <x v="1"/>
    <x v="0"/>
    <x v="7"/>
    <x v="1"/>
    <n v="1"/>
    <n v="199730"/>
    <n v="0"/>
    <n v="199730"/>
    <n v="11.000019826801877"/>
    <n v="5000"/>
    <n v="100"/>
    <x v="5083"/>
    <x v="10"/>
    <x v="3"/>
    <x v="1"/>
  </r>
  <r>
    <x v="443"/>
    <s v="ZTAN"/>
    <x v="8"/>
    <s v="SU9354"/>
    <n v="72564391"/>
    <s v="REÑACA"/>
    <x v="3969"/>
    <x v="2"/>
    <x v="1"/>
    <x v="6"/>
    <x v="2"/>
    <n v="0"/>
    <n v="203000"/>
    <n v="0"/>
    <n v="203000"/>
    <n v="27.960123079635398"/>
    <n v="20000"/>
    <n v="36"/>
    <x v="5084"/>
    <x v="10"/>
    <x v="3"/>
    <x v="0"/>
  </r>
  <r>
    <x v="443"/>
    <s v="ZTAN"/>
    <x v="8"/>
    <s v="SV2718"/>
    <n v="78907355"/>
    <s v="SAN BERNARDO"/>
    <x v="3970"/>
    <x v="1"/>
    <x v="1"/>
    <x v="4"/>
    <x v="1"/>
    <n v="4"/>
    <n v="55000"/>
    <n v="0"/>
    <n v="55000"/>
    <n v="16.640445358828515"/>
    <n v="5000"/>
    <n v="66"/>
    <x v="5085"/>
    <x v="10"/>
    <x v="3"/>
    <x v="1"/>
  </r>
  <r>
    <x v="444"/>
    <s v="ZTAN"/>
    <x v="7"/>
    <s v="DJLF85"/>
    <n v="53173292"/>
    <s v="RENCA"/>
    <x v="1809"/>
    <x v="4"/>
    <x v="1"/>
    <x v="7"/>
    <x v="1"/>
    <n v="1"/>
    <n v="55000"/>
    <n v="0"/>
    <n v="55000"/>
    <n v="11.316872427983538"/>
    <n v="5000"/>
    <n v="97"/>
    <x v="5086"/>
    <x v="10"/>
    <x v="3"/>
    <x v="1"/>
  </r>
  <r>
    <x v="444"/>
    <s v="ZTAN"/>
    <x v="7"/>
    <s v="WG4022"/>
    <n v="154837728"/>
    <s v="RENCA"/>
    <x v="3971"/>
    <x v="1"/>
    <x v="0"/>
    <x v="7"/>
    <x v="1"/>
    <n v="1"/>
    <n v="105522"/>
    <n v="0"/>
    <n v="105522"/>
    <n v="11.000010424376358"/>
    <n v="5000"/>
    <n v="100"/>
    <x v="5087"/>
    <x v="10"/>
    <x v="3"/>
    <x v="1"/>
  </r>
  <r>
    <x v="445"/>
    <s v="ZPEP"/>
    <x v="58"/>
    <s v="HLBX77"/>
    <s v="16093509K"/>
    <s v="COLINA"/>
    <x v="3972"/>
    <x v="1"/>
    <x v="1"/>
    <x v="5"/>
    <x v="1"/>
    <n v="5"/>
    <n v="70000"/>
    <n v="0"/>
    <n v="70000"/>
    <n v="7.0593621765425434"/>
    <n v="10000"/>
    <n v="99"/>
    <x v="5088"/>
    <x v="10"/>
    <x v="3"/>
    <x v="1"/>
  </r>
  <r>
    <x v="445"/>
    <s v="ZPEP"/>
    <x v="32"/>
    <s v="WG4022"/>
    <s v="154837728"/>
    <s v="PROVIDENCIA"/>
    <x v="3973"/>
    <x v="1"/>
    <x v="0"/>
    <x v="54"/>
    <x v="1"/>
    <n v="2"/>
    <n v="122712"/>
    <n v="0"/>
    <n v="122712"/>
    <n v="11.000006274858524"/>
    <n v="5000"/>
    <n v="100"/>
    <x v="5089"/>
    <x v="10"/>
    <x v="3"/>
    <x v="1"/>
  </r>
  <r>
    <x v="445"/>
    <s v="ZPEP"/>
    <x v="103"/>
    <s v="DJLF85"/>
    <s v="125108660"/>
    <s v="SANTIAGO"/>
    <x v="3974"/>
    <x v="4"/>
    <x v="1"/>
    <x v="20"/>
    <x v="1"/>
    <n v="1"/>
    <n v="84249"/>
    <n v="0"/>
    <n v="84249"/>
    <n v="11"/>
    <n v="5000"/>
    <n v="100"/>
    <x v="5090"/>
    <x v="10"/>
    <x v="3"/>
    <x v="1"/>
  </r>
  <r>
    <x v="445"/>
    <s v="ZTAN"/>
    <x v="6"/>
    <s v="FJCX67"/>
    <s v="90366327"/>
    <s v="CALAMA"/>
    <x v="3975"/>
    <x v="0"/>
    <x v="0"/>
    <x v="37"/>
    <x v="7"/>
    <n v="0"/>
    <n v="1600000"/>
    <n v="0"/>
    <n v="1600000"/>
    <n v="80"/>
    <n v="20000"/>
    <n v="75"/>
    <x v="5091"/>
    <x v="10"/>
    <x v="3"/>
    <x v="0"/>
  </r>
  <r>
    <x v="445"/>
    <s v="ZTAN"/>
    <x v="70"/>
    <s v="SU9354"/>
    <s v="72564391"/>
    <s v="SANTIAGO"/>
    <x v="3976"/>
    <x v="2"/>
    <x v="1"/>
    <x v="20"/>
    <x v="1"/>
    <n v="1"/>
    <n v="55000"/>
    <n v="0"/>
    <n v="55000"/>
    <n v="11.066398390342048"/>
    <n v="5000"/>
    <n v="99"/>
    <x v="5092"/>
    <x v="10"/>
    <x v="3"/>
    <x v="1"/>
  </r>
  <r>
    <x v="445"/>
    <s v="ZTAN"/>
    <x v="9"/>
    <s v="XR6339"/>
    <s v="78907355"/>
    <s v="SAN BERNARDO"/>
    <x v="3977"/>
    <x v="1"/>
    <x v="1"/>
    <x v="4"/>
    <x v="1"/>
    <n v="4"/>
    <n v="55000"/>
    <n v="0"/>
    <n v="55000"/>
    <n v="27.490378367571349"/>
    <n v="5000"/>
    <n v="40"/>
    <x v="5093"/>
    <x v="10"/>
    <x v="3"/>
    <x v="1"/>
  </r>
  <r>
    <x v="445"/>
    <s v="ZTAN"/>
    <x v="7"/>
    <s v="RK5135"/>
    <s v="138841065"/>
    <s v="MELIPILLA"/>
    <x v="3978"/>
    <x v="3"/>
    <x v="1"/>
    <x v="29"/>
    <x v="1"/>
    <n v="5"/>
    <n v="90000"/>
    <n v="0"/>
    <n v="90000"/>
    <n v="25.139103036803654"/>
    <n v="10000"/>
    <n v="36"/>
    <x v="5094"/>
    <x v="10"/>
    <x v="3"/>
    <x v="1"/>
  </r>
  <r>
    <x v="445"/>
    <s v="ZTAN"/>
    <x v="8"/>
    <s v="SV2718"/>
    <s v="99626232"/>
    <s v="PUENTE ALTO"/>
    <x v="3979"/>
    <x v="1"/>
    <x v="1"/>
    <x v="30"/>
    <x v="1"/>
    <n v="4"/>
    <n v="55000"/>
    <n v="0"/>
    <n v="55000"/>
    <n v="14.669013708860083"/>
    <n v="5000"/>
    <n v="75"/>
    <x v="5095"/>
    <x v="10"/>
    <x v="3"/>
    <x v="1"/>
  </r>
  <r>
    <x v="445"/>
    <s v="ZTAN"/>
    <x v="8"/>
    <s v="TP3884"/>
    <s v="107643206"/>
    <s v="PUDAHUEL"/>
    <x v="3980"/>
    <x v="1"/>
    <x v="1"/>
    <x v="10"/>
    <x v="1"/>
    <n v="1"/>
    <n v="70321"/>
    <n v="0"/>
    <n v="70321"/>
    <n v="10.999928044724898"/>
    <n v="5000"/>
    <n v="100"/>
    <x v="5096"/>
    <x v="10"/>
    <x v="3"/>
    <x v="1"/>
  </r>
  <r>
    <x v="446"/>
    <s v="ZPEP"/>
    <x v="33"/>
    <s v="HLBX77"/>
    <s v="16093509K"/>
    <s v="SAN BERNARDO"/>
    <x v="3981"/>
    <x v="1"/>
    <x v="1"/>
    <x v="4"/>
    <x v="1"/>
    <n v="4"/>
    <n v="88915"/>
    <n v="0"/>
    <n v="88915"/>
    <n v="11.000029691358327"/>
    <n v="5000"/>
    <n v="100"/>
    <x v="5097"/>
    <x v="10"/>
    <x v="3"/>
    <x v="1"/>
  </r>
  <r>
    <x v="446"/>
    <s v="ZTAN"/>
    <x v="63"/>
    <s v="RH1133"/>
    <s v="65941082"/>
    <s v="MAIPU"/>
    <x v="3982"/>
    <x v="0"/>
    <x v="0"/>
    <x v="2"/>
    <x v="1"/>
    <n v="2"/>
    <n v="163757"/>
    <n v="0"/>
    <n v="163757"/>
    <n v="11"/>
    <n v="5000"/>
    <n v="100"/>
    <x v="5098"/>
    <x v="10"/>
    <x v="3"/>
    <x v="1"/>
  </r>
  <r>
    <x v="446"/>
    <s v="ZTAN"/>
    <x v="17"/>
    <s v="WC2233"/>
    <s v="125108660"/>
    <s v="LAMPA"/>
    <x v="2528"/>
    <x v="4"/>
    <x v="1"/>
    <x v="17"/>
    <x v="1"/>
    <n v="5"/>
    <n v="70000"/>
    <n v="0"/>
    <n v="70000"/>
    <n v="5.1706499137609461"/>
    <n v="10000"/>
    <n v="100"/>
    <x v="5099"/>
    <x v="10"/>
    <x v="3"/>
    <x v="1"/>
  </r>
  <r>
    <x v="446"/>
    <s v="ZTAN"/>
    <x v="32"/>
    <s v="WG4022"/>
    <s v="154837728"/>
    <s v="PROVIDENCIA"/>
    <x v="3983"/>
    <x v="1"/>
    <x v="0"/>
    <x v="54"/>
    <x v="1"/>
    <n v="2"/>
    <n v="55000"/>
    <n v="0"/>
    <n v="55000"/>
    <n v="15.634771732332707"/>
    <n v="5000"/>
    <n v="70"/>
    <x v="5100"/>
    <x v="10"/>
    <x v="3"/>
    <x v="1"/>
  </r>
  <r>
    <x v="446"/>
    <s v="ZTAN"/>
    <x v="6"/>
    <s v="SV2718"/>
    <s v="78907355"/>
    <s v="LA REINA"/>
    <x v="3984"/>
    <x v="1"/>
    <x v="1"/>
    <x v="11"/>
    <x v="1"/>
    <n v="3"/>
    <n v="55000"/>
    <n v="0"/>
    <n v="55000"/>
    <n v="23.759946777719215"/>
    <n v="5000"/>
    <n v="46"/>
    <x v="5101"/>
    <x v="10"/>
    <x v="3"/>
    <x v="1"/>
  </r>
  <r>
    <x v="446"/>
    <s v="ZTAN"/>
    <x v="7"/>
    <s v="WG4022"/>
    <s v="154837728"/>
    <s v="RENCA"/>
    <x v="3985"/>
    <x v="1"/>
    <x v="0"/>
    <x v="7"/>
    <x v="1"/>
    <n v="1"/>
    <n v="194090"/>
    <n v="0"/>
    <n v="194090"/>
    <n v="9.8012431707165586"/>
    <n v="5000"/>
    <n v="100"/>
    <x v="5102"/>
    <x v="10"/>
    <x v="3"/>
    <x v="1"/>
  </r>
  <r>
    <x v="446"/>
    <s v="ZTAN"/>
    <x v="8"/>
    <s v="BWPL69"/>
    <s v="78551976"/>
    <s v="ANGOL"/>
    <x v="3986"/>
    <x v="5"/>
    <x v="0"/>
    <x v="84"/>
    <x v="4"/>
    <n v="0"/>
    <n v="530000"/>
    <n v="0"/>
    <n v="530000"/>
    <n v="76.849016332590949"/>
    <n v="20000"/>
    <n v="34"/>
    <x v="5103"/>
    <x v="10"/>
    <x v="3"/>
    <x v="0"/>
  </r>
  <r>
    <x v="447"/>
    <s v="ZPEP"/>
    <x v="17"/>
    <s v="KKPF51"/>
    <s v="95707734"/>
    <s v="LAMPA"/>
    <x v="3987"/>
    <x v="8"/>
    <x v="0"/>
    <x v="17"/>
    <x v="1"/>
    <n v="5"/>
    <n v="120000"/>
    <n v="0"/>
    <n v="120000"/>
    <n v="7.4884490673136641"/>
    <n v="10000"/>
    <n v="100"/>
    <x v="5104"/>
    <x v="10"/>
    <x v="3"/>
    <x v="1"/>
  </r>
  <r>
    <x v="447"/>
    <s v="ZPEP"/>
    <x v="5"/>
    <s v="XR6339"/>
    <s v="78907355"/>
    <s v="COLINA"/>
    <x v="3988"/>
    <x v="1"/>
    <x v="1"/>
    <x v="5"/>
    <x v="1"/>
    <n v="5"/>
    <n v="70000"/>
    <n v="0"/>
    <n v="70000"/>
    <n v="26.340545625587957"/>
    <n v="10000"/>
    <n v="27"/>
    <x v="5105"/>
    <x v="10"/>
    <x v="3"/>
    <x v="1"/>
  </r>
  <r>
    <x v="447"/>
    <s v="ZPEP"/>
    <x v="32"/>
    <s v="SU9354"/>
    <s v="72564391"/>
    <s v="PROVIDENCIA"/>
    <x v="3989"/>
    <x v="2"/>
    <x v="1"/>
    <x v="54"/>
    <x v="1"/>
    <n v="2"/>
    <n v="81793"/>
    <n v="0"/>
    <n v="81793"/>
    <n v="7.6543923876261486"/>
    <n v="5000"/>
    <n v="100"/>
    <x v="5106"/>
    <x v="10"/>
    <x v="3"/>
    <x v="1"/>
  </r>
  <r>
    <x v="447"/>
    <s v="ZPEP"/>
    <x v="7"/>
    <s v="WG4022"/>
    <s v="154837728"/>
    <s v="RENCA"/>
    <x v="3990"/>
    <x v="1"/>
    <x v="0"/>
    <x v="7"/>
    <x v="1"/>
    <n v="1"/>
    <n v="99447"/>
    <n v="0"/>
    <n v="99447"/>
    <n v="10.999946906648615"/>
    <n v="5000"/>
    <n v="100"/>
    <x v="5107"/>
    <x v="10"/>
    <x v="3"/>
    <x v="1"/>
  </r>
  <r>
    <x v="447"/>
    <s v="ZPEP"/>
    <x v="33"/>
    <s v="DJLF85"/>
    <s v="125108660"/>
    <s v="SAN BERNARDO"/>
    <x v="3991"/>
    <x v="4"/>
    <x v="1"/>
    <x v="4"/>
    <x v="1"/>
    <n v="4"/>
    <n v="108321"/>
    <n v="0"/>
    <n v="108321"/>
    <n v="11.000048744226856"/>
    <n v="5000"/>
    <n v="100"/>
    <x v="5108"/>
    <x v="10"/>
    <x v="3"/>
    <x v="1"/>
  </r>
  <r>
    <x v="447"/>
    <s v="ZTAN"/>
    <x v="17"/>
    <s v="RH1133"/>
    <s v="65941082"/>
    <s v="LAMPA"/>
    <x v="3992"/>
    <x v="0"/>
    <x v="0"/>
    <x v="17"/>
    <x v="1"/>
    <n v="5"/>
    <n v="120000"/>
    <n v="0"/>
    <n v="120000"/>
    <n v="7.5628663263376819"/>
    <n v="10000"/>
    <n v="100"/>
    <x v="5109"/>
    <x v="10"/>
    <x v="3"/>
    <x v="1"/>
  </r>
  <r>
    <x v="447"/>
    <s v="ZTAN"/>
    <x v="47"/>
    <s v="RK5137"/>
    <s v="138841065"/>
    <s v="SAN JOAQUIN"/>
    <x v="613"/>
    <x v="0"/>
    <x v="0"/>
    <x v="67"/>
    <x v="1"/>
    <n v="3"/>
    <n v="55000"/>
    <n v="0"/>
    <n v="55000"/>
    <n v="32.345330510468123"/>
    <n v="5000"/>
    <n v="34"/>
    <x v="5110"/>
    <x v="10"/>
    <x v="3"/>
    <x v="1"/>
  </r>
  <r>
    <x v="447"/>
    <s v="ZTAN"/>
    <x v="10"/>
    <s v="HLBX77"/>
    <s v="16093509K"/>
    <s v="SAN MIGUEL"/>
    <x v="3993"/>
    <x v="1"/>
    <x v="1"/>
    <x v="23"/>
    <x v="1"/>
    <n v="2"/>
    <n v="60765"/>
    <n v="0"/>
    <n v="60765"/>
    <n v="11.000061548933211"/>
    <n v="5000"/>
    <n v="100"/>
    <x v="5111"/>
    <x v="10"/>
    <x v="3"/>
    <x v="1"/>
  </r>
  <r>
    <x v="447"/>
    <s v="ZTAN"/>
    <x v="7"/>
    <s v="WG4022"/>
    <s v="154837728"/>
    <s v="RENCA"/>
    <x v="3994"/>
    <x v="1"/>
    <x v="0"/>
    <x v="7"/>
    <x v="1"/>
    <n v="1"/>
    <n v="71691"/>
    <n v="0"/>
    <n v="71691"/>
    <n v="11.000006137454429"/>
    <n v="5000"/>
    <n v="100"/>
    <x v="5112"/>
    <x v="10"/>
    <x v="3"/>
    <x v="1"/>
  </r>
  <r>
    <x v="447"/>
    <s v="ZTAN"/>
    <x v="8"/>
    <s v="SU9354"/>
    <s v="72564391"/>
    <s v="REÑACA"/>
    <x v="3995"/>
    <x v="2"/>
    <x v="1"/>
    <x v="6"/>
    <x v="2"/>
    <n v="0"/>
    <n v="203000"/>
    <n v="0"/>
    <n v="203000"/>
    <n v="19.314203075049477"/>
    <n v="20000"/>
    <n v="53"/>
    <x v="5113"/>
    <x v="10"/>
    <x v="3"/>
    <x v="0"/>
  </r>
  <r>
    <x v="447"/>
    <s v="ZTAN"/>
    <x v="8"/>
    <s v="SV278"/>
    <s v="78907355"/>
    <s v="LAS CONDES"/>
    <x v="2293"/>
    <x v="0"/>
    <x v="0"/>
    <x v="3"/>
    <x v="1"/>
    <n v="4"/>
    <n v="55000"/>
    <n v="0"/>
    <n v="55000"/>
    <n v="13.389814003310935"/>
    <n v="5000"/>
    <n v="82"/>
    <x v="5114"/>
    <x v="10"/>
    <x v="3"/>
    <x v="1"/>
  </r>
  <r>
    <x v="448"/>
    <s v="ZPEP"/>
    <x v="32"/>
    <s v="HLBX77"/>
    <s v="16093509K"/>
    <s v="PROVIDENCIA"/>
    <x v="3996"/>
    <x v="1"/>
    <x v="1"/>
    <x v="54"/>
    <x v="1"/>
    <n v="2"/>
    <n v="74814"/>
    <n v="0"/>
    <n v="74814"/>
    <n v="11.000020584421122"/>
    <n v="5000"/>
    <n v="100"/>
    <x v="5115"/>
    <x v="10"/>
    <x v="3"/>
    <x v="1"/>
  </r>
  <r>
    <x v="448"/>
    <s v="ZPEP"/>
    <x v="33"/>
    <s v="DJLF85"/>
    <s v="53173292"/>
    <s v="SAN BERNARDO"/>
    <x v="3997"/>
    <x v="4"/>
    <x v="1"/>
    <x v="4"/>
    <x v="1"/>
    <n v="4"/>
    <n v="109525"/>
    <n v="0"/>
    <n v="109525"/>
    <n v="11.000020086774864"/>
    <n v="5000"/>
    <n v="100"/>
    <x v="5116"/>
    <x v="10"/>
    <x v="3"/>
    <x v="1"/>
  </r>
  <r>
    <x v="448"/>
    <s v="ZPEP"/>
    <x v="33"/>
    <s v="WC2233"/>
    <s v="125108660"/>
    <s v="SAN BERNARDO"/>
    <x v="3998"/>
    <x v="4"/>
    <x v="1"/>
    <x v="4"/>
    <x v="1"/>
    <n v="4"/>
    <n v="105536"/>
    <n v="0"/>
    <n v="105536"/>
    <n v="11.000036480563677"/>
    <n v="5000"/>
    <n v="100"/>
    <x v="5117"/>
    <x v="10"/>
    <x v="3"/>
    <x v="1"/>
  </r>
  <r>
    <x v="448"/>
    <s v="ZTAN"/>
    <x v="10"/>
    <s v="RK5135"/>
    <s v="138841065"/>
    <s v="SANTIAGO"/>
    <x v="3999"/>
    <x v="3"/>
    <x v="1"/>
    <x v="20"/>
    <x v="1"/>
    <n v="1"/>
    <n v="104209"/>
    <n v="0"/>
    <n v="104209"/>
    <n v="11.000006333429742"/>
    <n v="5000"/>
    <n v="100"/>
    <x v="5118"/>
    <x v="10"/>
    <x v="3"/>
    <x v="1"/>
  </r>
  <r>
    <x v="448"/>
    <s v="ZTAN"/>
    <x v="6"/>
    <s v="TP3884"/>
    <s v="107643206"/>
    <s v="LA FLORIDA"/>
    <x v="4000"/>
    <x v="1"/>
    <x v="1"/>
    <x v="33"/>
    <x v="1"/>
    <n v="3"/>
    <n v="55000"/>
    <n v="0"/>
    <n v="55000"/>
    <n v="21.046992193479262"/>
    <n v="5000"/>
    <n v="55"/>
    <x v="5119"/>
    <x v="10"/>
    <x v="3"/>
    <x v="1"/>
  </r>
  <r>
    <x v="448"/>
    <s v="ZTAN"/>
    <x v="7"/>
    <s v="DJLF85"/>
    <s v="53173292"/>
    <s v="RENCA"/>
    <x v="4001"/>
    <x v="4"/>
    <x v="1"/>
    <x v="7"/>
    <x v="1"/>
    <n v="1"/>
    <n v="126999"/>
    <n v="0"/>
    <n v="126999"/>
    <n v="10.66739799115355"/>
    <n v="5000"/>
    <n v="100"/>
    <x v="5120"/>
    <x v="10"/>
    <x v="3"/>
    <x v="1"/>
  </r>
  <r>
    <x v="448"/>
    <s v="ZTAN"/>
    <x v="7"/>
    <s v="SU9354"/>
    <s v="72564391"/>
    <s v="RENCA"/>
    <x v="4002"/>
    <x v="2"/>
    <x v="1"/>
    <x v="7"/>
    <x v="1"/>
    <n v="1"/>
    <n v="55000"/>
    <n v="0"/>
    <n v="55000"/>
    <n v="9.0187590187590185"/>
    <n v="5000"/>
    <n v="100"/>
    <x v="5121"/>
    <x v="10"/>
    <x v="3"/>
    <x v="1"/>
  </r>
  <r>
    <x v="448"/>
    <s v="ZTAN"/>
    <x v="7"/>
    <s v="WG4022"/>
    <s v="154837728"/>
    <s v="RENCA"/>
    <x v="4003"/>
    <x v="1"/>
    <x v="0"/>
    <x v="7"/>
    <x v="1"/>
    <n v="1"/>
    <n v="203505"/>
    <n v="0"/>
    <n v="203505"/>
    <n v="10.999996756837405"/>
    <n v="5000"/>
    <n v="100"/>
    <x v="5122"/>
    <x v="10"/>
    <x v="3"/>
    <x v="1"/>
  </r>
  <r>
    <x v="448"/>
    <s v="ZTAN"/>
    <x v="7"/>
    <s v="XR6339"/>
    <s v="78907355"/>
    <s v="MELIPILLA"/>
    <x v="372"/>
    <x v="1"/>
    <x v="1"/>
    <x v="29"/>
    <x v="1"/>
    <n v="5"/>
    <n v="90000"/>
    <n v="0"/>
    <n v="90000"/>
    <n v="17.133719159305517"/>
    <n v="10000"/>
    <n v="53"/>
    <x v="5123"/>
    <x v="10"/>
    <x v="3"/>
    <x v="1"/>
  </r>
  <r>
    <x v="448"/>
    <s v="ZTAN"/>
    <x v="68"/>
    <s v="HLBX77"/>
    <s v="16093509K"/>
    <s v="SAN BERNARDO"/>
    <x v="4004"/>
    <x v="1"/>
    <x v="1"/>
    <x v="4"/>
    <x v="1"/>
    <n v="4"/>
    <n v="55000"/>
    <n v="0"/>
    <n v="55000"/>
    <n v="12.774951803590927"/>
    <n v="5000"/>
    <n v="86"/>
    <x v="5124"/>
    <x v="10"/>
    <x v="3"/>
    <x v="1"/>
  </r>
  <r>
    <x v="448"/>
    <s v="ZTAN"/>
    <x v="68"/>
    <s v="SU9354"/>
    <s v="72564391"/>
    <s v="SAN BERNARDO"/>
    <x v="4005"/>
    <x v="2"/>
    <x v="1"/>
    <x v="4"/>
    <x v="1"/>
    <n v="4"/>
    <n v="55000"/>
    <n v="0"/>
    <n v="55000"/>
    <n v="13.417252146760339"/>
    <n v="5000"/>
    <n v="82"/>
    <x v="5125"/>
    <x v="10"/>
    <x v="3"/>
    <x v="1"/>
  </r>
  <r>
    <x v="448"/>
    <s v="ZTAN"/>
    <x v="100"/>
    <s v="TP3884"/>
    <s v="107643206"/>
    <s v="PAINE"/>
    <x v="4006"/>
    <x v="1"/>
    <x v="1"/>
    <x v="13"/>
    <x v="1"/>
    <n v="5"/>
    <n v="90000"/>
    <n v="0"/>
    <n v="90000"/>
    <n v="10.853848111249533"/>
    <n v="10000"/>
    <n v="83"/>
    <x v="5126"/>
    <x v="10"/>
    <x v="3"/>
    <x v="1"/>
  </r>
  <r>
    <x v="449"/>
    <s v="ZPEP"/>
    <x v="17"/>
    <s v="PN4466"/>
    <s v="81417709"/>
    <s v="LAMPA"/>
    <x v="4007"/>
    <x v="1"/>
    <x v="0"/>
    <x v="17"/>
    <x v="1"/>
    <n v="5"/>
    <n v="120000"/>
    <n v="0"/>
    <n v="120000"/>
    <n v="10.715720855471716"/>
    <n v="10000"/>
    <n v="100"/>
    <x v="5127"/>
    <x v="10"/>
    <x v="3"/>
    <x v="1"/>
  </r>
  <r>
    <x v="449"/>
    <s v="ZPEP"/>
    <x v="17"/>
    <s v="WT7053"/>
    <s v="172861164"/>
    <s v="LAMPA"/>
    <x v="4008"/>
    <x v="0"/>
    <x v="0"/>
    <x v="17"/>
    <x v="1"/>
    <n v="5"/>
    <n v="120000"/>
    <n v="0"/>
    <n v="120000"/>
    <n v="6.7005977491575361"/>
    <n v="10000"/>
    <n v="100"/>
    <x v="5128"/>
    <x v="10"/>
    <x v="3"/>
    <x v="1"/>
  </r>
  <r>
    <x v="449"/>
    <s v="ZPEP"/>
    <x v="103"/>
    <s v="DJLF85"/>
    <s v="125108660"/>
    <s v="SANTIAGO"/>
    <x v="4009"/>
    <x v="4"/>
    <x v="1"/>
    <x v="20"/>
    <x v="1"/>
    <n v="1"/>
    <n v="72706"/>
    <n v="0"/>
    <n v="72706"/>
    <n v="11.000060518034372"/>
    <n v="5000"/>
    <n v="100"/>
    <x v="5129"/>
    <x v="10"/>
    <x v="3"/>
    <x v="1"/>
  </r>
  <r>
    <x v="449"/>
    <s v="ZPEP"/>
    <x v="7"/>
    <s v="HLZV71"/>
    <s v="154629327"/>
    <s v="RENCA"/>
    <x v="4010"/>
    <x v="0"/>
    <x v="0"/>
    <x v="7"/>
    <x v="1"/>
    <n v="1"/>
    <n v="288425"/>
    <n v="0"/>
    <n v="288425"/>
    <n v="10.999997711710622"/>
    <n v="5000"/>
    <n v="100"/>
    <x v="5130"/>
    <x v="10"/>
    <x v="3"/>
    <x v="1"/>
  </r>
  <r>
    <x v="449"/>
    <s v="ZPEP"/>
    <x v="7"/>
    <s v="KXTC79"/>
    <s v="13074995K"/>
    <s v="RENCA"/>
    <x v="4010"/>
    <x v="0"/>
    <x v="0"/>
    <x v="7"/>
    <x v="1"/>
    <n v="1"/>
    <n v="288425"/>
    <n v="0"/>
    <n v="288425"/>
    <n v="10.999997711710622"/>
    <n v="5000"/>
    <n v="100"/>
    <x v="5131"/>
    <x v="10"/>
    <x v="3"/>
    <x v="1"/>
  </r>
  <r>
    <x v="449"/>
    <s v="ZTAN"/>
    <x v="10"/>
    <s v="KKPF51"/>
    <s v="95707734"/>
    <s v="QUILICURA"/>
    <x v="4011"/>
    <x v="8"/>
    <x v="0"/>
    <x v="8"/>
    <x v="1"/>
    <n v="1"/>
    <n v="97416"/>
    <n v="0"/>
    <n v="97416"/>
    <n v="10.999987579056485"/>
    <n v="5000"/>
    <n v="100"/>
    <x v="5132"/>
    <x v="10"/>
    <x v="3"/>
    <x v="1"/>
  </r>
  <r>
    <x v="449"/>
    <s v="ZTAN"/>
    <x v="10"/>
    <s v="RH1133"/>
    <s v="65941082"/>
    <s v="QUILICURA"/>
    <x v="4012"/>
    <x v="0"/>
    <x v="0"/>
    <x v="8"/>
    <x v="1"/>
    <n v="1"/>
    <n v="87182"/>
    <n v="0"/>
    <n v="87182"/>
    <n v="10.999994953088962"/>
    <n v="5000"/>
    <n v="100"/>
    <x v="5133"/>
    <x v="10"/>
    <x v="3"/>
    <x v="1"/>
  </r>
  <r>
    <x v="449"/>
    <s v="ZTAN"/>
    <x v="6"/>
    <s v="SV2718"/>
    <s v="78907355"/>
    <s v="MAIPU"/>
    <x v="269"/>
    <x v="1"/>
    <x v="1"/>
    <x v="2"/>
    <x v="1"/>
    <n v="2"/>
    <n v="55000"/>
    <n v="0"/>
    <n v="55000"/>
    <n v="28.971765697429412"/>
    <n v="5000"/>
    <n v="38"/>
    <x v="5134"/>
    <x v="10"/>
    <x v="3"/>
    <x v="1"/>
  </r>
  <r>
    <x v="449"/>
    <s v="ZTAN"/>
    <x v="7"/>
    <s v="RH1133"/>
    <s v="65941082"/>
    <s v="MELIPILLA"/>
    <x v="104"/>
    <x v="0"/>
    <x v="0"/>
    <x v="29"/>
    <x v="1"/>
    <n v="5"/>
    <n v="120000"/>
    <n v="0"/>
    <n v="120000"/>
    <n v="6.1505658520583886"/>
    <n v="10000"/>
    <n v="100"/>
    <x v="5135"/>
    <x v="10"/>
    <x v="3"/>
    <x v="1"/>
  </r>
  <r>
    <x v="449"/>
    <s v="ZTAN"/>
    <x v="7"/>
    <s v="WG4022"/>
    <s v="154837728"/>
    <s v="RENCA"/>
    <x v="4013"/>
    <x v="1"/>
    <x v="0"/>
    <x v="7"/>
    <x v="1"/>
    <n v="1"/>
    <n v="111096"/>
    <n v="0"/>
    <n v="111096"/>
    <n v="11.000039605528931"/>
    <n v="5000"/>
    <n v="100"/>
    <x v="5136"/>
    <x v="10"/>
    <x v="3"/>
    <x v="1"/>
  </r>
  <r>
    <x v="449"/>
    <s v="ZTAN"/>
    <x v="7"/>
    <s v="XR6339"/>
    <s v="78907355"/>
    <s v="SANTIAGO"/>
    <x v="385"/>
    <x v="1"/>
    <x v="1"/>
    <x v="20"/>
    <x v="1"/>
    <n v="1"/>
    <n v="82544"/>
    <n v="0"/>
    <n v="82544"/>
    <n v="11.000000000000004"/>
    <n v="5000"/>
    <n v="100"/>
    <x v="5137"/>
    <x v="10"/>
    <x v="3"/>
    <x v="1"/>
  </r>
  <r>
    <x v="449"/>
    <s v="ZTAN"/>
    <x v="8"/>
    <s v="HLBX77"/>
    <s v="16093509K"/>
    <s v="PUDAHUEL"/>
    <x v="4014"/>
    <x v="1"/>
    <x v="1"/>
    <x v="10"/>
    <x v="1"/>
    <n v="1"/>
    <n v="132578"/>
    <n v="0"/>
    <n v="132578"/>
    <n v="11.000041485169053"/>
    <n v="5000"/>
    <n v="100"/>
    <x v="5138"/>
    <x v="10"/>
    <x v="3"/>
    <x v="1"/>
  </r>
  <r>
    <x v="449"/>
    <s v="ZTAN"/>
    <x v="8"/>
    <s v="TP3884"/>
    <s v="107643206"/>
    <s v="CERRILLOS"/>
    <x v="471"/>
    <x v="1"/>
    <x v="1"/>
    <x v="9"/>
    <x v="1"/>
    <n v="2"/>
    <n v="55000"/>
    <n v="0"/>
    <n v="55000"/>
    <n v="24.431414356787492"/>
    <n v="5000"/>
    <n v="45"/>
    <x v="5139"/>
    <x v="10"/>
    <x v="3"/>
    <x v="1"/>
  </r>
  <r>
    <x v="450"/>
    <s v="ZPEP"/>
    <x v="103"/>
    <s v="DJLF85"/>
    <n v="125108660"/>
    <s v="SANTIAGO"/>
    <x v="4009"/>
    <x v="4"/>
    <x v="1"/>
    <x v="20"/>
    <x v="1"/>
    <n v="1"/>
    <n v="72706"/>
    <n v="0"/>
    <n v="72706"/>
    <n v="11.000060518034372"/>
    <n v="5000"/>
    <n v="100"/>
    <x v="5140"/>
    <x v="11"/>
    <x v="3"/>
    <x v="1"/>
  </r>
  <r>
    <x v="450"/>
    <s v="ZPEP"/>
    <x v="98"/>
    <s v="WG4022"/>
    <n v="81417709"/>
    <s v="RANCAGUA"/>
    <x v="4015"/>
    <x v="1"/>
    <x v="0"/>
    <x v="28"/>
    <x v="6"/>
    <n v="0"/>
    <n v="250000"/>
    <n v="0"/>
    <n v="250000"/>
    <n v="12.651412100012948"/>
    <n v="20000"/>
    <n v="99"/>
    <x v="5141"/>
    <x v="11"/>
    <x v="3"/>
    <x v="0"/>
  </r>
  <r>
    <x v="450"/>
    <s v="ZTAN"/>
    <x v="7"/>
    <s v="TP3884"/>
    <n v="107643206"/>
    <s v="CONCON"/>
    <x v="479"/>
    <x v="1"/>
    <x v="1"/>
    <x v="101"/>
    <x v="2"/>
    <n v="0"/>
    <n v="250000"/>
    <n v="0"/>
    <n v="250000"/>
    <n v="26.65245202558636"/>
    <n v="20000"/>
    <n v="47"/>
    <x v="5142"/>
    <x v="11"/>
    <x v="3"/>
    <x v="0"/>
  </r>
  <r>
    <x v="451"/>
    <s v="ZPEP"/>
    <x v="32"/>
    <s v="HLBX77"/>
    <s v="16093509K"/>
    <s v="PROVIDENCIA"/>
    <x v="4016"/>
    <x v="1"/>
    <x v="1"/>
    <x v="54"/>
    <x v="1"/>
    <n v="2"/>
    <n v="121546"/>
    <n v="0"/>
    <n v="121546"/>
    <n v="10.999996379972561"/>
    <n v="5000"/>
    <n v="100"/>
    <x v="5143"/>
    <x v="11"/>
    <x v="3"/>
    <x v="1"/>
  </r>
  <r>
    <x v="451"/>
    <s v="ZPEP"/>
    <x v="32"/>
    <s v="SU9354"/>
    <s v="72564391"/>
    <s v="PROVIDENCIA"/>
    <x v="4017"/>
    <x v="2"/>
    <x v="1"/>
    <x v="54"/>
    <x v="1"/>
    <n v="2"/>
    <n v="96394"/>
    <n v="0"/>
    <n v="96394"/>
    <n v="11.000038799232231"/>
    <n v="5000"/>
    <n v="100"/>
    <x v="5144"/>
    <x v="11"/>
    <x v="3"/>
    <x v="1"/>
  </r>
  <r>
    <x v="451"/>
    <s v="ZPEP"/>
    <x v="103"/>
    <s v="DJLF85"/>
    <s v="125108660"/>
    <s v="SANTIAGO"/>
    <x v="4018"/>
    <x v="4"/>
    <x v="1"/>
    <x v="20"/>
    <x v="1"/>
    <n v="1"/>
    <n v="92004"/>
    <n v="0"/>
    <n v="92004"/>
    <n v="11"/>
    <n v="5000"/>
    <n v="100"/>
    <x v="5145"/>
    <x v="11"/>
    <x v="3"/>
    <x v="1"/>
  </r>
  <r>
    <x v="451"/>
    <s v="ZPEP"/>
    <x v="98"/>
    <s v="WG4022"/>
    <s v="81417709"/>
    <s v="RANCAGUA"/>
    <x v="4019"/>
    <x v="1"/>
    <x v="0"/>
    <x v="28"/>
    <x v="6"/>
    <n v="0"/>
    <n v="250000"/>
    <n v="0"/>
    <n v="250000"/>
    <n v="16.840460216096783"/>
    <n v="20000"/>
    <n v="74"/>
    <x v="5146"/>
    <x v="11"/>
    <x v="3"/>
    <x v="0"/>
  </r>
  <r>
    <x v="451"/>
    <s v="ZTAN"/>
    <x v="84"/>
    <s v="KKPF51"/>
    <s v="95707334"/>
    <s v="TIL TIL"/>
    <x v="4020"/>
    <x v="8"/>
    <x v="0"/>
    <x v="70"/>
    <x v="1"/>
    <n v="5"/>
    <n v="120000"/>
    <n v="0"/>
    <n v="120000"/>
    <n v="5.0011252531819643"/>
    <n v="10000"/>
    <n v="100"/>
    <x v="5147"/>
    <x v="11"/>
    <x v="3"/>
    <x v="1"/>
  </r>
  <r>
    <x v="452"/>
    <s v="ZPEP"/>
    <x v="10"/>
    <s v="HLBX77"/>
    <s v="16093509K"/>
    <s v="OVALLE"/>
    <x v="4021"/>
    <x v="1"/>
    <x v="1"/>
    <x v="85"/>
    <x v="8"/>
    <n v="0"/>
    <n v="400000"/>
    <n v="0"/>
    <n v="400000"/>
    <n v="19.847521416716077"/>
    <n v="20000"/>
    <n v="88"/>
    <x v="5148"/>
    <x v="11"/>
    <x v="3"/>
    <x v="0"/>
  </r>
  <r>
    <x v="452"/>
    <s v="ZTAN"/>
    <x v="7"/>
    <s v="TP3884"/>
    <s v="107643206"/>
    <s v="SAN MIGUEL"/>
    <x v="4022"/>
    <x v="1"/>
    <x v="1"/>
    <x v="23"/>
    <x v="1"/>
    <n v="2"/>
    <n v="55000"/>
    <n v="0"/>
    <n v="55000"/>
    <n v="11.544532509403549"/>
    <n v="5000"/>
    <n v="95"/>
    <x v="5149"/>
    <x v="11"/>
    <x v="3"/>
    <x v="1"/>
  </r>
  <r>
    <x v="452"/>
    <s v="ZTAN"/>
    <x v="8"/>
    <s v="SV2718"/>
    <s v="78907355"/>
    <s v="EL BOSQUE"/>
    <x v="4023"/>
    <x v="1"/>
    <x v="1"/>
    <x v="25"/>
    <x v="1"/>
    <n v="3"/>
    <n v="55000"/>
    <n v="0"/>
    <n v="55000"/>
    <n v="17.756255044390638"/>
    <n v="5000"/>
    <n v="62"/>
    <x v="5150"/>
    <x v="11"/>
    <x v="3"/>
    <x v="1"/>
  </r>
  <r>
    <x v="453"/>
    <s v="ZPEP"/>
    <x v="58"/>
    <s v="SU9354"/>
    <s v="72564391"/>
    <s v="COLINA"/>
    <x v="4024"/>
    <x v="2"/>
    <x v="1"/>
    <x v="5"/>
    <x v="1"/>
    <n v="5"/>
    <n v="70000"/>
    <n v="0"/>
    <n v="70000"/>
    <n v="5.9702103560974615"/>
    <n v="10000"/>
    <n v="100"/>
    <x v="5151"/>
    <x v="11"/>
    <x v="3"/>
    <x v="1"/>
  </r>
  <r>
    <x v="453"/>
    <s v="ZPEP"/>
    <x v="10"/>
    <s v="HLBX77"/>
    <s v="16093509K"/>
    <s v="OVALLE"/>
    <x v="4025"/>
    <x v="1"/>
    <x v="1"/>
    <x v="85"/>
    <x v="8"/>
    <n v="0"/>
    <n v="400000"/>
    <n v="0"/>
    <n v="400000"/>
    <n v="40.356550120312974"/>
    <n v="20000"/>
    <n v="50"/>
    <x v="5152"/>
    <x v="11"/>
    <x v="3"/>
    <x v="0"/>
  </r>
  <r>
    <x v="453"/>
    <s v="ZPEP"/>
    <x v="10"/>
    <s v="RK5135"/>
    <s v="138841065"/>
    <s v="OVALLE"/>
    <x v="4026"/>
    <x v="3"/>
    <x v="1"/>
    <x v="85"/>
    <x v="8"/>
    <n v="0"/>
    <n v="400000"/>
    <n v="0"/>
    <n v="400000"/>
    <n v="67.78339815120782"/>
    <n v="20000"/>
    <n v="30"/>
    <x v="5153"/>
    <x v="11"/>
    <x v="3"/>
    <x v="0"/>
  </r>
  <r>
    <x v="453"/>
    <s v="ZTAN"/>
    <x v="10"/>
    <s v="DJLF85"/>
    <s v="53173292"/>
    <s v="QUILICURA"/>
    <x v="4027"/>
    <x v="4"/>
    <x v="1"/>
    <x v="8"/>
    <x v="1"/>
    <n v="1"/>
    <n v="55000"/>
    <n v="0"/>
    <n v="55000"/>
    <n v="10.40090771558245"/>
    <n v="5000"/>
    <n v="96"/>
    <x v="5154"/>
    <x v="11"/>
    <x v="3"/>
    <x v="1"/>
  </r>
  <r>
    <x v="453"/>
    <s v="ZTAN"/>
    <x v="7"/>
    <s v="SU9354"/>
    <s v="72564391"/>
    <s v="RENCA"/>
    <x v="4028"/>
    <x v="2"/>
    <x v="1"/>
    <x v="7"/>
    <x v="1"/>
    <n v="1"/>
    <n v="134545"/>
    <n v="0"/>
    <n v="134545"/>
    <n v="10.999967297284039"/>
    <n v="5000"/>
    <n v="100"/>
    <x v="5155"/>
    <x v="11"/>
    <x v="3"/>
    <x v="1"/>
  </r>
  <r>
    <x v="453"/>
    <s v="ZTAN"/>
    <x v="7"/>
    <s v="WC2233"/>
    <s v="125108660"/>
    <s v="RENCA"/>
    <x v="4029"/>
    <x v="4"/>
    <x v="1"/>
    <x v="7"/>
    <x v="1"/>
    <n v="1"/>
    <n v="128044"/>
    <n v="0"/>
    <n v="128044"/>
    <n v="10.999965636919693"/>
    <n v="5000"/>
    <n v="100"/>
    <x v="5156"/>
    <x v="11"/>
    <x v="3"/>
    <x v="1"/>
  </r>
  <r>
    <x v="453"/>
    <s v="ZTAN"/>
    <x v="7"/>
    <s v="WG4022"/>
    <s v="154837728"/>
    <s v="RENCA"/>
    <x v="4030"/>
    <x v="1"/>
    <x v="0"/>
    <x v="7"/>
    <x v="1"/>
    <n v="1"/>
    <n v="235545"/>
    <n v="0"/>
    <n v="235545"/>
    <n v="10.999985522955217"/>
    <n v="5000"/>
    <n v="100"/>
    <x v="5157"/>
    <x v="11"/>
    <x v="3"/>
    <x v="1"/>
  </r>
  <r>
    <x v="453"/>
    <s v="ZTAN"/>
    <x v="8"/>
    <s v="SV2718"/>
    <s v="78907355"/>
    <s v="ÑUÑOA"/>
    <x v="471"/>
    <x v="1"/>
    <x v="1"/>
    <x v="15"/>
    <x v="1"/>
    <n v="4"/>
    <n v="55000"/>
    <n v="0"/>
    <n v="55000"/>
    <n v="24.431414356787492"/>
    <n v="5000"/>
    <n v="45"/>
    <x v="5158"/>
    <x v="11"/>
    <x v="3"/>
    <x v="1"/>
  </r>
  <r>
    <x v="453"/>
    <s v="ZTAN"/>
    <x v="8"/>
    <s v="TP3884"/>
    <s v="107643206"/>
    <s v="PUDAHUEL"/>
    <x v="4031"/>
    <x v="1"/>
    <x v="1"/>
    <x v="10"/>
    <x v="1"/>
    <n v="1"/>
    <n v="81812"/>
    <n v="0"/>
    <n v="81812"/>
    <n v="11.000036302862686"/>
    <n v="5000"/>
    <n v="100"/>
    <x v="5159"/>
    <x v="11"/>
    <x v="3"/>
    <x v="1"/>
  </r>
  <r>
    <x v="454"/>
    <s v="ZPEP"/>
    <x v="58"/>
    <s v="XR6339"/>
    <n v="138841065"/>
    <s v="COLINA"/>
    <x v="4032"/>
    <x v="1"/>
    <x v="1"/>
    <x v="5"/>
    <x v="1"/>
    <n v="5"/>
    <n v="70000"/>
    <n v="0"/>
    <n v="70000"/>
    <n v="8.9436295804160046"/>
    <n v="10000"/>
    <n v="78"/>
    <x v="5160"/>
    <x v="11"/>
    <x v="3"/>
    <x v="1"/>
  </r>
  <r>
    <x v="454"/>
    <s v="ZPEP"/>
    <x v="87"/>
    <s v="KKPF51"/>
    <n v="95707734"/>
    <s v="HUASCO"/>
    <x v="4033"/>
    <x v="8"/>
    <x v="0"/>
    <x v="104"/>
    <x v="9"/>
    <n v="0"/>
    <n v="1100000"/>
    <n v="0"/>
    <n v="1100000"/>
    <n v="47.596197323449502"/>
    <n v="20000"/>
    <n v="100"/>
    <x v="5161"/>
    <x v="11"/>
    <x v="3"/>
    <x v="0"/>
  </r>
  <r>
    <x v="454"/>
    <s v="ZTAN"/>
    <x v="6"/>
    <s v="XR6339"/>
    <n v="78907355"/>
    <s v="VALPARAISO"/>
    <x v="4034"/>
    <x v="1"/>
    <x v="1"/>
    <x v="36"/>
    <x v="2"/>
    <n v="0"/>
    <n v="203000"/>
    <n v="0"/>
    <n v="203000"/>
    <n v="179.01234567901236"/>
    <n v="20000"/>
    <n v="6"/>
    <x v="5162"/>
    <x v="11"/>
    <x v="3"/>
    <x v="0"/>
  </r>
  <r>
    <x v="454"/>
    <s v="ZTAN"/>
    <x v="7"/>
    <s v="WG4022"/>
    <n v="154837728"/>
    <s v="RENCA"/>
    <x v="4035"/>
    <x v="1"/>
    <x v="0"/>
    <x v="7"/>
    <x v="1"/>
    <n v="1"/>
    <n v="117396"/>
    <n v="0"/>
    <n v="117396"/>
    <n v="10.999962520145422"/>
    <n v="5000"/>
    <n v="100"/>
    <x v="5163"/>
    <x v="11"/>
    <x v="3"/>
    <x v="1"/>
  </r>
  <r>
    <x v="454"/>
    <s v="ZTAN"/>
    <x v="8"/>
    <s v="SV2718"/>
    <n v="107643206"/>
    <s v="MAIPU"/>
    <x v="4036"/>
    <x v="1"/>
    <x v="1"/>
    <x v="2"/>
    <x v="1"/>
    <n v="2"/>
    <n v="55000"/>
    <n v="0"/>
    <n v="55000"/>
    <n v="15.083535361291808"/>
    <n v="5000"/>
    <n v="73"/>
    <x v="5164"/>
    <x v="11"/>
    <x v="3"/>
    <x v="1"/>
  </r>
  <r>
    <x v="454"/>
    <s v="ZTAN"/>
    <x v="8"/>
    <s v="TP3884"/>
    <n v="107643206"/>
    <s v="QUILICURA"/>
    <x v="4037"/>
    <x v="1"/>
    <x v="1"/>
    <x v="8"/>
    <x v="1"/>
    <n v="1"/>
    <n v="55000"/>
    <n v="0"/>
    <n v="55000"/>
    <n v="15.117199525045081"/>
    <n v="5000"/>
    <n v="73"/>
    <x v="5165"/>
    <x v="11"/>
    <x v="3"/>
    <x v="1"/>
  </r>
  <r>
    <x v="455"/>
    <s v="ZPEP"/>
    <x v="7"/>
    <s v="DCRK92"/>
    <s v="78778555"/>
    <s v="RENCA"/>
    <x v="4038"/>
    <x v="0"/>
    <x v="0"/>
    <x v="7"/>
    <x v="1"/>
    <n v="1"/>
    <n v="286634"/>
    <n v="0"/>
    <n v="286634"/>
    <n v="11.00001535060788"/>
    <n v="5000"/>
    <n v="100"/>
    <x v="5166"/>
    <x v="11"/>
    <x v="3"/>
    <x v="1"/>
  </r>
  <r>
    <x v="455"/>
    <s v="ZPEP"/>
    <x v="7"/>
    <s v="DTCY"/>
    <s v="92028607"/>
    <s v="RENCA"/>
    <x v="4039"/>
    <x v="0"/>
    <x v="0"/>
    <x v="7"/>
    <x v="1"/>
    <n v="1"/>
    <n v="283051"/>
    <n v="0"/>
    <n v="283051"/>
    <n v="11.000012435935497"/>
    <n v="5000"/>
    <n v="100"/>
    <x v="5167"/>
    <x v="11"/>
    <x v="3"/>
    <x v="1"/>
  </r>
  <r>
    <x v="455"/>
    <s v="ZTAN"/>
    <x v="7"/>
    <s v="WC2233"/>
    <s v="125108660"/>
    <s v="RENCA"/>
    <x v="4040"/>
    <x v="4"/>
    <x v="1"/>
    <x v="7"/>
    <x v="1"/>
    <n v="1"/>
    <n v="55640"/>
    <n v="0"/>
    <n v="55640"/>
    <n v="8.023997000374953"/>
    <n v="5000"/>
    <n v="100"/>
    <x v="5168"/>
    <x v="11"/>
    <x v="3"/>
    <x v="1"/>
  </r>
  <r>
    <x v="455"/>
    <s v="ZTAN"/>
    <x v="7"/>
    <s v="WG4022"/>
    <s v="81417709"/>
    <s v="RENCA"/>
    <x v="2365"/>
    <x v="1"/>
    <x v="0"/>
    <x v="7"/>
    <x v="1"/>
    <n v="1"/>
    <n v="102051"/>
    <n v="0"/>
    <n v="102051"/>
    <n v="10.999956884471944"/>
    <n v="5000"/>
    <n v="100"/>
    <x v="5169"/>
    <x v="11"/>
    <x v="3"/>
    <x v="1"/>
  </r>
  <r>
    <x v="455"/>
    <s v="ZTAN"/>
    <x v="8"/>
    <s v="TP3884"/>
    <s v="107643206"/>
    <s v="PUDAHUEL"/>
    <x v="4041"/>
    <x v="1"/>
    <x v="1"/>
    <x v="10"/>
    <x v="1"/>
    <n v="1"/>
    <n v="55000"/>
    <n v="0"/>
    <n v="55000"/>
    <n v="7.5280385216574821"/>
    <n v="5000"/>
    <n v="88"/>
    <x v="5170"/>
    <x v="11"/>
    <x v="3"/>
    <x v="1"/>
  </r>
  <r>
    <x v="456"/>
    <s v="ZPEP"/>
    <x v="87"/>
    <s v="KKPF51"/>
    <s v="95707734"/>
    <s v="HUASCO"/>
    <x v="4042"/>
    <x v="8"/>
    <x v="0"/>
    <x v="104"/>
    <x v="9"/>
    <n v="0"/>
    <n v="1500000"/>
    <n v="0"/>
    <n v="1500000"/>
    <n v="59.512615484230324"/>
    <n v="20000"/>
    <n v="100"/>
    <x v="5171"/>
    <x v="11"/>
    <x v="3"/>
    <x v="0"/>
  </r>
  <r>
    <x v="456"/>
    <s v="ZPEP"/>
    <x v="2"/>
    <s v="HLBX77"/>
    <s v="16093509K"/>
    <s v="PROVIDENCIA"/>
    <x v="4043"/>
    <x v="1"/>
    <x v="1"/>
    <x v="54"/>
    <x v="1"/>
    <n v="2"/>
    <n v="105479"/>
    <n v="0"/>
    <n v="105479"/>
    <n v="10.999965585674463"/>
    <n v="5000"/>
    <n v="100"/>
    <x v="5172"/>
    <x v="11"/>
    <x v="3"/>
    <x v="1"/>
  </r>
  <r>
    <x v="456"/>
    <s v="ZPEP"/>
    <x v="2"/>
    <s v="RK5135"/>
    <s v="138841065"/>
    <s v="PROVIDENCIA"/>
    <x v="4044"/>
    <x v="3"/>
    <x v="1"/>
    <x v="54"/>
    <x v="1"/>
    <n v="2"/>
    <n v="109020"/>
    <n v="0"/>
    <n v="109020"/>
    <n v="10.999965694474994"/>
    <n v="5000"/>
    <n v="100"/>
    <x v="5173"/>
    <x v="11"/>
    <x v="3"/>
    <x v="1"/>
  </r>
  <r>
    <x v="456"/>
    <s v="ZPEP"/>
    <x v="7"/>
    <s v="WG4022"/>
    <s v="154837728"/>
    <s v="RENCA"/>
    <x v="4045"/>
    <x v="1"/>
    <x v="0"/>
    <x v="7"/>
    <x v="1"/>
    <n v="1"/>
    <n v="132597"/>
    <n v="0"/>
    <n v="132597"/>
    <n v="11.000029865010154"/>
    <n v="5000"/>
    <n v="100"/>
    <x v="5174"/>
    <x v="11"/>
    <x v="3"/>
    <x v="1"/>
  </r>
  <r>
    <x v="456"/>
    <s v="ZTAN"/>
    <x v="6"/>
    <s v="TP3884"/>
    <s v="107643206"/>
    <s v="QUILLOTA"/>
    <x v="4046"/>
    <x v="1"/>
    <x v="1"/>
    <x v="19"/>
    <x v="2"/>
    <n v="0"/>
    <n v="203000"/>
    <n v="0"/>
    <n v="203000"/>
    <n v="49.494570226212126"/>
    <n v="20000"/>
    <n v="55"/>
    <x v="5175"/>
    <x v="11"/>
    <x v="3"/>
    <x v="0"/>
  </r>
  <r>
    <x v="456"/>
    <s v="ZTAN"/>
    <x v="7"/>
    <s v="WG4022"/>
    <s v="154837728"/>
    <s v="RENCA"/>
    <x v="4047"/>
    <x v="1"/>
    <x v="0"/>
    <x v="7"/>
    <x v="1"/>
    <n v="1"/>
    <n v="74526"/>
    <n v="0"/>
    <n v="74526"/>
    <n v="11.000066420174024"/>
    <n v="5000"/>
    <n v="100"/>
    <x v="5176"/>
    <x v="11"/>
    <x v="3"/>
    <x v="1"/>
  </r>
  <r>
    <x v="457"/>
    <s v="ZPEP"/>
    <x v="87"/>
    <s v="PKYS74"/>
    <s v="6270439K"/>
    <s v="HUASCO"/>
    <x v="4048"/>
    <x v="0"/>
    <x v="0"/>
    <x v="104"/>
    <x v="9"/>
    <n v="0"/>
    <n v="1500000"/>
    <n v="0"/>
    <n v="1500000"/>
    <n v="58.904424821853361"/>
    <n v="20000"/>
    <n v="100"/>
    <x v="5177"/>
    <x v="11"/>
    <x v="3"/>
    <x v="0"/>
  </r>
  <r>
    <x v="457"/>
    <s v="ZPEP"/>
    <x v="2"/>
    <s v="HLBX77"/>
    <s v="16093509K"/>
    <s v="PROVIDENCIA"/>
    <x v="4049"/>
    <x v="1"/>
    <x v="1"/>
    <x v="54"/>
    <x v="1"/>
    <n v="2"/>
    <n v="75280"/>
    <n v="0"/>
    <n v="75280"/>
    <n v="11.000042375296077"/>
    <n v="5000"/>
    <n v="100"/>
    <x v="5178"/>
    <x v="11"/>
    <x v="3"/>
    <x v="1"/>
  </r>
  <r>
    <x v="457"/>
    <s v="ZTAN"/>
    <x v="7"/>
    <s v="DJLF85"/>
    <s v="53173292"/>
    <s v="SANTIAGO"/>
    <x v="4050"/>
    <x v="4"/>
    <x v="1"/>
    <x v="20"/>
    <x v="1"/>
    <n v="1"/>
    <n v="66555"/>
    <n v="0"/>
    <n v="66555"/>
    <n v="10.99999008339862"/>
    <n v="5000"/>
    <n v="100"/>
    <x v="5179"/>
    <x v="11"/>
    <x v="3"/>
    <x v="1"/>
  </r>
  <r>
    <x v="457"/>
    <s v="ZTAN"/>
    <x v="7"/>
    <s v="WG4022"/>
    <s v="154837728"/>
    <s v="RENCA"/>
    <x v="4051"/>
    <x v="1"/>
    <x v="0"/>
    <x v="7"/>
    <x v="1"/>
    <n v="1"/>
    <n v="289075"/>
    <n v="0"/>
    <n v="289075"/>
    <n v="10.999998097379907"/>
    <n v="5000"/>
    <n v="100"/>
    <x v="5180"/>
    <x v="11"/>
    <x v="3"/>
    <x v="1"/>
  </r>
  <r>
    <x v="457"/>
    <s v="ZTAN"/>
    <x v="8"/>
    <s v="BWPL69"/>
    <s v="78551976"/>
    <s v="CHILLAN"/>
    <x v="4052"/>
    <x v="5"/>
    <x v="0"/>
    <x v="21"/>
    <x v="5"/>
    <n v="0"/>
    <n v="400000"/>
    <n v="0"/>
    <n v="400000"/>
    <n v="31.490533551982605"/>
    <n v="20000"/>
    <n v="68"/>
    <x v="5181"/>
    <x v="11"/>
    <x v="3"/>
    <x v="0"/>
  </r>
  <r>
    <x v="457"/>
    <s v="ZTAN"/>
    <x v="8"/>
    <s v="HLBX77"/>
    <s v="16093509K"/>
    <s v="PUDAHUEL"/>
    <x v="4053"/>
    <x v="1"/>
    <x v="1"/>
    <x v="10"/>
    <x v="1"/>
    <n v="1"/>
    <n v="73806"/>
    <n v="0"/>
    <n v="73806"/>
    <n v="9.5017766105360728"/>
    <n v="5000"/>
    <n v="100"/>
    <x v="5182"/>
    <x v="11"/>
    <x v="3"/>
    <x v="1"/>
  </r>
  <r>
    <x v="457"/>
    <s v="ZTAN"/>
    <x v="8"/>
    <s v="RK5135"/>
    <s v="138841065"/>
    <s v="LA REINA"/>
    <x v="4054"/>
    <x v="3"/>
    <x v="1"/>
    <x v="11"/>
    <x v="1"/>
    <n v="3"/>
    <n v="63136"/>
    <n v="0"/>
    <n v="63136"/>
    <n v="11.000050526081044"/>
    <n v="5000"/>
    <n v="100"/>
    <x v="5183"/>
    <x v="11"/>
    <x v="3"/>
    <x v="1"/>
  </r>
  <r>
    <x v="457"/>
    <s v="ZTAN"/>
    <x v="8"/>
    <s v="TP3884"/>
    <s v="107643206"/>
    <s v="LAS CONDES"/>
    <x v="4055"/>
    <x v="1"/>
    <x v="1"/>
    <x v="3"/>
    <x v="1"/>
    <n v="4"/>
    <n v="55000"/>
    <n v="0"/>
    <n v="55000"/>
    <n v="13.480590400839228"/>
    <n v="5000"/>
    <n v="82"/>
    <x v="5184"/>
    <x v="11"/>
    <x v="3"/>
    <x v="1"/>
  </r>
  <r>
    <x v="457"/>
    <s v="ZTAN"/>
    <x v="8"/>
    <s v="XR6339"/>
    <s v="78907355"/>
    <s v="SAN BERNARDO"/>
    <x v="4056"/>
    <x v="1"/>
    <x v="1"/>
    <x v="4"/>
    <x v="1"/>
    <n v="4"/>
    <n v="55000"/>
    <n v="0"/>
    <n v="55000"/>
    <n v="15.18330388692579"/>
    <n v="5000"/>
    <n v="72"/>
    <x v="5185"/>
    <x v="11"/>
    <x v="3"/>
    <x v="1"/>
  </r>
  <r>
    <x v="458"/>
    <s v="ZTAN"/>
    <x v="10"/>
    <s v="RH1133"/>
    <n v="65941082"/>
    <s v="SANTIAGO"/>
    <x v="4057"/>
    <x v="0"/>
    <x v="0"/>
    <x v="20"/>
    <x v="1"/>
    <n v="1"/>
    <n v="127384"/>
    <n v="0"/>
    <n v="127384"/>
    <n v="10.999984456468614"/>
    <n v="5000"/>
    <n v="100"/>
    <x v="5186"/>
    <x v="11"/>
    <x v="3"/>
    <x v="1"/>
  </r>
  <r>
    <x v="458"/>
    <s v="ZTAN"/>
    <x v="105"/>
    <s v="RH1133"/>
    <n v="65941082"/>
    <s v="VALPARAISO"/>
    <x v="2639"/>
    <x v="0"/>
    <x v="0"/>
    <x v="36"/>
    <x v="2"/>
    <n v="0"/>
    <n v="275000"/>
    <n v="0"/>
    <n v="275000"/>
    <n v="19.816677715965771"/>
    <n v="20000"/>
    <n v="69"/>
    <x v="5187"/>
    <x v="11"/>
    <x v="3"/>
    <x v="0"/>
  </r>
  <r>
    <x v="458"/>
    <s v="ZTAN"/>
    <x v="6"/>
    <s v="WC2233"/>
    <n v="125108660"/>
    <s v="PAINE"/>
    <x v="4058"/>
    <x v="4"/>
    <x v="1"/>
    <x v="13"/>
    <x v="1"/>
    <n v="5"/>
    <n v="90000"/>
    <n v="0"/>
    <n v="90000"/>
    <n v="41.88189306156638"/>
    <n v="10000"/>
    <n v="21"/>
    <x v="5188"/>
    <x v="11"/>
    <x v="3"/>
    <x v="1"/>
  </r>
  <r>
    <x v="458"/>
    <s v="ZTAN"/>
    <x v="7"/>
    <s v="DJLF85"/>
    <n v="53173292"/>
    <s v="RENCA"/>
    <x v="3575"/>
    <x v="4"/>
    <x v="1"/>
    <x v="7"/>
    <x v="1"/>
    <n v="1"/>
    <n v="85536"/>
    <n v="0"/>
    <n v="85536"/>
    <n v="11"/>
    <n v="5000"/>
    <n v="100"/>
    <x v="5189"/>
    <x v="11"/>
    <x v="3"/>
    <x v="1"/>
  </r>
  <r>
    <x v="458"/>
    <s v="ZTAN"/>
    <x v="7"/>
    <s v="WG4022"/>
    <n v="154837728"/>
    <s v="RENCA"/>
    <x v="4059"/>
    <x v="1"/>
    <x v="0"/>
    <x v="7"/>
    <x v="1"/>
    <n v="1"/>
    <n v="135864"/>
    <n v="0"/>
    <n v="135864"/>
    <n v="11.000011334875966"/>
    <n v="5000"/>
    <n v="100"/>
    <x v="5190"/>
    <x v="11"/>
    <x v="3"/>
    <x v="1"/>
  </r>
  <r>
    <x v="458"/>
    <s v="ZTAN"/>
    <x v="8"/>
    <s v="BDHB75"/>
    <n v="98494073"/>
    <s v="TEMUCO"/>
    <x v="4060"/>
    <x v="0"/>
    <x v="0"/>
    <x v="14"/>
    <x v="4"/>
    <n v="0"/>
    <n v="700000"/>
    <n v="0"/>
    <n v="700000"/>
    <n v="70.95527081092753"/>
    <n v="20000"/>
    <n v="58"/>
    <x v="5191"/>
    <x v="11"/>
    <x v="3"/>
    <x v="0"/>
  </r>
  <r>
    <x v="458"/>
    <s v="ZTAN"/>
    <x v="8"/>
    <s v="TP3884"/>
    <n v="107643206"/>
    <s v="REÑACA"/>
    <x v="4061"/>
    <x v="1"/>
    <x v="1"/>
    <x v="6"/>
    <x v="2"/>
    <n v="0"/>
    <n v="203000"/>
    <n v="0"/>
    <n v="203000"/>
    <n v="39.429878913366927"/>
    <n v="20000"/>
    <n v="26"/>
    <x v="5192"/>
    <x v="11"/>
    <x v="3"/>
    <x v="0"/>
  </r>
  <r>
    <x v="459"/>
    <s v="ZPEP"/>
    <x v="6"/>
    <s v="DJLF85"/>
    <s v="53173292"/>
    <s v="SANTIAGO"/>
    <x v="4062"/>
    <x v="4"/>
    <x v="1"/>
    <x v="20"/>
    <x v="1"/>
    <n v="1"/>
    <n v="55000"/>
    <n v="0"/>
    <n v="55000"/>
    <n v="12.614852497970157"/>
    <n v="5000"/>
    <n v="87"/>
    <x v="5193"/>
    <x v="11"/>
    <x v="3"/>
    <x v="1"/>
  </r>
  <r>
    <x v="459"/>
    <s v="ZTAN"/>
    <x v="17"/>
    <s v="XR6339"/>
    <s v="78907355"/>
    <s v="LAMPA"/>
    <x v="2666"/>
    <x v="1"/>
    <x v="1"/>
    <x v="17"/>
    <x v="1"/>
    <n v="5"/>
    <n v="70000"/>
    <n v="0"/>
    <n v="70000"/>
    <n v="8.7901048533936059"/>
    <n v="10000"/>
    <n v="80"/>
    <x v="5194"/>
    <x v="11"/>
    <x v="3"/>
    <x v="1"/>
  </r>
  <r>
    <x v="459"/>
    <s v="ZTAN"/>
    <x v="74"/>
    <s v="WC2233"/>
    <s v="125108660"/>
    <s v="SANTIAGO"/>
    <x v="1291"/>
    <x v="4"/>
    <x v="1"/>
    <x v="20"/>
    <x v="1"/>
    <n v="1"/>
    <n v="55000"/>
    <n v="0"/>
    <n v="55000"/>
    <n v="19.407198306280875"/>
    <n v="5000"/>
    <n v="57"/>
    <x v="5195"/>
    <x v="11"/>
    <x v="3"/>
    <x v="1"/>
  </r>
  <r>
    <x v="459"/>
    <s v="ZTAN"/>
    <x v="7"/>
    <s v="HLBX77"/>
    <s v="16093509K"/>
    <s v="SAN MIGUEL"/>
    <x v="0"/>
    <x v="1"/>
    <x v="1"/>
    <x v="23"/>
    <x v="1"/>
    <n v="2"/>
    <n v="165088"/>
    <n v="0"/>
    <n v="165088"/>
    <n v="11.000000000000007"/>
    <n v="5000"/>
    <n v="100"/>
    <x v="5196"/>
    <x v="11"/>
    <x v="3"/>
    <x v="1"/>
  </r>
  <r>
    <x v="459"/>
    <s v="ZTAN"/>
    <x v="8"/>
    <s v="SV2718"/>
    <s v="154837728"/>
    <s v="ÑUÑOA"/>
    <x v="4063"/>
    <x v="1"/>
    <x v="1"/>
    <x v="15"/>
    <x v="1"/>
    <n v="4"/>
    <n v="55000"/>
    <n v="0"/>
    <n v="55000"/>
    <n v="17.356728098964908"/>
    <n v="5000"/>
    <n v="63"/>
    <x v="5197"/>
    <x v="11"/>
    <x v="3"/>
    <x v="1"/>
  </r>
  <r>
    <x v="459"/>
    <s v="ZTAN"/>
    <x v="8"/>
    <s v="TP3884"/>
    <s v="107643206"/>
    <s v="CERRILLOS"/>
    <x v="4064"/>
    <x v="1"/>
    <x v="1"/>
    <x v="9"/>
    <x v="1"/>
    <n v="2"/>
    <n v="55000"/>
    <n v="0"/>
    <n v="55000"/>
    <n v="12.462047401096658"/>
    <n v="5000"/>
    <n v="88"/>
    <x v="5198"/>
    <x v="11"/>
    <x v="3"/>
    <x v="1"/>
  </r>
  <r>
    <x v="460"/>
    <s v="ZPEP"/>
    <x v="2"/>
    <s v="DCRX92"/>
    <n v="78778555"/>
    <s v="COQUIMBO"/>
    <x v="4065"/>
    <x v="0"/>
    <x v="0"/>
    <x v="42"/>
    <x v="8"/>
    <n v="0"/>
    <n v="400000"/>
    <n v="0"/>
    <n v="400000"/>
    <n v="18.974341946103372"/>
    <n v="20000"/>
    <n v="100"/>
    <x v="5199"/>
    <x v="11"/>
    <x v="3"/>
    <x v="0"/>
  </r>
  <r>
    <x v="460"/>
    <s v="ZTAN"/>
    <x v="5"/>
    <s v="DJLF85"/>
    <n v="53173294"/>
    <s v="COLINA"/>
    <x v="890"/>
    <x v="4"/>
    <x v="1"/>
    <x v="5"/>
    <x v="1"/>
    <n v="5"/>
    <n v="70000"/>
    <n v="0"/>
    <n v="70000"/>
    <n v="10.802469135802468"/>
    <n v="10000"/>
    <n v="65"/>
    <x v="5200"/>
    <x v="11"/>
    <x v="3"/>
    <x v="1"/>
  </r>
  <r>
    <x v="460"/>
    <s v="ZTAN"/>
    <x v="6"/>
    <s v="WT7053"/>
    <n v="172861164"/>
    <s v="RANCAGUA"/>
    <x v="4066"/>
    <x v="0"/>
    <x v="0"/>
    <x v="28"/>
    <x v="6"/>
    <n v="0"/>
    <n v="250000"/>
    <n v="0"/>
    <n v="250000"/>
    <n v="47.992014128848965"/>
    <n v="20000"/>
    <n v="55"/>
    <x v="5201"/>
    <x v="11"/>
    <x v="3"/>
    <x v="0"/>
  </r>
  <r>
    <x v="460"/>
    <s v="ZTAN"/>
    <x v="7"/>
    <s v="TP3884"/>
    <n v="107643206"/>
    <s v="SAN MIGUEL"/>
    <x v="359"/>
    <x v="1"/>
    <x v="1"/>
    <x v="23"/>
    <x v="1"/>
    <n v="2"/>
    <n v="55000"/>
    <n v="0"/>
    <n v="55000"/>
    <n v="12.215707178393746"/>
    <n v="5000"/>
    <n v="90"/>
    <x v="5202"/>
    <x v="11"/>
    <x v="3"/>
    <x v="1"/>
  </r>
  <r>
    <x v="460"/>
    <s v="ZTAN"/>
    <x v="7"/>
    <s v="WG4022"/>
    <n v="154837728"/>
    <s v="RENCA"/>
    <x v="4067"/>
    <x v="1"/>
    <x v="0"/>
    <x v="7"/>
    <x v="1"/>
    <n v="1"/>
    <n v="165733"/>
    <n v="0"/>
    <n v="165733"/>
    <n v="11.000026548790046"/>
    <n v="5000"/>
    <n v="100"/>
    <x v="5203"/>
    <x v="11"/>
    <x v="3"/>
    <x v="1"/>
  </r>
  <r>
    <x v="460"/>
    <s v="ZTAN"/>
    <x v="8"/>
    <s v="DRFV76"/>
    <n v="113693568"/>
    <s v="OSORNO"/>
    <x v="4068"/>
    <x v="0"/>
    <x v="0"/>
    <x v="64"/>
    <x v="10"/>
    <n v="0"/>
    <n v="950000"/>
    <n v="0"/>
    <n v="950000"/>
    <n v="115.29154196976206"/>
    <n v="20000"/>
    <n v="55"/>
    <x v="5204"/>
    <x v="11"/>
    <x v="3"/>
    <x v="0"/>
  </r>
  <r>
    <x v="460"/>
    <s v="ZTAN"/>
    <x v="8"/>
    <s v="DTCY42"/>
    <n v="92028607"/>
    <s v="TALCA"/>
    <x v="4069"/>
    <x v="5"/>
    <x v="0"/>
    <x v="12"/>
    <x v="3"/>
    <n v="0"/>
    <n v="360000"/>
    <n v="0"/>
    <n v="360000"/>
    <n v="41.274558362225513"/>
    <n v="20000"/>
    <n v="44"/>
    <x v="5205"/>
    <x v="11"/>
    <x v="3"/>
    <x v="0"/>
  </r>
  <r>
    <x v="461"/>
    <s v="ZPEP"/>
    <x v="29"/>
    <s v="BWPL69"/>
    <s v="78551976"/>
    <s v="CONCEPCION"/>
    <x v="4070"/>
    <x v="5"/>
    <x v="0"/>
    <x v="81"/>
    <x v="0"/>
    <n v="0"/>
    <n v="460000"/>
    <n v="0"/>
    <n v="460000"/>
    <n v="28.097711624634119"/>
    <n v="20000"/>
    <n v="82"/>
    <x v="5206"/>
    <x v="11"/>
    <x v="3"/>
    <x v="0"/>
  </r>
  <r>
    <x v="461"/>
    <s v="ZPEP"/>
    <x v="2"/>
    <s v="KKPF51"/>
    <s v="95707734"/>
    <s v="COQUIMBO"/>
    <x v="4071"/>
    <x v="8"/>
    <x v="0"/>
    <x v="42"/>
    <x v="8"/>
    <n v="0"/>
    <n v="400000"/>
    <n v="0"/>
    <n v="400000"/>
    <n v="20.915207656639208"/>
    <n v="20000"/>
    <n v="96"/>
    <x v="5207"/>
    <x v="11"/>
    <x v="3"/>
    <x v="0"/>
  </r>
  <r>
    <x v="461"/>
    <s v="ZPEP"/>
    <x v="7"/>
    <s v="HLBX77"/>
    <s v="16093509K"/>
    <s v="RENCA"/>
    <x v="4072"/>
    <x v="1"/>
    <x v="1"/>
    <x v="7"/>
    <x v="1"/>
    <n v="1"/>
    <n v="132597"/>
    <n v="0"/>
    <n v="132597"/>
    <n v="9.2284789229578568"/>
    <n v="5000"/>
    <n v="100"/>
    <x v="5208"/>
    <x v="11"/>
    <x v="3"/>
    <x v="1"/>
  </r>
  <r>
    <x v="461"/>
    <s v="ZPEP"/>
    <x v="7"/>
    <s v="WC22333"/>
    <s v="125108660"/>
    <s v="PUENTE ALTO"/>
    <x v="1736"/>
    <x v="0"/>
    <x v="0"/>
    <x v="30"/>
    <x v="1"/>
    <n v="4"/>
    <n v="55000"/>
    <n v="0"/>
    <n v="55000"/>
    <n v="15.0519978106185"/>
    <n v="5000"/>
    <n v="73"/>
    <x v="5209"/>
    <x v="11"/>
    <x v="3"/>
    <x v="1"/>
  </r>
  <r>
    <x v="461"/>
    <s v="ZTAN"/>
    <x v="47"/>
    <s v="DJLF85"/>
    <s v="53173294"/>
    <s v="SAN JOAQUIN"/>
    <x v="4073"/>
    <x v="4"/>
    <x v="1"/>
    <x v="67"/>
    <x v="1"/>
    <n v="3"/>
    <n v="55000"/>
    <n v="0"/>
    <n v="55000"/>
    <n v="11.06550780621278"/>
    <n v="5000"/>
    <n v="100"/>
    <x v="5210"/>
    <x v="11"/>
    <x v="3"/>
    <x v="1"/>
  </r>
  <r>
    <x v="461"/>
    <s v="ZTAN"/>
    <x v="7"/>
    <s v="WG4022"/>
    <s v="154837728"/>
    <s v="RENCA"/>
    <x v="4074"/>
    <x v="1"/>
    <x v="0"/>
    <x v="7"/>
    <x v="1"/>
    <n v="1"/>
    <n v="152810"/>
    <n v="0"/>
    <n v="152810"/>
    <n v="10.999966887083515"/>
    <n v="5000"/>
    <n v="100"/>
    <x v="5211"/>
    <x v="11"/>
    <x v="3"/>
    <x v="1"/>
  </r>
  <r>
    <x v="461"/>
    <s v="ZTAN"/>
    <x v="7"/>
    <s v="XR6339"/>
    <s v="78907355"/>
    <s v="MELIPILLA"/>
    <x v="4075"/>
    <x v="1"/>
    <x v="1"/>
    <x v="29"/>
    <x v="1"/>
    <n v="5"/>
    <n v="90000"/>
    <n v="0"/>
    <n v="90000"/>
    <n v="18.634311979792123"/>
    <n v="10000"/>
    <n v="55"/>
    <x v="5212"/>
    <x v="11"/>
    <x v="3"/>
    <x v="1"/>
  </r>
  <r>
    <x v="461"/>
    <s v="ZTAN"/>
    <x v="8"/>
    <s v="SV2718"/>
    <s v="99626232"/>
    <s v="HUECHURABA"/>
    <x v="4076"/>
    <x v="1"/>
    <x v="1"/>
    <x v="24"/>
    <x v="1"/>
    <n v="1"/>
    <n v="55000"/>
    <n v="0"/>
    <n v="55000"/>
    <n v="12.557880412446462"/>
    <n v="5000"/>
    <n v="88"/>
    <x v="5213"/>
    <x v="11"/>
    <x v="3"/>
    <x v="1"/>
  </r>
  <r>
    <x v="461"/>
    <s v="ZTAN"/>
    <x v="8"/>
    <s v="TP3884"/>
    <s v="107643206"/>
    <s v="PUDAHUEL"/>
    <x v="4077"/>
    <x v="1"/>
    <x v="1"/>
    <x v="10"/>
    <x v="1"/>
    <n v="1"/>
    <n v="89233"/>
    <n v="0"/>
    <n v="89233"/>
    <n v="10.999960552851784"/>
    <n v="5000"/>
    <n v="100"/>
    <x v="5214"/>
    <x v="11"/>
    <x v="3"/>
    <x v="1"/>
  </r>
  <r>
    <x v="461"/>
    <s v="ZTAN"/>
    <x v="8"/>
    <s v="XR6339"/>
    <s v="78907355"/>
    <s v="ÑUÑOA"/>
    <x v="4078"/>
    <x v="1"/>
    <x v="1"/>
    <x v="15"/>
    <x v="1"/>
    <n v="4"/>
    <n v="55106"/>
    <n v="0"/>
    <n v="55106"/>
    <n v="11.000079846694348"/>
    <n v="5000"/>
    <n v="100"/>
    <x v="5215"/>
    <x v="11"/>
    <x v="3"/>
    <x v="1"/>
  </r>
  <r>
    <x v="462"/>
    <s v="ZPEP"/>
    <x v="5"/>
    <s v="SU9354"/>
    <s v="72561394"/>
    <s v="PAINE"/>
    <x v="4079"/>
    <x v="2"/>
    <x v="1"/>
    <x v="13"/>
    <x v="1"/>
    <n v="5"/>
    <n v="90000"/>
    <n v="0"/>
    <n v="90000"/>
    <n v="17.277290920783621"/>
    <n v="10000"/>
    <n v="52"/>
    <x v="5216"/>
    <x v="11"/>
    <x v="3"/>
    <x v="1"/>
  </r>
  <r>
    <x v="462"/>
    <s v="ZTAN"/>
    <x v="109"/>
    <s v="HLBX77"/>
    <s v="16093509K"/>
    <s v="SANTIAGO"/>
    <x v="1124"/>
    <x v="1"/>
    <x v="1"/>
    <x v="20"/>
    <x v="1"/>
    <n v="1"/>
    <n v="68693"/>
    <n v="0"/>
    <n v="68693"/>
    <n v="11.000032026646167"/>
    <n v="5000"/>
    <n v="100"/>
    <x v="5217"/>
    <x v="11"/>
    <x v="3"/>
    <x v="1"/>
  </r>
  <r>
    <x v="462"/>
    <s v="ZTAN"/>
    <x v="10"/>
    <s v="TP3884"/>
    <s v="107643206"/>
    <s v="QUILICURA"/>
    <x v="4080"/>
    <x v="1"/>
    <x v="1"/>
    <x v="8"/>
    <x v="1"/>
    <n v="1"/>
    <n v="92286"/>
    <n v="0"/>
    <n v="92286"/>
    <n v="10.696539613915725"/>
    <n v="5000"/>
    <n v="100"/>
    <x v="5218"/>
    <x v="11"/>
    <x v="3"/>
    <x v="1"/>
  </r>
  <r>
    <x v="462"/>
    <s v="ZTAN"/>
    <x v="16"/>
    <s v="XR6339"/>
    <s v="78907355"/>
    <s v="SAN BERNARDO"/>
    <x v="4081"/>
    <x v="1"/>
    <x v="1"/>
    <x v="4"/>
    <x v="1"/>
    <n v="4"/>
    <n v="85800"/>
    <n v="0"/>
    <n v="85800"/>
    <n v="11"/>
    <n v="5000"/>
    <n v="100"/>
    <x v="5219"/>
    <x v="11"/>
    <x v="3"/>
    <x v="1"/>
  </r>
  <r>
    <x v="462"/>
    <s v="ZTAN"/>
    <x v="7"/>
    <s v="WC2233"/>
    <s v="125108660"/>
    <s v="RENCA"/>
    <x v="4082"/>
    <x v="4"/>
    <x v="1"/>
    <x v="7"/>
    <x v="1"/>
    <n v="1"/>
    <n v="81972"/>
    <n v="0"/>
    <n v="81972"/>
    <n v="11.000000000000002"/>
    <n v="5000"/>
    <n v="100"/>
    <x v="5220"/>
    <x v="11"/>
    <x v="3"/>
    <x v="1"/>
  </r>
  <r>
    <x v="463"/>
    <s v="ZPEP"/>
    <x v="5"/>
    <s v="SU9354"/>
    <n v="72564391"/>
    <s v="PAINE"/>
    <x v="4083"/>
    <x v="2"/>
    <x v="1"/>
    <x v="13"/>
    <x v="1"/>
    <n v="5"/>
    <n v="90000"/>
    <n v="0"/>
    <n v="90000"/>
    <n v="28.577960676726107"/>
    <n v="10000"/>
    <n v="31"/>
    <x v="5221"/>
    <x v="11"/>
    <x v="3"/>
    <x v="1"/>
  </r>
  <r>
    <x v="463"/>
    <s v="ZTAN"/>
    <x v="6"/>
    <s v="DKDL88"/>
    <n v="122975819"/>
    <s v="LA SERENA"/>
    <x v="4084"/>
    <x v="0"/>
    <x v="0"/>
    <x v="63"/>
    <x v="8"/>
    <n v="0"/>
    <n v="650000"/>
    <n v="0"/>
    <n v="650000"/>
    <n v="68.203805562492519"/>
    <n v="20000"/>
    <n v="48"/>
    <x v="5222"/>
    <x v="11"/>
    <x v="3"/>
    <x v="0"/>
  </r>
  <r>
    <x v="463"/>
    <s v="ZTAN"/>
    <x v="8"/>
    <s v="SV2718"/>
    <n v="99626232"/>
    <s v="PUENTE ALTO"/>
    <x v="4085"/>
    <x v="1"/>
    <x v="1"/>
    <x v="30"/>
    <x v="1"/>
    <n v="4"/>
    <n v="55000"/>
    <n v="0"/>
    <n v="55000"/>
    <n v="14.607380179644219"/>
    <n v="5000"/>
    <n v="75"/>
    <x v="5223"/>
    <x v="11"/>
    <x v="3"/>
    <x v="1"/>
  </r>
  <r>
    <x v="464"/>
    <s v="ZTAN"/>
    <x v="10"/>
    <s v="RH1133"/>
    <s v="65941082"/>
    <s v="SANTIAGO"/>
    <x v="4086"/>
    <x v="0"/>
    <x v="0"/>
    <x v="20"/>
    <x v="1"/>
    <n v="1"/>
    <n v="148639"/>
    <n v="0"/>
    <n v="148639"/>
    <n v="11.000029602001105"/>
    <n v="5000"/>
    <n v="100"/>
    <x v="5224"/>
    <x v="11"/>
    <x v="3"/>
    <x v="1"/>
  </r>
  <r>
    <x v="464"/>
    <s v="ZTAN"/>
    <x v="6"/>
    <s v="DJLF85"/>
    <s v="53173292"/>
    <s v="LA DEHESA"/>
    <x v="4087"/>
    <x v="4"/>
    <x v="1"/>
    <x v="41"/>
    <x v="1"/>
    <n v="4"/>
    <n v="55000"/>
    <n v="0"/>
    <n v="55000"/>
    <n v="16.583047903902749"/>
    <n v="5000"/>
    <n v="66"/>
    <x v="5225"/>
    <x v="11"/>
    <x v="3"/>
    <x v="1"/>
  </r>
  <r>
    <x v="464"/>
    <s v="ZTAN"/>
    <x v="6"/>
    <s v="SV2718"/>
    <s v="99626232"/>
    <s v="CERRILLOS"/>
    <x v="97"/>
    <x v="1"/>
    <x v="1"/>
    <x v="9"/>
    <x v="1"/>
    <n v="2"/>
    <n v="55000"/>
    <n v="0"/>
    <n v="55000"/>
    <n v="13.918412794817289"/>
    <n v="5000"/>
    <n v="79"/>
    <x v="5226"/>
    <x v="11"/>
    <x v="3"/>
    <x v="1"/>
  </r>
  <r>
    <x v="464"/>
    <s v="ZTAN"/>
    <x v="6"/>
    <s v="TP3884"/>
    <s v="107643206"/>
    <s v="PUENTE ALTO"/>
    <x v="4088"/>
    <x v="1"/>
    <x v="1"/>
    <x v="30"/>
    <x v="1"/>
    <n v="4"/>
    <n v="55000"/>
    <n v="0"/>
    <n v="55000"/>
    <n v="16.168861712135467"/>
    <n v="5000"/>
    <n v="68"/>
    <x v="5227"/>
    <x v="11"/>
    <x v="3"/>
    <x v="1"/>
  </r>
  <r>
    <x v="464"/>
    <s v="ZTAN"/>
    <x v="6"/>
    <s v="XR6339"/>
    <s v="78907355"/>
    <s v="LA FLORIDA"/>
    <x v="4089"/>
    <x v="1"/>
    <x v="1"/>
    <x v="33"/>
    <x v="1"/>
    <n v="3"/>
    <n v="55000"/>
    <n v="0"/>
    <n v="55000"/>
    <n v="13.52408023959752"/>
    <n v="5000"/>
    <n v="81"/>
    <x v="5228"/>
    <x v="11"/>
    <x v="3"/>
    <x v="1"/>
  </r>
  <r>
    <x v="464"/>
    <s v="ZTAN"/>
    <x v="70"/>
    <s v="SU9354"/>
    <s v="72564391"/>
    <s v="SAN FELIPE"/>
    <x v="4090"/>
    <x v="2"/>
    <x v="1"/>
    <x v="35"/>
    <x v="2"/>
    <n v="0"/>
    <n v="203000"/>
    <n v="0"/>
    <n v="203000"/>
    <n v="20.435693001530151"/>
    <n v="20000"/>
    <n v="50"/>
    <x v="5229"/>
    <x v="11"/>
    <x v="3"/>
    <x v="0"/>
  </r>
  <r>
    <x v="464"/>
    <s v="ZTAN"/>
    <x v="7"/>
    <s v="WC2233"/>
    <s v="125108660"/>
    <s v="RENCA"/>
    <x v="4091"/>
    <x v="4"/>
    <x v="1"/>
    <x v="7"/>
    <x v="1"/>
    <n v="1"/>
    <n v="135700"/>
    <n v="0"/>
    <n v="135700"/>
    <n v="10.999967575629844"/>
    <n v="5000"/>
    <n v="100"/>
    <x v="5230"/>
    <x v="11"/>
    <x v="3"/>
    <x v="1"/>
  </r>
  <r>
    <x v="464"/>
    <s v="ZTAN"/>
    <x v="7"/>
    <s v="WG4022"/>
    <s v="154837728"/>
    <s v="RENCA"/>
    <x v="4092"/>
    <x v="1"/>
    <x v="0"/>
    <x v="7"/>
    <x v="1"/>
    <n v="1"/>
    <n v="199839"/>
    <n v="0"/>
    <n v="199839"/>
    <n v="11.000001100886323"/>
    <n v="5000"/>
    <n v="100"/>
    <x v="5231"/>
    <x v="11"/>
    <x v="3"/>
    <x v="1"/>
  </r>
  <r>
    <x v="464"/>
    <s v="ZTAN"/>
    <x v="8"/>
    <s v="HLBX77"/>
    <s v="16093509K"/>
    <s v="PUDAHUEL"/>
    <x v="4093"/>
    <x v="1"/>
    <x v="1"/>
    <x v="10"/>
    <x v="1"/>
    <n v="1"/>
    <n v="96732"/>
    <n v="0"/>
    <n v="96732"/>
    <n v="11.000010234471747"/>
    <n v="5000"/>
    <n v="100"/>
    <x v="5232"/>
    <x v="11"/>
    <x v="3"/>
    <x v="1"/>
  </r>
  <r>
    <x v="464"/>
    <s v="ZTAN"/>
    <x v="8"/>
    <s v="PKYS74"/>
    <s v="6270439K"/>
    <s v="TALCAHUANO"/>
    <x v="4094"/>
    <x v="0"/>
    <x v="0"/>
    <x v="0"/>
    <x v="0"/>
    <n v="0"/>
    <n v="430000"/>
    <n v="0"/>
    <n v="430000"/>
    <n v="39.291079280260533"/>
    <n v="20000"/>
    <n v="65"/>
    <x v="5233"/>
    <x v="11"/>
    <x v="3"/>
    <x v="0"/>
  </r>
  <r>
    <x v="464"/>
    <s v="ZTAN"/>
    <x v="8"/>
    <s v="SV2718"/>
    <s v="99626232"/>
    <s v="LAS CONDES"/>
    <x v="4095"/>
    <x v="1"/>
    <x v="1"/>
    <x v="3"/>
    <x v="1"/>
    <n v="4"/>
    <n v="55000"/>
    <n v="0"/>
    <n v="55000"/>
    <n v="11.582507465452538"/>
    <n v="5000"/>
    <n v="95"/>
    <x v="5234"/>
    <x v="11"/>
    <x v="3"/>
    <x v="1"/>
  </r>
  <r>
    <x v="465"/>
    <s v="ZPEP"/>
    <x v="33"/>
    <s v="HLBX77"/>
    <s v="16093509K"/>
    <s v="SAN BERNARDO"/>
    <x v="4096"/>
    <x v="1"/>
    <x v="1"/>
    <x v="4"/>
    <x v="1"/>
    <n v="4"/>
    <n v="72994"/>
    <n v="0"/>
    <n v="72994"/>
    <n v="11.000030139546102"/>
    <n v="5000"/>
    <n v="100"/>
    <x v="5235"/>
    <x v="11"/>
    <x v="3"/>
    <x v="1"/>
  </r>
  <r>
    <x v="465"/>
    <s v="ZTAN"/>
    <x v="6"/>
    <s v="DKDL88"/>
    <s v="122975819"/>
    <s v="TALCA"/>
    <x v="4097"/>
    <x v="0"/>
    <x v="0"/>
    <x v="12"/>
    <x v="3"/>
    <n v="0"/>
    <n v="360000"/>
    <n v="0"/>
    <n v="360000"/>
    <n v="52.68241285450874"/>
    <n v="20000"/>
    <n v="78"/>
    <x v="5236"/>
    <x v="11"/>
    <x v="3"/>
    <x v="0"/>
  </r>
  <r>
    <x v="465"/>
    <s v="ZTAN"/>
    <x v="6"/>
    <s v="DLSS85"/>
    <s v="155202483"/>
    <s v="COPIAPO"/>
    <x v="4098"/>
    <x v="0"/>
    <x v="0"/>
    <x v="60"/>
    <x v="9"/>
    <n v="0"/>
    <n v="1000000"/>
    <n v="0"/>
    <n v="1000000"/>
    <n v="96.456943549538366"/>
    <n v="20000"/>
    <n v="52"/>
    <x v="5237"/>
    <x v="11"/>
    <x v="3"/>
    <x v="0"/>
  </r>
  <r>
    <x v="465"/>
    <s v="ZTAN"/>
    <x v="6"/>
    <s v="SU9354"/>
    <s v="72564391"/>
    <s v="LOS ANDES"/>
    <x v="4099"/>
    <x v="2"/>
    <x v="1"/>
    <x v="38"/>
    <x v="2"/>
    <n v="0"/>
    <n v="203000"/>
    <n v="0"/>
    <n v="203000"/>
    <n v="37.492058332471451"/>
    <n v="20000"/>
    <n v="27"/>
    <x v="5238"/>
    <x v="11"/>
    <x v="3"/>
    <x v="0"/>
  </r>
  <r>
    <x v="465"/>
    <s v="ZTAN"/>
    <x v="6"/>
    <s v="WC1343"/>
    <s v="87493997"/>
    <s v="TEMUCO"/>
    <x v="4100"/>
    <x v="0"/>
    <x v="0"/>
    <x v="14"/>
    <x v="4"/>
    <n v="0"/>
    <n v="700000"/>
    <n v="0"/>
    <n v="700000"/>
    <n v="119.62744595402889"/>
    <n v="20000"/>
    <n v="55"/>
    <x v="5239"/>
    <x v="11"/>
    <x v="3"/>
    <x v="0"/>
  </r>
  <r>
    <x v="465"/>
    <s v="ZTAN"/>
    <x v="7"/>
    <s v="WC2233"/>
    <s v="125108660"/>
    <s v="RENCA"/>
    <x v="4101"/>
    <x v="4"/>
    <x v="1"/>
    <x v="7"/>
    <x v="1"/>
    <n v="1"/>
    <n v="84621"/>
    <n v="0"/>
    <n v="84621"/>
    <n v="11.000025998336104"/>
    <n v="5000"/>
    <n v="100"/>
    <x v="5240"/>
    <x v="11"/>
    <x v="3"/>
    <x v="1"/>
  </r>
  <r>
    <x v="465"/>
    <s v="ZTAN"/>
    <x v="7"/>
    <s v="WG4022"/>
    <s v="154837728"/>
    <s v="RENCA"/>
    <x v="4102"/>
    <x v="1"/>
    <x v="0"/>
    <x v="7"/>
    <x v="1"/>
    <n v="1"/>
    <n v="156971"/>
    <n v="0"/>
    <n v="156971"/>
    <n v="10.999977575521438"/>
    <n v="5000"/>
    <n v="100"/>
    <x v="5241"/>
    <x v="11"/>
    <x v="3"/>
    <x v="1"/>
  </r>
  <r>
    <x v="465"/>
    <s v="ZTAN"/>
    <x v="7"/>
    <s v="XR6339"/>
    <s v="78907355"/>
    <s v="RENCA"/>
    <x v="90"/>
    <x v="1"/>
    <x v="1"/>
    <x v="7"/>
    <x v="1"/>
    <n v="1"/>
    <n v="83358"/>
    <n v="0"/>
    <n v="83358"/>
    <n v="11.000000000000002"/>
    <n v="5000"/>
    <n v="100"/>
    <x v="5242"/>
    <x v="11"/>
    <x v="3"/>
    <x v="1"/>
  </r>
  <r>
    <x v="465"/>
    <s v="ZTAN"/>
    <x v="8"/>
    <s v="TP3884"/>
    <s v="107643206"/>
    <s v="SAN MIGUEL"/>
    <x v="4103"/>
    <x v="1"/>
    <x v="1"/>
    <x v="23"/>
    <x v="1"/>
    <n v="2"/>
    <n v="55000"/>
    <n v="0"/>
    <n v="55000"/>
    <n v="13.076495118901002"/>
    <n v="5000"/>
    <n v="84"/>
    <x v="5243"/>
    <x v="11"/>
    <x v="3"/>
    <x v="1"/>
  </r>
  <r>
    <x v="466"/>
    <s v="ZPEP"/>
    <x v="29"/>
    <s v="BWPL69"/>
    <s v="78551976"/>
    <s v="CONCEPCION"/>
    <x v="4104"/>
    <x v="5"/>
    <x v="0"/>
    <x v="81"/>
    <x v="0"/>
    <n v="0"/>
    <n v="460000"/>
    <n v="0"/>
    <n v="460000"/>
    <n v="40.092316917563224"/>
    <n v="20000"/>
    <n v="57"/>
    <x v="5244"/>
    <x v="11"/>
    <x v="3"/>
    <x v="0"/>
  </r>
  <r>
    <x v="466"/>
    <s v="ZPEP"/>
    <x v="33"/>
    <s v="DJLF85"/>
    <s v="53173292"/>
    <s v="SAN BERNARDO"/>
    <x v="4105"/>
    <x v="4"/>
    <x v="1"/>
    <x v="4"/>
    <x v="1"/>
    <n v="4"/>
    <n v="62994"/>
    <n v="0"/>
    <n v="62994"/>
    <n v="10.999937137229427"/>
    <n v="5000"/>
    <n v="100"/>
    <x v="5245"/>
    <x v="11"/>
    <x v="3"/>
    <x v="1"/>
  </r>
  <r>
    <x v="466"/>
    <s v="ZTAN"/>
    <x v="4"/>
    <s v="XR6339"/>
    <s v="78907355"/>
    <s v="SAN BERNARDO"/>
    <x v="4106"/>
    <x v="1"/>
    <x v="1"/>
    <x v="4"/>
    <x v="1"/>
    <n v="4"/>
    <n v="55000"/>
    <n v="0"/>
    <n v="55000"/>
    <n v="11.600928074245939"/>
    <n v="5000"/>
    <n v="85"/>
    <x v="5246"/>
    <x v="11"/>
    <x v="3"/>
    <x v="1"/>
  </r>
  <r>
    <x v="466"/>
    <s v="ZTAN"/>
    <x v="6"/>
    <s v="BWPL69"/>
    <s v="78551976"/>
    <s v="CHIGUAYANTE"/>
    <x v="4107"/>
    <x v="5"/>
    <x v="0"/>
    <x v="82"/>
    <x v="0"/>
    <n v="0"/>
    <n v="420000"/>
    <n v="0"/>
    <n v="420000"/>
    <n v="93.983700541077596"/>
    <n v="20000"/>
    <n v="22"/>
    <x v="5247"/>
    <x v="11"/>
    <x v="3"/>
    <x v="0"/>
  </r>
  <r>
    <x v="466"/>
    <s v="ZTAN"/>
    <x v="6"/>
    <s v="RX2274"/>
    <s v="100822326"/>
    <s v="CHILLAN"/>
    <x v="4108"/>
    <x v="0"/>
    <x v="0"/>
    <x v="21"/>
    <x v="5"/>
    <n v="0"/>
    <n v="400000"/>
    <n v="0"/>
    <n v="400000"/>
    <n v="79.946915248275104"/>
    <n v="20000"/>
    <n v="25"/>
    <x v="5248"/>
    <x v="11"/>
    <x v="3"/>
    <x v="0"/>
  </r>
  <r>
    <x v="466"/>
    <s v="ZTAN"/>
    <x v="7"/>
    <s v="TP3884"/>
    <s v="107643206"/>
    <s v="SAN MIGUEL"/>
    <x v="4109"/>
    <x v="1"/>
    <x v="1"/>
    <x v="23"/>
    <x v="1"/>
    <n v="2"/>
    <n v="97690"/>
    <n v="0"/>
    <n v="97690"/>
    <n v="11.000011260120033"/>
    <n v="5000"/>
    <n v="100"/>
    <x v="5249"/>
    <x v="11"/>
    <x v="3"/>
    <x v="1"/>
  </r>
  <r>
    <x v="466"/>
    <s v="ZTAN"/>
    <x v="7"/>
    <s v="WG4022"/>
    <s v="15487728"/>
    <s v="SAN MIGUEL"/>
    <x v="4110"/>
    <x v="1"/>
    <x v="0"/>
    <x v="23"/>
    <x v="1"/>
    <n v="2"/>
    <n v="258135"/>
    <n v="0"/>
    <n v="258135"/>
    <n v="11.000008522678844"/>
    <n v="5000"/>
    <n v="100"/>
    <x v="5250"/>
    <x v="11"/>
    <x v="3"/>
    <x v="1"/>
  </r>
  <r>
    <x v="466"/>
    <s v="ZTAN"/>
    <x v="8"/>
    <s v="SV2718"/>
    <s v="99626232"/>
    <s v="PUDAHUEL"/>
    <x v="4111"/>
    <x v="1"/>
    <x v="1"/>
    <x v="10"/>
    <x v="1"/>
    <n v="1"/>
    <n v="55000"/>
    <n v="0"/>
    <n v="55000"/>
    <n v="16.551060020162193"/>
    <n v="5000"/>
    <n v="66"/>
    <x v="5251"/>
    <x v="11"/>
    <x v="3"/>
    <x v="1"/>
  </r>
  <r>
    <x v="466"/>
    <s v="ZTAN"/>
    <x v="8"/>
    <s v="TP3884"/>
    <s v="107643206"/>
    <s v="SAN BERNARDO"/>
    <x v="4112"/>
    <x v="1"/>
    <x v="1"/>
    <x v="4"/>
    <x v="1"/>
    <n v="4"/>
    <n v="55000"/>
    <n v="0"/>
    <n v="55000"/>
    <n v="14.181690663806263"/>
    <n v="5000"/>
    <n v="78"/>
    <x v="5252"/>
    <x v="11"/>
    <x v="3"/>
    <x v="1"/>
  </r>
  <r>
    <x v="466"/>
    <s v="ZTAN"/>
    <x v="94"/>
    <s v="FSFS27"/>
    <s v="103576032"/>
    <s v="LOS ANGELES"/>
    <x v="4113"/>
    <x v="0"/>
    <x v="0"/>
    <x v="57"/>
    <x v="0"/>
    <n v="0"/>
    <n v="460000"/>
    <n v="0"/>
    <n v="460000"/>
    <n v="33.436550510997691"/>
    <n v="20000"/>
    <n v="69"/>
    <x v="5253"/>
    <x v="11"/>
    <x v="3"/>
    <x v="0"/>
  </r>
  <r>
    <x v="467"/>
    <s v="ZPEP"/>
    <x v="32"/>
    <s v="HLBX77"/>
    <s v="16093509K"/>
    <s v="LAMPA"/>
    <x v="4114"/>
    <x v="1"/>
    <x v="1"/>
    <x v="17"/>
    <x v="1"/>
    <n v="5"/>
    <n v="70000"/>
    <n v="0"/>
    <n v="70000"/>
    <n v="3.875059233048276"/>
    <n v="10000"/>
    <n v="100"/>
    <x v="5254"/>
    <x v="11"/>
    <x v="3"/>
    <x v="1"/>
  </r>
  <r>
    <x v="467"/>
    <s v="ZPEP"/>
    <x v="72"/>
    <s v="TP3884"/>
    <s v="107643206"/>
    <s v="COLINA"/>
    <x v="4115"/>
    <x v="1"/>
    <x v="1"/>
    <x v="5"/>
    <x v="1"/>
    <n v="5"/>
    <n v="70000"/>
    <n v="0"/>
    <n v="70000"/>
    <n v="30.301456201409451"/>
    <n v="10000"/>
    <n v="23"/>
    <x v="5255"/>
    <x v="11"/>
    <x v="3"/>
    <x v="1"/>
  </r>
  <r>
    <x v="467"/>
    <s v="ZTAN"/>
    <x v="32"/>
    <s v="DJLF85"/>
    <s v="53173294"/>
    <s v="LAMPA"/>
    <x v="4116"/>
    <x v="4"/>
    <x v="1"/>
    <x v="17"/>
    <x v="1"/>
    <n v="5"/>
    <n v="70000"/>
    <n v="0"/>
    <n v="70000"/>
    <n v="14.884907766732232"/>
    <n v="10000"/>
    <n v="47"/>
    <x v="5256"/>
    <x v="11"/>
    <x v="3"/>
    <x v="1"/>
  </r>
  <r>
    <x v="467"/>
    <s v="ZTAN"/>
    <x v="10"/>
    <s v="KKPF51"/>
    <s v="95707734"/>
    <s v="QUILICURA"/>
    <x v="4117"/>
    <x v="8"/>
    <x v="0"/>
    <x v="8"/>
    <x v="1"/>
    <n v="1"/>
    <n v="127096"/>
    <n v="0"/>
    <n v="127096"/>
    <n v="11.000039812569348"/>
    <n v="5000"/>
    <n v="100"/>
    <x v="5257"/>
    <x v="11"/>
    <x v="3"/>
    <x v="1"/>
  </r>
  <r>
    <x v="467"/>
    <s v="ZTAN"/>
    <x v="10"/>
    <s v="WC2233"/>
    <s v="125108660"/>
    <s v="QUILICURA"/>
    <x v="4118"/>
    <x v="4"/>
    <x v="1"/>
    <x v="8"/>
    <x v="1"/>
    <n v="1"/>
    <n v="63048"/>
    <n v="0"/>
    <n v="63048"/>
    <n v="10.999993021194634"/>
    <n v="5000"/>
    <n v="100"/>
    <x v="5258"/>
    <x v="11"/>
    <x v="3"/>
    <x v="1"/>
  </r>
  <r>
    <x v="467"/>
    <s v="ZTAN"/>
    <x v="6"/>
    <s v="SU9354"/>
    <s v="72564391"/>
    <s v="QUILLOTA"/>
    <x v="4119"/>
    <x v="2"/>
    <x v="1"/>
    <x v="19"/>
    <x v="2"/>
    <n v="0"/>
    <n v="203000"/>
    <n v="0"/>
    <n v="203000"/>
    <n v="46.313195838656689"/>
    <n v="20000"/>
    <n v="55"/>
    <x v="5259"/>
    <x v="11"/>
    <x v="3"/>
    <x v="0"/>
  </r>
  <r>
    <x v="467"/>
    <s v="ZTAN"/>
    <x v="7"/>
    <s v="SU9354"/>
    <s v="72564391"/>
    <s v="RENCA"/>
    <x v="4120"/>
    <x v="2"/>
    <x v="1"/>
    <x v="7"/>
    <x v="1"/>
    <n v="1"/>
    <n v="113846"/>
    <n v="0"/>
    <n v="113846"/>
    <n v="11.00003864883667"/>
    <n v="5000"/>
    <n v="100"/>
    <x v="5260"/>
    <x v="11"/>
    <x v="3"/>
    <x v="1"/>
  </r>
  <r>
    <x v="467"/>
    <s v="ZTAN"/>
    <x v="7"/>
    <s v="WG4022"/>
    <s v="154837728"/>
    <s v="RENCA"/>
    <x v="4121"/>
    <x v="1"/>
    <x v="0"/>
    <x v="7"/>
    <x v="1"/>
    <n v="1"/>
    <n v="175874"/>
    <n v="0"/>
    <n v="175874"/>
    <n v="11.000003752687862"/>
    <n v="5000"/>
    <n v="100"/>
    <x v="5261"/>
    <x v="11"/>
    <x v="3"/>
    <x v="1"/>
  </r>
  <r>
    <x v="467"/>
    <s v="ZTAN"/>
    <x v="7"/>
    <s v="XR6338"/>
    <s v="78907355"/>
    <s v="SAN MIGUEL"/>
    <x v="1380"/>
    <x v="0"/>
    <x v="0"/>
    <x v="23"/>
    <x v="1"/>
    <n v="2"/>
    <n v="113883"/>
    <n v="0"/>
    <n v="113883"/>
    <n v="11"/>
    <n v="5000"/>
    <n v="100"/>
    <x v="5262"/>
    <x v="11"/>
    <x v="3"/>
    <x v="1"/>
  </r>
  <r>
    <x v="467"/>
    <s v="ZTAN"/>
    <x v="7"/>
    <s v="XR6339"/>
    <s v="78907355"/>
    <s v="RENCA"/>
    <x v="4122"/>
    <x v="1"/>
    <x v="1"/>
    <x v="7"/>
    <x v="1"/>
    <n v="1"/>
    <n v="110125"/>
    <n v="0"/>
    <n v="110125"/>
    <n v="11.000014982994301"/>
    <n v="5000"/>
    <n v="100"/>
    <x v="5263"/>
    <x v="11"/>
    <x v="3"/>
    <x v="1"/>
  </r>
  <r>
    <x v="467"/>
    <s v="ZTAN"/>
    <x v="8"/>
    <s v="HLBX77"/>
    <s v="16093509K"/>
    <s v="PUDAHUEL"/>
    <x v="4123"/>
    <x v="1"/>
    <x v="1"/>
    <x v="10"/>
    <x v="1"/>
    <n v="1"/>
    <n v="84815"/>
    <n v="0"/>
    <n v="84815"/>
    <n v="11.000020751085541"/>
    <n v="5000"/>
    <n v="100"/>
    <x v="5264"/>
    <x v="11"/>
    <x v="3"/>
    <x v="1"/>
  </r>
  <r>
    <x v="468"/>
    <s v="ZPEP"/>
    <x v="87"/>
    <s v="KKPF51"/>
    <s v="95707734"/>
    <s v="HUASCO"/>
    <x v="4124"/>
    <x v="8"/>
    <x v="0"/>
    <x v="104"/>
    <x v="9"/>
    <n v="0"/>
    <n v="1500000"/>
    <n v="0"/>
    <n v="1500000"/>
    <n v="68.927171550539725"/>
    <n v="20000"/>
    <n v="100"/>
    <x v="5265"/>
    <x v="11"/>
    <x v="3"/>
    <x v="0"/>
  </r>
  <r>
    <x v="468"/>
    <s v="ZPEP"/>
    <x v="32"/>
    <s v="HLBX77"/>
    <s v="16093509K"/>
    <s v="LAMPA"/>
    <x v="4125"/>
    <x v="1"/>
    <x v="1"/>
    <x v="17"/>
    <x v="1"/>
    <n v="5"/>
    <n v="70000"/>
    <n v="0"/>
    <n v="70000"/>
    <n v="8.3416750083416762"/>
    <n v="10000"/>
    <n v="84"/>
    <x v="5266"/>
    <x v="11"/>
    <x v="3"/>
    <x v="1"/>
  </r>
  <r>
    <x v="468"/>
    <s v="ZPEP"/>
    <x v="32"/>
    <s v="RK5135"/>
    <s v="138841065"/>
    <s v="LAMPA"/>
    <x v="4126"/>
    <x v="3"/>
    <x v="1"/>
    <x v="17"/>
    <x v="1"/>
    <n v="5"/>
    <n v="70000"/>
    <n v="0"/>
    <n v="70000"/>
    <n v="8.7788825235023218"/>
    <n v="10000"/>
    <n v="80"/>
    <x v="5267"/>
    <x v="11"/>
    <x v="3"/>
    <x v="1"/>
  </r>
  <r>
    <x v="468"/>
    <s v="ZPEP"/>
    <x v="2"/>
    <s v="WG4022"/>
    <s v="154837728"/>
    <s v="SAN BERNARDO"/>
    <x v="4127"/>
    <x v="1"/>
    <x v="0"/>
    <x v="4"/>
    <x v="1"/>
    <n v="4"/>
    <n v="254676"/>
    <n v="0"/>
    <n v="254676"/>
    <n v="10.999992225421321"/>
    <n v="5000"/>
    <n v="100"/>
    <x v="5268"/>
    <x v="11"/>
    <x v="3"/>
    <x v="1"/>
  </r>
  <r>
    <x v="468"/>
    <s v="ZTAN"/>
    <x v="7"/>
    <s v="DJLF85"/>
    <s v="53173294"/>
    <s v="RENCA"/>
    <x v="4128"/>
    <x v="4"/>
    <x v="1"/>
    <x v="7"/>
    <x v="1"/>
    <n v="1"/>
    <n v="58279"/>
    <n v="0"/>
    <n v="58279"/>
    <n v="9.6359824472640803"/>
    <n v="5000"/>
    <n v="100"/>
    <x v="5269"/>
    <x v="11"/>
    <x v="3"/>
    <x v="1"/>
  </r>
  <r>
    <x v="468"/>
    <s v="ZTAN"/>
    <x v="7"/>
    <s v="TP3884"/>
    <s v="107643206"/>
    <s v="SAN MIGUEL"/>
    <x v="4129"/>
    <x v="1"/>
    <x v="1"/>
    <x v="23"/>
    <x v="1"/>
    <n v="2"/>
    <n v="82962"/>
    <n v="0"/>
    <n v="82962"/>
    <n v="11.000000000000002"/>
    <n v="5000"/>
    <n v="100"/>
    <x v="5270"/>
    <x v="11"/>
    <x v="3"/>
    <x v="1"/>
  </r>
  <r>
    <x v="468"/>
    <s v="ZTAN"/>
    <x v="7"/>
    <s v="XR6339"/>
    <s v="78907355"/>
    <s v="RENCA"/>
    <x v="4130"/>
    <x v="1"/>
    <x v="1"/>
    <x v="7"/>
    <x v="1"/>
    <n v="1"/>
    <n v="61012"/>
    <n v="0"/>
    <n v="61012"/>
    <n v="10.999990985387312"/>
    <n v="5000"/>
    <n v="100"/>
    <x v="5271"/>
    <x v="11"/>
    <x v="3"/>
    <x v="1"/>
  </r>
  <r>
    <x v="468"/>
    <s v="ZTAN"/>
    <x v="8"/>
    <s v="SV2718"/>
    <s v="99626232"/>
    <s v="LA REINA"/>
    <x v="4131"/>
    <x v="1"/>
    <x v="1"/>
    <x v="11"/>
    <x v="1"/>
    <n v="3"/>
    <n v="55000"/>
    <n v="0"/>
    <n v="55000"/>
    <n v="15.985583909783177"/>
    <n v="5000"/>
    <n v="69"/>
    <x v="5272"/>
    <x v="11"/>
    <x v="3"/>
    <x v="1"/>
  </r>
  <r>
    <x v="469"/>
    <s v="ZPEP"/>
    <x v="32"/>
    <s v="WC2222"/>
    <s v="125108660"/>
    <s v="LAMPA"/>
    <x v="4132"/>
    <x v="0"/>
    <x v="0"/>
    <x v="17"/>
    <x v="1"/>
    <n v="5"/>
    <n v="120000"/>
    <n v="0"/>
    <n v="120000"/>
    <n v="9.7094527186063058"/>
    <n v="10000"/>
    <n v="100"/>
    <x v="5273"/>
    <x v="11"/>
    <x v="3"/>
    <x v="1"/>
  </r>
  <r>
    <x v="469"/>
    <s v="ZPEP"/>
    <x v="7"/>
    <s v="DCRX92"/>
    <s v="78778555"/>
    <s v="RENCA"/>
    <x v="4038"/>
    <x v="0"/>
    <x v="0"/>
    <x v="7"/>
    <x v="1"/>
    <n v="1"/>
    <n v="286634"/>
    <n v="0"/>
    <n v="286634"/>
    <n v="11.00001535060788"/>
    <n v="5000"/>
    <n v="100"/>
    <x v="5274"/>
    <x v="11"/>
    <x v="3"/>
    <x v="1"/>
  </r>
  <r>
    <x v="469"/>
    <s v="ZPEP"/>
    <x v="7"/>
    <s v="DTCY42"/>
    <s v="92028607"/>
    <s v="RENCA"/>
    <x v="4133"/>
    <x v="5"/>
    <x v="0"/>
    <x v="7"/>
    <x v="1"/>
    <n v="1"/>
    <n v="284842"/>
    <n v="0"/>
    <n v="284842"/>
    <n v="10.99999459349659"/>
    <n v="5000"/>
    <n v="100"/>
    <x v="5275"/>
    <x v="11"/>
    <x v="3"/>
    <x v="1"/>
  </r>
  <r>
    <x v="469"/>
    <s v="ZTAN"/>
    <x v="10"/>
    <s v="TP3884"/>
    <s v="107643206"/>
    <s v="LO BARNECHEA"/>
    <x v="4134"/>
    <x v="1"/>
    <x v="1"/>
    <x v="41"/>
    <x v="1"/>
    <n v="4"/>
    <n v="55000"/>
    <n v="0"/>
    <n v="55000"/>
    <n v="29.31769722814499"/>
    <n v="5000"/>
    <n v="38"/>
    <x v="5276"/>
    <x v="11"/>
    <x v="3"/>
    <x v="1"/>
  </r>
  <r>
    <x v="469"/>
    <s v="ZTAN"/>
    <x v="7"/>
    <s v="WC2233"/>
    <s v="125108660"/>
    <s v="RENCA"/>
    <x v="4135"/>
    <x v="4"/>
    <x v="1"/>
    <x v="7"/>
    <x v="1"/>
    <n v="1"/>
    <n v="156965"/>
    <n v="0"/>
    <n v="156965"/>
    <n v="11.000035039770133"/>
    <n v="5000"/>
    <n v="100"/>
    <x v="5277"/>
    <x v="11"/>
    <x v="3"/>
    <x v="1"/>
  </r>
  <r>
    <x v="469"/>
    <s v="ZTAN"/>
    <x v="7"/>
    <s v="WG4022"/>
    <s v="154837728"/>
    <s v="RENCA"/>
    <x v="4136"/>
    <x v="1"/>
    <x v="0"/>
    <x v="7"/>
    <x v="1"/>
    <n v="1"/>
    <n v="174161"/>
    <n v="0"/>
    <n v="174161"/>
    <n v="11.000012632004447"/>
    <n v="5000"/>
    <n v="100"/>
    <x v="5278"/>
    <x v="11"/>
    <x v="3"/>
    <x v="1"/>
  </r>
  <r>
    <x v="469"/>
    <s v="ZTAN"/>
    <x v="8"/>
    <s v="HLBX77"/>
    <s v="16093509K"/>
    <s v="PUDAHUEL"/>
    <x v="4137"/>
    <x v="1"/>
    <x v="1"/>
    <x v="10"/>
    <x v="1"/>
    <n v="1"/>
    <n v="55000"/>
    <n v="0"/>
    <n v="55000"/>
    <n v="10.935915534965105"/>
    <n v="5000"/>
    <n v="95"/>
    <x v="5279"/>
    <x v="11"/>
    <x v="3"/>
    <x v="1"/>
  </r>
  <r>
    <x v="469"/>
    <s v="ZTAN"/>
    <x v="8"/>
    <s v="SV2718"/>
    <s v="99626232"/>
    <s v="LAS CONDES"/>
    <x v="4138"/>
    <x v="1"/>
    <x v="1"/>
    <x v="3"/>
    <x v="1"/>
    <n v="4"/>
    <n v="55000"/>
    <n v="0"/>
    <n v="55000"/>
    <n v="13.283291551343547"/>
    <n v="5000"/>
    <n v="83"/>
    <x v="5280"/>
    <x v="11"/>
    <x v="3"/>
    <x v="1"/>
  </r>
  <r>
    <x v="469"/>
    <s v="ZTAN"/>
    <x v="8"/>
    <s v="TP3884"/>
    <s v="107643206"/>
    <s v="REÑACA"/>
    <x v="4139"/>
    <x v="1"/>
    <x v="1"/>
    <x v="6"/>
    <x v="2"/>
    <n v="0"/>
    <n v="203000"/>
    <n v="0"/>
    <n v="203000"/>
    <n v="30.104669338023534"/>
    <n v="20000"/>
    <n v="34"/>
    <x v="5281"/>
    <x v="11"/>
    <x v="3"/>
    <x v="0"/>
  </r>
  <r>
    <x v="470"/>
    <s v="ZPEP"/>
    <x v="87"/>
    <s v="KKPF51"/>
    <s v="95707734"/>
    <s v="HUASCO"/>
    <x v="4140"/>
    <x v="8"/>
    <x v="0"/>
    <x v="104"/>
    <x v="9"/>
    <n v="0"/>
    <n v="1500000"/>
    <n v="0"/>
    <n v="1500000"/>
    <n v="74.842419286192921"/>
    <n v="20000"/>
    <n v="100"/>
    <x v="5282"/>
    <x v="11"/>
    <x v="3"/>
    <x v="0"/>
  </r>
  <r>
    <x v="470"/>
    <s v="ZPEP"/>
    <x v="32"/>
    <s v="HLBX77"/>
    <s v="16093509K"/>
    <s v="LAMPA"/>
    <x v="4141"/>
    <x v="1"/>
    <x v="1"/>
    <x v="17"/>
    <x v="1"/>
    <n v="5"/>
    <n v="70000"/>
    <n v="0"/>
    <n v="70000"/>
    <n v="6.2958019592535699"/>
    <n v="10000"/>
    <n v="100"/>
    <x v="5283"/>
    <x v="11"/>
    <x v="3"/>
    <x v="1"/>
  </r>
  <r>
    <x v="470"/>
    <s v="ZPEP"/>
    <x v="32"/>
    <s v="SU9354"/>
    <s v="72564391"/>
    <s v="LAMPA"/>
    <x v="4142"/>
    <x v="2"/>
    <x v="1"/>
    <x v="17"/>
    <x v="1"/>
    <n v="5"/>
    <n v="70000"/>
    <n v="0"/>
    <n v="70000"/>
    <n v="8.5492215323136147"/>
    <n v="10000"/>
    <n v="82"/>
    <x v="5284"/>
    <x v="11"/>
    <x v="3"/>
    <x v="1"/>
  </r>
  <r>
    <x v="470"/>
    <s v="ZPEP"/>
    <x v="32"/>
    <s v="XR6339"/>
    <s v="78907355"/>
    <s v="LAMPA"/>
    <x v="4143"/>
    <x v="1"/>
    <x v="1"/>
    <x v="17"/>
    <x v="1"/>
    <n v="5"/>
    <n v="70000"/>
    <n v="0"/>
    <n v="70000"/>
    <n v="8.0795023026581561"/>
    <n v="10000"/>
    <n v="87"/>
    <x v="5285"/>
    <x v="11"/>
    <x v="3"/>
    <x v="1"/>
  </r>
  <r>
    <x v="470"/>
    <s v="ZPEP"/>
    <x v="2"/>
    <s v="PN4466"/>
    <s v="81417709"/>
    <s v="SAN BERNARDO"/>
    <x v="4144"/>
    <x v="1"/>
    <x v="0"/>
    <x v="4"/>
    <x v="1"/>
    <n v="4"/>
    <n v="228522"/>
    <n v="0"/>
    <n v="228522"/>
    <n v="10.999982671279962"/>
    <n v="5000"/>
    <n v="100"/>
    <x v="5286"/>
    <x v="11"/>
    <x v="3"/>
    <x v="1"/>
  </r>
  <r>
    <x v="470"/>
    <s v="ZTAN"/>
    <x v="47"/>
    <s v="DJLF85"/>
    <s v="53173294"/>
    <s v="SAN JOAQUIN"/>
    <x v="4145"/>
    <x v="4"/>
    <x v="1"/>
    <x v="67"/>
    <x v="1"/>
    <n v="3"/>
    <n v="55000"/>
    <n v="0"/>
    <n v="55000"/>
    <n v="22.168480451430874"/>
    <n v="5000"/>
    <n v="50"/>
    <x v="5287"/>
    <x v="11"/>
    <x v="3"/>
    <x v="1"/>
  </r>
  <r>
    <x v="470"/>
    <s v="ZTAN"/>
    <x v="70"/>
    <s v="TP3884"/>
    <s v="107643206"/>
    <s v="SAN FELIPE"/>
    <x v="4146"/>
    <x v="1"/>
    <x v="1"/>
    <x v="35"/>
    <x v="2"/>
    <n v="0"/>
    <n v="203000"/>
    <n v="0"/>
    <n v="203000"/>
    <n v="39.82266164469555"/>
    <n v="20000"/>
    <n v="25"/>
    <x v="5288"/>
    <x v="11"/>
    <x v="3"/>
    <x v="0"/>
  </r>
  <r>
    <x v="470"/>
    <s v="ZTAN"/>
    <x v="7"/>
    <s v="WG4022"/>
    <s v="154837728"/>
    <s v="RENCA"/>
    <x v="4147"/>
    <x v="1"/>
    <x v="0"/>
    <x v="7"/>
    <x v="1"/>
    <n v="1"/>
    <n v="186567"/>
    <n v="0"/>
    <n v="186567"/>
    <n v="11.000017098441631"/>
    <n v="5000"/>
    <n v="100"/>
    <x v="5289"/>
    <x v="11"/>
    <x v="3"/>
    <x v="1"/>
  </r>
  <r>
    <x v="471"/>
    <s v="ZPEP"/>
    <x v="2"/>
    <s v="PN4466"/>
    <n v="81417709"/>
    <s v="SAN BERNARDO"/>
    <x v="4148"/>
    <x v="1"/>
    <x v="0"/>
    <x v="4"/>
    <x v="1"/>
    <n v="4"/>
    <n v="269016"/>
    <n v="0"/>
    <n v="269016"/>
    <n v="10.999982008534497"/>
    <n v="5000"/>
    <n v="100"/>
    <x v="5290"/>
    <x v="11"/>
    <x v="3"/>
    <x v="1"/>
  </r>
  <r>
    <x v="471"/>
    <s v="ZTAN"/>
    <x v="63"/>
    <s v="RH1133"/>
    <n v="65941082"/>
    <s v="MAIPU"/>
    <x v="4149"/>
    <x v="0"/>
    <x v="0"/>
    <x v="2"/>
    <x v="1"/>
    <n v="2"/>
    <n v="175604"/>
    <n v="0"/>
    <n v="175604"/>
    <n v="11"/>
    <n v="5000"/>
    <n v="100"/>
    <x v="5291"/>
    <x v="11"/>
    <x v="3"/>
    <x v="1"/>
  </r>
  <r>
    <x v="471"/>
    <s v="ZTAN"/>
    <x v="10"/>
    <s v="DJLF85"/>
    <n v="53173292"/>
    <s v="QUILICURA"/>
    <x v="4150"/>
    <x v="4"/>
    <x v="1"/>
    <x v="8"/>
    <x v="1"/>
    <n v="1"/>
    <n v="62623"/>
    <n v="0"/>
    <n v="62623"/>
    <n v="10.999999999999998"/>
    <n v="5000"/>
    <n v="100"/>
    <x v="5292"/>
    <x v="11"/>
    <x v="3"/>
    <x v="1"/>
  </r>
  <r>
    <x v="471"/>
    <s v="ZTAN"/>
    <x v="10"/>
    <s v="TP3884"/>
    <n v="107643206"/>
    <s v="SANTIAGO"/>
    <x v="4151"/>
    <x v="1"/>
    <x v="1"/>
    <x v="20"/>
    <x v="1"/>
    <n v="1"/>
    <n v="55000"/>
    <n v="0"/>
    <n v="55000"/>
    <n v="15.999534558994648"/>
    <n v="5000"/>
    <n v="69"/>
    <x v="5293"/>
    <x v="11"/>
    <x v="3"/>
    <x v="1"/>
  </r>
  <r>
    <x v="471"/>
    <s v="ZTAN"/>
    <x v="10"/>
    <s v="WC2233"/>
    <n v="125108660"/>
    <s v="QUILICURA"/>
    <x v="2702"/>
    <x v="4"/>
    <x v="1"/>
    <x v="8"/>
    <x v="1"/>
    <n v="1"/>
    <n v="63127"/>
    <n v="0"/>
    <n v="63127"/>
    <n v="11.000034850491392"/>
    <n v="5000"/>
    <n v="100"/>
    <x v="5294"/>
    <x v="11"/>
    <x v="3"/>
    <x v="1"/>
  </r>
  <r>
    <x v="471"/>
    <s v="ZTAN"/>
    <x v="7"/>
    <s v="WG4022"/>
    <n v="154837728"/>
    <s v="RENCA"/>
    <x v="4152"/>
    <x v="1"/>
    <x v="0"/>
    <x v="7"/>
    <x v="1"/>
    <n v="1"/>
    <n v="160059"/>
    <n v="0"/>
    <n v="160059"/>
    <n v="10.999975946422374"/>
    <n v="5000"/>
    <n v="100"/>
    <x v="5295"/>
    <x v="11"/>
    <x v="3"/>
    <x v="1"/>
  </r>
  <r>
    <x v="471"/>
    <s v="ZTAN"/>
    <x v="8"/>
    <s v="BWPL69"/>
    <n v="78551976"/>
    <s v="VALDIVIA"/>
    <x v="4153"/>
    <x v="5"/>
    <x v="0"/>
    <x v="77"/>
    <x v="11"/>
    <n v="0"/>
    <n v="900000"/>
    <n v="0"/>
    <n v="900000"/>
    <n v="100.05291687603666"/>
    <n v="20000"/>
    <n v="55"/>
    <x v="5296"/>
    <x v="11"/>
    <x v="3"/>
    <x v="0"/>
  </r>
  <r>
    <x v="471"/>
    <s v="ZTAN"/>
    <x v="8"/>
    <s v="CJXX49"/>
    <n v="167832741"/>
    <s v="LOS ANGELES"/>
    <x v="4154"/>
    <x v="5"/>
    <x v="0"/>
    <x v="57"/>
    <x v="0"/>
    <n v="0"/>
    <n v="460000"/>
    <n v="0"/>
    <n v="460000"/>
    <n v="95.336392388010822"/>
    <n v="20000"/>
    <n v="24"/>
    <x v="5297"/>
    <x v="11"/>
    <x v="3"/>
    <x v="0"/>
  </r>
  <r>
    <x v="471"/>
    <s v="ZTAN"/>
    <x v="8"/>
    <s v="FSFS27"/>
    <n v="103576032"/>
    <s v="VILLARRICA"/>
    <x v="4155"/>
    <x v="0"/>
    <x v="0"/>
    <x v="88"/>
    <x v="4"/>
    <n v="0"/>
    <n v="800000"/>
    <n v="0"/>
    <n v="800000"/>
    <n v="96.70244657189825"/>
    <n v="20000"/>
    <n v="41"/>
    <x v="5298"/>
    <x v="11"/>
    <x v="3"/>
    <x v="0"/>
  </r>
  <r>
    <x v="471"/>
    <s v="ZTAN"/>
    <x v="8"/>
    <s v="RX2274"/>
    <n v="100822326"/>
    <s v="LINARES"/>
    <x v="4156"/>
    <x v="0"/>
    <x v="0"/>
    <x v="59"/>
    <x v="3"/>
    <n v="0"/>
    <n v="350000"/>
    <n v="0"/>
    <n v="350000"/>
    <n v="49.767656142466329"/>
    <n v="20000"/>
    <n v="35"/>
    <x v="5299"/>
    <x v="11"/>
    <x v="3"/>
    <x v="0"/>
  </r>
  <r>
    <x v="471"/>
    <s v="ZTAN"/>
    <x v="8"/>
    <s v="WT7728"/>
    <n v="105791178"/>
    <s v="PUERTO MONTT"/>
    <x v="4157"/>
    <x v="0"/>
    <x v="0"/>
    <x v="53"/>
    <x v="10"/>
    <n v="0"/>
    <n v="1100000"/>
    <n v="0"/>
    <n v="1100000"/>
    <n v="64.353076077036519"/>
    <n v="20000"/>
    <n v="85"/>
    <x v="5300"/>
    <x v="11"/>
    <x v="3"/>
    <x v="0"/>
  </r>
  <r>
    <x v="472"/>
    <s v="ZTAN"/>
    <x v="34"/>
    <s v="XR6339"/>
    <n v="78907355"/>
    <s v="QUINTA NORMAL"/>
    <x v="4158"/>
    <x v="1"/>
    <x v="1"/>
    <x v="62"/>
    <x v="1"/>
    <n v="1"/>
    <n v="55000"/>
    <n v="0"/>
    <n v="55000"/>
    <n v="8.6355785837651116"/>
    <n v="5000"/>
    <n v="100"/>
    <x v="5301"/>
    <x v="12"/>
    <x v="3"/>
    <x v="1"/>
  </r>
  <r>
    <x v="472"/>
    <s v="ZTAN"/>
    <x v="110"/>
    <s v="KKPF51"/>
    <n v="95707734"/>
    <s v="SANTIAGO"/>
    <x v="4159"/>
    <x v="8"/>
    <x v="0"/>
    <x v="20"/>
    <x v="1"/>
    <n v="1"/>
    <n v="55000"/>
    <n v="0"/>
    <n v="55000"/>
    <n v="17.266277390594588"/>
    <n v="5000"/>
    <n v="64"/>
    <x v="5302"/>
    <x v="12"/>
    <x v="3"/>
    <x v="1"/>
  </r>
  <r>
    <x v="472"/>
    <s v="ZTAN"/>
    <x v="7"/>
    <s v="PN4466"/>
    <n v="81417709"/>
    <s v="RENCA"/>
    <x v="4160"/>
    <x v="1"/>
    <x v="0"/>
    <x v="7"/>
    <x v="1"/>
    <n v="1"/>
    <n v="143236"/>
    <n v="0"/>
    <n v="143236"/>
    <n v="11.000012287427504"/>
    <n v="5000"/>
    <n v="100"/>
    <x v="5303"/>
    <x v="12"/>
    <x v="3"/>
    <x v="1"/>
  </r>
  <r>
    <x v="472"/>
    <s v="ZTAN"/>
    <x v="81"/>
    <s v="XR6339"/>
    <n v="154837728"/>
    <s v="SANTIAGO"/>
    <x v="4161"/>
    <x v="1"/>
    <x v="1"/>
    <x v="20"/>
    <x v="1"/>
    <n v="1"/>
    <n v="55000"/>
    <n v="0"/>
    <n v="55000"/>
    <n v="15.791619531075035"/>
    <n v="5000"/>
    <n v="70"/>
    <x v="5304"/>
    <x v="12"/>
    <x v="3"/>
    <x v="1"/>
  </r>
  <r>
    <x v="473"/>
    <s v="ZTAN"/>
    <x v="104"/>
    <s v="SU9354"/>
    <s v="72564391"/>
    <s v="SANTIAGO"/>
    <x v="3724"/>
    <x v="2"/>
    <x v="1"/>
    <x v="20"/>
    <x v="1"/>
    <n v="1"/>
    <n v="59542"/>
    <n v="0"/>
    <n v="59542"/>
    <n v="10.999937187554268"/>
    <n v="5000"/>
    <n v="100"/>
    <x v="5305"/>
    <x v="12"/>
    <x v="3"/>
    <x v="1"/>
  </r>
  <r>
    <x v="473"/>
    <s v="ZTAN"/>
    <x v="70"/>
    <s v="RH1133"/>
    <s v="65941082"/>
    <s v="VALPARAISO"/>
    <x v="4162"/>
    <x v="0"/>
    <x v="0"/>
    <x v="36"/>
    <x v="2"/>
    <n v="0"/>
    <n v="275000"/>
    <n v="0"/>
    <n v="275000"/>
    <n v="22.482896647350451"/>
    <n v="20000"/>
    <n v="61"/>
    <x v="5306"/>
    <x v="12"/>
    <x v="3"/>
    <x v="0"/>
  </r>
  <r>
    <x v="473"/>
    <s v="ZTAN"/>
    <x v="7"/>
    <s v="HLBX77"/>
    <s v="16093509K"/>
    <s v="RENCA"/>
    <x v="4163"/>
    <x v="1"/>
    <x v="1"/>
    <x v="7"/>
    <x v="1"/>
    <n v="1"/>
    <n v="106163"/>
    <n v="0"/>
    <n v="106163"/>
    <n v="10.999979277188329"/>
    <n v="5000"/>
    <n v="100"/>
    <x v="5307"/>
    <x v="12"/>
    <x v="3"/>
    <x v="1"/>
  </r>
  <r>
    <x v="473"/>
    <s v="ZTAN"/>
    <x v="7"/>
    <s v="PN4466"/>
    <s v="81417709"/>
    <s v="RENCA"/>
    <x v="4164"/>
    <x v="1"/>
    <x v="0"/>
    <x v="7"/>
    <x v="1"/>
    <n v="1"/>
    <n v="113136"/>
    <n v="0"/>
    <n v="113136"/>
    <n v="9.4397209868920573"/>
    <n v="5000"/>
    <n v="100"/>
    <x v="5308"/>
    <x v="12"/>
    <x v="3"/>
    <x v="1"/>
  </r>
  <r>
    <x v="473"/>
    <s v="ZTAN"/>
    <x v="8"/>
    <s v="BPKD94"/>
    <s v="125897258"/>
    <s v="TALCAHUANO"/>
    <x v="4165"/>
    <x v="0"/>
    <x v="0"/>
    <x v="0"/>
    <x v="0"/>
    <n v="0"/>
    <n v="430000"/>
    <n v="0"/>
    <n v="430000"/>
    <n v="45.709086115918247"/>
    <n v="20000"/>
    <n v="55"/>
    <x v="5309"/>
    <x v="12"/>
    <x v="3"/>
    <x v="0"/>
  </r>
  <r>
    <x v="473"/>
    <s v="ZTAN"/>
    <x v="8"/>
    <s v="DKDL88"/>
    <s v="122975819"/>
    <s v="TALCA"/>
    <x v="4166"/>
    <x v="0"/>
    <x v="0"/>
    <x v="12"/>
    <x v="3"/>
    <n v="0"/>
    <n v="360000"/>
    <n v="0"/>
    <n v="360000"/>
    <n v="65.214201479275459"/>
    <n v="20000"/>
    <n v="28"/>
    <x v="5310"/>
    <x v="12"/>
    <x v="3"/>
    <x v="0"/>
  </r>
  <r>
    <x v="473"/>
    <s v="ZTAN"/>
    <x v="8"/>
    <s v="SV2718"/>
    <s v="99626232"/>
    <s v="CERRILLOS"/>
    <x v="4167"/>
    <x v="1"/>
    <x v="1"/>
    <x v="9"/>
    <x v="1"/>
    <n v="2"/>
    <n v="55000"/>
    <n v="0"/>
    <n v="55000"/>
    <n v="13.461882069017845"/>
    <n v="5000"/>
    <n v="82"/>
    <x v="5311"/>
    <x v="12"/>
    <x v="3"/>
    <x v="1"/>
  </r>
  <r>
    <x v="474"/>
    <s v="ZTAN"/>
    <x v="16"/>
    <s v="DJLF85"/>
    <n v="53173292"/>
    <s v="CONCEPCION"/>
    <x v="448"/>
    <x v="4"/>
    <x v="1"/>
    <x v="81"/>
    <x v="0"/>
    <n v="0"/>
    <n v="250000"/>
    <n v="0"/>
    <n v="250000"/>
    <n v="41.644456289978685"/>
    <n v="20000"/>
    <n v="30"/>
    <x v="5312"/>
    <x v="12"/>
    <x v="3"/>
    <x v="0"/>
  </r>
  <r>
    <x v="474"/>
    <s v="ZTAN"/>
    <x v="16"/>
    <s v="WC2233"/>
    <n v="125108660"/>
    <s v="CONCEPCION"/>
    <x v="4168"/>
    <x v="4"/>
    <x v="1"/>
    <x v="81"/>
    <x v="0"/>
    <n v="0"/>
    <n v="250000"/>
    <n v="0"/>
    <n v="250000"/>
    <n v="31.43388824624051"/>
    <n v="20000"/>
    <n v="40"/>
    <x v="5313"/>
    <x v="12"/>
    <x v="3"/>
    <x v="0"/>
  </r>
  <r>
    <x v="474"/>
    <s v="ZTAN"/>
    <x v="84"/>
    <s v="KKPF51"/>
    <n v="95707734"/>
    <s v="SANTIAGO"/>
    <x v="4169"/>
    <x v="8"/>
    <x v="0"/>
    <x v="20"/>
    <x v="1"/>
    <n v="1"/>
    <n v="55000"/>
    <n v="0"/>
    <n v="55000"/>
    <n v="21.875745764060127"/>
    <n v="5000"/>
    <n v="50"/>
    <x v="5314"/>
    <x v="12"/>
    <x v="3"/>
    <x v="1"/>
  </r>
  <r>
    <x v="474"/>
    <s v="ZTAN"/>
    <x v="84"/>
    <s v="KKPF51"/>
    <n v="95707734"/>
    <s v="TIL TIL"/>
    <x v="4170"/>
    <x v="8"/>
    <x v="0"/>
    <x v="70"/>
    <x v="1"/>
    <n v="5"/>
    <n v="120000"/>
    <n v="0"/>
    <n v="120000"/>
    <n v="4.8234613158402455"/>
    <n v="10000"/>
    <n v="100"/>
    <x v="5315"/>
    <x v="12"/>
    <x v="3"/>
    <x v="1"/>
  </r>
  <r>
    <x v="474"/>
    <s v="ZTAN"/>
    <x v="84"/>
    <s v="RH1133"/>
    <n v="65941082"/>
    <s v="TIL TIL"/>
    <x v="1931"/>
    <x v="0"/>
    <x v="0"/>
    <x v="70"/>
    <x v="1"/>
    <n v="5"/>
    <n v="120000"/>
    <n v="0"/>
    <n v="120000"/>
    <n v="7.0571630204657678"/>
    <n v="10000"/>
    <n v="100"/>
    <x v="5316"/>
    <x v="12"/>
    <x v="3"/>
    <x v="1"/>
  </r>
  <r>
    <x v="474"/>
    <s v="ZTAN"/>
    <x v="7"/>
    <s v="WG4022"/>
    <n v="154837728"/>
    <s v="RENCA"/>
    <x v="4171"/>
    <x v="1"/>
    <x v="0"/>
    <x v="7"/>
    <x v="1"/>
    <n v="1"/>
    <n v="92951"/>
    <n v="0"/>
    <n v="92951"/>
    <n v="10.999988165820518"/>
    <n v="5000"/>
    <n v="100"/>
    <x v="5317"/>
    <x v="12"/>
    <x v="3"/>
    <x v="1"/>
  </r>
  <r>
    <x v="474"/>
    <s v="ZTAN"/>
    <x v="7"/>
    <s v="XR6339"/>
    <n v="78907355"/>
    <s v="RENCA"/>
    <x v="4172"/>
    <x v="1"/>
    <x v="1"/>
    <x v="7"/>
    <x v="1"/>
    <n v="1"/>
    <n v="58376"/>
    <n v="0"/>
    <n v="58376"/>
    <n v="11.000018843392567"/>
    <n v="5000"/>
    <n v="100"/>
    <x v="5318"/>
    <x v="12"/>
    <x v="3"/>
    <x v="1"/>
  </r>
  <r>
    <x v="474"/>
    <s v="ZTAN"/>
    <x v="8"/>
    <s v="SU9354"/>
    <n v="72564391"/>
    <s v="LA FLORIDA"/>
    <x v="4173"/>
    <x v="2"/>
    <x v="1"/>
    <x v="33"/>
    <x v="1"/>
    <n v="3"/>
    <n v="55000"/>
    <n v="0"/>
    <n v="55000"/>
    <n v="15.070144673388866"/>
    <n v="5000"/>
    <n v="73"/>
    <x v="5319"/>
    <x v="12"/>
    <x v="3"/>
    <x v="1"/>
  </r>
  <r>
    <x v="474"/>
    <s v="ZTAN"/>
    <x v="8"/>
    <s v="SV2718"/>
    <n v="99626232"/>
    <s v="QUILIN"/>
    <x v="4174"/>
    <x v="1"/>
    <x v="1"/>
    <x v="34"/>
    <x v="1"/>
    <n v="4"/>
    <n v="55000"/>
    <n v="0"/>
    <n v="55000"/>
    <n v="17.291247484909455"/>
    <n v="5000"/>
    <n v="64"/>
    <x v="5320"/>
    <x v="12"/>
    <x v="3"/>
    <x v="1"/>
  </r>
  <r>
    <x v="475"/>
    <s v="ZPEP"/>
    <x v="2"/>
    <s v="SU9354"/>
    <s v="72564391"/>
    <s v="COQUIMBO"/>
    <x v="4175"/>
    <x v="2"/>
    <x v="1"/>
    <x v="42"/>
    <x v="8"/>
    <n v="0"/>
    <n v="450000"/>
    <n v="0"/>
    <n v="450000"/>
    <n v="70.011232913369668"/>
    <n v="20000"/>
    <n v="32"/>
    <x v="5321"/>
    <x v="12"/>
    <x v="3"/>
    <x v="0"/>
  </r>
  <r>
    <x v="475"/>
    <s v="ZPEP"/>
    <x v="7"/>
    <s v="HLZV71"/>
    <s v="154629327"/>
    <s v="RENCA"/>
    <x v="4038"/>
    <x v="0"/>
    <x v="0"/>
    <x v="7"/>
    <x v="1"/>
    <n v="1"/>
    <n v="286634"/>
    <n v="0"/>
    <n v="286634"/>
    <n v="11.00001535060788"/>
    <n v="5000"/>
    <n v="100"/>
    <x v="5322"/>
    <x v="12"/>
    <x v="3"/>
    <x v="1"/>
  </r>
  <r>
    <x v="475"/>
    <s v="ZPEP"/>
    <x v="7"/>
    <s v="HXJC25"/>
    <s v="116608979"/>
    <s v="RENCA"/>
    <x v="4010"/>
    <x v="0"/>
    <x v="0"/>
    <x v="7"/>
    <x v="1"/>
    <n v="1"/>
    <n v="288425"/>
    <n v="0"/>
    <n v="288425"/>
    <n v="10.999997711710622"/>
    <n v="5000"/>
    <n v="100"/>
    <x v="5323"/>
    <x v="12"/>
    <x v="3"/>
    <x v="1"/>
  </r>
  <r>
    <x v="475"/>
    <s v="ZTAN"/>
    <x v="16"/>
    <s v="DJLF85"/>
    <s v="51373292"/>
    <s v="SAN BERNARDO"/>
    <x v="448"/>
    <x v="4"/>
    <x v="1"/>
    <x v="4"/>
    <x v="1"/>
    <n v="4"/>
    <n v="66035"/>
    <n v="0"/>
    <n v="66035"/>
    <n v="10.99996668443497"/>
    <n v="5000"/>
    <n v="100"/>
    <x v="5324"/>
    <x v="12"/>
    <x v="3"/>
    <x v="1"/>
  </r>
  <r>
    <x v="475"/>
    <s v="ZTAN"/>
    <x v="16"/>
    <s v="DJLF85"/>
    <s v="53173292"/>
    <s v="SAN BERNARDO"/>
    <x v="447"/>
    <x v="4"/>
    <x v="1"/>
    <x v="4"/>
    <x v="1"/>
    <n v="4"/>
    <n v="55000"/>
    <n v="0"/>
    <n v="55000"/>
    <n v="40.02911208151383"/>
    <n v="5000"/>
    <n v="27"/>
    <x v="5325"/>
    <x v="12"/>
    <x v="3"/>
    <x v="1"/>
  </r>
  <r>
    <x v="475"/>
    <s v="ZTAN"/>
    <x v="16"/>
    <s v="WC2233"/>
    <s v="125108660"/>
    <s v="SAN BERNARDO"/>
    <x v="432"/>
    <x v="4"/>
    <x v="1"/>
    <x v="4"/>
    <x v="1"/>
    <n v="4"/>
    <n v="81149"/>
    <n v="0"/>
    <n v="81149"/>
    <n v="10.99997288944315"/>
    <n v="5000"/>
    <n v="100"/>
    <x v="5326"/>
    <x v="12"/>
    <x v="3"/>
    <x v="1"/>
  </r>
  <r>
    <x v="475"/>
    <s v="ZTAN"/>
    <x v="7"/>
    <s v="HLBX77"/>
    <s v="16093509K"/>
    <s v="RENCA"/>
    <x v="4176"/>
    <x v="1"/>
    <x v="1"/>
    <x v="7"/>
    <x v="1"/>
    <n v="1"/>
    <n v="124871"/>
    <n v="0"/>
    <n v="124871"/>
    <n v="10.999989429100971"/>
    <n v="5000"/>
    <n v="100"/>
    <x v="5327"/>
    <x v="12"/>
    <x v="3"/>
    <x v="1"/>
  </r>
  <r>
    <x v="475"/>
    <s v="ZTAN"/>
    <x v="7"/>
    <s v="XR6339"/>
    <s v="78907355"/>
    <s v="RENCA"/>
    <x v="4177"/>
    <x v="1"/>
    <x v="1"/>
    <x v="7"/>
    <x v="1"/>
    <n v="1"/>
    <n v="114770"/>
    <n v="0"/>
    <n v="114770"/>
    <n v="10.999996166246872"/>
    <n v="5000"/>
    <n v="100"/>
    <x v="5328"/>
    <x v="12"/>
    <x v="3"/>
    <x v="1"/>
  </r>
  <r>
    <x v="475"/>
    <s v="ZTAN"/>
    <x v="8"/>
    <s v="SV2718"/>
    <s v="99626232"/>
    <s v="ÑUÑOA"/>
    <x v="4178"/>
    <x v="1"/>
    <x v="1"/>
    <x v="15"/>
    <x v="1"/>
    <n v="4"/>
    <n v="55000"/>
    <n v="0"/>
    <n v="55000"/>
    <n v="11.990407673860913"/>
    <n v="5000"/>
    <n v="92"/>
    <x v="5329"/>
    <x v="12"/>
    <x v="3"/>
    <x v="1"/>
  </r>
  <r>
    <x v="475"/>
    <s v="ZTAN"/>
    <x v="8"/>
    <s v="TP3884"/>
    <s v="107643206"/>
    <s v="PUDAHUEL"/>
    <x v="4179"/>
    <x v="1"/>
    <x v="1"/>
    <x v="10"/>
    <x v="1"/>
    <n v="1"/>
    <n v="103707"/>
    <n v="0"/>
    <n v="103707"/>
    <n v="10.999998939319529"/>
    <n v="5000"/>
    <n v="100"/>
    <x v="5330"/>
    <x v="12"/>
    <x v="3"/>
    <x v="1"/>
  </r>
  <r>
    <x v="476"/>
    <s v="ZPEP"/>
    <x v="7"/>
    <s v="PN4466"/>
    <s v="81417709"/>
    <s v="RENCA"/>
    <x v="4180"/>
    <x v="1"/>
    <x v="0"/>
    <x v="7"/>
    <x v="1"/>
    <n v="1"/>
    <n v="165746"/>
    <n v="0"/>
    <n v="165746"/>
    <n v="11.000013273337848"/>
    <n v="5000"/>
    <n v="100"/>
    <x v="5331"/>
    <x v="12"/>
    <x v="3"/>
    <x v="1"/>
  </r>
  <r>
    <x v="476"/>
    <s v="ZTAN"/>
    <x v="10"/>
    <s v="HLBX77"/>
    <s v="16093509K"/>
    <s v="QUILICURA"/>
    <x v="4181"/>
    <x v="1"/>
    <x v="1"/>
    <x v="8"/>
    <x v="1"/>
    <n v="1"/>
    <n v="55000"/>
    <n v="0"/>
    <n v="55000"/>
    <n v="12.46826260428001"/>
    <n v="5000"/>
    <n v="88"/>
    <x v="5332"/>
    <x v="12"/>
    <x v="3"/>
    <x v="1"/>
  </r>
  <r>
    <x v="476"/>
    <s v="ZTAN"/>
    <x v="24"/>
    <s v="KKPF51"/>
    <s v="95707734"/>
    <s v="MACHALI"/>
    <x v="4182"/>
    <x v="8"/>
    <x v="0"/>
    <x v="43"/>
    <x v="6"/>
    <n v="0"/>
    <n v="280000"/>
    <n v="0"/>
    <n v="280000"/>
    <n v="18.54452009431213"/>
    <n v="20000"/>
    <n v="75"/>
    <x v="5333"/>
    <x v="12"/>
    <x v="3"/>
    <x v="0"/>
  </r>
  <r>
    <x v="476"/>
    <s v="ZTAN"/>
    <x v="16"/>
    <s v="HLBX77"/>
    <s v="16093509K"/>
    <s v="SAN BERNARDO"/>
    <x v="45"/>
    <x v="1"/>
    <x v="1"/>
    <x v="4"/>
    <x v="1"/>
    <n v="4"/>
    <n v="55000"/>
    <n v="0"/>
    <n v="55000"/>
    <n v="25.01819505094614"/>
    <n v="5000"/>
    <n v="44"/>
    <x v="5334"/>
    <x v="12"/>
    <x v="3"/>
    <x v="1"/>
  </r>
  <r>
    <x v="476"/>
    <s v="ZTAN"/>
    <x v="7"/>
    <s v="RX2274"/>
    <s v="10822326"/>
    <s v="RENCA"/>
    <x v="4183"/>
    <x v="0"/>
    <x v="0"/>
    <x v="7"/>
    <x v="1"/>
    <n v="1"/>
    <n v="178299"/>
    <n v="0"/>
    <n v="178299"/>
    <n v="10.999986427310226"/>
    <n v="5000"/>
    <n v="100"/>
    <x v="5335"/>
    <x v="12"/>
    <x v="3"/>
    <x v="1"/>
  </r>
  <r>
    <x v="476"/>
    <s v="ZTAN"/>
    <x v="7"/>
    <s v="WG4022"/>
    <s v="154837728"/>
    <s v="RENCA"/>
    <x v="4184"/>
    <x v="1"/>
    <x v="0"/>
    <x v="7"/>
    <x v="1"/>
    <n v="1"/>
    <n v="174316"/>
    <n v="0"/>
    <n v="174316"/>
    <n v="11.000027134695999"/>
    <n v="5000"/>
    <n v="100"/>
    <x v="5336"/>
    <x v="12"/>
    <x v="3"/>
    <x v="1"/>
  </r>
  <r>
    <x v="476"/>
    <s v="ZTAN"/>
    <x v="8"/>
    <s v="SV2718"/>
    <s v="99626232"/>
    <s v="LAS CONDES"/>
    <x v="4185"/>
    <x v="1"/>
    <x v="1"/>
    <x v="3"/>
    <x v="1"/>
    <n v="4"/>
    <n v="55000"/>
    <n v="0"/>
    <n v="55000"/>
    <n v="13.582929961473871"/>
    <n v="5000"/>
    <n v="81"/>
    <x v="5337"/>
    <x v="12"/>
    <x v="3"/>
    <x v="1"/>
  </r>
  <r>
    <x v="476"/>
    <s v="ZTAN"/>
    <x v="8"/>
    <s v="TP3884"/>
    <s v="107643206"/>
    <s v="SAN BERNARDO"/>
    <x v="4186"/>
    <x v="1"/>
    <x v="1"/>
    <x v="4"/>
    <x v="1"/>
    <n v="4"/>
    <n v="55000"/>
    <n v="0"/>
    <n v="55000"/>
    <n v="12.309675628856565"/>
    <n v="5000"/>
    <n v="89"/>
    <x v="5338"/>
    <x v="12"/>
    <x v="3"/>
    <x v="1"/>
  </r>
  <r>
    <x v="477"/>
    <s v="ZPEP"/>
    <x v="17"/>
    <s v="XR6339"/>
    <n v="81417709"/>
    <s v="LAMPA"/>
    <x v="4187"/>
    <x v="1"/>
    <x v="1"/>
    <x v="17"/>
    <x v="1"/>
    <n v="5"/>
    <n v="70000"/>
    <n v="0"/>
    <n v="70000"/>
    <n v="11.739372513768606"/>
    <n v="10000"/>
    <n v="60"/>
    <x v="5339"/>
    <x v="12"/>
    <x v="3"/>
    <x v="1"/>
  </r>
  <r>
    <x v="477"/>
    <s v="ZTAN"/>
    <x v="4"/>
    <s v="WG4022"/>
    <n v="154837728"/>
    <s v="PAINE"/>
    <x v="4188"/>
    <x v="1"/>
    <x v="0"/>
    <x v="13"/>
    <x v="1"/>
    <n v="5"/>
    <n v="120000"/>
    <n v="0"/>
    <n v="120000"/>
    <n v="14.736221632773358"/>
    <n v="10000"/>
    <n v="81"/>
    <x v="5340"/>
    <x v="12"/>
    <x v="3"/>
    <x v="1"/>
  </r>
  <r>
    <x v="477"/>
    <s v="ZTAN"/>
    <x v="10"/>
    <s v="KKPF51"/>
    <n v="95707734"/>
    <s v="QUILICURA"/>
    <x v="4189"/>
    <x v="8"/>
    <x v="0"/>
    <x v="8"/>
    <x v="1"/>
    <n v="1"/>
    <n v="145956"/>
    <n v="0"/>
    <n v="145956"/>
    <n v="10.999989448885124"/>
    <n v="5000"/>
    <n v="100"/>
    <x v="5341"/>
    <x v="12"/>
    <x v="3"/>
    <x v="1"/>
  </r>
  <r>
    <x v="477"/>
    <s v="ZTAN"/>
    <x v="10"/>
    <s v="SU9354"/>
    <n v="72564391"/>
    <s v="RANCAGUA"/>
    <x v="4190"/>
    <x v="2"/>
    <x v="1"/>
    <x v="28"/>
    <x v="6"/>
    <n v="0"/>
    <n v="180000"/>
    <n v="0"/>
    <n v="180000"/>
    <n v="29.622802975445975"/>
    <n v="20000"/>
    <n v="30"/>
    <x v="5342"/>
    <x v="12"/>
    <x v="3"/>
    <x v="0"/>
  </r>
  <r>
    <x v="477"/>
    <s v="ZTAN"/>
    <x v="10"/>
    <s v="TP3884"/>
    <n v="107643206"/>
    <s v="RANCAGUA"/>
    <x v="385"/>
    <x v="1"/>
    <x v="1"/>
    <x v="28"/>
    <x v="6"/>
    <n v="0"/>
    <n v="180000"/>
    <n v="0"/>
    <n v="180000"/>
    <n v="23.987206823027726"/>
    <n v="20000"/>
    <n v="38"/>
    <x v="5343"/>
    <x v="12"/>
    <x v="3"/>
    <x v="0"/>
  </r>
  <r>
    <x v="477"/>
    <s v="ZTAN"/>
    <x v="10"/>
    <s v="WC2233"/>
    <n v="125108660"/>
    <s v="QUILICURA"/>
    <x v="4191"/>
    <x v="4"/>
    <x v="1"/>
    <x v="8"/>
    <x v="1"/>
    <n v="1"/>
    <n v="66960"/>
    <n v="0"/>
    <n v="66960"/>
    <n v="7.4356212452666766"/>
    <n v="5000"/>
    <n v="100"/>
    <x v="5344"/>
    <x v="12"/>
    <x v="3"/>
    <x v="1"/>
  </r>
  <r>
    <x v="478"/>
    <s v="ZPEP"/>
    <x v="17"/>
    <s v="RH1133"/>
    <s v="65941082"/>
    <s v="LAMPA"/>
    <x v="4192"/>
    <x v="0"/>
    <x v="0"/>
    <x v="17"/>
    <x v="1"/>
    <n v="5"/>
    <n v="120000"/>
    <n v="0"/>
    <n v="120000"/>
    <n v="19.195700163163451"/>
    <n v="10000"/>
    <n v="63"/>
    <x v="5345"/>
    <x v="12"/>
    <x v="3"/>
    <x v="1"/>
  </r>
  <r>
    <x v="478"/>
    <s v="ZTAN"/>
    <x v="17"/>
    <s v="HLBX77"/>
    <s v="160935098K"/>
    <s v="LAMPA"/>
    <x v="2528"/>
    <x v="1"/>
    <x v="1"/>
    <x v="17"/>
    <x v="1"/>
    <n v="5"/>
    <n v="70000"/>
    <n v="0"/>
    <n v="70000"/>
    <n v="5.1706499137609461"/>
    <n v="10000"/>
    <n v="100"/>
    <x v="5346"/>
    <x v="12"/>
    <x v="3"/>
    <x v="1"/>
  </r>
  <r>
    <x v="478"/>
    <s v="ZTAN"/>
    <x v="17"/>
    <s v="RH1133"/>
    <s v="65941082"/>
    <s v="LAMPA"/>
    <x v="4193"/>
    <x v="0"/>
    <x v="0"/>
    <x v="17"/>
    <x v="1"/>
    <n v="5"/>
    <n v="120000"/>
    <n v="0"/>
    <n v="120000"/>
    <n v="8.4883638678644697"/>
    <n v="10000"/>
    <n v="100"/>
    <x v="5347"/>
    <x v="12"/>
    <x v="3"/>
    <x v="1"/>
  </r>
  <r>
    <x v="478"/>
    <s v="ZTAN"/>
    <x v="8"/>
    <s v="HLBX77"/>
    <s v="16093509K"/>
    <s v="PUDAHUEL"/>
    <x v="4194"/>
    <x v="1"/>
    <x v="1"/>
    <x v="10"/>
    <x v="1"/>
    <n v="1"/>
    <n v="69330"/>
    <n v="0"/>
    <n v="69330"/>
    <n v="11.000047598648196"/>
    <n v="5000"/>
    <n v="100"/>
    <x v="5348"/>
    <x v="12"/>
    <x v="3"/>
    <x v="1"/>
  </r>
  <r>
    <x v="478"/>
    <s v="ZTAN"/>
    <x v="8"/>
    <s v="SV2718"/>
    <s v="99626232"/>
    <s v="QUILICURA"/>
    <x v="4195"/>
    <x v="1"/>
    <x v="1"/>
    <x v="8"/>
    <x v="1"/>
    <n v="1"/>
    <n v="55000"/>
    <n v="0"/>
    <n v="55000"/>
    <n v="15.113543933698256"/>
    <n v="5000"/>
    <n v="73"/>
    <x v="5349"/>
    <x v="12"/>
    <x v="3"/>
    <x v="1"/>
  </r>
  <r>
    <x v="478"/>
    <s v="ZTAN"/>
    <x v="8"/>
    <s v="XR6339"/>
    <s v="778907355"/>
    <s v="EL BOSQUE"/>
    <x v="4196"/>
    <x v="1"/>
    <x v="1"/>
    <x v="25"/>
    <x v="1"/>
    <n v="3"/>
    <n v="55000"/>
    <n v="0"/>
    <n v="55000"/>
    <n v="14.544839094411874"/>
    <n v="5000"/>
    <n v="76"/>
    <x v="5350"/>
    <x v="12"/>
    <x v="3"/>
    <x v="1"/>
  </r>
  <r>
    <x v="479"/>
    <s v="ZTAN"/>
    <x v="4"/>
    <s v="DJLF85"/>
    <n v="53173294"/>
    <s v="PADRE HURTADO"/>
    <x v="4197"/>
    <x v="4"/>
    <x v="1"/>
    <x v="26"/>
    <x v="1"/>
    <n v="5"/>
    <n v="70000"/>
    <n v="0"/>
    <n v="70000"/>
    <n v="12.181539746623974"/>
    <n v="10000"/>
    <n v="57"/>
    <x v="5351"/>
    <x v="12"/>
    <x v="3"/>
    <x v="1"/>
  </r>
  <r>
    <x v="479"/>
    <s v="ZTAN"/>
    <x v="24"/>
    <s v="KKPF51"/>
    <n v="95707734"/>
    <s v="MACHALI"/>
    <x v="4198"/>
    <x v="8"/>
    <x v="0"/>
    <x v="43"/>
    <x v="6"/>
    <n v="0"/>
    <n v="280000"/>
    <n v="0"/>
    <n v="280000"/>
    <n v="22.195411574272981"/>
    <n v="20000"/>
    <n v="63"/>
    <x v="5352"/>
    <x v="12"/>
    <x v="3"/>
    <x v="0"/>
  </r>
  <r>
    <x v="479"/>
    <s v="ZTAN"/>
    <x v="6"/>
    <s v="RK5135"/>
    <n v="138841065"/>
    <s v="CERRILLOS"/>
    <x v="4199"/>
    <x v="3"/>
    <x v="1"/>
    <x v="9"/>
    <x v="1"/>
    <n v="2"/>
    <n v="59102"/>
    <n v="0"/>
    <n v="59102"/>
    <n v="11.000059558374653"/>
    <n v="5000"/>
    <n v="100"/>
    <x v="5353"/>
    <x v="12"/>
    <x v="3"/>
    <x v="1"/>
  </r>
  <r>
    <x v="479"/>
    <s v="ZTAN"/>
    <x v="7"/>
    <s v="SU9354"/>
    <n v="72564391"/>
    <s v="RENCA"/>
    <x v="3575"/>
    <x v="2"/>
    <x v="1"/>
    <x v="7"/>
    <x v="1"/>
    <n v="1"/>
    <n v="85536"/>
    <n v="0"/>
    <n v="85536"/>
    <n v="11"/>
    <n v="5000"/>
    <n v="100"/>
    <x v="5354"/>
    <x v="12"/>
    <x v="3"/>
    <x v="1"/>
  </r>
  <r>
    <x v="479"/>
    <s v="ZTAN"/>
    <x v="7"/>
    <s v="WC2233"/>
    <n v="125108660"/>
    <s v="RENCA"/>
    <x v="3575"/>
    <x v="4"/>
    <x v="1"/>
    <x v="7"/>
    <x v="1"/>
    <n v="1"/>
    <n v="85536"/>
    <n v="0"/>
    <n v="85536"/>
    <n v="11"/>
    <n v="5000"/>
    <n v="100"/>
    <x v="5355"/>
    <x v="12"/>
    <x v="3"/>
    <x v="1"/>
  </r>
  <r>
    <x v="479"/>
    <s v="ZTAN"/>
    <x v="7"/>
    <s v="WG4022"/>
    <n v="154837728"/>
    <s v="RENCA"/>
    <x v="4200"/>
    <x v="1"/>
    <x v="0"/>
    <x v="7"/>
    <x v="1"/>
    <n v="1"/>
    <n v="159610"/>
    <n v="0"/>
    <n v="159610"/>
    <n v="11.000030323998137"/>
    <n v="5000"/>
    <n v="100"/>
    <x v="5356"/>
    <x v="12"/>
    <x v="3"/>
    <x v="1"/>
  </r>
  <r>
    <x v="479"/>
    <s v="ZTAN"/>
    <x v="8"/>
    <s v="PJ1058"/>
    <n v="92578569"/>
    <s v="SANTIAGO"/>
    <x v="4201"/>
    <x v="0"/>
    <x v="0"/>
    <x v="20"/>
    <x v="1"/>
    <n v="1"/>
    <n v="55000"/>
    <n v="0"/>
    <n v="55000"/>
    <n v="32.612304919121485"/>
    <n v="5000"/>
    <n v="34"/>
    <x v="5357"/>
    <x v="12"/>
    <x v="3"/>
    <x v="1"/>
  </r>
  <r>
    <x v="479"/>
    <s v="ZTAN"/>
    <x v="8"/>
    <s v="RX5135"/>
    <n v="78907355"/>
    <s v="ÑUÑOA"/>
    <x v="4202"/>
    <x v="0"/>
    <x v="0"/>
    <x v="15"/>
    <x v="1"/>
    <n v="4"/>
    <n v="55000"/>
    <n v="0"/>
    <n v="55000"/>
    <n v="14.098948987439115"/>
    <n v="5000"/>
    <n v="78"/>
    <x v="5358"/>
    <x v="12"/>
    <x v="3"/>
    <x v="1"/>
  </r>
  <r>
    <x v="479"/>
    <s v="ZTAN"/>
    <x v="8"/>
    <s v="SV2718"/>
    <n v="99626232"/>
    <s v="LA REINA"/>
    <x v="4203"/>
    <x v="1"/>
    <x v="1"/>
    <x v="11"/>
    <x v="1"/>
    <n v="3"/>
    <n v="55000"/>
    <n v="0"/>
    <n v="55000"/>
    <n v="14.763356811544408"/>
    <n v="5000"/>
    <n v="75"/>
    <x v="5359"/>
    <x v="12"/>
    <x v="3"/>
    <x v="1"/>
  </r>
  <r>
    <x v="479"/>
    <s v="ZTAN"/>
    <x v="8"/>
    <s v="TP3884"/>
    <n v="107643206"/>
    <s v="REÑACA"/>
    <x v="4204"/>
    <x v="1"/>
    <x v="1"/>
    <x v="6"/>
    <x v="2"/>
    <n v="0"/>
    <n v="203000"/>
    <n v="0"/>
    <n v="203000"/>
    <n v="41.251610438486324"/>
    <n v="20000"/>
    <n v="25"/>
    <x v="5360"/>
    <x v="12"/>
    <x v="3"/>
    <x v="0"/>
  </r>
  <r>
    <x v="480"/>
    <s v="ZPEP"/>
    <x v="2"/>
    <s v="DJLF85"/>
    <s v="53173294"/>
    <s v="SAN BERNARDO"/>
    <x v="4205"/>
    <x v="4"/>
    <x v="1"/>
    <x v="4"/>
    <x v="1"/>
    <n v="4"/>
    <n v="159116"/>
    <n v="0"/>
    <n v="159116"/>
    <n v="10.999970273340095"/>
    <n v="5000"/>
    <n v="100"/>
    <x v="5361"/>
    <x v="12"/>
    <x v="3"/>
    <x v="1"/>
  </r>
  <r>
    <x v="480"/>
    <s v="ZTAN"/>
    <x v="6"/>
    <s v="SV2718"/>
    <s v="99626232"/>
    <s v="LA REINA"/>
    <x v="4206"/>
    <x v="1"/>
    <x v="1"/>
    <x v="11"/>
    <x v="1"/>
    <n v="3"/>
    <n v="55000"/>
    <n v="0"/>
    <n v="55000"/>
    <n v="15.779024798889157"/>
    <n v="5000"/>
    <n v="70"/>
    <x v="5362"/>
    <x v="12"/>
    <x v="3"/>
    <x v="1"/>
  </r>
  <r>
    <x v="480"/>
    <s v="ZTAN"/>
    <x v="7"/>
    <s v="WC2233"/>
    <s v="125108660"/>
    <s v="RENCA"/>
    <x v="4207"/>
    <x v="4"/>
    <x v="1"/>
    <x v="7"/>
    <x v="1"/>
    <n v="1"/>
    <n v="97218"/>
    <n v="0"/>
    <n v="97218"/>
    <n v="10.999950215206088"/>
    <n v="5000"/>
    <n v="100"/>
    <x v="5363"/>
    <x v="12"/>
    <x v="3"/>
    <x v="1"/>
  </r>
  <r>
    <x v="480"/>
    <s v="ZTAN"/>
    <x v="7"/>
    <s v="WG4022"/>
    <s v="154837728"/>
    <s v="RENCA"/>
    <x v="4208"/>
    <x v="1"/>
    <x v="0"/>
    <x v="7"/>
    <x v="1"/>
    <n v="1"/>
    <n v="224750"/>
    <n v="0"/>
    <n v="224750"/>
    <n v="11.000009788662766"/>
    <n v="5000"/>
    <n v="100"/>
    <x v="5364"/>
    <x v="12"/>
    <x v="3"/>
    <x v="1"/>
  </r>
  <r>
    <x v="480"/>
    <s v="ZTAN"/>
    <x v="7"/>
    <s v="XR6339"/>
    <s v="78907355"/>
    <s v="RENCA"/>
    <x v="4209"/>
    <x v="1"/>
    <x v="1"/>
    <x v="7"/>
    <x v="1"/>
    <n v="1"/>
    <n v="81586"/>
    <n v="0"/>
    <n v="81586"/>
    <n v="11.000013482721892"/>
    <n v="5000"/>
    <n v="100"/>
    <x v="5365"/>
    <x v="12"/>
    <x v="3"/>
    <x v="1"/>
  </r>
  <r>
    <x v="480"/>
    <s v="ZTAN"/>
    <x v="8"/>
    <s v="HLBX77"/>
    <s v="16093509K"/>
    <s v="PUDAHUEL"/>
    <x v="4210"/>
    <x v="1"/>
    <x v="1"/>
    <x v="10"/>
    <x v="1"/>
    <n v="1"/>
    <n v="96196"/>
    <n v="0"/>
    <n v="96196"/>
    <n v="10.999988565024987"/>
    <n v="5000"/>
    <n v="100"/>
    <x v="5366"/>
    <x v="12"/>
    <x v="3"/>
    <x v="1"/>
  </r>
  <r>
    <x v="480"/>
    <s v="ZTAN"/>
    <x v="94"/>
    <s v="CJXX49"/>
    <s v="167832741"/>
    <s v="LOS ANGELES"/>
    <x v="4211"/>
    <x v="5"/>
    <x v="0"/>
    <x v="57"/>
    <x v="0"/>
    <n v="0"/>
    <n v="460000"/>
    <n v="0"/>
    <n v="460000"/>
    <n v="42.854481088131173"/>
    <n v="20000"/>
    <n v="65"/>
    <x v="5367"/>
    <x v="12"/>
    <x v="3"/>
    <x v="0"/>
  </r>
  <r>
    <x v="481"/>
    <s v="ZTAN"/>
    <x v="17"/>
    <s v="RH1133"/>
    <n v="65941082"/>
    <s v="LAMPA"/>
    <x v="4212"/>
    <x v="0"/>
    <x v="0"/>
    <x v="17"/>
    <x v="1"/>
    <n v="5"/>
    <n v="120000"/>
    <n v="0"/>
    <n v="120000"/>
    <n v="9.3760987615736227"/>
    <n v="10000"/>
    <n v="100"/>
    <x v="5368"/>
    <x v="12"/>
    <x v="3"/>
    <x v="1"/>
  </r>
  <r>
    <x v="481"/>
    <s v="ZTAN"/>
    <x v="7"/>
    <s v="WC2233"/>
    <n v="125108660"/>
    <s v="RENCA"/>
    <x v="4213"/>
    <x v="4"/>
    <x v="1"/>
    <x v="7"/>
    <x v="1"/>
    <n v="1"/>
    <n v="79175"/>
    <n v="0"/>
    <n v="79175"/>
    <n v="11.000041679981107"/>
    <n v="5000"/>
    <n v="100"/>
    <x v="5369"/>
    <x v="12"/>
    <x v="3"/>
    <x v="1"/>
  </r>
  <r>
    <x v="481"/>
    <s v="ZTAN"/>
    <x v="7"/>
    <s v="WG4022"/>
    <n v="154837728"/>
    <s v="RENCA"/>
    <x v="4214"/>
    <x v="1"/>
    <x v="0"/>
    <x v="7"/>
    <x v="1"/>
    <n v="1"/>
    <n v="119223"/>
    <n v="0"/>
    <n v="119223"/>
    <n v="10.999994464158194"/>
    <n v="5000"/>
    <n v="100"/>
    <x v="5370"/>
    <x v="12"/>
    <x v="3"/>
    <x v="1"/>
  </r>
  <r>
    <x v="482"/>
    <s v="ZPEP"/>
    <x v="17"/>
    <s v="SU9354"/>
    <s v="72564391"/>
    <s v="LAMPA"/>
    <x v="4215"/>
    <x v="2"/>
    <x v="1"/>
    <x v="17"/>
    <x v="1"/>
    <n v="5"/>
    <n v="70000"/>
    <n v="0"/>
    <n v="70000"/>
    <n v="9.1722442647266931"/>
    <n v="10000"/>
    <n v="93"/>
    <x v="5371"/>
    <x v="12"/>
    <x v="3"/>
    <x v="1"/>
  </r>
  <r>
    <x v="482"/>
    <s v="ZPEP"/>
    <x v="58"/>
    <s v="RK5135"/>
    <s v="138841065"/>
    <s v="COLINA"/>
    <x v="4216"/>
    <x v="3"/>
    <x v="1"/>
    <x v="5"/>
    <x v="1"/>
    <n v="5"/>
    <n v="70000"/>
    <n v="0"/>
    <n v="70000"/>
    <n v="14.500529269318331"/>
    <n v="10000"/>
    <n v="48"/>
    <x v="5372"/>
    <x v="12"/>
    <x v="3"/>
    <x v="1"/>
  </r>
  <r>
    <x v="482"/>
    <s v="ZTAN"/>
    <x v="17"/>
    <s v="DJLF85"/>
    <s v="53173294"/>
    <s v="LAMPA"/>
    <x v="4217"/>
    <x v="4"/>
    <x v="1"/>
    <x v="17"/>
    <x v="1"/>
    <n v="5"/>
    <n v="70000"/>
    <n v="0"/>
    <n v="70000"/>
    <n v="6.3094326017396005"/>
    <n v="10000"/>
    <n v="100"/>
    <x v="5373"/>
    <x v="12"/>
    <x v="3"/>
    <x v="1"/>
  </r>
  <r>
    <x v="482"/>
    <s v="ZTAN"/>
    <x v="6"/>
    <s v="DRFV16"/>
    <s v="113693568"/>
    <s v="LINARES"/>
    <x v="4218"/>
    <x v="0"/>
    <x v="0"/>
    <x v="59"/>
    <x v="3"/>
    <n v="0"/>
    <n v="350000"/>
    <n v="0"/>
    <n v="350000"/>
    <n v="30.906714704531808"/>
    <n v="20000"/>
    <n v="65"/>
    <x v="5374"/>
    <x v="12"/>
    <x v="3"/>
    <x v="0"/>
  </r>
  <r>
    <x v="482"/>
    <s v="ZTAN"/>
    <x v="6"/>
    <s v="SU9354"/>
    <s v="72564391"/>
    <s v="LOS ANDES"/>
    <x v="4219"/>
    <x v="2"/>
    <x v="1"/>
    <x v="38"/>
    <x v="2"/>
    <n v="0"/>
    <n v="203000"/>
    <n v="0"/>
    <n v="203000"/>
    <n v="29.779106509448635"/>
    <n v="20000"/>
    <n v="34"/>
    <x v="5375"/>
    <x v="12"/>
    <x v="3"/>
    <x v="0"/>
  </r>
  <r>
    <x v="482"/>
    <s v="ZTAN"/>
    <x v="6"/>
    <s v="TP3884"/>
    <s v="107643206"/>
    <s v="RANCAGUA"/>
    <x v="4220"/>
    <x v="1"/>
    <x v="1"/>
    <x v="28"/>
    <x v="6"/>
    <n v="0"/>
    <n v="180000"/>
    <n v="0"/>
    <n v="180000"/>
    <n v="33.96226415094339"/>
    <n v="20000"/>
    <n v="27"/>
    <x v="5376"/>
    <x v="12"/>
    <x v="3"/>
    <x v="0"/>
  </r>
  <r>
    <x v="482"/>
    <s v="ZTAN"/>
    <x v="41"/>
    <s v="KKPF51"/>
    <s v="95707734"/>
    <s v="LAS CABRAS"/>
    <x v="4221"/>
    <x v="8"/>
    <x v="0"/>
    <x v="61"/>
    <x v="6"/>
    <n v="0"/>
    <n v="260000"/>
    <n v="0"/>
    <n v="260000"/>
    <n v="44.228518548760235"/>
    <n v="20000"/>
    <n v="29"/>
    <x v="5377"/>
    <x v="12"/>
    <x v="3"/>
    <x v="0"/>
  </r>
  <r>
    <x v="482"/>
    <s v="ZTAN"/>
    <x v="70"/>
    <s v="RK5135"/>
    <s v="138841065"/>
    <s v="SAN FELIPE"/>
    <x v="4222"/>
    <x v="3"/>
    <x v="1"/>
    <x v="35"/>
    <x v="2"/>
    <n v="0"/>
    <n v="203000"/>
    <n v="0"/>
    <n v="203000"/>
    <n v="38.654886129941346"/>
    <n v="20000"/>
    <n v="26"/>
    <x v="5378"/>
    <x v="12"/>
    <x v="3"/>
    <x v="0"/>
  </r>
  <r>
    <x v="482"/>
    <s v="ZTAN"/>
    <x v="7"/>
    <s v="HLBX77"/>
    <s v="16093509K"/>
    <s v="RENCA"/>
    <x v="4223"/>
    <x v="1"/>
    <x v="1"/>
    <x v="7"/>
    <x v="1"/>
    <n v="1"/>
    <n v="123475"/>
    <n v="0"/>
    <n v="123475"/>
    <n v="11.000000000000009"/>
    <n v="5000"/>
    <n v="100"/>
    <x v="5379"/>
    <x v="12"/>
    <x v="3"/>
    <x v="1"/>
  </r>
  <r>
    <x v="482"/>
    <s v="ZTAN"/>
    <x v="7"/>
    <s v="WG4022"/>
    <s v="154837728"/>
    <s v="RENCA"/>
    <x v="4224"/>
    <x v="1"/>
    <x v="0"/>
    <x v="7"/>
    <x v="1"/>
    <n v="1"/>
    <n v="90179"/>
    <n v="0"/>
    <n v="90179"/>
    <n v="7.7746482273208892"/>
    <n v="5000"/>
    <n v="100"/>
    <x v="5380"/>
    <x v="12"/>
    <x v="3"/>
    <x v="1"/>
  </r>
  <r>
    <x v="482"/>
    <s v="ZTAN"/>
    <x v="8"/>
    <s v="BWPL69"/>
    <s v="78551976"/>
    <s v="VILLARRICA"/>
    <x v="4225"/>
    <x v="5"/>
    <x v="0"/>
    <x v="88"/>
    <x v="4"/>
    <n v="0"/>
    <n v="800000"/>
    <n v="0"/>
    <n v="800000"/>
    <n v="81.738078501250556"/>
    <n v="20000"/>
    <n v="49"/>
    <x v="5381"/>
    <x v="12"/>
    <x v="3"/>
    <x v="0"/>
  </r>
  <r>
    <x v="482"/>
    <s v="ZTAN"/>
    <x v="8"/>
    <s v="XR6339"/>
    <s v="78907355"/>
    <s v="LA CALERA"/>
    <x v="2423"/>
    <x v="1"/>
    <x v="1"/>
    <x v="19"/>
    <x v="2"/>
    <n v="0"/>
    <n v="203000"/>
    <n v="0"/>
    <n v="203000"/>
    <n v="62.654320987654323"/>
    <n v="20000"/>
    <n v="16"/>
    <x v="5382"/>
    <x v="12"/>
    <x v="3"/>
    <x v="0"/>
  </r>
  <r>
    <x v="483"/>
    <s v="ZTAN"/>
    <x v="4"/>
    <s v="CJXX49"/>
    <s v="167832741"/>
    <s v="SAN BERNARDO"/>
    <x v="4226"/>
    <x v="5"/>
    <x v="0"/>
    <x v="4"/>
    <x v="1"/>
    <n v="4"/>
    <n v="96633"/>
    <n v="0"/>
    <n v="96633"/>
    <n v="11.000022766596842"/>
    <n v="5000"/>
    <n v="100"/>
    <x v="5383"/>
    <x v="12"/>
    <x v="3"/>
    <x v="1"/>
  </r>
  <r>
    <x v="483"/>
    <s v="ZTAN"/>
    <x v="7"/>
    <s v="DJLF85"/>
    <s v="53173294"/>
    <s v="PADRE HURTADO"/>
    <x v="4227"/>
    <x v="4"/>
    <x v="1"/>
    <x v="26"/>
    <x v="1"/>
    <n v="5"/>
    <n v="70000"/>
    <n v="0"/>
    <n v="70000"/>
    <n v="4.6099944680066356"/>
    <n v="10000"/>
    <n v="100"/>
    <x v="5384"/>
    <x v="12"/>
    <x v="3"/>
    <x v="1"/>
  </r>
  <r>
    <x v="483"/>
    <s v="ZTAN"/>
    <x v="7"/>
    <s v="HLBX77"/>
    <s v="16093509K"/>
    <s v="MELIPILLA"/>
    <x v="4228"/>
    <x v="1"/>
    <x v="1"/>
    <x v="29"/>
    <x v="1"/>
    <n v="5"/>
    <n v="90000"/>
    <n v="0"/>
    <n v="90000"/>
    <n v="16.987927246370237"/>
    <n v="10000"/>
    <n v="53"/>
    <x v="5385"/>
    <x v="12"/>
    <x v="3"/>
    <x v="1"/>
  </r>
  <r>
    <x v="483"/>
    <s v="ZTAN"/>
    <x v="7"/>
    <s v="RK5135"/>
    <s v="138841065"/>
    <s v="RENCA"/>
    <x v="4229"/>
    <x v="3"/>
    <x v="1"/>
    <x v="7"/>
    <x v="1"/>
    <n v="1"/>
    <n v="122674"/>
    <n v="0"/>
    <n v="122674"/>
    <n v="10.999962339336921"/>
    <n v="5000"/>
    <n v="100"/>
    <x v="5386"/>
    <x v="12"/>
    <x v="3"/>
    <x v="1"/>
  </r>
  <r>
    <x v="483"/>
    <s v="ZTAN"/>
    <x v="7"/>
    <s v="WG4022"/>
    <s v="154837728"/>
    <s v="RENCA"/>
    <x v="4230"/>
    <x v="1"/>
    <x v="0"/>
    <x v="7"/>
    <x v="1"/>
    <n v="1"/>
    <n v="158709"/>
    <n v="0"/>
    <n v="158709"/>
    <n v="10.999993069080475"/>
    <n v="5000"/>
    <n v="100"/>
    <x v="5387"/>
    <x v="12"/>
    <x v="3"/>
    <x v="1"/>
  </r>
  <r>
    <x v="483"/>
    <s v="ZTAN"/>
    <x v="8"/>
    <s v="HLBX77"/>
    <s v="16093509K"/>
    <s v="LA CRUZ"/>
    <x v="4231"/>
    <x v="1"/>
    <x v="1"/>
    <x v="105"/>
    <x v="2"/>
    <n v="0"/>
    <n v="203000"/>
    <n v="0"/>
    <n v="203000"/>
    <n v="17.515099223468507"/>
    <n v="20000"/>
    <n v="58"/>
    <x v="5388"/>
    <x v="12"/>
    <x v="3"/>
    <x v="0"/>
  </r>
  <r>
    <x v="483"/>
    <s v="ZTAN"/>
    <x v="8"/>
    <s v="SV2718"/>
    <s v="99626232"/>
    <s v="LAS CONDES"/>
    <x v="4232"/>
    <x v="1"/>
    <x v="1"/>
    <x v="3"/>
    <x v="1"/>
    <n v="4"/>
    <n v="55000"/>
    <n v="0"/>
    <n v="55000"/>
    <n v="20.322049053731497"/>
    <n v="5000"/>
    <n v="54"/>
    <x v="5389"/>
    <x v="12"/>
    <x v="3"/>
    <x v="1"/>
  </r>
  <r>
    <x v="483"/>
    <s v="ZTAN"/>
    <x v="8"/>
    <s v="TP3884"/>
    <s v="107643206"/>
    <s v="SAN BERNARDO"/>
    <x v="4233"/>
    <x v="1"/>
    <x v="1"/>
    <x v="4"/>
    <x v="1"/>
    <n v="4"/>
    <n v="55000"/>
    <n v="0"/>
    <n v="55000"/>
    <n v="16.663990328825975"/>
    <n v="5000"/>
    <n v="66"/>
    <x v="5390"/>
    <x v="12"/>
    <x v="3"/>
    <x v="1"/>
  </r>
  <r>
    <x v="483"/>
    <s v="ZTAN"/>
    <x v="8"/>
    <s v="XR6339"/>
    <s v="78907355"/>
    <s v="LA CRUZ"/>
    <x v="4234"/>
    <x v="1"/>
    <x v="1"/>
    <x v="105"/>
    <x v="2"/>
    <n v="0"/>
    <n v="203000"/>
    <n v="0"/>
    <n v="203000"/>
    <n v="32.949196559000164"/>
    <n v="20000"/>
    <n v="31"/>
    <x v="5391"/>
    <x v="12"/>
    <x v="3"/>
    <x v="0"/>
  </r>
  <r>
    <x v="484"/>
    <s v="ZPEP"/>
    <x v="58"/>
    <s v="DJLF85"/>
    <s v="125108660"/>
    <s v="COLINA"/>
    <x v="4235"/>
    <x v="4"/>
    <x v="1"/>
    <x v="5"/>
    <x v="1"/>
    <n v="5"/>
    <n v="70000"/>
    <n v="0"/>
    <n v="70000"/>
    <n v="10.924919272650088"/>
    <n v="10000"/>
    <n v="57"/>
    <x v="5392"/>
    <x v="12"/>
    <x v="3"/>
    <x v="1"/>
  </r>
  <r>
    <x v="484"/>
    <s v="ZTAN"/>
    <x v="10"/>
    <s v="WC2233"/>
    <s v="125108660"/>
    <s v="QUILICURA"/>
    <x v="4236"/>
    <x v="4"/>
    <x v="1"/>
    <x v="8"/>
    <x v="1"/>
    <n v="1"/>
    <n v="61230"/>
    <n v="0"/>
    <n v="61230"/>
    <n v="10.999928140270187"/>
    <n v="5000"/>
    <n v="100"/>
    <x v="5393"/>
    <x v="12"/>
    <x v="3"/>
    <x v="1"/>
  </r>
  <r>
    <x v="484"/>
    <s v="ZTAN"/>
    <x v="6"/>
    <s v="KKPF51"/>
    <s v="95707734"/>
    <s v="VIÑA DEL MAR"/>
    <x v="4237"/>
    <x v="8"/>
    <x v="0"/>
    <x v="6"/>
    <x v="2"/>
    <n v="0"/>
    <n v="275000"/>
    <n v="0"/>
    <n v="275000"/>
    <n v="40.817901692681275"/>
    <n v="20000"/>
    <n v="55"/>
    <x v="5394"/>
    <x v="12"/>
    <x v="3"/>
    <x v="0"/>
  </r>
  <r>
    <x v="484"/>
    <s v="ZTAN"/>
    <x v="6"/>
    <s v="SU9354"/>
    <s v="72564391"/>
    <s v="QUILLOTA"/>
    <x v="4238"/>
    <x v="2"/>
    <x v="1"/>
    <x v="19"/>
    <x v="2"/>
    <n v="0"/>
    <n v="203000"/>
    <n v="0"/>
    <n v="203000"/>
    <n v="37.434535664232499"/>
    <n v="20000"/>
    <n v="55"/>
    <x v="5395"/>
    <x v="12"/>
    <x v="3"/>
    <x v="0"/>
  </r>
  <r>
    <x v="484"/>
    <s v="ZTAN"/>
    <x v="70"/>
    <s v="DRFV76"/>
    <s v="113693568"/>
    <s v="CHILLAN"/>
    <x v="4239"/>
    <x v="0"/>
    <x v="0"/>
    <x v="21"/>
    <x v="5"/>
    <n v="0"/>
    <n v="400000"/>
    <n v="0"/>
    <n v="400000"/>
    <n v="25.903380391141059"/>
    <n v="20000"/>
    <n v="77"/>
    <x v="5396"/>
    <x v="12"/>
    <x v="3"/>
    <x v="0"/>
  </r>
  <r>
    <x v="484"/>
    <s v="ZTAN"/>
    <x v="7"/>
    <s v="HLBX77"/>
    <s v="160935096K"/>
    <s v="RENCA"/>
    <x v="4240"/>
    <x v="1"/>
    <x v="1"/>
    <x v="7"/>
    <x v="1"/>
    <n v="1"/>
    <n v="55000"/>
    <n v="0"/>
    <n v="55000"/>
    <n v="29.969485614646903"/>
    <n v="5000"/>
    <n v="48"/>
    <x v="5397"/>
    <x v="12"/>
    <x v="3"/>
    <x v="1"/>
  </r>
  <r>
    <x v="484"/>
    <s v="ZTAN"/>
    <x v="7"/>
    <s v="WG4022"/>
    <s v="154837728"/>
    <s v="RENCA"/>
    <x v="4241"/>
    <x v="1"/>
    <x v="0"/>
    <x v="7"/>
    <x v="1"/>
    <n v="1"/>
    <n v="59411"/>
    <n v="0"/>
    <n v="59411"/>
    <n v="11.000081466998456"/>
    <n v="5000"/>
    <n v="100"/>
    <x v="5398"/>
    <x v="12"/>
    <x v="3"/>
    <x v="1"/>
  </r>
  <r>
    <x v="484"/>
    <s v="ZTAN"/>
    <x v="8"/>
    <s v="SV2718"/>
    <s v="99626232"/>
    <s v="MAIPU"/>
    <x v="4242"/>
    <x v="1"/>
    <x v="1"/>
    <x v="2"/>
    <x v="1"/>
    <n v="2"/>
    <n v="55000"/>
    <n v="0"/>
    <n v="55000"/>
    <n v="16.74226050957353"/>
    <n v="5000"/>
    <n v="66"/>
    <x v="5399"/>
    <x v="12"/>
    <x v="3"/>
    <x v="1"/>
  </r>
  <r>
    <x v="484"/>
    <s v="ZTAN"/>
    <x v="8"/>
    <s v="TP3884"/>
    <s v="107643206"/>
    <s v="REÑACA"/>
    <x v="4243"/>
    <x v="1"/>
    <x v="1"/>
    <x v="6"/>
    <x v="2"/>
    <n v="0"/>
    <n v="203000"/>
    <n v="0"/>
    <n v="203000"/>
    <n v="49.933094572789166"/>
    <n v="20000"/>
    <n v="54"/>
    <x v="5400"/>
    <x v="12"/>
    <x v="3"/>
    <x v="0"/>
  </r>
  <r>
    <x v="484"/>
    <s v="ZTAN"/>
    <x v="8"/>
    <s v="XR6339"/>
    <s v="78907355"/>
    <s v="PUDAHUEL"/>
    <x v="4244"/>
    <x v="1"/>
    <x v="1"/>
    <x v="10"/>
    <x v="1"/>
    <n v="1"/>
    <n v="55000"/>
    <n v="0"/>
    <n v="55000"/>
    <n v="12.656188876360542"/>
    <n v="5000"/>
    <n v="87"/>
    <x v="5401"/>
    <x v="12"/>
    <x v="3"/>
    <x v="1"/>
  </r>
  <r>
    <x v="485"/>
    <s v="ZPEP"/>
    <x v="2"/>
    <s v="WG4022"/>
    <s v="154837728"/>
    <s v="SAN BERNARDO"/>
    <x v="4245"/>
    <x v="1"/>
    <x v="0"/>
    <x v="4"/>
    <x v="1"/>
    <n v="4"/>
    <n v="223912"/>
    <n v="0"/>
    <n v="223912"/>
    <n v="10.999976419358134"/>
    <n v="5000"/>
    <n v="100"/>
    <x v="5402"/>
    <x v="12"/>
    <x v="3"/>
    <x v="1"/>
  </r>
  <r>
    <x v="485"/>
    <s v="ZTAN"/>
    <x v="4"/>
    <s v="DKDL88"/>
    <s v="122975819"/>
    <s v="SAN BERNARDO"/>
    <x v="4246"/>
    <x v="0"/>
    <x v="0"/>
    <x v="4"/>
    <x v="1"/>
    <n v="4"/>
    <n v="59928"/>
    <n v="0"/>
    <n v="59928"/>
    <n v="11"/>
    <n v="5000"/>
    <n v="100"/>
    <x v="5403"/>
    <x v="12"/>
    <x v="3"/>
    <x v="1"/>
  </r>
  <r>
    <x v="485"/>
    <s v="ZTAN"/>
    <x v="4"/>
    <s v="SV2718"/>
    <s v="99626232"/>
    <s v="PAINE"/>
    <x v="1067"/>
    <x v="1"/>
    <x v="1"/>
    <x v="13"/>
    <x v="1"/>
    <n v="5"/>
    <n v="90000"/>
    <n v="0"/>
    <n v="90000"/>
    <n v="10.585744530698658"/>
    <n v="10000"/>
    <n v="85"/>
    <x v="5404"/>
    <x v="12"/>
    <x v="3"/>
    <x v="1"/>
  </r>
  <r>
    <x v="485"/>
    <s v="ZTAN"/>
    <x v="7"/>
    <s v="DJLF85"/>
    <s v="53173294"/>
    <s v="PADRE HURTADO"/>
    <x v="4247"/>
    <x v="4"/>
    <x v="1"/>
    <x v="26"/>
    <x v="1"/>
    <n v="5"/>
    <n v="70000"/>
    <n v="0"/>
    <n v="70000"/>
    <n v="10.2880658436214"/>
    <n v="10000"/>
    <n v="68"/>
    <x v="5405"/>
    <x v="12"/>
    <x v="3"/>
    <x v="1"/>
  </r>
  <r>
    <x v="485"/>
    <s v="ZTAN"/>
    <x v="7"/>
    <s v="WC2233"/>
    <s v="125108660"/>
    <s v="MELIPILLA"/>
    <x v="4248"/>
    <x v="4"/>
    <x v="1"/>
    <x v="29"/>
    <x v="1"/>
    <n v="5"/>
    <n v="90000"/>
    <n v="0"/>
    <n v="90000"/>
    <n v="12.911926315940494"/>
    <n v="10000"/>
    <n v="70"/>
    <x v="5406"/>
    <x v="12"/>
    <x v="3"/>
    <x v="1"/>
  </r>
  <r>
    <x v="485"/>
    <s v="ZTAN"/>
    <x v="7"/>
    <s v="XR6339"/>
    <s v="78907355"/>
    <s v="SANTIAGO"/>
    <x v="4249"/>
    <x v="1"/>
    <x v="1"/>
    <x v="20"/>
    <x v="1"/>
    <n v="1"/>
    <n v="55000"/>
    <n v="0"/>
    <n v="55000"/>
    <n v="11.789419531852868"/>
    <n v="5000"/>
    <n v="93"/>
    <x v="5407"/>
    <x v="12"/>
    <x v="3"/>
    <x v="1"/>
  </r>
  <r>
    <x v="485"/>
    <s v="ZTAN"/>
    <x v="8"/>
    <s v="HLBX77"/>
    <s v="16093509K"/>
    <s v="PUDAHUEL"/>
    <x v="4250"/>
    <x v="1"/>
    <x v="1"/>
    <x v="10"/>
    <x v="1"/>
    <n v="1"/>
    <n v="55000"/>
    <n v="0"/>
    <n v="55000"/>
    <n v="18.05433369660841"/>
    <n v="5000"/>
    <n v="61"/>
    <x v="5408"/>
    <x v="12"/>
    <x v="3"/>
    <x v="1"/>
  </r>
  <r>
    <x v="485"/>
    <s v="ZTAN"/>
    <x v="8"/>
    <s v="SV2718"/>
    <s v="99626232"/>
    <s v="PUENTE ALTO"/>
    <x v="4251"/>
    <x v="1"/>
    <x v="1"/>
    <x v="30"/>
    <x v="1"/>
    <n v="4"/>
    <n v="55000"/>
    <n v="0"/>
    <n v="55000"/>
    <n v="12.577667094307348"/>
    <n v="5000"/>
    <n v="87"/>
    <x v="5409"/>
    <x v="12"/>
    <x v="3"/>
    <x v="1"/>
  </r>
  <r>
    <x v="486"/>
    <s v="ZPEP"/>
    <x v="58"/>
    <s v="HLBX77"/>
    <s v="16093509K"/>
    <s v="COLINA"/>
    <x v="4252"/>
    <x v="1"/>
    <x v="1"/>
    <x v="5"/>
    <x v="1"/>
    <n v="5"/>
    <n v="70000"/>
    <n v="0"/>
    <n v="70000"/>
    <n v="18.631787959606285"/>
    <n v="10000"/>
    <n v="38"/>
    <x v="5410"/>
    <x v="12"/>
    <x v="3"/>
    <x v="1"/>
  </r>
  <r>
    <x v="486"/>
    <s v="ZPEP"/>
    <x v="7"/>
    <s v="HLZV71"/>
    <s v="177846392"/>
    <s v="RENCA"/>
    <x v="4038"/>
    <x v="0"/>
    <x v="0"/>
    <x v="7"/>
    <x v="1"/>
    <n v="1"/>
    <n v="286634"/>
    <n v="0"/>
    <n v="286634"/>
    <n v="11.00001535060788"/>
    <n v="5000"/>
    <n v="100"/>
    <x v="5411"/>
    <x v="12"/>
    <x v="3"/>
    <x v="1"/>
  </r>
  <r>
    <x v="486"/>
    <s v="ZPEP"/>
    <x v="7"/>
    <s v="KXTC79"/>
    <s v="177846392"/>
    <s v="RENCA"/>
    <x v="4038"/>
    <x v="0"/>
    <x v="0"/>
    <x v="7"/>
    <x v="1"/>
    <n v="1"/>
    <n v="286634"/>
    <n v="0"/>
    <n v="286634"/>
    <n v="11.00001535060788"/>
    <n v="5000"/>
    <n v="100"/>
    <x v="5412"/>
    <x v="12"/>
    <x v="3"/>
    <x v="1"/>
  </r>
  <r>
    <x v="486"/>
    <s v="ZTAN"/>
    <x v="10"/>
    <s v="SU9354"/>
    <s v="72564391"/>
    <s v="RANCAGUA"/>
    <x v="1931"/>
    <x v="2"/>
    <x v="1"/>
    <x v="28"/>
    <x v="6"/>
    <n v="0"/>
    <n v="180000"/>
    <n v="0"/>
    <n v="180000"/>
    <n v="10.585744530698653"/>
    <n v="20000"/>
    <n v="85"/>
    <x v="5413"/>
    <x v="12"/>
    <x v="3"/>
    <x v="0"/>
  </r>
  <r>
    <x v="486"/>
    <s v="ZTAN"/>
    <x v="10"/>
    <s v="WG4022"/>
    <s v="154837728"/>
    <s v="RANCAGUA"/>
    <x v="4253"/>
    <x v="1"/>
    <x v="0"/>
    <x v="28"/>
    <x v="6"/>
    <n v="0"/>
    <n v="250000"/>
    <n v="0"/>
    <n v="250000"/>
    <n v="7.4694782181051735"/>
    <n v="20000"/>
    <n v="100"/>
    <x v="5414"/>
    <x v="12"/>
    <x v="3"/>
    <x v="0"/>
  </r>
  <r>
    <x v="486"/>
    <s v="ZTAN"/>
    <x v="24"/>
    <s v="KKPF51"/>
    <s v="95707734"/>
    <s v="MACHALI"/>
    <x v="4254"/>
    <x v="8"/>
    <x v="0"/>
    <x v="43"/>
    <x v="6"/>
    <n v="0"/>
    <n v="280000"/>
    <n v="0"/>
    <n v="280000"/>
    <n v="23.476540228728577"/>
    <n v="20000"/>
    <n v="60"/>
    <x v="5415"/>
    <x v="12"/>
    <x v="3"/>
    <x v="0"/>
  </r>
  <r>
    <x v="486"/>
    <s v="ZTAN"/>
    <x v="8"/>
    <s v="SV2718"/>
    <s v="99626232"/>
    <s v="HUECHURABA"/>
    <x v="4255"/>
    <x v="1"/>
    <x v="1"/>
    <x v="24"/>
    <x v="1"/>
    <n v="1"/>
    <n v="55000"/>
    <n v="0"/>
    <n v="55000"/>
    <n v="16.8494577538141"/>
    <n v="5000"/>
    <n v="65"/>
    <x v="5416"/>
    <x v="12"/>
    <x v="3"/>
    <x v="1"/>
  </r>
  <r>
    <x v="486"/>
    <s v="ZTAN"/>
    <x v="8"/>
    <s v="TP3884"/>
    <s v="107643206"/>
    <s v="LA REINA"/>
    <x v="4256"/>
    <x v="1"/>
    <x v="1"/>
    <x v="11"/>
    <x v="1"/>
    <n v="3"/>
    <n v="55000"/>
    <n v="0"/>
    <n v="55000"/>
    <n v="11.854853484788068"/>
    <n v="5000"/>
    <n v="93"/>
    <x v="5417"/>
    <x v="12"/>
    <x v="3"/>
    <x v="1"/>
  </r>
  <r>
    <x v="486"/>
    <s v="ZTAN"/>
    <x v="8"/>
    <s v="WC2233"/>
    <s v="125108660"/>
    <s v="ÑUÑOA"/>
    <x v="4257"/>
    <x v="4"/>
    <x v="1"/>
    <x v="15"/>
    <x v="1"/>
    <n v="4"/>
    <n v="55000"/>
    <n v="0"/>
    <n v="55000"/>
    <n v="15.161372131744054"/>
    <n v="5000"/>
    <n v="73"/>
    <x v="5418"/>
    <x v="12"/>
    <x v="3"/>
    <x v="1"/>
  </r>
  <r>
    <x v="486"/>
    <s v="ZTAN"/>
    <x v="8"/>
    <s v="XR6339"/>
    <s v="78907355"/>
    <s v="CERRILLOS"/>
    <x v="4258"/>
    <x v="1"/>
    <x v="1"/>
    <x v="9"/>
    <x v="1"/>
    <n v="2"/>
    <n v="55000"/>
    <n v="0"/>
    <n v="55000"/>
    <n v="14.242063286550312"/>
    <n v="5000"/>
    <n v="77"/>
    <x v="5419"/>
    <x v="12"/>
    <x v="3"/>
    <x v="1"/>
  </r>
  <r>
    <x v="487"/>
    <s v="ZPEP"/>
    <x v="17"/>
    <s v="WC2233"/>
    <s v="125108660"/>
    <s v="LAMPA"/>
    <x v="4259"/>
    <x v="4"/>
    <x v="1"/>
    <x v="17"/>
    <x v="1"/>
    <n v="5"/>
    <n v="70000"/>
    <n v="0"/>
    <n v="70000"/>
    <n v="7.9620551201701595"/>
    <n v="10000"/>
    <n v="88"/>
    <x v="5420"/>
    <x v="12"/>
    <x v="3"/>
    <x v="1"/>
  </r>
  <r>
    <x v="487"/>
    <s v="ZPEP"/>
    <x v="7"/>
    <s v="DCRX92"/>
    <s v="78778555"/>
    <s v="RENCA"/>
    <x v="4038"/>
    <x v="0"/>
    <x v="0"/>
    <x v="7"/>
    <x v="1"/>
    <n v="1"/>
    <n v="286634"/>
    <n v="0"/>
    <n v="286634"/>
    <n v="11.00001535060788"/>
    <n v="5000"/>
    <n v="100"/>
    <x v="5421"/>
    <x v="12"/>
    <x v="3"/>
    <x v="1"/>
  </r>
  <r>
    <x v="487"/>
    <s v="ZPEP"/>
    <x v="7"/>
    <s v="DTCY42"/>
    <s v="92028607"/>
    <s v="RENCA"/>
    <x v="4038"/>
    <x v="5"/>
    <x v="0"/>
    <x v="7"/>
    <x v="1"/>
    <n v="1"/>
    <n v="286634"/>
    <n v="0"/>
    <n v="286634"/>
    <n v="11.00001535060788"/>
    <n v="5000"/>
    <n v="100"/>
    <x v="5422"/>
    <x v="12"/>
    <x v="3"/>
    <x v="1"/>
  </r>
  <r>
    <x v="487"/>
    <s v="ZTAN"/>
    <x v="70"/>
    <s v="TP3884"/>
    <s v="107643206"/>
    <s v="SAN BERNARDO"/>
    <x v="4260"/>
    <x v="1"/>
    <x v="1"/>
    <x v="4"/>
    <x v="1"/>
    <n v="4"/>
    <n v="56166"/>
    <n v="0"/>
    <n v="56166"/>
    <n v="10.931490852471779"/>
    <n v="5000"/>
    <n v="100"/>
    <x v="5423"/>
    <x v="12"/>
    <x v="3"/>
    <x v="1"/>
  </r>
  <r>
    <x v="487"/>
    <s v="ZTAN"/>
    <x v="7"/>
    <s v="HLBX77"/>
    <s v="16093509K"/>
    <s v="RENCA"/>
    <x v="4261"/>
    <x v="1"/>
    <x v="1"/>
    <x v="7"/>
    <x v="1"/>
    <n v="1"/>
    <n v="55000"/>
    <n v="0"/>
    <n v="55000"/>
    <n v="13.054055657746396"/>
    <n v="5000"/>
    <n v="84"/>
    <x v="5424"/>
    <x v="12"/>
    <x v="3"/>
    <x v="1"/>
  </r>
  <r>
    <x v="487"/>
    <s v="ZTAN"/>
    <x v="7"/>
    <s v="WG4022"/>
    <s v="154837728"/>
    <s v="RENCA"/>
    <x v="4262"/>
    <x v="1"/>
    <x v="0"/>
    <x v="7"/>
    <x v="1"/>
    <n v="1"/>
    <n v="97609"/>
    <n v="0"/>
    <n v="97609"/>
    <n v="11.000031554557825"/>
    <n v="5000"/>
    <n v="100"/>
    <x v="5425"/>
    <x v="12"/>
    <x v="3"/>
    <x v="1"/>
  </r>
  <r>
    <x v="487"/>
    <s v="ZTAN"/>
    <x v="7"/>
    <s v="XR6339"/>
    <s v="78907355"/>
    <s v="RENCA"/>
    <x v="4263"/>
    <x v="1"/>
    <x v="1"/>
    <x v="7"/>
    <x v="1"/>
    <n v="1"/>
    <n v="73300"/>
    <n v="0"/>
    <n v="73300"/>
    <n v="10.999977489814141"/>
    <n v="5000"/>
    <n v="100"/>
    <x v="5426"/>
    <x v="12"/>
    <x v="3"/>
    <x v="1"/>
  </r>
  <r>
    <x v="487"/>
    <s v="ZTAN"/>
    <x v="8"/>
    <s v="SU9354"/>
    <s v="72564391"/>
    <s v="PUENTE ALTO"/>
    <x v="4264"/>
    <x v="2"/>
    <x v="1"/>
    <x v="30"/>
    <x v="1"/>
    <n v="4"/>
    <n v="55000"/>
    <n v="0"/>
    <n v="55000"/>
    <n v="14.198971478138747"/>
    <n v="5000"/>
    <n v="77"/>
    <x v="5427"/>
    <x v="12"/>
    <x v="3"/>
    <x v="1"/>
  </r>
  <r>
    <x v="487"/>
    <s v="ZTAN"/>
    <x v="8"/>
    <s v="SV2718"/>
    <s v="99626232"/>
    <s v="TALAGANTE"/>
    <x v="4265"/>
    <x v="1"/>
    <x v="1"/>
    <x v="50"/>
    <x v="1"/>
    <n v="4"/>
    <n v="55000"/>
    <n v="0"/>
    <n v="55000"/>
    <n v="21.866874468237373"/>
    <n v="5000"/>
    <n v="50"/>
    <x v="5428"/>
    <x v="12"/>
    <x v="3"/>
    <x v="1"/>
  </r>
  <r>
    <x v="487"/>
    <s v="ZTAN"/>
    <x v="8"/>
    <s v="XR6339"/>
    <s v="78907355"/>
    <s v="CERRILLOS"/>
    <x v="4266"/>
    <x v="1"/>
    <x v="1"/>
    <x v="9"/>
    <x v="1"/>
    <n v="2"/>
    <n v="55000"/>
    <n v="0"/>
    <n v="55000"/>
    <n v="18.26271749236286"/>
    <n v="5000"/>
    <n v="60"/>
    <x v="5429"/>
    <x v="12"/>
    <x v="3"/>
    <x v="1"/>
  </r>
  <r>
    <x v="488"/>
    <s v="ZPEP"/>
    <x v="2"/>
    <s v="WC2233"/>
    <s v="125108660"/>
    <s v="SAN BERNARDO"/>
    <x v="4267"/>
    <x v="4"/>
    <x v="1"/>
    <x v="4"/>
    <x v="1"/>
    <n v="4"/>
    <n v="209171"/>
    <n v="0"/>
    <n v="209171"/>
    <n v="10.999997370573032"/>
    <n v="5000"/>
    <n v="100"/>
    <x v="5430"/>
    <x v="12"/>
    <x v="3"/>
    <x v="1"/>
  </r>
  <r>
    <x v="488"/>
    <s v="ZTAN"/>
    <x v="110"/>
    <s v="WC2233"/>
    <s v="125108660"/>
    <s v="CONCHALI"/>
    <x v="4268"/>
    <x v="4"/>
    <x v="1"/>
    <x v="89"/>
    <x v="1"/>
    <n v="1"/>
    <n v="55000"/>
    <n v="0"/>
    <n v="55000"/>
    <n v="14.79966633479536"/>
    <n v="5000"/>
    <n v="74"/>
    <x v="5431"/>
    <x v="12"/>
    <x v="3"/>
    <x v="1"/>
  </r>
  <r>
    <x v="488"/>
    <s v="ZTAN"/>
    <x v="101"/>
    <s v="DJLF85"/>
    <s v="53173294"/>
    <s v="LAMPA"/>
    <x v="4269"/>
    <x v="4"/>
    <x v="1"/>
    <x v="17"/>
    <x v="1"/>
    <n v="5"/>
    <n v="70000"/>
    <n v="0"/>
    <n v="70000"/>
    <n v="19.368048254108793"/>
    <n v="10000"/>
    <n v="36"/>
    <x v="5432"/>
    <x v="12"/>
    <x v="3"/>
    <x v="1"/>
  </r>
  <r>
    <x v="488"/>
    <s v="ZTAN"/>
    <x v="7"/>
    <s v="HLBX77"/>
    <s v="16093509K"/>
    <s v="RENCA"/>
    <x v="4270"/>
    <x v="1"/>
    <x v="1"/>
    <x v="7"/>
    <x v="1"/>
    <n v="1"/>
    <n v="65942"/>
    <n v="0"/>
    <n v="65942"/>
    <n v="8.5276590902037057"/>
    <n v="5000"/>
    <n v="100"/>
    <x v="5433"/>
    <x v="12"/>
    <x v="3"/>
    <x v="1"/>
  </r>
  <r>
    <x v="488"/>
    <s v="ZTAN"/>
    <x v="7"/>
    <s v="SU9354"/>
    <s v="72564391"/>
    <s v="MELIPILLA"/>
    <x v="4271"/>
    <x v="2"/>
    <x v="1"/>
    <x v="29"/>
    <x v="1"/>
    <n v="5"/>
    <n v="90000"/>
    <n v="0"/>
    <n v="90000"/>
    <n v="14.458295848862617"/>
    <n v="10000"/>
    <n v="62"/>
    <x v="5434"/>
    <x v="12"/>
    <x v="3"/>
    <x v="1"/>
  </r>
  <r>
    <x v="488"/>
    <s v="ZTAN"/>
    <x v="7"/>
    <s v="WG4022"/>
    <s v="154837728"/>
    <s v="RENCA"/>
    <x v="4272"/>
    <x v="1"/>
    <x v="0"/>
    <x v="7"/>
    <x v="1"/>
    <n v="1"/>
    <n v="134593"/>
    <n v="0"/>
    <n v="134593"/>
    <n v="10.999988558109276"/>
    <n v="5000"/>
    <n v="100"/>
    <x v="5435"/>
    <x v="12"/>
    <x v="3"/>
    <x v="1"/>
  </r>
  <r>
    <x v="488"/>
    <s v="ZTAN"/>
    <x v="7"/>
    <s v="XR6339"/>
    <s v="78907355"/>
    <s v="RENCA"/>
    <x v="1759"/>
    <x v="1"/>
    <x v="1"/>
    <x v="7"/>
    <x v="1"/>
    <n v="1"/>
    <n v="67663"/>
    <n v="0"/>
    <n v="67663"/>
    <n v="10.999967486018985"/>
    <n v="5000"/>
    <n v="100"/>
    <x v="5436"/>
    <x v="12"/>
    <x v="3"/>
    <x v="1"/>
  </r>
  <r>
    <x v="488"/>
    <s v="ZTAN"/>
    <x v="8"/>
    <s v="DRFV76"/>
    <s v="113693568"/>
    <s v="LOS ANGELES"/>
    <x v="4273"/>
    <x v="0"/>
    <x v="0"/>
    <x v="57"/>
    <x v="0"/>
    <n v="0"/>
    <n v="460000"/>
    <n v="0"/>
    <n v="460000"/>
    <n v="56.19171636376074"/>
    <n v="20000"/>
    <n v="55"/>
    <x v="5437"/>
    <x v="12"/>
    <x v="3"/>
    <x v="0"/>
  </r>
  <r>
    <x v="488"/>
    <s v="ZTAN"/>
    <x v="8"/>
    <s v="FHTK12"/>
    <s v="129166568"/>
    <s v="TEMUCO"/>
    <x v="4274"/>
    <x v="0"/>
    <x v="0"/>
    <x v="14"/>
    <x v="4"/>
    <n v="0"/>
    <n v="700000"/>
    <n v="0"/>
    <n v="700000"/>
    <n v="81.224588307372429"/>
    <n v="20000"/>
    <n v="43"/>
    <x v="5438"/>
    <x v="12"/>
    <x v="3"/>
    <x v="0"/>
  </r>
  <r>
    <x v="488"/>
    <s v="ZTAN"/>
    <x v="8"/>
    <s v="PKYS74"/>
    <s v="6270439K"/>
    <s v="ANGOL"/>
    <x v="4275"/>
    <x v="0"/>
    <x v="0"/>
    <x v="84"/>
    <x v="4"/>
    <n v="0"/>
    <n v="530000"/>
    <n v="0"/>
    <n v="530000"/>
    <n v="67.922593874150962"/>
    <n v="20000"/>
    <n v="39"/>
    <x v="5439"/>
    <x v="12"/>
    <x v="3"/>
    <x v="0"/>
  </r>
  <r>
    <x v="488"/>
    <s v="ZTAN"/>
    <x v="8"/>
    <s v="SV2718"/>
    <s v="99626232"/>
    <s v="SAN BERNARDO"/>
    <x v="4276"/>
    <x v="1"/>
    <x v="1"/>
    <x v="4"/>
    <x v="1"/>
    <n v="4"/>
    <n v="55000"/>
    <n v="0"/>
    <n v="55000"/>
    <n v="22.01056507123419"/>
    <n v="5000"/>
    <n v="50"/>
    <x v="5440"/>
    <x v="12"/>
    <x v="3"/>
    <x v="1"/>
  </r>
  <r>
    <x v="489"/>
    <s v="ZPEP"/>
    <x v="2"/>
    <s v="DJLF85"/>
    <s v="53173294"/>
    <s v="SAN BERNARDO"/>
    <x v="4277"/>
    <x v="4"/>
    <x v="1"/>
    <x v="4"/>
    <x v="1"/>
    <n v="4"/>
    <n v="160015"/>
    <n v="0"/>
    <n v="160015"/>
    <n v="10.999998625129066"/>
    <n v="5000"/>
    <n v="100"/>
    <x v="5441"/>
    <x v="12"/>
    <x v="3"/>
    <x v="1"/>
  </r>
  <r>
    <x v="489"/>
    <s v="ZTAN"/>
    <x v="63"/>
    <s v="RH1133"/>
    <s v="65941082"/>
    <s v="MAIPU"/>
    <x v="921"/>
    <x v="0"/>
    <x v="0"/>
    <x v="2"/>
    <x v="1"/>
    <n v="2"/>
    <n v="64746"/>
    <n v="0"/>
    <n v="64746"/>
    <n v="11"/>
    <n v="5000"/>
    <n v="100"/>
    <x v="5442"/>
    <x v="12"/>
    <x v="3"/>
    <x v="1"/>
  </r>
  <r>
    <x v="489"/>
    <s v="ZTAN"/>
    <x v="4"/>
    <s v="SU9354"/>
    <s v="72564391"/>
    <s v="SAN BERNARDO"/>
    <x v="371"/>
    <x v="2"/>
    <x v="1"/>
    <x v="4"/>
    <x v="1"/>
    <n v="4"/>
    <n v="115562"/>
    <n v="0"/>
    <n v="115562"/>
    <n v="11.000038074931465"/>
    <n v="5000"/>
    <n v="100"/>
    <x v="5443"/>
    <x v="12"/>
    <x v="3"/>
    <x v="1"/>
  </r>
  <r>
    <x v="489"/>
    <s v="ZTAN"/>
    <x v="4"/>
    <s v="WC2233"/>
    <s v="125108660"/>
    <s v="SAN BERNARDO"/>
    <x v="414"/>
    <x v="4"/>
    <x v="1"/>
    <x v="4"/>
    <x v="1"/>
    <n v="4"/>
    <n v="107307"/>
    <n v="0"/>
    <n v="107307"/>
    <n v="10.999979498113829"/>
    <n v="5000"/>
    <n v="100"/>
    <x v="5444"/>
    <x v="12"/>
    <x v="3"/>
    <x v="1"/>
  </r>
  <r>
    <x v="489"/>
    <s v="ZTAN"/>
    <x v="10"/>
    <s v="XR6339"/>
    <s v="78907355"/>
    <s v="QUILICURA"/>
    <x v="4278"/>
    <x v="1"/>
    <x v="1"/>
    <x v="8"/>
    <x v="1"/>
    <n v="1"/>
    <n v="55000"/>
    <n v="0"/>
    <n v="55000"/>
    <n v="12.416190712689348"/>
    <n v="5000"/>
    <n v="89"/>
    <x v="5445"/>
    <x v="12"/>
    <x v="3"/>
    <x v="1"/>
  </r>
  <r>
    <x v="489"/>
    <s v="ZTAN"/>
    <x v="6"/>
    <s v="SU9354"/>
    <s v="72564391"/>
    <s v="BUIN"/>
    <x v="4279"/>
    <x v="2"/>
    <x v="1"/>
    <x v="56"/>
    <x v="1"/>
    <n v="5"/>
    <n v="90000"/>
    <n v="0"/>
    <n v="90000"/>
    <n v="22.571098961729451"/>
    <n v="10000"/>
    <n v="40"/>
    <x v="5446"/>
    <x v="12"/>
    <x v="3"/>
    <x v="1"/>
  </r>
  <r>
    <x v="489"/>
    <s v="ZTAN"/>
    <x v="7"/>
    <s v="DJLF85"/>
    <s v="53173292"/>
    <s v="RENCA"/>
    <x v="1759"/>
    <x v="4"/>
    <x v="1"/>
    <x v="7"/>
    <x v="1"/>
    <n v="1"/>
    <n v="67663"/>
    <n v="0"/>
    <n v="67663"/>
    <n v="10.999967486018985"/>
    <n v="5000"/>
    <n v="100"/>
    <x v="5447"/>
    <x v="12"/>
    <x v="3"/>
    <x v="1"/>
  </r>
  <r>
    <x v="489"/>
    <s v="ZTAN"/>
    <x v="7"/>
    <s v="HLBX77"/>
    <s v="16093509K"/>
    <s v="RENCA"/>
    <x v="4280"/>
    <x v="1"/>
    <x v="1"/>
    <x v="7"/>
    <x v="1"/>
    <n v="1"/>
    <n v="67780"/>
    <n v="0"/>
    <n v="67780"/>
    <n v="11.00003245804797"/>
    <n v="5000"/>
    <n v="100"/>
    <x v="5448"/>
    <x v="12"/>
    <x v="3"/>
    <x v="1"/>
  </r>
  <r>
    <x v="489"/>
    <s v="ZTAN"/>
    <x v="7"/>
    <s v="SV2718"/>
    <s v="99626232"/>
    <s v="RENCA"/>
    <x v="3641"/>
    <x v="1"/>
    <x v="1"/>
    <x v="7"/>
    <x v="1"/>
    <n v="1"/>
    <n v="55000"/>
    <n v="0"/>
    <n v="55000"/>
    <n v="11.315009874917713"/>
    <n v="5000"/>
    <n v="97"/>
    <x v="5449"/>
    <x v="12"/>
    <x v="3"/>
    <x v="1"/>
  </r>
  <r>
    <x v="489"/>
    <s v="ZTAN"/>
    <x v="7"/>
    <s v="WG4022"/>
    <s v="154837728"/>
    <s v="RENCA"/>
    <x v="4281"/>
    <x v="1"/>
    <x v="0"/>
    <x v="7"/>
    <x v="1"/>
    <n v="1"/>
    <n v="68757"/>
    <n v="0"/>
    <n v="68757"/>
    <n v="11.000063993856587"/>
    <n v="5000"/>
    <n v="100"/>
    <x v="5450"/>
    <x v="12"/>
    <x v="3"/>
    <x v="1"/>
  </r>
  <r>
    <x v="489"/>
    <s v="ZTAN"/>
    <x v="8"/>
    <s v="TP3884"/>
    <s v="107643202"/>
    <s v="PUDAHUEL"/>
    <x v="4282"/>
    <x v="1"/>
    <x v="1"/>
    <x v="10"/>
    <x v="1"/>
    <n v="1"/>
    <n v="55000"/>
    <n v="0"/>
    <n v="55000"/>
    <n v="5.8350484839483121"/>
    <n v="5000"/>
    <n v="100"/>
    <x v="5451"/>
    <x v="12"/>
    <x v="3"/>
    <x v="1"/>
  </r>
  <r>
    <x v="490"/>
    <s v="ZTAN"/>
    <x v="4"/>
    <s v="HLBX77"/>
    <s v="16093509K"/>
    <s v="SAN BERNARDO"/>
    <x v="414"/>
    <x v="1"/>
    <x v="1"/>
    <x v="4"/>
    <x v="1"/>
    <n v="4"/>
    <n v="107307"/>
    <n v="0"/>
    <n v="107307"/>
    <n v="10.999979498113829"/>
    <n v="5000"/>
    <n v="100"/>
    <x v="5452"/>
    <x v="12"/>
    <x v="3"/>
    <x v="1"/>
  </r>
  <r>
    <x v="490"/>
    <s v="ZTAN"/>
    <x v="111"/>
    <s v="SU3354"/>
    <s v="72564391"/>
    <s v="SAN BERNARDO"/>
    <x v="4283"/>
    <x v="0"/>
    <x v="0"/>
    <x v="4"/>
    <x v="1"/>
    <n v="4"/>
    <n v="67298"/>
    <n v="0"/>
    <n v="67298"/>
    <n v="10.999964040653673"/>
    <n v="5000"/>
    <n v="100"/>
    <x v="5453"/>
    <x v="12"/>
    <x v="3"/>
    <x v="1"/>
  </r>
  <r>
    <x v="490"/>
    <s v="ZTAN"/>
    <x v="7"/>
    <s v="WC2233"/>
    <s v="125108660"/>
    <s v="RENCA"/>
    <x v="4284"/>
    <x v="4"/>
    <x v="1"/>
    <x v="7"/>
    <x v="1"/>
    <n v="1"/>
    <n v="81736"/>
    <n v="0"/>
    <n v="81736"/>
    <n v="11.000037682423306"/>
    <n v="5000"/>
    <n v="100"/>
    <x v="5454"/>
    <x v="12"/>
    <x v="3"/>
    <x v="1"/>
  </r>
  <r>
    <x v="490"/>
    <s v="ZTAN"/>
    <x v="7"/>
    <s v="WG4022"/>
    <s v="154837728"/>
    <s v="RENCA"/>
    <x v="4285"/>
    <x v="1"/>
    <x v="0"/>
    <x v="7"/>
    <x v="1"/>
    <n v="1"/>
    <n v="174324"/>
    <n v="0"/>
    <n v="174324"/>
    <n v="11.000018299289293"/>
    <n v="5000"/>
    <n v="100"/>
    <x v="5455"/>
    <x v="12"/>
    <x v="3"/>
    <x v="1"/>
  </r>
  <r>
    <x v="490"/>
    <s v="ZTAN"/>
    <x v="7"/>
    <s v="XR6339"/>
    <s v="78907355"/>
    <s v="RENCA"/>
    <x v="4286"/>
    <x v="1"/>
    <x v="1"/>
    <x v="7"/>
    <x v="1"/>
    <n v="1"/>
    <n v="82334"/>
    <n v="0"/>
    <n v="82334"/>
    <n v="10.999939879357914"/>
    <n v="5000"/>
    <n v="100"/>
    <x v="5456"/>
    <x v="12"/>
    <x v="3"/>
    <x v="1"/>
  </r>
  <r>
    <x v="490"/>
    <s v="ZTAN"/>
    <x v="8"/>
    <s v="BWPL69"/>
    <s v="78551976"/>
    <s v="CHILLAN"/>
    <x v="4287"/>
    <x v="5"/>
    <x v="0"/>
    <x v="21"/>
    <x v="5"/>
    <n v="0"/>
    <n v="400000"/>
    <n v="0"/>
    <n v="400000"/>
    <n v="67.676169528804664"/>
    <n v="20000"/>
    <n v="30"/>
    <x v="5457"/>
    <x v="12"/>
    <x v="3"/>
    <x v="0"/>
  </r>
  <r>
    <x v="490"/>
    <s v="ZTAN"/>
    <x v="8"/>
    <s v="SV2718"/>
    <s v="99626232"/>
    <s v="LAS CONDES"/>
    <x v="4288"/>
    <x v="1"/>
    <x v="1"/>
    <x v="3"/>
    <x v="1"/>
    <n v="4"/>
    <n v="55000"/>
    <n v="0"/>
    <n v="55000"/>
    <n v="13.130189408950493"/>
    <n v="5000"/>
    <n v="84"/>
    <x v="5458"/>
    <x v="12"/>
    <x v="3"/>
    <x v="1"/>
  </r>
  <r>
    <x v="490"/>
    <s v="ZTAN"/>
    <x v="8"/>
    <s v="TP3884"/>
    <s v="107643206"/>
    <s v="LA REINA"/>
    <x v="4289"/>
    <x v="1"/>
    <x v="1"/>
    <x v="11"/>
    <x v="1"/>
    <n v="3"/>
    <n v="55000"/>
    <n v="0"/>
    <n v="55000"/>
    <n v="17.494195107986894"/>
    <n v="5000"/>
    <n v="63"/>
    <x v="5459"/>
    <x v="12"/>
    <x v="3"/>
    <x v="1"/>
  </r>
  <r>
    <x v="491"/>
    <s v="ZPEP"/>
    <x v="2"/>
    <s v="HLBX77"/>
    <s v="16093509K"/>
    <s v="PROVIDENCIA"/>
    <x v="4290"/>
    <x v="1"/>
    <x v="1"/>
    <x v="54"/>
    <x v="1"/>
    <n v="2"/>
    <n v="116256"/>
    <n v="0"/>
    <n v="116256"/>
    <n v="10.999976345357776"/>
    <n v="5000"/>
    <n v="100"/>
    <x v="5460"/>
    <x v="0"/>
    <x v="3"/>
    <x v="1"/>
  </r>
  <r>
    <x v="491"/>
    <s v="ZTAN"/>
    <x v="112"/>
    <s v="CJXX49"/>
    <s v="167832741"/>
    <s v="SANTIAGO"/>
    <x v="4291"/>
    <x v="5"/>
    <x v="0"/>
    <x v="20"/>
    <x v="1"/>
    <n v="1"/>
    <n v="55000"/>
    <n v="0"/>
    <n v="55000"/>
    <n v="28.917537697953691"/>
    <n v="5000"/>
    <n v="38"/>
    <x v="5461"/>
    <x v="0"/>
    <x v="3"/>
    <x v="1"/>
  </r>
  <r>
    <x v="491"/>
    <s v="ZTAN"/>
    <x v="8"/>
    <s v="DJLF85"/>
    <s v="53173292"/>
    <s v="ÑUÑOA"/>
    <x v="4292"/>
    <x v="4"/>
    <x v="1"/>
    <x v="15"/>
    <x v="1"/>
    <n v="4"/>
    <n v="55000"/>
    <n v="0"/>
    <n v="55000"/>
    <n v="21.3781523057309"/>
    <n v="5000"/>
    <n v="51"/>
    <x v="5462"/>
    <x v="0"/>
    <x v="3"/>
    <x v="1"/>
  </r>
  <r>
    <x v="491"/>
    <s v="ZTAN"/>
    <x v="8"/>
    <s v="HLBX77"/>
    <s v="16093509K"/>
    <s v="PUDAHUEL"/>
    <x v="4293"/>
    <x v="1"/>
    <x v="1"/>
    <x v="10"/>
    <x v="1"/>
    <n v="1"/>
    <n v="103602"/>
    <n v="0"/>
    <n v="103602"/>
    <n v="11.000039285096193"/>
    <n v="5000"/>
    <n v="100"/>
    <x v="5463"/>
    <x v="0"/>
    <x v="3"/>
    <x v="1"/>
  </r>
  <r>
    <x v="491"/>
    <s v="ZTAN"/>
    <x v="8"/>
    <s v="SU9354"/>
    <s v="72564391"/>
    <s v="REÑACA"/>
    <x v="4294"/>
    <x v="2"/>
    <x v="1"/>
    <x v="6"/>
    <x v="2"/>
    <n v="0"/>
    <n v="203000"/>
    <n v="0"/>
    <n v="203000"/>
    <n v="47.364393175794227"/>
    <n v="20000"/>
    <n v="21"/>
    <x v="5464"/>
    <x v="0"/>
    <x v="3"/>
    <x v="0"/>
  </r>
  <r>
    <x v="491"/>
    <s v="ZTAN"/>
    <x v="8"/>
    <s v="SV2718"/>
    <s v="99626232"/>
    <s v="LAS CONDES"/>
    <x v="4295"/>
    <x v="1"/>
    <x v="1"/>
    <x v="3"/>
    <x v="1"/>
    <n v="4"/>
    <n v="55000"/>
    <n v="0"/>
    <n v="55000"/>
    <n v="15.433311259021467"/>
    <n v="5000"/>
    <n v="71"/>
    <x v="5465"/>
    <x v="0"/>
    <x v="3"/>
    <x v="1"/>
  </r>
  <r>
    <x v="491"/>
    <s v="ZTAN"/>
    <x v="8"/>
    <s v="TP3884"/>
    <s v="107643206"/>
    <s v="SAN MIGUEL"/>
    <x v="4296"/>
    <x v="1"/>
    <x v="1"/>
    <x v="23"/>
    <x v="1"/>
    <n v="2"/>
    <n v="55000"/>
    <n v="0"/>
    <n v="55000"/>
    <n v="14.351619906479625"/>
    <n v="5000"/>
    <n v="77"/>
    <x v="5466"/>
    <x v="0"/>
    <x v="3"/>
    <x v="1"/>
  </r>
  <r>
    <x v="491"/>
    <s v="ZTAN"/>
    <x v="8"/>
    <s v="XR6339"/>
    <s v="78907355"/>
    <s v="HUECHURABA"/>
    <x v="951"/>
    <x v="1"/>
    <x v="1"/>
    <x v="24"/>
    <x v="1"/>
    <n v="1"/>
    <n v="55000"/>
    <n v="0"/>
    <n v="55000"/>
    <n v="11.69715014887282"/>
    <n v="5000"/>
    <n v="94"/>
    <x v="5467"/>
    <x v="0"/>
    <x v="3"/>
    <x v="1"/>
  </r>
  <r>
    <x v="492"/>
    <s v="ZPEP"/>
    <x v="2"/>
    <s v="KKPF51"/>
    <n v="95707734"/>
    <s v="COQUIMBO"/>
    <x v="4297"/>
    <x v="8"/>
    <x v="0"/>
    <x v="42"/>
    <x v="8"/>
    <n v="0"/>
    <n v="700000"/>
    <n v="0"/>
    <n v="700000"/>
    <n v="35.824482553732864"/>
    <n v="20000"/>
    <n v="98"/>
    <x v="5468"/>
    <x v="0"/>
    <x v="3"/>
    <x v="0"/>
  </r>
  <r>
    <x v="492"/>
    <s v="ZPEP"/>
    <x v="2"/>
    <s v="WG4022"/>
    <n v="154837728"/>
    <s v="PROVIDENCIA"/>
    <x v="4298"/>
    <x v="1"/>
    <x v="0"/>
    <x v="54"/>
    <x v="1"/>
    <n v="2"/>
    <n v="141868"/>
    <n v="0"/>
    <n v="141868"/>
    <n v="11.000009304431702"/>
    <n v="5000"/>
    <n v="100"/>
    <x v="5469"/>
    <x v="0"/>
    <x v="3"/>
    <x v="1"/>
  </r>
  <r>
    <x v="492"/>
    <s v="ZTAN"/>
    <x v="4"/>
    <s v="DJLF85"/>
    <n v="53173292"/>
    <s v="SAN BERNARDO"/>
    <x v="4299"/>
    <x v="4"/>
    <x v="1"/>
    <x v="4"/>
    <x v="1"/>
    <n v="4"/>
    <n v="103994"/>
    <n v="0"/>
    <n v="103994"/>
    <n v="11.000000000000002"/>
    <n v="5000"/>
    <n v="100"/>
    <x v="5470"/>
    <x v="0"/>
    <x v="3"/>
    <x v="1"/>
  </r>
  <r>
    <x v="492"/>
    <s v="ZTAN"/>
    <x v="47"/>
    <s v="SV2718"/>
    <n v="99626232"/>
    <s v="SAN JOAQUIN"/>
    <x v="3799"/>
    <x v="1"/>
    <x v="1"/>
    <x v="67"/>
    <x v="1"/>
    <n v="3"/>
    <n v="55000"/>
    <n v="0"/>
    <n v="55000"/>
    <n v="35.22931078657443"/>
    <n v="5000"/>
    <n v="31"/>
    <x v="5471"/>
    <x v="0"/>
    <x v="3"/>
    <x v="1"/>
  </r>
  <r>
    <x v="492"/>
    <s v="ZTAN"/>
    <x v="70"/>
    <s v="TP3884"/>
    <n v="107643206"/>
    <s v="SAN FELIPE"/>
    <x v="4300"/>
    <x v="1"/>
    <x v="1"/>
    <x v="35"/>
    <x v="2"/>
    <n v="0"/>
    <n v="203000"/>
    <n v="0"/>
    <n v="203000"/>
    <n v="27.479221376939119"/>
    <n v="20000"/>
    <n v="37"/>
    <x v="5472"/>
    <x v="0"/>
    <x v="3"/>
    <x v="0"/>
  </r>
  <r>
    <x v="492"/>
    <s v="ZTAN"/>
    <x v="8"/>
    <s v="SU9354"/>
    <n v="72564391"/>
    <s v="PUENTE ALTO"/>
    <x v="4301"/>
    <x v="2"/>
    <x v="1"/>
    <x v="30"/>
    <x v="1"/>
    <n v="4"/>
    <n v="55000"/>
    <n v="0"/>
    <n v="55000"/>
    <n v="21.879052597242442"/>
    <n v="5000"/>
    <n v="50"/>
    <x v="5473"/>
    <x v="0"/>
    <x v="3"/>
    <x v="1"/>
  </r>
  <r>
    <x v="493"/>
    <s v="ZPEP"/>
    <x v="17"/>
    <s v="DJLF85"/>
    <s v="53173292"/>
    <s v="LAMPA"/>
    <x v="4302"/>
    <x v="4"/>
    <x v="1"/>
    <x v="17"/>
    <x v="1"/>
    <n v="5"/>
    <n v="70000"/>
    <n v="0"/>
    <n v="70000"/>
    <n v="12.861972659120976"/>
    <n v="10000"/>
    <n v="54"/>
    <x v="5474"/>
    <x v="0"/>
    <x v="3"/>
    <x v="1"/>
  </r>
  <r>
    <x v="493"/>
    <s v="ZPEP"/>
    <x v="87"/>
    <s v="DCRX92"/>
    <s v="78778555"/>
    <s v="HUASCO"/>
    <x v="4303"/>
    <x v="0"/>
    <x v="0"/>
    <x v="104"/>
    <x v="9"/>
    <n v="0"/>
    <n v="1500000"/>
    <n v="0"/>
    <n v="1500000"/>
    <n v="61.674334842298776"/>
    <n v="20000"/>
    <n v="100"/>
    <x v="5475"/>
    <x v="0"/>
    <x v="3"/>
    <x v="0"/>
  </r>
  <r>
    <x v="493"/>
    <s v="ZPEP"/>
    <x v="87"/>
    <s v="DTCY42"/>
    <s v="92028607"/>
    <s v="HUASCO"/>
    <x v="4304"/>
    <x v="5"/>
    <x v="0"/>
    <x v="104"/>
    <x v="9"/>
    <n v="0"/>
    <n v="1500000"/>
    <n v="0"/>
    <n v="1500000"/>
    <n v="63.719214061726078"/>
    <n v="20000"/>
    <n v="100"/>
    <x v="5476"/>
    <x v="0"/>
    <x v="3"/>
    <x v="0"/>
  </r>
  <r>
    <x v="493"/>
    <s v="ZTAN"/>
    <x v="17"/>
    <s v="DJLF85"/>
    <s v="53173292"/>
    <s v="LAMPA"/>
    <x v="4305"/>
    <x v="4"/>
    <x v="1"/>
    <x v="17"/>
    <x v="1"/>
    <n v="5"/>
    <n v="70000"/>
    <n v="0"/>
    <n v="70000"/>
    <n v="14.623975799409191"/>
    <n v="10000"/>
    <n v="48"/>
    <x v="5477"/>
    <x v="0"/>
    <x v="3"/>
    <x v="1"/>
  </r>
  <r>
    <x v="493"/>
    <s v="ZTAN"/>
    <x v="17"/>
    <s v="WC2233"/>
    <s v="125108660"/>
    <s v="LAMPA"/>
    <x v="4306"/>
    <x v="4"/>
    <x v="1"/>
    <x v="17"/>
    <x v="1"/>
    <n v="5"/>
    <n v="70000"/>
    <n v="0"/>
    <n v="70000"/>
    <n v="7.8519349411104882"/>
    <n v="10000"/>
    <n v="89"/>
    <x v="5478"/>
    <x v="0"/>
    <x v="3"/>
    <x v="1"/>
  </r>
  <r>
    <x v="493"/>
    <s v="ZTAN"/>
    <x v="17"/>
    <s v="XR6339"/>
    <s v="78907355"/>
    <s v="LAMPA"/>
    <x v="3438"/>
    <x v="1"/>
    <x v="1"/>
    <x v="17"/>
    <x v="1"/>
    <n v="5"/>
    <n v="70000"/>
    <n v="0"/>
    <n v="70000"/>
    <n v="6.2786463238525716"/>
    <n v="10000"/>
    <n v="100"/>
    <x v="5479"/>
    <x v="0"/>
    <x v="3"/>
    <x v="1"/>
  </r>
  <r>
    <x v="493"/>
    <s v="ZTAN"/>
    <x v="10"/>
    <s v="SU9354"/>
    <s v="72564391"/>
    <s v="RANCAGUA"/>
    <x v="4307"/>
    <x v="2"/>
    <x v="1"/>
    <x v="28"/>
    <x v="6"/>
    <n v="0"/>
    <n v="180000"/>
    <n v="0"/>
    <n v="180000"/>
    <n v="38.55198735494816"/>
    <n v="20000"/>
    <n v="23"/>
    <x v="5480"/>
    <x v="0"/>
    <x v="3"/>
    <x v="0"/>
  </r>
  <r>
    <x v="493"/>
    <s v="ZTAN"/>
    <x v="7"/>
    <s v="TP3884"/>
    <s v="107643206"/>
    <s v="SANTIAGO"/>
    <x v="4308"/>
    <x v="1"/>
    <x v="1"/>
    <x v="20"/>
    <x v="1"/>
    <n v="1"/>
    <n v="81251"/>
    <n v="0"/>
    <n v="81251"/>
    <n v="10.999976984946803"/>
    <n v="5000"/>
    <n v="100"/>
    <x v="5481"/>
    <x v="0"/>
    <x v="3"/>
    <x v="1"/>
  </r>
  <r>
    <x v="493"/>
    <s v="ZTAN"/>
    <x v="8"/>
    <s v="CJXX49"/>
    <s v="167892741"/>
    <s v="VALDIVIA"/>
    <x v="4309"/>
    <x v="5"/>
    <x v="0"/>
    <x v="77"/>
    <x v="11"/>
    <n v="0"/>
    <n v="900000"/>
    <n v="0"/>
    <n v="900000"/>
    <n v="91.241245909350823"/>
    <n v="20000"/>
    <n v="55"/>
    <x v="5482"/>
    <x v="0"/>
    <x v="3"/>
    <x v="0"/>
  </r>
  <r>
    <x v="493"/>
    <s v="ZTAN"/>
    <x v="8"/>
    <s v="SV2718"/>
    <s v="99626232"/>
    <s v="SAN BERNARDO"/>
    <x v="4310"/>
    <x v="1"/>
    <x v="1"/>
    <x v="4"/>
    <x v="1"/>
    <n v="4"/>
    <n v="55000"/>
    <n v="0"/>
    <n v="55000"/>
    <n v="16.006053198300442"/>
    <n v="5000"/>
    <n v="69"/>
    <x v="5483"/>
    <x v="0"/>
    <x v="3"/>
    <x v="1"/>
  </r>
  <r>
    <x v="494"/>
    <s v="ZTAN"/>
    <x v="17"/>
    <s v="RH1133"/>
    <s v="65941082"/>
    <s v="LAMPA"/>
    <x v="4311"/>
    <x v="0"/>
    <x v="0"/>
    <x v="17"/>
    <x v="1"/>
    <n v="5"/>
    <n v="120000"/>
    <n v="0"/>
    <n v="120000"/>
    <n v="20.467337540508268"/>
    <n v="10000"/>
    <n v="59"/>
    <x v="5484"/>
    <x v="0"/>
    <x v="3"/>
    <x v="1"/>
  </r>
  <r>
    <x v="494"/>
    <s v="ZTAN"/>
    <x v="10"/>
    <s v="DJLF85"/>
    <s v="53173292"/>
    <s v="QUILICURA"/>
    <x v="4312"/>
    <x v="4"/>
    <x v="1"/>
    <x v="8"/>
    <x v="1"/>
    <n v="1"/>
    <n v="86249"/>
    <n v="0"/>
    <n v="86249"/>
    <n v="11.000025507601265"/>
    <n v="5000"/>
    <n v="100"/>
    <x v="5485"/>
    <x v="0"/>
    <x v="3"/>
    <x v="1"/>
  </r>
  <r>
    <x v="494"/>
    <s v="ZTAN"/>
    <x v="10"/>
    <s v="WC2233"/>
    <s v="125108660"/>
    <s v="PADRE HURTADO"/>
    <x v="4313"/>
    <x v="4"/>
    <x v="1"/>
    <x v="26"/>
    <x v="1"/>
    <n v="5"/>
    <n v="70000"/>
    <n v="0"/>
    <n v="70000"/>
    <n v="6.7515432098765435"/>
    <n v="10000"/>
    <n v="100"/>
    <x v="5486"/>
    <x v="0"/>
    <x v="3"/>
    <x v="1"/>
  </r>
  <r>
    <x v="494"/>
    <s v="ZTAN"/>
    <x v="10"/>
    <s v="WG4022"/>
    <s v="154837728"/>
    <s v="QUILICURA"/>
    <x v="4314"/>
    <x v="1"/>
    <x v="0"/>
    <x v="8"/>
    <x v="1"/>
    <n v="1"/>
    <n v="99819"/>
    <n v="0"/>
    <n v="99819"/>
    <n v="11.000041875954606"/>
    <n v="5000"/>
    <n v="100"/>
    <x v="5487"/>
    <x v="0"/>
    <x v="3"/>
    <x v="1"/>
  </r>
  <r>
    <x v="494"/>
    <s v="ZTAN"/>
    <x v="6"/>
    <s v="TP3884"/>
    <s v="107643206"/>
    <s v="LA DEHESA"/>
    <x v="4315"/>
    <x v="1"/>
    <x v="1"/>
    <x v="41"/>
    <x v="1"/>
    <n v="4"/>
    <n v="55000"/>
    <n v="0"/>
    <n v="55000"/>
    <n v="12.031219921950196"/>
    <n v="5000"/>
    <n v="91"/>
    <x v="5488"/>
    <x v="0"/>
    <x v="3"/>
    <x v="1"/>
  </r>
  <r>
    <x v="494"/>
    <s v="ZTAN"/>
    <x v="70"/>
    <s v="SU9358"/>
    <s v="72564391"/>
    <s v="LA LIGUA"/>
    <x v="4316"/>
    <x v="0"/>
    <x v="0"/>
    <x v="22"/>
    <x v="2"/>
    <n v="0"/>
    <n v="259000"/>
    <n v="0"/>
    <n v="259000"/>
    <n v="32.512364741030858"/>
    <n v="20000"/>
    <n v="40"/>
    <x v="5489"/>
    <x v="0"/>
    <x v="3"/>
    <x v="0"/>
  </r>
  <r>
    <x v="494"/>
    <s v="ZTAN"/>
    <x v="7"/>
    <s v="HLBX77"/>
    <s v="16093509K"/>
    <s v="SAN MIGUEL"/>
    <x v="385"/>
    <x v="1"/>
    <x v="1"/>
    <x v="23"/>
    <x v="1"/>
    <n v="2"/>
    <n v="82544"/>
    <n v="0"/>
    <n v="82544"/>
    <n v="11.000000000000004"/>
    <n v="5000"/>
    <n v="100"/>
    <x v="5490"/>
    <x v="0"/>
    <x v="3"/>
    <x v="1"/>
  </r>
  <r>
    <x v="494"/>
    <s v="ZTAN"/>
    <x v="7"/>
    <s v="XR6339"/>
    <s v="78907355"/>
    <s v="SAN MIGUEL"/>
    <x v="385"/>
    <x v="1"/>
    <x v="1"/>
    <x v="23"/>
    <x v="1"/>
    <n v="2"/>
    <n v="82544"/>
    <n v="0"/>
    <n v="82544"/>
    <n v="11.000000000000004"/>
    <n v="5000"/>
    <n v="100"/>
    <x v="5491"/>
    <x v="0"/>
    <x v="3"/>
    <x v="1"/>
  </r>
  <r>
    <x v="494"/>
    <s v="ZTAN"/>
    <x v="8"/>
    <s v="HLBX77"/>
    <s v="16093509K"/>
    <s v="PUDAHUEL"/>
    <x v="4317"/>
    <x v="1"/>
    <x v="1"/>
    <x v="10"/>
    <x v="1"/>
    <n v="1"/>
    <n v="55000"/>
    <n v="0"/>
    <n v="55000"/>
    <n v="13.967686392425954"/>
    <n v="5000"/>
    <n v="79"/>
    <x v="5492"/>
    <x v="0"/>
    <x v="3"/>
    <x v="1"/>
  </r>
  <r>
    <x v="494"/>
    <s v="ZTAN"/>
    <x v="8"/>
    <s v="SV2718"/>
    <s v="99626232"/>
    <s v="MAIPU"/>
    <x v="4318"/>
    <x v="1"/>
    <x v="1"/>
    <x v="2"/>
    <x v="1"/>
    <n v="2"/>
    <n v="55000"/>
    <n v="0"/>
    <n v="55000"/>
    <n v="9.4395968777246111"/>
    <n v="5000"/>
    <n v="100"/>
    <x v="5493"/>
    <x v="0"/>
    <x v="3"/>
    <x v="1"/>
  </r>
  <r>
    <x v="494"/>
    <s v="ZTAN"/>
    <x v="8"/>
    <s v="XR6339"/>
    <s v="78907355"/>
    <s v="QUILICURA"/>
    <x v="4319"/>
    <x v="1"/>
    <x v="1"/>
    <x v="8"/>
    <x v="1"/>
    <n v="1"/>
    <n v="55000"/>
    <n v="0"/>
    <n v="55000"/>
    <n v="17.066752724474345"/>
    <n v="5000"/>
    <n v="64"/>
    <x v="5494"/>
    <x v="0"/>
    <x v="3"/>
    <x v="1"/>
  </r>
  <r>
    <x v="495"/>
    <s v="ZTAN"/>
    <x v="17"/>
    <s v="WC2233"/>
    <s v="125108660"/>
    <s v="LO BARNECHEA"/>
    <x v="286"/>
    <x v="4"/>
    <x v="1"/>
    <x v="41"/>
    <x v="1"/>
    <n v="4"/>
    <n v="55000"/>
    <n v="0"/>
    <n v="55000"/>
    <n v="31.33903133903134"/>
    <n v="5000"/>
    <n v="35"/>
    <x v="5495"/>
    <x v="0"/>
    <x v="3"/>
    <x v="1"/>
  </r>
  <r>
    <x v="495"/>
    <s v="ZTAN"/>
    <x v="7"/>
    <s v="HLBX77"/>
    <s v="16093509K"/>
    <s v="RENCA"/>
    <x v="4320"/>
    <x v="1"/>
    <x v="1"/>
    <x v="7"/>
    <x v="1"/>
    <n v="1"/>
    <n v="94578"/>
    <n v="0"/>
    <n v="94578"/>
    <n v="11"/>
    <n v="5000"/>
    <n v="100"/>
    <x v="5496"/>
    <x v="0"/>
    <x v="3"/>
    <x v="1"/>
  </r>
  <r>
    <x v="495"/>
    <s v="ZTAN"/>
    <x v="7"/>
    <s v="WG4022"/>
    <s v="154837728"/>
    <s v="RENCA"/>
    <x v="4321"/>
    <x v="1"/>
    <x v="0"/>
    <x v="7"/>
    <x v="1"/>
    <n v="1"/>
    <n v="142504"/>
    <n v="0"/>
    <n v="142504"/>
    <n v="10.999990737109909"/>
    <n v="5000"/>
    <n v="100"/>
    <x v="5497"/>
    <x v="0"/>
    <x v="3"/>
    <x v="1"/>
  </r>
  <r>
    <x v="495"/>
    <s v="ZTAN"/>
    <x v="7"/>
    <s v="XR6339"/>
    <s v="78907355"/>
    <s v="RENCA"/>
    <x v="4322"/>
    <x v="1"/>
    <x v="1"/>
    <x v="7"/>
    <x v="1"/>
    <n v="1"/>
    <n v="78566"/>
    <n v="0"/>
    <n v="78566"/>
    <n v="10.999943996415768"/>
    <n v="5000"/>
    <n v="100"/>
    <x v="5498"/>
    <x v="0"/>
    <x v="3"/>
    <x v="1"/>
  </r>
  <r>
    <x v="496"/>
    <s v="ZPEP"/>
    <x v="2"/>
    <s v="WG4022"/>
    <s v="154837728"/>
    <s v="PROVIDENCIA"/>
    <x v="4323"/>
    <x v="1"/>
    <x v="0"/>
    <x v="54"/>
    <x v="1"/>
    <n v="2"/>
    <n v="137249"/>
    <n v="0"/>
    <n v="137249"/>
    <n v="10.999975154702053"/>
    <n v="5000"/>
    <n v="100"/>
    <x v="5499"/>
    <x v="0"/>
    <x v="3"/>
    <x v="1"/>
  </r>
  <r>
    <x v="496"/>
    <s v="ZPEP"/>
    <x v="33"/>
    <s v="DJLF85"/>
    <s v="53173292"/>
    <s v="PUENTE ALTO"/>
    <x v="4324"/>
    <x v="4"/>
    <x v="1"/>
    <x v="30"/>
    <x v="1"/>
    <n v="4"/>
    <n v="176438"/>
    <n v="0"/>
    <n v="176438"/>
    <n v="10.999978179347071"/>
    <n v="5000"/>
    <n v="100"/>
    <x v="5500"/>
    <x v="0"/>
    <x v="3"/>
    <x v="1"/>
  </r>
  <r>
    <x v="496"/>
    <s v="ZPEP"/>
    <x v="33"/>
    <s v="WC2233"/>
    <s v="125108660"/>
    <s v="PUENTE ALTO"/>
    <x v="4325"/>
    <x v="4"/>
    <x v="1"/>
    <x v="30"/>
    <x v="1"/>
    <n v="4"/>
    <n v="152656"/>
    <n v="0"/>
    <n v="152656"/>
    <n v="10.999998558851463"/>
    <n v="5000"/>
    <n v="100"/>
    <x v="5501"/>
    <x v="0"/>
    <x v="3"/>
    <x v="1"/>
  </r>
  <r>
    <x v="496"/>
    <s v="ZTAN"/>
    <x v="16"/>
    <s v="TP3884"/>
    <s v="107643206"/>
    <s v="SAN BERNARDO"/>
    <x v="1068"/>
    <x v="1"/>
    <x v="1"/>
    <x v="4"/>
    <x v="1"/>
    <n v="4"/>
    <n v="65465"/>
    <n v="0"/>
    <n v="65465"/>
    <n v="10.999932788923616"/>
    <n v="5000"/>
    <n v="100"/>
    <x v="5502"/>
    <x v="0"/>
    <x v="3"/>
    <x v="1"/>
  </r>
  <r>
    <x v="496"/>
    <s v="ZTAN"/>
    <x v="7"/>
    <s v="DJLF85"/>
    <s v="53173292"/>
    <s v="RENCA"/>
    <x v="4326"/>
    <x v="4"/>
    <x v="1"/>
    <x v="7"/>
    <x v="1"/>
    <n v="1"/>
    <n v="84702"/>
    <n v="0"/>
    <n v="84702"/>
    <n v="10.999974026648655"/>
    <n v="5000"/>
    <n v="100"/>
    <x v="5503"/>
    <x v="0"/>
    <x v="3"/>
    <x v="1"/>
  </r>
  <r>
    <x v="496"/>
    <s v="ZTAN"/>
    <x v="7"/>
    <s v="SU9354"/>
    <s v="72564391"/>
    <s v="RENCA"/>
    <x v="4327"/>
    <x v="2"/>
    <x v="1"/>
    <x v="7"/>
    <x v="1"/>
    <n v="1"/>
    <n v="121983"/>
    <n v="0"/>
    <n v="121983"/>
    <n v="10.184498702547815"/>
    <n v="5000"/>
    <n v="100"/>
    <x v="5504"/>
    <x v="0"/>
    <x v="3"/>
    <x v="1"/>
  </r>
  <r>
    <x v="496"/>
    <s v="ZTAN"/>
    <x v="7"/>
    <s v="WC2233"/>
    <s v="154837728"/>
    <s v="RENCA"/>
    <x v="1300"/>
    <x v="4"/>
    <x v="1"/>
    <x v="7"/>
    <x v="1"/>
    <n v="1"/>
    <n v="55000"/>
    <n v="0"/>
    <n v="55000"/>
    <n v="50.03639010189228"/>
    <n v="5000"/>
    <n v="22"/>
    <x v="5505"/>
    <x v="0"/>
    <x v="3"/>
    <x v="1"/>
  </r>
  <r>
    <x v="496"/>
    <s v="ZTAN"/>
    <x v="7"/>
    <s v="WG4022"/>
    <s v="154837728"/>
    <s v="RENCA"/>
    <x v="4328"/>
    <x v="1"/>
    <x v="0"/>
    <x v="7"/>
    <x v="1"/>
    <n v="1"/>
    <n v="241415"/>
    <n v="0"/>
    <n v="241415"/>
    <n v="11.000009112945845"/>
    <n v="5000"/>
    <n v="100"/>
    <x v="5506"/>
    <x v="0"/>
    <x v="3"/>
    <x v="1"/>
  </r>
  <r>
    <x v="496"/>
    <s v="ZTAN"/>
    <x v="8"/>
    <s v="BWPL69"/>
    <s v="78951976"/>
    <s v="OSORNO"/>
    <x v="4329"/>
    <x v="5"/>
    <x v="0"/>
    <x v="64"/>
    <x v="10"/>
    <n v="0"/>
    <n v="950000"/>
    <n v="0"/>
    <n v="950000"/>
    <n v="90.064381812303935"/>
    <n v="20000"/>
    <n v="53"/>
    <x v="5507"/>
    <x v="0"/>
    <x v="3"/>
    <x v="0"/>
  </r>
  <r>
    <x v="496"/>
    <s v="ZTAN"/>
    <x v="8"/>
    <s v="CJXX49"/>
    <s v="1697832741"/>
    <s v="PUERTO MONTT"/>
    <x v="4330"/>
    <x v="5"/>
    <x v="0"/>
    <x v="53"/>
    <x v="10"/>
    <n v="0"/>
    <n v="1100000"/>
    <n v="0"/>
    <n v="1100000"/>
    <n v="296.32024136630571"/>
    <n v="20000"/>
    <n v="35"/>
    <x v="5508"/>
    <x v="0"/>
    <x v="3"/>
    <x v="0"/>
  </r>
  <r>
    <x v="496"/>
    <s v="ZTAN"/>
    <x v="8"/>
    <s v="DRFV76"/>
    <s v="113693568"/>
    <s v="TALCAHUANO"/>
    <x v="4331"/>
    <x v="0"/>
    <x v="0"/>
    <x v="0"/>
    <x v="0"/>
    <n v="0"/>
    <n v="430000"/>
    <n v="0"/>
    <n v="430000"/>
    <n v="39.820640427025438"/>
    <n v="20000"/>
    <n v="65"/>
    <x v="5509"/>
    <x v="0"/>
    <x v="3"/>
    <x v="0"/>
  </r>
  <r>
    <x v="496"/>
    <s v="ZTAN"/>
    <x v="8"/>
    <s v="HLBX77"/>
    <s v="16093509K"/>
    <s v="PUDAHUEL"/>
    <x v="4332"/>
    <x v="1"/>
    <x v="1"/>
    <x v="10"/>
    <x v="1"/>
    <n v="1"/>
    <n v="97834"/>
    <n v="0"/>
    <n v="97834"/>
    <n v="11.000000000000002"/>
    <n v="5000"/>
    <n v="100"/>
    <x v="5510"/>
    <x v="0"/>
    <x v="3"/>
    <x v="1"/>
  </r>
  <r>
    <x v="496"/>
    <s v="ZTAN"/>
    <x v="8"/>
    <s v="SV2718"/>
    <s v="99626232"/>
    <s v="QUILIN"/>
    <x v="4333"/>
    <x v="1"/>
    <x v="1"/>
    <x v="34"/>
    <x v="1"/>
    <n v="4"/>
    <n v="55000"/>
    <n v="0"/>
    <n v="55000"/>
    <n v="18.796221617705356"/>
    <n v="5000"/>
    <n v="59"/>
    <x v="5511"/>
    <x v="0"/>
    <x v="3"/>
    <x v="1"/>
  </r>
  <r>
    <x v="496"/>
    <s v="ZTAN"/>
    <x v="8"/>
    <s v="TP3884"/>
    <s v="107643206"/>
    <s v="CERRILLOS"/>
    <x v="4334"/>
    <x v="1"/>
    <x v="1"/>
    <x v="9"/>
    <x v="1"/>
    <n v="2"/>
    <n v="56509"/>
    <n v="0"/>
    <n v="56509"/>
    <n v="10.999939655961114"/>
    <n v="5000"/>
    <n v="100"/>
    <x v="5512"/>
    <x v="0"/>
    <x v="3"/>
    <x v="1"/>
  </r>
  <r>
    <x v="496"/>
    <s v="ZTAN"/>
    <x v="8"/>
    <s v="XR6339"/>
    <s v="78907355"/>
    <s v="ÑUÑOA"/>
    <x v="3302"/>
    <x v="1"/>
    <x v="1"/>
    <x v="15"/>
    <x v="1"/>
    <n v="4"/>
    <n v="55000"/>
    <n v="0"/>
    <n v="55000"/>
    <n v="14.619883040935669"/>
    <n v="5000"/>
    <n v="75"/>
    <x v="5513"/>
    <x v="0"/>
    <x v="3"/>
    <x v="1"/>
  </r>
  <r>
    <x v="497"/>
    <s v="ZTAN"/>
    <x v="10"/>
    <s v="SU9354"/>
    <s v="72564391"/>
    <s v="RANCAGUA"/>
    <x v="4335"/>
    <x v="2"/>
    <x v="1"/>
    <x v="28"/>
    <x v="6"/>
    <n v="0"/>
    <n v="180000"/>
    <n v="0"/>
    <n v="350000"/>
    <n v="84.374238221163495"/>
    <n v="20000"/>
    <n v="55"/>
    <x v="5514"/>
    <x v="0"/>
    <x v="3"/>
    <x v="0"/>
  </r>
  <r>
    <x v="497"/>
    <s v="ZTAN"/>
    <x v="7"/>
    <s v="DJLF85"/>
    <s v="53173292"/>
    <s v="RENCA"/>
    <x v="4336"/>
    <x v="4"/>
    <x v="1"/>
    <x v="7"/>
    <x v="1"/>
    <n v="1"/>
    <n v="68431"/>
    <n v="0"/>
    <n v="68431"/>
    <n v="11.000070728633521"/>
    <n v="5000"/>
    <n v="100"/>
    <x v="5515"/>
    <x v="0"/>
    <x v="3"/>
    <x v="1"/>
  </r>
  <r>
    <x v="497"/>
    <s v="ZTAN"/>
    <x v="7"/>
    <s v="WC2233"/>
    <s v="125108660"/>
    <s v="SAN MIGUEL"/>
    <x v="4337"/>
    <x v="4"/>
    <x v="1"/>
    <x v="23"/>
    <x v="1"/>
    <n v="2"/>
    <n v="82882"/>
    <n v="0"/>
    <n v="82882"/>
    <n v="11.00003981578563"/>
    <n v="5000"/>
    <n v="100"/>
    <x v="5516"/>
    <x v="0"/>
    <x v="3"/>
    <x v="1"/>
  </r>
  <r>
    <x v="497"/>
    <s v="ZTAN"/>
    <x v="7"/>
    <s v="WG4022"/>
    <s v="154837728"/>
    <s v="RENCA"/>
    <x v="4338"/>
    <x v="1"/>
    <x v="0"/>
    <x v="7"/>
    <x v="1"/>
    <n v="1"/>
    <n v="169369"/>
    <n v="0"/>
    <n v="169369"/>
    <n v="10.999987010625308"/>
    <n v="5000"/>
    <n v="100"/>
    <x v="5517"/>
    <x v="0"/>
    <x v="3"/>
    <x v="1"/>
  </r>
  <r>
    <x v="497"/>
    <s v="ZTAN"/>
    <x v="7"/>
    <s v="XR6339"/>
    <s v="78907355"/>
    <s v="RENCA"/>
    <x v="4339"/>
    <x v="1"/>
    <x v="1"/>
    <x v="7"/>
    <x v="1"/>
    <n v="1"/>
    <n v="67663"/>
    <n v="0"/>
    <n v="67663"/>
    <n v="10.99996748601899"/>
    <n v="5000"/>
    <n v="100"/>
    <x v="5518"/>
    <x v="0"/>
    <x v="3"/>
    <x v="1"/>
  </r>
  <r>
    <x v="497"/>
    <s v="ZTAN"/>
    <x v="8"/>
    <s v="HLBX77"/>
    <s v="16093509K"/>
    <s v="LAS CONDES"/>
    <x v="4340"/>
    <x v="1"/>
    <x v="1"/>
    <x v="3"/>
    <x v="1"/>
    <n v="4"/>
    <n v="55000"/>
    <n v="0"/>
    <n v="55000"/>
    <n v="20.539862270887163"/>
    <n v="5000"/>
    <n v="54"/>
    <x v="5519"/>
    <x v="0"/>
    <x v="3"/>
    <x v="1"/>
  </r>
  <r>
    <x v="497"/>
    <s v="ZTAN"/>
    <x v="8"/>
    <s v="SV2718"/>
    <s v="99626232"/>
    <s v="LA FLORIDA"/>
    <x v="4341"/>
    <x v="1"/>
    <x v="1"/>
    <x v="33"/>
    <x v="1"/>
    <n v="3"/>
    <n v="55000"/>
    <n v="0"/>
    <n v="55000"/>
    <n v="21.787269104464016"/>
    <n v="5000"/>
    <n v="50"/>
    <x v="5520"/>
    <x v="0"/>
    <x v="3"/>
    <x v="1"/>
  </r>
  <r>
    <x v="497"/>
    <s v="ZTAN"/>
    <x v="8"/>
    <s v="TP3884"/>
    <s v="107643206"/>
    <s v="TALAGANTE"/>
    <x v="857"/>
    <x v="1"/>
    <x v="1"/>
    <x v="50"/>
    <x v="1"/>
    <n v="4"/>
    <n v="55000"/>
    <n v="0"/>
    <n v="55000"/>
    <n v="21.63591089151754"/>
    <n v="5000"/>
    <n v="51"/>
    <x v="5521"/>
    <x v="0"/>
    <x v="3"/>
    <x v="1"/>
  </r>
  <r>
    <x v="497"/>
    <s v="ZTAN"/>
    <x v="8"/>
    <s v="WC2233"/>
    <s v="125108660"/>
    <s v="EL BOSQUE"/>
    <x v="4342"/>
    <x v="4"/>
    <x v="1"/>
    <x v="25"/>
    <x v="1"/>
    <n v="3"/>
    <n v="55000"/>
    <n v="0"/>
    <n v="55000"/>
    <n v="18.577315409038704"/>
    <n v="5000"/>
    <n v="59"/>
    <x v="5522"/>
    <x v="0"/>
    <x v="3"/>
    <x v="1"/>
  </r>
  <r>
    <x v="497"/>
    <s v="ZTAN"/>
    <x v="8"/>
    <s v="XR6339"/>
    <s v="78907355"/>
    <s v="SAN BERNARDO"/>
    <x v="2148"/>
    <x v="1"/>
    <x v="1"/>
    <x v="4"/>
    <x v="1"/>
    <n v="4"/>
    <n v="55000"/>
    <n v="0"/>
    <n v="55000"/>
    <n v="15.993951378387809"/>
    <n v="5000"/>
    <n v="69"/>
    <x v="5523"/>
    <x v="0"/>
    <x v="3"/>
    <x v="1"/>
  </r>
  <r>
    <x v="498"/>
    <s v="ZPEP"/>
    <x v="33"/>
    <s v="DJLF85"/>
    <s v="125108660"/>
    <s v="PUENTE ALTO"/>
    <x v="4343"/>
    <x v="4"/>
    <x v="1"/>
    <x v="30"/>
    <x v="1"/>
    <n v="4"/>
    <n v="95512"/>
    <n v="0"/>
    <n v="95512"/>
    <n v="11.000024185495844"/>
    <n v="5000"/>
    <n v="100"/>
    <x v="5524"/>
    <x v="0"/>
    <x v="3"/>
    <x v="1"/>
  </r>
  <r>
    <x v="498"/>
    <s v="ZTAN"/>
    <x v="10"/>
    <s v="WC2233"/>
    <s v="125108660"/>
    <s v="QUILICURA"/>
    <x v="4344"/>
    <x v="4"/>
    <x v="1"/>
    <x v="8"/>
    <x v="1"/>
    <n v="1"/>
    <n v="100003"/>
    <n v="0"/>
    <n v="100003"/>
    <n v="10.999978000703976"/>
    <n v="5000"/>
    <n v="100"/>
    <x v="5525"/>
    <x v="0"/>
    <x v="3"/>
    <x v="1"/>
  </r>
  <r>
    <x v="498"/>
    <s v="ZTAN"/>
    <x v="6"/>
    <s v="DRFV76"/>
    <s v="113693568"/>
    <s v="PUERTO MONTT"/>
    <x v="4345"/>
    <x v="0"/>
    <x v="0"/>
    <x v="53"/>
    <x v="10"/>
    <n v="0"/>
    <n v="1100000"/>
    <n v="0"/>
    <n v="1100000"/>
    <n v="96.11603827165888"/>
    <n v="20000"/>
    <n v="60"/>
    <x v="5526"/>
    <x v="0"/>
    <x v="3"/>
    <x v="0"/>
  </r>
  <r>
    <x v="498"/>
    <s v="ZTAN"/>
    <x v="6"/>
    <s v="RX2274"/>
    <s v="100822326"/>
    <s v="LINARES"/>
    <x v="4346"/>
    <x v="0"/>
    <x v="0"/>
    <x v="59"/>
    <x v="3"/>
    <n v="0"/>
    <n v="350000"/>
    <n v="0"/>
    <n v="350000"/>
    <n v="54.887496314696676"/>
    <n v="20000"/>
    <n v="55"/>
    <x v="5527"/>
    <x v="0"/>
    <x v="3"/>
    <x v="0"/>
  </r>
  <r>
    <x v="498"/>
    <s v="ZTAN"/>
    <x v="6"/>
    <s v="SV2718"/>
    <s v="99626232"/>
    <s v="CERRILLOS"/>
    <x v="4347"/>
    <x v="1"/>
    <x v="1"/>
    <x v="9"/>
    <x v="1"/>
    <n v="2"/>
    <n v="55000"/>
    <n v="0"/>
    <n v="55000"/>
    <n v="16.727493917274938"/>
    <n v="5000"/>
    <n v="66"/>
    <x v="5528"/>
    <x v="0"/>
    <x v="3"/>
    <x v="1"/>
  </r>
  <r>
    <x v="498"/>
    <s v="ZTAN"/>
    <x v="6"/>
    <s v="TP3884"/>
    <s v="107643206"/>
    <s v="RANCAGUA"/>
    <x v="4348"/>
    <x v="1"/>
    <x v="1"/>
    <x v="28"/>
    <x v="6"/>
    <n v="0"/>
    <n v="180000"/>
    <n v="0"/>
    <n v="180000"/>
    <n v="33.717967930466052"/>
    <n v="20000"/>
    <n v="27"/>
    <x v="5529"/>
    <x v="0"/>
    <x v="3"/>
    <x v="0"/>
  </r>
  <r>
    <x v="498"/>
    <s v="ZTAN"/>
    <x v="6"/>
    <s v="XR6339"/>
    <s v="78907355"/>
    <s v="SAN BERNARDO"/>
    <x v="4349"/>
    <x v="1"/>
    <x v="1"/>
    <x v="4"/>
    <x v="1"/>
    <n v="4"/>
    <n v="55000"/>
    <n v="0"/>
    <n v="55000"/>
    <n v="14.47063776047148"/>
    <n v="5000"/>
    <n v="76"/>
    <x v="5530"/>
    <x v="0"/>
    <x v="3"/>
    <x v="1"/>
  </r>
  <r>
    <x v="498"/>
    <s v="ZTAN"/>
    <x v="7"/>
    <s v="KKPF51"/>
    <s v="95707734"/>
    <s v="RANCAGUA"/>
    <x v="1870"/>
    <x v="8"/>
    <x v="0"/>
    <x v="28"/>
    <x v="6"/>
    <n v="0"/>
    <n v="250000"/>
    <n v="0"/>
    <n v="250000"/>
    <n v="13.881485429992894"/>
    <n v="20000"/>
    <n v="90"/>
    <x v="5531"/>
    <x v="0"/>
    <x v="3"/>
    <x v="0"/>
  </r>
  <r>
    <x v="498"/>
    <s v="ZTAN"/>
    <x v="7"/>
    <s v="SV2718"/>
    <s v="99626232"/>
    <s v="SAN MIGUEL"/>
    <x v="4350"/>
    <x v="1"/>
    <x v="1"/>
    <x v="23"/>
    <x v="1"/>
    <n v="2"/>
    <n v="55000"/>
    <n v="0"/>
    <n v="55000"/>
    <n v="13.083556348498364"/>
    <n v="5000"/>
    <n v="84"/>
    <x v="5532"/>
    <x v="0"/>
    <x v="3"/>
    <x v="1"/>
  </r>
  <r>
    <x v="498"/>
    <s v="ZTAN"/>
    <x v="8"/>
    <s v="BPKD94"/>
    <s v="125897258"/>
    <s v="CHILLAN"/>
    <x v="4351"/>
    <x v="0"/>
    <x v="0"/>
    <x v="21"/>
    <x v="5"/>
    <n v="0"/>
    <n v="400000"/>
    <n v="0"/>
    <n v="400000"/>
    <n v="38.192720467478892"/>
    <n v="20000"/>
    <n v="55"/>
    <x v="5533"/>
    <x v="0"/>
    <x v="3"/>
    <x v="0"/>
  </r>
  <r>
    <x v="498"/>
    <s v="ZTAN"/>
    <x v="8"/>
    <s v="DJLF85"/>
    <s v="53173292"/>
    <s v="MAIPU"/>
    <x v="4352"/>
    <x v="4"/>
    <x v="1"/>
    <x v="2"/>
    <x v="1"/>
    <n v="2"/>
    <n v="55000"/>
    <n v="0"/>
    <n v="55000"/>
    <n v="19.729384586687331"/>
    <n v="5000"/>
    <n v="56"/>
    <x v="5534"/>
    <x v="0"/>
    <x v="3"/>
    <x v="1"/>
  </r>
  <r>
    <x v="498"/>
    <s v="ZTAN"/>
    <x v="8"/>
    <s v="DKDL88"/>
    <s v="122975819"/>
    <s v="LINARES"/>
    <x v="4353"/>
    <x v="0"/>
    <x v="0"/>
    <x v="59"/>
    <x v="3"/>
    <n v="0"/>
    <n v="350000"/>
    <n v="0"/>
    <n v="350000"/>
    <n v="47.16726861085656"/>
    <n v="20000"/>
    <n v="55"/>
    <x v="5535"/>
    <x v="0"/>
    <x v="3"/>
    <x v="0"/>
  </r>
  <r>
    <x v="498"/>
    <s v="ZTAN"/>
    <x v="8"/>
    <s v="HLBX77"/>
    <s v="16093509K"/>
    <s v="QUILICURA"/>
    <x v="4354"/>
    <x v="1"/>
    <x v="1"/>
    <x v="8"/>
    <x v="1"/>
    <n v="1"/>
    <n v="55000"/>
    <n v="0"/>
    <n v="55000"/>
    <n v="18.107472789406799"/>
    <n v="5000"/>
    <n v="61"/>
    <x v="5536"/>
    <x v="0"/>
    <x v="3"/>
    <x v="1"/>
  </r>
  <r>
    <x v="498"/>
    <s v="ZTAN"/>
    <x v="8"/>
    <s v="SU9354"/>
    <s v="72564391"/>
    <s v="PUENTE ALTO"/>
    <x v="4355"/>
    <x v="2"/>
    <x v="1"/>
    <x v="30"/>
    <x v="1"/>
    <n v="4"/>
    <n v="55000"/>
    <n v="0"/>
    <n v="55000"/>
    <n v="20.885388582147929"/>
    <n v="5000"/>
    <n v="53"/>
    <x v="5537"/>
    <x v="0"/>
    <x v="3"/>
    <x v="1"/>
  </r>
  <r>
    <x v="499"/>
    <s v="ZPEP"/>
    <x v="17"/>
    <s v="RH1133"/>
    <s v="65941082"/>
    <s v="LAMPA"/>
    <x v="4356"/>
    <x v="0"/>
    <x v="0"/>
    <x v="17"/>
    <x v="1"/>
    <n v="5"/>
    <n v="120000"/>
    <n v="0"/>
    <n v="120000"/>
    <n v="28.193501397927776"/>
    <n v="10000"/>
    <n v="43"/>
    <x v="5538"/>
    <x v="0"/>
    <x v="3"/>
    <x v="1"/>
  </r>
  <r>
    <x v="499"/>
    <s v="ZPEP"/>
    <x v="33"/>
    <s v="SU9354"/>
    <s v="72564391"/>
    <s v="PUENTE ALTO"/>
    <x v="4357"/>
    <x v="2"/>
    <x v="1"/>
    <x v="30"/>
    <x v="1"/>
    <n v="4"/>
    <n v="65295"/>
    <n v="0"/>
    <n v="65295"/>
    <n v="10.999942721793012"/>
    <n v="5000"/>
    <n v="100"/>
    <x v="5539"/>
    <x v="0"/>
    <x v="3"/>
    <x v="1"/>
  </r>
  <r>
    <x v="499"/>
    <s v="ZTAN"/>
    <x v="17"/>
    <s v="RH1133"/>
    <s v="65941082"/>
    <s v="LAMPA"/>
    <x v="4358"/>
    <x v="0"/>
    <x v="0"/>
    <x v="17"/>
    <x v="1"/>
    <n v="5"/>
    <n v="120000"/>
    <n v="0"/>
    <n v="120000"/>
    <n v="11.361914861384639"/>
    <n v="10000"/>
    <n v="100"/>
    <x v="5540"/>
    <x v="0"/>
    <x v="3"/>
    <x v="1"/>
  </r>
  <r>
    <x v="499"/>
    <s v="ZTAN"/>
    <x v="6"/>
    <s v="SV2718"/>
    <s v="99626232"/>
    <s v="LA REINA"/>
    <x v="4359"/>
    <x v="1"/>
    <x v="1"/>
    <x v="11"/>
    <x v="1"/>
    <n v="3"/>
    <n v="55000"/>
    <n v="0"/>
    <n v="55000"/>
    <n v="15.577118063226102"/>
    <n v="5000"/>
    <n v="71"/>
    <x v="5541"/>
    <x v="0"/>
    <x v="3"/>
    <x v="1"/>
  </r>
  <r>
    <x v="499"/>
    <s v="ZTAN"/>
    <x v="70"/>
    <s v="HLBX77"/>
    <s v="16093509K"/>
    <s v="SAN BERNARDO"/>
    <x v="3738"/>
    <x v="1"/>
    <x v="1"/>
    <x v="4"/>
    <x v="1"/>
    <n v="4"/>
    <n v="55000"/>
    <n v="0"/>
    <n v="55000"/>
    <n v="13.580246913580247"/>
    <n v="5000"/>
    <n v="81"/>
    <x v="5542"/>
    <x v="0"/>
    <x v="3"/>
    <x v="1"/>
  </r>
  <r>
    <x v="499"/>
    <s v="ZTAN"/>
    <x v="70"/>
    <s v="WG4022"/>
    <s v="81417709"/>
    <s v="VALPARAISO"/>
    <x v="4360"/>
    <x v="1"/>
    <x v="0"/>
    <x v="36"/>
    <x v="2"/>
    <n v="0"/>
    <n v="275000"/>
    <n v="0"/>
    <n v="275000"/>
    <n v="40.903141361256559"/>
    <n v="20000"/>
    <n v="34"/>
    <x v="5543"/>
    <x v="0"/>
    <x v="3"/>
    <x v="0"/>
  </r>
  <r>
    <x v="499"/>
    <s v="ZTAN"/>
    <x v="8"/>
    <s v="TP3884"/>
    <s v="107643206"/>
    <s v="LA REINA"/>
    <x v="4361"/>
    <x v="1"/>
    <x v="1"/>
    <x v="11"/>
    <x v="1"/>
    <n v="3"/>
    <n v="55000"/>
    <n v="0"/>
    <n v="55000"/>
    <n v="16.112919338725792"/>
    <n v="5000"/>
    <n v="68"/>
    <x v="5544"/>
    <x v="0"/>
    <x v="3"/>
    <x v="1"/>
  </r>
  <r>
    <x v="499"/>
    <s v="ZTAN"/>
    <x v="8"/>
    <s v="XR6339"/>
    <s v="78907355"/>
    <s v="QUILIN"/>
    <x v="4362"/>
    <x v="1"/>
    <x v="1"/>
    <x v="34"/>
    <x v="1"/>
    <n v="4"/>
    <n v="55986"/>
    <n v="0"/>
    <n v="55986"/>
    <n v="11.000056978825491"/>
    <n v="5000"/>
    <n v="100"/>
    <x v="5545"/>
    <x v="0"/>
    <x v="3"/>
    <x v="1"/>
  </r>
  <r>
    <x v="500"/>
    <s v="ZPEP"/>
    <x v="33"/>
    <s v="SU9354"/>
    <s v="72564391"/>
    <s v="PUENTE ALTO"/>
    <x v="4363"/>
    <x v="2"/>
    <x v="1"/>
    <x v="30"/>
    <x v="1"/>
    <n v="4"/>
    <n v="55000"/>
    <n v="0"/>
    <n v="55000"/>
    <n v="12.50858543818712"/>
    <n v="5000"/>
    <n v="88"/>
    <x v="5546"/>
    <x v="0"/>
    <x v="3"/>
    <x v="1"/>
  </r>
  <r>
    <x v="500"/>
    <s v="ZTAN"/>
    <x v="17"/>
    <s v="KKPF51"/>
    <s v="95707734"/>
    <s v="LAMPA"/>
    <x v="4364"/>
    <x v="8"/>
    <x v="0"/>
    <x v="17"/>
    <x v="1"/>
    <n v="5"/>
    <n v="120000"/>
    <n v="0"/>
    <n v="120000"/>
    <n v="7.5395828097511934"/>
    <n v="10000"/>
    <n v="100"/>
    <x v="5547"/>
    <x v="0"/>
    <x v="3"/>
    <x v="1"/>
  </r>
  <r>
    <x v="500"/>
    <s v="ZTAN"/>
    <x v="70"/>
    <s v="SU9354"/>
    <s v="72564391"/>
    <s v="LAS CABRAS"/>
    <x v="4365"/>
    <x v="2"/>
    <x v="1"/>
    <x v="61"/>
    <x v="6"/>
    <n v="0"/>
    <n v="350000"/>
    <n v="0"/>
    <n v="350000"/>
    <n v="33.855678080866703"/>
    <n v="20000"/>
    <n v="60"/>
    <x v="5548"/>
    <x v="0"/>
    <x v="3"/>
    <x v="0"/>
  </r>
  <r>
    <x v="500"/>
    <s v="ZTAN"/>
    <x v="7"/>
    <s v="DJLF85"/>
    <s v="53173292"/>
    <s v="RENCA"/>
    <x v="4366"/>
    <x v="4"/>
    <x v="1"/>
    <x v="7"/>
    <x v="1"/>
    <n v="1"/>
    <n v="74719"/>
    <n v="0"/>
    <n v="74719"/>
    <n v="10.999994111273379"/>
    <n v="5000"/>
    <n v="100"/>
    <x v="5549"/>
    <x v="0"/>
    <x v="3"/>
    <x v="1"/>
  </r>
  <r>
    <x v="500"/>
    <s v="ZTAN"/>
    <x v="7"/>
    <s v="HLBX77"/>
    <s v="16093509K"/>
    <s v="PADRE HURTADO"/>
    <x v="1380"/>
    <x v="1"/>
    <x v="1"/>
    <x v="26"/>
    <x v="1"/>
    <n v="5"/>
    <n v="70000"/>
    <n v="0"/>
    <n v="70000"/>
    <n v="6.7613252197430693"/>
    <n v="10000"/>
    <n v="100"/>
    <x v="5550"/>
    <x v="0"/>
    <x v="3"/>
    <x v="1"/>
  </r>
  <r>
    <x v="500"/>
    <s v="ZTAN"/>
    <x v="7"/>
    <s v="WC2233"/>
    <s v="125108660"/>
    <s v="PADRE HURTADO"/>
    <x v="4367"/>
    <x v="4"/>
    <x v="1"/>
    <x v="26"/>
    <x v="1"/>
    <n v="5"/>
    <n v="70000"/>
    <n v="0"/>
    <n v="70000"/>
    <n v="17.638239703677574"/>
    <n v="10000"/>
    <n v="40"/>
    <x v="5551"/>
    <x v="0"/>
    <x v="3"/>
    <x v="1"/>
  </r>
  <r>
    <x v="500"/>
    <s v="ZTAN"/>
    <x v="7"/>
    <s v="WC2233"/>
    <s v="125108660"/>
    <s v="SAN MIGUEL"/>
    <x v="4368"/>
    <x v="4"/>
    <x v="1"/>
    <x v="23"/>
    <x v="1"/>
    <n v="2"/>
    <n v="69728"/>
    <n v="0"/>
    <n v="69728"/>
    <n v="11.000050482104092"/>
    <n v="5000"/>
    <n v="100"/>
    <x v="5552"/>
    <x v="0"/>
    <x v="3"/>
    <x v="1"/>
  </r>
  <r>
    <x v="500"/>
    <s v="ZTAN"/>
    <x v="7"/>
    <s v="WG4022"/>
    <s v="154837728"/>
    <s v="RENCA"/>
    <x v="4369"/>
    <x v="1"/>
    <x v="0"/>
    <x v="7"/>
    <x v="1"/>
    <n v="1"/>
    <n v="86661"/>
    <n v="0"/>
    <n v="86661"/>
    <n v="10.999961920718935"/>
    <n v="5000"/>
    <n v="100"/>
    <x v="5553"/>
    <x v="0"/>
    <x v="3"/>
    <x v="1"/>
  </r>
  <r>
    <x v="500"/>
    <s v="ZTAN"/>
    <x v="7"/>
    <s v="XR6339"/>
    <s v="78907355"/>
    <s v="RENCA"/>
    <x v="4370"/>
    <x v="1"/>
    <x v="1"/>
    <x v="7"/>
    <x v="1"/>
    <n v="1"/>
    <n v="67508"/>
    <n v="0"/>
    <n v="67508"/>
    <n v="10.999947858278803"/>
    <n v="5000"/>
    <n v="100"/>
    <x v="5554"/>
    <x v="0"/>
    <x v="3"/>
    <x v="1"/>
  </r>
  <r>
    <x v="500"/>
    <s v="ZTAN"/>
    <x v="8"/>
    <s v="BDHB75"/>
    <s v="98494073"/>
    <s v="VILLARRICA"/>
    <x v="4371"/>
    <x v="0"/>
    <x v="0"/>
    <x v="88"/>
    <x v="4"/>
    <n v="0"/>
    <n v="800000"/>
    <n v="0"/>
    <n v="800000"/>
    <n v="110.7358396545042"/>
    <n v="20000"/>
    <n v="36"/>
    <x v="5555"/>
    <x v="0"/>
    <x v="3"/>
    <x v="0"/>
  </r>
  <r>
    <x v="500"/>
    <s v="ZTAN"/>
    <x v="8"/>
    <s v="SV2718"/>
    <s v="99626232"/>
    <s v="TALAGANTE"/>
    <x v="4372"/>
    <x v="1"/>
    <x v="1"/>
    <x v="50"/>
    <x v="1"/>
    <n v="4"/>
    <n v="55000"/>
    <n v="0"/>
    <n v="55000"/>
    <n v="20.809449760312972"/>
    <n v="5000"/>
    <n v="53"/>
    <x v="5556"/>
    <x v="0"/>
    <x v="3"/>
    <x v="1"/>
  </r>
  <r>
    <x v="501"/>
    <s v="ZPEP"/>
    <x v="2"/>
    <s v="DJLF85"/>
    <s v="53173292"/>
    <s v="SAN BERNARDO"/>
    <x v="4373"/>
    <x v="4"/>
    <x v="1"/>
    <x v="4"/>
    <x v="1"/>
    <n v="4"/>
    <n v="174526"/>
    <n v="0"/>
    <n v="174526"/>
    <n v="10.999972267812257"/>
    <n v="5000"/>
    <n v="100"/>
    <x v="5557"/>
    <x v="0"/>
    <x v="3"/>
    <x v="1"/>
  </r>
  <r>
    <x v="501"/>
    <s v="ZPEP"/>
    <x v="2"/>
    <s v="WC2233"/>
    <s v="125108660"/>
    <s v="SAN BERNARDO"/>
    <x v="4374"/>
    <x v="4"/>
    <x v="1"/>
    <x v="4"/>
    <x v="1"/>
    <n v="4"/>
    <n v="199068"/>
    <n v="0"/>
    <n v="199068"/>
    <n v="11.000006630903989"/>
    <n v="5000"/>
    <n v="100"/>
    <x v="5558"/>
    <x v="0"/>
    <x v="3"/>
    <x v="1"/>
  </r>
  <r>
    <x v="501"/>
    <s v="ZTAN"/>
    <x v="6"/>
    <s v="GFLB57"/>
    <s v="112438076"/>
    <s v="LOS ANGELES"/>
    <x v="4375"/>
    <x v="0"/>
    <x v="0"/>
    <x v="57"/>
    <x v="0"/>
    <n v="0"/>
    <n v="460000"/>
    <n v="0"/>
    <n v="460000"/>
    <n v="54.534030420504791"/>
    <n v="20000"/>
    <n v="55"/>
    <x v="5559"/>
    <x v="0"/>
    <x v="3"/>
    <x v="0"/>
  </r>
  <r>
    <x v="501"/>
    <s v="ZTAN"/>
    <x v="7"/>
    <s v="CJXX49"/>
    <s v="167892741"/>
    <s v="TALCAHUANO"/>
    <x v="419"/>
    <x v="5"/>
    <x v="0"/>
    <x v="0"/>
    <x v="0"/>
    <n v="0"/>
    <n v="430000"/>
    <n v="0"/>
    <n v="430000"/>
    <n v="52.159146045608907"/>
    <n v="20000"/>
    <n v="41"/>
    <x v="5560"/>
    <x v="0"/>
    <x v="3"/>
    <x v="0"/>
  </r>
  <r>
    <x v="501"/>
    <s v="ZTAN"/>
    <x v="7"/>
    <s v="DKDL88"/>
    <s v="122975819"/>
    <s v="TALCAHUANO"/>
    <x v="315"/>
    <x v="0"/>
    <x v="0"/>
    <x v="0"/>
    <x v="0"/>
    <n v="0"/>
    <n v="430000"/>
    <n v="0"/>
    <n v="430000"/>
    <n v="45.244107744107701"/>
    <n v="20000"/>
    <n v="48"/>
    <x v="5561"/>
    <x v="0"/>
    <x v="3"/>
    <x v="0"/>
  </r>
  <r>
    <x v="501"/>
    <s v="ZTAN"/>
    <x v="7"/>
    <s v="HLBX77"/>
    <s v="16093509K"/>
    <s v="RENCA"/>
    <x v="4376"/>
    <x v="1"/>
    <x v="1"/>
    <x v="7"/>
    <x v="1"/>
    <n v="1"/>
    <n v="70142"/>
    <n v="0"/>
    <n v="70142"/>
    <n v="11.00007841292245"/>
    <n v="5000"/>
    <n v="100"/>
    <x v="5562"/>
    <x v="0"/>
    <x v="3"/>
    <x v="1"/>
  </r>
  <r>
    <x v="501"/>
    <s v="ZTAN"/>
    <x v="7"/>
    <s v="WG4022"/>
    <s v="154837728"/>
    <s v="RENCA"/>
    <x v="4377"/>
    <x v="1"/>
    <x v="0"/>
    <x v="7"/>
    <x v="1"/>
    <n v="1"/>
    <n v="206326"/>
    <n v="0"/>
    <n v="206326"/>
    <n v="10.999999466863146"/>
    <n v="5000"/>
    <n v="100"/>
    <x v="5563"/>
    <x v="0"/>
    <x v="3"/>
    <x v="1"/>
  </r>
  <r>
    <x v="501"/>
    <s v="ZTAN"/>
    <x v="8"/>
    <s v="SV2718"/>
    <s v="99626232"/>
    <s v="EL BOSQUE"/>
    <x v="4378"/>
    <x v="1"/>
    <x v="1"/>
    <x v="25"/>
    <x v="1"/>
    <n v="3"/>
    <n v="55000"/>
    <n v="0"/>
    <n v="55000"/>
    <n v="16.594255370504467"/>
    <n v="5000"/>
    <n v="66"/>
    <x v="5564"/>
    <x v="0"/>
    <x v="3"/>
    <x v="1"/>
  </r>
  <r>
    <x v="501"/>
    <s v="ZTAN"/>
    <x v="8"/>
    <s v="TP3884"/>
    <s v="107643206"/>
    <s v="REÑACA"/>
    <x v="4379"/>
    <x v="1"/>
    <x v="1"/>
    <x v="6"/>
    <x v="2"/>
    <n v="0"/>
    <n v="203000"/>
    <n v="0"/>
    <n v="203000"/>
    <n v="49.423233302007603"/>
    <n v="20000"/>
    <n v="21"/>
    <x v="5565"/>
    <x v="0"/>
    <x v="3"/>
    <x v="0"/>
  </r>
  <r>
    <x v="501"/>
    <s v="ZTAN"/>
    <x v="8"/>
    <s v="XR6339"/>
    <s v="78907355"/>
    <s v="CERRILLOS"/>
    <x v="4380"/>
    <x v="1"/>
    <x v="1"/>
    <x v="9"/>
    <x v="1"/>
    <n v="2"/>
    <n v="55000"/>
    <n v="0"/>
    <n v="55000"/>
    <n v="17.143516166335743"/>
    <n v="5000"/>
    <n v="64"/>
    <x v="5566"/>
    <x v="0"/>
    <x v="3"/>
    <x v="1"/>
  </r>
  <r>
    <x v="502"/>
    <s v="ZTAN"/>
    <x v="10"/>
    <s v="KKPF51"/>
    <s v="95707734"/>
    <s v="SANTIAGO"/>
    <x v="4381"/>
    <x v="8"/>
    <x v="0"/>
    <x v="20"/>
    <x v="1"/>
    <n v="1"/>
    <n v="97767"/>
    <n v="0"/>
    <n v="97767"/>
    <n v="10.99998649852834"/>
    <n v="5000"/>
    <n v="100"/>
    <x v="5567"/>
    <x v="0"/>
    <x v="3"/>
    <x v="1"/>
  </r>
  <r>
    <x v="502"/>
    <s v="ZTAN"/>
    <x v="24"/>
    <s v="RH1133"/>
    <s v="65941082"/>
    <s v="MACHALI"/>
    <x v="4382"/>
    <x v="0"/>
    <x v="0"/>
    <x v="43"/>
    <x v="6"/>
    <n v="0"/>
    <n v="280000"/>
    <n v="0"/>
    <n v="280000"/>
    <n v="25.988659662722888"/>
    <n v="20000"/>
    <n v="54"/>
    <x v="5568"/>
    <x v="0"/>
    <x v="3"/>
    <x v="0"/>
  </r>
  <r>
    <x v="502"/>
    <s v="ZTAN"/>
    <x v="41"/>
    <s v="XR6339"/>
    <s v="78907355"/>
    <s v="SANTIAGO"/>
    <x v="4383"/>
    <x v="1"/>
    <x v="1"/>
    <x v="20"/>
    <x v="1"/>
    <n v="1"/>
    <n v="92505"/>
    <n v="0"/>
    <n v="92505"/>
    <n v="11.000033295598323"/>
    <n v="5000"/>
    <n v="100"/>
    <x v="5569"/>
    <x v="0"/>
    <x v="3"/>
    <x v="1"/>
  </r>
  <r>
    <x v="502"/>
    <s v="ZTAN"/>
    <x v="7"/>
    <s v="DJLF85"/>
    <s v="53173292"/>
    <s v="RENCA"/>
    <x v="4384"/>
    <x v="4"/>
    <x v="1"/>
    <x v="7"/>
    <x v="1"/>
    <n v="1"/>
    <n v="122940"/>
    <n v="0"/>
    <n v="122940"/>
    <n v="10.999964210300275"/>
    <n v="5000"/>
    <n v="100"/>
    <x v="5570"/>
    <x v="0"/>
    <x v="3"/>
    <x v="1"/>
  </r>
  <r>
    <x v="502"/>
    <s v="ZTAN"/>
    <x v="7"/>
    <s v="HDDV11"/>
    <s v="161376469"/>
    <s v="TALCAHUANO"/>
    <x v="1186"/>
    <x v="0"/>
    <x v="0"/>
    <x v="0"/>
    <x v="0"/>
    <n v="0"/>
    <n v="430000"/>
    <n v="0"/>
    <n v="430000"/>
    <n v="65.864044358668039"/>
    <n v="20000"/>
    <n v="33"/>
    <x v="5571"/>
    <x v="0"/>
    <x v="3"/>
    <x v="0"/>
  </r>
  <r>
    <x v="502"/>
    <s v="ZTAN"/>
    <x v="7"/>
    <s v="KFDS14"/>
    <s v="11899972K"/>
    <s v="TALCAHUANO"/>
    <x v="419"/>
    <x v="0"/>
    <x v="0"/>
    <x v="0"/>
    <x v="0"/>
    <n v="0"/>
    <n v="430000"/>
    <n v="0"/>
    <n v="430000"/>
    <n v="52.159146045608907"/>
    <n v="20000"/>
    <n v="41"/>
    <x v="5572"/>
    <x v="0"/>
    <x v="3"/>
    <x v="0"/>
  </r>
  <r>
    <x v="502"/>
    <s v="ZTAN"/>
    <x v="7"/>
    <s v="SU9354"/>
    <s v="72564391"/>
    <s v="MELIPILLA"/>
    <x v="4385"/>
    <x v="2"/>
    <x v="1"/>
    <x v="29"/>
    <x v="1"/>
    <n v="5"/>
    <n v="90000"/>
    <n v="0"/>
    <n v="90000"/>
    <n v="8.7749232194218294"/>
    <n v="10000"/>
    <n v="100"/>
    <x v="5573"/>
    <x v="0"/>
    <x v="3"/>
    <x v="1"/>
  </r>
  <r>
    <x v="502"/>
    <s v="ZTAN"/>
    <x v="8"/>
    <s v="HLBX77"/>
    <s v="16093509K"/>
    <s v="PUDAHUEL"/>
    <x v="4386"/>
    <x v="1"/>
    <x v="1"/>
    <x v="10"/>
    <x v="1"/>
    <n v="1"/>
    <n v="157606"/>
    <n v="0"/>
    <n v="157606"/>
    <n v="11.000013958877149"/>
    <n v="5000"/>
    <n v="100"/>
    <x v="5574"/>
    <x v="0"/>
    <x v="3"/>
    <x v="1"/>
  </r>
  <r>
    <x v="502"/>
    <s v="ZTAN"/>
    <x v="8"/>
    <s v="SU9354"/>
    <s v="72564391"/>
    <s v="PUENTE ALTO"/>
    <x v="4387"/>
    <x v="2"/>
    <x v="1"/>
    <x v="30"/>
    <x v="1"/>
    <n v="4"/>
    <n v="55000"/>
    <n v="0"/>
    <n v="55000"/>
    <n v="20.56597564988483"/>
    <n v="5000"/>
    <n v="53"/>
    <x v="5575"/>
    <x v="0"/>
    <x v="3"/>
    <x v="1"/>
  </r>
  <r>
    <x v="502"/>
    <s v="ZTAN"/>
    <x v="8"/>
    <s v="SV2718"/>
    <s v="99626232"/>
    <s v="ÑUÑOA"/>
    <x v="4388"/>
    <x v="1"/>
    <x v="1"/>
    <x v="15"/>
    <x v="1"/>
    <n v="4"/>
    <n v="55000"/>
    <n v="0"/>
    <n v="55000"/>
    <n v="20.558134666995596"/>
    <n v="5000"/>
    <n v="54"/>
    <x v="5576"/>
    <x v="0"/>
    <x v="3"/>
    <x v="1"/>
  </r>
  <r>
    <x v="502"/>
    <s v="ZTAN"/>
    <x v="8"/>
    <s v="TP3884"/>
    <s v="107643206"/>
    <s v="SAN BERNARDO"/>
    <x v="4389"/>
    <x v="1"/>
    <x v="1"/>
    <x v="4"/>
    <x v="1"/>
    <n v="4"/>
    <n v="55000"/>
    <n v="0"/>
    <n v="55000"/>
    <n v="21.704557562459797"/>
    <n v="5000"/>
    <n v="51"/>
    <x v="5577"/>
    <x v="0"/>
    <x v="3"/>
    <x v="1"/>
  </r>
  <r>
    <x v="503"/>
    <s v="ZPEP"/>
    <x v="2"/>
    <s v="DJLF85"/>
    <s v="53173292"/>
    <s v="SAN BERNARDO"/>
    <x v="4390"/>
    <x v="4"/>
    <x v="1"/>
    <x v="4"/>
    <x v="1"/>
    <n v="4"/>
    <n v="213528"/>
    <n v="0"/>
    <n v="213528"/>
    <n v="10.999997939380709"/>
    <n v="5000"/>
    <n v="100"/>
    <x v="5578"/>
    <x v="0"/>
    <x v="3"/>
    <x v="1"/>
  </r>
  <r>
    <x v="503"/>
    <s v="ZTAN"/>
    <x v="10"/>
    <s v="SU9354"/>
    <s v="72564391"/>
    <s v="QUILICURA"/>
    <x v="4391"/>
    <x v="2"/>
    <x v="1"/>
    <x v="8"/>
    <x v="1"/>
    <n v="1"/>
    <n v="88904"/>
    <n v="0"/>
    <n v="88904"/>
    <n v="10.999948034079745"/>
    <n v="5000"/>
    <n v="100"/>
    <x v="5579"/>
    <x v="0"/>
    <x v="3"/>
    <x v="1"/>
  </r>
  <r>
    <x v="503"/>
    <s v="ZTAN"/>
    <x v="6"/>
    <s v="DRFV76"/>
    <s v="113693568"/>
    <s v="TEMUCO"/>
    <x v="4392"/>
    <x v="0"/>
    <x v="0"/>
    <x v="14"/>
    <x v="4"/>
    <n v="0"/>
    <n v="700000"/>
    <n v="0"/>
    <n v="700000"/>
    <n v="69.111229587504681"/>
    <n v="20000"/>
    <n v="65"/>
    <x v="5580"/>
    <x v="0"/>
    <x v="3"/>
    <x v="0"/>
  </r>
  <r>
    <x v="503"/>
    <s v="ZTAN"/>
    <x v="7"/>
    <s v="BDHB75"/>
    <s v="98494073"/>
    <s v="TALCAHUANO"/>
    <x v="2212"/>
    <x v="0"/>
    <x v="0"/>
    <x v="0"/>
    <x v="0"/>
    <n v="0"/>
    <n v="430000"/>
    <n v="0"/>
    <n v="430000"/>
    <n v="53.957737288560942"/>
    <n v="20000"/>
    <n v="40"/>
    <x v="5581"/>
    <x v="0"/>
    <x v="3"/>
    <x v="0"/>
  </r>
  <r>
    <x v="503"/>
    <s v="ZTAN"/>
    <x v="7"/>
    <s v="DJLF85"/>
    <s v="53173292"/>
    <s v="MELIPILLA"/>
    <x v="4393"/>
    <x v="4"/>
    <x v="1"/>
    <x v="29"/>
    <x v="1"/>
    <n v="5"/>
    <n v="90000"/>
    <n v="0"/>
    <n v="90000"/>
    <n v="18.103989314623195"/>
    <n v="10000"/>
    <n v="50"/>
    <x v="5582"/>
    <x v="0"/>
    <x v="3"/>
    <x v="1"/>
  </r>
  <r>
    <x v="503"/>
    <s v="ZTAN"/>
    <x v="7"/>
    <s v="DKDL88"/>
    <s v="122975819"/>
    <s v="TALCAHUANO"/>
    <x v="4394"/>
    <x v="0"/>
    <x v="0"/>
    <x v="0"/>
    <x v="0"/>
    <n v="0"/>
    <n v="430000"/>
    <n v="0"/>
    <n v="430000"/>
    <n v="50.544232080306557"/>
    <n v="20000"/>
    <n v="43"/>
    <x v="5583"/>
    <x v="0"/>
    <x v="3"/>
    <x v="0"/>
  </r>
  <r>
    <x v="503"/>
    <s v="ZTAN"/>
    <x v="7"/>
    <s v="XR6339"/>
    <s v="78907355"/>
    <s v="RENCA"/>
    <x v="4395"/>
    <x v="1"/>
    <x v="1"/>
    <x v="7"/>
    <x v="1"/>
    <n v="1"/>
    <n v="136500"/>
    <n v="0"/>
    <n v="136500"/>
    <n v="11.000036263855815"/>
    <n v="5000"/>
    <n v="100"/>
    <x v="5584"/>
    <x v="0"/>
    <x v="3"/>
    <x v="1"/>
  </r>
  <r>
    <x v="503"/>
    <s v="ZTAN"/>
    <x v="83"/>
    <s v="HLBX77"/>
    <s v="16093509K"/>
    <s v="SANTIAGO"/>
    <x v="4396"/>
    <x v="1"/>
    <x v="1"/>
    <x v="20"/>
    <x v="1"/>
    <n v="1"/>
    <n v="119953"/>
    <n v="0"/>
    <n v="119953"/>
    <n v="11.000018340547282"/>
    <n v="5000"/>
    <n v="100"/>
    <x v="5585"/>
    <x v="0"/>
    <x v="3"/>
    <x v="1"/>
  </r>
  <r>
    <x v="504"/>
    <s v="ZPEP"/>
    <x v="2"/>
    <s v="KKPF51"/>
    <s v="95707734"/>
    <s v="COQUIMBO"/>
    <x v="4397"/>
    <x v="8"/>
    <x v="0"/>
    <x v="42"/>
    <x v="8"/>
    <n v="0"/>
    <n v="700000"/>
    <n v="0"/>
    <n v="700000"/>
    <n v="73.184476108927768"/>
    <n v="20000"/>
    <n v="48"/>
    <x v="5586"/>
    <x v="0"/>
    <x v="3"/>
    <x v="0"/>
  </r>
  <r>
    <x v="504"/>
    <s v="ZTAN"/>
    <x v="51"/>
    <s v="SU9354"/>
    <s v="72564391"/>
    <s v="VILLA ALEMANA"/>
    <x v="4398"/>
    <x v="2"/>
    <x v="1"/>
    <x v="96"/>
    <x v="2"/>
    <n v="0"/>
    <n v="203000"/>
    <n v="0"/>
    <n v="203000"/>
    <n v="43.328943520828844"/>
    <n v="20000"/>
    <n v="23"/>
    <x v="5587"/>
    <x v="0"/>
    <x v="3"/>
    <x v="0"/>
  </r>
  <r>
    <x v="504"/>
    <s v="ZTAN"/>
    <x v="47"/>
    <s v="TP3884"/>
    <s v="107643206"/>
    <s v="SAN JOAQUIN"/>
    <x v="613"/>
    <x v="1"/>
    <x v="1"/>
    <x v="67"/>
    <x v="1"/>
    <n v="3"/>
    <n v="55000"/>
    <n v="0"/>
    <n v="55000"/>
    <n v="32.345330510468123"/>
    <n v="5000"/>
    <n v="34"/>
    <x v="5588"/>
    <x v="0"/>
    <x v="3"/>
    <x v="1"/>
  </r>
  <r>
    <x v="504"/>
    <s v="ZTAN"/>
    <x v="10"/>
    <s v="WC2233"/>
    <s v="125108660"/>
    <s v="QUILICURA"/>
    <x v="4399"/>
    <x v="4"/>
    <x v="1"/>
    <x v="8"/>
    <x v="1"/>
    <n v="1"/>
    <n v="110087"/>
    <n v="0"/>
    <n v="110087"/>
    <n v="11.000009992106236"/>
    <n v="5000"/>
    <n v="100"/>
    <x v="5589"/>
    <x v="0"/>
    <x v="3"/>
    <x v="1"/>
  </r>
  <r>
    <x v="504"/>
    <s v="ZTAN"/>
    <x v="16"/>
    <s v="TP3884"/>
    <s v="107643206"/>
    <s v="SAN BERNARDO"/>
    <x v="1468"/>
    <x v="1"/>
    <x v="1"/>
    <x v="4"/>
    <x v="1"/>
    <n v="4"/>
    <n v="55000"/>
    <n v="0"/>
    <n v="55000"/>
    <n v="16.172665255234062"/>
    <n v="5000"/>
    <n v="68"/>
    <x v="5590"/>
    <x v="0"/>
    <x v="3"/>
    <x v="1"/>
  </r>
  <r>
    <x v="504"/>
    <s v="ZTAN"/>
    <x v="7"/>
    <s v="PKYS74"/>
    <s v="6270439K"/>
    <s v="TALCAHUANO"/>
    <x v="4400"/>
    <x v="0"/>
    <x v="0"/>
    <x v="0"/>
    <x v="0"/>
    <n v="0"/>
    <n v="430000"/>
    <n v="0"/>
    <n v="430000"/>
    <n v="27.649176954732511"/>
    <n v="20000"/>
    <n v="78"/>
    <x v="5591"/>
    <x v="0"/>
    <x v="3"/>
    <x v="0"/>
  </r>
  <r>
    <x v="504"/>
    <s v="ZTAN"/>
    <x v="68"/>
    <s v="XR6339"/>
    <s v="78907355"/>
    <s v="SAN BERNARDO"/>
    <x v="252"/>
    <x v="1"/>
    <x v="1"/>
    <x v="4"/>
    <x v="1"/>
    <n v="4"/>
    <n v="55000"/>
    <n v="0"/>
    <n v="55000"/>
    <n v="14.658848614072495"/>
    <n v="5000"/>
    <n v="75"/>
    <x v="5592"/>
    <x v="0"/>
    <x v="3"/>
    <x v="1"/>
  </r>
  <r>
    <x v="504"/>
    <s v="ZTAN"/>
    <x v="8"/>
    <s v="HLBX77"/>
    <s v="16093509K"/>
    <s v="PUDAHUEL"/>
    <x v="4401"/>
    <x v="1"/>
    <x v="1"/>
    <x v="10"/>
    <x v="1"/>
    <n v="1"/>
    <n v="97117"/>
    <n v="0"/>
    <n v="97117"/>
    <n v="11.000010193899291"/>
    <n v="5000"/>
    <n v="100"/>
    <x v="5593"/>
    <x v="0"/>
    <x v="3"/>
    <x v="1"/>
  </r>
  <r>
    <x v="504"/>
    <s v="ZTAN"/>
    <x v="8"/>
    <s v="SV2718"/>
    <s v="99626232"/>
    <s v="SANTIAGO"/>
    <x v="4402"/>
    <x v="1"/>
    <x v="1"/>
    <x v="20"/>
    <x v="1"/>
    <n v="1"/>
    <n v="55000"/>
    <n v="0"/>
    <n v="55000"/>
    <n v="18.884509208773398"/>
    <n v="5000"/>
    <n v="58"/>
    <x v="5594"/>
    <x v="0"/>
    <x v="3"/>
    <x v="1"/>
  </r>
  <r>
    <x v="505"/>
    <s v="ZPEP"/>
    <x v="87"/>
    <s v="CRCG77"/>
    <s v="114717908"/>
    <s v="HUASCO"/>
    <x v="4403"/>
    <x v="0"/>
    <x v="0"/>
    <x v="104"/>
    <x v="9"/>
    <n v="0"/>
    <n v="1500000"/>
    <n v="0"/>
    <n v="1500000"/>
    <n v="57.59497218930774"/>
    <n v="20000"/>
    <n v="100"/>
    <x v="5595"/>
    <x v="0"/>
    <x v="3"/>
    <x v="0"/>
  </r>
  <r>
    <x v="505"/>
    <s v="ZPEP"/>
    <x v="87"/>
    <s v="DGCC76"/>
    <s v="150356040"/>
    <s v="HUASCO"/>
    <x v="4404"/>
    <x v="0"/>
    <x v="0"/>
    <x v="104"/>
    <x v="9"/>
    <n v="0"/>
    <n v="1500000"/>
    <n v="0"/>
    <n v="1500000"/>
    <n v="60.566857331133569"/>
    <n v="20000"/>
    <n v="100"/>
    <x v="5596"/>
    <x v="0"/>
    <x v="3"/>
    <x v="0"/>
  </r>
  <r>
    <x v="505"/>
    <s v="ZTAN"/>
    <x v="51"/>
    <s v="PBFH81"/>
    <s v="129210451"/>
    <s v="LOS ANGELES"/>
    <x v="4405"/>
    <x v="0"/>
    <x v="0"/>
    <x v="57"/>
    <x v="0"/>
    <n v="0"/>
    <n v="460000"/>
    <n v="0"/>
    <n v="460000"/>
    <n v="64.629525296136705"/>
    <n v="20000"/>
    <n v="36"/>
    <x v="5597"/>
    <x v="0"/>
    <x v="3"/>
    <x v="0"/>
  </r>
  <r>
    <x v="505"/>
    <s v="ZTAN"/>
    <x v="10"/>
    <s v="SU9354"/>
    <s v="72564391"/>
    <s v="PETORCA"/>
    <x v="385"/>
    <x v="2"/>
    <x v="1"/>
    <x v="106"/>
    <x v="2"/>
    <n v="0"/>
    <n v="250000"/>
    <n v="0"/>
    <n v="250000"/>
    <n v="33.315565031982956"/>
    <n v="20000"/>
    <n v="38"/>
    <x v="5598"/>
    <x v="0"/>
    <x v="3"/>
    <x v="0"/>
  </r>
  <r>
    <x v="505"/>
    <s v="ZTAN"/>
    <x v="7"/>
    <s v="DJLF85"/>
    <s v="53173292"/>
    <s v="SANTIAGO"/>
    <x v="4406"/>
    <x v="4"/>
    <x v="1"/>
    <x v="20"/>
    <x v="1"/>
    <n v="1"/>
    <n v="82214"/>
    <n v="0"/>
    <n v="82214"/>
    <n v="11.000000000000002"/>
    <n v="5000"/>
    <n v="100"/>
    <x v="5599"/>
    <x v="0"/>
    <x v="3"/>
    <x v="1"/>
  </r>
  <r>
    <x v="505"/>
    <s v="ZTAN"/>
    <x v="7"/>
    <s v="HLBX77"/>
    <s v="16093509K"/>
    <s v="RENCA"/>
    <x v="4407"/>
    <x v="1"/>
    <x v="1"/>
    <x v="7"/>
    <x v="1"/>
    <n v="1"/>
    <n v="78380"/>
    <n v="0"/>
    <n v="78380"/>
    <n v="11.000022454753674"/>
    <n v="5000"/>
    <n v="100"/>
    <x v="5600"/>
    <x v="0"/>
    <x v="3"/>
    <x v="1"/>
  </r>
  <r>
    <x v="505"/>
    <s v="ZTAN"/>
    <x v="7"/>
    <s v="HLBX77"/>
    <s v="16093509K"/>
    <s v="SAN MIGUEL"/>
    <x v="4408"/>
    <x v="1"/>
    <x v="1"/>
    <x v="23"/>
    <x v="1"/>
    <n v="2"/>
    <n v="55000"/>
    <n v="0"/>
    <n v="55000"/>
    <n v="11.089827603589072"/>
    <n v="5000"/>
    <n v="99"/>
    <x v="5601"/>
    <x v="0"/>
    <x v="3"/>
    <x v="1"/>
  </r>
  <r>
    <x v="505"/>
    <s v="ZTAN"/>
    <x v="7"/>
    <s v="RH1133"/>
    <s v="65941082"/>
    <s v="RANCAGUA"/>
    <x v="4409"/>
    <x v="0"/>
    <x v="0"/>
    <x v="28"/>
    <x v="6"/>
    <n v="0"/>
    <n v="250000"/>
    <n v="0"/>
    <n v="250000"/>
    <n v="17.9879279417997"/>
    <n v="20000"/>
    <n v="69"/>
    <x v="5602"/>
    <x v="0"/>
    <x v="3"/>
    <x v="0"/>
  </r>
  <r>
    <x v="505"/>
    <s v="ZTAN"/>
    <x v="7"/>
    <s v="WC2233"/>
    <s v="125108660"/>
    <s v="RENCA"/>
    <x v="385"/>
    <x v="4"/>
    <x v="1"/>
    <x v="7"/>
    <x v="1"/>
    <n v="1"/>
    <n v="82544"/>
    <n v="0"/>
    <n v="82544"/>
    <n v="11.000000000000004"/>
    <n v="5000"/>
    <n v="100"/>
    <x v="5603"/>
    <x v="0"/>
    <x v="3"/>
    <x v="1"/>
  </r>
  <r>
    <x v="505"/>
    <s v="ZTAN"/>
    <x v="7"/>
    <s v="WG4022"/>
    <s v="154837728"/>
    <s v="RENCA"/>
    <x v="4410"/>
    <x v="1"/>
    <x v="0"/>
    <x v="7"/>
    <x v="1"/>
    <n v="1"/>
    <n v="196169"/>
    <n v="0"/>
    <n v="196169"/>
    <n v="10.999997196295739"/>
    <n v="5000"/>
    <n v="100"/>
    <x v="5604"/>
    <x v="0"/>
    <x v="3"/>
    <x v="1"/>
  </r>
  <r>
    <x v="505"/>
    <s v="ZTAN"/>
    <x v="68"/>
    <s v="WC2233"/>
    <s v="125108660"/>
    <s v="QUILICURA"/>
    <x v="1381"/>
    <x v="4"/>
    <x v="1"/>
    <x v="8"/>
    <x v="1"/>
    <n v="1"/>
    <n v="55000"/>
    <n v="0"/>
    <n v="55000"/>
    <n v="15.937409446537236"/>
    <n v="5000"/>
    <n v="69"/>
    <x v="5605"/>
    <x v="0"/>
    <x v="3"/>
    <x v="1"/>
  </r>
  <r>
    <x v="505"/>
    <s v="ZTAN"/>
    <x v="8"/>
    <s v="DJLF85"/>
    <s v="53173292"/>
    <s v="ÑUÑOA"/>
    <x v="4411"/>
    <x v="4"/>
    <x v="1"/>
    <x v="15"/>
    <x v="1"/>
    <n v="4"/>
    <n v="55000"/>
    <n v="0"/>
    <n v="55000"/>
    <n v="21.14733928022147"/>
    <n v="5000"/>
    <n v="52"/>
    <x v="5606"/>
    <x v="0"/>
    <x v="3"/>
    <x v="1"/>
  </r>
  <r>
    <x v="505"/>
    <s v="ZTAN"/>
    <x v="8"/>
    <s v="DRFV76"/>
    <s v="113693568"/>
    <s v="OSORNO"/>
    <x v="4412"/>
    <x v="0"/>
    <x v="0"/>
    <x v="64"/>
    <x v="10"/>
    <n v="0"/>
    <n v="950000"/>
    <n v="0"/>
    <n v="950000"/>
    <n v="132.4828399858313"/>
    <n v="20000"/>
    <n v="55"/>
    <x v="5607"/>
    <x v="0"/>
    <x v="3"/>
    <x v="0"/>
  </r>
  <r>
    <x v="505"/>
    <s v="ZTAN"/>
    <x v="8"/>
    <s v="SV2718"/>
    <s v="99626232"/>
    <s v="EL BOSQUE"/>
    <x v="4413"/>
    <x v="1"/>
    <x v="1"/>
    <x v="25"/>
    <x v="1"/>
    <n v="3"/>
    <n v="55000"/>
    <n v="0"/>
    <n v="55000"/>
    <n v="16.433608222779966"/>
    <n v="5000"/>
    <n v="67"/>
    <x v="5608"/>
    <x v="0"/>
    <x v="3"/>
    <x v="1"/>
  </r>
  <r>
    <x v="505"/>
    <s v="ZTAN"/>
    <x v="8"/>
    <s v="TP3884"/>
    <s v="107643206"/>
    <s v="LA REINA"/>
    <x v="4414"/>
    <x v="1"/>
    <x v="1"/>
    <x v="11"/>
    <x v="1"/>
    <n v="3"/>
    <n v="55000"/>
    <n v="0"/>
    <n v="55000"/>
    <n v="19.716017651212894"/>
    <n v="5000"/>
    <n v="56"/>
    <x v="5609"/>
    <x v="0"/>
    <x v="3"/>
    <x v="1"/>
  </r>
  <r>
    <x v="505"/>
    <s v="ZTAN"/>
    <x v="8"/>
    <s v="XR6339"/>
    <s v="78907355"/>
    <s v="LAS CONDES"/>
    <x v="4415"/>
    <x v="1"/>
    <x v="1"/>
    <x v="3"/>
    <x v="1"/>
    <n v="4"/>
    <n v="76325"/>
    <n v="0"/>
    <n v="76325"/>
    <n v="11.000057648516993"/>
    <n v="5000"/>
    <n v="100"/>
    <x v="5610"/>
    <x v="0"/>
    <x v="3"/>
    <x v="1"/>
  </r>
  <r>
    <x v="506"/>
    <s v="ZPEP"/>
    <x v="17"/>
    <s v="KKPF51"/>
    <s v="95707734"/>
    <s v="LAMPA"/>
    <x v="4416"/>
    <x v="8"/>
    <x v="0"/>
    <x v="17"/>
    <x v="1"/>
    <n v="5"/>
    <n v="120000"/>
    <n v="0"/>
    <n v="120000"/>
    <n v="14.141937916892546"/>
    <n v="10000"/>
    <n v="85"/>
    <x v="5611"/>
    <x v="0"/>
    <x v="3"/>
    <x v="1"/>
  </r>
  <r>
    <x v="506"/>
    <s v="ZPEP"/>
    <x v="9"/>
    <s v="XR6339"/>
    <s v="78907355"/>
    <s v="SAN BERNARDO"/>
    <x v="4417"/>
    <x v="1"/>
    <x v="1"/>
    <x v="4"/>
    <x v="1"/>
    <n v="4"/>
    <n v="66759"/>
    <n v="0"/>
    <n v="66759"/>
    <n v="11"/>
    <n v="5000"/>
    <n v="100"/>
    <x v="5612"/>
    <x v="0"/>
    <x v="3"/>
    <x v="1"/>
  </r>
  <r>
    <x v="506"/>
    <s v="ZPEP"/>
    <x v="7"/>
    <s v="HLZV71"/>
    <s v="17465087K"/>
    <s v="RENCA"/>
    <x v="4038"/>
    <x v="0"/>
    <x v="0"/>
    <x v="7"/>
    <x v="1"/>
    <n v="1"/>
    <n v="286634"/>
    <n v="0"/>
    <n v="286634"/>
    <n v="11.00001535060788"/>
    <n v="5000"/>
    <n v="100"/>
    <x v="5613"/>
    <x v="0"/>
    <x v="3"/>
    <x v="1"/>
  </r>
  <r>
    <x v="506"/>
    <s v="ZPEP"/>
    <x v="7"/>
    <s v="KXTC79"/>
    <s v="177846362"/>
    <s v="RENCA"/>
    <x v="4038"/>
    <x v="0"/>
    <x v="0"/>
    <x v="7"/>
    <x v="1"/>
    <n v="1"/>
    <n v="286634"/>
    <n v="0"/>
    <n v="286634"/>
    <n v="11.00001535060788"/>
    <n v="5000"/>
    <n v="100"/>
    <x v="5614"/>
    <x v="0"/>
    <x v="3"/>
    <x v="1"/>
  </r>
  <r>
    <x v="506"/>
    <s v="ZTAN"/>
    <x v="17"/>
    <s v="KKPF51"/>
    <s v="95707734"/>
    <s v="LAMPA"/>
    <x v="4418"/>
    <x v="8"/>
    <x v="0"/>
    <x v="17"/>
    <x v="1"/>
    <n v="5"/>
    <n v="120000"/>
    <n v="0"/>
    <n v="120000"/>
    <n v="7.555723460521345"/>
    <n v="10000"/>
    <n v="100"/>
    <x v="5615"/>
    <x v="0"/>
    <x v="3"/>
    <x v="1"/>
  </r>
  <r>
    <x v="506"/>
    <s v="ZTAN"/>
    <x v="7"/>
    <s v="DJLF85"/>
    <s v="53173292"/>
    <s v="RENCA"/>
    <x v="4419"/>
    <x v="4"/>
    <x v="1"/>
    <x v="7"/>
    <x v="1"/>
    <n v="1"/>
    <n v="88740"/>
    <n v="0"/>
    <n v="88740"/>
    <n v="11.000058260394214"/>
    <n v="5000"/>
    <n v="100"/>
    <x v="5616"/>
    <x v="0"/>
    <x v="3"/>
    <x v="1"/>
  </r>
  <r>
    <x v="506"/>
    <s v="ZTAN"/>
    <x v="7"/>
    <s v="DJLF85"/>
    <s v="53173292"/>
    <s v="SAN MIGUEL"/>
    <x v="4420"/>
    <x v="4"/>
    <x v="1"/>
    <x v="23"/>
    <x v="1"/>
    <n v="2"/>
    <n v="79784"/>
    <n v="0"/>
    <n v="79784"/>
    <n v="10.99998621279177"/>
    <n v="5000"/>
    <n v="100"/>
    <x v="5617"/>
    <x v="0"/>
    <x v="3"/>
    <x v="1"/>
  </r>
  <r>
    <x v="506"/>
    <s v="ZTAN"/>
    <x v="7"/>
    <s v="HLBX77"/>
    <s v="16093509K"/>
    <s v="SANTIAGO"/>
    <x v="4421"/>
    <x v="1"/>
    <x v="1"/>
    <x v="20"/>
    <x v="1"/>
    <n v="1"/>
    <n v="55000"/>
    <n v="0"/>
    <n v="55000"/>
    <n v="12.915618740327957"/>
    <n v="5000"/>
    <n v="85"/>
    <x v="5618"/>
    <x v="0"/>
    <x v="3"/>
    <x v="1"/>
  </r>
  <r>
    <x v="506"/>
    <s v="ZTAN"/>
    <x v="7"/>
    <s v="WG4022"/>
    <s v="154837728"/>
    <s v="RENCA"/>
    <x v="4422"/>
    <x v="1"/>
    <x v="0"/>
    <x v="7"/>
    <x v="1"/>
    <n v="1"/>
    <n v="115145"/>
    <n v="0"/>
    <n v="115145"/>
    <n v="11.000007642542981"/>
    <n v="5000"/>
    <n v="100"/>
    <x v="5619"/>
    <x v="0"/>
    <x v="3"/>
    <x v="1"/>
  </r>
  <r>
    <x v="506"/>
    <s v="ZTAN"/>
    <x v="7"/>
    <s v="XR6339"/>
    <s v="78907355"/>
    <s v="RENCA"/>
    <x v="4423"/>
    <x v="1"/>
    <x v="1"/>
    <x v="7"/>
    <x v="1"/>
    <n v="1"/>
    <n v="79889"/>
    <n v="0"/>
    <n v="79889"/>
    <n v="11.000055076694297"/>
    <n v="5000"/>
    <n v="100"/>
    <x v="5620"/>
    <x v="0"/>
    <x v="3"/>
    <x v="1"/>
  </r>
  <r>
    <x v="506"/>
    <s v="ZTAN"/>
    <x v="8"/>
    <s v="BDHB75"/>
    <s v="98494073"/>
    <s v="OSORNO"/>
    <x v="4424"/>
    <x v="0"/>
    <x v="0"/>
    <x v="64"/>
    <x v="10"/>
    <n v="0"/>
    <n v="950000"/>
    <n v="0"/>
    <n v="950000"/>
    <n v="104.26430012314164"/>
    <n v="20000"/>
    <n v="55"/>
    <x v="5621"/>
    <x v="0"/>
    <x v="3"/>
    <x v="0"/>
  </r>
  <r>
    <x v="506"/>
    <s v="ZTAN"/>
    <x v="8"/>
    <s v="DTCY42"/>
    <s v="92022607"/>
    <s v="ANGOL"/>
    <x v="4425"/>
    <x v="5"/>
    <x v="0"/>
    <x v="84"/>
    <x v="4"/>
    <n v="0"/>
    <n v="530000"/>
    <n v="0"/>
    <n v="530000"/>
    <n v="64.332255464600266"/>
    <n v="20000"/>
    <n v="55"/>
    <x v="5622"/>
    <x v="0"/>
    <x v="3"/>
    <x v="0"/>
  </r>
  <r>
    <x v="506"/>
    <s v="ZTAN"/>
    <x v="8"/>
    <s v="TP3884"/>
    <s v="107643206"/>
    <s v="PUENTE ALTO"/>
    <x v="4426"/>
    <x v="1"/>
    <x v="1"/>
    <x v="30"/>
    <x v="1"/>
    <n v="4"/>
    <n v="55000"/>
    <n v="0"/>
    <n v="55000"/>
    <n v="21.994721266895954"/>
    <n v="5000"/>
    <n v="50"/>
    <x v="5623"/>
    <x v="0"/>
    <x v="3"/>
    <x v="1"/>
  </r>
  <r>
    <x v="507"/>
    <s v="ZPEP"/>
    <x v="58"/>
    <s v="SU9354"/>
    <s v="72564391"/>
    <s v="COLINA"/>
    <x v="4427"/>
    <x v="2"/>
    <x v="1"/>
    <x v="5"/>
    <x v="1"/>
    <n v="5"/>
    <n v="70000"/>
    <n v="0"/>
    <n v="70000"/>
    <n v="4.4309546491791654"/>
    <n v="10000"/>
    <n v="100"/>
    <x v="5624"/>
    <x v="0"/>
    <x v="3"/>
    <x v="1"/>
  </r>
  <r>
    <x v="507"/>
    <s v="ZPEP"/>
    <x v="11"/>
    <s v="HLBX77"/>
    <s v="16093509K"/>
    <s v="LAMPA"/>
    <x v="4428"/>
    <x v="1"/>
    <x v="1"/>
    <x v="17"/>
    <x v="1"/>
    <n v="5"/>
    <n v="70000"/>
    <n v="0"/>
    <n v="70000"/>
    <n v="7.5305741309717451"/>
    <n v="10000"/>
    <n v="93"/>
    <x v="5625"/>
    <x v="0"/>
    <x v="3"/>
    <x v="1"/>
  </r>
  <r>
    <x v="507"/>
    <s v="ZPEP"/>
    <x v="11"/>
    <s v="WC2233"/>
    <s v="125108660"/>
    <s v="LAMPA"/>
    <x v="4429"/>
    <x v="4"/>
    <x v="1"/>
    <x v="17"/>
    <x v="1"/>
    <n v="5"/>
    <n v="70000"/>
    <n v="0"/>
    <n v="70000"/>
    <n v="7.7365762113544196"/>
    <n v="10000"/>
    <n v="90"/>
    <x v="5626"/>
    <x v="0"/>
    <x v="3"/>
    <x v="1"/>
  </r>
  <r>
    <x v="507"/>
    <s v="ZPEP"/>
    <x v="2"/>
    <s v="DJLF85"/>
    <s v="53173292"/>
    <s v="SAN BERNARDO"/>
    <x v="4430"/>
    <x v="4"/>
    <x v="1"/>
    <x v="4"/>
    <x v="1"/>
    <n v="4"/>
    <n v="157678"/>
    <n v="0"/>
    <n v="157678"/>
    <n v="11.000033486067005"/>
    <n v="5000"/>
    <n v="100"/>
    <x v="5627"/>
    <x v="0"/>
    <x v="3"/>
    <x v="1"/>
  </r>
  <r>
    <x v="507"/>
    <s v="ZPEP"/>
    <x v="2"/>
    <s v="KKPF51"/>
    <s v="95707734"/>
    <s v="COQUIMBO"/>
    <x v="4431"/>
    <x v="8"/>
    <x v="0"/>
    <x v="42"/>
    <x v="8"/>
    <n v="0"/>
    <n v="700000"/>
    <n v="0"/>
    <n v="700000"/>
    <n v="54.077313562667491"/>
    <n v="20000"/>
    <n v="76"/>
    <x v="5628"/>
    <x v="0"/>
    <x v="3"/>
    <x v="0"/>
  </r>
  <r>
    <x v="507"/>
    <s v="ZTAN"/>
    <x v="51"/>
    <s v="PKYS74"/>
    <s v="6270439K"/>
    <s v="TALCAHUANO"/>
    <x v="4432"/>
    <x v="0"/>
    <x v="0"/>
    <x v="0"/>
    <x v="0"/>
    <n v="0"/>
    <n v="430000"/>
    <n v="0"/>
    <n v="430000"/>
    <n v="65.644846116267715"/>
    <n v="20000"/>
    <n v="55"/>
    <x v="5629"/>
    <x v="0"/>
    <x v="3"/>
    <x v="0"/>
  </r>
  <r>
    <x v="507"/>
    <s v="ZTAN"/>
    <x v="17"/>
    <s v="RH1133"/>
    <s v="65941082"/>
    <s v="LAMPA"/>
    <x v="4433"/>
    <x v="0"/>
    <x v="0"/>
    <x v="17"/>
    <x v="1"/>
    <n v="5"/>
    <n v="120000"/>
    <n v="0"/>
    <n v="120000"/>
    <n v="4.3432310743705935"/>
    <n v="10000"/>
    <n v="100"/>
    <x v="5630"/>
    <x v="0"/>
    <x v="3"/>
    <x v="1"/>
  </r>
  <r>
    <x v="507"/>
    <s v="ZTAN"/>
    <x v="4"/>
    <s v="BWPL69"/>
    <s v="78551976"/>
    <s v="SAN BERNARDO"/>
    <x v="4434"/>
    <x v="5"/>
    <x v="0"/>
    <x v="4"/>
    <x v="1"/>
    <n v="4"/>
    <n v="1"/>
    <n v="0"/>
    <n v="1"/>
    <n v="6.3679665809113827E-5"/>
    <n v="5000"/>
    <n v="100"/>
    <x v="5631"/>
    <x v="0"/>
    <x v="3"/>
    <x v="1"/>
  </r>
  <r>
    <x v="507"/>
    <s v="ZTAN"/>
    <x v="6"/>
    <s v="FTXK27"/>
    <s v="109507547"/>
    <s v="CALAMA"/>
    <x v="2078"/>
    <x v="0"/>
    <x v="0"/>
    <x v="37"/>
    <x v="7"/>
    <n v="0"/>
    <n v="1600000"/>
    <n v="0"/>
    <n v="1600000"/>
    <n v="199.92502811445715"/>
    <n v="20000"/>
    <n v="40"/>
    <x v="5632"/>
    <x v="0"/>
    <x v="3"/>
    <x v="0"/>
  </r>
  <r>
    <x v="507"/>
    <s v="ZTAN"/>
    <x v="84"/>
    <s v="CJXX49"/>
    <s v="167832741"/>
    <s v="TIL TIL"/>
    <x v="4435"/>
    <x v="5"/>
    <x v="0"/>
    <x v="70"/>
    <x v="1"/>
    <n v="5"/>
    <n v="120000"/>
    <n v="0"/>
    <n v="120000"/>
    <n v="5.4612478951440409"/>
    <n v="10000"/>
    <n v="100"/>
    <x v="5633"/>
    <x v="0"/>
    <x v="3"/>
    <x v="1"/>
  </r>
  <r>
    <x v="507"/>
    <s v="ZTAN"/>
    <x v="7"/>
    <s v="WC2233"/>
    <s v="125108660"/>
    <s v="RENCA"/>
    <x v="4436"/>
    <x v="4"/>
    <x v="1"/>
    <x v="7"/>
    <x v="1"/>
    <n v="1"/>
    <n v="68083"/>
    <n v="0"/>
    <n v="68083"/>
    <n v="10.999935373380296"/>
    <n v="5000"/>
    <n v="100"/>
    <x v="5634"/>
    <x v="0"/>
    <x v="3"/>
    <x v="1"/>
  </r>
  <r>
    <x v="507"/>
    <s v="ZTAN"/>
    <x v="7"/>
    <s v="WG4022"/>
    <s v="154837728"/>
    <s v="RENCA"/>
    <x v="3387"/>
    <x v="1"/>
    <x v="0"/>
    <x v="7"/>
    <x v="1"/>
    <n v="1"/>
    <n v="173342"/>
    <n v="0"/>
    <n v="173342"/>
    <n v="10.999974616712358"/>
    <n v="5000"/>
    <n v="100"/>
    <x v="5635"/>
    <x v="0"/>
    <x v="3"/>
    <x v="1"/>
  </r>
  <r>
    <x v="507"/>
    <s v="ZTAN"/>
    <x v="7"/>
    <s v="XR6339"/>
    <s v="78907355"/>
    <s v="RENCA"/>
    <x v="4437"/>
    <x v="1"/>
    <x v="1"/>
    <x v="7"/>
    <x v="1"/>
    <n v="1"/>
    <n v="82639"/>
    <n v="0"/>
    <n v="82639"/>
    <n v="11.00005324388361"/>
    <n v="5000"/>
    <n v="100"/>
    <x v="5636"/>
    <x v="0"/>
    <x v="3"/>
    <x v="1"/>
  </r>
  <r>
    <x v="507"/>
    <s v="ZTAN"/>
    <x v="8"/>
    <s v="HLBX77"/>
    <s v="16093509K"/>
    <s v="PUDAHUEL"/>
    <x v="4438"/>
    <x v="1"/>
    <x v="1"/>
    <x v="10"/>
    <x v="1"/>
    <n v="1"/>
    <n v="108398"/>
    <n v="0"/>
    <n v="108398"/>
    <n v="11.000048709601474"/>
    <n v="5000"/>
    <n v="100"/>
    <x v="5637"/>
    <x v="0"/>
    <x v="3"/>
    <x v="1"/>
  </r>
  <r>
    <x v="507"/>
    <s v="ZTAN"/>
    <x v="8"/>
    <s v="SV2718"/>
    <s v="99626232"/>
    <s v="ESTACION CENTRAL"/>
    <x v="4439"/>
    <x v="1"/>
    <x v="1"/>
    <x v="107"/>
    <x v="1"/>
    <n v="1"/>
    <n v="55000"/>
    <n v="0"/>
    <n v="55000"/>
    <n v="16.754807106475276"/>
    <n v="5000"/>
    <n v="66"/>
    <x v="5638"/>
    <x v="0"/>
    <x v="3"/>
    <x v="1"/>
  </r>
  <r>
    <x v="507"/>
    <s v="ZTAN"/>
    <x v="8"/>
    <s v="TP3884"/>
    <s v="107643206"/>
    <s v="REÑACA"/>
    <x v="4440"/>
    <x v="1"/>
    <x v="1"/>
    <x v="6"/>
    <x v="2"/>
    <n v="0"/>
    <n v="203000"/>
    <n v="0"/>
    <n v="203000"/>
    <n v="28.816725625024841"/>
    <n v="20000"/>
    <n v="35"/>
    <x v="5639"/>
    <x v="0"/>
    <x v="3"/>
    <x v="0"/>
  </r>
  <r>
    <x v="507"/>
    <s v="ZTAN"/>
    <x v="8"/>
    <s v="XR6339"/>
    <s v="78907355"/>
    <s v="SAN BERNARDO"/>
    <x v="4441"/>
    <x v="1"/>
    <x v="1"/>
    <x v="4"/>
    <x v="1"/>
    <n v="4"/>
    <n v="55000"/>
    <n v="0"/>
    <n v="55000"/>
    <n v="20.902215634857292"/>
    <n v="5000"/>
    <n v="53"/>
    <x v="5640"/>
    <x v="0"/>
    <x v="3"/>
    <x v="1"/>
  </r>
  <r>
    <x v="508"/>
    <s v="ZPEP"/>
    <x v="58"/>
    <s v="XR6339"/>
    <s v="78907355"/>
    <s v="COLINA"/>
    <x v="4442"/>
    <x v="1"/>
    <x v="1"/>
    <x v="5"/>
    <x v="1"/>
    <n v="5"/>
    <n v="70000"/>
    <n v="0"/>
    <n v="70000"/>
    <n v="7.8343592613318407"/>
    <n v="10000"/>
    <n v="89"/>
    <x v="5641"/>
    <x v="0"/>
    <x v="3"/>
    <x v="1"/>
  </r>
  <r>
    <x v="508"/>
    <s v="ZPEP"/>
    <x v="11"/>
    <s v="HLBX77"/>
    <s v="16093509K"/>
    <s v="LAMPA"/>
    <x v="4443"/>
    <x v="1"/>
    <x v="1"/>
    <x v="17"/>
    <x v="1"/>
    <n v="5"/>
    <n v="70000"/>
    <n v="0"/>
    <n v="70000"/>
    <n v="16.610467916881223"/>
    <n v="10000"/>
    <n v="42"/>
    <x v="5642"/>
    <x v="0"/>
    <x v="3"/>
    <x v="1"/>
  </r>
  <r>
    <x v="508"/>
    <s v="ZPEP"/>
    <x v="2"/>
    <s v="SU9354"/>
    <s v="72564391"/>
    <s v="SAN BERNARDO"/>
    <x v="4444"/>
    <x v="2"/>
    <x v="1"/>
    <x v="4"/>
    <x v="1"/>
    <n v="4"/>
    <n v="122294"/>
    <n v="0"/>
    <n v="122294"/>
    <n v="10.999966719645393"/>
    <n v="5000"/>
    <n v="100"/>
    <x v="5643"/>
    <x v="0"/>
    <x v="3"/>
    <x v="1"/>
  </r>
  <r>
    <x v="508"/>
    <s v="ZTAN"/>
    <x v="10"/>
    <s v="DJLF85"/>
    <s v="53173292"/>
    <s v="QUILICURA"/>
    <x v="4445"/>
    <x v="4"/>
    <x v="1"/>
    <x v="8"/>
    <x v="1"/>
    <n v="1"/>
    <n v="77304"/>
    <n v="0"/>
    <n v="77304"/>
    <n v="9.939312898580539"/>
    <n v="5000"/>
    <n v="100"/>
    <x v="5644"/>
    <x v="0"/>
    <x v="3"/>
    <x v="1"/>
  </r>
  <r>
    <x v="508"/>
    <s v="ZTAN"/>
    <x v="10"/>
    <s v="HLBX77"/>
    <s v="16093509K"/>
    <s v="QUILICURA"/>
    <x v="4446"/>
    <x v="1"/>
    <x v="1"/>
    <x v="8"/>
    <x v="1"/>
    <n v="1"/>
    <n v="106828"/>
    <n v="0"/>
    <n v="106828"/>
    <n v="11.000029861166169"/>
    <n v="5000"/>
    <n v="100"/>
    <x v="5645"/>
    <x v="0"/>
    <x v="3"/>
    <x v="1"/>
  </r>
  <r>
    <x v="508"/>
    <s v="ZTAN"/>
    <x v="10"/>
    <s v="RH1133"/>
    <s v="65941082"/>
    <s v="SANTIAGO"/>
    <x v="4447"/>
    <x v="0"/>
    <x v="0"/>
    <x v="20"/>
    <x v="1"/>
    <n v="1"/>
    <n v="90803"/>
    <n v="0"/>
    <n v="90803"/>
    <n v="11.00002422832776"/>
    <n v="5000"/>
    <n v="100"/>
    <x v="5646"/>
    <x v="0"/>
    <x v="3"/>
    <x v="1"/>
  </r>
  <r>
    <x v="508"/>
    <s v="ZTAN"/>
    <x v="10"/>
    <s v="SV2718"/>
    <s v="99626232"/>
    <s v="SAN BERNARDO"/>
    <x v="959"/>
    <x v="1"/>
    <x v="1"/>
    <x v="4"/>
    <x v="1"/>
    <n v="4"/>
    <n v="55000"/>
    <n v="0"/>
    <n v="55000"/>
    <n v="17.733926613787322"/>
    <n v="5000"/>
    <n v="62"/>
    <x v="5647"/>
    <x v="0"/>
    <x v="3"/>
    <x v="1"/>
  </r>
  <r>
    <x v="508"/>
    <s v="ZTAN"/>
    <x v="70"/>
    <s v="DKDL88"/>
    <s v="122975819"/>
    <s v="LINARES"/>
    <x v="4448"/>
    <x v="0"/>
    <x v="0"/>
    <x v="59"/>
    <x v="3"/>
    <n v="0"/>
    <n v="350000"/>
    <n v="0"/>
    <n v="350000"/>
    <n v="44.12806721587198"/>
    <n v="20000"/>
    <n v="55"/>
    <x v="5648"/>
    <x v="0"/>
    <x v="3"/>
    <x v="0"/>
  </r>
  <r>
    <x v="508"/>
    <s v="ZTAN"/>
    <x v="7"/>
    <s v="WC2233"/>
    <s v="125108660"/>
    <s v="RENCA"/>
    <x v="1219"/>
    <x v="4"/>
    <x v="1"/>
    <x v="7"/>
    <x v="1"/>
    <n v="1"/>
    <n v="55000"/>
    <n v="0"/>
    <n v="55000"/>
    <n v="20.014556040756915"/>
    <n v="5000"/>
    <n v="55"/>
    <x v="5649"/>
    <x v="0"/>
    <x v="3"/>
    <x v="1"/>
  </r>
  <r>
    <x v="508"/>
    <s v="ZTAN"/>
    <x v="7"/>
    <s v="WG4022"/>
    <s v="154837728"/>
    <s v="RENCA"/>
    <x v="4449"/>
    <x v="1"/>
    <x v="0"/>
    <x v="7"/>
    <x v="1"/>
    <n v="1"/>
    <n v="165088"/>
    <n v="0"/>
    <n v="165088"/>
    <n v="10.47645640309684"/>
    <n v="5000"/>
    <n v="100"/>
    <x v="5650"/>
    <x v="0"/>
    <x v="3"/>
    <x v="1"/>
  </r>
  <r>
    <x v="508"/>
    <s v="ZTAN"/>
    <x v="7"/>
    <s v="XR6339"/>
    <s v="78907355"/>
    <s v="RENCA"/>
    <x v="1067"/>
    <x v="1"/>
    <x v="1"/>
    <x v="7"/>
    <x v="1"/>
    <n v="1"/>
    <n v="93522"/>
    <n v="0"/>
    <n v="93522"/>
    <n v="11"/>
    <n v="5000"/>
    <n v="100"/>
    <x v="5651"/>
    <x v="0"/>
    <x v="3"/>
    <x v="1"/>
  </r>
  <r>
    <x v="508"/>
    <s v="ZTAN"/>
    <x v="8"/>
    <s v="SV2718"/>
    <s v="99626232"/>
    <s v="TALAGANTE"/>
    <x v="4450"/>
    <x v="1"/>
    <x v="1"/>
    <x v="50"/>
    <x v="1"/>
    <n v="4"/>
    <n v="55000"/>
    <n v="0"/>
    <n v="55000"/>
    <n v="19.322653175941539"/>
    <n v="5000"/>
    <n v="57"/>
    <x v="5652"/>
    <x v="0"/>
    <x v="3"/>
    <x v="1"/>
  </r>
  <r>
    <x v="508"/>
    <s v="ZTAN"/>
    <x v="8"/>
    <s v="TP3884"/>
    <s v="107643206"/>
    <s v="MAIPU"/>
    <x v="4451"/>
    <x v="1"/>
    <x v="1"/>
    <x v="2"/>
    <x v="1"/>
    <n v="2"/>
    <n v="55000"/>
    <n v="0"/>
    <n v="55000"/>
    <n v="21.985577461185464"/>
    <n v="5000"/>
    <n v="50"/>
    <x v="5653"/>
    <x v="0"/>
    <x v="3"/>
    <x v="1"/>
  </r>
  <r>
    <x v="509"/>
    <s v="ZPEP"/>
    <x v="58"/>
    <s v="WC2233"/>
    <s v="125108660"/>
    <s v="COLINA"/>
    <x v="4452"/>
    <x v="4"/>
    <x v="1"/>
    <x v="5"/>
    <x v="1"/>
    <n v="5"/>
    <n v="70000"/>
    <n v="0"/>
    <n v="70000"/>
    <n v="8.7687761419138734"/>
    <n v="10000"/>
    <n v="80"/>
    <x v="5654"/>
    <x v="0"/>
    <x v="3"/>
    <x v="1"/>
  </r>
  <r>
    <x v="509"/>
    <s v="ZTAN"/>
    <x v="7"/>
    <s v="TP3884"/>
    <s v="107643206"/>
    <s v="SAN MIGUEL"/>
    <x v="4453"/>
    <x v="1"/>
    <x v="1"/>
    <x v="23"/>
    <x v="1"/>
    <n v="2"/>
    <n v="118898"/>
    <n v="0"/>
    <n v="118898"/>
    <n v="11.000009251635227"/>
    <n v="5000"/>
    <n v="100"/>
    <x v="5655"/>
    <x v="0"/>
    <x v="3"/>
    <x v="1"/>
  </r>
  <r>
    <x v="509"/>
    <s v="ZTAN"/>
    <x v="7"/>
    <s v="XR6339"/>
    <s v="78907355"/>
    <s v="SAN MIGUEL"/>
    <x v="4454"/>
    <x v="1"/>
    <x v="1"/>
    <x v="23"/>
    <x v="1"/>
    <n v="2"/>
    <n v="101559"/>
    <n v="0"/>
    <n v="101559"/>
    <n v="11.000043324740593"/>
    <n v="5000"/>
    <n v="100"/>
    <x v="5656"/>
    <x v="0"/>
    <x v="3"/>
    <x v="1"/>
  </r>
  <r>
    <x v="509"/>
    <s v="ZTAN"/>
    <x v="100"/>
    <s v="HLBX77"/>
    <s v="16093509K"/>
    <s v="PAINE"/>
    <x v="4455"/>
    <x v="1"/>
    <x v="1"/>
    <x v="13"/>
    <x v="1"/>
    <n v="5"/>
    <n v="90000"/>
    <n v="0"/>
    <n v="90000"/>
    <n v="31.982942430703623"/>
    <n v="10000"/>
    <n v="28"/>
    <x v="5657"/>
    <x v="0"/>
    <x v="3"/>
    <x v="1"/>
  </r>
  <r>
    <x v="509"/>
    <s v="ZTAN"/>
    <x v="8"/>
    <s v="DRFV76"/>
    <s v="113693568"/>
    <s v="TALCA"/>
    <x v="4456"/>
    <x v="0"/>
    <x v="0"/>
    <x v="12"/>
    <x v="3"/>
    <n v="0"/>
    <n v="360000"/>
    <n v="0"/>
    <n v="360000"/>
    <n v="47.105374723255935"/>
    <n v="20000"/>
    <n v="38"/>
    <x v="5658"/>
    <x v="0"/>
    <x v="3"/>
    <x v="0"/>
  </r>
  <r>
    <x v="509"/>
    <s v="ZTAN"/>
    <x v="8"/>
    <s v="FATK12"/>
    <s v="126166568"/>
    <s v="LOS ANGELES"/>
    <x v="315"/>
    <x v="0"/>
    <x v="0"/>
    <x v="57"/>
    <x v="0"/>
    <n v="0"/>
    <n v="460000"/>
    <n v="0"/>
    <n v="460000"/>
    <n v="48.400673400673355"/>
    <n v="20000"/>
    <n v="48"/>
    <x v="5659"/>
    <x v="0"/>
    <x v="3"/>
    <x v="0"/>
  </r>
  <r>
    <x v="509"/>
    <s v="ZTAN"/>
    <x v="8"/>
    <s v="JGYY37"/>
    <s v="127251194"/>
    <s v="LOS ANGELES"/>
    <x v="419"/>
    <x v="0"/>
    <x v="0"/>
    <x v="57"/>
    <x v="0"/>
    <n v="0"/>
    <n v="460000"/>
    <n v="0"/>
    <n v="460000"/>
    <n v="55.798156234837435"/>
    <n v="20000"/>
    <n v="41"/>
    <x v="5660"/>
    <x v="0"/>
    <x v="3"/>
    <x v="0"/>
  </r>
  <r>
    <x v="510"/>
    <s v="ZPEP"/>
    <x v="33"/>
    <s v="DJLF85"/>
    <s v="53173292"/>
    <s v="PUENTE ALTO"/>
    <x v="4457"/>
    <x v="4"/>
    <x v="1"/>
    <x v="30"/>
    <x v="1"/>
    <n v="4"/>
    <n v="159685"/>
    <n v="0"/>
    <n v="159685"/>
    <n v="10.999998622287801"/>
    <n v="5000"/>
    <n v="100"/>
    <x v="5661"/>
    <x v="1"/>
    <x v="3"/>
    <x v="1"/>
  </r>
  <r>
    <x v="510"/>
    <s v="ZTAN"/>
    <x v="41"/>
    <s v="RH1133"/>
    <s v="65941082"/>
    <s v="EL MANZANO"/>
    <x v="4458"/>
    <x v="0"/>
    <x v="0"/>
    <x v="61"/>
    <x v="6"/>
    <n v="0"/>
    <n v="260000"/>
    <n v="0"/>
    <n v="260000"/>
    <n v="32.727785386288559"/>
    <n v="20000"/>
    <n v="40"/>
    <x v="5662"/>
    <x v="1"/>
    <x v="3"/>
    <x v="0"/>
  </r>
  <r>
    <x v="510"/>
    <s v="ZTAN"/>
    <x v="41"/>
    <s v="SU9354"/>
    <s v="72564391"/>
    <s v="SAN VICENTE"/>
    <x v="4459"/>
    <x v="2"/>
    <x v="1"/>
    <x v="90"/>
    <x v="6"/>
    <n v="0"/>
    <n v="203000"/>
    <n v="0"/>
    <n v="203000"/>
    <n v="41.860158202528922"/>
    <n v="20000"/>
    <n v="24"/>
    <x v="5663"/>
    <x v="1"/>
    <x v="3"/>
    <x v="0"/>
  </r>
  <r>
    <x v="510"/>
    <s v="ZTAN"/>
    <x v="7"/>
    <s v="HLBX77"/>
    <s v="16093509K"/>
    <s v="RENCA"/>
    <x v="4460"/>
    <x v="1"/>
    <x v="1"/>
    <x v="7"/>
    <x v="1"/>
    <n v="1"/>
    <n v="94395"/>
    <n v="0"/>
    <n v="94395"/>
    <n v="10.999953387559135"/>
    <n v="5000"/>
    <n v="100"/>
    <x v="5664"/>
    <x v="1"/>
    <x v="3"/>
    <x v="1"/>
  </r>
  <r>
    <x v="510"/>
    <s v="ZTAN"/>
    <x v="7"/>
    <s v="WC2233"/>
    <s v="125108660"/>
    <s v="RENCA"/>
    <x v="4461"/>
    <x v="4"/>
    <x v="1"/>
    <x v="7"/>
    <x v="1"/>
    <n v="1"/>
    <n v="94137"/>
    <n v="0"/>
    <n v="94137"/>
    <n v="9.8883922709678096"/>
    <n v="5000"/>
    <n v="100"/>
    <x v="5665"/>
    <x v="1"/>
    <x v="3"/>
    <x v="1"/>
  </r>
  <r>
    <x v="510"/>
    <s v="ZTAN"/>
    <x v="7"/>
    <s v="WG4022"/>
    <s v="154837728"/>
    <s v="RENCA"/>
    <x v="4462"/>
    <x v="1"/>
    <x v="0"/>
    <x v="7"/>
    <x v="1"/>
    <n v="1"/>
    <n v="86592"/>
    <n v="0"/>
    <n v="86592"/>
    <n v="10.999999999999996"/>
    <n v="5000"/>
    <n v="100"/>
    <x v="5666"/>
    <x v="1"/>
    <x v="3"/>
    <x v="1"/>
  </r>
  <r>
    <x v="510"/>
    <s v="ZTAN"/>
    <x v="7"/>
    <s v="XR6339"/>
    <s v="78907355"/>
    <s v="RANCAGUA"/>
    <x v="4463"/>
    <x v="1"/>
    <x v="1"/>
    <x v="28"/>
    <x v="6"/>
    <n v="0"/>
    <n v="180000"/>
    <n v="0"/>
    <n v="180000"/>
    <n v="17.286084701815039"/>
    <n v="20000"/>
    <n v="52"/>
    <x v="5667"/>
    <x v="1"/>
    <x v="3"/>
    <x v="0"/>
  </r>
  <r>
    <x v="510"/>
    <s v="ZTAN"/>
    <x v="8"/>
    <s v="DJLF85"/>
    <s v="53173292"/>
    <s v="LA REINA"/>
    <x v="4464"/>
    <x v="4"/>
    <x v="1"/>
    <x v="11"/>
    <x v="1"/>
    <n v="3"/>
    <n v="55000"/>
    <n v="0"/>
    <n v="55000"/>
    <n v="17.251113480961038"/>
    <n v="5000"/>
    <n v="64"/>
    <x v="5668"/>
    <x v="1"/>
    <x v="3"/>
    <x v="1"/>
  </r>
  <r>
    <x v="510"/>
    <s v="ZTAN"/>
    <x v="8"/>
    <s v="HLBX77"/>
    <s v="16093509K"/>
    <s v="PUDAHUEL"/>
    <x v="4465"/>
    <x v="1"/>
    <x v="1"/>
    <x v="10"/>
    <x v="1"/>
    <n v="1"/>
    <n v="112972"/>
    <n v="0"/>
    <n v="112972"/>
    <n v="10.999980526182547"/>
    <n v="5000"/>
    <n v="100"/>
    <x v="5669"/>
    <x v="1"/>
    <x v="3"/>
    <x v="1"/>
  </r>
  <r>
    <x v="510"/>
    <s v="ZTAN"/>
    <x v="8"/>
    <s v="SV2718"/>
    <s v="99626232"/>
    <s v="HUECHURABA"/>
    <x v="4466"/>
    <x v="1"/>
    <x v="1"/>
    <x v="24"/>
    <x v="1"/>
    <n v="1"/>
    <n v="55000"/>
    <n v="0"/>
    <n v="55000"/>
    <n v="21.992962252079334"/>
    <n v="5000"/>
    <n v="50"/>
    <x v="5670"/>
    <x v="1"/>
    <x v="3"/>
    <x v="1"/>
  </r>
  <r>
    <x v="510"/>
    <s v="ZTAN"/>
    <x v="8"/>
    <s v="TP3884"/>
    <s v="107643206"/>
    <s v="PUENTE ALTO"/>
    <x v="4467"/>
    <x v="1"/>
    <x v="1"/>
    <x v="30"/>
    <x v="1"/>
    <n v="4"/>
    <n v="55000"/>
    <n v="0"/>
    <n v="55000"/>
    <n v="14.670539689144601"/>
    <n v="5000"/>
    <n v="75"/>
    <x v="5671"/>
    <x v="1"/>
    <x v="3"/>
    <x v="1"/>
  </r>
  <r>
    <x v="510"/>
    <s v="ZTAN"/>
    <x v="8"/>
    <s v="XR6339"/>
    <s v="78907355"/>
    <s v="LAS CONDES"/>
    <x v="4468"/>
    <x v="1"/>
    <x v="1"/>
    <x v="3"/>
    <x v="1"/>
    <n v="4"/>
    <n v="55000"/>
    <n v="0"/>
    <n v="55000"/>
    <n v="20.911434372314783"/>
    <n v="5000"/>
    <n v="53"/>
    <x v="5672"/>
    <x v="1"/>
    <x v="3"/>
    <x v="1"/>
  </r>
  <r>
    <x v="511"/>
    <s v="ZPEP"/>
    <x v="2"/>
    <s v="SU9354"/>
    <s v="72564391"/>
    <s v="SAN BERNARDO"/>
    <x v="4469"/>
    <x v="2"/>
    <x v="1"/>
    <x v="4"/>
    <x v="1"/>
    <n v="4"/>
    <n v="128231"/>
    <n v="0"/>
    <n v="128231"/>
    <n v="11.000003431308633"/>
    <n v="5000"/>
    <n v="100"/>
    <x v="5673"/>
    <x v="1"/>
    <x v="3"/>
    <x v="1"/>
  </r>
  <r>
    <x v="511"/>
    <s v="ZTAN"/>
    <x v="4"/>
    <s v="DJLF85"/>
    <s v="53173292"/>
    <s v="SAN BERNARDO"/>
    <x v="4470"/>
    <x v="4"/>
    <x v="1"/>
    <x v="4"/>
    <x v="1"/>
    <n v="4"/>
    <n v="55000"/>
    <n v="0"/>
    <n v="55000"/>
    <n v="8.5873095178616037"/>
    <n v="5000"/>
    <n v="77"/>
    <x v="5674"/>
    <x v="1"/>
    <x v="3"/>
    <x v="1"/>
  </r>
  <r>
    <x v="511"/>
    <s v="ZTAN"/>
    <x v="10"/>
    <s v="TP3884"/>
    <s v="107643206"/>
    <s v="MELIPILLA"/>
    <x v="248"/>
    <x v="1"/>
    <x v="1"/>
    <x v="29"/>
    <x v="1"/>
    <n v="5"/>
    <n v="90000"/>
    <n v="0"/>
    <n v="90000"/>
    <n v="29.984008528784649"/>
    <n v="10000"/>
    <n v="30"/>
    <x v="5675"/>
    <x v="1"/>
    <x v="3"/>
    <x v="1"/>
  </r>
  <r>
    <x v="511"/>
    <s v="ZTAN"/>
    <x v="10"/>
    <s v="XR6339"/>
    <s v="78907355"/>
    <s v="LAMPA"/>
    <x v="248"/>
    <x v="1"/>
    <x v="1"/>
    <x v="17"/>
    <x v="1"/>
    <n v="5"/>
    <n v="70000"/>
    <n v="0"/>
    <n v="70000"/>
    <n v="23.32089552238806"/>
    <n v="10000"/>
    <n v="30"/>
    <x v="5676"/>
    <x v="1"/>
    <x v="3"/>
    <x v="1"/>
  </r>
  <r>
    <x v="511"/>
    <s v="ZTAN"/>
    <x v="105"/>
    <s v="RH1133"/>
    <s v="65941082"/>
    <s v="VALPARAISO"/>
    <x v="4471"/>
    <x v="0"/>
    <x v="0"/>
    <x v="36"/>
    <x v="2"/>
    <n v="0"/>
    <n v="275000"/>
    <n v="0"/>
    <n v="275000"/>
    <n v="13.401872948295086"/>
    <n v="20000"/>
    <n v="100"/>
    <x v="5677"/>
    <x v="1"/>
    <x v="3"/>
    <x v="0"/>
  </r>
  <r>
    <x v="511"/>
    <s v="ZTAN"/>
    <x v="7"/>
    <s v="HLBX77"/>
    <s v="16093509K"/>
    <s v="RENCA"/>
    <x v="4472"/>
    <x v="1"/>
    <x v="1"/>
    <x v="7"/>
    <x v="1"/>
    <n v="1"/>
    <n v="86921"/>
    <n v="0"/>
    <n v="86921"/>
    <n v="11.000040496691931"/>
    <n v="5000"/>
    <n v="100"/>
    <x v="5678"/>
    <x v="1"/>
    <x v="3"/>
    <x v="1"/>
  </r>
  <r>
    <x v="511"/>
    <s v="ZTAN"/>
    <x v="7"/>
    <s v="WC2233"/>
    <s v="125108660"/>
    <s v="RENCA"/>
    <x v="4473"/>
    <x v="4"/>
    <x v="1"/>
    <x v="7"/>
    <x v="1"/>
    <n v="1"/>
    <n v="74635"/>
    <n v="0"/>
    <n v="74635"/>
    <n v="11"/>
    <n v="5000"/>
    <n v="100"/>
    <x v="5679"/>
    <x v="1"/>
    <x v="3"/>
    <x v="1"/>
  </r>
  <r>
    <x v="511"/>
    <s v="ZTAN"/>
    <x v="7"/>
    <s v="WG4022"/>
    <s v="154837728"/>
    <s v="RENCA"/>
    <x v="4474"/>
    <x v="1"/>
    <x v="0"/>
    <x v="7"/>
    <x v="1"/>
    <n v="1"/>
    <n v="135588"/>
    <n v="0"/>
    <n v="135588"/>
    <n v="10.999983774399247"/>
    <n v="5000"/>
    <n v="100"/>
    <x v="5680"/>
    <x v="1"/>
    <x v="3"/>
    <x v="1"/>
  </r>
  <r>
    <x v="511"/>
    <s v="ZTAN"/>
    <x v="8"/>
    <s v="SV2718"/>
    <s v="99626232"/>
    <s v="LA FLORIDA"/>
    <x v="4475"/>
    <x v="1"/>
    <x v="1"/>
    <x v="33"/>
    <x v="1"/>
    <n v="3"/>
    <n v="55000"/>
    <n v="0"/>
    <n v="55000"/>
    <n v="21.083298194503001"/>
    <n v="5000"/>
    <n v="52"/>
    <x v="5681"/>
    <x v="1"/>
    <x v="3"/>
    <x v="1"/>
  </r>
  <r>
    <x v="511"/>
    <s v="ZTAN"/>
    <x v="8"/>
    <s v="TP3884"/>
    <s v="107643206"/>
    <s v="SAN BERNARDO"/>
    <x v="4476"/>
    <x v="1"/>
    <x v="1"/>
    <x v="4"/>
    <x v="1"/>
    <n v="4"/>
    <n v="55000"/>
    <n v="0"/>
    <n v="55000"/>
    <n v="21.892115654056806"/>
    <n v="5000"/>
    <n v="50"/>
    <x v="5682"/>
    <x v="1"/>
    <x v="3"/>
    <x v="1"/>
  </r>
  <r>
    <x v="511"/>
    <s v="ZTAN"/>
    <x v="8"/>
    <s v="XR6339"/>
    <s v="78907355"/>
    <s v="SAN MIGUEL"/>
    <x v="1147"/>
    <x v="1"/>
    <x v="1"/>
    <x v="23"/>
    <x v="1"/>
    <n v="2"/>
    <n v="61074"/>
    <n v="0"/>
    <n v="61074"/>
    <n v="10.999963978242858"/>
    <n v="5000"/>
    <n v="100"/>
    <x v="5683"/>
    <x v="1"/>
    <x v="3"/>
    <x v="1"/>
  </r>
  <r>
    <x v="512"/>
    <s v="ZPEP"/>
    <x v="53"/>
    <s v="WC2233"/>
    <s v="125108660"/>
    <s v="LAS CONDES"/>
    <x v="4477"/>
    <x v="4"/>
    <x v="1"/>
    <x v="3"/>
    <x v="1"/>
    <n v="4"/>
    <n v="55000"/>
    <n v="0"/>
    <n v="55000"/>
    <n v="11.079774375503627"/>
    <n v="5000"/>
    <n v="99"/>
    <x v="5684"/>
    <x v="1"/>
    <x v="3"/>
    <x v="1"/>
  </r>
  <r>
    <x v="512"/>
    <s v="ZTAN"/>
    <x v="51"/>
    <s v="SU9354"/>
    <s v="72564391"/>
    <s v="CURICO"/>
    <x v="4478"/>
    <x v="2"/>
    <x v="1"/>
    <x v="73"/>
    <x v="3"/>
    <n v="0"/>
    <n v="300000"/>
    <n v="0"/>
    <n v="300000"/>
    <n v="47.498867943647348"/>
    <n v="20000"/>
    <n v="55"/>
    <x v="5685"/>
    <x v="1"/>
    <x v="3"/>
    <x v="0"/>
  </r>
  <r>
    <x v="512"/>
    <s v="ZTAN"/>
    <x v="41"/>
    <s v="KKPF51"/>
    <s v="95707734"/>
    <s v="LAS CABRAS"/>
    <x v="4479"/>
    <x v="8"/>
    <x v="0"/>
    <x v="61"/>
    <x v="6"/>
    <n v="0"/>
    <n v="260000"/>
    <n v="0"/>
    <n v="260000"/>
    <n v="40.563774053537941"/>
    <n v="20000"/>
    <n v="55"/>
    <x v="5686"/>
    <x v="1"/>
    <x v="3"/>
    <x v="0"/>
  </r>
  <r>
    <x v="512"/>
    <s v="ZTAN"/>
    <x v="7"/>
    <s v="DJLF85"/>
    <s v="53173292"/>
    <s v="RENCA"/>
    <x v="4480"/>
    <x v="4"/>
    <x v="1"/>
    <x v="7"/>
    <x v="1"/>
    <n v="1"/>
    <n v="97176"/>
    <n v="0"/>
    <n v="97176"/>
    <n v="11.000052070716562"/>
    <n v="5000"/>
    <n v="100"/>
    <x v="5687"/>
    <x v="1"/>
    <x v="3"/>
    <x v="1"/>
  </r>
  <r>
    <x v="512"/>
    <s v="ZTAN"/>
    <x v="7"/>
    <s v="HLBX77"/>
    <s v="16093509K"/>
    <s v="MELIPILLA"/>
    <x v="1000"/>
    <x v="1"/>
    <x v="1"/>
    <x v="29"/>
    <x v="1"/>
    <n v="5"/>
    <n v="90000"/>
    <n v="0"/>
    <n v="90000"/>
    <n v="13.326226012793178"/>
    <n v="10000"/>
    <n v="68"/>
    <x v="5688"/>
    <x v="1"/>
    <x v="3"/>
    <x v="1"/>
  </r>
  <r>
    <x v="512"/>
    <s v="ZTAN"/>
    <x v="7"/>
    <s v="WC2233"/>
    <s v="125108660"/>
    <s v="RENCA"/>
    <x v="4481"/>
    <x v="4"/>
    <x v="1"/>
    <x v="7"/>
    <x v="1"/>
    <n v="1"/>
    <n v="86830"/>
    <n v="0"/>
    <n v="86830"/>
    <n v="11.000050673963715"/>
    <n v="5000"/>
    <n v="100"/>
    <x v="5689"/>
    <x v="1"/>
    <x v="3"/>
    <x v="1"/>
  </r>
  <r>
    <x v="512"/>
    <s v="ZTAN"/>
    <x v="7"/>
    <s v="WG4022"/>
    <s v="154837728"/>
    <s v="RENCA"/>
    <x v="3662"/>
    <x v="1"/>
    <x v="0"/>
    <x v="7"/>
    <x v="1"/>
    <n v="1"/>
    <n v="84394"/>
    <n v="0"/>
    <n v="84394"/>
    <n v="10.999973931857873"/>
    <n v="5000"/>
    <n v="100"/>
    <x v="5690"/>
    <x v="1"/>
    <x v="3"/>
    <x v="1"/>
  </r>
  <r>
    <x v="512"/>
    <s v="ZTAN"/>
    <x v="7"/>
    <s v="XR6339"/>
    <s v="78907355"/>
    <s v="MELIPILLA"/>
    <x v="4482"/>
    <x v="1"/>
    <x v="1"/>
    <x v="29"/>
    <x v="1"/>
    <n v="5"/>
    <n v="90000"/>
    <n v="0"/>
    <n v="90000"/>
    <n v="21.751740139211137"/>
    <n v="10000"/>
    <n v="41"/>
    <x v="5691"/>
    <x v="1"/>
    <x v="3"/>
    <x v="1"/>
  </r>
  <r>
    <x v="512"/>
    <s v="ZTAN"/>
    <x v="68"/>
    <s v="XR6339"/>
    <s v="78907355"/>
    <s v="SAN BERNARDO"/>
    <x v="4483"/>
    <x v="1"/>
    <x v="1"/>
    <x v="4"/>
    <x v="1"/>
    <n v="4"/>
    <n v="67778"/>
    <n v="0"/>
    <n v="67778"/>
    <n v="11.000064918203066"/>
    <n v="5000"/>
    <n v="100"/>
    <x v="5692"/>
    <x v="1"/>
    <x v="3"/>
    <x v="1"/>
  </r>
  <r>
    <x v="512"/>
    <s v="ZTAN"/>
    <x v="8"/>
    <s v="DRFV76"/>
    <s v="113693568"/>
    <s v="TALCAHUANO"/>
    <x v="4484"/>
    <x v="0"/>
    <x v="0"/>
    <x v="0"/>
    <x v="0"/>
    <n v="0"/>
    <n v="430000"/>
    <n v="0"/>
    <n v="430000"/>
    <n v="61.680049803054168"/>
    <n v="20000"/>
    <n v="35"/>
    <x v="5693"/>
    <x v="1"/>
    <x v="3"/>
    <x v="0"/>
  </r>
  <r>
    <x v="512"/>
    <s v="ZTAN"/>
    <x v="8"/>
    <s v="HLBX77"/>
    <s v="16093509K"/>
    <s v="PUDAHUEL"/>
    <x v="4485"/>
    <x v="1"/>
    <x v="1"/>
    <x v="10"/>
    <x v="1"/>
    <n v="1"/>
    <n v="55000"/>
    <n v="0"/>
    <n v="55000"/>
    <n v="13.844384088523507"/>
    <n v="5000"/>
    <n v="79"/>
    <x v="5694"/>
    <x v="1"/>
    <x v="3"/>
    <x v="1"/>
  </r>
  <r>
    <x v="512"/>
    <s v="ZTAN"/>
    <x v="8"/>
    <s v="RGBE51"/>
    <s v="79602280"/>
    <s v="CORONEL"/>
    <x v="4486"/>
    <x v="0"/>
    <x v="0"/>
    <x v="16"/>
    <x v="0"/>
    <n v="0"/>
    <n v="480000"/>
    <n v="0"/>
    <n v="480000"/>
    <n v="46.435001156038048"/>
    <n v="20000"/>
    <n v="52"/>
    <x v="5695"/>
    <x v="1"/>
    <x v="3"/>
    <x v="0"/>
  </r>
  <r>
    <x v="513"/>
    <s v="ZPEP"/>
    <x v="11"/>
    <s v="WG4022"/>
    <s v="154837728"/>
    <s v="LAMPA"/>
    <x v="4487"/>
    <x v="1"/>
    <x v="0"/>
    <x v="17"/>
    <x v="1"/>
    <n v="5"/>
    <n v="120000"/>
    <n v="0"/>
    <n v="120000"/>
    <n v="7.1196884898962729"/>
    <n v="10000"/>
    <n v="100"/>
    <x v="5696"/>
    <x v="1"/>
    <x v="3"/>
    <x v="1"/>
  </r>
  <r>
    <x v="513"/>
    <s v="ZTAN"/>
    <x v="4"/>
    <s v="XR6339"/>
    <s v="78907355"/>
    <s v="PADRE HURTADO"/>
    <x v="360"/>
    <x v="1"/>
    <x v="1"/>
    <x v="26"/>
    <x v="1"/>
    <n v="5"/>
    <n v="70000"/>
    <n v="0"/>
    <n v="70000"/>
    <n v="18.845573982339005"/>
    <n v="10000"/>
    <n v="37"/>
    <x v="5697"/>
    <x v="1"/>
    <x v="3"/>
    <x v="1"/>
  </r>
  <r>
    <x v="513"/>
    <s v="ZTAN"/>
    <x v="10"/>
    <s v="RH1133"/>
    <s v="65941082"/>
    <s v="QUILICURA"/>
    <x v="4488"/>
    <x v="0"/>
    <x v="0"/>
    <x v="8"/>
    <x v="1"/>
    <n v="1"/>
    <n v="101580"/>
    <n v="0"/>
    <n v="101580"/>
    <n v="8.8104198523270245"/>
    <n v="5000"/>
    <n v="100"/>
    <x v="5698"/>
    <x v="1"/>
    <x v="3"/>
    <x v="1"/>
  </r>
  <r>
    <x v="513"/>
    <s v="ZTAN"/>
    <x v="7"/>
    <s v="HLBX77"/>
    <s v="16093509K"/>
    <s v="SAN MIGUEL"/>
    <x v="4489"/>
    <x v="1"/>
    <x v="1"/>
    <x v="23"/>
    <x v="1"/>
    <n v="2"/>
    <n v="84269"/>
    <n v="0"/>
    <n v="84269"/>
    <n v="10.999954313163681"/>
    <n v="5000"/>
    <n v="100"/>
    <x v="5699"/>
    <x v="1"/>
    <x v="3"/>
    <x v="1"/>
  </r>
  <r>
    <x v="513"/>
    <s v="ZTAN"/>
    <x v="7"/>
    <s v="WC2233"/>
    <s v="125108660"/>
    <s v="MELIPILLA"/>
    <x v="4490"/>
    <x v="4"/>
    <x v="1"/>
    <x v="29"/>
    <x v="1"/>
    <n v="5"/>
    <n v="90000"/>
    <n v="0"/>
    <n v="90000"/>
    <n v="20.225628118117669"/>
    <n v="10000"/>
    <n v="55"/>
    <x v="5700"/>
    <x v="1"/>
    <x v="3"/>
    <x v="1"/>
  </r>
  <r>
    <x v="513"/>
    <s v="ZTAN"/>
    <x v="7"/>
    <s v="WC2233"/>
    <s v="125108660"/>
    <s v="SAN MIGUEL"/>
    <x v="385"/>
    <x v="4"/>
    <x v="1"/>
    <x v="23"/>
    <x v="1"/>
    <n v="2"/>
    <n v="82544"/>
    <n v="0"/>
    <n v="82544"/>
    <n v="11.000000000000004"/>
    <n v="5000"/>
    <n v="100"/>
    <x v="5701"/>
    <x v="1"/>
    <x v="3"/>
    <x v="1"/>
  </r>
  <r>
    <x v="513"/>
    <s v="ZTAN"/>
    <x v="8"/>
    <s v="DJLF85"/>
    <s v="53173292"/>
    <s v="SAN MIGUEL"/>
    <x v="4491"/>
    <x v="4"/>
    <x v="1"/>
    <x v="23"/>
    <x v="1"/>
    <n v="2"/>
    <n v="55000"/>
    <n v="0"/>
    <n v="55000"/>
    <n v="18.844651545261421"/>
    <n v="5000"/>
    <n v="58"/>
    <x v="5702"/>
    <x v="1"/>
    <x v="3"/>
    <x v="1"/>
  </r>
  <r>
    <x v="513"/>
    <s v="ZTAN"/>
    <x v="8"/>
    <s v="HLBX77"/>
    <s v="16093509K"/>
    <s v="ÑUÑOA"/>
    <x v="4492"/>
    <x v="1"/>
    <x v="1"/>
    <x v="15"/>
    <x v="1"/>
    <n v="4"/>
    <n v="55000"/>
    <n v="0"/>
    <n v="55000"/>
    <n v="20.909208415386136"/>
    <n v="5000"/>
    <n v="53"/>
    <x v="5703"/>
    <x v="1"/>
    <x v="3"/>
    <x v="1"/>
  </r>
  <r>
    <x v="513"/>
    <s v="ZTAN"/>
    <x v="8"/>
    <s v="SV2718"/>
    <s v="99626232"/>
    <s v="LA FLORIDA"/>
    <x v="4493"/>
    <x v="1"/>
    <x v="1"/>
    <x v="33"/>
    <x v="1"/>
    <n v="3"/>
    <n v="55000"/>
    <n v="0"/>
    <n v="55000"/>
    <n v="17.754420850791846"/>
    <n v="5000"/>
    <n v="62"/>
    <x v="5704"/>
    <x v="1"/>
    <x v="3"/>
    <x v="1"/>
  </r>
  <r>
    <x v="513"/>
    <s v="ZTAN"/>
    <x v="8"/>
    <s v="TP3884"/>
    <s v="107643206"/>
    <s v="CERRILLOS"/>
    <x v="4494"/>
    <x v="1"/>
    <x v="1"/>
    <x v="9"/>
    <x v="1"/>
    <n v="2"/>
    <n v="55000"/>
    <n v="0"/>
    <n v="55000"/>
    <n v="18.871808948668679"/>
    <n v="5000"/>
    <n v="58"/>
    <x v="5705"/>
    <x v="1"/>
    <x v="3"/>
    <x v="1"/>
  </r>
  <r>
    <x v="513"/>
    <s v="ZTAN"/>
    <x v="8"/>
    <s v="XR6339"/>
    <s v="78907355"/>
    <s v="LA REINA"/>
    <x v="4495"/>
    <x v="1"/>
    <x v="1"/>
    <x v="11"/>
    <x v="1"/>
    <n v="3"/>
    <n v="55000"/>
    <n v="0"/>
    <n v="55000"/>
    <n v="20.474868030168778"/>
    <n v="5000"/>
    <n v="54"/>
    <x v="5706"/>
    <x v="1"/>
    <x v="3"/>
    <x v="1"/>
  </r>
  <r>
    <x v="514"/>
    <s v="ZPEP"/>
    <x v="58"/>
    <s v="SU9354"/>
    <s v="72564391"/>
    <s v="COLINA"/>
    <x v="4496"/>
    <x v="2"/>
    <x v="1"/>
    <x v="5"/>
    <x v="1"/>
    <n v="5"/>
    <n v="70000"/>
    <n v="0"/>
    <n v="70000"/>
    <n v="9.1258242574838278"/>
    <n v="10000"/>
    <n v="77"/>
    <x v="5707"/>
    <x v="1"/>
    <x v="3"/>
    <x v="1"/>
  </r>
  <r>
    <x v="514"/>
    <s v="ZTAN"/>
    <x v="4"/>
    <s v="WC2233"/>
    <s v="125108660"/>
    <s v="LA PINTANA"/>
    <x v="4497"/>
    <x v="4"/>
    <x v="1"/>
    <x v="31"/>
    <x v="1"/>
    <n v="4"/>
    <n v="55000"/>
    <n v="0"/>
    <n v="55000"/>
    <n v="12.10387323943662"/>
    <n v="5000"/>
    <n v="65"/>
    <x v="5708"/>
    <x v="1"/>
    <x v="3"/>
    <x v="1"/>
  </r>
  <r>
    <x v="514"/>
    <s v="ZTAN"/>
    <x v="10"/>
    <s v="KKPF51"/>
    <s v="95707734"/>
    <s v="QUILICURA"/>
    <x v="4498"/>
    <x v="8"/>
    <x v="0"/>
    <x v="8"/>
    <x v="1"/>
    <n v="1"/>
    <n v="97630"/>
    <n v="0"/>
    <n v="97630"/>
    <n v="10.999956058764083"/>
    <n v="5000"/>
    <n v="100"/>
    <x v="5709"/>
    <x v="1"/>
    <x v="3"/>
    <x v="1"/>
  </r>
  <r>
    <x v="514"/>
    <s v="ZTAN"/>
    <x v="6"/>
    <s v="SU9354"/>
    <s v="72564391"/>
    <s v="LA FLORIDA"/>
    <x v="4499"/>
    <x v="2"/>
    <x v="1"/>
    <x v="33"/>
    <x v="1"/>
    <n v="3"/>
    <n v="55000"/>
    <n v="0"/>
    <n v="55000"/>
    <n v="11.69516033001616"/>
    <n v="5000"/>
    <n v="95"/>
    <x v="5710"/>
    <x v="1"/>
    <x v="3"/>
    <x v="1"/>
  </r>
  <r>
    <x v="514"/>
    <s v="ZTAN"/>
    <x v="6"/>
    <s v="SV2718"/>
    <s v="99626232"/>
    <s v="LA DEHESA"/>
    <x v="4500"/>
    <x v="1"/>
    <x v="1"/>
    <x v="41"/>
    <x v="1"/>
    <n v="4"/>
    <n v="55000"/>
    <n v="0"/>
    <n v="55000"/>
    <n v="21.360882398632903"/>
    <n v="5000"/>
    <n v="51"/>
    <x v="5711"/>
    <x v="1"/>
    <x v="3"/>
    <x v="1"/>
  </r>
  <r>
    <x v="514"/>
    <s v="ZTAN"/>
    <x v="7"/>
    <s v="DJLF85"/>
    <s v="53173292"/>
    <s v="RENCA"/>
    <x v="4501"/>
    <x v="4"/>
    <x v="1"/>
    <x v="7"/>
    <x v="1"/>
    <n v="1"/>
    <n v="68220"/>
    <n v="0"/>
    <n v="68220"/>
    <n v="6.8743827969124736"/>
    <n v="5000"/>
    <n v="100"/>
    <x v="5712"/>
    <x v="1"/>
    <x v="3"/>
    <x v="1"/>
  </r>
  <r>
    <x v="514"/>
    <s v="ZTAN"/>
    <x v="7"/>
    <s v="HLBX77"/>
    <s v="16093509K"/>
    <s v="RENCA"/>
    <x v="4502"/>
    <x v="1"/>
    <x v="1"/>
    <x v="7"/>
    <x v="1"/>
    <n v="1"/>
    <n v="67355"/>
    <n v="0"/>
    <n v="67355"/>
    <n v="11.000075124854241"/>
    <n v="5000"/>
    <n v="100"/>
    <x v="5713"/>
    <x v="1"/>
    <x v="3"/>
    <x v="1"/>
  </r>
  <r>
    <x v="514"/>
    <s v="ZTAN"/>
    <x v="7"/>
    <s v="WG4022"/>
    <s v="154837728"/>
    <s v="RENCA"/>
    <x v="4503"/>
    <x v="1"/>
    <x v="0"/>
    <x v="7"/>
    <x v="1"/>
    <n v="1"/>
    <n v="114025"/>
    <n v="0"/>
    <n v="114025"/>
    <n v="10.999988423603501"/>
    <n v="5000"/>
    <n v="100"/>
    <x v="5714"/>
    <x v="1"/>
    <x v="3"/>
    <x v="1"/>
  </r>
  <r>
    <x v="514"/>
    <s v="ZTAN"/>
    <x v="7"/>
    <s v="XR6339"/>
    <s v="78907355"/>
    <s v="SAN MIGUEL"/>
    <x v="4504"/>
    <x v="1"/>
    <x v="1"/>
    <x v="23"/>
    <x v="1"/>
    <n v="2"/>
    <n v="77210"/>
    <n v="0"/>
    <n v="77210"/>
    <n v="11.000048439534638"/>
    <n v="5000"/>
    <n v="100"/>
    <x v="5715"/>
    <x v="1"/>
    <x v="3"/>
    <x v="1"/>
  </r>
  <r>
    <x v="514"/>
    <s v="ZTAN"/>
    <x v="8"/>
    <s v="TP3884"/>
    <s v="107643206"/>
    <s v="PUDAHUEL"/>
    <x v="4505"/>
    <x v="1"/>
    <x v="1"/>
    <x v="10"/>
    <x v="1"/>
    <n v="1"/>
    <n v="71960"/>
    <n v="0"/>
    <n v="71960"/>
    <n v="10.999946498314696"/>
    <n v="5000"/>
    <n v="100"/>
    <x v="5716"/>
    <x v="1"/>
    <x v="3"/>
    <x v="1"/>
  </r>
  <r>
    <x v="514"/>
    <s v="ZTAN"/>
    <x v="8"/>
    <s v="XR6339"/>
    <s v="78907355"/>
    <s v="SAN BERNARDO"/>
    <x v="4506"/>
    <x v="1"/>
    <x v="1"/>
    <x v="4"/>
    <x v="1"/>
    <n v="4"/>
    <n v="55000"/>
    <n v="0"/>
    <n v="55000"/>
    <n v="17.034508817681203"/>
    <n v="5000"/>
    <n v="65"/>
    <x v="5717"/>
    <x v="1"/>
    <x v="3"/>
    <x v="1"/>
  </r>
  <r>
    <x v="515"/>
    <s v="ZPEP"/>
    <x v="58"/>
    <s v="HLBX77"/>
    <s v="160935096K"/>
    <s v="COLINA"/>
    <x v="4507"/>
    <x v="1"/>
    <x v="1"/>
    <x v="5"/>
    <x v="1"/>
    <n v="5"/>
    <n v="70000"/>
    <n v="0"/>
    <n v="70000"/>
    <n v="9.6096953589289882"/>
    <n v="10000"/>
    <n v="73"/>
    <x v="5718"/>
    <x v="1"/>
    <x v="3"/>
    <x v="1"/>
  </r>
  <r>
    <x v="515"/>
    <s v="ZTAN"/>
    <x v="111"/>
    <s v="DJLF85"/>
    <s v="53173262"/>
    <s v="SAN BERNARDO"/>
    <x v="4508"/>
    <x v="4"/>
    <x v="1"/>
    <x v="4"/>
    <x v="1"/>
    <n v="4"/>
    <n v="125295"/>
    <n v="0"/>
    <n v="125295"/>
    <n v="10.999994732433985"/>
    <n v="5000"/>
    <n v="100"/>
    <x v="5719"/>
    <x v="1"/>
    <x v="3"/>
    <x v="1"/>
  </r>
  <r>
    <x v="515"/>
    <s v="ZTAN"/>
    <x v="7"/>
    <s v="WC2233"/>
    <s v="125108660"/>
    <s v="RENCA"/>
    <x v="4509"/>
    <x v="4"/>
    <x v="1"/>
    <x v="7"/>
    <x v="1"/>
    <n v="1"/>
    <n v="80209"/>
    <n v="0"/>
    <n v="80209"/>
    <n v="10.999950629203372"/>
    <n v="5000"/>
    <n v="100"/>
    <x v="5720"/>
    <x v="1"/>
    <x v="3"/>
    <x v="1"/>
  </r>
  <r>
    <x v="515"/>
    <s v="ZTAN"/>
    <x v="7"/>
    <s v="WG4022"/>
    <s v="154837728"/>
    <s v="RENCA"/>
    <x v="4510"/>
    <x v="1"/>
    <x v="0"/>
    <x v="7"/>
    <x v="1"/>
    <n v="1"/>
    <n v="149264"/>
    <n v="0"/>
    <n v="149264"/>
    <n v="10.999963152658543"/>
    <n v="5000"/>
    <n v="100"/>
    <x v="5721"/>
    <x v="1"/>
    <x v="3"/>
    <x v="1"/>
  </r>
  <r>
    <x v="515"/>
    <s v="ZTAN"/>
    <x v="7"/>
    <s v="XR6339"/>
    <s v="78907355"/>
    <s v="RENCA"/>
    <x v="3530"/>
    <x v="1"/>
    <x v="1"/>
    <x v="7"/>
    <x v="1"/>
    <n v="1"/>
    <n v="65978"/>
    <n v="0"/>
    <n v="65978"/>
    <n v="11"/>
    <n v="5000"/>
    <n v="100"/>
    <x v="5722"/>
    <x v="1"/>
    <x v="3"/>
    <x v="1"/>
  </r>
  <r>
    <x v="515"/>
    <s v="ZTAN"/>
    <x v="8"/>
    <s v="BDHB75"/>
    <s v="98494073"/>
    <s v="VILLARRICA"/>
    <x v="4511"/>
    <x v="0"/>
    <x v="0"/>
    <x v="88"/>
    <x v="4"/>
    <n v="0"/>
    <n v="800000"/>
    <n v="0"/>
    <n v="800000"/>
    <n v="66.79346292378365"/>
    <n v="20000"/>
    <n v="68"/>
    <x v="5723"/>
    <x v="1"/>
    <x v="3"/>
    <x v="0"/>
  </r>
  <r>
    <x v="515"/>
    <s v="ZTAN"/>
    <x v="8"/>
    <s v="BWPL69"/>
    <s v="78551976"/>
    <s v="CHILLAN"/>
    <x v="4512"/>
    <x v="5"/>
    <x v="0"/>
    <x v="21"/>
    <x v="5"/>
    <n v="0"/>
    <n v="400000"/>
    <n v="0"/>
    <n v="400000"/>
    <n v="44.936145736907861"/>
    <n v="20000"/>
    <n v="45"/>
    <x v="5724"/>
    <x v="1"/>
    <x v="3"/>
    <x v="0"/>
  </r>
  <r>
    <x v="515"/>
    <s v="ZTAN"/>
    <x v="8"/>
    <s v="SU9354"/>
    <s v="72564391"/>
    <s v="REÑACA"/>
    <x v="4513"/>
    <x v="2"/>
    <x v="1"/>
    <x v="6"/>
    <x v="2"/>
    <n v="0"/>
    <n v="203000"/>
    <n v="0"/>
    <n v="203000"/>
    <n v="29.579246151783799"/>
    <n v="20000"/>
    <n v="34"/>
    <x v="5725"/>
    <x v="1"/>
    <x v="3"/>
    <x v="0"/>
  </r>
  <r>
    <x v="515"/>
    <s v="ZTAN"/>
    <x v="8"/>
    <s v="SV2718"/>
    <s v="99626232"/>
    <s v="MAIPU"/>
    <x v="4514"/>
    <x v="1"/>
    <x v="1"/>
    <x v="2"/>
    <x v="1"/>
    <n v="2"/>
    <n v="55000"/>
    <n v="0"/>
    <n v="55000"/>
    <n v="21.274455954140006"/>
    <n v="5000"/>
    <n v="52"/>
    <x v="5726"/>
    <x v="1"/>
    <x v="3"/>
    <x v="1"/>
  </r>
  <r>
    <x v="515"/>
    <s v="ZTAN"/>
    <x v="113"/>
    <s v="XR6339"/>
    <s v="78907355"/>
    <s v="SANTIAGO"/>
    <x v="4515"/>
    <x v="1"/>
    <x v="1"/>
    <x v="20"/>
    <x v="1"/>
    <n v="1"/>
    <n v="65690"/>
    <n v="0"/>
    <n v="65690"/>
    <n v="10.999959811381419"/>
    <n v="5000"/>
    <n v="100"/>
    <x v="5727"/>
    <x v="1"/>
    <x v="3"/>
    <x v="1"/>
  </r>
  <r>
    <x v="516"/>
    <s v="ZPEP"/>
    <x v="2"/>
    <s v="KKPF51"/>
    <s v="95707734"/>
    <s v="COQUIMBO"/>
    <x v="4516"/>
    <x v="8"/>
    <x v="0"/>
    <x v="42"/>
    <x v="8"/>
    <n v="0"/>
    <n v="700000"/>
    <n v="0"/>
    <n v="700000"/>
    <n v="37.22919087672085"/>
    <n v="20000"/>
    <n v="94"/>
    <x v="5728"/>
    <x v="1"/>
    <x v="3"/>
    <x v="0"/>
  </r>
  <r>
    <x v="516"/>
    <s v="ZTAN"/>
    <x v="51"/>
    <s v="WT7728"/>
    <s v="129166568"/>
    <s v="VALDIVIA"/>
    <x v="4517"/>
    <x v="0"/>
    <x v="0"/>
    <x v="77"/>
    <x v="11"/>
    <n v="0"/>
    <n v="900000"/>
    <n v="0"/>
    <n v="900000"/>
    <n v="70.482373533085607"/>
    <n v="20000"/>
    <n v="85"/>
    <x v="5729"/>
    <x v="1"/>
    <x v="3"/>
    <x v="0"/>
  </r>
  <r>
    <x v="516"/>
    <s v="ZTAN"/>
    <x v="13"/>
    <s v="XR6339"/>
    <s v="78907355"/>
    <s v="SANTIAGO"/>
    <x v="4518"/>
    <x v="1"/>
    <x v="1"/>
    <x v="20"/>
    <x v="1"/>
    <n v="1"/>
    <n v="55000"/>
    <n v="0"/>
    <n v="55000"/>
    <n v="28.205128205128204"/>
    <n v="5000"/>
    <n v="39"/>
    <x v="5730"/>
    <x v="1"/>
    <x v="3"/>
    <x v="1"/>
  </r>
  <r>
    <x v="516"/>
    <s v="ZTAN"/>
    <x v="6"/>
    <s v="RZ4484"/>
    <s v="163915707"/>
    <s v="TEMUCO"/>
    <x v="4519"/>
    <x v="5"/>
    <x v="0"/>
    <x v="14"/>
    <x v="4"/>
    <n v="0"/>
    <n v="700000"/>
    <n v="0"/>
    <n v="700000"/>
    <n v="81.533196823466653"/>
    <n v="20000"/>
    <n v="55"/>
    <x v="5731"/>
    <x v="1"/>
    <x v="3"/>
    <x v="0"/>
  </r>
  <r>
    <x v="516"/>
    <s v="ZTAN"/>
    <x v="6"/>
    <s v="SU9354"/>
    <s v="72564391"/>
    <s v="LOS ANDES"/>
    <x v="4520"/>
    <x v="2"/>
    <x v="1"/>
    <x v="38"/>
    <x v="2"/>
    <n v="0"/>
    <n v="203000"/>
    <n v="0"/>
    <n v="203000"/>
    <n v="58.304551492539218"/>
    <n v="20000"/>
    <n v="55"/>
    <x v="5732"/>
    <x v="1"/>
    <x v="3"/>
    <x v="0"/>
  </r>
  <r>
    <x v="516"/>
    <s v="ZTAN"/>
    <x v="6"/>
    <s v="TP3884"/>
    <s v="107643206"/>
    <s v="VIÑA DEL MAR"/>
    <x v="4521"/>
    <x v="1"/>
    <x v="1"/>
    <x v="6"/>
    <x v="2"/>
    <n v="0"/>
    <n v="203000"/>
    <n v="0"/>
    <n v="203000"/>
    <n v="56.420233463035018"/>
    <n v="20000"/>
    <n v="18"/>
    <x v="5733"/>
    <x v="1"/>
    <x v="3"/>
    <x v="0"/>
  </r>
  <r>
    <x v="516"/>
    <s v="ZTAN"/>
    <x v="7"/>
    <s v="DKDL88"/>
    <s v="122975819"/>
    <s v="CHILLAN"/>
    <x v="4522"/>
    <x v="0"/>
    <x v="0"/>
    <x v="21"/>
    <x v="5"/>
    <n v="0"/>
    <n v="400000"/>
    <n v="0"/>
    <n v="400000"/>
    <n v="44.763558881985354"/>
    <n v="20000"/>
    <n v="45"/>
    <x v="5734"/>
    <x v="1"/>
    <x v="3"/>
    <x v="0"/>
  </r>
  <r>
    <x v="516"/>
    <s v="ZTAN"/>
    <x v="7"/>
    <s v="HLBX77"/>
    <s v="16093509K"/>
    <s v="RENCA"/>
    <x v="4523"/>
    <x v="1"/>
    <x v="1"/>
    <x v="7"/>
    <x v="1"/>
    <n v="1"/>
    <n v="69159"/>
    <n v="0"/>
    <n v="69159"/>
    <n v="8.7463324564953471"/>
    <n v="5000"/>
    <n v="100"/>
    <x v="5735"/>
    <x v="1"/>
    <x v="3"/>
    <x v="1"/>
  </r>
  <r>
    <x v="516"/>
    <s v="ZTAN"/>
    <x v="7"/>
    <s v="TP3884"/>
    <s v="107643206"/>
    <s v="SAN MIGUEL"/>
    <x v="4524"/>
    <x v="1"/>
    <x v="1"/>
    <x v="23"/>
    <x v="1"/>
    <n v="2"/>
    <n v="70031"/>
    <n v="0"/>
    <n v="70031"/>
    <n v="10.999938741755658"/>
    <n v="5000"/>
    <n v="100"/>
    <x v="5736"/>
    <x v="1"/>
    <x v="3"/>
    <x v="1"/>
  </r>
  <r>
    <x v="516"/>
    <s v="ZTAN"/>
    <x v="7"/>
    <s v="WC2233"/>
    <s v="125108660"/>
    <s v="SAN MIGUEL"/>
    <x v="4525"/>
    <x v="4"/>
    <x v="1"/>
    <x v="23"/>
    <x v="1"/>
    <n v="2"/>
    <n v="71440"/>
    <n v="0"/>
    <n v="71440"/>
    <n v="11.000076988220803"/>
    <n v="5000"/>
    <n v="100"/>
    <x v="5737"/>
    <x v="1"/>
    <x v="3"/>
    <x v="1"/>
  </r>
  <r>
    <x v="516"/>
    <s v="ZTAN"/>
    <x v="7"/>
    <s v="WG4022"/>
    <s v="154837728"/>
    <s v="RENCA"/>
    <x v="4526"/>
    <x v="1"/>
    <x v="0"/>
    <x v="7"/>
    <x v="1"/>
    <n v="1"/>
    <n v="171329"/>
    <n v="0"/>
    <n v="171329"/>
    <n v="10.999974318476564"/>
    <n v="5000"/>
    <n v="100"/>
    <x v="5738"/>
    <x v="1"/>
    <x v="3"/>
    <x v="1"/>
  </r>
  <r>
    <x v="516"/>
    <s v="ZTAN"/>
    <x v="8"/>
    <s v="SV2718"/>
    <s v="99626232"/>
    <s v="LA REINA"/>
    <x v="4527"/>
    <x v="1"/>
    <x v="1"/>
    <x v="11"/>
    <x v="1"/>
    <n v="3"/>
    <n v="55000"/>
    <n v="0"/>
    <n v="55000"/>
    <n v="18.734118576751978"/>
    <n v="5000"/>
    <n v="59"/>
    <x v="5739"/>
    <x v="1"/>
    <x v="3"/>
    <x v="1"/>
  </r>
  <r>
    <x v="517"/>
    <s v="ZPEP"/>
    <x v="58"/>
    <s v="HLBX"/>
    <s v="16093509K"/>
    <s v="COLINA"/>
    <x v="4528"/>
    <x v="0"/>
    <x v="0"/>
    <x v="5"/>
    <x v="1"/>
    <n v="5"/>
    <n v="120000"/>
    <n v="0"/>
    <n v="120000"/>
    <n v="11.091126544208308"/>
    <n v="10000"/>
    <n v="100"/>
    <x v="5740"/>
    <x v="1"/>
    <x v="3"/>
    <x v="1"/>
  </r>
  <r>
    <x v="517"/>
    <s v="ZTAN"/>
    <x v="10"/>
    <s v="DJLF85"/>
    <s v="53173292"/>
    <s v="QUILICURA"/>
    <x v="4529"/>
    <x v="4"/>
    <x v="1"/>
    <x v="8"/>
    <x v="1"/>
    <n v="1"/>
    <n v="71650"/>
    <n v="0"/>
    <n v="71650"/>
    <n v="9.8642274788604034"/>
    <n v="5000"/>
    <n v="100"/>
    <x v="5741"/>
    <x v="1"/>
    <x v="3"/>
    <x v="1"/>
  </r>
  <r>
    <x v="517"/>
    <s v="ZTAN"/>
    <x v="6"/>
    <s v="PVCL28"/>
    <s v="160374632"/>
    <s v="OSORNO"/>
    <x v="4530"/>
    <x v="0"/>
    <x v="0"/>
    <x v="64"/>
    <x v="10"/>
    <n v="0"/>
    <n v="950000"/>
    <n v="0"/>
    <n v="950000"/>
    <n v="82.622490015724367"/>
    <n v="20000"/>
    <n v="57"/>
    <x v="5742"/>
    <x v="1"/>
    <x v="3"/>
    <x v="0"/>
  </r>
  <r>
    <x v="517"/>
    <s v="ZTAN"/>
    <x v="6"/>
    <s v="PYCL27"/>
    <s v="104840078"/>
    <s v="CHILLAN"/>
    <x v="4531"/>
    <x v="0"/>
    <x v="0"/>
    <x v="21"/>
    <x v="5"/>
    <n v="0"/>
    <n v="400000"/>
    <n v="0"/>
    <n v="400000"/>
    <n v="73.211801742440855"/>
    <n v="20000"/>
    <n v="27"/>
    <x v="5743"/>
    <x v="1"/>
    <x v="3"/>
    <x v="0"/>
  </r>
  <r>
    <x v="517"/>
    <s v="ZTAN"/>
    <x v="6"/>
    <s v="SU9354"/>
    <s v="72564391"/>
    <s v="QUILPUE"/>
    <x v="4532"/>
    <x v="2"/>
    <x v="1"/>
    <x v="58"/>
    <x v="2"/>
    <n v="0"/>
    <n v="203000"/>
    <n v="0"/>
    <n v="203000"/>
    <n v="27.985871959810634"/>
    <n v="20000"/>
    <n v="36"/>
    <x v="5744"/>
    <x v="1"/>
    <x v="3"/>
    <x v="0"/>
  </r>
  <r>
    <x v="517"/>
    <s v="ZTAN"/>
    <x v="6"/>
    <s v="XR6339"/>
    <s v="78907355"/>
    <s v="QUILLOTA"/>
    <x v="4533"/>
    <x v="1"/>
    <x v="1"/>
    <x v="19"/>
    <x v="2"/>
    <n v="0"/>
    <n v="203000"/>
    <n v="0"/>
    <n v="203000"/>
    <n v="42.266482887279658"/>
    <n v="20000"/>
    <n v="24"/>
    <x v="5745"/>
    <x v="1"/>
    <x v="3"/>
    <x v="0"/>
  </r>
  <r>
    <x v="517"/>
    <s v="ZTAN"/>
    <x v="70"/>
    <s v="RH1133"/>
    <s v="65941082"/>
    <s v="SAN FELIPE"/>
    <x v="4534"/>
    <x v="0"/>
    <x v="0"/>
    <x v="35"/>
    <x v="2"/>
    <n v="0"/>
    <n v="260000"/>
    <n v="0"/>
    <n v="260000"/>
    <n v="30.777972441876987"/>
    <n v="20000"/>
    <n v="42"/>
    <x v="5746"/>
    <x v="1"/>
    <x v="3"/>
    <x v="0"/>
  </r>
  <r>
    <x v="517"/>
    <s v="ZTAN"/>
    <x v="7"/>
    <s v="HLBX77"/>
    <s v="16093509K"/>
    <s v="RENCA"/>
    <x v="4535"/>
    <x v="1"/>
    <x v="1"/>
    <x v="7"/>
    <x v="1"/>
    <n v="1"/>
    <n v="55000"/>
    <n v="0"/>
    <n v="55000"/>
    <n v="15.069318866787221"/>
    <n v="5000"/>
    <n v="73"/>
    <x v="5747"/>
    <x v="1"/>
    <x v="3"/>
    <x v="1"/>
  </r>
  <r>
    <x v="517"/>
    <s v="ZTAN"/>
    <x v="7"/>
    <s v="WC2233"/>
    <s v="125108660"/>
    <s v="RENCA"/>
    <x v="4536"/>
    <x v="4"/>
    <x v="1"/>
    <x v="7"/>
    <x v="1"/>
    <n v="1"/>
    <n v="103818"/>
    <n v="0"/>
    <n v="103818"/>
    <n v="11"/>
    <n v="5000"/>
    <n v="100"/>
    <x v="5748"/>
    <x v="1"/>
    <x v="3"/>
    <x v="1"/>
  </r>
  <r>
    <x v="517"/>
    <s v="ZTAN"/>
    <x v="7"/>
    <s v="WG4022"/>
    <s v="154837728"/>
    <s v="RENCA"/>
    <x v="4537"/>
    <x v="1"/>
    <x v="0"/>
    <x v="7"/>
    <x v="1"/>
    <n v="1"/>
    <n v="238636"/>
    <n v="0"/>
    <n v="238636"/>
    <n v="10.999985710472973"/>
    <n v="5000"/>
    <n v="100"/>
    <x v="5749"/>
    <x v="1"/>
    <x v="3"/>
    <x v="1"/>
  </r>
  <r>
    <x v="517"/>
    <s v="ZTAN"/>
    <x v="8"/>
    <s v="DBPX36"/>
    <s v="101327930"/>
    <s v="TALCAHUANO"/>
    <x v="4538"/>
    <x v="0"/>
    <x v="0"/>
    <x v="0"/>
    <x v="0"/>
    <n v="0"/>
    <n v="430000"/>
    <n v="0"/>
    <n v="430000"/>
    <n v="45.031836461126012"/>
    <n v="20000"/>
    <n v="48"/>
    <x v="5750"/>
    <x v="1"/>
    <x v="3"/>
    <x v="0"/>
  </r>
  <r>
    <x v="517"/>
    <s v="ZTAN"/>
    <x v="8"/>
    <s v="HLBX77"/>
    <s v="16093509K"/>
    <s v="PUDAHUEL"/>
    <x v="4539"/>
    <x v="1"/>
    <x v="1"/>
    <x v="10"/>
    <x v="1"/>
    <n v="1"/>
    <n v="86550"/>
    <n v="0"/>
    <n v="86550"/>
    <n v="11.000030502684234"/>
    <n v="5000"/>
    <n v="100"/>
    <x v="5751"/>
    <x v="1"/>
    <x v="3"/>
    <x v="1"/>
  </r>
  <r>
    <x v="517"/>
    <s v="ZTAN"/>
    <x v="8"/>
    <s v="SV2718"/>
    <s v="996269232"/>
    <s v="HUECHURABA"/>
    <x v="252"/>
    <x v="1"/>
    <x v="1"/>
    <x v="24"/>
    <x v="1"/>
    <n v="1"/>
    <n v="55000"/>
    <n v="0"/>
    <n v="55000"/>
    <n v="14.658848614072495"/>
    <n v="5000"/>
    <n v="75"/>
    <x v="5752"/>
    <x v="1"/>
    <x v="3"/>
    <x v="1"/>
  </r>
  <r>
    <x v="517"/>
    <s v="ZTAN"/>
    <x v="8"/>
    <s v="TP3884"/>
    <s v="107643206"/>
    <s v="PUDAHUEL"/>
    <x v="4540"/>
    <x v="1"/>
    <x v="1"/>
    <x v="10"/>
    <x v="1"/>
    <n v="1"/>
    <n v="94245"/>
    <n v="0"/>
    <n v="94245"/>
    <n v="11.000009337373305"/>
    <n v="5000"/>
    <n v="100"/>
    <x v="5753"/>
    <x v="1"/>
    <x v="3"/>
    <x v="1"/>
  </r>
  <r>
    <x v="518"/>
    <s v="ZTAN"/>
    <x v="7"/>
    <s v="DJLF85"/>
    <n v="53173292"/>
    <s v="RENCA"/>
    <x v="4541"/>
    <x v="4"/>
    <x v="1"/>
    <x v="7"/>
    <x v="1"/>
    <n v="1"/>
    <n v="80038"/>
    <n v="0"/>
    <n v="80038"/>
    <n v="10.651566367677198"/>
    <n v="5000"/>
    <n v="100"/>
    <x v="5754"/>
    <x v="1"/>
    <x v="3"/>
    <x v="1"/>
  </r>
  <r>
    <x v="518"/>
    <s v="ZTAN"/>
    <x v="7"/>
    <s v="SU9354"/>
    <n v="72564391"/>
    <s v="SANTIAGO"/>
    <x v="4542"/>
    <x v="2"/>
    <x v="1"/>
    <x v="20"/>
    <x v="1"/>
    <n v="1"/>
    <n v="55000"/>
    <n v="0"/>
    <n v="55000"/>
    <n v="21.433888146280442"/>
    <n v="5000"/>
    <n v="85"/>
    <x v="5755"/>
    <x v="1"/>
    <x v="3"/>
    <x v="1"/>
  </r>
  <r>
    <x v="518"/>
    <s v="ZTAN"/>
    <x v="7"/>
    <s v="TP3884"/>
    <n v="107643206"/>
    <s v="SAN MIGUEL"/>
    <x v="1468"/>
    <x v="1"/>
    <x v="1"/>
    <x v="23"/>
    <x v="1"/>
    <n v="2"/>
    <n v="55000"/>
    <n v="0"/>
    <n v="55000"/>
    <n v="16.172665255234062"/>
    <n v="5000"/>
    <n v="68"/>
    <x v="5756"/>
    <x v="1"/>
    <x v="3"/>
    <x v="1"/>
  </r>
  <r>
    <x v="518"/>
    <s v="ZTAN"/>
    <x v="7"/>
    <s v="WG4022"/>
    <n v="154837728"/>
    <s v="RENCA"/>
    <x v="4543"/>
    <x v="1"/>
    <x v="0"/>
    <x v="7"/>
    <x v="1"/>
    <n v="1"/>
    <n v="236523"/>
    <n v="0"/>
    <n v="236523"/>
    <n v="11.000015812438436"/>
    <n v="5000"/>
    <n v="100"/>
    <x v="5757"/>
    <x v="1"/>
    <x v="3"/>
    <x v="1"/>
  </r>
  <r>
    <x v="518"/>
    <s v="ZTAN"/>
    <x v="8"/>
    <s v="FYTP84"/>
    <n v="172861164"/>
    <s v="CHILLAN"/>
    <x v="4544"/>
    <x v="0"/>
    <x v="0"/>
    <x v="21"/>
    <x v="5"/>
    <n v="0"/>
    <n v="400000"/>
    <n v="0"/>
    <n v="400000"/>
    <n v="19.446267532025573"/>
    <n v="20000"/>
    <n v="100"/>
    <x v="5758"/>
    <x v="1"/>
    <x v="3"/>
    <x v="0"/>
  </r>
  <r>
    <x v="518"/>
    <s v="ZTAN"/>
    <x v="8"/>
    <s v="SV2718"/>
    <n v="99626232"/>
    <s v="LA FLORIDA"/>
    <x v="4545"/>
    <x v="1"/>
    <x v="1"/>
    <x v="33"/>
    <x v="1"/>
    <n v="3"/>
    <n v="55000"/>
    <n v="0"/>
    <n v="55000"/>
    <n v="21.38388743521654"/>
    <n v="5000"/>
    <n v="51"/>
    <x v="5759"/>
    <x v="1"/>
    <x v="3"/>
    <x v="1"/>
  </r>
  <r>
    <x v="518"/>
    <s v="ZTAN"/>
    <x v="8"/>
    <s v="TP3884"/>
    <n v="107643206"/>
    <s v="TALAGANTE"/>
    <x v="4546"/>
    <x v="1"/>
    <x v="1"/>
    <x v="50"/>
    <x v="1"/>
    <n v="4"/>
    <n v="55000"/>
    <n v="0"/>
    <n v="55000"/>
    <n v="18.60748359158265"/>
    <n v="5000"/>
    <n v="59"/>
    <x v="5760"/>
    <x v="1"/>
    <x v="3"/>
    <x v="1"/>
  </r>
  <r>
    <x v="519"/>
    <s v="ZPEP"/>
    <x v="87"/>
    <s v="DGCC76"/>
    <s v="98911472"/>
    <s v="HUASCO"/>
    <x v="4547"/>
    <x v="0"/>
    <x v="0"/>
    <x v="104"/>
    <x v="9"/>
    <n v="0"/>
    <n v="2500000"/>
    <n v="0"/>
    <n v="2500000"/>
    <n v="138.25162570086661"/>
    <n v="20000"/>
    <n v="90"/>
    <x v="5761"/>
    <x v="1"/>
    <x v="3"/>
    <x v="0"/>
  </r>
  <r>
    <x v="519"/>
    <s v="ZTAN"/>
    <x v="17"/>
    <s v="RH1133"/>
    <s v="65941082"/>
    <s v="LAMPA"/>
    <x v="4548"/>
    <x v="0"/>
    <x v="0"/>
    <x v="17"/>
    <x v="1"/>
    <n v="5"/>
    <n v="120000"/>
    <n v="0"/>
    <n v="120000"/>
    <n v="6.4889768505750851"/>
    <n v="10000"/>
    <n v="100"/>
    <x v="5762"/>
    <x v="1"/>
    <x v="3"/>
    <x v="1"/>
  </r>
  <r>
    <x v="519"/>
    <s v="ZTAN"/>
    <x v="4"/>
    <s v="BDHB75"/>
    <s v="98494073"/>
    <s v="VICTORIA"/>
    <x v="4549"/>
    <x v="0"/>
    <x v="0"/>
    <x v="108"/>
    <x v="4"/>
    <n v="0"/>
    <n v="800000"/>
    <n v="0"/>
    <n v="800000"/>
    <n v="98.284928006290215"/>
    <n v="20000"/>
    <n v="41"/>
    <x v="5763"/>
    <x v="1"/>
    <x v="3"/>
    <x v="0"/>
  </r>
  <r>
    <x v="519"/>
    <s v="ZTAN"/>
    <x v="34"/>
    <s v="SU9354"/>
    <s v="72564391"/>
    <s v="QUINTA NORMAL"/>
    <x v="458"/>
    <x v="2"/>
    <x v="1"/>
    <x v="62"/>
    <x v="1"/>
    <n v="1"/>
    <n v="55000"/>
    <n v="0"/>
    <n v="55000"/>
    <n v="13.736263736263735"/>
    <n v="5000"/>
    <n v="80"/>
    <x v="5764"/>
    <x v="1"/>
    <x v="3"/>
    <x v="1"/>
  </r>
  <r>
    <x v="519"/>
    <s v="ZTAN"/>
    <x v="10"/>
    <s v="WG4022"/>
    <s v="1548/37728"/>
    <s v="SANTIAGO"/>
    <x v="4550"/>
    <x v="1"/>
    <x v="0"/>
    <x v="20"/>
    <x v="1"/>
    <n v="1"/>
    <n v="123816"/>
    <n v="0"/>
    <n v="123816"/>
    <n v="8.3355325164938741"/>
    <n v="5000"/>
    <n v="100"/>
    <x v="5765"/>
    <x v="1"/>
    <x v="3"/>
    <x v="1"/>
  </r>
  <r>
    <x v="519"/>
    <s v="ZTAN"/>
    <x v="24"/>
    <s v="RH1133"/>
    <s v="65941082"/>
    <s v="MACHALI"/>
    <x v="4551"/>
    <x v="0"/>
    <x v="0"/>
    <x v="43"/>
    <x v="6"/>
    <n v="0"/>
    <n v="280000"/>
    <n v="0"/>
    <n v="280000"/>
    <n v="36.252994108888437"/>
    <n v="20000"/>
    <n v="39"/>
    <x v="5766"/>
    <x v="1"/>
    <x v="3"/>
    <x v="0"/>
  </r>
  <r>
    <x v="519"/>
    <s v="ZTAN"/>
    <x v="6"/>
    <s v="JGYY37"/>
    <s v="127271194"/>
    <s v="COPIAPO"/>
    <x v="4552"/>
    <x v="0"/>
    <x v="0"/>
    <x v="60"/>
    <x v="9"/>
    <n v="0"/>
    <n v="1000000"/>
    <n v="0"/>
    <n v="1000000"/>
    <n v="83.606447729248885"/>
    <n v="20000"/>
    <n v="60"/>
    <x v="5767"/>
    <x v="1"/>
    <x v="3"/>
    <x v="0"/>
  </r>
  <r>
    <x v="519"/>
    <s v="ZTAN"/>
    <x v="6"/>
    <s v="RKRH77"/>
    <s v="94590507"/>
    <s v="CHIGUAYANTE"/>
    <x v="4553"/>
    <x v="0"/>
    <x v="0"/>
    <x v="82"/>
    <x v="0"/>
    <n v="0"/>
    <n v="420000"/>
    <n v="0"/>
    <n v="420000"/>
    <n v="35.409869236411495"/>
    <n v="20000"/>
    <n v="59"/>
    <x v="5768"/>
    <x v="1"/>
    <x v="3"/>
    <x v="0"/>
  </r>
  <r>
    <x v="519"/>
    <s v="ZTAN"/>
    <x v="6"/>
    <s v="SV2718"/>
    <s v="99626232"/>
    <s v="LA REINA"/>
    <x v="4554"/>
    <x v="1"/>
    <x v="1"/>
    <x v="11"/>
    <x v="1"/>
    <n v="3"/>
    <n v="55000"/>
    <n v="0"/>
    <n v="55000"/>
    <n v="13.890291948681682"/>
    <n v="5000"/>
    <n v="79"/>
    <x v="5769"/>
    <x v="1"/>
    <x v="3"/>
    <x v="1"/>
  </r>
  <r>
    <x v="519"/>
    <s v="ZTAN"/>
    <x v="7"/>
    <s v="DJLF85"/>
    <s v="53173292"/>
    <s v="MELIPILLA"/>
    <x v="4555"/>
    <x v="4"/>
    <x v="1"/>
    <x v="29"/>
    <x v="1"/>
    <n v="5"/>
    <n v="90000"/>
    <n v="0"/>
    <n v="90000"/>
    <n v="16.667901326024143"/>
    <n v="10000"/>
    <n v="54"/>
    <x v="5770"/>
    <x v="1"/>
    <x v="3"/>
    <x v="1"/>
  </r>
  <r>
    <x v="519"/>
    <s v="ZTAN"/>
    <x v="7"/>
    <s v="WC2233"/>
    <s v="125108660"/>
    <s v="RENCA"/>
    <x v="4556"/>
    <x v="4"/>
    <x v="1"/>
    <x v="7"/>
    <x v="1"/>
    <n v="1"/>
    <n v="90786"/>
    <n v="0"/>
    <n v="90786"/>
    <n v="10.999963650903274"/>
    <n v="5000"/>
    <n v="100"/>
    <x v="5771"/>
    <x v="1"/>
    <x v="3"/>
    <x v="1"/>
  </r>
  <r>
    <x v="519"/>
    <s v="ZTAN"/>
    <x v="8"/>
    <s v="HLBX77"/>
    <s v="16093509K"/>
    <s v="PUDAHUEL"/>
    <x v="4557"/>
    <x v="1"/>
    <x v="1"/>
    <x v="10"/>
    <x v="1"/>
    <n v="1"/>
    <n v="55000"/>
    <n v="0"/>
    <n v="55000"/>
    <n v="19.286064941440493"/>
    <n v="5000"/>
    <n v="57"/>
    <x v="5772"/>
    <x v="1"/>
    <x v="3"/>
    <x v="1"/>
  </r>
  <r>
    <x v="519"/>
    <s v="ZTAN"/>
    <x v="8"/>
    <s v="RFDS14"/>
    <s v="11899972K"/>
    <s v="LOS ANGELES"/>
    <x v="4558"/>
    <x v="0"/>
    <x v="0"/>
    <x v="57"/>
    <x v="0"/>
    <n v="0"/>
    <n v="460000"/>
    <n v="0"/>
    <n v="460000"/>
    <n v="48.794148096603926"/>
    <n v="20000"/>
    <n v="75"/>
    <x v="5773"/>
    <x v="1"/>
    <x v="3"/>
    <x v="0"/>
  </r>
  <r>
    <x v="519"/>
    <s v="ZTAN"/>
    <x v="8"/>
    <s v="SU9354"/>
    <s v="72564391"/>
    <s v="PUENTE ALTO"/>
    <x v="4559"/>
    <x v="2"/>
    <x v="1"/>
    <x v="30"/>
    <x v="1"/>
    <n v="4"/>
    <n v="55000"/>
    <n v="0"/>
    <n v="55000"/>
    <n v="17.613752818200449"/>
    <n v="5000"/>
    <n v="62"/>
    <x v="5774"/>
    <x v="1"/>
    <x v="3"/>
    <x v="1"/>
  </r>
  <r>
    <x v="519"/>
    <s v="ZTAN"/>
    <x v="8"/>
    <s v="TP3884"/>
    <s v="107643206"/>
    <s v="PUENTE ALTO"/>
    <x v="4560"/>
    <x v="1"/>
    <x v="1"/>
    <x v="30"/>
    <x v="1"/>
    <n v="4"/>
    <n v="55000"/>
    <n v="0"/>
    <n v="55000"/>
    <n v="22.448979591836736"/>
    <n v="5000"/>
    <n v="49"/>
    <x v="5775"/>
    <x v="1"/>
    <x v="3"/>
    <x v="1"/>
  </r>
  <r>
    <x v="519"/>
    <s v="ZTAN"/>
    <x v="8"/>
    <s v="XR6339"/>
    <s v="78907355"/>
    <s v="SAN BERNARDO"/>
    <x v="4561"/>
    <x v="1"/>
    <x v="1"/>
    <x v="4"/>
    <x v="1"/>
    <n v="4"/>
    <n v="55000"/>
    <n v="0"/>
    <n v="55000"/>
    <n v="18.529623814946323"/>
    <n v="5000"/>
    <n v="59"/>
    <x v="5776"/>
    <x v="1"/>
    <x v="3"/>
    <x v="1"/>
  </r>
  <r>
    <x v="520"/>
    <s v="ZPEP"/>
    <x v="33"/>
    <s v="HLBX77"/>
    <s v="16093509K"/>
    <s v="PUENTE ALTO"/>
    <x v="4562"/>
    <x v="1"/>
    <x v="1"/>
    <x v="30"/>
    <x v="1"/>
    <n v="4"/>
    <n v="153120"/>
    <n v="0"/>
    <n v="153120"/>
    <n v="11.000023706947644"/>
    <n v="5000"/>
    <n v="100"/>
    <x v="5777"/>
    <x v="1"/>
    <x v="3"/>
    <x v="1"/>
  </r>
  <r>
    <x v="520"/>
    <s v="ZPEP"/>
    <x v="33"/>
    <s v="XR6339"/>
    <s v="78907355"/>
    <s v="PUENTE ALTO"/>
    <x v="4563"/>
    <x v="1"/>
    <x v="1"/>
    <x v="30"/>
    <x v="1"/>
    <n v="4"/>
    <n v="127461"/>
    <n v="0"/>
    <n v="127461"/>
    <n v="10.999984465858548"/>
    <n v="5000"/>
    <n v="100"/>
    <x v="5778"/>
    <x v="1"/>
    <x v="3"/>
    <x v="1"/>
  </r>
  <r>
    <x v="520"/>
    <s v="ZTAN"/>
    <x v="10"/>
    <s v="SU9354"/>
    <s v="72564391"/>
    <s v="SANTIAGO"/>
    <x v="414"/>
    <x v="2"/>
    <x v="1"/>
    <x v="20"/>
    <x v="1"/>
    <n v="1"/>
    <n v="107307"/>
    <n v="0"/>
    <n v="107307"/>
    <n v="10.999979498113829"/>
    <n v="5000"/>
    <n v="100"/>
    <x v="5779"/>
    <x v="1"/>
    <x v="3"/>
    <x v="1"/>
  </r>
  <r>
    <x v="520"/>
    <s v="ZTAN"/>
    <x v="10"/>
    <s v="SV2718"/>
    <s v="99626232"/>
    <s v="SANTIAGO"/>
    <x v="359"/>
    <x v="1"/>
    <x v="1"/>
    <x v="20"/>
    <x v="1"/>
    <n v="1"/>
    <n v="55000"/>
    <n v="0"/>
    <n v="55000"/>
    <n v="12.215707178393746"/>
    <n v="5000"/>
    <n v="90"/>
    <x v="5780"/>
    <x v="1"/>
    <x v="3"/>
    <x v="1"/>
  </r>
  <r>
    <x v="520"/>
    <s v="ZTAN"/>
    <x v="10"/>
    <s v="TP3884"/>
    <s v="107643206"/>
    <s v="MELIPILLA"/>
    <x v="4564"/>
    <x v="1"/>
    <x v="1"/>
    <x v="29"/>
    <x v="1"/>
    <n v="5"/>
    <n v="90000"/>
    <n v="0"/>
    <n v="90000"/>
    <n v="15.802781289506949"/>
    <n v="10000"/>
    <n v="57"/>
    <x v="5781"/>
    <x v="1"/>
    <x v="3"/>
    <x v="1"/>
  </r>
  <r>
    <x v="520"/>
    <s v="ZTAN"/>
    <x v="9"/>
    <s v="SU9354"/>
    <s v="72564391"/>
    <s v="SAN BERNARDO"/>
    <x v="3560"/>
    <x v="2"/>
    <x v="1"/>
    <x v="4"/>
    <x v="1"/>
    <n v="4"/>
    <n v="124696"/>
    <n v="0"/>
    <n v="124696"/>
    <n v="11"/>
    <n v="5000"/>
    <n v="100"/>
    <x v="5782"/>
    <x v="1"/>
    <x v="3"/>
    <x v="1"/>
  </r>
  <r>
    <x v="520"/>
    <s v="ZTAN"/>
    <x v="7"/>
    <s v="WC2233"/>
    <s v="125108660"/>
    <s v="MELIPILLA"/>
    <x v="942"/>
    <x v="4"/>
    <x v="1"/>
    <x v="29"/>
    <x v="1"/>
    <n v="5"/>
    <n v="90000"/>
    <n v="0"/>
    <n v="90000"/>
    <n v="22.647206844489176"/>
    <n v="10000"/>
    <n v="40"/>
    <x v="5783"/>
    <x v="1"/>
    <x v="3"/>
    <x v="1"/>
  </r>
  <r>
    <x v="520"/>
    <s v="ZTAN"/>
    <x v="8"/>
    <s v="BPGY86"/>
    <s v="98478647"/>
    <s v="VALDIVIA"/>
    <x v="4565"/>
    <x v="0"/>
    <x v="0"/>
    <x v="77"/>
    <x v="11"/>
    <n v="0"/>
    <n v="900000"/>
    <n v="0"/>
    <n v="900000"/>
    <n v="105.53557545617753"/>
    <n v="20000"/>
    <n v="55"/>
    <x v="5784"/>
    <x v="1"/>
    <x v="3"/>
    <x v="0"/>
  </r>
  <r>
    <x v="521"/>
    <s v="ZPEP"/>
    <x v="17"/>
    <s v="WC2233"/>
    <s v="125108660"/>
    <s v="LAMPA"/>
    <x v="4566"/>
    <x v="4"/>
    <x v="1"/>
    <x v="17"/>
    <x v="1"/>
    <n v="5"/>
    <n v="70000"/>
    <n v="0"/>
    <n v="70000"/>
    <n v="6.3492293849592203"/>
    <n v="10000"/>
    <n v="100"/>
    <x v="5785"/>
    <x v="1"/>
    <x v="3"/>
    <x v="1"/>
  </r>
  <r>
    <x v="521"/>
    <s v="ZTAN"/>
    <x v="9"/>
    <s v="DJLF85"/>
    <s v="53173292"/>
    <s v="SAN BERNARDO"/>
    <x v="4567"/>
    <x v="4"/>
    <x v="1"/>
    <x v="4"/>
    <x v="1"/>
    <n v="4"/>
    <n v="55000"/>
    <n v="0"/>
    <n v="55000"/>
    <n v="19.113149847094803"/>
    <n v="5000"/>
    <n v="58"/>
    <x v="5786"/>
    <x v="1"/>
    <x v="3"/>
    <x v="1"/>
  </r>
  <r>
    <x v="521"/>
    <s v="ZTAN"/>
    <x v="7"/>
    <s v="HLBX77"/>
    <s v="16093509K"/>
    <s v="MELIPILLA"/>
    <x v="2465"/>
    <x v="1"/>
    <x v="1"/>
    <x v="29"/>
    <x v="1"/>
    <n v="5"/>
    <n v="90000"/>
    <n v="0"/>
    <n v="90000"/>
    <n v="23.99232245681382"/>
    <n v="10000"/>
    <n v="38"/>
    <x v="5787"/>
    <x v="1"/>
    <x v="3"/>
    <x v="1"/>
  </r>
  <r>
    <x v="521"/>
    <s v="ZTAN"/>
    <x v="7"/>
    <s v="XR6339"/>
    <s v="78907355"/>
    <s v="SANTIAGO"/>
    <x v="4568"/>
    <x v="1"/>
    <x v="1"/>
    <x v="20"/>
    <x v="1"/>
    <n v="1"/>
    <n v="55000"/>
    <n v="0"/>
    <n v="55000"/>
    <n v="14.596293072333921"/>
    <n v="5000"/>
    <n v="75"/>
    <x v="5788"/>
    <x v="1"/>
    <x v="3"/>
    <x v="1"/>
  </r>
  <r>
    <x v="521"/>
    <s v="ZTAN"/>
    <x v="8"/>
    <s v="SV2718"/>
    <s v="99626232"/>
    <s v="QUILIN"/>
    <x v="4569"/>
    <x v="1"/>
    <x v="1"/>
    <x v="34"/>
    <x v="1"/>
    <n v="4"/>
    <n v="55000"/>
    <n v="0"/>
    <n v="55000"/>
    <n v="21.005194011610143"/>
    <n v="5000"/>
    <n v="52"/>
    <x v="5789"/>
    <x v="1"/>
    <x v="3"/>
    <x v="1"/>
  </r>
  <r>
    <x v="521"/>
    <s v="ZTAN"/>
    <x v="8"/>
    <s v="TP3884"/>
    <s v="107643206"/>
    <s v="PUDAHUEL"/>
    <x v="4570"/>
    <x v="1"/>
    <x v="1"/>
    <x v="10"/>
    <x v="1"/>
    <n v="1"/>
    <n v="112990"/>
    <n v="0"/>
    <n v="112990"/>
    <n v="10.999998052925383"/>
    <n v="5000"/>
    <n v="100"/>
    <x v="5790"/>
    <x v="1"/>
    <x v="3"/>
    <x v="1"/>
  </r>
  <r>
    <x v="521"/>
    <s v="ZTAN"/>
    <x v="8"/>
    <s v="XR6339"/>
    <s v="78907355"/>
    <s v="QUILICURA"/>
    <x v="4571"/>
    <x v="1"/>
    <x v="1"/>
    <x v="8"/>
    <x v="1"/>
    <n v="1"/>
    <n v="55000"/>
    <n v="0"/>
    <n v="55000"/>
    <n v="21.825310217022945"/>
    <n v="5000"/>
    <n v="50"/>
    <x v="5791"/>
    <x v="1"/>
    <x v="3"/>
    <x v="1"/>
  </r>
  <r>
    <x v="522"/>
    <s v="ZPEP"/>
    <x v="7"/>
    <s v="HLZV71"/>
    <s v="90366327"/>
    <s v="CALAMA"/>
    <x v="4038"/>
    <x v="0"/>
    <x v="0"/>
    <x v="37"/>
    <x v="7"/>
    <n v="0"/>
    <n v="1600000"/>
    <n v="0"/>
    <n v="1600000"/>
    <n v="61.402431536288816"/>
    <n v="20000"/>
    <n v="100"/>
    <x v="5792"/>
    <x v="1"/>
    <x v="3"/>
    <x v="0"/>
  </r>
  <r>
    <x v="522"/>
    <s v="ZTAN"/>
    <x v="99"/>
    <s v="SU9354"/>
    <s v="72564391"/>
    <s v="SANTIAGO"/>
    <x v="4572"/>
    <x v="2"/>
    <x v="1"/>
    <x v="20"/>
    <x v="1"/>
    <n v="1"/>
    <n v="91033"/>
    <n v="0"/>
    <n v="91033"/>
    <n v="11.000036250709911"/>
    <n v="5000"/>
    <n v="100"/>
    <x v="5793"/>
    <x v="1"/>
    <x v="3"/>
    <x v="1"/>
  </r>
  <r>
    <x v="522"/>
    <s v="ZTAN"/>
    <x v="8"/>
    <s v="DJLF85"/>
    <s v="53173292"/>
    <s v="LA REINA"/>
    <x v="4573"/>
    <x v="4"/>
    <x v="1"/>
    <x v="11"/>
    <x v="1"/>
    <n v="3"/>
    <n v="55000"/>
    <n v="0"/>
    <n v="55000"/>
    <n v="19.936204146730461"/>
    <n v="5000"/>
    <n v="55"/>
    <x v="5794"/>
    <x v="1"/>
    <x v="3"/>
    <x v="1"/>
  </r>
  <r>
    <x v="522"/>
    <s v="ZTAN"/>
    <x v="8"/>
    <s v="HLBX77"/>
    <s v="16093509K"/>
    <s v="LAS CONDES"/>
    <x v="4574"/>
    <x v="1"/>
    <x v="1"/>
    <x v="3"/>
    <x v="1"/>
    <n v="4"/>
    <n v="55000"/>
    <n v="0"/>
    <n v="55000"/>
    <n v="21.31353370638476"/>
    <n v="5000"/>
    <n v="52"/>
    <x v="5795"/>
    <x v="1"/>
    <x v="3"/>
    <x v="1"/>
  </r>
  <r>
    <x v="522"/>
    <s v="ZTAN"/>
    <x v="8"/>
    <s v="SU9354"/>
    <s v="72564391"/>
    <s v="REÑACA"/>
    <x v="4575"/>
    <x v="2"/>
    <x v="1"/>
    <x v="6"/>
    <x v="2"/>
    <n v="0"/>
    <n v="203000"/>
    <n v="0"/>
    <n v="203000"/>
    <n v="47.74875218162402"/>
    <n v="20000"/>
    <n v="21"/>
    <x v="5796"/>
    <x v="1"/>
    <x v="3"/>
    <x v="0"/>
  </r>
  <r>
    <x v="522"/>
    <s v="ZTAN"/>
    <x v="8"/>
    <s v="SV2718"/>
    <s v="99626232"/>
    <s v="ÑUÑOA"/>
    <x v="4576"/>
    <x v="1"/>
    <x v="1"/>
    <x v="15"/>
    <x v="1"/>
    <n v="4"/>
    <n v="55000"/>
    <n v="0"/>
    <n v="55000"/>
    <n v="20.565129765968813"/>
    <n v="5000"/>
    <n v="53"/>
    <x v="5797"/>
    <x v="1"/>
    <x v="3"/>
    <x v="1"/>
  </r>
  <r>
    <x v="522"/>
    <s v="ZTAN"/>
    <x v="8"/>
    <s v="XR6339"/>
    <s v="78907355"/>
    <s v="LA FLORIDA"/>
    <x v="4577"/>
    <x v="1"/>
    <x v="1"/>
    <x v="33"/>
    <x v="1"/>
    <n v="3"/>
    <n v="55000"/>
    <n v="0"/>
    <n v="55000"/>
    <n v="20.728122408984699"/>
    <n v="5000"/>
    <n v="53"/>
    <x v="5798"/>
    <x v="1"/>
    <x v="3"/>
    <x v="1"/>
  </r>
  <r>
    <x v="523"/>
    <s v="ZPEP"/>
    <x v="33"/>
    <s v="HLBX77"/>
    <s v="16093509K"/>
    <s v="PUENTE ALTO"/>
    <x v="4578"/>
    <x v="1"/>
    <x v="1"/>
    <x v="30"/>
    <x v="1"/>
    <n v="4"/>
    <n v="55000"/>
    <n v="0"/>
    <n v="55000"/>
    <n v="12.431541759809052"/>
    <n v="5000"/>
    <n v="88"/>
    <x v="5799"/>
    <x v="1"/>
    <x v="3"/>
    <x v="1"/>
  </r>
  <r>
    <x v="523"/>
    <s v="ZTAN"/>
    <x v="10"/>
    <s v="WC2233"/>
    <s v="125108660"/>
    <s v="LAMPA"/>
    <x v="3418"/>
    <x v="4"/>
    <x v="1"/>
    <x v="17"/>
    <x v="1"/>
    <n v="5"/>
    <n v="70000"/>
    <n v="0"/>
    <n v="70000"/>
    <n v="22.496464841239227"/>
    <n v="10000"/>
    <n v="31"/>
    <x v="5800"/>
    <x v="1"/>
    <x v="3"/>
    <x v="1"/>
  </r>
  <r>
    <x v="523"/>
    <s v="ZTAN"/>
    <x v="70"/>
    <s v="CJXX49"/>
    <s v="167832741"/>
    <s v="SANTIAGO"/>
    <x v="4579"/>
    <x v="5"/>
    <x v="0"/>
    <x v="20"/>
    <x v="1"/>
    <n v="1"/>
    <n v="225064"/>
    <n v="0"/>
    <n v="225064"/>
    <n v="10.999980450040077"/>
    <n v="5000"/>
    <n v="100"/>
    <x v="5801"/>
    <x v="1"/>
    <x v="3"/>
    <x v="1"/>
  </r>
  <r>
    <x v="523"/>
    <s v="ZTAN"/>
    <x v="7"/>
    <s v="DJLF85"/>
    <s v="53173292"/>
    <s v="RENCA"/>
    <x v="4580"/>
    <x v="4"/>
    <x v="1"/>
    <x v="7"/>
    <x v="1"/>
    <n v="1"/>
    <n v="104699"/>
    <n v="0"/>
    <n v="104699"/>
    <n v="10.637871998862032"/>
    <n v="5000"/>
    <n v="100"/>
    <x v="5802"/>
    <x v="1"/>
    <x v="3"/>
    <x v="1"/>
  </r>
  <r>
    <x v="523"/>
    <s v="ZTAN"/>
    <x v="7"/>
    <s v="HLBX787"/>
    <s v="16093509K"/>
    <s v="MELIPILLA"/>
    <x v="4581"/>
    <x v="0"/>
    <x v="0"/>
    <x v="29"/>
    <x v="1"/>
    <n v="5"/>
    <n v="120000"/>
    <n v="0"/>
    <n v="120000"/>
    <n v="31.364349189754314"/>
    <n v="10000"/>
    <n v="55"/>
    <x v="5803"/>
    <x v="1"/>
    <x v="3"/>
    <x v="1"/>
  </r>
  <r>
    <x v="523"/>
    <s v="ZTAN"/>
    <x v="7"/>
    <s v="PBFH81"/>
    <s v="129210451"/>
    <s v="CORONEL"/>
    <x v="419"/>
    <x v="0"/>
    <x v="0"/>
    <x v="16"/>
    <x v="0"/>
    <n v="0"/>
    <n v="480000"/>
    <n v="0"/>
    <n v="480000"/>
    <n v="58.224163027656452"/>
    <n v="20000"/>
    <n v="41"/>
    <x v="5804"/>
    <x v="1"/>
    <x v="3"/>
    <x v="0"/>
  </r>
  <r>
    <x v="523"/>
    <s v="ZTAN"/>
    <x v="7"/>
    <s v="WG4022"/>
    <s v="154837728"/>
    <s v="RENCA"/>
    <x v="4582"/>
    <x v="1"/>
    <x v="0"/>
    <x v="7"/>
    <x v="1"/>
    <n v="1"/>
    <n v="179595"/>
    <n v="0"/>
    <n v="179595"/>
    <n v="11.000012249797878"/>
    <n v="5000"/>
    <n v="100"/>
    <x v="5805"/>
    <x v="1"/>
    <x v="3"/>
    <x v="1"/>
  </r>
  <r>
    <x v="523"/>
    <s v="ZTAN"/>
    <x v="68"/>
    <s v="SV2718"/>
    <s v="99626232"/>
    <s v="QUILICURA"/>
    <x v="4583"/>
    <x v="1"/>
    <x v="1"/>
    <x v="8"/>
    <x v="1"/>
    <n v="1"/>
    <n v="55000"/>
    <n v="0"/>
    <n v="55000"/>
    <n v="15.664160401002507"/>
    <n v="5000"/>
    <n v="70"/>
    <x v="5806"/>
    <x v="1"/>
    <x v="3"/>
    <x v="1"/>
  </r>
  <r>
    <x v="523"/>
    <s v="ZTAN"/>
    <x v="68"/>
    <s v="XR6339"/>
    <s v="78907355"/>
    <s v="SAN BERNARDO"/>
    <x v="2539"/>
    <x v="1"/>
    <x v="1"/>
    <x v="4"/>
    <x v="1"/>
    <n v="4"/>
    <n v="70426"/>
    <n v="0"/>
    <n v="70426"/>
    <n v="10.999937523428715"/>
    <n v="5000"/>
    <n v="100"/>
    <x v="5807"/>
    <x v="1"/>
    <x v="3"/>
    <x v="1"/>
  </r>
  <r>
    <x v="523"/>
    <s v="ZTAN"/>
    <x v="8"/>
    <s v="DJLF85"/>
    <s v="53173292"/>
    <s v="CERRILLOS"/>
    <x v="4584"/>
    <x v="4"/>
    <x v="1"/>
    <x v="9"/>
    <x v="1"/>
    <n v="2"/>
    <n v="55000"/>
    <n v="0"/>
    <n v="55000"/>
    <n v="15.785047828694921"/>
    <n v="5000"/>
    <n v="70"/>
    <x v="5808"/>
    <x v="1"/>
    <x v="3"/>
    <x v="1"/>
  </r>
  <r>
    <x v="523"/>
    <s v="ZTAN"/>
    <x v="8"/>
    <s v="DRFV76"/>
    <s v="113693568"/>
    <s v="TALCA"/>
    <x v="4585"/>
    <x v="0"/>
    <x v="0"/>
    <x v="12"/>
    <x v="3"/>
    <n v="0"/>
    <n v="360000"/>
    <n v="0"/>
    <n v="360000"/>
    <n v="48.094007753822808"/>
    <n v="20000"/>
    <n v="55"/>
    <x v="5809"/>
    <x v="1"/>
    <x v="3"/>
    <x v="0"/>
  </r>
  <r>
    <x v="523"/>
    <s v="ZTAN"/>
    <x v="8"/>
    <s v="SU9354"/>
    <s v="72564391"/>
    <s v="PUENTE ALTO"/>
    <x v="1296"/>
    <x v="2"/>
    <x v="1"/>
    <x v="30"/>
    <x v="1"/>
    <n v="4"/>
    <n v="55000"/>
    <n v="0"/>
    <n v="55000"/>
    <n v="21.24700610368539"/>
    <n v="5000"/>
    <n v="52"/>
    <x v="5810"/>
    <x v="1"/>
    <x v="3"/>
    <x v="1"/>
  </r>
  <r>
    <x v="524"/>
    <s v="ZTAN"/>
    <x v="10"/>
    <s v="DJLF85"/>
    <s v="120510860"/>
    <s v="SANTIAGO"/>
    <x v="1468"/>
    <x v="4"/>
    <x v="1"/>
    <x v="20"/>
    <x v="1"/>
    <n v="1"/>
    <n v="55000"/>
    <n v="0"/>
    <n v="55000"/>
    <n v="16.172665255234062"/>
    <n v="5000"/>
    <n v="68"/>
    <x v="5811"/>
    <x v="1"/>
    <x v="3"/>
    <x v="1"/>
  </r>
  <r>
    <x v="524"/>
    <s v="ZTAN"/>
    <x v="10"/>
    <s v="RH1133"/>
    <s v="65941082"/>
    <s v="QUILICURA"/>
    <x v="4586"/>
    <x v="0"/>
    <x v="0"/>
    <x v="8"/>
    <x v="1"/>
    <n v="1"/>
    <n v="69387"/>
    <n v="0"/>
    <n v="69387"/>
    <n v="11.000050730197788"/>
    <n v="5000"/>
    <n v="100"/>
    <x v="5812"/>
    <x v="1"/>
    <x v="3"/>
    <x v="1"/>
  </r>
  <r>
    <x v="524"/>
    <s v="ZTAN"/>
    <x v="10"/>
    <s v="SU9354"/>
    <s v="72564391"/>
    <s v="QUILICURA"/>
    <x v="4587"/>
    <x v="2"/>
    <x v="1"/>
    <x v="8"/>
    <x v="1"/>
    <n v="1"/>
    <n v="81502"/>
    <n v="0"/>
    <n v="81502"/>
    <n v="10.999959510345105"/>
    <n v="5000"/>
    <n v="100"/>
    <x v="5813"/>
    <x v="1"/>
    <x v="3"/>
    <x v="1"/>
  </r>
  <r>
    <x v="524"/>
    <s v="ZTAN"/>
    <x v="114"/>
    <s v="XR6339"/>
    <s v="78907355"/>
    <s v="SANTIAGO"/>
    <x v="1334"/>
    <x v="1"/>
    <x v="1"/>
    <x v="20"/>
    <x v="1"/>
    <n v="1"/>
    <n v="61908"/>
    <n v="0"/>
    <n v="61908"/>
    <n v="11.000000000000002"/>
    <n v="5000"/>
    <n v="100"/>
    <x v="5814"/>
    <x v="1"/>
    <x v="3"/>
    <x v="1"/>
  </r>
  <r>
    <x v="524"/>
    <s v="ZTAN"/>
    <x v="7"/>
    <s v="DJLF85"/>
    <s v="53173292"/>
    <s v="RENCA"/>
    <x v="919"/>
    <x v="4"/>
    <x v="1"/>
    <x v="7"/>
    <x v="1"/>
    <n v="1"/>
    <n v="78126"/>
    <n v="0"/>
    <n v="78126"/>
    <n v="10.999943681009237"/>
    <n v="5000"/>
    <n v="100"/>
    <x v="5815"/>
    <x v="1"/>
    <x v="3"/>
    <x v="1"/>
  </r>
  <r>
    <x v="524"/>
    <s v="ZTAN"/>
    <x v="7"/>
    <s v="WG4022"/>
    <s v="154837728"/>
    <s v="RENCA"/>
    <x v="4588"/>
    <x v="1"/>
    <x v="0"/>
    <x v="7"/>
    <x v="1"/>
    <n v="1"/>
    <n v="159050"/>
    <n v="0"/>
    <n v="159050"/>
    <n v="10.999993083940225"/>
    <n v="5000"/>
    <n v="100"/>
    <x v="5816"/>
    <x v="1"/>
    <x v="3"/>
    <x v="1"/>
  </r>
  <r>
    <x v="524"/>
    <s v="ZTAN"/>
    <x v="8"/>
    <s v="SV2718"/>
    <s v="99626232"/>
    <s v="LAS CONDES"/>
    <x v="4589"/>
    <x v="1"/>
    <x v="1"/>
    <x v="3"/>
    <x v="1"/>
    <n v="4"/>
    <n v="55000"/>
    <n v="0"/>
    <n v="55000"/>
    <n v="8.5297766749379651"/>
    <n v="5000"/>
    <n v="100"/>
    <x v="5817"/>
    <x v="1"/>
    <x v="3"/>
    <x v="1"/>
  </r>
  <r>
    <x v="524"/>
    <s v="ZTAN"/>
    <x v="8"/>
    <s v="XR6339"/>
    <s v="78907355"/>
    <s v="QUILICURA"/>
    <x v="4590"/>
    <x v="1"/>
    <x v="1"/>
    <x v="8"/>
    <x v="1"/>
    <n v="1"/>
    <n v="55000"/>
    <n v="0"/>
    <n v="55000"/>
    <n v="20.98435711560473"/>
    <n v="5000"/>
    <n v="52"/>
    <x v="5818"/>
    <x v="1"/>
    <x v="3"/>
    <x v="1"/>
  </r>
  <r>
    <x v="525"/>
    <s v="ZTAN"/>
    <x v="115"/>
    <s v="SU9354"/>
    <s v="72564391"/>
    <s v="SANTIAGO"/>
    <x v="4591"/>
    <x v="2"/>
    <x v="1"/>
    <x v="20"/>
    <x v="1"/>
    <n v="1"/>
    <n v="75962"/>
    <n v="0"/>
    <n v="75962"/>
    <n v="11.000057924003707"/>
    <n v="5000"/>
    <n v="100"/>
    <x v="5819"/>
    <x v="1"/>
    <x v="3"/>
    <x v="1"/>
  </r>
  <r>
    <x v="525"/>
    <s v="ZTAN"/>
    <x v="7"/>
    <s v="DJLF85"/>
    <s v="3173292"/>
    <s v="RENCA"/>
    <x v="4592"/>
    <x v="4"/>
    <x v="1"/>
    <x v="7"/>
    <x v="1"/>
    <n v="1"/>
    <n v="55000"/>
    <n v="0"/>
    <n v="55000"/>
    <n v="7.744079299372026"/>
    <n v="5000"/>
    <n v="100"/>
    <x v="5820"/>
    <x v="1"/>
    <x v="3"/>
    <x v="1"/>
  </r>
  <r>
    <x v="525"/>
    <s v="ZTAN"/>
    <x v="7"/>
    <s v="RKYY82"/>
    <s v="101495566"/>
    <s v="TALCAHUANO"/>
    <x v="4593"/>
    <x v="0"/>
    <x v="0"/>
    <x v="0"/>
    <x v="0"/>
    <n v="0"/>
    <n v="430000"/>
    <n v="0"/>
    <n v="430000"/>
    <n v="18.095815237518096"/>
    <n v="20000"/>
    <n v="100"/>
    <x v="5821"/>
    <x v="1"/>
    <x v="3"/>
    <x v="0"/>
  </r>
  <r>
    <x v="525"/>
    <s v="ZTAN"/>
    <x v="7"/>
    <s v="WC2233"/>
    <s v="125108660"/>
    <s v="SANTIAGO"/>
    <x v="4594"/>
    <x v="4"/>
    <x v="1"/>
    <x v="20"/>
    <x v="1"/>
    <n v="1"/>
    <n v="55000"/>
    <n v="0"/>
    <n v="55000"/>
    <n v="13.958018088322532"/>
    <n v="5000"/>
    <n v="95"/>
    <x v="5822"/>
    <x v="1"/>
    <x v="3"/>
    <x v="1"/>
  </r>
  <r>
    <x v="525"/>
    <s v="ZTAN"/>
    <x v="7"/>
    <s v="WG4022"/>
    <s v="154837728"/>
    <s v="RENCA"/>
    <x v="810"/>
    <x v="1"/>
    <x v="0"/>
    <x v="7"/>
    <x v="1"/>
    <n v="1"/>
    <n v="181597"/>
    <n v="0"/>
    <n v="181597"/>
    <n v="11.000012114750922"/>
    <n v="5000"/>
    <n v="100"/>
    <x v="5823"/>
    <x v="1"/>
    <x v="3"/>
    <x v="1"/>
  </r>
  <r>
    <x v="525"/>
    <s v="ZTAN"/>
    <x v="8"/>
    <s v="HLBX77"/>
    <s v="16093509K"/>
    <s v="PUDAHUEL"/>
    <x v="4595"/>
    <x v="1"/>
    <x v="1"/>
    <x v="10"/>
    <x v="1"/>
    <n v="1"/>
    <n v="85653"/>
    <n v="0"/>
    <n v="85653"/>
    <n v="11.000051370302831"/>
    <n v="5000"/>
    <n v="100"/>
    <x v="5824"/>
    <x v="1"/>
    <x v="3"/>
    <x v="1"/>
  </r>
  <r>
    <x v="525"/>
    <s v="ZTAN"/>
    <x v="8"/>
    <s v="SV2718"/>
    <s v="99626232"/>
    <s v="LA REINA"/>
    <x v="4596"/>
    <x v="1"/>
    <x v="1"/>
    <x v="11"/>
    <x v="1"/>
    <n v="3"/>
    <n v="55000"/>
    <n v="0"/>
    <n v="55000"/>
    <n v="20.690615113177664"/>
    <n v="5000"/>
    <n v="53"/>
    <x v="5825"/>
    <x v="1"/>
    <x v="3"/>
    <x v="1"/>
  </r>
  <r>
    <x v="525"/>
    <s v="ZTAN"/>
    <x v="8"/>
    <s v="XR6339"/>
    <s v="78907355"/>
    <s v="MAIPU"/>
    <x v="4597"/>
    <x v="1"/>
    <x v="1"/>
    <x v="2"/>
    <x v="1"/>
    <n v="2"/>
    <n v="55000"/>
    <n v="0"/>
    <n v="55000"/>
    <n v="20.055425904317385"/>
    <n v="5000"/>
    <n v="55"/>
    <x v="5826"/>
    <x v="1"/>
    <x v="3"/>
    <x v="1"/>
  </r>
  <r>
    <x v="526"/>
    <s v="ZTAN"/>
    <x v="52"/>
    <s v="SV2718"/>
    <s v="99626232"/>
    <s v="COLINA"/>
    <x v="4598"/>
    <x v="1"/>
    <x v="1"/>
    <x v="5"/>
    <x v="1"/>
    <n v="5"/>
    <n v="70000"/>
    <n v="0"/>
    <n v="70000"/>
    <n v="25.850767213841241"/>
    <n v="10000"/>
    <n v="27"/>
    <x v="5827"/>
    <x v="1"/>
    <x v="3"/>
    <x v="1"/>
  </r>
  <r>
    <x v="526"/>
    <s v="ZTAN"/>
    <x v="7"/>
    <s v="HLBX77"/>
    <s v="16093509K"/>
    <s v="RENCA"/>
    <x v="4599"/>
    <x v="1"/>
    <x v="1"/>
    <x v="7"/>
    <x v="1"/>
    <n v="1"/>
    <n v="96444"/>
    <n v="0"/>
    <n v="96444"/>
    <n v="10.288885498756615"/>
    <n v="5000"/>
    <n v="100"/>
    <x v="5828"/>
    <x v="1"/>
    <x v="3"/>
    <x v="1"/>
  </r>
  <r>
    <x v="526"/>
    <s v="ZTAN"/>
    <x v="7"/>
    <s v="PPPW97"/>
    <s v="116995093"/>
    <s v="TALCAHUANO"/>
    <x v="4600"/>
    <x v="0"/>
    <x v="0"/>
    <x v="0"/>
    <x v="0"/>
    <n v="0"/>
    <n v="430000"/>
    <n v="0"/>
    <n v="430000"/>
    <n v="26.857056129373561"/>
    <n v="20000"/>
    <n v="80"/>
    <x v="5829"/>
    <x v="1"/>
    <x v="3"/>
    <x v="0"/>
  </r>
  <r>
    <x v="526"/>
    <s v="ZTAN"/>
    <x v="7"/>
    <s v="PYCL28"/>
    <s v="160374632"/>
    <s v="TALCAHUANO"/>
    <x v="4601"/>
    <x v="0"/>
    <x v="0"/>
    <x v="0"/>
    <x v="0"/>
    <n v="0"/>
    <n v="430000"/>
    <n v="0"/>
    <n v="430000"/>
    <n v="18.647816470792314"/>
    <n v="20000"/>
    <n v="100"/>
    <x v="5830"/>
    <x v="1"/>
    <x v="3"/>
    <x v="0"/>
  </r>
  <r>
    <x v="526"/>
    <s v="ZTAN"/>
    <x v="7"/>
    <s v="SU9354"/>
    <s v="72564391"/>
    <s v="MELIPILLA"/>
    <x v="4602"/>
    <x v="2"/>
    <x v="1"/>
    <x v="29"/>
    <x v="1"/>
    <n v="5"/>
    <n v="90000"/>
    <n v="0"/>
    <n v="90000"/>
    <n v="17.704337562702861"/>
    <n v="10000"/>
    <n v="51"/>
    <x v="5831"/>
    <x v="1"/>
    <x v="3"/>
    <x v="1"/>
  </r>
  <r>
    <x v="526"/>
    <s v="ZTAN"/>
    <x v="7"/>
    <s v="WG4022"/>
    <s v="154837728"/>
    <s v="RENCA"/>
    <x v="4603"/>
    <x v="1"/>
    <x v="0"/>
    <x v="7"/>
    <x v="1"/>
    <n v="1"/>
    <n v="218672"/>
    <n v="0"/>
    <n v="218672"/>
    <n v="10.999984908925359"/>
    <n v="5000"/>
    <n v="100"/>
    <x v="5832"/>
    <x v="1"/>
    <x v="3"/>
    <x v="1"/>
  </r>
  <r>
    <x v="526"/>
    <s v="ZTAN"/>
    <x v="8"/>
    <s v="DJLF85"/>
    <s v="53173292"/>
    <s v="TALAGANTE"/>
    <x v="4604"/>
    <x v="4"/>
    <x v="1"/>
    <x v="50"/>
    <x v="1"/>
    <n v="4"/>
    <n v="55000"/>
    <n v="0"/>
    <n v="55000"/>
    <n v="18.667607966656266"/>
    <n v="5000"/>
    <n v="59"/>
    <x v="5833"/>
    <x v="1"/>
    <x v="3"/>
    <x v="1"/>
  </r>
  <r>
    <x v="526"/>
    <s v="ZTAN"/>
    <x v="8"/>
    <s v="SV2718"/>
    <s v="99626232"/>
    <s v="LAS CONDES"/>
    <x v="4605"/>
    <x v="1"/>
    <x v="1"/>
    <x v="3"/>
    <x v="1"/>
    <n v="4"/>
    <n v="55000"/>
    <n v="0"/>
    <n v="55000"/>
    <n v="21.103279449626474"/>
    <n v="5000"/>
    <n v="52"/>
    <x v="5834"/>
    <x v="1"/>
    <x v="3"/>
    <x v="1"/>
  </r>
  <r>
    <x v="526"/>
    <s v="ZTAN"/>
    <x v="8"/>
    <s v="XR6339"/>
    <s v="78907355"/>
    <s v="ÑUÑOA"/>
    <x v="4606"/>
    <x v="1"/>
    <x v="1"/>
    <x v="15"/>
    <x v="1"/>
    <n v="4"/>
    <n v="55000"/>
    <n v="0"/>
    <n v="55000"/>
    <n v="21.682310782416039"/>
    <n v="5000"/>
    <n v="51"/>
    <x v="5835"/>
    <x v="1"/>
    <x v="3"/>
    <x v="1"/>
  </r>
  <r>
    <x v="527"/>
    <s v="ZPEP"/>
    <x v="5"/>
    <s v="DKDL88"/>
    <s v="122975819"/>
    <s v="LA SERENA"/>
    <x v="4607"/>
    <x v="0"/>
    <x v="0"/>
    <x v="63"/>
    <x v="8"/>
    <n v="0"/>
    <n v="650000"/>
    <n v="0"/>
    <n v="650000"/>
    <n v="51.92352702939111"/>
    <n v="20000"/>
    <n v="63"/>
    <x v="5836"/>
    <x v="1"/>
    <x v="3"/>
    <x v="0"/>
  </r>
  <r>
    <x v="527"/>
    <s v="ZPEP"/>
    <x v="7"/>
    <s v="HLZV71"/>
    <s v="90366327"/>
    <s v="CALAMA"/>
    <x v="4038"/>
    <x v="0"/>
    <x v="0"/>
    <x v="37"/>
    <x v="7"/>
    <n v="0"/>
    <n v="1600000"/>
    <n v="0"/>
    <n v="1600000"/>
    <n v="61.402431536288816"/>
    <n v="20000"/>
    <n v="100"/>
    <x v="5837"/>
    <x v="1"/>
    <x v="3"/>
    <x v="0"/>
  </r>
  <r>
    <x v="527"/>
    <s v="ZPEP"/>
    <x v="7"/>
    <s v="KXTC79"/>
    <s v="170846392"/>
    <s v="CALAMA"/>
    <x v="4038"/>
    <x v="0"/>
    <x v="0"/>
    <x v="37"/>
    <x v="7"/>
    <n v="0"/>
    <n v="1600000"/>
    <n v="0"/>
    <n v="1600000"/>
    <n v="61.402431536288816"/>
    <n v="20000"/>
    <n v="100"/>
    <x v="5838"/>
    <x v="1"/>
    <x v="3"/>
    <x v="0"/>
  </r>
  <r>
    <x v="527"/>
    <s v="ZPEP"/>
    <x v="33"/>
    <s v="DJLF85"/>
    <s v="53173292"/>
    <s v="PUENTE ALTO"/>
    <x v="4608"/>
    <x v="4"/>
    <x v="1"/>
    <x v="30"/>
    <x v="1"/>
    <n v="4"/>
    <n v="154821"/>
    <n v="0"/>
    <n v="154821"/>
    <n v="10.999997158009016"/>
    <n v="5000"/>
    <n v="100"/>
    <x v="5839"/>
    <x v="1"/>
    <x v="3"/>
    <x v="1"/>
  </r>
  <r>
    <x v="527"/>
    <s v="ZPEP"/>
    <x v="33"/>
    <s v="HLBX77"/>
    <s v="16093509K"/>
    <s v="PUENTE ALTO"/>
    <x v="4609"/>
    <x v="1"/>
    <x v="1"/>
    <x v="30"/>
    <x v="1"/>
    <n v="4"/>
    <n v="165111"/>
    <n v="0"/>
    <n v="165111"/>
    <n v="10.999986009429644"/>
    <n v="5000"/>
    <n v="100"/>
    <x v="5840"/>
    <x v="1"/>
    <x v="3"/>
    <x v="1"/>
  </r>
  <r>
    <x v="527"/>
    <s v="ZTAN"/>
    <x v="47"/>
    <s v="WC2233"/>
    <s v="125108660"/>
    <s v="SAN JOAQUIN"/>
    <x v="1883"/>
    <x v="4"/>
    <x v="1"/>
    <x v="67"/>
    <x v="1"/>
    <n v="3"/>
    <n v="55000"/>
    <n v="0"/>
    <n v="55000"/>
    <n v="16.862889379445665"/>
    <n v="5000"/>
    <n v="65"/>
    <x v="5841"/>
    <x v="1"/>
    <x v="3"/>
    <x v="1"/>
  </r>
  <r>
    <x v="527"/>
    <s v="ZTAN"/>
    <x v="10"/>
    <s v="RH1133"/>
    <s v="65941082"/>
    <s v="RANCAGUA"/>
    <x v="4610"/>
    <x v="0"/>
    <x v="0"/>
    <x v="28"/>
    <x v="6"/>
    <n v="0"/>
    <n v="250000"/>
    <n v="0"/>
    <n v="250000"/>
    <n v="17.684078882309638"/>
    <n v="20000"/>
    <n v="71"/>
    <x v="5842"/>
    <x v="1"/>
    <x v="3"/>
    <x v="0"/>
  </r>
  <r>
    <x v="527"/>
    <s v="ZTAN"/>
    <x v="10"/>
    <s v="WC2233"/>
    <s v="125108660"/>
    <s v="SANTIAGO"/>
    <x v="4611"/>
    <x v="4"/>
    <x v="1"/>
    <x v="20"/>
    <x v="1"/>
    <n v="1"/>
    <n v="83886"/>
    <n v="0"/>
    <n v="83886"/>
    <n v="11"/>
    <n v="5000"/>
    <n v="100"/>
    <x v="5843"/>
    <x v="1"/>
    <x v="3"/>
    <x v="1"/>
  </r>
  <r>
    <x v="527"/>
    <s v="ZTAN"/>
    <x v="7"/>
    <s v="SU9354"/>
    <s v="72564391"/>
    <s v="SAN MIGUEL"/>
    <x v="4612"/>
    <x v="2"/>
    <x v="1"/>
    <x v="23"/>
    <x v="1"/>
    <n v="2"/>
    <n v="101690"/>
    <n v="0"/>
    <n v="101690"/>
    <n v="8.2017986046699196"/>
    <n v="5000"/>
    <n v="100"/>
    <x v="5844"/>
    <x v="1"/>
    <x v="3"/>
    <x v="1"/>
  </r>
  <r>
    <x v="528"/>
    <s v="ZPEP"/>
    <x v="5"/>
    <s v="BPKD94"/>
    <s v="125897258"/>
    <s v="LA SERENA"/>
    <x v="4613"/>
    <x v="0"/>
    <x v="0"/>
    <x v="63"/>
    <x v="8"/>
    <n v="0"/>
    <n v="650000"/>
    <n v="0"/>
    <n v="650000"/>
    <n v="61.344366510883432"/>
    <n v="20000"/>
    <n v="65"/>
    <x v="5845"/>
    <x v="2"/>
    <x v="3"/>
    <x v="0"/>
  </r>
  <r>
    <x v="528"/>
    <s v="ZTAN"/>
    <x v="10"/>
    <s v="KKPF51"/>
    <s v="95707734"/>
    <s v="QUILICURA"/>
    <x v="4614"/>
    <x v="8"/>
    <x v="0"/>
    <x v="8"/>
    <x v="1"/>
    <n v="1"/>
    <n v="87712"/>
    <n v="0"/>
    <n v="87712"/>
    <n v="11.00003887737199"/>
    <n v="5000"/>
    <n v="100"/>
    <x v="5846"/>
    <x v="2"/>
    <x v="3"/>
    <x v="1"/>
  </r>
  <r>
    <x v="528"/>
    <s v="ZTAN"/>
    <x v="10"/>
    <s v="RH1133"/>
    <s v="95707734"/>
    <s v="QUILICURA"/>
    <x v="4615"/>
    <x v="0"/>
    <x v="0"/>
    <x v="8"/>
    <x v="1"/>
    <n v="1"/>
    <n v="55000"/>
    <n v="0"/>
    <n v="55000"/>
    <n v="15.694555416048395"/>
    <n v="5000"/>
    <n v="70"/>
    <x v="5847"/>
    <x v="2"/>
    <x v="3"/>
    <x v="1"/>
  </r>
  <r>
    <x v="528"/>
    <s v="ZTAN"/>
    <x v="7"/>
    <s v="DKDL88"/>
    <s v="122975819"/>
    <s v="CORONEL"/>
    <x v="419"/>
    <x v="0"/>
    <x v="0"/>
    <x v="16"/>
    <x v="0"/>
    <n v="0"/>
    <n v="480000"/>
    <n v="0"/>
    <n v="480000"/>
    <n v="58.224163027656452"/>
    <n v="20000"/>
    <n v="41"/>
    <x v="5848"/>
    <x v="2"/>
    <x v="3"/>
    <x v="0"/>
  </r>
  <r>
    <x v="528"/>
    <s v="ZTAN"/>
    <x v="7"/>
    <s v="HDDB11"/>
    <s v="161376469"/>
    <s v="CORONEL"/>
    <x v="419"/>
    <x v="0"/>
    <x v="0"/>
    <x v="16"/>
    <x v="0"/>
    <n v="0"/>
    <n v="480000"/>
    <n v="0"/>
    <n v="480000"/>
    <n v="58.224163027656452"/>
    <n v="20000"/>
    <n v="41"/>
    <x v="5849"/>
    <x v="2"/>
    <x v="3"/>
    <x v="0"/>
  </r>
  <r>
    <x v="528"/>
    <s v="ZTAN"/>
    <x v="7"/>
    <s v="HLBX77"/>
    <s v="16093509K"/>
    <s v="RENCA"/>
    <x v="4616"/>
    <x v="1"/>
    <x v="1"/>
    <x v="7"/>
    <x v="1"/>
    <n v="1"/>
    <n v="117718"/>
    <n v="0"/>
    <n v="117718"/>
    <n v="11.000037377588397"/>
    <n v="5000"/>
    <n v="100"/>
    <x v="5850"/>
    <x v="2"/>
    <x v="3"/>
    <x v="1"/>
  </r>
  <r>
    <x v="528"/>
    <s v="ZTAN"/>
    <x v="7"/>
    <s v="WG4022"/>
    <s v="154837728"/>
    <s v="RENCA"/>
    <x v="4617"/>
    <x v="1"/>
    <x v="0"/>
    <x v="7"/>
    <x v="1"/>
    <n v="1"/>
    <n v="153150"/>
    <n v="0"/>
    <n v="153150"/>
    <n v="11.000021547544657"/>
    <n v="5000"/>
    <n v="100"/>
    <x v="5851"/>
    <x v="2"/>
    <x v="3"/>
    <x v="1"/>
  </r>
  <r>
    <x v="528"/>
    <s v="ZTAN"/>
    <x v="8"/>
    <s v="SV2718"/>
    <s v="99626232"/>
    <s v="PUENTE ALTO"/>
    <x v="4618"/>
    <x v="1"/>
    <x v="1"/>
    <x v="30"/>
    <x v="1"/>
    <n v="4"/>
    <n v="55000"/>
    <n v="0"/>
    <n v="55000"/>
    <n v="16.840171463563994"/>
    <n v="5000"/>
    <n v="65"/>
    <x v="5852"/>
    <x v="2"/>
    <x v="3"/>
    <x v="1"/>
  </r>
  <r>
    <x v="528"/>
    <s v="ZTAN"/>
    <x v="8"/>
    <s v="TP3884"/>
    <s v="107643206"/>
    <s v="QUILICURA"/>
    <x v="4619"/>
    <x v="1"/>
    <x v="1"/>
    <x v="8"/>
    <x v="1"/>
    <n v="1"/>
    <n v="55000"/>
    <n v="0"/>
    <n v="55000"/>
    <n v="16.508485361475799"/>
    <n v="5000"/>
    <n v="67"/>
    <x v="5853"/>
    <x v="2"/>
    <x v="3"/>
    <x v="1"/>
  </r>
  <r>
    <x v="529"/>
    <s v="ZTAN"/>
    <x v="10"/>
    <s v="HLBX77"/>
    <s v="16093509K"/>
    <s v="RANCAGUA"/>
    <x v="4620"/>
    <x v="1"/>
    <x v="1"/>
    <x v="28"/>
    <x v="6"/>
    <n v="0"/>
    <n v="180000"/>
    <n v="0"/>
    <n v="180000"/>
    <n v="29.644952288096235"/>
    <n v="20000"/>
    <n v="30"/>
    <x v="5854"/>
    <x v="2"/>
    <x v="3"/>
    <x v="0"/>
  </r>
  <r>
    <x v="529"/>
    <s v="ZTAN"/>
    <x v="70"/>
    <s v="SU9354"/>
    <s v="72564391"/>
    <s v="MAIPU"/>
    <x v="414"/>
    <x v="2"/>
    <x v="1"/>
    <x v="2"/>
    <x v="1"/>
    <n v="2"/>
    <n v="107307"/>
    <n v="0"/>
    <n v="107307"/>
    <n v="10.999979498113829"/>
    <n v="5000"/>
    <n v="100"/>
    <x v="5855"/>
    <x v="2"/>
    <x v="3"/>
    <x v="1"/>
  </r>
  <r>
    <x v="529"/>
    <s v="ZTAN"/>
    <x v="7"/>
    <s v="BWPL69"/>
    <s v="78551976"/>
    <s v="CORONEL"/>
    <x v="4621"/>
    <x v="5"/>
    <x v="0"/>
    <x v="16"/>
    <x v="0"/>
    <n v="0"/>
    <n v="480000"/>
    <n v="0"/>
    <n v="480000"/>
    <n v="60.096153846153854"/>
    <n v="20000"/>
    <n v="40"/>
    <x v="5856"/>
    <x v="2"/>
    <x v="3"/>
    <x v="0"/>
  </r>
  <r>
    <x v="529"/>
    <s v="ZTAN"/>
    <x v="7"/>
    <s v="CJXX49"/>
    <s v="167832741"/>
    <s v="CORONEL"/>
    <x v="4622"/>
    <x v="5"/>
    <x v="0"/>
    <x v="16"/>
    <x v="0"/>
    <n v="0"/>
    <n v="480000"/>
    <n v="0"/>
    <n v="480000"/>
    <n v="55.155296632079683"/>
    <n v="20000"/>
    <n v="44"/>
    <x v="5857"/>
    <x v="2"/>
    <x v="3"/>
    <x v="0"/>
  </r>
  <r>
    <x v="529"/>
    <s v="ZTAN"/>
    <x v="7"/>
    <s v="DJLF85"/>
    <s v="53173292"/>
    <s v="RENCA"/>
    <x v="4623"/>
    <x v="4"/>
    <x v="1"/>
    <x v="7"/>
    <x v="1"/>
    <n v="1"/>
    <n v="74232"/>
    <n v="0"/>
    <n v="74232"/>
    <n v="10.999940726690772"/>
    <n v="5000"/>
    <n v="100"/>
    <x v="5858"/>
    <x v="2"/>
    <x v="3"/>
    <x v="1"/>
  </r>
  <r>
    <x v="529"/>
    <s v="ZTAN"/>
    <x v="7"/>
    <s v="WG4022"/>
    <s v="154837728"/>
    <s v="RENCA"/>
    <x v="4624"/>
    <x v="1"/>
    <x v="0"/>
    <x v="7"/>
    <x v="1"/>
    <n v="1"/>
    <n v="192584"/>
    <n v="0"/>
    <n v="192584"/>
    <n v="11.000022847220636"/>
    <n v="5000"/>
    <n v="100"/>
    <x v="5859"/>
    <x v="2"/>
    <x v="3"/>
    <x v="1"/>
  </r>
  <r>
    <x v="529"/>
    <s v="ZTAN"/>
    <x v="8"/>
    <s v="SV2718"/>
    <s v="99626232"/>
    <s v="LA REINA"/>
    <x v="4625"/>
    <x v="1"/>
    <x v="1"/>
    <x v="11"/>
    <x v="1"/>
    <n v="3"/>
    <n v="55000"/>
    <n v="0"/>
    <n v="55000"/>
    <n v="14.463559718723211"/>
    <n v="5000"/>
    <n v="76"/>
    <x v="5860"/>
    <x v="2"/>
    <x v="3"/>
    <x v="1"/>
  </r>
  <r>
    <x v="529"/>
    <s v="ZTAN"/>
    <x v="8"/>
    <s v="TP3884"/>
    <s v="107643206"/>
    <s v="PUDAHUEL"/>
    <x v="4626"/>
    <x v="1"/>
    <x v="1"/>
    <x v="10"/>
    <x v="1"/>
    <n v="1"/>
    <n v="55000"/>
    <n v="0"/>
    <n v="55000"/>
    <n v="13.066553898346967"/>
    <n v="5000"/>
    <n v="84"/>
    <x v="5861"/>
    <x v="2"/>
    <x v="3"/>
    <x v="1"/>
  </r>
  <r>
    <x v="530"/>
    <s v="ZPEP"/>
    <x v="2"/>
    <s v="DGCC76"/>
    <s v="98911472"/>
    <s v="COQUIMBO"/>
    <x v="4627"/>
    <x v="0"/>
    <x v="0"/>
    <x v="42"/>
    <x v="8"/>
    <n v="0"/>
    <n v="1100000"/>
    <n v="0"/>
    <n v="1100000"/>
    <n v="54.894711942494297"/>
    <n v="20000"/>
    <n v="100"/>
    <x v="5862"/>
    <x v="2"/>
    <x v="3"/>
    <x v="0"/>
  </r>
  <r>
    <x v="530"/>
    <s v="ZTAN"/>
    <x v="10"/>
    <s v="HLBX77"/>
    <s v="16093509K"/>
    <s v="TIL TIL"/>
    <x v="4628"/>
    <x v="1"/>
    <x v="1"/>
    <x v="70"/>
    <x v="1"/>
    <n v="5"/>
    <n v="90000"/>
    <n v="0"/>
    <n v="90000"/>
    <n v="30.287529614473399"/>
    <n v="10000"/>
    <n v="30"/>
    <x v="5863"/>
    <x v="2"/>
    <x v="3"/>
    <x v="1"/>
  </r>
  <r>
    <x v="530"/>
    <s v="ZTAN"/>
    <x v="10"/>
    <s v="KKPF51"/>
    <s v="95707734"/>
    <s v="QUILICURA"/>
    <x v="4629"/>
    <x v="8"/>
    <x v="0"/>
    <x v="8"/>
    <x v="1"/>
    <n v="1"/>
    <n v="126497"/>
    <n v="0"/>
    <n v="126497"/>
    <n v="11.000035653134997"/>
    <n v="5000"/>
    <n v="100"/>
    <x v="5864"/>
    <x v="2"/>
    <x v="3"/>
    <x v="1"/>
  </r>
  <r>
    <x v="530"/>
    <s v="ZTAN"/>
    <x v="24"/>
    <s v="KKPF51"/>
    <s v="95707734"/>
    <s v="MACHALI"/>
    <x v="4630"/>
    <x v="8"/>
    <x v="0"/>
    <x v="43"/>
    <x v="6"/>
    <n v="0"/>
    <n v="280000"/>
    <n v="0"/>
    <n v="280000"/>
    <n v="20.412626667638712"/>
    <n v="20000"/>
    <n v="69"/>
    <x v="5865"/>
    <x v="2"/>
    <x v="3"/>
    <x v="0"/>
  </r>
  <r>
    <x v="530"/>
    <s v="ZTAN"/>
    <x v="16"/>
    <s v="HLBX77"/>
    <s v="16093509K"/>
    <s v="SAN BERNARDO"/>
    <x v="4631"/>
    <x v="1"/>
    <x v="1"/>
    <x v="4"/>
    <x v="1"/>
    <n v="4"/>
    <n v="98483"/>
    <n v="0"/>
    <n v="98483"/>
    <n v="11"/>
    <n v="5000"/>
    <n v="100"/>
    <x v="5866"/>
    <x v="2"/>
    <x v="3"/>
    <x v="1"/>
  </r>
  <r>
    <x v="530"/>
    <s v="ZTAN"/>
    <x v="16"/>
    <s v="PYCP22"/>
    <s v="114163848"/>
    <s v="TEMUCO"/>
    <x v="419"/>
    <x v="0"/>
    <x v="0"/>
    <x v="14"/>
    <x v="4"/>
    <n v="0"/>
    <n v="700000"/>
    <n v="0"/>
    <n v="700000"/>
    <n v="84.910237748665665"/>
    <n v="20000"/>
    <n v="41"/>
    <x v="5867"/>
    <x v="2"/>
    <x v="3"/>
    <x v="0"/>
  </r>
  <r>
    <x v="530"/>
    <s v="ZTAN"/>
    <x v="7"/>
    <s v="DJLF85"/>
    <s v="53173292"/>
    <s v="MELIPILLA"/>
    <x v="4632"/>
    <x v="4"/>
    <x v="1"/>
    <x v="29"/>
    <x v="1"/>
    <n v="5"/>
    <n v="90000"/>
    <n v="0"/>
    <n v="90000"/>
    <n v="19.600156801254411"/>
    <n v="10000"/>
    <n v="46"/>
    <x v="5868"/>
    <x v="2"/>
    <x v="3"/>
    <x v="1"/>
  </r>
  <r>
    <x v="530"/>
    <s v="ZTAN"/>
    <x v="7"/>
    <s v="WC2233"/>
    <s v="125108660"/>
    <s v="SANTIAGO"/>
    <x v="4633"/>
    <x v="4"/>
    <x v="1"/>
    <x v="20"/>
    <x v="1"/>
    <n v="1"/>
    <n v="58687"/>
    <n v="0"/>
    <n v="58687"/>
    <n v="11.000065602654097"/>
    <n v="5000"/>
    <n v="100"/>
    <x v="5869"/>
    <x v="2"/>
    <x v="3"/>
    <x v="1"/>
  </r>
  <r>
    <x v="530"/>
    <s v="ZTAN"/>
    <x v="7"/>
    <s v="WG4022"/>
    <s v="154837728"/>
    <s v="RENCA"/>
    <x v="4634"/>
    <x v="1"/>
    <x v="0"/>
    <x v="7"/>
    <x v="1"/>
    <n v="1"/>
    <n v="198629"/>
    <n v="0"/>
    <n v="198629"/>
    <n v="10.999988924085683"/>
    <n v="5000"/>
    <n v="100"/>
    <x v="5870"/>
    <x v="2"/>
    <x v="3"/>
    <x v="1"/>
  </r>
  <r>
    <x v="530"/>
    <s v="ZTAN"/>
    <x v="7"/>
    <s v="XR6339"/>
    <s v="78907355"/>
    <s v="RENCA"/>
    <x v="1067"/>
    <x v="1"/>
    <x v="1"/>
    <x v="7"/>
    <x v="1"/>
    <n v="1"/>
    <n v="93522"/>
    <n v="0"/>
    <n v="93522"/>
    <n v="11"/>
    <n v="5000"/>
    <n v="100"/>
    <x v="5871"/>
    <x v="2"/>
    <x v="3"/>
    <x v="1"/>
  </r>
  <r>
    <x v="530"/>
    <s v="ZTAN"/>
    <x v="8"/>
    <s v="BWPL69"/>
    <s v="78551976"/>
    <s v="ANGOL"/>
    <x v="4635"/>
    <x v="5"/>
    <x v="0"/>
    <x v="84"/>
    <x v="4"/>
    <n v="0"/>
    <n v="530000"/>
    <n v="0"/>
    <n v="530000"/>
    <n v="68.157735002726341"/>
    <n v="20000"/>
    <n v="39"/>
    <x v="5872"/>
    <x v="2"/>
    <x v="3"/>
    <x v="0"/>
  </r>
  <r>
    <x v="530"/>
    <s v="ZTAN"/>
    <x v="8"/>
    <s v="RKYY82"/>
    <s v="101495566"/>
    <s v="VILLARRICA"/>
    <x v="4636"/>
    <x v="0"/>
    <x v="0"/>
    <x v="88"/>
    <x v="4"/>
    <n v="0"/>
    <n v="800000"/>
    <n v="0"/>
    <n v="800000"/>
    <n v="158.64768711503149"/>
    <n v="20000"/>
    <n v="25"/>
    <x v="5873"/>
    <x v="2"/>
    <x v="3"/>
    <x v="0"/>
  </r>
  <r>
    <x v="530"/>
    <s v="ZTAN"/>
    <x v="8"/>
    <s v="SU9354"/>
    <s v="72564361"/>
    <s v="PUENTE ALTO"/>
    <x v="4301"/>
    <x v="2"/>
    <x v="1"/>
    <x v="30"/>
    <x v="1"/>
    <n v="4"/>
    <n v="55000"/>
    <n v="0"/>
    <n v="55000"/>
    <n v="21.879052597242442"/>
    <n v="5000"/>
    <n v="50"/>
    <x v="5874"/>
    <x v="2"/>
    <x v="3"/>
    <x v="1"/>
  </r>
  <r>
    <x v="530"/>
    <s v="ZTAN"/>
    <x v="8"/>
    <s v="SV2718"/>
    <s v="99626232"/>
    <s v="EL BOSQUE"/>
    <x v="4637"/>
    <x v="1"/>
    <x v="1"/>
    <x v="25"/>
    <x v="1"/>
    <n v="3"/>
    <n v="55000"/>
    <n v="0"/>
    <n v="55000"/>
    <n v="20.497912939773396"/>
    <n v="5000"/>
    <n v="54"/>
    <x v="5875"/>
    <x v="2"/>
    <x v="3"/>
    <x v="1"/>
  </r>
  <r>
    <x v="530"/>
    <s v="ZTAN"/>
    <x v="8"/>
    <s v="TP3884"/>
    <s v="107643206"/>
    <s v="SAN BERNARDO"/>
    <x v="4638"/>
    <x v="1"/>
    <x v="1"/>
    <x v="4"/>
    <x v="1"/>
    <n v="4"/>
    <n v="55000"/>
    <n v="0"/>
    <n v="55000"/>
    <n v="17.775824232649988"/>
    <n v="5000"/>
    <n v="62"/>
    <x v="5876"/>
    <x v="2"/>
    <x v="3"/>
    <x v="1"/>
  </r>
  <r>
    <x v="531"/>
    <s v="ZPEP"/>
    <x v="116"/>
    <s v="CGZX13"/>
    <s v="137998513"/>
    <s v="SANTIAGO"/>
    <x v="4639"/>
    <x v="0"/>
    <x v="0"/>
    <x v="20"/>
    <x v="1"/>
    <n v="1"/>
    <n v="55000"/>
    <n v="0"/>
    <n v="55000"/>
    <n v="11.462990173091152"/>
    <n v="5000"/>
    <n v="96"/>
    <x v="5877"/>
    <x v="2"/>
    <x v="3"/>
    <x v="1"/>
  </r>
  <r>
    <x v="531"/>
    <s v="ZPEP"/>
    <x v="7"/>
    <s v="WC2233"/>
    <s v="125108660"/>
    <s v="RENCA"/>
    <x v="3266"/>
    <x v="4"/>
    <x v="1"/>
    <x v="7"/>
    <x v="1"/>
    <n v="1"/>
    <n v="66298"/>
    <n v="0"/>
    <n v="66298"/>
    <n v="10.999946906648614"/>
    <n v="5000"/>
    <n v="100"/>
    <x v="5878"/>
    <x v="2"/>
    <x v="3"/>
    <x v="1"/>
  </r>
  <r>
    <x v="531"/>
    <s v="ZTAN"/>
    <x v="6"/>
    <s v="CGZX13"/>
    <s v="137998513"/>
    <s v="LOS ANGELES"/>
    <x v="4640"/>
    <x v="0"/>
    <x v="0"/>
    <x v="57"/>
    <x v="0"/>
    <n v="0"/>
    <n v="460000"/>
    <n v="0"/>
    <n v="460000"/>
    <n v="90.708313614134724"/>
    <n v="20000"/>
    <n v="25"/>
    <x v="5879"/>
    <x v="2"/>
    <x v="3"/>
    <x v="0"/>
  </r>
  <r>
    <x v="531"/>
    <s v="ZTAN"/>
    <x v="6"/>
    <s v="DJLF85"/>
    <s v="53173292"/>
    <s v="PUENTE ALTO"/>
    <x v="4641"/>
    <x v="4"/>
    <x v="1"/>
    <x v="30"/>
    <x v="1"/>
    <n v="4"/>
    <n v="55000"/>
    <n v="0"/>
    <n v="55000"/>
    <n v="15.995812005583993"/>
    <n v="5000"/>
    <n v="69"/>
    <x v="5880"/>
    <x v="2"/>
    <x v="3"/>
    <x v="1"/>
  </r>
  <r>
    <x v="531"/>
    <s v="ZTAN"/>
    <x v="6"/>
    <s v="TP3884"/>
    <s v="107643206"/>
    <s v="LA DEHESA"/>
    <x v="4642"/>
    <x v="1"/>
    <x v="1"/>
    <x v="41"/>
    <x v="1"/>
    <n v="4"/>
    <n v="55000"/>
    <n v="0"/>
    <n v="55000"/>
    <n v="11.21931517300184"/>
    <n v="5000"/>
    <n v="98"/>
    <x v="5881"/>
    <x v="2"/>
    <x v="3"/>
    <x v="1"/>
  </r>
  <r>
    <x v="531"/>
    <s v="ZTAN"/>
    <x v="6"/>
    <s v="XR6339"/>
    <s v="78907355"/>
    <s v="CERRILLOS"/>
    <x v="4643"/>
    <x v="1"/>
    <x v="1"/>
    <x v="9"/>
    <x v="1"/>
    <n v="2"/>
    <n v="63510"/>
    <n v="0"/>
    <n v="63510"/>
    <n v="10.999993071961534"/>
    <n v="5000"/>
    <n v="100"/>
    <x v="5882"/>
    <x v="2"/>
    <x v="3"/>
    <x v="1"/>
  </r>
  <r>
    <x v="531"/>
    <s v="ZTAN"/>
    <x v="9"/>
    <s v="RH1133"/>
    <s v="65941082"/>
    <s v="SAN BERNARDO"/>
    <x v="4644"/>
    <x v="0"/>
    <x v="0"/>
    <x v="4"/>
    <x v="1"/>
    <n v="4"/>
    <n v="257774"/>
    <n v="0"/>
    <n v="257774"/>
    <n v="11"/>
    <n v="5000"/>
    <n v="100"/>
    <x v="5883"/>
    <x v="2"/>
    <x v="3"/>
    <x v="1"/>
  </r>
  <r>
    <x v="531"/>
    <s v="ZTAN"/>
    <x v="7"/>
    <s v="WC2233"/>
    <s v="125108660"/>
    <s v="RENCA"/>
    <x v="4645"/>
    <x v="4"/>
    <x v="1"/>
    <x v="7"/>
    <x v="1"/>
    <n v="1"/>
    <n v="75089"/>
    <n v="0"/>
    <n v="75089"/>
    <n v="10.999956052327033"/>
    <n v="5000"/>
    <n v="100"/>
    <x v="5884"/>
    <x v="2"/>
    <x v="3"/>
    <x v="1"/>
  </r>
  <r>
    <x v="531"/>
    <s v="ZTAN"/>
    <x v="7"/>
    <s v="WG4022"/>
    <s v="154837728"/>
    <s v="RENCA"/>
    <x v="4646"/>
    <x v="1"/>
    <x v="0"/>
    <x v="7"/>
    <x v="1"/>
    <n v="1"/>
    <n v="112408"/>
    <n v="0"/>
    <n v="112408"/>
    <n v="11.000031314586336"/>
    <n v="5000"/>
    <n v="100"/>
    <x v="5885"/>
    <x v="2"/>
    <x v="3"/>
    <x v="1"/>
  </r>
  <r>
    <x v="531"/>
    <s v="ZTAN"/>
    <x v="8"/>
    <s v="DKDL88"/>
    <s v="122975819"/>
    <s v="TALCA"/>
    <x v="4647"/>
    <x v="0"/>
    <x v="0"/>
    <x v="12"/>
    <x v="3"/>
    <n v="0"/>
    <n v="360000"/>
    <n v="0"/>
    <n v="360000"/>
    <n v="54.608254037597789"/>
    <n v="20000"/>
    <n v="33"/>
    <x v="5886"/>
    <x v="2"/>
    <x v="3"/>
    <x v="0"/>
  </r>
  <r>
    <x v="531"/>
    <s v="ZTAN"/>
    <x v="8"/>
    <s v="HLBX77"/>
    <s v="16093509K"/>
    <s v="PUDAHUEL"/>
    <x v="4648"/>
    <x v="1"/>
    <x v="1"/>
    <x v="10"/>
    <x v="1"/>
    <n v="1"/>
    <n v="84374"/>
    <n v="0"/>
    <n v="84374"/>
    <n v="11.000062578875459"/>
    <n v="5000"/>
    <n v="100"/>
    <x v="5887"/>
    <x v="2"/>
    <x v="3"/>
    <x v="1"/>
  </r>
  <r>
    <x v="531"/>
    <s v="ZTAN"/>
    <x v="8"/>
    <s v="SV2718"/>
    <s v="99626232"/>
    <s v="ÑUÑOA"/>
    <x v="4649"/>
    <x v="1"/>
    <x v="1"/>
    <x v="15"/>
    <x v="1"/>
    <n v="4"/>
    <n v="55000"/>
    <n v="0"/>
    <n v="55000"/>
    <n v="17.468524894236023"/>
    <n v="5000"/>
    <n v="63"/>
    <x v="5888"/>
    <x v="2"/>
    <x v="3"/>
    <x v="1"/>
  </r>
  <r>
    <x v="532"/>
    <s v="ZTAN"/>
    <x v="10"/>
    <s v="WC2233"/>
    <s v="125108660"/>
    <s v="SANTIAGO"/>
    <x v="927"/>
    <x v="4"/>
    <x v="1"/>
    <x v="20"/>
    <x v="1"/>
    <n v="1"/>
    <n v="55000"/>
    <n v="0"/>
    <n v="55000"/>
    <n v="19.637246500999712"/>
    <n v="5000"/>
    <n v="56"/>
    <x v="5889"/>
    <x v="2"/>
    <x v="3"/>
    <x v="1"/>
  </r>
  <r>
    <x v="532"/>
    <s v="ZTAN"/>
    <x v="6"/>
    <s v="SV2718"/>
    <s v="99626232"/>
    <s v="LA REINA"/>
    <x v="4650"/>
    <x v="1"/>
    <x v="1"/>
    <x v="11"/>
    <x v="1"/>
    <n v="3"/>
    <n v="55000"/>
    <n v="0"/>
    <n v="55000"/>
    <n v="23.950531266329907"/>
    <n v="5000"/>
    <n v="46"/>
    <x v="5890"/>
    <x v="2"/>
    <x v="3"/>
    <x v="1"/>
  </r>
  <r>
    <x v="532"/>
    <s v="ZTAN"/>
    <x v="6"/>
    <s v="XR6339"/>
    <s v="78907355"/>
    <s v="PEDRO AGUIRRE CERDA"/>
    <x v="4651"/>
    <x v="1"/>
    <x v="1"/>
    <x v="83"/>
    <x v="1"/>
    <n v="3"/>
    <n v="55000"/>
    <n v="0"/>
    <n v="55000"/>
    <n v="11.549526469414753"/>
    <n v="5000"/>
    <n v="95"/>
    <x v="5891"/>
    <x v="2"/>
    <x v="3"/>
    <x v="1"/>
  </r>
  <r>
    <x v="532"/>
    <s v="ZTAN"/>
    <x v="7"/>
    <s v="DJLF85"/>
    <s v="53173292"/>
    <s v="RENCA"/>
    <x v="4652"/>
    <x v="4"/>
    <x v="1"/>
    <x v="7"/>
    <x v="1"/>
    <n v="1"/>
    <n v="105670"/>
    <n v="0"/>
    <n v="105670"/>
    <n v="10.999958361092606"/>
    <n v="5000"/>
    <n v="100"/>
    <x v="5892"/>
    <x v="2"/>
    <x v="3"/>
    <x v="1"/>
  </r>
  <r>
    <x v="532"/>
    <s v="ZTAN"/>
    <x v="7"/>
    <s v="WG4022"/>
    <s v="154837728"/>
    <s v="RENCA"/>
    <x v="419"/>
    <x v="1"/>
    <x v="0"/>
    <x v="7"/>
    <x v="1"/>
    <n v="1"/>
    <n v="90684"/>
    <n v="0"/>
    <n v="90684"/>
    <n v="10.999999999999995"/>
    <n v="5000"/>
    <n v="100"/>
    <x v="5893"/>
    <x v="2"/>
    <x v="3"/>
    <x v="1"/>
  </r>
  <r>
    <x v="532"/>
    <s v="ZTAN"/>
    <x v="8"/>
    <s v="DKDL88"/>
    <s v="122975819"/>
    <s v="OSORNO"/>
    <x v="4653"/>
    <x v="0"/>
    <x v="0"/>
    <x v="64"/>
    <x v="10"/>
    <n v="0"/>
    <n v="950000"/>
    <n v="0"/>
    <n v="950000"/>
    <n v="84.645185203665221"/>
    <n v="20000"/>
    <n v="56"/>
    <x v="5894"/>
    <x v="2"/>
    <x v="3"/>
    <x v="0"/>
  </r>
  <r>
    <x v="532"/>
    <s v="ZTAN"/>
    <x v="8"/>
    <s v="HLBX77"/>
    <s v="16093509K"/>
    <s v="PUDAHUEL"/>
    <x v="4654"/>
    <x v="1"/>
    <x v="1"/>
    <x v="10"/>
    <x v="1"/>
    <n v="1"/>
    <n v="122090"/>
    <n v="0"/>
    <n v="122090"/>
    <n v="10.999990990260482"/>
    <n v="5000"/>
    <n v="100"/>
    <x v="5895"/>
    <x v="2"/>
    <x v="3"/>
    <x v="1"/>
  </r>
  <r>
    <x v="532"/>
    <s v="ZTAN"/>
    <x v="8"/>
    <s v="SU9354"/>
    <s v="72564391"/>
    <s v="PUENTE ALTO"/>
    <x v="4590"/>
    <x v="2"/>
    <x v="1"/>
    <x v="30"/>
    <x v="1"/>
    <n v="4"/>
    <n v="55000"/>
    <n v="0"/>
    <n v="55000"/>
    <n v="20.98435711560473"/>
    <n v="5000"/>
    <n v="52"/>
    <x v="5896"/>
    <x v="2"/>
    <x v="3"/>
    <x v="1"/>
  </r>
  <r>
    <x v="533"/>
    <s v="ZPEP"/>
    <x v="87"/>
    <s v="HXJC25"/>
    <s v="116608979"/>
    <s v="HUASCO"/>
    <x v="4655"/>
    <x v="0"/>
    <x v="0"/>
    <x v="104"/>
    <x v="9"/>
    <n v="0"/>
    <n v="2500000"/>
    <n v="0"/>
    <n v="2500000"/>
    <n v="109.52537834446696"/>
    <n v="20000"/>
    <n v="100"/>
    <x v="5897"/>
    <x v="2"/>
    <x v="3"/>
    <x v="0"/>
  </r>
  <r>
    <x v="533"/>
    <s v="ZPEP"/>
    <x v="87"/>
    <s v="ZJ6833"/>
    <s v="334895416"/>
    <s v="HUASCO"/>
    <x v="4656"/>
    <x v="0"/>
    <x v="0"/>
    <x v="104"/>
    <x v="9"/>
    <n v="0"/>
    <n v="2500000"/>
    <n v="0"/>
    <n v="2500000"/>
    <n v="98.880357931074926"/>
    <n v="20000"/>
    <n v="100"/>
    <x v="5898"/>
    <x v="2"/>
    <x v="3"/>
    <x v="0"/>
  </r>
  <r>
    <x v="533"/>
    <s v="ZPEP"/>
    <x v="7"/>
    <s v="HLZV71"/>
    <s v="90316327"/>
    <s v="CALAMA"/>
    <x v="4038"/>
    <x v="0"/>
    <x v="0"/>
    <x v="37"/>
    <x v="7"/>
    <n v="0"/>
    <n v="1600000"/>
    <n v="0"/>
    <n v="1600000"/>
    <n v="61.402431536288816"/>
    <n v="20000"/>
    <n v="100"/>
    <x v="5899"/>
    <x v="2"/>
    <x v="3"/>
    <x v="0"/>
  </r>
  <r>
    <x v="533"/>
    <s v="ZPEP"/>
    <x v="7"/>
    <s v="KXTC79"/>
    <s v="177846392"/>
    <s v="CALAMA"/>
    <x v="4038"/>
    <x v="0"/>
    <x v="0"/>
    <x v="37"/>
    <x v="7"/>
    <n v="0"/>
    <n v="1600000"/>
    <n v="0"/>
    <n v="1600000"/>
    <n v="61.402431536288816"/>
    <n v="20000"/>
    <n v="100"/>
    <x v="5900"/>
    <x v="2"/>
    <x v="3"/>
    <x v="0"/>
  </r>
  <r>
    <x v="533"/>
    <s v="ZTAN"/>
    <x v="4"/>
    <s v="DJLF85"/>
    <s v="53173292"/>
    <s v="SAN BERNARDO"/>
    <x v="4657"/>
    <x v="4"/>
    <x v="1"/>
    <x v="4"/>
    <x v="1"/>
    <n v="4"/>
    <n v="55000"/>
    <n v="0"/>
    <n v="55000"/>
    <n v="5.6398687448728468"/>
    <n v="5000"/>
    <n v="52"/>
    <x v="5901"/>
    <x v="2"/>
    <x v="3"/>
    <x v="1"/>
  </r>
  <r>
    <x v="533"/>
    <s v="ZTAN"/>
    <x v="10"/>
    <s v="KKPF51"/>
    <s v="95707734"/>
    <s v="QUILICURA"/>
    <x v="4658"/>
    <x v="8"/>
    <x v="0"/>
    <x v="8"/>
    <x v="1"/>
    <n v="1"/>
    <n v="89129"/>
    <n v="0"/>
    <n v="89129"/>
    <n v="9.9556553403480557"/>
    <n v="5000"/>
    <n v="100"/>
    <x v="5902"/>
    <x v="2"/>
    <x v="3"/>
    <x v="1"/>
  </r>
  <r>
    <x v="533"/>
    <s v="ZTAN"/>
    <x v="101"/>
    <s v="SU9354"/>
    <s v="72564391"/>
    <s v="QUILICURA"/>
    <x v="899"/>
    <x v="2"/>
    <x v="1"/>
    <x v="8"/>
    <x v="1"/>
    <n v="1"/>
    <n v="76384"/>
    <n v="0"/>
    <n v="76384"/>
    <n v="11.000000000000004"/>
    <n v="5000"/>
    <n v="100"/>
    <x v="5903"/>
    <x v="2"/>
    <x v="3"/>
    <x v="1"/>
  </r>
  <r>
    <x v="533"/>
    <s v="ZTAN"/>
    <x v="7"/>
    <s v="GDFG14"/>
    <s v="133069453"/>
    <s v="CORONEL"/>
    <x v="419"/>
    <x v="5"/>
    <x v="0"/>
    <x v="16"/>
    <x v="0"/>
    <n v="0"/>
    <n v="480000"/>
    <n v="0"/>
    <n v="480000"/>
    <n v="58.224163027656452"/>
    <n v="20000"/>
    <n v="41"/>
    <x v="5904"/>
    <x v="2"/>
    <x v="3"/>
    <x v="0"/>
  </r>
  <r>
    <x v="533"/>
    <s v="ZTAN"/>
    <x v="7"/>
    <s v="RKYY82"/>
    <s v="101495566"/>
    <s v="CORONEL"/>
    <x v="419"/>
    <x v="0"/>
    <x v="0"/>
    <x v="16"/>
    <x v="0"/>
    <n v="0"/>
    <n v="480000"/>
    <n v="0"/>
    <n v="480000"/>
    <n v="58.224163027656452"/>
    <n v="20000"/>
    <n v="41"/>
    <x v="5905"/>
    <x v="2"/>
    <x v="3"/>
    <x v="0"/>
  </r>
  <r>
    <x v="533"/>
    <s v="ZTAN"/>
    <x v="7"/>
    <s v="RZ4484"/>
    <s v="163915707"/>
    <s v="CORONEL"/>
    <x v="15"/>
    <x v="5"/>
    <x v="0"/>
    <x v="16"/>
    <x v="0"/>
    <n v="0"/>
    <n v="480000"/>
    <n v="0"/>
    <n v="480000"/>
    <n v="48.60267314702304"/>
    <n v="20000"/>
    <n v="49"/>
    <x v="5906"/>
    <x v="2"/>
    <x v="3"/>
    <x v="0"/>
  </r>
  <r>
    <x v="533"/>
    <s v="ZTAN"/>
    <x v="7"/>
    <s v="WC2233"/>
    <s v="125108660"/>
    <s v="RENCA"/>
    <x v="4659"/>
    <x v="4"/>
    <x v="1"/>
    <x v="7"/>
    <x v="1"/>
    <n v="1"/>
    <n v="90321"/>
    <n v="0"/>
    <n v="90321"/>
    <n v="11"/>
    <n v="5000"/>
    <n v="100"/>
    <x v="5907"/>
    <x v="2"/>
    <x v="3"/>
    <x v="1"/>
  </r>
  <r>
    <x v="533"/>
    <s v="ZTAN"/>
    <x v="7"/>
    <s v="WG4022"/>
    <s v="154837728"/>
    <s v="RENCA"/>
    <x v="4660"/>
    <x v="1"/>
    <x v="0"/>
    <x v="7"/>
    <x v="1"/>
    <n v="1"/>
    <n v="170143"/>
    <n v="0"/>
    <n v="170143"/>
    <n v="10.427000638576647"/>
    <n v="5000"/>
    <n v="100"/>
    <x v="5908"/>
    <x v="2"/>
    <x v="3"/>
    <x v="1"/>
  </r>
  <r>
    <x v="533"/>
    <s v="ZTAN"/>
    <x v="8"/>
    <s v="BWPL69"/>
    <s v="78551976"/>
    <s v="VILLARRICA"/>
    <x v="4661"/>
    <x v="5"/>
    <x v="0"/>
    <x v="88"/>
    <x v="4"/>
    <n v="0"/>
    <n v="800000"/>
    <n v="0"/>
    <n v="800000"/>
    <n v="99.383820314052898"/>
    <n v="20000"/>
    <n v="40"/>
    <x v="5909"/>
    <x v="2"/>
    <x v="3"/>
    <x v="0"/>
  </r>
  <r>
    <x v="533"/>
    <s v="ZTAN"/>
    <x v="8"/>
    <s v="HLBX77"/>
    <s v="16093509K"/>
    <s v="ÑUÑOA"/>
    <x v="97"/>
    <x v="1"/>
    <x v="1"/>
    <x v="15"/>
    <x v="1"/>
    <n v="4"/>
    <n v="55000"/>
    <n v="0"/>
    <n v="55000"/>
    <n v="13.918412794817289"/>
    <n v="5000"/>
    <n v="79"/>
    <x v="5910"/>
    <x v="2"/>
    <x v="3"/>
    <x v="1"/>
  </r>
  <r>
    <x v="533"/>
    <s v="ZTAN"/>
    <x v="8"/>
    <s v="SU9354"/>
    <s v="7256439"/>
    <s v="REÑACA"/>
    <x v="4662"/>
    <x v="2"/>
    <x v="1"/>
    <x v="6"/>
    <x v="2"/>
    <n v="0"/>
    <n v="203000"/>
    <n v="0"/>
    <n v="203000"/>
    <n v="49.977842335910182"/>
    <n v="20000"/>
    <n v="20"/>
    <x v="5911"/>
    <x v="2"/>
    <x v="3"/>
    <x v="0"/>
  </r>
  <r>
    <x v="533"/>
    <s v="ZTAN"/>
    <x v="8"/>
    <s v="SV2718"/>
    <s v="99626232"/>
    <s v="MAIPU"/>
    <x v="4663"/>
    <x v="1"/>
    <x v="1"/>
    <x v="2"/>
    <x v="1"/>
    <n v="2"/>
    <n v="55000"/>
    <n v="0"/>
    <n v="55000"/>
    <n v="20.0349701296809"/>
    <n v="5000"/>
    <n v="55"/>
    <x v="5912"/>
    <x v="2"/>
    <x v="3"/>
    <x v="1"/>
  </r>
  <r>
    <x v="533"/>
    <s v="ZTAN"/>
    <x v="8"/>
    <s v="XR6339"/>
    <s v="78907355"/>
    <s v="QUILICURA"/>
    <x v="4664"/>
    <x v="1"/>
    <x v="1"/>
    <x v="8"/>
    <x v="1"/>
    <n v="1"/>
    <n v="55000"/>
    <n v="0"/>
    <n v="55000"/>
    <n v="17.828200972447327"/>
    <n v="5000"/>
    <n v="62"/>
    <x v="5913"/>
    <x v="2"/>
    <x v="3"/>
    <x v="1"/>
  </r>
  <r>
    <x v="534"/>
    <s v="ZPEP"/>
    <x v="5"/>
    <s v="BPKD94"/>
    <s v="125897258"/>
    <s v="LA SERENA"/>
    <x v="4665"/>
    <x v="0"/>
    <x v="0"/>
    <x v="63"/>
    <x v="8"/>
    <n v="0"/>
    <n v="650000"/>
    <n v="0"/>
    <n v="650000"/>
    <n v="51.322056166858268"/>
    <n v="20000"/>
    <n v="63"/>
    <x v="5914"/>
    <x v="2"/>
    <x v="3"/>
    <x v="0"/>
  </r>
  <r>
    <x v="534"/>
    <s v="ZPEP"/>
    <x v="7"/>
    <s v="DCRX92"/>
    <s v="78778595"/>
    <s v="RENCA"/>
    <x v="4666"/>
    <x v="0"/>
    <x v="0"/>
    <x v="7"/>
    <x v="1"/>
    <n v="1"/>
    <n v="293333"/>
    <n v="0"/>
    <n v="293333"/>
    <n v="10.999998499998508"/>
    <n v="5000"/>
    <n v="100"/>
    <x v="5915"/>
    <x v="2"/>
    <x v="3"/>
    <x v="1"/>
  </r>
  <r>
    <x v="534"/>
    <s v="ZTAN"/>
    <x v="58"/>
    <s v="SV2718"/>
    <s v="CASAPIEDRA700"/>
    <s v="COLINA"/>
    <x v="4667"/>
    <x v="1"/>
    <x v="1"/>
    <x v="5"/>
    <x v="1"/>
    <n v="5"/>
    <n v="70000"/>
    <n v="0"/>
    <n v="70000"/>
    <n v="21.05263157894737"/>
    <n v="10000"/>
    <n v="33"/>
    <x v="5916"/>
    <x v="2"/>
    <x v="3"/>
    <x v="1"/>
  </r>
  <r>
    <x v="534"/>
    <s v="ZTAN"/>
    <x v="6"/>
    <s v="DJLF85"/>
    <s v="53173292"/>
    <s v="LA FLORIDA"/>
    <x v="4668"/>
    <x v="4"/>
    <x v="1"/>
    <x v="33"/>
    <x v="1"/>
    <n v="3"/>
    <n v="55000"/>
    <n v="0"/>
    <n v="55000"/>
    <n v="15.381173443704904"/>
    <n v="5000"/>
    <n v="72"/>
    <x v="5917"/>
    <x v="2"/>
    <x v="3"/>
    <x v="1"/>
  </r>
  <r>
    <x v="534"/>
    <s v="ZTAN"/>
    <x v="6"/>
    <s v="HLBX77"/>
    <s v="16093509K"/>
    <s v="RANCAGUA"/>
    <x v="4669"/>
    <x v="1"/>
    <x v="1"/>
    <x v="28"/>
    <x v="6"/>
    <n v="0"/>
    <n v="180000"/>
    <n v="0"/>
    <n v="180000"/>
    <n v="57.139229255285379"/>
    <n v="20000"/>
    <n v="16"/>
    <x v="5918"/>
    <x v="2"/>
    <x v="3"/>
    <x v="0"/>
  </r>
  <r>
    <x v="534"/>
    <s v="ZTAN"/>
    <x v="6"/>
    <s v="SU9354"/>
    <s v="72564391"/>
    <s v="LOS ANDES"/>
    <x v="1318"/>
    <x v="2"/>
    <x v="1"/>
    <x v="38"/>
    <x v="2"/>
    <n v="0"/>
    <n v="203000"/>
    <n v="0"/>
    <n v="203000"/>
    <n v="50.417246175243392"/>
    <n v="20000"/>
    <n v="20"/>
    <x v="5919"/>
    <x v="2"/>
    <x v="3"/>
    <x v="0"/>
  </r>
  <r>
    <x v="534"/>
    <s v="ZTAN"/>
    <x v="6"/>
    <s v="SV2718"/>
    <s v="99626232"/>
    <s v="SANTIAGO"/>
    <x v="4670"/>
    <x v="1"/>
    <x v="1"/>
    <x v="20"/>
    <x v="1"/>
    <n v="1"/>
    <n v="55000"/>
    <n v="0"/>
    <n v="55000"/>
    <n v="22.537288969021471"/>
    <n v="5000"/>
    <n v="49"/>
    <x v="5920"/>
    <x v="2"/>
    <x v="3"/>
    <x v="1"/>
  </r>
  <r>
    <x v="534"/>
    <s v="ZTAN"/>
    <x v="7"/>
    <s v="WC2233"/>
    <s v="125108660"/>
    <s v="RENCA"/>
    <x v="4671"/>
    <x v="4"/>
    <x v="1"/>
    <x v="7"/>
    <x v="1"/>
    <n v="1"/>
    <n v="86117"/>
    <n v="0"/>
    <n v="86117"/>
    <n v="10.99994124304177"/>
    <n v="5000"/>
    <n v="100"/>
    <x v="5921"/>
    <x v="2"/>
    <x v="3"/>
    <x v="1"/>
  </r>
  <r>
    <x v="534"/>
    <s v="ZTAN"/>
    <x v="7"/>
    <s v="WG2233"/>
    <s v="15483778"/>
    <s v="RENCA"/>
    <x v="4672"/>
    <x v="0"/>
    <x v="0"/>
    <x v="7"/>
    <x v="1"/>
    <n v="1"/>
    <n v="55000"/>
    <n v="0"/>
    <n v="55000"/>
    <n v="46.296296296296298"/>
    <n v="5000"/>
    <n v="24"/>
    <x v="5922"/>
    <x v="2"/>
    <x v="3"/>
    <x v="1"/>
  </r>
  <r>
    <x v="534"/>
    <s v="ZTAN"/>
    <x v="7"/>
    <s v="WG4022"/>
    <s v="154837728"/>
    <s v="RENCA"/>
    <x v="4673"/>
    <x v="1"/>
    <x v="0"/>
    <x v="7"/>
    <x v="1"/>
    <n v="1"/>
    <n v="199516"/>
    <n v="0"/>
    <n v="199516"/>
    <n v="11.000011026695631"/>
    <n v="5000"/>
    <n v="100"/>
    <x v="5923"/>
    <x v="2"/>
    <x v="3"/>
    <x v="1"/>
  </r>
  <r>
    <x v="534"/>
    <s v="ZTAN"/>
    <x v="8"/>
    <s v="GYXS96"/>
    <s v="165132386"/>
    <s v="PUERTO MONTT"/>
    <x v="4674"/>
    <x v="0"/>
    <x v="0"/>
    <x v="53"/>
    <x v="10"/>
    <n v="0"/>
    <n v="1100000"/>
    <n v="0"/>
    <n v="1100000"/>
    <n v="87.296044695574892"/>
    <n v="20000"/>
    <n v="65"/>
    <x v="5924"/>
    <x v="2"/>
    <x v="3"/>
    <x v="0"/>
  </r>
  <r>
    <x v="534"/>
    <s v="ZTAN"/>
    <x v="8"/>
    <s v="XR6339"/>
    <s v="78907355"/>
    <s v="SAN BERNARDO"/>
    <x v="4675"/>
    <x v="1"/>
    <x v="1"/>
    <x v="4"/>
    <x v="1"/>
    <n v="4"/>
    <n v="55000"/>
    <n v="0"/>
    <n v="55000"/>
    <n v="13.623303279500645"/>
    <n v="5000"/>
    <n v="81"/>
    <x v="5925"/>
    <x v="2"/>
    <x v="3"/>
    <x v="1"/>
  </r>
  <r>
    <x v="535"/>
    <s v="ZTAN"/>
    <x v="13"/>
    <s v="SV2718"/>
    <s v="99626232"/>
    <s v="SANTIAGO"/>
    <x v="4518"/>
    <x v="1"/>
    <x v="1"/>
    <x v="20"/>
    <x v="1"/>
    <n v="1"/>
    <n v="55000"/>
    <n v="0"/>
    <n v="55000"/>
    <n v="28.205128205128204"/>
    <n v="5000"/>
    <n v="39"/>
    <x v="5926"/>
    <x v="2"/>
    <x v="3"/>
    <x v="1"/>
  </r>
  <r>
    <x v="535"/>
    <s v="ZTAN"/>
    <x v="10"/>
    <s v="HLBX77"/>
    <s v="16093509K"/>
    <s v="RANCAGUA"/>
    <x v="4676"/>
    <x v="1"/>
    <x v="1"/>
    <x v="28"/>
    <x v="6"/>
    <n v="0"/>
    <n v="180000"/>
    <n v="0"/>
    <n v="180000"/>
    <n v="43.456217860505539"/>
    <n v="20000"/>
    <n v="21"/>
    <x v="5927"/>
    <x v="2"/>
    <x v="3"/>
    <x v="0"/>
  </r>
  <r>
    <x v="535"/>
    <s v="ZTAN"/>
    <x v="105"/>
    <s v="RH1133"/>
    <s v="65941082"/>
    <s v="VALPARAISO"/>
    <x v="4677"/>
    <x v="0"/>
    <x v="0"/>
    <x v="36"/>
    <x v="2"/>
    <n v="0"/>
    <n v="275000"/>
    <n v="0"/>
    <n v="275000"/>
    <n v="14.833274000237331"/>
    <n v="20000"/>
    <n v="93"/>
    <x v="5928"/>
    <x v="2"/>
    <x v="3"/>
    <x v="0"/>
  </r>
  <r>
    <x v="535"/>
    <s v="ZTAN"/>
    <x v="6"/>
    <s v="SU9354"/>
    <s v="72564391"/>
    <s v="VIÑA DEL MAR"/>
    <x v="4678"/>
    <x v="2"/>
    <x v="1"/>
    <x v="6"/>
    <x v="2"/>
    <n v="0"/>
    <n v="203000"/>
    <n v="0"/>
    <n v="203000"/>
    <n v="42.837849244534482"/>
    <n v="20000"/>
    <n v="17"/>
    <x v="5929"/>
    <x v="2"/>
    <x v="3"/>
    <x v="0"/>
  </r>
  <r>
    <x v="535"/>
    <s v="ZTAN"/>
    <x v="7"/>
    <s v="DJLF85"/>
    <s v="53173292"/>
    <s v="RENCA"/>
    <x v="4679"/>
    <x v="4"/>
    <x v="1"/>
    <x v="7"/>
    <x v="1"/>
    <n v="1"/>
    <n v="93586"/>
    <n v="0"/>
    <n v="93586"/>
    <n v="11.000023507839863"/>
    <n v="5000"/>
    <n v="100"/>
    <x v="5930"/>
    <x v="2"/>
    <x v="3"/>
    <x v="1"/>
  </r>
  <r>
    <x v="535"/>
    <s v="ZTAN"/>
    <x v="7"/>
    <s v="RH1133"/>
    <s v="154837728"/>
    <s v="RENCA"/>
    <x v="926"/>
    <x v="0"/>
    <x v="0"/>
    <x v="7"/>
    <x v="1"/>
    <n v="1"/>
    <n v="55000"/>
    <n v="0"/>
    <n v="55000"/>
    <n v="34.9250698501397"/>
    <n v="5000"/>
    <n v="31"/>
    <x v="5931"/>
    <x v="2"/>
    <x v="3"/>
    <x v="1"/>
  </r>
  <r>
    <x v="535"/>
    <s v="ZTAN"/>
    <x v="7"/>
    <s v="WG4022"/>
    <s v="154837728"/>
    <s v="RENCA"/>
    <x v="4680"/>
    <x v="1"/>
    <x v="0"/>
    <x v="7"/>
    <x v="1"/>
    <n v="1"/>
    <n v="181084"/>
    <n v="0"/>
    <n v="181084"/>
    <n v="10.999981168992507"/>
    <n v="5000"/>
    <n v="100"/>
    <x v="5932"/>
    <x v="2"/>
    <x v="3"/>
    <x v="1"/>
  </r>
  <r>
    <x v="536"/>
    <s v="ZPEP"/>
    <x v="29"/>
    <s v="DKDL88"/>
    <s v="122975819"/>
    <s v="CONCEPCION"/>
    <x v="4681"/>
    <x v="0"/>
    <x v="0"/>
    <x v="81"/>
    <x v="0"/>
    <n v="0"/>
    <n v="460000"/>
    <n v="0"/>
    <n v="460000"/>
    <n v="26.374014486214129"/>
    <n v="20000"/>
    <n v="87"/>
    <x v="5933"/>
    <x v="2"/>
    <x v="3"/>
    <x v="0"/>
  </r>
  <r>
    <x v="536"/>
    <s v="ZPEP"/>
    <x v="5"/>
    <s v="BPKD94"/>
    <s v="125897252"/>
    <s v="LA SERENA"/>
    <x v="4682"/>
    <x v="0"/>
    <x v="0"/>
    <x v="63"/>
    <x v="8"/>
    <n v="0"/>
    <n v="650000"/>
    <n v="0"/>
    <n v="650000"/>
    <n v="63.464538944770226"/>
    <n v="20000"/>
    <n v="51"/>
    <x v="5934"/>
    <x v="2"/>
    <x v="3"/>
    <x v="0"/>
  </r>
  <r>
    <x v="536"/>
    <s v="ZPEP"/>
    <x v="5"/>
    <s v="KKPF51"/>
    <s v="95707734"/>
    <s v="LA SERENA"/>
    <x v="4683"/>
    <x v="8"/>
    <x v="0"/>
    <x v="63"/>
    <x v="8"/>
    <n v="0"/>
    <n v="650000"/>
    <n v="0"/>
    <n v="650000"/>
    <n v="67.572624978168847"/>
    <n v="20000"/>
    <n v="48"/>
    <x v="5935"/>
    <x v="2"/>
    <x v="3"/>
    <x v="0"/>
  </r>
  <r>
    <x v="536"/>
    <s v="ZTAN"/>
    <x v="10"/>
    <s v="WC2233"/>
    <s v="125108660"/>
    <s v="ÑUÑOA"/>
    <x v="471"/>
    <x v="4"/>
    <x v="1"/>
    <x v="15"/>
    <x v="1"/>
    <n v="4"/>
    <n v="55000"/>
    <n v="0"/>
    <n v="55000"/>
    <n v="24.431414356787492"/>
    <n v="5000"/>
    <n v="45"/>
    <x v="5936"/>
    <x v="2"/>
    <x v="3"/>
    <x v="1"/>
  </r>
  <r>
    <x v="536"/>
    <s v="ZTAN"/>
    <x v="117"/>
    <s v="SU9354"/>
    <s v="72564391"/>
    <s v="SANTIAGO"/>
    <x v="4684"/>
    <x v="2"/>
    <x v="1"/>
    <x v="20"/>
    <x v="1"/>
    <n v="1"/>
    <n v="81759"/>
    <n v="0"/>
    <n v="81759"/>
    <n v="11.000053816968489"/>
    <n v="5000"/>
    <n v="100"/>
    <x v="5937"/>
    <x v="2"/>
    <x v="3"/>
    <x v="1"/>
  </r>
  <r>
    <x v="536"/>
    <s v="ZTAN"/>
    <x v="7"/>
    <s v="SV2718"/>
    <s v="99626232"/>
    <s v="SAN MIGUEL"/>
    <x v="4685"/>
    <x v="1"/>
    <x v="1"/>
    <x v="23"/>
    <x v="1"/>
    <n v="2"/>
    <n v="55000"/>
    <n v="0"/>
    <n v="55000"/>
    <n v="15.447225257055869"/>
    <n v="5000"/>
    <n v="71"/>
    <x v="5938"/>
    <x v="2"/>
    <x v="3"/>
    <x v="1"/>
  </r>
  <r>
    <x v="536"/>
    <s v="ZTAN"/>
    <x v="7"/>
    <s v="WC2233"/>
    <s v="154837728"/>
    <s v="RENCA"/>
    <x v="435"/>
    <x v="4"/>
    <x v="1"/>
    <x v="7"/>
    <x v="1"/>
    <n v="1"/>
    <n v="55000"/>
    <n v="0"/>
    <n v="55000"/>
    <n v="36.647121535181235"/>
    <n v="5000"/>
    <n v="30"/>
    <x v="5939"/>
    <x v="2"/>
    <x v="3"/>
    <x v="1"/>
  </r>
  <r>
    <x v="536"/>
    <s v="ZTAN"/>
    <x v="7"/>
    <s v="WG4022"/>
    <s v="154837728"/>
    <s v="RENCA"/>
    <x v="4686"/>
    <x v="1"/>
    <x v="0"/>
    <x v="7"/>
    <x v="1"/>
    <n v="1"/>
    <n v="245462"/>
    <n v="0"/>
    <n v="245462"/>
    <n v="11.000013444052575"/>
    <n v="5000"/>
    <n v="100"/>
    <x v="5940"/>
    <x v="2"/>
    <x v="3"/>
    <x v="1"/>
  </r>
  <r>
    <x v="536"/>
    <s v="ZTAN"/>
    <x v="7"/>
    <s v="XR6339"/>
    <s v="78907355"/>
    <s v="RENCA"/>
    <x v="3332"/>
    <x v="1"/>
    <x v="1"/>
    <x v="7"/>
    <x v="1"/>
    <n v="1"/>
    <n v="135850"/>
    <n v="0"/>
    <n v="135850"/>
    <n v="11"/>
    <n v="5000"/>
    <n v="100"/>
    <x v="5941"/>
    <x v="2"/>
    <x v="3"/>
    <x v="1"/>
  </r>
  <r>
    <x v="536"/>
    <s v="ZTAN"/>
    <x v="8"/>
    <s v="DJLF85"/>
    <s v="53173292"/>
    <s v="LA REINA"/>
    <x v="4687"/>
    <x v="4"/>
    <x v="1"/>
    <x v="11"/>
    <x v="1"/>
    <n v="3"/>
    <n v="55000"/>
    <n v="0"/>
    <n v="55000"/>
    <n v="21.570319240724761"/>
    <n v="5000"/>
    <n v="51"/>
    <x v="5942"/>
    <x v="2"/>
    <x v="3"/>
    <x v="1"/>
  </r>
  <r>
    <x v="536"/>
    <s v="ZTAN"/>
    <x v="8"/>
    <s v="HLBX77"/>
    <s v="16093509K"/>
    <s v="PUDAHUEL"/>
    <x v="4688"/>
    <x v="1"/>
    <x v="1"/>
    <x v="10"/>
    <x v="1"/>
    <n v="1"/>
    <n v="90700"/>
    <n v="0"/>
    <n v="90700"/>
    <n v="10.999939360863502"/>
    <n v="5000"/>
    <n v="100"/>
    <x v="5943"/>
    <x v="2"/>
    <x v="3"/>
    <x v="1"/>
  </r>
  <r>
    <x v="536"/>
    <s v="ZTAN"/>
    <x v="8"/>
    <s v="SV2718"/>
    <s v="99626232"/>
    <s v="PUENTE ALTO"/>
    <x v="4689"/>
    <x v="1"/>
    <x v="1"/>
    <x v="30"/>
    <x v="1"/>
    <n v="4"/>
    <n v="55000"/>
    <n v="0"/>
    <n v="55000"/>
    <n v="19.52570292530531"/>
    <n v="5000"/>
    <n v="56"/>
    <x v="5944"/>
    <x v="2"/>
    <x v="3"/>
    <x v="1"/>
  </r>
  <r>
    <x v="537"/>
    <s v="ZPEP"/>
    <x v="7"/>
    <s v="HLZV71"/>
    <s v="90366327"/>
    <s v="RENCA"/>
    <x v="4666"/>
    <x v="0"/>
    <x v="0"/>
    <x v="7"/>
    <x v="1"/>
    <n v="1"/>
    <n v="293333"/>
    <n v="0"/>
    <n v="293333"/>
    <n v="10.999998499998508"/>
    <n v="5000"/>
    <n v="100"/>
    <x v="5945"/>
    <x v="2"/>
    <x v="3"/>
    <x v="1"/>
  </r>
  <r>
    <x v="537"/>
    <s v="ZPEP"/>
    <x v="7"/>
    <s v="KXTC79"/>
    <s v="177846392"/>
    <s v="CALAMA"/>
    <x v="4038"/>
    <x v="0"/>
    <x v="0"/>
    <x v="37"/>
    <x v="7"/>
    <n v="0"/>
    <n v="1600000"/>
    <n v="0"/>
    <n v="1600000"/>
    <n v="61.402431536288816"/>
    <n v="20000"/>
    <n v="100"/>
    <x v="5946"/>
    <x v="2"/>
    <x v="3"/>
    <x v="0"/>
  </r>
  <r>
    <x v="537"/>
    <s v="ZTAN"/>
    <x v="115"/>
    <s v="DJLF85"/>
    <s v="53173292"/>
    <s v="SANTIAGO"/>
    <x v="3362"/>
    <x v="4"/>
    <x v="1"/>
    <x v="20"/>
    <x v="1"/>
    <n v="1"/>
    <n v="62348"/>
    <n v="0"/>
    <n v="62348"/>
    <n v="11.000000000000002"/>
    <n v="5000"/>
    <n v="100"/>
    <x v="5947"/>
    <x v="2"/>
    <x v="3"/>
    <x v="1"/>
  </r>
  <r>
    <x v="537"/>
    <s v="ZTAN"/>
    <x v="7"/>
    <s v="HLBX77"/>
    <s v="16093509K"/>
    <s v="RENCA"/>
    <x v="4690"/>
    <x v="1"/>
    <x v="1"/>
    <x v="7"/>
    <x v="1"/>
    <n v="1"/>
    <n v="83919"/>
    <n v="0"/>
    <n v="83919"/>
    <n v="10.999942325639926"/>
    <n v="5000"/>
    <n v="100"/>
    <x v="5948"/>
    <x v="2"/>
    <x v="3"/>
    <x v="1"/>
  </r>
  <r>
    <x v="537"/>
    <s v="ZTAN"/>
    <x v="7"/>
    <s v="WG4022"/>
    <s v="154837728"/>
    <s v="RENCA"/>
    <x v="4691"/>
    <x v="1"/>
    <x v="0"/>
    <x v="7"/>
    <x v="1"/>
    <n v="1"/>
    <n v="148890"/>
    <n v="0"/>
    <n v="148890"/>
    <n v="10.999963060101216"/>
    <n v="5000"/>
    <n v="100"/>
    <x v="5949"/>
    <x v="2"/>
    <x v="3"/>
    <x v="1"/>
  </r>
  <r>
    <x v="537"/>
    <s v="ZTAN"/>
    <x v="8"/>
    <s v="DJLF85"/>
    <s v="53173292"/>
    <s v="HUECHURABA"/>
    <x v="4692"/>
    <x v="4"/>
    <x v="1"/>
    <x v="24"/>
    <x v="1"/>
    <n v="1"/>
    <n v="55000"/>
    <n v="0"/>
    <n v="55000"/>
    <n v="19.48143950127514"/>
    <n v="5000"/>
    <n v="56"/>
    <x v="5950"/>
    <x v="2"/>
    <x v="3"/>
    <x v="1"/>
  </r>
  <r>
    <x v="537"/>
    <s v="ZTAN"/>
    <x v="8"/>
    <s v="SV2718"/>
    <s v="99626232"/>
    <s v="QUILIN"/>
    <x v="4693"/>
    <x v="1"/>
    <x v="1"/>
    <x v="34"/>
    <x v="1"/>
    <n v="4"/>
    <n v="55000"/>
    <n v="0"/>
    <n v="55000"/>
    <n v="21.001825249539866"/>
    <n v="5000"/>
    <n v="52"/>
    <x v="5951"/>
    <x v="2"/>
    <x v="3"/>
    <x v="1"/>
  </r>
  <r>
    <x v="537"/>
    <s v="ZTAN"/>
    <x v="8"/>
    <s v="TP3884"/>
    <s v="107643206"/>
    <s v="LAS CONDES"/>
    <x v="4694"/>
    <x v="1"/>
    <x v="1"/>
    <x v="3"/>
    <x v="1"/>
    <n v="4"/>
    <n v="55000"/>
    <n v="0"/>
    <n v="55000"/>
    <n v="14.858279033077231"/>
    <n v="5000"/>
    <n v="74"/>
    <x v="5952"/>
    <x v="2"/>
    <x v="3"/>
    <x v="1"/>
  </r>
  <r>
    <x v="538"/>
    <s v="ZPEP"/>
    <x v="5"/>
    <s v="RH1133"/>
    <s v="65941082"/>
    <s v="PADRE HURTADO"/>
    <x v="4695"/>
    <x v="0"/>
    <x v="0"/>
    <x v="26"/>
    <x v="1"/>
    <n v="5"/>
    <n v="120000"/>
    <n v="0"/>
    <n v="120000"/>
    <n v="10.921770091278693"/>
    <n v="18000"/>
    <n v="100"/>
    <x v="5953"/>
    <x v="2"/>
    <x v="3"/>
    <x v="1"/>
  </r>
  <r>
    <x v="538"/>
    <s v="ZPEP"/>
    <x v="7"/>
    <s v="BPKD94"/>
    <s v="125897358"/>
    <s v="CALAMA"/>
    <x v="4038"/>
    <x v="0"/>
    <x v="0"/>
    <x v="37"/>
    <x v="7"/>
    <n v="0"/>
    <n v="1600000"/>
    <n v="0"/>
    <n v="1600000"/>
    <n v="61.402431536288816"/>
    <n v="18000"/>
    <n v="100"/>
    <x v="5954"/>
    <x v="2"/>
    <x v="3"/>
    <x v="0"/>
  </r>
  <r>
    <x v="538"/>
    <s v="ZPEP"/>
    <x v="7"/>
    <s v="PKYS74"/>
    <s v="6270439K"/>
    <s v="RENCA"/>
    <x v="4666"/>
    <x v="0"/>
    <x v="0"/>
    <x v="7"/>
    <x v="1"/>
    <n v="1"/>
    <n v="293333"/>
    <n v="0"/>
    <n v="293333"/>
    <n v="10.999998499998508"/>
    <n v="5000"/>
    <n v="100"/>
    <x v="5955"/>
    <x v="2"/>
    <x v="3"/>
    <x v="1"/>
  </r>
  <r>
    <x v="538"/>
    <s v="ZTAN"/>
    <x v="10"/>
    <s v="KKPF51"/>
    <s v="95707734"/>
    <s v="QUILICURA"/>
    <x v="4696"/>
    <x v="8"/>
    <x v="0"/>
    <x v="8"/>
    <x v="1"/>
    <n v="1"/>
    <n v="95262"/>
    <n v="0"/>
    <n v="95262"/>
    <n v="9.5107925161238782"/>
    <n v="5000"/>
    <n v="100"/>
    <x v="5956"/>
    <x v="2"/>
    <x v="3"/>
    <x v="1"/>
  </r>
  <r>
    <x v="538"/>
    <s v="ZTAN"/>
    <x v="10"/>
    <s v="XR6339"/>
    <s v="78907355"/>
    <s v="LAMPA"/>
    <x v="248"/>
    <x v="1"/>
    <x v="1"/>
    <x v="17"/>
    <x v="1"/>
    <n v="5"/>
    <n v="70000"/>
    <n v="0"/>
    <n v="70000"/>
    <n v="23.32089552238806"/>
    <n v="18000"/>
    <n v="30"/>
    <x v="5957"/>
    <x v="2"/>
    <x v="3"/>
    <x v="1"/>
  </r>
  <r>
    <x v="538"/>
    <s v="ZTAN"/>
    <x v="6"/>
    <s v="CJXX49"/>
    <s v="167832741"/>
    <s v="OSORNO"/>
    <x v="4697"/>
    <x v="5"/>
    <x v="0"/>
    <x v="64"/>
    <x v="10"/>
    <n v="0"/>
    <n v="950000"/>
    <n v="0"/>
    <n v="950000"/>
    <n v="220.86243292756643"/>
    <n v="18000"/>
    <n v="22"/>
    <x v="5958"/>
    <x v="2"/>
    <x v="3"/>
    <x v="0"/>
  </r>
  <r>
    <x v="538"/>
    <s v="ZTAN"/>
    <x v="6"/>
    <s v="DKDL88"/>
    <s v="122975819"/>
    <s v="TALCA"/>
    <x v="4698"/>
    <x v="0"/>
    <x v="0"/>
    <x v="12"/>
    <x v="3"/>
    <n v="0"/>
    <n v="360000"/>
    <n v="0"/>
    <n v="360000"/>
    <n v="50.631487159292284"/>
    <n v="18000"/>
    <n v="55"/>
    <x v="5959"/>
    <x v="2"/>
    <x v="3"/>
    <x v="0"/>
  </r>
  <r>
    <x v="538"/>
    <s v="ZTAN"/>
    <x v="7"/>
    <s v="PYCL27"/>
    <s v="104840078"/>
    <s v="CORONEL"/>
    <x v="4699"/>
    <x v="0"/>
    <x v="0"/>
    <x v="16"/>
    <x v="0"/>
    <n v="0"/>
    <n v="480000"/>
    <n v="0"/>
    <n v="480000"/>
    <n v="73.075377251635075"/>
    <n v="18000"/>
    <n v="33"/>
    <x v="5960"/>
    <x v="2"/>
    <x v="3"/>
    <x v="0"/>
  </r>
  <r>
    <x v="538"/>
    <s v="ZTAN"/>
    <x v="7"/>
    <s v="WC2233"/>
    <s v="125108660"/>
    <s v="RENCA"/>
    <x v="1219"/>
    <x v="4"/>
    <x v="1"/>
    <x v="7"/>
    <x v="1"/>
    <n v="1"/>
    <n v="55000"/>
    <n v="0"/>
    <n v="55000"/>
    <n v="20.014556040756915"/>
    <n v="5000"/>
    <n v="55"/>
    <x v="5961"/>
    <x v="2"/>
    <x v="3"/>
    <x v="1"/>
  </r>
  <r>
    <x v="538"/>
    <s v="ZTAN"/>
    <x v="7"/>
    <s v="WG4022"/>
    <s v="154837728"/>
    <s v="RENCA"/>
    <x v="1186"/>
    <x v="1"/>
    <x v="0"/>
    <x v="7"/>
    <x v="1"/>
    <n v="1"/>
    <n v="71815"/>
    <n v="0"/>
    <n v="71815"/>
    <n v="11.000061268878477"/>
    <n v="5000"/>
    <n v="100"/>
    <x v="5962"/>
    <x v="2"/>
    <x v="3"/>
    <x v="1"/>
  </r>
  <r>
    <x v="538"/>
    <s v="ZTAN"/>
    <x v="8"/>
    <s v="SV2718"/>
    <s v="99626232"/>
    <s v="ÑUÑOA"/>
    <x v="4700"/>
    <x v="1"/>
    <x v="1"/>
    <x v="15"/>
    <x v="1"/>
    <n v="4"/>
    <n v="55000"/>
    <n v="0"/>
    <n v="55000"/>
    <n v="20.263648488331825"/>
    <n v="5000"/>
    <n v="54"/>
    <x v="5963"/>
    <x v="2"/>
    <x v="3"/>
    <x v="1"/>
  </r>
  <r>
    <x v="538"/>
    <s v="ZTAN"/>
    <x v="94"/>
    <s v="BDHB75"/>
    <s v="98494073"/>
    <s v="LOS ANGELES"/>
    <x v="4701"/>
    <x v="0"/>
    <x v="0"/>
    <x v="57"/>
    <x v="0"/>
    <n v="0"/>
    <n v="460000"/>
    <n v="0"/>
    <n v="460000"/>
    <n v="45.56711243189698"/>
    <n v="18000"/>
    <n v="43"/>
    <x v="5964"/>
    <x v="2"/>
    <x v="3"/>
    <x v="0"/>
  </r>
  <r>
    <x v="539"/>
    <s v="ZTAN"/>
    <x v="10"/>
    <s v="WC2233"/>
    <s v="125108660"/>
    <s v="SANTIAGO"/>
    <x v="4702"/>
    <x v="4"/>
    <x v="1"/>
    <x v="20"/>
    <x v="1"/>
    <n v="1"/>
    <n v="103840"/>
    <n v="0"/>
    <n v="103840"/>
    <n v="10.999953390028011"/>
    <n v="5000"/>
    <n v="100"/>
    <x v="5965"/>
    <x v="2"/>
    <x v="3"/>
    <x v="1"/>
  </r>
  <r>
    <x v="539"/>
    <s v="ZTAN"/>
    <x v="117"/>
    <s v="SU9354"/>
    <s v="72564391"/>
    <s v="VALPARAISO"/>
    <x v="4684"/>
    <x v="2"/>
    <x v="1"/>
    <x v="36"/>
    <x v="2"/>
    <n v="0"/>
    <n v="227000"/>
    <n v="0"/>
    <n v="227000"/>
    <n v="30.541129618168604"/>
    <n v="5000"/>
    <n v="100"/>
    <x v="5966"/>
    <x v="2"/>
    <x v="3"/>
    <x v="0"/>
  </r>
  <r>
    <x v="539"/>
    <s v="ZTAN"/>
    <x v="84"/>
    <s v="RH1133"/>
    <s v="65941082"/>
    <s v="TIL TIL"/>
    <x v="4703"/>
    <x v="0"/>
    <x v="0"/>
    <x v="70"/>
    <x v="1"/>
    <n v="5"/>
    <n v="187000"/>
    <n v="0"/>
    <n v="187000"/>
    <n v="19.723657841999788"/>
    <n v="18000"/>
    <n v="100"/>
    <x v="5967"/>
    <x v="2"/>
    <x v="3"/>
    <x v="1"/>
  </r>
  <r>
    <x v="539"/>
    <s v="ZTAN"/>
    <x v="7"/>
    <s v="DJLF85"/>
    <s v="53173292"/>
    <s v="SANTIAGO"/>
    <x v="4704"/>
    <x v="4"/>
    <x v="1"/>
    <x v="20"/>
    <x v="1"/>
    <n v="1"/>
    <n v="55000"/>
    <n v="0"/>
    <n v="55000"/>
    <n v="13.546664564881134"/>
    <n v="5000"/>
    <n v="88"/>
    <x v="5968"/>
    <x v="2"/>
    <x v="3"/>
    <x v="1"/>
  </r>
  <r>
    <x v="539"/>
    <s v="ZTAN"/>
    <x v="7"/>
    <s v="HLBX77"/>
    <s v="16093509K"/>
    <s v="RENCA"/>
    <x v="4705"/>
    <x v="1"/>
    <x v="1"/>
    <x v="7"/>
    <x v="1"/>
    <n v="1"/>
    <n v="93036"/>
    <n v="0"/>
    <n v="93036"/>
    <n v="11.000023646811226"/>
    <n v="5000"/>
    <n v="100"/>
    <x v="5969"/>
    <x v="2"/>
    <x v="3"/>
    <x v="1"/>
  </r>
  <r>
    <x v="539"/>
    <s v="ZTAN"/>
    <x v="7"/>
    <s v="WG4022"/>
    <s v="154837728"/>
    <s v="RENCA"/>
    <x v="4706"/>
    <x v="1"/>
    <x v="0"/>
    <x v="7"/>
    <x v="1"/>
    <n v="1"/>
    <n v="129606"/>
    <n v="0"/>
    <n v="129606"/>
    <n v="10.999994058920233"/>
    <n v="5000"/>
    <n v="100"/>
    <x v="5970"/>
    <x v="2"/>
    <x v="3"/>
    <x v="1"/>
  </r>
  <r>
    <x v="539"/>
    <s v="ZTAN"/>
    <x v="7"/>
    <s v="XR6339"/>
    <s v="78907355"/>
    <s v="MELIPILLA"/>
    <x v="4707"/>
    <x v="1"/>
    <x v="1"/>
    <x v="29"/>
    <x v="1"/>
    <n v="5"/>
    <n v="112500"/>
    <n v="0"/>
    <n v="112500"/>
    <n v="16.416168101561361"/>
    <n v="10000"/>
    <n v="75"/>
    <x v="5971"/>
    <x v="2"/>
    <x v="3"/>
    <x v="1"/>
  </r>
  <r>
    <x v="539"/>
    <s v="ZTAN"/>
    <x v="8"/>
    <s v="BWPL69"/>
    <s v="78551976"/>
    <s v="ANGOL"/>
    <x v="4708"/>
    <x v="5"/>
    <x v="0"/>
    <x v="84"/>
    <x v="4"/>
    <n v="0"/>
    <n v="583000"/>
    <n v="0"/>
    <n v="583000"/>
    <n v="72.143465262240881"/>
    <n v="18000"/>
    <n v="65"/>
    <x v="5972"/>
    <x v="2"/>
    <x v="3"/>
    <x v="0"/>
  </r>
  <r>
    <x v="539"/>
    <s v="ZTAN"/>
    <x v="8"/>
    <s v="HLBX77"/>
    <s v="16093509K"/>
    <s v="LA CRUZ"/>
    <x v="4709"/>
    <x v="1"/>
    <x v="1"/>
    <x v="105"/>
    <x v="2"/>
    <n v="0"/>
    <n v="250000"/>
    <n v="0"/>
    <n v="250000"/>
    <n v="18.222371240724815"/>
    <n v="18000"/>
    <n v="69"/>
    <x v="5973"/>
    <x v="2"/>
    <x v="3"/>
    <x v="0"/>
  </r>
  <r>
    <x v="539"/>
    <s v="ZTAN"/>
    <x v="8"/>
    <s v="SV2718"/>
    <s v="99626232"/>
    <s v="PUDAHUEL"/>
    <x v="4710"/>
    <x v="1"/>
    <x v="1"/>
    <x v="10"/>
    <x v="1"/>
    <n v="1"/>
    <n v="55000"/>
    <n v="0"/>
    <n v="55000"/>
    <n v="14.013167281547458"/>
    <n v="5000"/>
    <n v="78"/>
    <x v="5974"/>
    <x v="2"/>
    <x v="3"/>
    <x v="1"/>
  </r>
  <r>
    <x v="539"/>
    <s v="ZTAN"/>
    <x v="8"/>
    <s v="TP3884"/>
    <s v="107643206"/>
    <s v="LA CRUZ"/>
    <x v="4711"/>
    <x v="1"/>
    <x v="1"/>
    <x v="105"/>
    <x v="2"/>
    <n v="0"/>
    <n v="250000"/>
    <n v="0"/>
    <n v="250000"/>
    <n v="31.525851197982345"/>
    <n v="18000"/>
    <n v="40"/>
    <x v="5975"/>
    <x v="2"/>
    <x v="3"/>
    <x v="0"/>
  </r>
  <r>
    <x v="540"/>
    <s v="ZPEP"/>
    <x v="5"/>
    <s v="TP3884"/>
    <n v="107643206"/>
    <s v="PADRE HURTADO"/>
    <x v="4712"/>
    <x v="1"/>
    <x v="1"/>
    <x v="26"/>
    <x v="1"/>
    <n v="5"/>
    <n v="87500"/>
    <n v="0"/>
    <n v="87500"/>
    <n v="16.924008301467847"/>
    <n v="10000"/>
    <n v="52"/>
    <x v="5976"/>
    <x v="2"/>
    <x v="3"/>
    <x v="1"/>
  </r>
  <r>
    <x v="540"/>
    <s v="ZTAN"/>
    <x v="10"/>
    <s v="DRFV76"/>
    <n v="113693568"/>
    <s v="TALCAHUANO"/>
    <x v="4713"/>
    <x v="0"/>
    <x v="0"/>
    <x v="0"/>
    <x v="0"/>
    <n v="0"/>
    <n v="506000"/>
    <n v="0"/>
    <n v="506000"/>
    <n v="49.940781681800239"/>
    <n v="20000"/>
    <n v="80"/>
    <x v="5977"/>
    <x v="2"/>
    <x v="3"/>
    <x v="0"/>
  </r>
  <r>
    <x v="540"/>
    <s v="ZTAN"/>
    <x v="118"/>
    <s v="DKLD88"/>
    <n v="122975819"/>
    <s v="FRUTILLAR"/>
    <x v="4714"/>
    <x v="0"/>
    <x v="0"/>
    <x v="109"/>
    <x v="10"/>
    <n v="0"/>
    <n v="950000"/>
    <n v="0"/>
    <n v="950000"/>
    <n v="95.750685373326874"/>
    <n v="20000"/>
    <n v="90"/>
    <x v="5978"/>
    <x v="2"/>
    <x v="3"/>
    <x v="0"/>
  </r>
  <r>
    <x v="540"/>
    <s v="ZTAN"/>
    <x v="7"/>
    <s v="BDHB75"/>
    <n v="98494073"/>
    <s v="CORONEL"/>
    <x v="4715"/>
    <x v="0"/>
    <x v="0"/>
    <x v="16"/>
    <x v="0"/>
    <n v="0"/>
    <n v="528000"/>
    <n v="0"/>
    <n v="528000"/>
    <n v="34.163435806386488"/>
    <n v="20000"/>
    <n v="77"/>
    <x v="5979"/>
    <x v="2"/>
    <x v="3"/>
    <x v="0"/>
  </r>
  <r>
    <x v="540"/>
    <s v="ZTAN"/>
    <x v="8"/>
    <s v="RJ6819"/>
    <n v="94742285"/>
    <s v="CORONEL"/>
    <x v="4716"/>
    <x v="5"/>
    <x v="0"/>
    <x v="16"/>
    <x v="0"/>
    <n v="0"/>
    <n v="528000"/>
    <n v="0"/>
    <n v="528000"/>
    <n v="68.442986862316829"/>
    <n v="20000"/>
    <n v="55"/>
    <x v="5980"/>
    <x v="2"/>
    <x v="3"/>
    <x v="0"/>
  </r>
  <r>
    <x v="540"/>
    <s v="ZTAN"/>
    <x v="8"/>
    <s v="TP3884"/>
    <n v="107643206"/>
    <s v="REÑACA"/>
    <x v="4717"/>
    <x v="1"/>
    <x v="1"/>
    <x v="6"/>
    <x v="2"/>
    <n v="0"/>
    <n v="227000"/>
    <n v="0"/>
    <n v="227000"/>
    <n v="43.326894740458542"/>
    <n v="20000"/>
    <n v="26"/>
    <x v="5981"/>
    <x v="2"/>
    <x v="3"/>
    <x v="0"/>
  </r>
  <r>
    <x v="540"/>
    <s v="ZTAN"/>
    <x v="8"/>
    <s v="XR6339"/>
    <n v="78907355"/>
    <s v="TALAGANTE"/>
    <x v="4718"/>
    <x v="1"/>
    <x v="1"/>
    <x v="50"/>
    <x v="1"/>
    <n v="4"/>
    <n v="55000"/>
    <n v="0"/>
    <n v="55000"/>
    <n v="11.723379402661843"/>
    <n v="5000"/>
    <n v="94"/>
    <x v="5982"/>
    <x v="2"/>
    <x v="3"/>
    <x v="1"/>
  </r>
  <r>
    <x v="541"/>
    <s v="ZPEP"/>
    <x v="5"/>
    <s v="HLBX77"/>
    <s v="16093509K"/>
    <s v="PADRE HURTADO"/>
    <x v="4719"/>
    <x v="1"/>
    <x v="1"/>
    <x v="26"/>
    <x v="1"/>
    <n v="5"/>
    <n v="87500"/>
    <n v="0"/>
    <n v="87500"/>
    <n v="25.440113971710584"/>
    <n v="10000"/>
    <n v="34"/>
    <x v="5983"/>
    <x v="2"/>
    <x v="3"/>
    <x v="1"/>
  </r>
  <r>
    <x v="541"/>
    <s v="ZTAN"/>
    <x v="47"/>
    <s v="DJLF85"/>
    <s v="125108660"/>
    <s v="SAN JOAQUIN"/>
    <x v="613"/>
    <x v="4"/>
    <x v="1"/>
    <x v="67"/>
    <x v="1"/>
    <n v="3"/>
    <n v="55000"/>
    <n v="0"/>
    <n v="55000"/>
    <n v="32.345330510468123"/>
    <n v="5000"/>
    <n v="34"/>
    <x v="5984"/>
    <x v="2"/>
    <x v="3"/>
    <x v="1"/>
  </r>
  <r>
    <x v="541"/>
    <s v="ZTAN"/>
    <x v="118"/>
    <s v="DTCY42"/>
    <s v="92028607"/>
    <s v="QUELLON"/>
    <x v="4720"/>
    <x v="5"/>
    <x v="0"/>
    <x v="110"/>
    <x v="5"/>
    <n v="0"/>
    <n v="440000"/>
    <n v="0"/>
    <n v="440000"/>
    <n v="37.989164454229531"/>
    <n v="20000"/>
    <n v="80"/>
    <x v="5985"/>
    <x v="2"/>
    <x v="3"/>
    <x v="0"/>
  </r>
  <r>
    <x v="541"/>
    <s v="ZTAN"/>
    <x v="8"/>
    <s v="SV2718"/>
    <s v="99626232"/>
    <s v="ESTACION CENTRAL"/>
    <x v="4721"/>
    <x v="1"/>
    <x v="1"/>
    <x v="107"/>
    <x v="1"/>
    <n v="1"/>
    <n v="55000"/>
    <n v="0"/>
    <n v="55000"/>
    <n v="20.077315918391179"/>
    <n v="5000"/>
    <n v="55"/>
    <x v="5986"/>
    <x v="2"/>
    <x v="3"/>
    <x v="1"/>
  </r>
  <r>
    <x v="541"/>
    <s v="ZTAN"/>
    <x v="8"/>
    <s v="TP3884"/>
    <s v="107643206"/>
    <s v="PUDAHUEL"/>
    <x v="4722"/>
    <x v="1"/>
    <x v="1"/>
    <x v="10"/>
    <x v="1"/>
    <n v="1"/>
    <n v="63724"/>
    <n v="0"/>
    <n v="63724"/>
    <n v="10.999925774149725"/>
    <n v="5000"/>
    <n v="100"/>
    <x v="5987"/>
    <x v="2"/>
    <x v="3"/>
    <x v="1"/>
  </r>
  <r>
    <x v="541"/>
    <s v="ZTAN"/>
    <x v="8"/>
    <s v="WC2233"/>
    <s v="125108660"/>
    <s v="LA REINA"/>
    <x v="4723"/>
    <x v="4"/>
    <x v="1"/>
    <x v="11"/>
    <x v="1"/>
    <n v="3"/>
    <n v="55000"/>
    <n v="0"/>
    <n v="55000"/>
    <n v="21.005514902458025"/>
    <n v="5000"/>
    <n v="52"/>
    <x v="5988"/>
    <x v="2"/>
    <x v="3"/>
    <x v="1"/>
  </r>
  <r>
    <x v="541"/>
    <s v="ZTAN"/>
    <x v="8"/>
    <s v="XR6339"/>
    <s v="78907355"/>
    <s v="CERRILLOS"/>
    <x v="4724"/>
    <x v="1"/>
    <x v="1"/>
    <x v="9"/>
    <x v="1"/>
    <n v="2"/>
    <n v="55000"/>
    <n v="0"/>
    <n v="55000"/>
    <n v="13.497760598809739"/>
    <n v="5000"/>
    <n v="81"/>
    <x v="5989"/>
    <x v="2"/>
    <x v="3"/>
    <x v="1"/>
  </r>
  <r>
    <x v="542"/>
    <s v="ZPEP"/>
    <x v="5"/>
    <s v="HLBX77"/>
    <s v="16093509K"/>
    <s v="PADRE HURTADO"/>
    <x v="4725"/>
    <x v="1"/>
    <x v="1"/>
    <x v="26"/>
    <x v="1"/>
    <n v="5"/>
    <n v="87500"/>
    <n v="0"/>
    <n v="87500"/>
    <n v="25.43242386985575"/>
    <n v="10000"/>
    <n v="34"/>
    <x v="5990"/>
    <x v="2"/>
    <x v="3"/>
    <x v="1"/>
  </r>
  <r>
    <x v="542"/>
    <s v="ZTAN"/>
    <x v="8"/>
    <s v="SV2718"/>
    <s v="99626232"/>
    <s v="ÑUÑOA"/>
    <x v="4726"/>
    <x v="1"/>
    <x v="1"/>
    <x v="15"/>
    <x v="1"/>
    <n v="4"/>
    <n v="55000"/>
    <n v="0"/>
    <n v="55000"/>
    <n v="22.264502287171595"/>
    <n v="5000"/>
    <n v="49"/>
    <x v="5991"/>
    <x v="2"/>
    <x v="3"/>
    <x v="1"/>
  </r>
  <r>
    <x v="543"/>
    <s v="ZPEP"/>
    <x v="29"/>
    <s v="CJXX49"/>
    <s v="167832741"/>
    <s v="CONCEPCION"/>
    <x v="4727"/>
    <x v="5"/>
    <x v="0"/>
    <x v="81"/>
    <x v="0"/>
    <n v="0"/>
    <n v="478000"/>
    <n v="0"/>
    <n v="478000"/>
    <n v="37.261251260880208"/>
    <n v="20000"/>
    <n v="80"/>
    <x v="5992"/>
    <x v="2"/>
    <x v="3"/>
    <x v="0"/>
  </r>
  <r>
    <x v="543"/>
    <s v="ZTAN"/>
    <x v="114"/>
    <s v="HLBX77"/>
    <s v="16093509K"/>
    <s v="SANTIAGO"/>
    <x v="4728"/>
    <x v="1"/>
    <x v="1"/>
    <x v="20"/>
    <x v="1"/>
    <n v="1"/>
    <n v="143048"/>
    <n v="0"/>
    <n v="143048"/>
    <n v="10.999969241179899"/>
    <n v="5000"/>
    <n v="100"/>
    <x v="5993"/>
    <x v="2"/>
    <x v="3"/>
    <x v="1"/>
  </r>
  <r>
    <x v="543"/>
    <s v="ZTAN"/>
    <x v="7"/>
    <s v="DJLF85"/>
    <s v="53173292"/>
    <s v="RENCA"/>
    <x v="4729"/>
    <x v="4"/>
    <x v="1"/>
    <x v="7"/>
    <x v="1"/>
    <n v="1"/>
    <n v="115797"/>
    <n v="0"/>
    <n v="115797"/>
    <n v="10.719959266802444"/>
    <n v="5000"/>
    <n v="100"/>
    <x v="5994"/>
    <x v="2"/>
    <x v="3"/>
    <x v="1"/>
  </r>
  <r>
    <x v="543"/>
    <s v="ZTAN"/>
    <x v="7"/>
    <s v="SV2718"/>
    <s v="107643206"/>
    <s v="SAN MIGUEL"/>
    <x v="385"/>
    <x v="1"/>
    <x v="1"/>
    <x v="23"/>
    <x v="1"/>
    <n v="2"/>
    <n v="82544"/>
    <n v="0"/>
    <n v="82544"/>
    <n v="11.000000000000004"/>
    <n v="5000"/>
    <n v="100"/>
    <x v="5995"/>
    <x v="2"/>
    <x v="3"/>
    <x v="1"/>
  </r>
  <r>
    <x v="543"/>
    <s v="ZTAN"/>
    <x v="7"/>
    <s v="TP3884"/>
    <s v="107643206"/>
    <s v="SAN MIGUEL"/>
    <x v="400"/>
    <x v="1"/>
    <x v="1"/>
    <x v="23"/>
    <x v="1"/>
    <n v="2"/>
    <n v="90798"/>
    <n v="0"/>
    <n v="90798"/>
    <n v="10.999951540996321"/>
    <n v="5000"/>
    <n v="100"/>
    <x v="5996"/>
    <x v="2"/>
    <x v="3"/>
    <x v="1"/>
  </r>
  <r>
    <x v="543"/>
    <s v="ZTAN"/>
    <x v="7"/>
    <s v="WG4022"/>
    <s v="154837728"/>
    <s v="RENCA"/>
    <x v="4730"/>
    <x v="1"/>
    <x v="0"/>
    <x v="7"/>
    <x v="1"/>
    <n v="1"/>
    <n v="191805"/>
    <n v="0"/>
    <n v="191805"/>
    <n v="10.999986236038188"/>
    <n v="5000"/>
    <n v="100"/>
    <x v="5997"/>
    <x v="2"/>
    <x v="3"/>
    <x v="1"/>
  </r>
  <r>
    <x v="543"/>
    <s v="ZTAN"/>
    <x v="119"/>
    <s v="DJLF85"/>
    <s v="53173292"/>
    <s v="SANTIAGO"/>
    <x v="4731"/>
    <x v="4"/>
    <x v="1"/>
    <x v="20"/>
    <x v="1"/>
    <n v="1"/>
    <n v="125442"/>
    <n v="0"/>
    <n v="125442"/>
    <n v="11.000017538013646"/>
    <n v="5000"/>
    <n v="100"/>
    <x v="5998"/>
    <x v="2"/>
    <x v="3"/>
    <x v="1"/>
  </r>
  <r>
    <x v="543"/>
    <s v="ZTAN"/>
    <x v="119"/>
    <s v="HLBX77"/>
    <s v="16093509K"/>
    <s v="SANTIAGO"/>
    <x v="4731"/>
    <x v="1"/>
    <x v="1"/>
    <x v="20"/>
    <x v="1"/>
    <n v="1"/>
    <n v="125442"/>
    <n v="0"/>
    <n v="125442"/>
    <n v="11.000017538013646"/>
    <n v="5000"/>
    <n v="100"/>
    <x v="5999"/>
    <x v="2"/>
    <x v="3"/>
    <x v="1"/>
  </r>
  <r>
    <x v="543"/>
    <s v="ZTAN"/>
    <x v="119"/>
    <s v="WC2233"/>
    <s v="125108660"/>
    <s v="SANTIAGO"/>
    <x v="4732"/>
    <x v="4"/>
    <x v="1"/>
    <x v="20"/>
    <x v="1"/>
    <n v="1"/>
    <n v="124376"/>
    <n v="0"/>
    <n v="124376"/>
    <n v="11.000008844157108"/>
    <n v="5000"/>
    <n v="100"/>
    <x v="6000"/>
    <x v="2"/>
    <x v="3"/>
    <x v="1"/>
  </r>
  <r>
    <x v="543"/>
    <s v="ZTAN"/>
    <x v="8"/>
    <s v="XR6339"/>
    <s v="78907355"/>
    <s v="PUENTE ALTO"/>
    <x v="4733"/>
    <x v="1"/>
    <x v="1"/>
    <x v="30"/>
    <x v="1"/>
    <n v="4"/>
    <n v="55000"/>
    <n v="0"/>
    <n v="55000"/>
    <n v="16.752051364835314"/>
    <n v="5000"/>
    <n v="66"/>
    <x v="6001"/>
    <x v="2"/>
    <x v="3"/>
    <x v="1"/>
  </r>
  <r>
    <x v="543"/>
    <s v="ZTAN"/>
    <x v="94"/>
    <s v="BPKD94"/>
    <s v="125897258"/>
    <s v="LOS ANGELES"/>
    <x v="4734"/>
    <x v="0"/>
    <x v="0"/>
    <x v="57"/>
    <x v="0"/>
    <n v="0"/>
    <n v="528000"/>
    <n v="0"/>
    <n v="528000"/>
    <n v="29.864253393665159"/>
    <n v="20000"/>
    <n v="88"/>
    <x v="6002"/>
    <x v="2"/>
    <x v="3"/>
    <x v="0"/>
  </r>
  <r>
    <x v="544"/>
    <s v="ZTAN"/>
    <x v="10"/>
    <s v="DJLF85"/>
    <s v="53173292"/>
    <s v="QUILICURA"/>
    <x v="4735"/>
    <x v="4"/>
    <x v="1"/>
    <x v="8"/>
    <x v="1"/>
    <n v="1"/>
    <n v="95595"/>
    <n v="0"/>
    <n v="95595"/>
    <n v="11.000043726310118"/>
    <n v="5000"/>
    <n v="100"/>
    <x v="6003"/>
    <x v="2"/>
    <x v="3"/>
    <x v="1"/>
  </r>
  <r>
    <x v="544"/>
    <s v="ZTAN"/>
    <x v="10"/>
    <s v="XR6339"/>
    <s v="78907355"/>
    <s v="QUILICURA"/>
    <x v="4736"/>
    <x v="1"/>
    <x v="1"/>
    <x v="8"/>
    <x v="1"/>
    <n v="1"/>
    <n v="56396"/>
    <n v="0"/>
    <n v="56396"/>
    <n v="10.999976594134489"/>
    <n v="5000"/>
    <n v="100"/>
    <x v="6004"/>
    <x v="2"/>
    <x v="3"/>
    <x v="1"/>
  </r>
  <r>
    <x v="544"/>
    <s v="ZTAN"/>
    <x v="117"/>
    <s v="HLBX77"/>
    <s v="16093509K"/>
    <s v="SANTIAGO"/>
    <x v="446"/>
    <x v="1"/>
    <x v="1"/>
    <x v="20"/>
    <x v="1"/>
    <n v="1"/>
    <n v="58399"/>
    <n v="0"/>
    <n v="58399"/>
    <n v="11"/>
    <n v="5000"/>
    <n v="100"/>
    <x v="6005"/>
    <x v="2"/>
    <x v="3"/>
    <x v="1"/>
  </r>
  <r>
    <x v="544"/>
    <s v="ZTAN"/>
    <x v="7"/>
    <s v="WC2233"/>
    <s v="125108660"/>
    <s v="RENCA"/>
    <x v="4737"/>
    <x v="4"/>
    <x v="1"/>
    <x v="7"/>
    <x v="1"/>
    <n v="1"/>
    <n v="92301"/>
    <n v="0"/>
    <n v="92301"/>
    <n v="11"/>
    <n v="5000"/>
    <n v="100"/>
    <x v="6006"/>
    <x v="2"/>
    <x v="3"/>
    <x v="1"/>
  </r>
  <r>
    <x v="544"/>
    <s v="ZTAN"/>
    <x v="7"/>
    <s v="WG4022"/>
    <s v="154837728"/>
    <s v="RENCA"/>
    <x v="4738"/>
    <x v="1"/>
    <x v="0"/>
    <x v="7"/>
    <x v="1"/>
    <n v="1"/>
    <n v="145462"/>
    <n v="0"/>
    <n v="145462"/>
    <n v="11.000023442598527"/>
    <n v="5000"/>
    <n v="100"/>
    <x v="6007"/>
    <x v="2"/>
    <x v="3"/>
    <x v="1"/>
  </r>
  <r>
    <x v="544"/>
    <s v="ZTAN"/>
    <x v="7"/>
    <s v="XR6339"/>
    <s v="78907355"/>
    <s v="SAN MIGUEL"/>
    <x v="4739"/>
    <x v="1"/>
    <x v="1"/>
    <x v="23"/>
    <x v="1"/>
    <n v="2"/>
    <n v="57522"/>
    <n v="0"/>
    <n v="57522"/>
    <n v="9.5388763687198086"/>
    <n v="5000"/>
    <n v="100"/>
    <x v="6008"/>
    <x v="2"/>
    <x v="3"/>
    <x v="1"/>
  </r>
  <r>
    <x v="544"/>
    <s v="ZTAN"/>
    <x v="8"/>
    <s v="HLBX77"/>
    <s v="16093509K"/>
    <s v="SAN BERNARDO"/>
    <x v="4740"/>
    <x v="1"/>
    <x v="1"/>
    <x v="4"/>
    <x v="1"/>
    <n v="4"/>
    <n v="55000"/>
    <n v="0"/>
    <n v="55000"/>
    <n v="17.23770481527448"/>
    <n v="5000"/>
    <n v="64"/>
    <x v="6009"/>
    <x v="2"/>
    <x v="3"/>
    <x v="1"/>
  </r>
  <r>
    <x v="544"/>
    <s v="ZTAN"/>
    <x v="8"/>
    <s v="SV2718"/>
    <s v="99626232"/>
    <s v="LAS CONDES"/>
    <x v="2377"/>
    <x v="1"/>
    <x v="1"/>
    <x v="3"/>
    <x v="1"/>
    <n v="4"/>
    <n v="55000"/>
    <n v="0"/>
    <n v="55000"/>
    <n v="17.181057103586149"/>
    <n v="5000"/>
    <n v="64"/>
    <x v="6010"/>
    <x v="2"/>
    <x v="3"/>
    <x v="1"/>
  </r>
  <r>
    <x v="544"/>
    <s v="ZTAN"/>
    <x v="8"/>
    <s v="TP3884"/>
    <s v="107643206"/>
    <s v="PUDAHUEL"/>
    <x v="4741"/>
    <x v="1"/>
    <x v="1"/>
    <x v="10"/>
    <x v="1"/>
    <n v="1"/>
    <n v="73914"/>
    <n v="0"/>
    <n v="73914"/>
    <n v="10.999925589701617"/>
    <n v="5000"/>
    <n v="100"/>
    <x v="6011"/>
    <x v="2"/>
    <x v="3"/>
    <x v="1"/>
  </r>
  <r>
    <x v="545"/>
    <s v="ZTAN"/>
    <x v="41"/>
    <s v="RH1133"/>
    <n v="65941082"/>
    <s v="LAS CABRAS"/>
    <x v="4742"/>
    <x v="0"/>
    <x v="0"/>
    <x v="61"/>
    <x v="6"/>
    <n v="0"/>
    <n v="290000"/>
    <n v="0"/>
    <n v="290000"/>
    <n v="13.873075708722808"/>
    <n v="20000"/>
    <n v="100"/>
    <x v="6012"/>
    <x v="2"/>
    <x v="3"/>
    <x v="0"/>
  </r>
  <r>
    <x v="545"/>
    <s v="ZTAN"/>
    <x v="7"/>
    <s v="DBPL36"/>
    <n v="101327930"/>
    <s v="CORONEL"/>
    <x v="2521"/>
    <x v="0"/>
    <x v="0"/>
    <x v="16"/>
    <x v="0"/>
    <n v="0"/>
    <n v="528000"/>
    <n v="0"/>
    <n v="528000"/>
    <n v="64.043471932463248"/>
    <n v="20000"/>
    <n v="60"/>
    <x v="6013"/>
    <x v="2"/>
    <x v="3"/>
    <x v="0"/>
  </r>
  <r>
    <x v="545"/>
    <s v="ZTAN"/>
    <x v="7"/>
    <s v="TP3884"/>
    <n v="107643206"/>
    <s v="SANTIAGO"/>
    <x v="4743"/>
    <x v="1"/>
    <x v="1"/>
    <x v="20"/>
    <x v="1"/>
    <n v="1"/>
    <n v="62958"/>
    <n v="0"/>
    <n v="62958"/>
    <n v="10.999989516830729"/>
    <n v="5000"/>
    <n v="100"/>
    <x v="6014"/>
    <x v="2"/>
    <x v="3"/>
    <x v="1"/>
  </r>
  <r>
    <x v="545"/>
    <s v="ZTAN"/>
    <x v="7"/>
    <s v="WC2233"/>
    <n v="125108660"/>
    <s v="RENCA"/>
    <x v="4744"/>
    <x v="4"/>
    <x v="1"/>
    <x v="7"/>
    <x v="1"/>
    <n v="1"/>
    <n v="107491"/>
    <n v="0"/>
    <n v="107491"/>
    <n v="10.999976463196113"/>
    <n v="5000"/>
    <n v="100"/>
    <x v="6015"/>
    <x v="2"/>
    <x v="3"/>
    <x v="1"/>
  </r>
  <r>
    <x v="545"/>
    <s v="ZTAN"/>
    <x v="7"/>
    <s v="WG4022"/>
    <n v="154837728"/>
    <s v="RENCA"/>
    <x v="4745"/>
    <x v="1"/>
    <x v="0"/>
    <x v="7"/>
    <x v="1"/>
    <n v="1"/>
    <n v="123046"/>
    <n v="0"/>
    <n v="123046"/>
    <n v="10.999960665257767"/>
    <n v="5000"/>
    <n v="100"/>
    <x v="6016"/>
    <x v="2"/>
    <x v="3"/>
    <x v="1"/>
  </r>
  <r>
    <x v="545"/>
    <s v="ZTAN"/>
    <x v="7"/>
    <s v="XR6339"/>
    <n v="78907355"/>
    <s v="MELIPILLA"/>
    <x v="4746"/>
    <x v="1"/>
    <x v="1"/>
    <x v="29"/>
    <x v="1"/>
    <n v="5"/>
    <n v="112500"/>
    <n v="0"/>
    <n v="112500"/>
    <n v="16.614484877126653"/>
    <n v="10000"/>
    <n v="68"/>
    <x v="6017"/>
    <x v="2"/>
    <x v="3"/>
    <x v="1"/>
  </r>
  <r>
    <x v="545"/>
    <s v="ZTAN"/>
    <x v="7"/>
    <s v="XR6339"/>
    <n v="78907355"/>
    <s v="SAN MIGUEL"/>
    <x v="2201"/>
    <x v="1"/>
    <x v="1"/>
    <x v="23"/>
    <x v="1"/>
    <n v="2"/>
    <n v="68330"/>
    <n v="0"/>
    <n v="68330"/>
    <n v="11.000032196786764"/>
    <n v="5000"/>
    <n v="100"/>
    <x v="6018"/>
    <x v="2"/>
    <x v="3"/>
    <x v="1"/>
  </r>
  <r>
    <x v="546"/>
    <s v="ZPEP"/>
    <x v="5"/>
    <s v="WG4022"/>
    <s v="154837728"/>
    <s v="PADRE HURTADO"/>
    <x v="4747"/>
    <x v="1"/>
    <x v="0"/>
    <x v="26"/>
    <x v="1"/>
    <n v="5"/>
    <n v="187000"/>
    <n v="0"/>
    <n v="187000"/>
    <n v="27.373037411769531"/>
    <n v="10000"/>
    <n v="68"/>
    <x v="6019"/>
    <x v="3"/>
    <x v="4"/>
    <x v="1"/>
  </r>
  <r>
    <x v="546"/>
    <s v="ZTAN"/>
    <x v="10"/>
    <s v="SU9354"/>
    <s v="72564391"/>
    <s v="COLINA"/>
    <x v="4748"/>
    <x v="2"/>
    <x v="1"/>
    <x v="5"/>
    <x v="1"/>
    <n v="5"/>
    <n v="87500"/>
    <n v="0"/>
    <n v="87500"/>
    <n v="20.048758580868675"/>
    <n v="10000"/>
    <n v="44"/>
    <x v="6020"/>
    <x v="3"/>
    <x v="4"/>
    <x v="1"/>
  </r>
  <r>
    <x v="546"/>
    <s v="ZTAN"/>
    <x v="10"/>
    <s v="XR6339"/>
    <s v="16093509K"/>
    <s v="MELIPILLA"/>
    <x v="4749"/>
    <x v="1"/>
    <x v="1"/>
    <x v="29"/>
    <x v="1"/>
    <n v="5"/>
    <n v="112500"/>
    <n v="0"/>
    <n v="112500"/>
    <n v="32.781248543055618"/>
    <n v="10000"/>
    <n v="34"/>
    <x v="6021"/>
    <x v="3"/>
    <x v="4"/>
    <x v="1"/>
  </r>
  <r>
    <x v="546"/>
    <s v="ZTAN"/>
    <x v="8"/>
    <s v="SU2718"/>
    <s v="78907355"/>
    <s v="QUILIN"/>
    <x v="4750"/>
    <x v="0"/>
    <x v="0"/>
    <x v="34"/>
    <x v="1"/>
    <n v="4"/>
    <n v="55000"/>
    <n v="0"/>
    <n v="55000"/>
    <n v="18.931049675074345"/>
    <n v="5000"/>
    <n v="58"/>
    <x v="6022"/>
    <x v="3"/>
    <x v="4"/>
    <x v="1"/>
  </r>
  <r>
    <x v="546"/>
    <s v="ZTAN"/>
    <x v="8"/>
    <s v="SU9354"/>
    <s v="72564391"/>
    <s v="REÑACA"/>
    <x v="4751"/>
    <x v="2"/>
    <x v="1"/>
    <x v="6"/>
    <x v="2"/>
    <n v="0"/>
    <n v="227000"/>
    <n v="0"/>
    <n v="227000"/>
    <n v="56.246871732354087"/>
    <n v="20000"/>
    <n v="50"/>
    <x v="6023"/>
    <x v="3"/>
    <x v="4"/>
    <x v="0"/>
  </r>
  <r>
    <x v="546"/>
    <s v="ZTAN"/>
    <x v="8"/>
    <s v="TP3884"/>
    <s v="107643206"/>
    <s v="PUDAHUEL"/>
    <x v="4752"/>
    <x v="1"/>
    <x v="1"/>
    <x v="10"/>
    <x v="1"/>
    <n v="1"/>
    <n v="63467"/>
    <n v="0"/>
    <n v="63467"/>
    <n v="10.999975735475079"/>
    <n v="5000"/>
    <n v="100"/>
    <x v="6024"/>
    <x v="3"/>
    <x v="4"/>
    <x v="1"/>
  </r>
  <r>
    <x v="547"/>
    <s v="ZPEP"/>
    <x v="5"/>
    <s v="DJLF85"/>
    <n v="53173292"/>
    <s v="PADRE HURTADO"/>
    <x v="4753"/>
    <x v="4"/>
    <x v="1"/>
    <x v="26"/>
    <x v="1"/>
    <n v="5"/>
    <n v="87500"/>
    <n v="0"/>
    <n v="87500"/>
    <n v="8.3407128783466522"/>
    <n v="10000"/>
    <n v="100"/>
    <x v="6025"/>
    <x v="3"/>
    <x v="4"/>
    <x v="1"/>
  </r>
  <r>
    <x v="547"/>
    <s v="ZTAN"/>
    <x v="10"/>
    <s v="KKPF51"/>
    <n v="95707734"/>
    <s v="SANTIAGO"/>
    <x v="4754"/>
    <x v="8"/>
    <x v="0"/>
    <x v="20"/>
    <x v="1"/>
    <n v="1"/>
    <n v="126415"/>
    <n v="0"/>
    <n v="126415"/>
    <n v="11.000031325485727"/>
    <n v="5000"/>
    <n v="100"/>
    <x v="6026"/>
    <x v="3"/>
    <x v="4"/>
    <x v="1"/>
  </r>
  <r>
    <x v="547"/>
    <s v="ZTAN"/>
    <x v="10"/>
    <s v="XR6339"/>
    <n v="78907355"/>
    <s v="SANTIAGO"/>
    <x v="4755"/>
    <x v="1"/>
    <x v="1"/>
    <x v="20"/>
    <x v="1"/>
    <n v="1"/>
    <n v="58730"/>
    <n v="0"/>
    <n v="58730"/>
    <n v="10.999981270251542"/>
    <n v="5000"/>
    <n v="100"/>
    <x v="6027"/>
    <x v="3"/>
    <x v="4"/>
    <x v="1"/>
  </r>
  <r>
    <x v="548"/>
    <s v="ZPEP"/>
    <x v="5"/>
    <s v="WG4022"/>
    <s v="154837728"/>
    <s v="PADRE HURTADO"/>
    <x v="4756"/>
    <x v="1"/>
    <x v="0"/>
    <x v="26"/>
    <x v="1"/>
    <n v="5"/>
    <n v="187000"/>
    <n v="0"/>
    <n v="187000"/>
    <n v="15.245406200396381"/>
    <n v="10000"/>
    <n v="100"/>
    <x v="6028"/>
    <x v="3"/>
    <x v="4"/>
    <x v="1"/>
  </r>
  <r>
    <x v="548"/>
    <s v="ZTAN"/>
    <x v="63"/>
    <s v="RH1133"/>
    <s v="65941082"/>
    <s v="MAIPU"/>
    <x v="4757"/>
    <x v="0"/>
    <x v="0"/>
    <x v="2"/>
    <x v="1"/>
    <n v="2"/>
    <n v="130812"/>
    <n v="0"/>
    <n v="130812"/>
    <n v="11"/>
    <n v="5000"/>
    <n v="100"/>
    <x v="6029"/>
    <x v="3"/>
    <x v="4"/>
    <x v="1"/>
  </r>
  <r>
    <x v="548"/>
    <s v="ZTAN"/>
    <x v="4"/>
    <s v="KKPF51"/>
    <s v="95707734"/>
    <s v="VILLA ALEMANA"/>
    <x v="397"/>
    <x v="8"/>
    <x v="0"/>
    <x v="96"/>
    <x v="2"/>
    <n v="0"/>
    <n v="289000"/>
    <n v="0"/>
    <n v="289000"/>
    <n v="15.405117270788912"/>
    <n v="20000"/>
    <n v="94"/>
    <x v="6030"/>
    <x v="3"/>
    <x v="4"/>
    <x v="0"/>
  </r>
  <r>
    <x v="548"/>
    <s v="ZTAN"/>
    <x v="87"/>
    <s v="SU9354"/>
    <s v="72564391"/>
    <s v="HUASCO"/>
    <x v="4758"/>
    <x v="2"/>
    <x v="1"/>
    <x v="104"/>
    <x v="9"/>
    <n v="0"/>
    <n v="750000"/>
    <n v="0"/>
    <n v="750000"/>
    <n v="58.466038247702677"/>
    <n v="20000"/>
    <n v="100"/>
    <x v="6031"/>
    <x v="3"/>
    <x v="4"/>
    <x v="0"/>
  </r>
  <r>
    <x v="548"/>
    <s v="ZTAN"/>
    <x v="10"/>
    <s v="RH1133"/>
    <s v="65941082"/>
    <s v="QUILICURA"/>
    <x v="4759"/>
    <x v="0"/>
    <x v="0"/>
    <x v="8"/>
    <x v="1"/>
    <n v="1"/>
    <n v="146704"/>
    <n v="0"/>
    <n v="146704"/>
    <n v="10.999989502682064"/>
    <n v="5000"/>
    <n v="100"/>
    <x v="6032"/>
    <x v="3"/>
    <x v="4"/>
    <x v="1"/>
  </r>
  <r>
    <x v="548"/>
    <s v="ZTAN"/>
    <x v="10"/>
    <s v="WC2233"/>
    <s v="125108660"/>
    <s v="QUILICURA"/>
    <x v="4760"/>
    <x v="4"/>
    <x v="1"/>
    <x v="8"/>
    <x v="1"/>
    <n v="1"/>
    <n v="55000"/>
    <n v="0"/>
    <n v="55000"/>
    <n v="16.413011041480154"/>
    <n v="5000"/>
    <n v="67"/>
    <x v="6033"/>
    <x v="3"/>
    <x v="4"/>
    <x v="1"/>
  </r>
  <r>
    <x v="548"/>
    <s v="ZTAN"/>
    <x v="7"/>
    <s v="DJLF85"/>
    <s v="53173292"/>
    <s v="RENCA"/>
    <x v="1067"/>
    <x v="4"/>
    <x v="1"/>
    <x v="7"/>
    <x v="1"/>
    <n v="1"/>
    <n v="93522"/>
    <n v="0"/>
    <n v="93522"/>
    <n v="11"/>
    <n v="5000"/>
    <n v="100"/>
    <x v="6034"/>
    <x v="3"/>
    <x v="4"/>
    <x v="1"/>
  </r>
  <r>
    <x v="548"/>
    <s v="ZTAN"/>
    <x v="7"/>
    <s v="WG4022"/>
    <s v="154837728"/>
    <s v="RENCA"/>
    <x v="810"/>
    <x v="1"/>
    <x v="0"/>
    <x v="7"/>
    <x v="1"/>
    <n v="1"/>
    <n v="181597"/>
    <n v="0"/>
    <n v="181597"/>
    <n v="11.000012114750922"/>
    <n v="5000"/>
    <n v="100"/>
    <x v="6035"/>
    <x v="3"/>
    <x v="4"/>
    <x v="1"/>
  </r>
  <r>
    <x v="548"/>
    <s v="ZTAN"/>
    <x v="7"/>
    <s v="XR6339"/>
    <s v="16093509K"/>
    <s v="MELIPILLA"/>
    <x v="4761"/>
    <x v="1"/>
    <x v="1"/>
    <x v="29"/>
    <x v="1"/>
    <n v="5"/>
    <n v="112500"/>
    <n v="0"/>
    <n v="112500"/>
    <n v="16.415209968774626"/>
    <n v="10000"/>
    <n v="69"/>
    <x v="6036"/>
    <x v="3"/>
    <x v="4"/>
    <x v="1"/>
  </r>
  <r>
    <x v="548"/>
    <s v="ZTAN"/>
    <x v="8"/>
    <s v="SV2718"/>
    <s v="78907355"/>
    <s v="SANTIAGO"/>
    <x v="4762"/>
    <x v="1"/>
    <x v="1"/>
    <x v="20"/>
    <x v="1"/>
    <n v="1"/>
    <n v="55000"/>
    <n v="0"/>
    <n v="55000"/>
    <n v="15.874848467355539"/>
    <n v="5000"/>
    <n v="69"/>
    <x v="6037"/>
    <x v="3"/>
    <x v="4"/>
    <x v="1"/>
  </r>
  <r>
    <x v="548"/>
    <s v="ZTAN"/>
    <x v="8"/>
    <s v="TP3884"/>
    <s v="107643206"/>
    <s v="PUDAHUEL"/>
    <x v="4763"/>
    <x v="1"/>
    <x v="1"/>
    <x v="10"/>
    <x v="1"/>
    <n v="1"/>
    <n v="55000"/>
    <n v="0"/>
    <n v="55000"/>
    <n v="11.991401075301637"/>
    <n v="5000"/>
    <n v="92"/>
    <x v="6038"/>
    <x v="3"/>
    <x v="4"/>
    <x v="1"/>
  </r>
  <r>
    <x v="549"/>
    <s v="ZPEP"/>
    <x v="5"/>
    <s v="KKPF51"/>
    <s v="95707734"/>
    <s v="COQUIMBO"/>
    <x v="4764"/>
    <x v="8"/>
    <x v="0"/>
    <x v="42"/>
    <x v="8"/>
    <n v="0"/>
    <n v="700000"/>
    <n v="0"/>
    <n v="700000"/>
    <n v="30.814307699350962"/>
    <n v="20000"/>
    <n v="100"/>
    <x v="6039"/>
    <x v="3"/>
    <x v="4"/>
    <x v="0"/>
  </r>
  <r>
    <x v="549"/>
    <s v="ZTAN"/>
    <x v="10"/>
    <s v="DFRV76"/>
    <s v="113693568"/>
    <s v="CHILLAN"/>
    <x v="4765"/>
    <x v="5"/>
    <x v="0"/>
    <x v="21"/>
    <x v="5"/>
    <n v="0"/>
    <n v="440000"/>
    <n v="0"/>
    <n v="440000"/>
    <n v="85.745911479038995"/>
    <n v="20000"/>
    <n v="80"/>
    <x v="6040"/>
    <x v="3"/>
    <x v="4"/>
    <x v="0"/>
  </r>
  <r>
    <x v="549"/>
    <s v="ZTAN"/>
    <x v="70"/>
    <s v="CJXX49"/>
    <s v="167832741"/>
    <s v="VILLARRICA"/>
    <x v="4766"/>
    <x v="5"/>
    <x v="0"/>
    <x v="88"/>
    <x v="4"/>
    <n v="0"/>
    <n v="943000"/>
    <n v="0"/>
    <n v="943000"/>
    <n v="42.549543370754051"/>
    <n v="20000"/>
    <n v="100"/>
    <x v="6041"/>
    <x v="3"/>
    <x v="4"/>
    <x v="0"/>
  </r>
  <r>
    <x v="549"/>
    <s v="ZTAN"/>
    <x v="7"/>
    <s v="DJLF85"/>
    <s v="53173292"/>
    <s v="SANTIAGO"/>
    <x v="4767"/>
    <x v="4"/>
    <x v="1"/>
    <x v="20"/>
    <x v="1"/>
    <n v="1"/>
    <n v="55000"/>
    <n v="0"/>
    <n v="55000"/>
    <n v="12.296987908707161"/>
    <n v="5000"/>
    <n v="89"/>
    <x v="6042"/>
    <x v="3"/>
    <x v="4"/>
    <x v="1"/>
  </r>
  <r>
    <x v="549"/>
    <s v="ZTAN"/>
    <x v="7"/>
    <s v="HLBX77"/>
    <s v="16093509K"/>
    <s v="RENCA"/>
    <x v="1603"/>
    <x v="1"/>
    <x v="1"/>
    <x v="7"/>
    <x v="1"/>
    <n v="1"/>
    <n v="137271"/>
    <n v="0"/>
    <n v="137271"/>
    <n v="10.999983973331624"/>
    <n v="5000"/>
    <n v="100"/>
    <x v="6043"/>
    <x v="3"/>
    <x v="4"/>
    <x v="1"/>
  </r>
  <r>
    <x v="549"/>
    <s v="ZTAN"/>
    <x v="7"/>
    <s v="WG4022"/>
    <s v="154837728"/>
    <s v="RENCA"/>
    <x v="4768"/>
    <x v="1"/>
    <x v="0"/>
    <x v="7"/>
    <x v="1"/>
    <n v="1"/>
    <n v="116763"/>
    <n v="0"/>
    <n v="116763"/>
    <n v="8.3612308366529877"/>
    <n v="5000"/>
    <n v="100"/>
    <x v="6044"/>
    <x v="3"/>
    <x v="4"/>
    <x v="1"/>
  </r>
  <r>
    <x v="549"/>
    <s v="ZTAN"/>
    <x v="8"/>
    <s v="DKDL88"/>
    <s v="122975819"/>
    <s v="PUERTO MONTT"/>
    <x v="4769"/>
    <x v="0"/>
    <x v="0"/>
    <x v="53"/>
    <x v="10"/>
    <n v="0"/>
    <n v="1282000"/>
    <n v="0"/>
    <n v="1282000"/>
    <n v="149.17071785789918"/>
    <n v="20000"/>
    <n v="43"/>
    <x v="6045"/>
    <x v="3"/>
    <x v="4"/>
    <x v="0"/>
  </r>
  <r>
    <x v="549"/>
    <s v="ZTAN"/>
    <x v="8"/>
    <s v="SV2718"/>
    <s v="78907355"/>
    <s v="LA REINA"/>
    <x v="4770"/>
    <x v="1"/>
    <x v="1"/>
    <x v="11"/>
    <x v="1"/>
    <n v="3"/>
    <n v="55000"/>
    <n v="0"/>
    <n v="55000"/>
    <n v="16.994296096255692"/>
    <n v="5000"/>
    <n v="65"/>
    <x v="6046"/>
    <x v="3"/>
    <x v="4"/>
    <x v="1"/>
  </r>
  <r>
    <x v="550"/>
    <s v="ZPEP"/>
    <x v="7"/>
    <s v="WG4022"/>
    <s v="154837728"/>
    <s v="RENCA"/>
    <x v="4771"/>
    <x v="1"/>
    <x v="0"/>
    <x v="7"/>
    <x v="1"/>
    <n v="1"/>
    <n v="232044"/>
    <n v="0"/>
    <n v="232044"/>
    <n v="10.999994311426638"/>
    <n v="5000"/>
    <n v="100"/>
    <x v="6047"/>
    <x v="3"/>
    <x v="4"/>
    <x v="1"/>
  </r>
  <r>
    <x v="550"/>
    <s v="ZPEP"/>
    <x v="100"/>
    <s v="DJLF85"/>
    <s v="125108660"/>
    <s v="PAINE"/>
    <x v="4772"/>
    <x v="4"/>
    <x v="1"/>
    <x v="13"/>
    <x v="1"/>
    <n v="5"/>
    <n v="112500"/>
    <n v="0"/>
    <n v="112500"/>
    <n v="14.337895120527538"/>
    <n v="10000"/>
    <n v="78"/>
    <x v="6048"/>
    <x v="3"/>
    <x v="4"/>
    <x v="1"/>
  </r>
  <r>
    <x v="550"/>
    <s v="ZTAN"/>
    <x v="5"/>
    <s v="JWCG39"/>
    <s v="67019571"/>
    <s v="RENCA"/>
    <x v="4773"/>
    <x v="0"/>
    <x v="0"/>
    <x v="7"/>
    <x v="1"/>
    <n v="1"/>
    <n v="80483"/>
    <n v="0"/>
    <n v="80483"/>
    <n v="7.532617037605525"/>
    <n v="5000"/>
    <n v="100"/>
    <x v="6049"/>
    <x v="3"/>
    <x v="4"/>
    <x v="1"/>
  </r>
  <r>
    <x v="550"/>
    <s v="ZTAN"/>
    <x v="6"/>
    <s v="SU9354"/>
    <s v="72564391"/>
    <s v="QUILLOTA"/>
    <x v="4774"/>
    <x v="2"/>
    <x v="1"/>
    <x v="19"/>
    <x v="2"/>
    <n v="0"/>
    <n v="227000"/>
    <n v="0"/>
    <n v="227000"/>
    <n v="36.578212920649449"/>
    <n v="5000"/>
    <n v="100"/>
    <x v="6050"/>
    <x v="3"/>
    <x v="4"/>
    <x v="0"/>
  </r>
  <r>
    <x v="550"/>
    <s v="ZTAN"/>
    <x v="7"/>
    <s v="WC2233"/>
    <s v="125108660"/>
    <s v="RENCA"/>
    <x v="4775"/>
    <x v="4"/>
    <x v="1"/>
    <x v="7"/>
    <x v="1"/>
    <n v="1"/>
    <n v="55000"/>
    <n v="0"/>
    <n v="55000"/>
    <n v="13.326161435542568"/>
    <n v="5000"/>
    <n v="83"/>
    <x v="6051"/>
    <x v="3"/>
    <x v="4"/>
    <x v="1"/>
  </r>
  <r>
    <x v="550"/>
    <s v="ZTAN"/>
    <x v="8"/>
    <s v="DPHY91"/>
    <s v="101364364"/>
    <s v="TALCA"/>
    <x v="4776"/>
    <x v="0"/>
    <x v="0"/>
    <x v="12"/>
    <x v="3"/>
    <n v="0"/>
    <n v="402000"/>
    <n v="0"/>
    <n v="402000"/>
    <n v="37.286956521739128"/>
    <n v="20000"/>
    <n v="50"/>
    <x v="6052"/>
    <x v="3"/>
    <x v="4"/>
    <x v="0"/>
  </r>
  <r>
    <x v="550"/>
    <s v="ZTAN"/>
    <x v="8"/>
    <s v="HLBX77"/>
    <s v="16093509K"/>
    <s v="CERRILLOS"/>
    <x v="4777"/>
    <x v="1"/>
    <x v="1"/>
    <x v="9"/>
    <x v="1"/>
    <n v="2"/>
    <n v="55000"/>
    <n v="0"/>
    <n v="55000"/>
    <n v="21.837875611460518"/>
    <n v="5000"/>
    <n v="50"/>
    <x v="6053"/>
    <x v="3"/>
    <x v="4"/>
    <x v="1"/>
  </r>
  <r>
    <x v="550"/>
    <s v="ZTAN"/>
    <x v="8"/>
    <s v="SV2718"/>
    <s v="103018366"/>
    <s v="SAN MIGUEL"/>
    <x v="4778"/>
    <x v="1"/>
    <x v="1"/>
    <x v="23"/>
    <x v="1"/>
    <n v="2"/>
    <n v="55000"/>
    <n v="0"/>
    <n v="55000"/>
    <n v="17.251546365883343"/>
    <n v="5000"/>
    <n v="64"/>
    <x v="6054"/>
    <x v="3"/>
    <x v="4"/>
    <x v="1"/>
  </r>
  <r>
    <x v="550"/>
    <s v="ZTAN"/>
    <x v="8"/>
    <s v="TP3884"/>
    <s v="107643206"/>
    <s v="SANTIAGO"/>
    <x v="4779"/>
    <x v="1"/>
    <x v="1"/>
    <x v="20"/>
    <x v="1"/>
    <n v="1"/>
    <n v="55000"/>
    <n v="0"/>
    <n v="0"/>
    <n v="11"/>
    <n v="5000"/>
    <n v="100"/>
    <x v="6055"/>
    <x v="3"/>
    <x v="4"/>
    <x v="1"/>
  </r>
  <r>
    <x v="550"/>
    <s v="ZTAN"/>
    <x v="8"/>
    <s v="XR6339"/>
    <s v="78907355"/>
    <s v="SAN BERNARDO"/>
    <x v="4780"/>
    <x v="1"/>
    <x v="1"/>
    <x v="4"/>
    <x v="1"/>
    <n v="4"/>
    <n v="55000"/>
    <n v="0"/>
    <n v="55000"/>
    <n v="11.590171534538712"/>
    <n v="5000"/>
    <n v="95"/>
    <x v="6056"/>
    <x v="3"/>
    <x v="4"/>
    <x v="1"/>
  </r>
  <r>
    <x v="551"/>
    <s v="ZPEP"/>
    <x v="116"/>
    <s v="YP9271"/>
    <s v="127652716"/>
    <s v="SANTIAGO"/>
    <x v="4781"/>
    <x v="0"/>
    <x v="0"/>
    <x v="20"/>
    <x v="1"/>
    <n v="1"/>
    <n v="69173"/>
    <n v="0"/>
    <n v="69173"/>
    <n v="42.557524301710345"/>
    <n v="5000"/>
    <n v="33"/>
    <x v="6057"/>
    <x v="3"/>
    <x v="4"/>
    <x v="1"/>
  </r>
  <r>
    <x v="551"/>
    <s v="ZPEP"/>
    <x v="7"/>
    <s v="KXTC79"/>
    <s v="177846392"/>
    <s v="CALAMA"/>
    <x v="4782"/>
    <x v="0"/>
    <x v="0"/>
    <x v="37"/>
    <x v="7"/>
    <n v="0"/>
    <n v="1760000"/>
    <n v="0"/>
    <n v="1760000"/>
    <n v="64.326356847540666"/>
    <n v="14000"/>
    <n v="100"/>
    <x v="6058"/>
    <x v="3"/>
    <x v="4"/>
    <x v="0"/>
  </r>
  <r>
    <x v="551"/>
    <s v="ZTAN"/>
    <x v="4"/>
    <s v="XR6339"/>
    <s v="78907355"/>
    <s v="LA CISTERNA"/>
    <x v="4783"/>
    <x v="1"/>
    <x v="1"/>
    <x v="76"/>
    <x v="1"/>
    <n v="4"/>
    <n v="69173"/>
    <n v="0"/>
    <n v="69173"/>
    <n v="18.436300639658842"/>
    <n v="5000"/>
    <n v="75"/>
    <x v="6059"/>
    <x v="3"/>
    <x v="4"/>
    <x v="1"/>
  </r>
  <r>
    <x v="551"/>
    <s v="ZTAN"/>
    <x v="65"/>
    <s v="KKPF51"/>
    <s v="95707734"/>
    <s v="LINARES"/>
    <x v="4784"/>
    <x v="8"/>
    <x v="0"/>
    <x v="59"/>
    <x v="3"/>
    <n v="0"/>
    <n v="437500"/>
    <n v="0"/>
    <n v="437500"/>
    <n v="18.87087062217369"/>
    <n v="14000"/>
    <n v="100"/>
    <x v="6060"/>
    <x v="3"/>
    <x v="4"/>
    <x v="0"/>
  </r>
  <r>
    <x v="551"/>
    <s v="ZTAN"/>
    <x v="10"/>
    <s v="TP3884"/>
    <s v="107643206"/>
    <s v="QUILICURA"/>
    <x v="4785"/>
    <x v="1"/>
    <x v="1"/>
    <x v="8"/>
    <x v="1"/>
    <n v="1"/>
    <n v="80370"/>
    <n v="0"/>
    <n v="80370"/>
    <n v="10.999960308716069"/>
    <n v="5000"/>
    <n v="100"/>
    <x v="6061"/>
    <x v="3"/>
    <x v="4"/>
    <x v="1"/>
  </r>
  <r>
    <x v="551"/>
    <s v="ZTAN"/>
    <x v="7"/>
    <s v="DJLF85"/>
    <s v="125108660"/>
    <s v="RENCA"/>
    <x v="4786"/>
    <x v="4"/>
    <x v="1"/>
    <x v="7"/>
    <x v="1"/>
    <n v="1"/>
    <n v="74145"/>
    <n v="0"/>
    <n v="74145"/>
    <n v="10.999974779206791"/>
    <n v="5000"/>
    <n v="100"/>
    <x v="6062"/>
    <x v="3"/>
    <x v="4"/>
    <x v="1"/>
  </r>
  <r>
    <x v="551"/>
    <s v="ZTAN"/>
    <x v="7"/>
    <s v="HLBX77"/>
    <s v="16093509K"/>
    <s v="TIL TIL"/>
    <x v="479"/>
    <x v="1"/>
    <x v="1"/>
    <x v="70"/>
    <x v="1"/>
    <n v="5"/>
    <n v="112500"/>
    <n v="0"/>
    <n v="112500"/>
    <n v="11.993603411513861"/>
    <n v="10000"/>
    <n v="94"/>
    <x v="6063"/>
    <x v="3"/>
    <x v="4"/>
    <x v="1"/>
  </r>
  <r>
    <x v="551"/>
    <s v="ZTAN"/>
    <x v="7"/>
    <s v="TP3884"/>
    <s v="107643206"/>
    <s v="SANTIAGO"/>
    <x v="4787"/>
    <x v="1"/>
    <x v="1"/>
    <x v="20"/>
    <x v="1"/>
    <n v="1"/>
    <n v="69173"/>
    <n v="0"/>
    <n v="69173"/>
    <n v="21.434370352007935"/>
    <n v="5000"/>
    <n v="65"/>
    <x v="6064"/>
    <x v="3"/>
    <x v="4"/>
    <x v="1"/>
  </r>
  <r>
    <x v="551"/>
    <s v="ZTAN"/>
    <x v="7"/>
    <s v="WG4022"/>
    <s v="154837728"/>
    <s v="RENCA"/>
    <x v="4788"/>
    <x v="1"/>
    <x v="0"/>
    <x v="7"/>
    <x v="1"/>
    <n v="1"/>
    <n v="82526"/>
    <n v="0"/>
    <n v="82526"/>
    <n v="10.999990669615064"/>
    <n v="5000"/>
    <n v="100"/>
    <x v="6065"/>
    <x v="3"/>
    <x v="4"/>
    <x v="1"/>
  </r>
  <r>
    <x v="552"/>
    <s v="ZTAN"/>
    <x v="105"/>
    <s v="KKPF51"/>
    <n v="75707734"/>
    <s v="VALPARAISO"/>
    <x v="4789"/>
    <x v="8"/>
    <x v="0"/>
    <x v="36"/>
    <x v="2"/>
    <n v="0"/>
    <n v="289000"/>
    <n v="0"/>
    <n v="289000"/>
    <n v="12.541225481687206"/>
    <n v="14000"/>
    <n v="100"/>
    <x v="6066"/>
    <x v="3"/>
    <x v="4"/>
    <x v="0"/>
  </r>
  <r>
    <x v="552"/>
    <s v="ZTAN"/>
    <x v="7"/>
    <s v="WG4022"/>
    <n v="154837728"/>
    <s v="RENCA"/>
    <x v="4790"/>
    <x v="1"/>
    <x v="0"/>
    <x v="7"/>
    <x v="1"/>
    <n v="1"/>
    <n v="253117"/>
    <n v="0"/>
    <n v="253117"/>
    <n v="11.000017383292912"/>
    <n v="5000"/>
    <n v="100"/>
    <x v="6067"/>
    <x v="3"/>
    <x v="4"/>
    <x v="1"/>
  </r>
  <r>
    <x v="552"/>
    <s v="ZTAN"/>
    <x v="7"/>
    <s v="XR6339"/>
    <n v="78907355"/>
    <s v="RENCA"/>
    <x v="4791"/>
    <x v="1"/>
    <x v="1"/>
    <x v="7"/>
    <x v="1"/>
    <n v="1"/>
    <n v="105846"/>
    <n v="0"/>
    <n v="105846"/>
    <n v="11.000049884019655"/>
    <n v="5000"/>
    <n v="100"/>
    <x v="6068"/>
    <x v="3"/>
    <x v="4"/>
    <x v="1"/>
  </r>
  <r>
    <x v="552"/>
    <s v="ZTAN"/>
    <x v="8"/>
    <s v="DRFV76"/>
    <n v="113693568"/>
    <s v="LOS ANGELES"/>
    <x v="4792"/>
    <x v="0"/>
    <x v="0"/>
    <x v="57"/>
    <x v="0"/>
    <n v="0"/>
    <n v="528000"/>
    <n v="0"/>
    <n v="528000"/>
    <n v="54.659516760181376"/>
    <n v="14000"/>
    <n v="85"/>
    <x v="6069"/>
    <x v="3"/>
    <x v="4"/>
    <x v="0"/>
  </r>
  <r>
    <x v="553"/>
    <s v="ZPEP"/>
    <x v="5"/>
    <s v="DKDL88"/>
    <s v="122975819"/>
    <s v="COQUIMBO"/>
    <x v="4793"/>
    <x v="0"/>
    <x v="0"/>
    <x v="42"/>
    <x v="8"/>
    <n v="0"/>
    <n v="700000"/>
    <n v="0"/>
    <n v="700000"/>
    <n v="64.383208859129539"/>
    <n v="14000"/>
    <n v="78"/>
    <x v="6070"/>
    <x v="3"/>
    <x v="4"/>
    <x v="0"/>
  </r>
  <r>
    <x v="553"/>
    <s v="ZPEP"/>
    <x v="120"/>
    <s v="DJLF85"/>
    <s v="125108660"/>
    <s v="SAN BERNARDO"/>
    <x v="4794"/>
    <x v="4"/>
    <x v="1"/>
    <x v="4"/>
    <x v="1"/>
    <n v="4"/>
    <n v="217443"/>
    <n v="0"/>
    <n v="217443"/>
    <n v="10.999980776604925"/>
    <n v="5000"/>
    <n v="100"/>
    <x v="6071"/>
    <x v="3"/>
    <x v="4"/>
    <x v="1"/>
  </r>
  <r>
    <x v="553"/>
    <s v="ZTAN"/>
    <x v="7"/>
    <s v="HLBX77"/>
    <s v="16093509K"/>
    <s v="RENCA"/>
    <x v="4795"/>
    <x v="1"/>
    <x v="1"/>
    <x v="7"/>
    <x v="1"/>
    <n v="1"/>
    <n v="100057"/>
    <n v="0"/>
    <n v="100057"/>
    <n v="10.99998900627741"/>
    <n v="5000"/>
    <n v="100"/>
    <x v="6072"/>
    <x v="3"/>
    <x v="4"/>
    <x v="1"/>
  </r>
  <r>
    <x v="553"/>
    <s v="ZTAN"/>
    <x v="7"/>
    <s v="WG4022"/>
    <s v="154837728"/>
    <s v="RENCA"/>
    <x v="4796"/>
    <x v="1"/>
    <x v="0"/>
    <x v="7"/>
    <x v="1"/>
    <n v="1"/>
    <n v="111947"/>
    <n v="0"/>
    <n v="111947"/>
    <n v="11"/>
    <n v="5000"/>
    <n v="100"/>
    <x v="6073"/>
    <x v="3"/>
    <x v="4"/>
    <x v="1"/>
  </r>
  <r>
    <x v="553"/>
    <s v="ZTAN"/>
    <x v="8"/>
    <s v="SV2718"/>
    <s v="103018366"/>
    <s v="MAIPU"/>
    <x v="4797"/>
    <x v="1"/>
    <x v="1"/>
    <x v="2"/>
    <x v="1"/>
    <n v="2"/>
    <n v="69173"/>
    <n v="0"/>
    <n v="69173"/>
    <n v="26.778338243321191"/>
    <n v="5000"/>
    <n v="52"/>
    <x v="6074"/>
    <x v="3"/>
    <x v="4"/>
    <x v="1"/>
  </r>
  <r>
    <x v="553"/>
    <s v="ZTAN"/>
    <x v="8"/>
    <s v="TP3884"/>
    <s v="107643206"/>
    <s v="LAS CONDES"/>
    <x v="4798"/>
    <x v="1"/>
    <x v="1"/>
    <x v="3"/>
    <x v="1"/>
    <n v="4"/>
    <n v="61718"/>
    <n v="0"/>
    <n v="61718"/>
    <n v="11.000014258419601"/>
    <n v="5000"/>
    <n v="100"/>
    <x v="6075"/>
    <x v="3"/>
    <x v="4"/>
    <x v="1"/>
  </r>
  <r>
    <x v="553"/>
    <s v="ZTAN"/>
    <x v="8"/>
    <s v="XR339"/>
    <s v="78907355"/>
    <s v="QUILICURA"/>
    <x v="4799"/>
    <x v="0"/>
    <x v="0"/>
    <x v="8"/>
    <x v="1"/>
    <n v="1"/>
    <n v="69173"/>
    <n v="0"/>
    <n v="69173"/>
    <n v="26.932121693492498"/>
    <n v="5000"/>
    <n v="51"/>
    <x v="6076"/>
    <x v="3"/>
    <x v="4"/>
    <x v="1"/>
  </r>
  <r>
    <x v="554"/>
    <s v="ZPEP"/>
    <x v="11"/>
    <s v="DKDL88"/>
    <s v="122975819"/>
    <s v="CURICO"/>
    <x v="4800"/>
    <x v="0"/>
    <x v="0"/>
    <x v="73"/>
    <x v="3"/>
    <n v="0"/>
    <n v="352000"/>
    <n v="0"/>
    <n v="352000"/>
    <n v="21.339567073532994"/>
    <n v="14000"/>
    <n v="100"/>
    <x v="6077"/>
    <x v="3"/>
    <x v="4"/>
    <x v="0"/>
  </r>
  <r>
    <x v="554"/>
    <s v="ZTAN"/>
    <x v="41"/>
    <s v="WG4022"/>
    <s v="154837728"/>
    <s v="LAS CABRAS"/>
    <x v="4801"/>
    <x v="1"/>
    <x v="0"/>
    <x v="61"/>
    <x v="6"/>
    <n v="0"/>
    <n v="290000"/>
    <n v="0"/>
    <n v="290000"/>
    <n v="32.483970840595553"/>
    <n v="14000"/>
    <n v="75"/>
    <x v="6078"/>
    <x v="3"/>
    <x v="4"/>
    <x v="0"/>
  </r>
  <r>
    <x v="554"/>
    <s v="ZTAN"/>
    <x v="7"/>
    <s v="DJLF85"/>
    <s v="125108660"/>
    <s v="RENCA"/>
    <x v="1380"/>
    <x v="4"/>
    <x v="1"/>
    <x v="7"/>
    <x v="1"/>
    <n v="1"/>
    <n v="113883"/>
    <n v="0"/>
    <n v="113883"/>
    <n v="11"/>
    <n v="5000"/>
    <n v="100"/>
    <x v="6079"/>
    <x v="3"/>
    <x v="4"/>
    <x v="1"/>
  </r>
  <r>
    <x v="554"/>
    <s v="ZTAN"/>
    <x v="8"/>
    <s v="HLBX77"/>
    <s v="16093509K"/>
    <s v="PUDAHUEL"/>
    <x v="4802"/>
    <x v="1"/>
    <x v="1"/>
    <x v="10"/>
    <x v="1"/>
    <n v="1"/>
    <n v="76160"/>
    <n v="0"/>
    <n v="76160"/>
    <n v="10.999962447607187"/>
    <n v="5000"/>
    <n v="100"/>
    <x v="6080"/>
    <x v="3"/>
    <x v="4"/>
    <x v="1"/>
  </r>
  <r>
    <x v="554"/>
    <s v="ZTAN"/>
    <x v="8"/>
    <s v="SV2718"/>
    <s v="103018366"/>
    <s v="PUENTE ALTO"/>
    <x v="4803"/>
    <x v="1"/>
    <x v="1"/>
    <x v="30"/>
    <x v="1"/>
    <n v="4"/>
    <n v="69173"/>
    <n v="0"/>
    <n v="69173"/>
    <n v="17.981351363294888"/>
    <n v="5000"/>
    <n v="77"/>
    <x v="6081"/>
    <x v="3"/>
    <x v="4"/>
    <x v="1"/>
  </r>
  <r>
    <x v="554"/>
    <s v="ZTAN"/>
    <x v="8"/>
    <s v="TP3884"/>
    <s v="107643206"/>
    <s v="ÑUÑOA"/>
    <x v="4804"/>
    <x v="1"/>
    <x v="1"/>
    <x v="15"/>
    <x v="1"/>
    <n v="4"/>
    <n v="69173"/>
    <n v="0"/>
    <n v="69173"/>
    <n v="18.083262531860662"/>
    <n v="5000"/>
    <n v="77"/>
    <x v="6082"/>
    <x v="3"/>
    <x v="4"/>
    <x v="1"/>
  </r>
  <r>
    <x v="555"/>
    <s v="ZPEP"/>
    <x v="5"/>
    <s v="BPKD94"/>
    <n v="125897258"/>
    <s v="COQUIMBO"/>
    <x v="4805"/>
    <x v="0"/>
    <x v="0"/>
    <x v="42"/>
    <x v="8"/>
    <n v="0"/>
    <n v="700000"/>
    <n v="0"/>
    <n v="700000"/>
    <n v="102.10213714359062"/>
    <n v="14000"/>
    <n v="49"/>
    <x v="6083"/>
    <x v="3"/>
    <x v="4"/>
    <x v="0"/>
  </r>
  <r>
    <x v="555"/>
    <s v="ZPEP"/>
    <x v="7"/>
    <s v="DTCY42"/>
    <n v="92028607"/>
    <s v="RENCA"/>
    <x v="4666"/>
    <x v="5"/>
    <x v="0"/>
    <x v="7"/>
    <x v="1"/>
    <n v="1"/>
    <n v="293333"/>
    <n v="0"/>
    <n v="293333"/>
    <n v="10.999998499998508"/>
    <n v="5000"/>
    <n v="100"/>
    <x v="6084"/>
    <x v="3"/>
    <x v="4"/>
    <x v="1"/>
  </r>
  <r>
    <x v="555"/>
    <s v="ZPEP"/>
    <x v="7"/>
    <s v="FTXK27"/>
    <n v="109507547"/>
    <s v="CALAMA"/>
    <x v="4038"/>
    <x v="0"/>
    <x v="0"/>
    <x v="37"/>
    <x v="7"/>
    <n v="0"/>
    <n v="1760000"/>
    <n v="0"/>
    <n v="1760000"/>
    <n v="67.542674689917703"/>
    <n v="14000"/>
    <n v="100"/>
    <x v="6085"/>
    <x v="3"/>
    <x v="4"/>
    <x v="0"/>
  </r>
  <r>
    <x v="555"/>
    <s v="ZPEP"/>
    <x v="7"/>
    <s v="HLZV71"/>
    <n v="90366327"/>
    <s v="CALAMA"/>
    <x v="4782"/>
    <x v="0"/>
    <x v="0"/>
    <x v="37"/>
    <x v="7"/>
    <n v="0"/>
    <n v="1760000"/>
    <n v="0"/>
    <n v="1760000"/>
    <n v="64.326356847540666"/>
    <n v="14000"/>
    <n v="100"/>
    <x v="6086"/>
    <x v="3"/>
    <x v="4"/>
    <x v="0"/>
  </r>
  <r>
    <x v="555"/>
    <s v="ZPEP"/>
    <x v="7"/>
    <s v="KXTC79"/>
    <n v="177846392"/>
    <s v="RENCA"/>
    <x v="4806"/>
    <x v="0"/>
    <x v="0"/>
    <x v="7"/>
    <x v="1"/>
    <n v="1"/>
    <n v="306666"/>
    <n v="0"/>
    <n v="306666"/>
    <n v="10.999987086943616"/>
    <n v="5000"/>
    <n v="100"/>
    <x v="6087"/>
    <x v="3"/>
    <x v="4"/>
    <x v="1"/>
  </r>
  <r>
    <x v="555"/>
    <s v="ZTAN"/>
    <x v="6"/>
    <s v="DKDL88"/>
    <n v="122975819"/>
    <s v="LINARES"/>
    <x v="4807"/>
    <x v="0"/>
    <x v="0"/>
    <x v="59"/>
    <x v="3"/>
    <n v="0"/>
    <n v="437500"/>
    <n v="0"/>
    <n v="437500"/>
    <n v="41.152921434134633"/>
    <n v="14000"/>
    <n v="100"/>
    <x v="6088"/>
    <x v="3"/>
    <x v="4"/>
    <x v="0"/>
  </r>
  <r>
    <x v="555"/>
    <s v="ZTAN"/>
    <x v="6"/>
    <s v="SU9354"/>
    <n v="72564391"/>
    <s v="SANTIAGO"/>
    <x v="4808"/>
    <x v="2"/>
    <x v="1"/>
    <x v="20"/>
    <x v="1"/>
    <n v="1"/>
    <n v="69173"/>
    <n v="0"/>
    <n v="69173"/>
    <n v="14.749040511727079"/>
    <n v="5000"/>
    <n v="94"/>
    <x v="6089"/>
    <x v="3"/>
    <x v="4"/>
    <x v="1"/>
  </r>
  <r>
    <x v="555"/>
    <s v="ZTAN"/>
    <x v="70"/>
    <s v="DJLF85"/>
    <n v="125108660"/>
    <s v="SANTIAGO"/>
    <x v="4809"/>
    <x v="4"/>
    <x v="1"/>
    <x v="20"/>
    <x v="1"/>
    <n v="1"/>
    <n v="69173"/>
    <n v="0"/>
    <n v="69173"/>
    <n v="20.533424364758964"/>
    <n v="5000"/>
    <n v="67"/>
    <x v="6090"/>
    <x v="3"/>
    <x v="4"/>
    <x v="1"/>
  </r>
  <r>
    <x v="555"/>
    <s v="ZTAN"/>
    <x v="7"/>
    <s v="HYFL62"/>
    <n v="109995630"/>
    <s v="CORONEL"/>
    <x v="4810"/>
    <x v="0"/>
    <x v="0"/>
    <x v="16"/>
    <x v="0"/>
    <n v="0"/>
    <n v="528000"/>
    <n v="0"/>
    <n v="528000"/>
    <n v="60.815480304077411"/>
    <n v="14000"/>
    <n v="62"/>
    <x v="6091"/>
    <x v="3"/>
    <x v="4"/>
    <x v="0"/>
  </r>
  <r>
    <x v="555"/>
    <s v="ZTAN"/>
    <x v="8"/>
    <s v="TP3884"/>
    <n v="107643206"/>
    <s v="LAS CONDES"/>
    <x v="4811"/>
    <x v="1"/>
    <x v="1"/>
    <x v="3"/>
    <x v="1"/>
    <n v="4"/>
    <n v="69173"/>
    <n v="0"/>
    <n v="69173"/>
    <n v="17.588919740843579"/>
    <n v="5000"/>
    <n v="79"/>
    <x v="6092"/>
    <x v="3"/>
    <x v="4"/>
    <x v="1"/>
  </r>
  <r>
    <x v="556"/>
    <s v="ZPEP"/>
    <x v="53"/>
    <s v="HLBX77"/>
    <s v="16093509K"/>
    <s v="LAS CONDES"/>
    <x v="4812"/>
    <x v="1"/>
    <x v="1"/>
    <x v="3"/>
    <x v="1"/>
    <n v="4"/>
    <n v="69173"/>
    <n v="0"/>
    <n v="69173"/>
    <n v="13.93493150684931"/>
    <n v="5000"/>
    <n v="99"/>
    <x v="6093"/>
    <x v="3"/>
    <x v="4"/>
    <x v="1"/>
  </r>
  <r>
    <x v="556"/>
    <s v="ZTAN"/>
    <x v="10"/>
    <s v="KKPF51"/>
    <s v="95707734"/>
    <s v="QUILICURA"/>
    <x v="4813"/>
    <x v="8"/>
    <x v="0"/>
    <x v="8"/>
    <x v="1"/>
    <n v="1"/>
    <n v="80161"/>
    <n v="0"/>
    <n v="80161"/>
    <n v="11.000065867836183"/>
    <n v="5000"/>
    <n v="100"/>
    <x v="6094"/>
    <x v="3"/>
    <x v="4"/>
    <x v="1"/>
  </r>
  <r>
    <x v="556"/>
    <s v="ZTAN"/>
    <x v="6"/>
    <s v="DJLF85"/>
    <s v="125108660"/>
    <s v="SAN BERNARDO"/>
    <x v="4814"/>
    <x v="4"/>
    <x v="1"/>
    <x v="4"/>
    <x v="1"/>
    <n v="4"/>
    <n v="73894"/>
    <n v="0"/>
    <n v="73894"/>
    <n v="7.0761528649733592"/>
    <n v="5000"/>
    <n v="100"/>
    <x v="6095"/>
    <x v="3"/>
    <x v="4"/>
    <x v="1"/>
  </r>
  <r>
    <x v="556"/>
    <s v="ZTAN"/>
    <x v="6"/>
    <s v="DRFV76"/>
    <s v="113693568"/>
    <s v="CHILLAN"/>
    <x v="4815"/>
    <x v="0"/>
    <x v="0"/>
    <x v="21"/>
    <x v="5"/>
    <n v="0"/>
    <n v="440000"/>
    <n v="0"/>
    <n v="440000"/>
    <n v="47.153635116598075"/>
    <n v="14000"/>
    <n v="75"/>
    <x v="6096"/>
    <x v="3"/>
    <x v="4"/>
    <x v="0"/>
  </r>
  <r>
    <x v="556"/>
    <s v="ZTAN"/>
    <x v="6"/>
    <s v="SV2718"/>
    <s v="103018366"/>
    <s v="LA DEHESA"/>
    <x v="4816"/>
    <x v="1"/>
    <x v="1"/>
    <x v="41"/>
    <x v="1"/>
    <n v="4"/>
    <n v="69173"/>
    <n v="0"/>
    <n v="69173"/>
    <n v="27.139438166980536"/>
    <n v="5000"/>
    <n v="51"/>
    <x v="6097"/>
    <x v="3"/>
    <x v="4"/>
    <x v="1"/>
  </r>
  <r>
    <x v="556"/>
    <s v="ZTAN"/>
    <x v="6"/>
    <s v="TP3884"/>
    <s v="78907355"/>
    <s v="CERRILLOS"/>
    <x v="4817"/>
    <x v="1"/>
    <x v="1"/>
    <x v="9"/>
    <x v="1"/>
    <n v="2"/>
    <n v="69173"/>
    <n v="0"/>
    <n v="69173"/>
    <n v="23.462790855437206"/>
    <n v="5000"/>
    <n v="59"/>
    <x v="6098"/>
    <x v="3"/>
    <x v="4"/>
    <x v="1"/>
  </r>
  <r>
    <x v="556"/>
    <s v="ZTAN"/>
    <x v="41"/>
    <s v="RH1133"/>
    <s v="65941082"/>
    <s v="LAS CABRAS"/>
    <x v="4818"/>
    <x v="0"/>
    <x v="0"/>
    <x v="61"/>
    <x v="6"/>
    <n v="0"/>
    <n v="290000"/>
    <n v="0"/>
    <n v="290000"/>
    <n v="41.141287693931517"/>
    <n v="14000"/>
    <n v="58"/>
    <x v="6099"/>
    <x v="3"/>
    <x v="4"/>
    <x v="0"/>
  </r>
  <r>
    <x v="556"/>
    <s v="ZTAN"/>
    <x v="7"/>
    <s v="SU9354"/>
    <s v="72564391"/>
    <s v="SANTIAGO"/>
    <x v="4819"/>
    <x v="2"/>
    <x v="1"/>
    <x v="20"/>
    <x v="1"/>
    <n v="1"/>
    <n v="69173"/>
    <n v="0"/>
    <n v="69173"/>
    <n v="19.899600126578633"/>
    <n v="5000"/>
    <n v="70"/>
    <x v="6100"/>
    <x v="3"/>
    <x v="4"/>
    <x v="1"/>
  </r>
  <r>
    <x v="556"/>
    <s v="ZTAN"/>
    <x v="7"/>
    <s v="WG4022"/>
    <s v="154837728"/>
    <s v="RENCA"/>
    <x v="4820"/>
    <x v="1"/>
    <x v="0"/>
    <x v="7"/>
    <x v="1"/>
    <n v="1"/>
    <n v="97452"/>
    <n v="0"/>
    <n v="97452"/>
    <n v="10.999990969920807"/>
    <n v="5000"/>
    <n v="100"/>
    <x v="6101"/>
    <x v="3"/>
    <x v="4"/>
    <x v="1"/>
  </r>
  <r>
    <x v="557"/>
    <s v="ZPEP"/>
    <x v="120"/>
    <s v="DJLF85"/>
    <s v="53173292"/>
    <s v="SAN BERNARDO"/>
    <x v="4821"/>
    <x v="4"/>
    <x v="1"/>
    <x v="4"/>
    <x v="1"/>
    <n v="4"/>
    <n v="76867"/>
    <n v="0"/>
    <n v="76867"/>
    <n v="10.999935603431622"/>
    <n v="5000"/>
    <n v="100"/>
    <x v="6102"/>
    <x v="3"/>
    <x v="4"/>
    <x v="1"/>
  </r>
  <r>
    <x v="557"/>
    <s v="ZTAN"/>
    <x v="5"/>
    <s v="RK5135"/>
    <s v="138841065"/>
    <s v="COLINA"/>
    <x v="4822"/>
    <x v="3"/>
    <x v="1"/>
    <x v="5"/>
    <x v="1"/>
    <n v="5"/>
    <n v="87500"/>
    <n v="0"/>
    <n v="87500"/>
    <n v="12.458424457809363"/>
    <n v="10000"/>
    <n v="70"/>
    <x v="6103"/>
    <x v="3"/>
    <x v="4"/>
    <x v="1"/>
  </r>
  <r>
    <x v="557"/>
    <s v="ZTAN"/>
    <x v="10"/>
    <s v="XR6338"/>
    <s v="78907355"/>
    <s v="COLINA"/>
    <x v="4748"/>
    <x v="0"/>
    <x v="0"/>
    <x v="5"/>
    <x v="1"/>
    <n v="5"/>
    <n v="187000"/>
    <n v="0"/>
    <n v="187000"/>
    <n v="42.84706119568505"/>
    <n v="10000"/>
    <n v="44"/>
    <x v="6104"/>
    <x v="3"/>
    <x v="4"/>
    <x v="1"/>
  </r>
  <r>
    <x v="557"/>
    <s v="ZTAN"/>
    <x v="6"/>
    <s v="HLBX77"/>
    <s v="16093509K"/>
    <s v="RANCAGUA"/>
    <x v="4823"/>
    <x v="1"/>
    <x v="1"/>
    <x v="28"/>
    <x v="6"/>
    <n v="0"/>
    <n v="226400"/>
    <n v="0"/>
    <n v="226400"/>
    <n v="15.200466219246582"/>
    <n v="14000"/>
    <n v="100"/>
    <x v="6105"/>
    <x v="3"/>
    <x v="4"/>
    <x v="0"/>
  </r>
  <r>
    <x v="557"/>
    <s v="ZTAN"/>
    <x v="6"/>
    <s v="SU9354"/>
    <s v="72564391"/>
    <s v="LOS ANDES"/>
    <x v="4824"/>
    <x v="2"/>
    <x v="1"/>
    <x v="38"/>
    <x v="2"/>
    <n v="0"/>
    <n v="227000"/>
    <n v="0"/>
    <n v="227000"/>
    <n v="36.854837400353937"/>
    <n v="14000"/>
    <n v="44"/>
    <x v="6106"/>
    <x v="3"/>
    <x v="4"/>
    <x v="0"/>
  </r>
  <r>
    <x v="557"/>
    <s v="ZTAN"/>
    <x v="7"/>
    <s v="HDDV11"/>
    <s v="161376469"/>
    <s v="CORONEL"/>
    <x v="4825"/>
    <x v="0"/>
    <x v="0"/>
    <x v="16"/>
    <x v="0"/>
    <n v="0"/>
    <n v="528000"/>
    <n v="0"/>
    <n v="528000"/>
    <n v="34.948140401506478"/>
    <n v="14000"/>
    <n v="100"/>
    <x v="6107"/>
    <x v="3"/>
    <x v="4"/>
    <x v="0"/>
  </r>
  <r>
    <x v="557"/>
    <s v="ZTAN"/>
    <x v="7"/>
    <s v="RFDS14"/>
    <s v="11899972K"/>
    <s v="CORONEL"/>
    <x v="4826"/>
    <x v="0"/>
    <x v="0"/>
    <x v="16"/>
    <x v="0"/>
    <n v="0"/>
    <n v="528000"/>
    <n v="0"/>
    <n v="528000"/>
    <n v="39.390638755017079"/>
    <n v="14000"/>
    <n v="96"/>
    <x v="6108"/>
    <x v="3"/>
    <x v="4"/>
    <x v="0"/>
  </r>
  <r>
    <x v="557"/>
    <s v="ZTAN"/>
    <x v="8"/>
    <s v="TP3884"/>
    <s v="107643206"/>
    <s v="REÑACA"/>
    <x v="4827"/>
    <x v="1"/>
    <x v="1"/>
    <x v="6"/>
    <x v="2"/>
    <n v="0"/>
    <n v="227000"/>
    <n v="0"/>
    <n v="227000"/>
    <n v="38.927053787928152"/>
    <n v="14000"/>
    <n v="42"/>
    <x v="6109"/>
    <x v="3"/>
    <x v="4"/>
    <x v="0"/>
  </r>
  <r>
    <x v="558"/>
    <s v="ZPEP"/>
    <x v="7"/>
    <s v="PKYS74"/>
    <n v="62704391"/>
    <s v="RENCA"/>
    <x v="4806"/>
    <x v="0"/>
    <x v="0"/>
    <x v="7"/>
    <x v="1"/>
    <n v="1"/>
    <n v="306666"/>
    <n v="0"/>
    <n v="306666"/>
    <n v="10.999987086943616"/>
    <n v="5000"/>
    <n v="100"/>
    <x v="6110"/>
    <x v="3"/>
    <x v="4"/>
    <x v="1"/>
  </r>
  <r>
    <x v="558"/>
    <s v="ZTAN"/>
    <x v="7"/>
    <s v="DJLF85"/>
    <n v="53173292"/>
    <s v="RENCA"/>
    <x v="4828"/>
    <x v="4"/>
    <x v="1"/>
    <x v="7"/>
    <x v="1"/>
    <n v="1"/>
    <n v="80154"/>
    <n v="0"/>
    <n v="80154"/>
    <n v="11.00001097887664"/>
    <n v="5000"/>
    <n v="100"/>
    <x v="6111"/>
    <x v="3"/>
    <x v="4"/>
    <x v="1"/>
  </r>
  <r>
    <x v="558"/>
    <s v="ZTAN"/>
    <x v="7"/>
    <s v="HDDV12"/>
    <n v="200217330"/>
    <s v="CORONEL"/>
    <x v="4829"/>
    <x v="5"/>
    <x v="0"/>
    <x v="16"/>
    <x v="0"/>
    <n v="0"/>
    <n v="528000"/>
    <n v="0"/>
    <n v="528000"/>
    <n v="33.269818225811328"/>
    <n v="14000"/>
    <n v="100"/>
    <x v="6112"/>
    <x v="3"/>
    <x v="4"/>
    <x v="0"/>
  </r>
  <r>
    <x v="558"/>
    <s v="ZTAN"/>
    <x v="7"/>
    <s v="WG4022"/>
    <n v="154837728"/>
    <s v="RENCA"/>
    <x v="4830"/>
    <x v="1"/>
    <x v="0"/>
    <x v="7"/>
    <x v="1"/>
    <n v="1"/>
    <n v="204836"/>
    <n v="0"/>
    <n v="204836"/>
    <n v="11.000020406607016"/>
    <n v="5000"/>
    <n v="100"/>
    <x v="6113"/>
    <x v="3"/>
    <x v="4"/>
    <x v="1"/>
  </r>
  <r>
    <x v="558"/>
    <s v="ZTAN"/>
    <x v="8"/>
    <s v="BPKD94"/>
    <n v="125897258"/>
    <s v="CHILLAN"/>
    <x v="4831"/>
    <x v="0"/>
    <x v="0"/>
    <x v="21"/>
    <x v="5"/>
    <n v="0"/>
    <n v="440000"/>
    <n v="0"/>
    <n v="440000"/>
    <n v="48.129512141763307"/>
    <n v="14000"/>
    <n v="65"/>
    <x v="6114"/>
    <x v="3"/>
    <x v="4"/>
    <x v="0"/>
  </r>
  <r>
    <x v="558"/>
    <s v="ZTAN"/>
    <x v="8"/>
    <s v="DKDL88"/>
    <n v="122975819"/>
    <s v="TALCA"/>
    <x v="4832"/>
    <x v="0"/>
    <x v="0"/>
    <x v="12"/>
    <x v="3"/>
    <n v="0"/>
    <n v="402000"/>
    <n v="0"/>
    <n v="402000"/>
    <n v="48.586107998941252"/>
    <n v="14000"/>
    <n v="55"/>
    <x v="6115"/>
    <x v="3"/>
    <x v="4"/>
    <x v="0"/>
  </r>
  <r>
    <x v="558"/>
    <s v="ZTAN"/>
    <x v="8"/>
    <s v="RK5135"/>
    <n v="138841065"/>
    <s v="EL BOSQUE"/>
    <x v="4833"/>
    <x v="3"/>
    <x v="1"/>
    <x v="25"/>
    <x v="1"/>
    <n v="3"/>
    <n v="69173"/>
    <n v="0"/>
    <n v="69173"/>
    <n v="22.113989040990788"/>
    <n v="5000"/>
    <n v="63"/>
    <x v="6116"/>
    <x v="3"/>
    <x v="4"/>
    <x v="1"/>
  </r>
  <r>
    <x v="558"/>
    <s v="ZTAN"/>
    <x v="8"/>
    <s v="SV2718"/>
    <n v="103018366"/>
    <s v="ÑUÑOA"/>
    <x v="4834"/>
    <x v="1"/>
    <x v="1"/>
    <x v="15"/>
    <x v="1"/>
    <n v="4"/>
    <n v="69173"/>
    <n v="0"/>
    <n v="69173"/>
    <n v="19.449083680573125"/>
    <n v="5000"/>
    <n v="71"/>
    <x v="6117"/>
    <x v="3"/>
    <x v="4"/>
    <x v="1"/>
  </r>
  <r>
    <x v="558"/>
    <s v="ZTAN"/>
    <x v="8"/>
    <s v="TP3884"/>
    <n v="107643206"/>
    <s v="PUDAHUEL"/>
    <x v="4835"/>
    <x v="1"/>
    <x v="1"/>
    <x v="10"/>
    <x v="1"/>
    <n v="1"/>
    <n v="90413"/>
    <n v="0"/>
    <n v="90413"/>
    <n v="11.000031632710167"/>
    <n v="5000"/>
    <n v="100"/>
    <x v="6118"/>
    <x v="3"/>
    <x v="4"/>
    <x v="1"/>
  </r>
  <r>
    <x v="559"/>
    <s v="ZTAN"/>
    <x v="10"/>
    <s v="SU9354"/>
    <s v="72564391"/>
    <s v="CURICO"/>
    <x v="4836"/>
    <x v="2"/>
    <x v="1"/>
    <x v="73"/>
    <x v="3"/>
    <n v="0"/>
    <n v="270000"/>
    <n v="0"/>
    <n v="270000"/>
    <n v="39.737614006478687"/>
    <n v="14000"/>
    <n v="65"/>
    <x v="6119"/>
    <x v="3"/>
    <x v="4"/>
    <x v="0"/>
  </r>
  <r>
    <x v="559"/>
    <s v="ZTAN"/>
    <x v="6"/>
    <s v="HLBX77"/>
    <s v="16093509K"/>
    <s v="VIÑA DEL MAR"/>
    <x v="4837"/>
    <x v="1"/>
    <x v="1"/>
    <x v="6"/>
    <x v="2"/>
    <n v="0"/>
    <n v="227000"/>
    <n v="0"/>
    <n v="227000"/>
    <n v="47.849310506190896"/>
    <n v="14000"/>
    <n v="65"/>
    <x v="6120"/>
    <x v="3"/>
    <x v="4"/>
    <x v="0"/>
  </r>
  <r>
    <x v="559"/>
    <s v="ZTAN"/>
    <x v="6"/>
    <s v="TP3884"/>
    <s v="107643206"/>
    <s v="VALPARAISO"/>
    <x v="248"/>
    <x v="1"/>
    <x v="1"/>
    <x v="36"/>
    <x v="2"/>
    <n v="0"/>
    <n v="227000"/>
    <n v="0"/>
    <n v="227000"/>
    <n v="75.626332622601282"/>
    <n v="14000"/>
    <n v="65"/>
    <x v="6121"/>
    <x v="3"/>
    <x v="4"/>
    <x v="0"/>
  </r>
  <r>
    <x v="559"/>
    <s v="ZTAN"/>
    <x v="16"/>
    <s v="GYXS99"/>
    <s v="109995630"/>
    <s v="LOS ANGELES"/>
    <x v="4838"/>
    <x v="0"/>
    <x v="0"/>
    <x v="57"/>
    <x v="0"/>
    <n v="0"/>
    <n v="528000"/>
    <n v="0"/>
    <n v="528000"/>
    <n v="23.099335894093034"/>
    <n v="14000"/>
    <n v="100"/>
    <x v="6122"/>
    <x v="3"/>
    <x v="4"/>
    <x v="0"/>
  </r>
  <r>
    <x v="559"/>
    <s v="ZTAN"/>
    <x v="7"/>
    <s v="RH1133"/>
    <s v="65941082"/>
    <s v="SANTIAGO"/>
    <x v="4839"/>
    <x v="0"/>
    <x v="0"/>
    <x v="20"/>
    <x v="1"/>
    <n v="1"/>
    <n v="185242"/>
    <n v="0"/>
    <n v="185242"/>
    <n v="10.999988123656488"/>
    <n v="5000"/>
    <n v="100"/>
    <x v="6123"/>
    <x v="3"/>
    <x v="4"/>
    <x v="1"/>
  </r>
  <r>
    <x v="559"/>
    <s v="ZTAN"/>
    <x v="8"/>
    <s v="SV2718"/>
    <s v="103018366"/>
    <s v="LA FLORIDA"/>
    <x v="4840"/>
    <x v="1"/>
    <x v="1"/>
    <x v="33"/>
    <x v="1"/>
    <n v="3"/>
    <n v="69173"/>
    <n v="0"/>
    <n v="69173"/>
    <n v="25.930604808780863"/>
    <n v="5000"/>
    <n v="65"/>
    <x v="6124"/>
    <x v="3"/>
    <x v="4"/>
    <x v="1"/>
  </r>
  <r>
    <x v="559"/>
    <s v="ZTAN"/>
    <x v="8"/>
    <s v="XR6339"/>
    <s v="78907355"/>
    <s v="CERRILLOS"/>
    <x v="4841"/>
    <x v="1"/>
    <x v="1"/>
    <x v="9"/>
    <x v="1"/>
    <n v="2"/>
    <n v="69173"/>
    <n v="0"/>
    <n v="69173"/>
    <n v="21.160552591649942"/>
    <n v="5000"/>
    <n v="65"/>
    <x v="6125"/>
    <x v="3"/>
    <x v="4"/>
    <x v="1"/>
  </r>
  <r>
    <x v="560"/>
    <s v="ZPEP"/>
    <x v="7"/>
    <s v="HLZV71"/>
    <n v="90366327"/>
    <s v="RENCA"/>
    <x v="4842"/>
    <x v="0"/>
    <x v="0"/>
    <x v="7"/>
    <x v="1"/>
    <n v="1"/>
    <n v="280000"/>
    <n v="0"/>
    <n v="280000"/>
    <n v="11.000011000011005"/>
    <n v="5000"/>
    <n v="100"/>
    <x v="6126"/>
    <x v="3"/>
    <x v="4"/>
    <x v="1"/>
  </r>
  <r>
    <x v="560"/>
    <s v="ZPEP"/>
    <x v="7"/>
    <s v="KXTC79"/>
    <n v="170846392"/>
    <s v="RENCA"/>
    <x v="4666"/>
    <x v="0"/>
    <x v="0"/>
    <x v="7"/>
    <x v="1"/>
    <n v="1"/>
    <n v="293333"/>
    <n v="0"/>
    <n v="293333"/>
    <n v="10.999998499998508"/>
    <n v="5000"/>
    <n v="100"/>
    <x v="6127"/>
    <x v="3"/>
    <x v="4"/>
    <x v="1"/>
  </r>
  <r>
    <x v="560"/>
    <s v="ZTAN"/>
    <x v="10"/>
    <s v="SV2718"/>
    <n v="107643206"/>
    <s v="SANTIAGO"/>
    <x v="4843"/>
    <x v="1"/>
    <x v="1"/>
    <x v="20"/>
    <x v="1"/>
    <n v="1"/>
    <n v="69173"/>
    <n v="0"/>
    <n v="69173"/>
    <n v="15.130496788982798"/>
    <n v="5000"/>
    <n v="91"/>
    <x v="6128"/>
    <x v="3"/>
    <x v="4"/>
    <x v="1"/>
  </r>
  <r>
    <x v="560"/>
    <s v="ZTAN"/>
    <x v="10"/>
    <s v="WC2233"/>
    <n v="154837728"/>
    <s v="QUILICURA"/>
    <x v="4844"/>
    <x v="4"/>
    <x v="1"/>
    <x v="8"/>
    <x v="1"/>
    <n v="1"/>
    <n v="96704"/>
    <n v="0"/>
    <n v="96704"/>
    <n v="10.135338377385819"/>
    <n v="5000"/>
    <n v="100"/>
    <x v="6129"/>
    <x v="3"/>
    <x v="4"/>
    <x v="1"/>
  </r>
  <r>
    <x v="560"/>
    <s v="ZTAN"/>
    <x v="120"/>
    <s v="XR6339"/>
    <n v="78907355"/>
    <s v="PROVIDENCIA"/>
    <x v="446"/>
    <x v="1"/>
    <x v="1"/>
    <x v="54"/>
    <x v="1"/>
    <n v="2"/>
    <n v="58399"/>
    <n v="0"/>
    <n v="58399"/>
    <n v="11"/>
    <n v="5000"/>
    <n v="100"/>
    <x v="6130"/>
    <x v="3"/>
    <x v="4"/>
    <x v="1"/>
  </r>
  <r>
    <x v="560"/>
    <s v="ZTAN"/>
    <x v="7"/>
    <s v="DJLF85"/>
    <n v="125108660"/>
    <s v="SAN MIGUEL"/>
    <x v="35"/>
    <x v="4"/>
    <x v="1"/>
    <x v="23"/>
    <x v="1"/>
    <n v="2"/>
    <n v="86053"/>
    <n v="0"/>
    <n v="86053"/>
    <n v="10.999999999999998"/>
    <n v="5000"/>
    <n v="100"/>
    <x v="6131"/>
    <x v="3"/>
    <x v="4"/>
    <x v="1"/>
  </r>
  <r>
    <x v="560"/>
    <s v="ZTAN"/>
    <x v="8"/>
    <s v="JGYY37"/>
    <n v="127271194"/>
    <s v="CORONEL"/>
    <x v="4845"/>
    <x v="0"/>
    <x v="0"/>
    <x v="16"/>
    <x v="0"/>
    <n v="0"/>
    <n v="528000"/>
    <n v="0"/>
    <n v="528000"/>
    <n v="60.631114785724129"/>
    <n v="14000"/>
    <n v="65"/>
    <x v="6132"/>
    <x v="3"/>
    <x v="4"/>
    <x v="0"/>
  </r>
  <r>
    <x v="560"/>
    <s v="ZTAN"/>
    <x v="121"/>
    <s v="KKPF85"/>
    <n v="95707734"/>
    <s v="SANTIAGO"/>
    <x v="4846"/>
    <x v="0"/>
    <x v="0"/>
    <x v="20"/>
    <x v="1"/>
    <n v="1"/>
    <n v="306779"/>
    <n v="0"/>
    <n v="306779"/>
    <n v="11"/>
    <n v="5000"/>
    <n v="100"/>
    <x v="6133"/>
    <x v="3"/>
    <x v="4"/>
    <x v="1"/>
  </r>
  <r>
    <x v="561"/>
    <s v="ZTAN"/>
    <x v="122"/>
    <s v="DJLF85"/>
    <s v="125108660"/>
    <s v="SANTIAGO"/>
    <x v="4847"/>
    <x v="4"/>
    <x v="1"/>
    <x v="20"/>
    <x v="1"/>
    <n v="1"/>
    <n v="69173"/>
    <n v="0"/>
    <n v="69173"/>
    <n v="33.407224958949087"/>
    <n v="5000"/>
    <n v="41"/>
    <x v="6134"/>
    <x v="3"/>
    <x v="4"/>
    <x v="1"/>
  </r>
  <r>
    <x v="561"/>
    <s v="ZTAN"/>
    <x v="24"/>
    <s v="RH1133"/>
    <s v="65941082"/>
    <s v="MACHALI"/>
    <x v="4848"/>
    <x v="0"/>
    <x v="0"/>
    <x v="43"/>
    <x v="6"/>
    <n v="0"/>
    <n v="300000"/>
    <n v="0"/>
    <n v="300000"/>
    <n v="24.790929825141308"/>
    <n v="14000"/>
    <n v="86"/>
    <x v="6135"/>
    <x v="3"/>
    <x v="4"/>
    <x v="0"/>
  </r>
  <r>
    <x v="561"/>
    <s v="ZTAN"/>
    <x v="6"/>
    <s v="TP3884"/>
    <s v="107643206"/>
    <s v="VIÑA DEL MAR"/>
    <x v="4849"/>
    <x v="1"/>
    <x v="1"/>
    <x v="6"/>
    <x v="2"/>
    <n v="0"/>
    <n v="227000"/>
    <n v="0"/>
    <n v="227000"/>
    <n v="56.703786414072525"/>
    <n v="14000"/>
    <n v="29"/>
    <x v="6136"/>
    <x v="3"/>
    <x v="4"/>
    <x v="0"/>
  </r>
  <r>
    <x v="561"/>
    <s v="ZTAN"/>
    <x v="7"/>
    <s v="PYCP22"/>
    <s v="114163848"/>
    <s v="CORONEL"/>
    <x v="4850"/>
    <x v="0"/>
    <x v="0"/>
    <x v="16"/>
    <x v="0"/>
    <n v="0"/>
    <n v="528000"/>
    <n v="0"/>
    <n v="528000"/>
    <n v="46.262222689517401"/>
    <n v="14000"/>
    <n v="82"/>
    <x v="6137"/>
    <x v="3"/>
    <x v="4"/>
    <x v="0"/>
  </r>
  <r>
    <x v="561"/>
    <s v="ZTAN"/>
    <x v="8"/>
    <s v="78907355"/>
    <s v="CIFJUANMORA"/>
    <s v="SAN BERNARDO"/>
    <x v="4851"/>
    <x v="0"/>
    <x v="0"/>
    <x v="4"/>
    <x v="1"/>
    <n v="4"/>
    <n v="69173"/>
    <n v="0"/>
    <n v="69173"/>
    <n v="18.390422613097389"/>
    <n v="5000"/>
    <n v="75"/>
    <x v="6138"/>
    <x v="3"/>
    <x v="4"/>
    <x v="1"/>
  </r>
  <r>
    <x v="561"/>
    <s v="ZTAN"/>
    <x v="8"/>
    <s v="HLBX77"/>
    <s v="16093509K"/>
    <s v="PUDAHUEL"/>
    <x v="4852"/>
    <x v="1"/>
    <x v="1"/>
    <x v="10"/>
    <x v="1"/>
    <n v="1"/>
    <n v="69173"/>
    <n v="0"/>
    <n v="69173"/>
    <n v="17.209953823494288"/>
    <n v="5000"/>
    <n v="80"/>
    <x v="6139"/>
    <x v="3"/>
    <x v="4"/>
    <x v="1"/>
  </r>
  <r>
    <x v="561"/>
    <s v="ZTAN"/>
    <x v="8"/>
    <s v="SU9354"/>
    <s v="72564391"/>
    <s v="RENCA"/>
    <x v="4853"/>
    <x v="2"/>
    <x v="1"/>
    <x v="7"/>
    <x v="1"/>
    <n v="1"/>
    <n v="76494"/>
    <n v="0"/>
    <n v="76494"/>
    <n v="11.000000000000004"/>
    <n v="5000"/>
    <n v="100"/>
    <x v="6140"/>
    <x v="3"/>
    <x v="4"/>
    <x v="1"/>
  </r>
  <r>
    <x v="562"/>
    <s v="ZPEP"/>
    <x v="5"/>
    <s v="KKPF51"/>
    <s v="95707734"/>
    <s v="COQUIMBO"/>
    <x v="4854"/>
    <x v="8"/>
    <x v="0"/>
    <x v="42"/>
    <x v="8"/>
    <n v="0"/>
    <n v="800000"/>
    <n v="0"/>
    <n v="800000"/>
    <n v="92.574377726604737"/>
    <n v="14000"/>
    <n v="100"/>
    <x v="6141"/>
    <x v="3"/>
    <x v="4"/>
    <x v="0"/>
  </r>
  <r>
    <x v="562"/>
    <s v="ZPEP"/>
    <x v="120"/>
    <s v="DJLF85"/>
    <s v="125108660"/>
    <s v="PROVIDENCIA"/>
    <x v="4855"/>
    <x v="4"/>
    <x v="1"/>
    <x v="54"/>
    <x v="1"/>
    <n v="2"/>
    <n v="69173"/>
    <n v="0"/>
    <n v="69173"/>
    <n v="19.179559696112683"/>
    <n v="5000"/>
    <n v="72"/>
    <x v="6142"/>
    <x v="3"/>
    <x v="4"/>
    <x v="1"/>
  </r>
  <r>
    <x v="562"/>
    <s v="ZTAN"/>
    <x v="10"/>
    <s v="HLBX77"/>
    <s v="16093509K"/>
    <s v="PEÑALOLEN"/>
    <x v="4856"/>
    <x v="1"/>
    <x v="1"/>
    <x v="34"/>
    <x v="1"/>
    <n v="4"/>
    <n v="69173"/>
    <n v="0"/>
    <n v="69173"/>
    <n v="9.5797527957622126"/>
    <n v="5000"/>
    <n v="100"/>
    <x v="6143"/>
    <x v="3"/>
    <x v="4"/>
    <x v="1"/>
  </r>
  <r>
    <x v="562"/>
    <s v="ZTAN"/>
    <x v="7"/>
    <s v="DJLF85"/>
    <s v="53173292"/>
    <s v="RENCA"/>
    <x v="4857"/>
    <x v="4"/>
    <x v="1"/>
    <x v="7"/>
    <x v="1"/>
    <n v="1"/>
    <n v="112089"/>
    <n v="0"/>
    <n v="112089"/>
    <n v="10.999988223656318"/>
    <n v="5000"/>
    <n v="100"/>
    <x v="6144"/>
    <x v="3"/>
    <x v="4"/>
    <x v="1"/>
  </r>
  <r>
    <x v="562"/>
    <s v="ZTAN"/>
    <x v="7"/>
    <s v="PYCP18"/>
    <s v="190829758"/>
    <s v="CORONEL"/>
    <x v="4858"/>
    <x v="0"/>
    <x v="0"/>
    <x v="16"/>
    <x v="0"/>
    <n v="0"/>
    <n v="528000"/>
    <n v="0"/>
    <n v="528000"/>
    <n v="33.07939053728952"/>
    <n v="14000"/>
    <n v="100"/>
    <x v="6145"/>
    <x v="3"/>
    <x v="4"/>
    <x v="0"/>
  </r>
  <r>
    <x v="562"/>
    <s v="ZTAN"/>
    <x v="7"/>
    <s v="STCY42"/>
    <s v="92028607"/>
    <s v="CORONEL"/>
    <x v="4859"/>
    <x v="0"/>
    <x v="0"/>
    <x v="16"/>
    <x v="0"/>
    <n v="0"/>
    <n v="528000"/>
    <n v="0"/>
    <n v="528000"/>
    <n v="34.804068912056444"/>
    <n v="14000"/>
    <n v="100"/>
    <x v="6146"/>
    <x v="3"/>
    <x v="4"/>
    <x v="0"/>
  </r>
  <r>
    <x v="562"/>
    <s v="ZTAN"/>
    <x v="7"/>
    <s v="WG4022"/>
    <s v="154837728"/>
    <s v="RENCA"/>
    <x v="4860"/>
    <x v="1"/>
    <x v="0"/>
    <x v="7"/>
    <x v="1"/>
    <n v="1"/>
    <n v="123660"/>
    <n v="0"/>
    <n v="123660"/>
    <n v="10.999978651181648"/>
    <n v="5000"/>
    <n v="100"/>
    <x v="6147"/>
    <x v="3"/>
    <x v="4"/>
    <x v="1"/>
  </r>
  <r>
    <x v="562"/>
    <s v="ZTAN"/>
    <x v="7"/>
    <s v="XR6339"/>
    <s v="78907355"/>
    <s v="MELIPILLA"/>
    <x v="4861"/>
    <x v="1"/>
    <x v="1"/>
    <x v="29"/>
    <x v="1"/>
    <n v="5"/>
    <n v="112500"/>
    <n v="0"/>
    <n v="112500"/>
    <n v="29.479587023740894"/>
    <n v="10000"/>
    <n v="38"/>
    <x v="6148"/>
    <x v="3"/>
    <x v="4"/>
    <x v="1"/>
  </r>
  <r>
    <x v="562"/>
    <s v="ZTAN"/>
    <x v="8"/>
    <s v="SV2718"/>
    <s v="107643206"/>
    <s v="QUILICURA"/>
    <x v="4862"/>
    <x v="1"/>
    <x v="1"/>
    <x v="8"/>
    <x v="1"/>
    <n v="1"/>
    <n v="69173"/>
    <n v="0"/>
    <n v="69173"/>
    <n v="23.554429586649096"/>
    <n v="5000"/>
    <n v="59"/>
    <x v="6149"/>
    <x v="3"/>
    <x v="4"/>
    <x v="1"/>
  </r>
  <r>
    <x v="563"/>
    <s v="ZTAN"/>
    <x v="10"/>
    <s v="RK5135"/>
    <s v="138841065"/>
    <s v="PUDAHUEL"/>
    <x v="1382"/>
    <x v="3"/>
    <x v="1"/>
    <x v="10"/>
    <x v="1"/>
    <n v="1"/>
    <n v="75922"/>
    <n v="0"/>
    <n v="75922"/>
    <n v="11.000000000000002"/>
    <n v="5000"/>
    <n v="100"/>
    <x v="6150"/>
    <x v="3"/>
    <x v="4"/>
    <x v="1"/>
  </r>
  <r>
    <x v="563"/>
    <s v="ZTAN"/>
    <x v="10"/>
    <s v="WC2233"/>
    <s v="125108660"/>
    <s v="PEÑALOLEN"/>
    <x v="4863"/>
    <x v="4"/>
    <x v="1"/>
    <x v="34"/>
    <x v="1"/>
    <n v="4"/>
    <n v="69173"/>
    <n v="0"/>
    <n v="69173"/>
    <n v="14.178426851140149"/>
    <n v="5000"/>
    <n v="98"/>
    <x v="6151"/>
    <x v="3"/>
    <x v="4"/>
    <x v="1"/>
  </r>
  <r>
    <x v="563"/>
    <s v="ZTAN"/>
    <x v="6"/>
    <s v="SU9354"/>
    <s v="72564391"/>
    <s v="QUILPUE"/>
    <x v="4864"/>
    <x v="2"/>
    <x v="1"/>
    <x v="58"/>
    <x v="2"/>
    <n v="0"/>
    <n v="230000"/>
    <n v="0"/>
    <n v="230000"/>
    <n v="45.911849249441069"/>
    <n v="14000"/>
    <n v="65"/>
    <x v="6152"/>
    <x v="3"/>
    <x v="4"/>
    <x v="0"/>
  </r>
  <r>
    <x v="563"/>
    <s v="ZTAN"/>
    <x v="7"/>
    <s v="RH1133"/>
    <s v="65941082"/>
    <s v="SANTIAGO"/>
    <x v="1870"/>
    <x v="0"/>
    <x v="0"/>
    <x v="20"/>
    <x v="1"/>
    <n v="1"/>
    <n v="198106"/>
    <n v="0"/>
    <n v="198106"/>
    <n v="11.000022210376688"/>
    <n v="5000"/>
    <n v="100"/>
    <x v="6153"/>
    <x v="3"/>
    <x v="4"/>
    <x v="1"/>
  </r>
  <r>
    <x v="563"/>
    <s v="ZTAN"/>
    <x v="7"/>
    <s v="WC2233"/>
    <s v="125108660"/>
    <s v="RENCA"/>
    <x v="4865"/>
    <x v="4"/>
    <x v="1"/>
    <x v="7"/>
    <x v="1"/>
    <n v="1"/>
    <n v="62701"/>
    <n v="0"/>
    <n v="62701"/>
    <n v="10.999924563124001"/>
    <n v="5000"/>
    <n v="100"/>
    <x v="6154"/>
    <x v="3"/>
    <x v="4"/>
    <x v="1"/>
  </r>
  <r>
    <x v="563"/>
    <s v="ZTAN"/>
    <x v="7"/>
    <s v="WG4022"/>
    <s v="154837728"/>
    <s v="RENCA"/>
    <x v="4866"/>
    <x v="1"/>
    <x v="0"/>
    <x v="7"/>
    <x v="1"/>
    <n v="1"/>
    <n v="257259"/>
    <n v="0"/>
    <n v="257259"/>
    <n v="10.999991448313606"/>
    <n v="5000"/>
    <n v="100"/>
    <x v="6155"/>
    <x v="3"/>
    <x v="4"/>
    <x v="1"/>
  </r>
  <r>
    <x v="563"/>
    <s v="ZTAN"/>
    <x v="8"/>
    <s v="DJLF85"/>
    <s v="53173292"/>
    <s v="HUECHURABA"/>
    <x v="4867"/>
    <x v="4"/>
    <x v="1"/>
    <x v="24"/>
    <x v="1"/>
    <n v="1"/>
    <n v="69173"/>
    <n v="0"/>
    <n v="69173"/>
    <n v="27.623124628120294"/>
    <n v="5000"/>
    <n v="50"/>
    <x v="6156"/>
    <x v="3"/>
    <x v="4"/>
    <x v="1"/>
  </r>
  <r>
    <x v="563"/>
    <s v="ZTAN"/>
    <x v="8"/>
    <s v="DRFV76"/>
    <s v="113693568"/>
    <s v="ANGOL"/>
    <x v="4868"/>
    <x v="0"/>
    <x v="0"/>
    <x v="84"/>
    <x v="4"/>
    <n v="0"/>
    <n v="583000"/>
    <n v="0"/>
    <n v="583000"/>
    <n v="84.306546121320451"/>
    <n v="14000"/>
    <n v="65"/>
    <x v="6157"/>
    <x v="3"/>
    <x v="4"/>
    <x v="0"/>
  </r>
  <r>
    <x v="563"/>
    <s v="ZTAN"/>
    <x v="8"/>
    <s v="HLBX77"/>
    <s v="16093509K"/>
    <s v="PUDAHUEL"/>
    <x v="4869"/>
    <x v="1"/>
    <x v="1"/>
    <x v="10"/>
    <x v="1"/>
    <n v="1"/>
    <n v="99304"/>
    <n v="0"/>
    <n v="99304"/>
    <n v="10.999995569163143"/>
    <n v="5000"/>
    <n v="100"/>
    <x v="6158"/>
    <x v="3"/>
    <x v="4"/>
    <x v="1"/>
  </r>
  <r>
    <x v="563"/>
    <s v="ZTAN"/>
    <x v="8"/>
    <s v="SV2718"/>
    <s v="78907355"/>
    <s v="SAN MIGUEL"/>
    <x v="248"/>
    <x v="1"/>
    <x v="1"/>
    <x v="23"/>
    <x v="1"/>
    <n v="2"/>
    <n v="69173"/>
    <n v="0"/>
    <n v="69173"/>
    <n v="23.045375799573563"/>
    <n v="5000"/>
    <n v="60"/>
    <x v="6159"/>
    <x v="3"/>
    <x v="4"/>
    <x v="1"/>
  </r>
  <r>
    <x v="564"/>
    <s v="ZPEP"/>
    <x v="5"/>
    <s v="HLBX77"/>
    <s v="16093509K"/>
    <s v="COLINA"/>
    <x v="4870"/>
    <x v="1"/>
    <x v="1"/>
    <x v="5"/>
    <x v="1"/>
    <n v="5"/>
    <n v="87500"/>
    <n v="0"/>
    <n v="87500"/>
    <n v="7.6781461532926523"/>
    <n v="10000"/>
    <n v="100"/>
    <x v="6160"/>
    <x v="3"/>
    <x v="4"/>
    <x v="1"/>
  </r>
  <r>
    <x v="564"/>
    <s v="ZTAN"/>
    <x v="8"/>
    <s v="DJLF85"/>
    <s v="53173292"/>
    <s v="EL BOSQUE"/>
    <x v="4871"/>
    <x v="4"/>
    <x v="1"/>
    <x v="25"/>
    <x v="1"/>
    <n v="3"/>
    <n v="69173"/>
    <n v="0"/>
    <n v="69173"/>
    <n v="6.4865903975994001"/>
    <n v="5000"/>
    <n v="100"/>
    <x v="6161"/>
    <x v="3"/>
    <x v="4"/>
    <x v="1"/>
  </r>
  <r>
    <x v="564"/>
    <s v="ZTAN"/>
    <x v="8"/>
    <s v="GDFG14"/>
    <s v="133069453"/>
    <s v="CONCEPCION"/>
    <x v="4872"/>
    <x v="5"/>
    <x v="0"/>
    <x v="81"/>
    <x v="0"/>
    <n v="0"/>
    <n v="478000"/>
    <n v="0"/>
    <n v="478000"/>
    <n v="66.974074868048476"/>
    <n v="14000"/>
    <n v="51"/>
    <x v="6162"/>
    <x v="3"/>
    <x v="4"/>
    <x v="0"/>
  </r>
  <r>
    <x v="564"/>
    <s v="ZTAN"/>
    <x v="8"/>
    <s v="HYFL62"/>
    <s v="95199256"/>
    <s v="LOS ANGELES"/>
    <x v="1697"/>
    <x v="0"/>
    <x v="0"/>
    <x v="57"/>
    <x v="0"/>
    <n v="0"/>
    <n v="528000"/>
    <n v="0"/>
    <n v="528000"/>
    <n v="67.073170731707279"/>
    <n v="14000"/>
    <n v="56"/>
    <x v="6163"/>
    <x v="3"/>
    <x v="4"/>
    <x v="0"/>
  </r>
  <r>
    <x v="564"/>
    <s v="ZTAN"/>
    <x v="8"/>
    <s v="RK5135"/>
    <s v="138841065"/>
    <s v="LA REINA"/>
    <x v="4873"/>
    <x v="3"/>
    <x v="1"/>
    <x v="11"/>
    <x v="1"/>
    <n v="3"/>
    <n v="69173"/>
    <n v="0"/>
    <n v="69173"/>
    <n v="24.668697041453882"/>
    <n v="5000"/>
    <n v="56"/>
    <x v="6164"/>
    <x v="3"/>
    <x v="4"/>
    <x v="1"/>
  </r>
  <r>
    <x v="564"/>
    <s v="ZTAN"/>
    <x v="8"/>
    <s v="SV2718"/>
    <s v="107643206"/>
    <s v="ESTACION CENTRAL"/>
    <x v="4874"/>
    <x v="1"/>
    <x v="1"/>
    <x v="107"/>
    <x v="1"/>
    <n v="1"/>
    <n v="69173"/>
    <n v="0"/>
    <n v="69173"/>
    <n v="22.829674319132927"/>
    <n v="5000"/>
    <n v="61"/>
    <x v="6165"/>
    <x v="3"/>
    <x v="4"/>
    <x v="1"/>
  </r>
  <r>
    <x v="564"/>
    <s v="ZTAN"/>
    <x v="8"/>
    <s v="XR6339"/>
    <s v="78907355"/>
    <s v="LAS CONDES"/>
    <x v="4875"/>
    <x v="1"/>
    <x v="1"/>
    <x v="3"/>
    <x v="1"/>
    <n v="4"/>
    <n v="69173"/>
    <n v="0"/>
    <n v="69173"/>
    <n v="17.859208311387881"/>
    <n v="5000"/>
    <n v="77"/>
    <x v="6166"/>
    <x v="3"/>
    <x v="4"/>
    <x v="1"/>
  </r>
  <r>
    <x v="565"/>
    <s v="ZPEP"/>
    <x v="63"/>
    <s v="DJLF85"/>
    <s v="53173292"/>
    <s v="TALCAHUANO"/>
    <x v="4876"/>
    <x v="4"/>
    <x v="1"/>
    <x v="0"/>
    <x v="0"/>
    <n v="0"/>
    <n v="69173"/>
    <n v="0"/>
    <n v="69173"/>
    <n v="12.669047619047619"/>
    <n v="14000"/>
    <n v="100"/>
    <x v="6167"/>
    <x v="3"/>
    <x v="4"/>
    <x v="0"/>
  </r>
  <r>
    <x v="565"/>
    <s v="ZPEP"/>
    <x v="87"/>
    <s v="KXTC79"/>
    <s v="154629327"/>
    <s v="HUASCO"/>
    <x v="4877"/>
    <x v="0"/>
    <x v="0"/>
    <x v="104"/>
    <x v="9"/>
    <n v="0"/>
    <n v="1500000"/>
    <n v="0"/>
    <n v="1500000"/>
    <n v="87.031393964430848"/>
    <n v="14000"/>
    <n v="100"/>
    <x v="6168"/>
    <x v="3"/>
    <x v="4"/>
    <x v="0"/>
  </r>
  <r>
    <x v="565"/>
    <s v="ZPEP"/>
    <x v="87"/>
    <s v="ZJ6833"/>
    <s v="334895416"/>
    <s v="HUASCO"/>
    <x v="4878"/>
    <x v="0"/>
    <x v="0"/>
    <x v="104"/>
    <x v="9"/>
    <n v="0"/>
    <n v="1500000"/>
    <n v="0"/>
    <n v="1500000"/>
    <n v="81.480246200711917"/>
    <n v="14000"/>
    <n v="100"/>
    <x v="6169"/>
    <x v="3"/>
    <x v="4"/>
    <x v="0"/>
  </r>
  <r>
    <x v="565"/>
    <s v="ZTAN"/>
    <x v="10"/>
    <s v="DJLF85"/>
    <s v="53173292"/>
    <s v="SANTIAGO"/>
    <x v="4879"/>
    <x v="4"/>
    <x v="1"/>
    <x v="20"/>
    <x v="1"/>
    <n v="1"/>
    <n v="69173"/>
    <n v="0"/>
    <n v="69173"/>
    <n v="16.730114350947122"/>
    <n v="5000"/>
    <n v="83"/>
    <x v="6170"/>
    <x v="3"/>
    <x v="4"/>
    <x v="1"/>
  </r>
  <r>
    <x v="565"/>
    <s v="ZTAN"/>
    <x v="10"/>
    <s v="KKPF51"/>
    <s v="95707734"/>
    <s v="QUILICURA"/>
    <x v="4880"/>
    <x v="8"/>
    <x v="0"/>
    <x v="8"/>
    <x v="1"/>
    <n v="1"/>
    <n v="121660"/>
    <n v="0"/>
    <n v="121660"/>
    <n v="10.999980108535066"/>
    <n v="5000"/>
    <n v="100"/>
    <x v="6171"/>
    <x v="3"/>
    <x v="4"/>
    <x v="1"/>
  </r>
  <r>
    <x v="565"/>
    <s v="ZTAN"/>
    <x v="10"/>
    <s v="RK5135"/>
    <s v="138841065"/>
    <s v="QUILICURA"/>
    <x v="4881"/>
    <x v="3"/>
    <x v="1"/>
    <x v="8"/>
    <x v="1"/>
    <n v="1"/>
    <n v="64802"/>
    <n v="0"/>
    <n v="64802"/>
    <n v="11.000057714570891"/>
    <n v="5000"/>
    <n v="100"/>
    <x v="6172"/>
    <x v="3"/>
    <x v="4"/>
    <x v="1"/>
  </r>
  <r>
    <x v="565"/>
    <s v="ZTAN"/>
    <x v="24"/>
    <s v="RH1133"/>
    <s v="65941082"/>
    <s v="MACHALI"/>
    <x v="4882"/>
    <x v="0"/>
    <x v="0"/>
    <x v="43"/>
    <x v="6"/>
    <n v="0"/>
    <n v="180000"/>
    <n v="0"/>
    <n v="180000"/>
    <n v="23.060957798447223"/>
    <n v="14000"/>
    <n v="56"/>
    <x v="6173"/>
    <x v="3"/>
    <x v="4"/>
    <x v="0"/>
  </r>
  <r>
    <x v="565"/>
    <s v="ZTAN"/>
    <x v="115"/>
    <s v="HLBX77"/>
    <s v="16093509K"/>
    <s v="SANTIAGO"/>
    <x v="4883"/>
    <x v="1"/>
    <x v="1"/>
    <x v="20"/>
    <x v="1"/>
    <n v="1"/>
    <n v="95275"/>
    <n v="0"/>
    <n v="95275"/>
    <n v="10.999979218092268"/>
    <n v="5000"/>
    <n v="100"/>
    <x v="6174"/>
    <x v="3"/>
    <x v="4"/>
    <x v="1"/>
  </r>
  <r>
    <x v="565"/>
    <s v="ZTAN"/>
    <x v="115"/>
    <s v="SU9354"/>
    <s v="72564391"/>
    <s v="SANTIAGO"/>
    <x v="4884"/>
    <x v="2"/>
    <x v="1"/>
    <x v="20"/>
    <x v="1"/>
    <n v="1"/>
    <n v="117632"/>
    <n v="0"/>
    <n v="117632"/>
    <n v="11.000018702425706"/>
    <n v="5000"/>
    <n v="100"/>
    <x v="6175"/>
    <x v="3"/>
    <x v="4"/>
    <x v="1"/>
  </r>
  <r>
    <x v="565"/>
    <s v="ZTAN"/>
    <x v="7"/>
    <s v="DJLF85"/>
    <s v="125108660"/>
    <s v="SAN MIGUEL"/>
    <x v="4885"/>
    <x v="4"/>
    <x v="1"/>
    <x v="23"/>
    <x v="1"/>
    <n v="2"/>
    <n v="63635"/>
    <n v="0"/>
    <n v="63635"/>
    <n v="11.000000000000002"/>
    <n v="5000"/>
    <n v="100"/>
    <x v="6176"/>
    <x v="3"/>
    <x v="4"/>
    <x v="1"/>
  </r>
  <r>
    <x v="565"/>
    <s v="ZTAN"/>
    <x v="7"/>
    <s v="LWYB23"/>
    <s v="19331337K"/>
    <s v="CORONEL"/>
    <x v="4886"/>
    <x v="0"/>
    <x v="0"/>
    <x v="16"/>
    <x v="0"/>
    <n v="0"/>
    <n v="528000"/>
    <n v="0"/>
    <n v="528000"/>
    <n v="40.666311349905882"/>
    <n v="14000"/>
    <n v="93"/>
    <x v="6177"/>
    <x v="3"/>
    <x v="4"/>
    <x v="0"/>
  </r>
  <r>
    <x v="565"/>
    <s v="ZTAN"/>
    <x v="7"/>
    <s v="WG4022"/>
    <s v="154837728"/>
    <s v="RENCA"/>
    <x v="4887"/>
    <x v="1"/>
    <x v="0"/>
    <x v="7"/>
    <x v="1"/>
    <n v="1"/>
    <n v="144047"/>
    <n v="0"/>
    <n v="144047"/>
    <n v="11.000035127535865"/>
    <n v="5000"/>
    <n v="100"/>
    <x v="6178"/>
    <x v="3"/>
    <x v="4"/>
    <x v="1"/>
  </r>
  <r>
    <x v="565"/>
    <s v="ZTAN"/>
    <x v="7"/>
    <s v="XR6339"/>
    <s v="78907355"/>
    <s v="RENCA"/>
    <x v="4888"/>
    <x v="1"/>
    <x v="1"/>
    <x v="7"/>
    <x v="1"/>
    <n v="1"/>
    <n v="80412"/>
    <n v="0"/>
    <n v="80412"/>
    <n v="10.999957593557506"/>
    <n v="5000"/>
    <n v="100"/>
    <x v="6179"/>
    <x v="3"/>
    <x v="4"/>
    <x v="1"/>
  </r>
  <r>
    <x v="565"/>
    <s v="ZTAN"/>
    <x v="8"/>
    <s v="GYXS99"/>
    <s v="109995630"/>
    <s v="OSORNO"/>
    <x v="4889"/>
    <x v="0"/>
    <x v="0"/>
    <x v="64"/>
    <x v="10"/>
    <n v="0"/>
    <n v="1131000"/>
    <n v="0"/>
    <n v="1131000"/>
    <n v="193.56097427401804"/>
    <n v="14000"/>
    <n v="42"/>
    <x v="6180"/>
    <x v="3"/>
    <x v="4"/>
    <x v="0"/>
  </r>
  <r>
    <x v="565"/>
    <s v="ZTAN"/>
    <x v="8"/>
    <s v="RZ4484"/>
    <s v="163915707"/>
    <s v="PUERTO MONTT"/>
    <x v="4890"/>
    <x v="5"/>
    <x v="0"/>
    <x v="53"/>
    <x v="10"/>
    <n v="0"/>
    <n v="1282000"/>
    <n v="0"/>
    <n v="1282000"/>
    <n v="173.96118575852233"/>
    <n v="14000"/>
    <n v="75"/>
    <x v="6181"/>
    <x v="3"/>
    <x v="4"/>
    <x v="0"/>
  </r>
  <r>
    <x v="565"/>
    <s v="ZTAN"/>
    <x v="8"/>
    <s v="SU9354"/>
    <s v="72564391"/>
    <s v="PUENTE ALTO"/>
    <x v="4891"/>
    <x v="2"/>
    <x v="1"/>
    <x v="30"/>
    <x v="1"/>
    <n v="4"/>
    <n v="69173"/>
    <n v="0"/>
    <n v="69173"/>
    <n v="23.539280342473678"/>
    <n v="5000"/>
    <n v="59"/>
    <x v="6182"/>
    <x v="3"/>
    <x v="4"/>
    <x v="1"/>
  </r>
  <r>
    <x v="566"/>
    <s v="ZPEP"/>
    <x v="5"/>
    <s v="BPKD94"/>
    <s v="125897258"/>
    <s v="COQUIMBO"/>
    <x v="4892"/>
    <x v="0"/>
    <x v="0"/>
    <x v="42"/>
    <x v="8"/>
    <n v="0"/>
    <n v="800000"/>
    <n v="0"/>
    <n v="800000"/>
    <n v="113.53540743600151"/>
    <n v="14000"/>
    <n v="50"/>
    <x v="6183"/>
    <x v="4"/>
    <x v="4"/>
    <x v="0"/>
  </r>
  <r>
    <x v="566"/>
    <s v="ZTAN"/>
    <x v="10"/>
    <s v="XR6339"/>
    <s v="78907355"/>
    <s v="SAN BERNARDO"/>
    <x v="1557"/>
    <x v="1"/>
    <x v="1"/>
    <x v="4"/>
    <x v="1"/>
    <n v="4"/>
    <n v="91106"/>
    <n v="0"/>
    <n v="91106"/>
    <n v="10.999951704819859"/>
    <n v="5000"/>
    <n v="100"/>
    <x v="6184"/>
    <x v="4"/>
    <x v="4"/>
    <x v="1"/>
  </r>
  <r>
    <x v="566"/>
    <s v="ZTAN"/>
    <x v="101"/>
    <s v="DJLF85"/>
    <s v="53173292"/>
    <s v="QUILICURA"/>
    <x v="4893"/>
    <x v="4"/>
    <x v="1"/>
    <x v="8"/>
    <x v="1"/>
    <n v="1"/>
    <n v="69173"/>
    <n v="0"/>
    <n v="69173"/>
    <n v="12.228940157341112"/>
    <n v="5000"/>
    <n v="88"/>
    <x v="6185"/>
    <x v="4"/>
    <x v="4"/>
    <x v="1"/>
  </r>
  <r>
    <x v="566"/>
    <s v="ZTAN"/>
    <x v="7"/>
    <s v="DRFV76"/>
    <s v="113693568"/>
    <s v="CORONEL"/>
    <x v="4894"/>
    <x v="0"/>
    <x v="0"/>
    <x v="16"/>
    <x v="0"/>
    <n v="0"/>
    <n v="528000"/>
    <n v="0"/>
    <n v="528000"/>
    <n v="27.734005672864797"/>
    <n v="14000"/>
    <n v="100"/>
    <x v="6186"/>
    <x v="4"/>
    <x v="4"/>
    <x v="0"/>
  </r>
  <r>
    <x v="566"/>
    <s v="ZTAN"/>
    <x v="7"/>
    <s v="JGYY37"/>
    <s v="127271194"/>
    <s v="CORONEL"/>
    <x v="4895"/>
    <x v="0"/>
    <x v="0"/>
    <x v="16"/>
    <x v="0"/>
    <n v="0"/>
    <n v="528000"/>
    <n v="0"/>
    <n v="528000"/>
    <n v="25.129454766981418"/>
    <n v="14000"/>
    <n v="100"/>
    <x v="6187"/>
    <x v="4"/>
    <x v="4"/>
    <x v="0"/>
  </r>
  <r>
    <x v="566"/>
    <s v="ZTAN"/>
    <x v="7"/>
    <s v="SV2718"/>
    <s v="107643206"/>
    <s v="SAN MIGUEL"/>
    <x v="1000"/>
    <x v="1"/>
    <x v="1"/>
    <x v="23"/>
    <x v="1"/>
    <n v="2"/>
    <n v="74290"/>
    <n v="0"/>
    <n v="74290"/>
    <n v="11.000059227671169"/>
    <n v="5000"/>
    <n v="100"/>
    <x v="6188"/>
    <x v="4"/>
    <x v="4"/>
    <x v="1"/>
  </r>
  <r>
    <x v="566"/>
    <s v="ZTAN"/>
    <x v="99"/>
    <s v="LZPP69"/>
    <s v="98944117"/>
    <s v="CONCEPCION"/>
    <x v="4896"/>
    <x v="0"/>
    <x v="0"/>
    <x v="81"/>
    <x v="0"/>
    <n v="0"/>
    <n v="478000"/>
    <n v="0"/>
    <n v="478000"/>
    <n v="20.51370083471021"/>
    <n v="14000"/>
    <n v="100"/>
    <x v="6189"/>
    <x v="4"/>
    <x v="4"/>
    <x v="0"/>
  </r>
  <r>
    <x v="566"/>
    <s v="ZTAN"/>
    <x v="83"/>
    <s v="HLBX77"/>
    <s v="16093509K"/>
    <s v="SANTIAGO"/>
    <x v="1291"/>
    <x v="1"/>
    <x v="1"/>
    <x v="20"/>
    <x v="1"/>
    <n v="1"/>
    <n v="69173"/>
    <n v="0"/>
    <n v="69173"/>
    <n v="24.408256880733944"/>
    <n v="5000"/>
    <n v="57"/>
    <x v="6190"/>
    <x v="4"/>
    <x v="4"/>
    <x v="1"/>
  </r>
  <r>
    <x v="567"/>
    <s v="ZTAN"/>
    <x v="7"/>
    <s v="XR6339"/>
    <s v="78907355"/>
    <s v="SAN MIGUEL"/>
    <x v="4897"/>
    <x v="1"/>
    <x v="1"/>
    <x v="23"/>
    <x v="1"/>
    <n v="2"/>
    <n v="72200"/>
    <n v="0"/>
    <n v="72200"/>
    <n v="11.000060942165886"/>
    <n v="5000"/>
    <n v="100"/>
    <x v="6191"/>
    <x v="4"/>
    <x v="4"/>
    <x v="1"/>
  </r>
  <r>
    <x v="567"/>
    <s v="ZTAN"/>
    <x v="8"/>
    <s v="CJXX49"/>
    <s v="167832741"/>
    <s v="LOS ANGELES"/>
    <x v="4898"/>
    <x v="5"/>
    <x v="0"/>
    <x v="57"/>
    <x v="0"/>
    <n v="0"/>
    <n v="528000"/>
    <n v="0"/>
    <n v="528000"/>
    <n v="75.743013137396105"/>
    <n v="14000"/>
    <n v="50"/>
    <x v="6192"/>
    <x v="4"/>
    <x v="4"/>
    <x v="0"/>
  </r>
  <r>
    <x v="567"/>
    <s v="ZTAN"/>
    <x v="8"/>
    <s v="DKDL88"/>
    <s v="122975819"/>
    <s v="LOS ANGELES"/>
    <x v="419"/>
    <x v="0"/>
    <x v="0"/>
    <x v="57"/>
    <x v="0"/>
    <n v="0"/>
    <n v="528000"/>
    <n v="0"/>
    <n v="528000"/>
    <n v="64.046579330422091"/>
    <n v="14000"/>
    <n v="59"/>
    <x v="6193"/>
    <x v="4"/>
    <x v="4"/>
    <x v="0"/>
  </r>
  <r>
    <x v="567"/>
    <s v="ZTAN"/>
    <x v="8"/>
    <s v="HLBX77"/>
    <s v="16093509K"/>
    <s v="PUDAHUEL"/>
    <x v="4899"/>
    <x v="1"/>
    <x v="1"/>
    <x v="10"/>
    <x v="1"/>
    <n v="1"/>
    <n v="107859"/>
    <n v="0"/>
    <n v="107859"/>
    <n v="11.000048953017341"/>
    <n v="5000"/>
    <n v="100"/>
    <x v="6194"/>
    <x v="4"/>
    <x v="4"/>
    <x v="1"/>
  </r>
  <r>
    <x v="568"/>
    <s v="ZPEP"/>
    <x v="63"/>
    <s v="CJJK10"/>
    <s v="135416678"/>
    <s v="TALCAHUANO"/>
    <x v="4900"/>
    <x v="0"/>
    <x v="0"/>
    <x v="0"/>
    <x v="0"/>
    <n v="0"/>
    <n v="506000"/>
    <n v="0"/>
    <n v="506000"/>
    <n v="123.56532356532357"/>
    <n v="14000"/>
    <n v="29"/>
    <x v="6195"/>
    <x v="4"/>
    <x v="4"/>
    <x v="0"/>
  </r>
  <r>
    <x v="568"/>
    <s v="ZPEP"/>
    <x v="63"/>
    <s v="DRFV76"/>
    <s v="113693568"/>
    <s v="TALCAHUANO"/>
    <x v="4901"/>
    <x v="0"/>
    <x v="0"/>
    <x v="0"/>
    <x v="0"/>
    <n v="0"/>
    <n v="506000"/>
    <n v="0"/>
    <n v="506000"/>
    <n v="55.604395604395606"/>
    <n v="14000"/>
    <n v="65"/>
    <x v="6196"/>
    <x v="4"/>
    <x v="4"/>
    <x v="0"/>
  </r>
  <r>
    <x v="568"/>
    <s v="ZPEP"/>
    <x v="5"/>
    <s v="BPKD94"/>
    <s v="125897258"/>
    <s v="COQUIMBO"/>
    <x v="4902"/>
    <x v="0"/>
    <x v="0"/>
    <x v="42"/>
    <x v="8"/>
    <n v="0"/>
    <n v="800000"/>
    <n v="0"/>
    <n v="800000"/>
    <n v="98.998751378248244"/>
    <n v="14000"/>
    <n v="58"/>
    <x v="6197"/>
    <x v="4"/>
    <x v="4"/>
    <x v="0"/>
  </r>
  <r>
    <x v="568"/>
    <s v="ZTAN"/>
    <x v="7"/>
    <s v="SU9354"/>
    <s v="72564391"/>
    <s v="RENCA"/>
    <x v="4903"/>
    <x v="2"/>
    <x v="1"/>
    <x v="7"/>
    <x v="1"/>
    <n v="1"/>
    <n v="68502"/>
    <n v="0"/>
    <n v="68502"/>
    <n v="10.999919710959453"/>
    <n v="5000"/>
    <n v="100"/>
    <x v="6198"/>
    <x v="4"/>
    <x v="4"/>
    <x v="1"/>
  </r>
  <r>
    <x v="568"/>
    <s v="ZTAN"/>
    <x v="7"/>
    <s v="WG4022"/>
    <s v="154837728"/>
    <s v="RENCA"/>
    <x v="4904"/>
    <x v="1"/>
    <x v="0"/>
    <x v="7"/>
    <x v="1"/>
    <n v="1"/>
    <n v="144223"/>
    <n v="0"/>
    <n v="144223"/>
    <n v="11.000001525415714"/>
    <n v="5000"/>
    <n v="100"/>
    <x v="6199"/>
    <x v="4"/>
    <x v="4"/>
    <x v="1"/>
  </r>
  <r>
    <x v="568"/>
    <s v="ZTAN"/>
    <x v="8"/>
    <s v="DJLF85"/>
    <s v="53173292"/>
    <s v="LA FLORIDA"/>
    <x v="4905"/>
    <x v="4"/>
    <x v="1"/>
    <x v="33"/>
    <x v="1"/>
    <n v="3"/>
    <n v="69173"/>
    <n v="0"/>
    <n v="69173"/>
    <n v="24.182981401202628"/>
    <n v="5000"/>
    <n v="57"/>
    <x v="6200"/>
    <x v="4"/>
    <x v="4"/>
    <x v="1"/>
  </r>
  <r>
    <x v="568"/>
    <s v="ZTAN"/>
    <x v="8"/>
    <s v="RK5135"/>
    <s v="138841065"/>
    <s v="LA REINA"/>
    <x v="4906"/>
    <x v="3"/>
    <x v="1"/>
    <x v="11"/>
    <x v="1"/>
    <n v="3"/>
    <n v="69173"/>
    <n v="0"/>
    <n v="69173"/>
    <n v="27.750230673566818"/>
    <n v="5000"/>
    <n v="50"/>
    <x v="6201"/>
    <x v="4"/>
    <x v="4"/>
    <x v="1"/>
  </r>
  <r>
    <x v="568"/>
    <s v="ZTAN"/>
    <x v="8"/>
    <s v="SV2718"/>
    <s v="16093509K"/>
    <s v="CERRILLOS"/>
    <x v="4907"/>
    <x v="1"/>
    <x v="1"/>
    <x v="9"/>
    <x v="1"/>
    <n v="2"/>
    <n v="69173"/>
    <n v="0"/>
    <n v="69173"/>
    <n v="26.114154337509959"/>
    <n v="5000"/>
    <n v="53"/>
    <x v="6202"/>
    <x v="4"/>
    <x v="4"/>
    <x v="1"/>
  </r>
  <r>
    <x v="568"/>
    <s v="ZTAN"/>
    <x v="8"/>
    <s v="XR6339"/>
    <s v="78907355"/>
    <s v="LAS CONDES"/>
    <x v="4908"/>
    <x v="1"/>
    <x v="1"/>
    <x v="3"/>
    <x v="1"/>
    <n v="4"/>
    <n v="69173"/>
    <n v="0"/>
    <n v="69173"/>
    <n v="27.800417972831767"/>
    <n v="5000"/>
    <n v="50"/>
    <x v="6203"/>
    <x v="4"/>
    <x v="4"/>
    <x v="1"/>
  </r>
  <r>
    <x v="569"/>
    <s v="ZTAN"/>
    <x v="10"/>
    <s v="HLBX77"/>
    <s v="16093509K"/>
    <s v="ÑUÑOA"/>
    <x v="4909"/>
    <x v="1"/>
    <x v="1"/>
    <x v="15"/>
    <x v="1"/>
    <n v="4"/>
    <n v="69173"/>
    <n v="0"/>
    <n v="69173"/>
    <n v="18.559569421638386"/>
    <n v="5000"/>
    <n v="75"/>
    <x v="6204"/>
    <x v="4"/>
    <x v="4"/>
    <x v="1"/>
  </r>
  <r>
    <x v="569"/>
    <s v="ZTAN"/>
    <x v="10"/>
    <s v="KKPF51"/>
    <s v="95707734"/>
    <s v="QUILICURA"/>
    <x v="4910"/>
    <x v="8"/>
    <x v="0"/>
    <x v="8"/>
    <x v="1"/>
    <n v="1"/>
    <n v="120076"/>
    <n v="0"/>
    <n v="120076"/>
    <n v="9.6702673666730288"/>
    <n v="5000"/>
    <n v="100"/>
    <x v="6205"/>
    <x v="4"/>
    <x v="4"/>
    <x v="1"/>
  </r>
  <r>
    <x v="569"/>
    <s v="ZTAN"/>
    <x v="70"/>
    <s v="SU9354"/>
    <s v="72564391"/>
    <s v="SAN FELIPE"/>
    <x v="4911"/>
    <x v="2"/>
    <x v="1"/>
    <x v="35"/>
    <x v="2"/>
    <n v="0"/>
    <n v="227000"/>
    <n v="0"/>
    <n v="227000"/>
    <n v="53.100905756418889"/>
    <n v="14000"/>
    <n v="31"/>
    <x v="6206"/>
    <x v="4"/>
    <x v="4"/>
    <x v="0"/>
  </r>
  <r>
    <x v="569"/>
    <s v="ZTAN"/>
    <x v="7"/>
    <s v="DJLF85"/>
    <s v="125108660"/>
    <s v="SAN MIGUEL"/>
    <x v="4912"/>
    <x v="4"/>
    <x v="1"/>
    <x v="23"/>
    <x v="1"/>
    <n v="2"/>
    <n v="71392"/>
    <n v="0"/>
    <n v="71392"/>
    <n v="10.999952235752001"/>
    <n v="5000"/>
    <n v="100"/>
    <x v="6207"/>
    <x v="4"/>
    <x v="4"/>
    <x v="1"/>
  </r>
  <r>
    <x v="569"/>
    <s v="ZTAN"/>
    <x v="7"/>
    <s v="XR6339"/>
    <s v="78907355"/>
    <s v="SANTIAGO"/>
    <x v="4913"/>
    <x v="1"/>
    <x v="1"/>
    <x v="20"/>
    <x v="1"/>
    <n v="1"/>
    <n v="69173"/>
    <n v="0"/>
    <n v="69173"/>
    <n v="37.059479036077448"/>
    <n v="5000"/>
    <n v="37"/>
    <x v="6208"/>
    <x v="4"/>
    <x v="4"/>
    <x v="1"/>
  </r>
  <r>
    <x v="569"/>
    <s v="ZTAN"/>
    <x v="8"/>
    <s v="DRFV76"/>
    <s v="113693568"/>
    <s v="VILLARRICA"/>
    <x v="4914"/>
    <x v="0"/>
    <x v="0"/>
    <x v="88"/>
    <x v="4"/>
    <n v="0"/>
    <n v="943000"/>
    <n v="0"/>
    <n v="943000"/>
    <n v="113.07822182997258"/>
    <n v="14000"/>
    <n v="60"/>
    <x v="6209"/>
    <x v="4"/>
    <x v="4"/>
    <x v="0"/>
  </r>
  <r>
    <x v="569"/>
    <s v="ZTAN"/>
    <x v="8"/>
    <s v="SV2718"/>
    <s v="78907355"/>
    <s v="ÑUÑOA"/>
    <x v="4915"/>
    <x v="1"/>
    <x v="1"/>
    <x v="15"/>
    <x v="1"/>
    <n v="4"/>
    <n v="69173"/>
    <n v="0"/>
    <n v="69173"/>
    <n v="22.351146912754498"/>
    <n v="5000"/>
    <n v="62"/>
    <x v="6210"/>
    <x v="4"/>
    <x v="4"/>
    <x v="1"/>
  </r>
  <r>
    <x v="570"/>
    <s v="ZPEP"/>
    <x v="5"/>
    <s v="BPKD94"/>
    <s v="125897258"/>
    <s v="COQUIMBO"/>
    <x v="4916"/>
    <x v="0"/>
    <x v="0"/>
    <x v="42"/>
    <x v="8"/>
    <n v="0"/>
    <n v="800000"/>
    <n v="0"/>
    <n v="800000"/>
    <n v="60.181779063661793"/>
    <n v="14000"/>
    <n v="95"/>
    <x v="6211"/>
    <x v="4"/>
    <x v="4"/>
    <x v="0"/>
  </r>
  <r>
    <x v="570"/>
    <s v="ZPEP"/>
    <x v="5"/>
    <s v="HLBX77"/>
    <s v="16093509K"/>
    <s v="COLINA"/>
    <x v="4917"/>
    <x v="1"/>
    <x v="1"/>
    <x v="5"/>
    <x v="1"/>
    <n v="5"/>
    <n v="87500"/>
    <n v="0"/>
    <n v="87500"/>
    <n v="22.493862388976723"/>
    <n v="10000"/>
    <n v="39"/>
    <x v="6212"/>
    <x v="4"/>
    <x v="4"/>
    <x v="1"/>
  </r>
  <r>
    <x v="570"/>
    <s v="ZTAN"/>
    <x v="5"/>
    <s v="HLBX77"/>
    <s v="16093509K"/>
    <s v="COLINA"/>
    <x v="4918"/>
    <x v="1"/>
    <x v="1"/>
    <x v="5"/>
    <x v="1"/>
    <n v="5"/>
    <n v="87500"/>
    <n v="0"/>
    <n v="87500"/>
    <n v="23.741690408357076"/>
    <n v="10000"/>
    <n v="37"/>
    <x v="6213"/>
    <x v="4"/>
    <x v="4"/>
    <x v="1"/>
  </r>
  <r>
    <x v="570"/>
    <s v="ZTAN"/>
    <x v="10"/>
    <s v="DJLF85"/>
    <s v="125108660"/>
    <s v="SANTIAGO"/>
    <x v="4919"/>
    <x v="4"/>
    <x v="1"/>
    <x v="20"/>
    <x v="1"/>
    <n v="1"/>
    <n v="64218"/>
    <n v="0"/>
    <n v="64218"/>
    <n v="10.999999999999998"/>
    <n v="5000"/>
    <n v="100"/>
    <x v="6214"/>
    <x v="4"/>
    <x v="4"/>
    <x v="1"/>
  </r>
  <r>
    <x v="570"/>
    <s v="ZTAN"/>
    <x v="7"/>
    <s v="DKDL88"/>
    <s v="122975819"/>
    <s v="CORONEL"/>
    <x v="4920"/>
    <x v="0"/>
    <x v="0"/>
    <x v="16"/>
    <x v="0"/>
    <n v="0"/>
    <n v="528000"/>
    <n v="0"/>
    <n v="528000"/>
    <n v="75.718464980209916"/>
    <n v="14000"/>
    <n v="50"/>
    <x v="6215"/>
    <x v="4"/>
    <x v="4"/>
    <x v="0"/>
  </r>
  <r>
    <x v="570"/>
    <s v="ZTAN"/>
    <x v="7"/>
    <s v="GDFG14"/>
    <s v="133069453"/>
    <s v="CORONEL"/>
    <x v="4921"/>
    <x v="5"/>
    <x v="0"/>
    <x v="16"/>
    <x v="0"/>
    <n v="0"/>
    <n v="528000"/>
    <n v="0"/>
    <n v="528000"/>
    <n v="33.320564657356663"/>
    <n v="14000"/>
    <n v="100"/>
    <x v="6216"/>
    <x v="4"/>
    <x v="4"/>
    <x v="0"/>
  </r>
  <r>
    <x v="570"/>
    <s v="ZTAN"/>
    <x v="7"/>
    <s v="XR6339"/>
    <s v="78907355"/>
    <s v="SANTIAGO"/>
    <x v="4761"/>
    <x v="1"/>
    <x v="1"/>
    <x v="20"/>
    <x v="1"/>
    <n v="1"/>
    <n v="75387"/>
    <n v="0"/>
    <n v="75387"/>
    <n v="10.999941634809002"/>
    <n v="5000"/>
    <n v="100"/>
    <x v="6217"/>
    <x v="4"/>
    <x v="4"/>
    <x v="1"/>
  </r>
  <r>
    <x v="570"/>
    <s v="ZTAN"/>
    <x v="8"/>
    <s v="BDHB75"/>
    <s v="98494073"/>
    <s v="VALDIVIA"/>
    <x v="4922"/>
    <x v="0"/>
    <x v="0"/>
    <x v="77"/>
    <x v="11"/>
    <n v="0"/>
    <n v="943000"/>
    <n v="0"/>
    <n v="943000"/>
    <n v="95.617416768232715"/>
    <n v="14000"/>
    <n v="70"/>
    <x v="6218"/>
    <x v="4"/>
    <x v="4"/>
    <x v="0"/>
  </r>
  <r>
    <x v="570"/>
    <s v="ZTAN"/>
    <x v="8"/>
    <s v="HLBX77"/>
    <s v="16093509K"/>
    <s v="PUDAHUEL"/>
    <x v="4923"/>
    <x v="1"/>
    <x v="1"/>
    <x v="10"/>
    <x v="1"/>
    <n v="1"/>
    <n v="69173"/>
    <n v="0"/>
    <n v="69173"/>
    <n v="21.541637990364762"/>
    <n v="5000"/>
    <n v="64"/>
    <x v="6219"/>
    <x v="4"/>
    <x v="4"/>
    <x v="1"/>
  </r>
  <r>
    <x v="570"/>
    <s v="ZTAN"/>
    <x v="8"/>
    <s v="SV2718"/>
    <s v="78907355"/>
    <s v="ÑUÑOA"/>
    <x v="4924"/>
    <x v="1"/>
    <x v="1"/>
    <x v="15"/>
    <x v="1"/>
    <n v="4"/>
    <n v="69173"/>
    <n v="0"/>
    <n v="69173"/>
    <n v="27.145402316893232"/>
    <n v="5000"/>
    <n v="51"/>
    <x v="6220"/>
    <x v="4"/>
    <x v="4"/>
    <x v="1"/>
  </r>
  <r>
    <x v="571"/>
    <s v="ZPEP"/>
    <x v="120"/>
    <s v="SU9354"/>
    <s v="72564391"/>
    <s v="SAN BERNARDO"/>
    <x v="4925"/>
    <x v="2"/>
    <x v="1"/>
    <x v="4"/>
    <x v="1"/>
    <n v="4"/>
    <n v="99681"/>
    <n v="0"/>
    <n v="99681"/>
    <n v="10.999962480440169"/>
    <n v="5000"/>
    <n v="100"/>
    <x v="6221"/>
    <x v="4"/>
    <x v="4"/>
    <x v="1"/>
  </r>
  <r>
    <x v="571"/>
    <s v="ZTAN"/>
    <x v="13"/>
    <s v="SV2718"/>
    <s v="81417709"/>
    <s v="SANTIAGO"/>
    <x v="4518"/>
    <x v="1"/>
    <x v="1"/>
    <x v="20"/>
    <x v="1"/>
    <n v="1"/>
    <n v="69173"/>
    <n v="0"/>
    <n v="69173"/>
    <n v="35.473333333333336"/>
    <n v="5000"/>
    <n v="39"/>
    <x v="6222"/>
    <x v="4"/>
    <x v="4"/>
    <x v="1"/>
  </r>
  <r>
    <x v="571"/>
    <s v="ZTAN"/>
    <x v="7"/>
    <s v="XR6339"/>
    <s v="78907355"/>
    <s v="MELIPILLA"/>
    <x v="4926"/>
    <x v="1"/>
    <x v="1"/>
    <x v="29"/>
    <x v="1"/>
    <n v="5"/>
    <n v="112500"/>
    <n v="0"/>
    <n v="112500"/>
    <n v="14.724745425512422"/>
    <n v="10000"/>
    <n v="76"/>
    <x v="6223"/>
    <x v="4"/>
    <x v="4"/>
    <x v="1"/>
  </r>
  <r>
    <x v="571"/>
    <s v="ZTAN"/>
    <x v="8"/>
    <s v="SV2718"/>
    <s v="154837728"/>
    <s v="MAIPU"/>
    <x v="4927"/>
    <x v="1"/>
    <x v="1"/>
    <x v="2"/>
    <x v="1"/>
    <n v="2"/>
    <n v="69173"/>
    <n v="0"/>
    <n v="69173"/>
    <n v="23.70586400819748"/>
    <n v="5000"/>
    <n v="58"/>
    <x v="6224"/>
    <x v="4"/>
    <x v="4"/>
    <x v="1"/>
  </r>
  <r>
    <x v="571"/>
    <s v="ZTAN"/>
    <x v="121"/>
    <s v="KKPF51"/>
    <s v="95707734"/>
    <s v="SANTIAGO"/>
    <x v="4928"/>
    <x v="8"/>
    <x v="0"/>
    <x v="20"/>
    <x v="1"/>
    <n v="1"/>
    <n v="307703"/>
    <n v="0"/>
    <n v="307703"/>
    <n v="11"/>
    <n v="5000"/>
    <n v="100"/>
    <x v="6225"/>
    <x v="4"/>
    <x v="4"/>
    <x v="1"/>
  </r>
  <r>
    <x v="572"/>
    <s v="ZPEP"/>
    <x v="5"/>
    <s v="BPKD94"/>
    <s v="165897258"/>
    <s v="COQUIMBO"/>
    <x v="4929"/>
    <x v="0"/>
    <x v="0"/>
    <x v="42"/>
    <x v="8"/>
    <n v="0"/>
    <n v="800000"/>
    <n v="0"/>
    <n v="800000"/>
    <n v="108.3922716310327"/>
    <n v="14000"/>
    <n v="53"/>
    <x v="6226"/>
    <x v="4"/>
    <x v="4"/>
    <x v="0"/>
  </r>
  <r>
    <x v="572"/>
    <s v="ZPEP"/>
    <x v="5"/>
    <s v="DJLF85"/>
    <s v="125108660"/>
    <s v="COLINA"/>
    <x v="4930"/>
    <x v="4"/>
    <x v="1"/>
    <x v="5"/>
    <x v="1"/>
    <n v="5"/>
    <n v="87500"/>
    <n v="0"/>
    <n v="87500"/>
    <n v="19.79566350539347"/>
    <n v="10000"/>
    <n v="44"/>
    <x v="6227"/>
    <x v="4"/>
    <x v="4"/>
    <x v="1"/>
  </r>
  <r>
    <x v="572"/>
    <s v="ZTAN"/>
    <x v="123"/>
    <s v="XR6339"/>
    <s v="78907355"/>
    <s v="SANTIAGO"/>
    <x v="4931"/>
    <x v="1"/>
    <x v="1"/>
    <x v="20"/>
    <x v="1"/>
    <n v="1"/>
    <n v="69173"/>
    <n v="0"/>
    <n v="69173"/>
    <n v="40.088669950738918"/>
    <n v="5000"/>
    <n v="35"/>
    <x v="6228"/>
    <x v="4"/>
    <x v="4"/>
    <x v="1"/>
  </r>
  <r>
    <x v="572"/>
    <s v="ZTAN"/>
    <x v="7"/>
    <s v="GDFG14"/>
    <s v="133069453"/>
    <s v="CORONEL"/>
    <x v="4932"/>
    <x v="5"/>
    <x v="0"/>
    <x v="16"/>
    <x v="0"/>
    <n v="0"/>
    <n v="528000"/>
    <n v="0"/>
    <n v="528000"/>
    <n v="23.835836096123415"/>
    <n v="14000"/>
    <n v="100"/>
    <x v="6229"/>
    <x v="4"/>
    <x v="4"/>
    <x v="0"/>
  </r>
  <r>
    <x v="572"/>
    <s v="ZTAN"/>
    <x v="8"/>
    <s v="DRFV76"/>
    <s v="113693568"/>
    <s v="CONCEPCION"/>
    <x v="4933"/>
    <x v="0"/>
    <x v="0"/>
    <x v="81"/>
    <x v="0"/>
    <n v="0"/>
    <n v="478000"/>
    <n v="0"/>
    <n v="478000"/>
    <n v="34.879003423687948"/>
    <n v="14000"/>
    <n v="100"/>
    <x v="6230"/>
    <x v="4"/>
    <x v="4"/>
    <x v="0"/>
  </r>
  <r>
    <x v="572"/>
    <s v="ZTAN"/>
    <x v="8"/>
    <s v="HLBX77"/>
    <s v="16093509K"/>
    <s v="PUDAHUEL"/>
    <x v="4934"/>
    <x v="1"/>
    <x v="1"/>
    <x v="10"/>
    <x v="1"/>
    <n v="1"/>
    <n v="90296"/>
    <n v="0"/>
    <n v="90296"/>
    <n v="11.000009745733804"/>
    <n v="5000"/>
    <n v="100"/>
    <x v="6231"/>
    <x v="4"/>
    <x v="4"/>
    <x v="1"/>
  </r>
  <r>
    <x v="573"/>
    <s v="ZPEP"/>
    <x v="5"/>
    <s v="XR6339"/>
    <s v="78907355"/>
    <s v="COLINA"/>
    <x v="4935"/>
    <x v="1"/>
    <x v="1"/>
    <x v="5"/>
    <x v="1"/>
    <n v="5"/>
    <n v="87500"/>
    <n v="0"/>
    <n v="87500"/>
    <n v="26.404333328303938"/>
    <n v="10000"/>
    <n v="33"/>
    <x v="6232"/>
    <x v="4"/>
    <x v="4"/>
    <x v="1"/>
  </r>
  <r>
    <x v="573"/>
    <s v="ZTAN"/>
    <x v="10"/>
    <s v="WT7728"/>
    <s v="129166568"/>
    <s v="TALCAHUANO"/>
    <x v="4936"/>
    <x v="0"/>
    <x v="0"/>
    <x v="0"/>
    <x v="0"/>
    <n v="0"/>
    <n v="506000"/>
    <n v="0"/>
    <n v="506000"/>
    <n v="59.952464567619494"/>
    <n v="14000"/>
    <n v="60"/>
    <x v="6233"/>
    <x v="4"/>
    <x v="4"/>
    <x v="0"/>
  </r>
  <r>
    <x v="573"/>
    <s v="ZTAN"/>
    <x v="24"/>
    <s v="KKPF51"/>
    <s v="95707734"/>
    <s v="MACHALI"/>
    <x v="4937"/>
    <x v="8"/>
    <x v="0"/>
    <x v="43"/>
    <x v="6"/>
    <n v="0"/>
    <n v="250000"/>
    <n v="0"/>
    <n v="250000"/>
    <n v="20.503870310559805"/>
    <n v="14000"/>
    <n v="87"/>
    <x v="6234"/>
    <x v="4"/>
    <x v="4"/>
    <x v="0"/>
  </r>
  <r>
    <x v="573"/>
    <s v="ZTAN"/>
    <x v="7"/>
    <s v="WG4022"/>
    <s v="154837728"/>
    <s v="RENCA"/>
    <x v="4938"/>
    <x v="1"/>
    <x v="0"/>
    <x v="7"/>
    <x v="1"/>
    <n v="1"/>
    <n v="246594"/>
    <n v="0"/>
    <n v="246594"/>
    <n v="11.000017843123265"/>
    <n v="5000"/>
    <n v="100"/>
    <x v="6235"/>
    <x v="4"/>
    <x v="4"/>
    <x v="1"/>
  </r>
  <r>
    <x v="573"/>
    <s v="ZTAN"/>
    <x v="7"/>
    <s v="XR6339"/>
    <s v="78907355"/>
    <s v="RENCA"/>
    <x v="4939"/>
    <x v="1"/>
    <x v="1"/>
    <x v="7"/>
    <x v="1"/>
    <n v="1"/>
    <n v="112227"/>
    <n v="0"/>
    <n v="112227"/>
    <n v="11.000048027867926"/>
    <n v="5000"/>
    <n v="100"/>
    <x v="6236"/>
    <x v="4"/>
    <x v="4"/>
    <x v="1"/>
  </r>
  <r>
    <x v="573"/>
    <s v="ZTAN"/>
    <x v="8"/>
    <s v="HLBX77"/>
    <s v="16093509K"/>
    <s v="REÑACA"/>
    <x v="4940"/>
    <x v="1"/>
    <x v="1"/>
    <x v="6"/>
    <x v="2"/>
    <n v="0"/>
    <n v="227000"/>
    <n v="0"/>
    <n v="227000"/>
    <n v="55.103774729942955"/>
    <n v="14000"/>
    <n v="29"/>
    <x v="6237"/>
    <x v="4"/>
    <x v="4"/>
    <x v="0"/>
  </r>
  <r>
    <x v="573"/>
    <s v="ZTAN"/>
    <x v="8"/>
    <s v="SV2718"/>
    <s v="81417709"/>
    <s v="LA REINA"/>
    <x v="4941"/>
    <x v="1"/>
    <x v="1"/>
    <x v="11"/>
    <x v="1"/>
    <n v="3"/>
    <n v="69173"/>
    <n v="0"/>
    <n v="69173"/>
    <n v="26.525016872200748"/>
    <n v="5000"/>
    <n v="52"/>
    <x v="6238"/>
    <x v="4"/>
    <x v="4"/>
    <x v="1"/>
  </r>
  <r>
    <x v="574"/>
    <s v="ZPEP"/>
    <x v="5"/>
    <s v="BPKD94"/>
    <s v="125897258"/>
    <s v="COQUIMBO"/>
    <x v="4942"/>
    <x v="0"/>
    <x v="0"/>
    <x v="42"/>
    <x v="8"/>
    <n v="0"/>
    <n v="800000"/>
    <n v="0"/>
    <n v="800000"/>
    <n v="94.422799329126008"/>
    <n v="14000"/>
    <n v="61"/>
    <x v="6239"/>
    <x v="4"/>
    <x v="4"/>
    <x v="0"/>
  </r>
  <r>
    <x v="574"/>
    <s v="ZPEP"/>
    <x v="5"/>
    <s v="DJLF85"/>
    <s v="53173292"/>
    <s v="COLINA"/>
    <x v="4943"/>
    <x v="4"/>
    <x v="1"/>
    <x v="5"/>
    <x v="1"/>
    <n v="5"/>
    <n v="87500"/>
    <n v="0"/>
    <n v="87500"/>
    <n v="8.6424959923511437"/>
    <n v="10000"/>
    <n v="100"/>
    <x v="6240"/>
    <x v="4"/>
    <x v="4"/>
    <x v="1"/>
  </r>
  <r>
    <x v="574"/>
    <s v="ZTAN"/>
    <x v="10"/>
    <s v="HLBX77"/>
    <s v="16093509K"/>
    <s v="PROVIDENCIA"/>
    <x v="1304"/>
    <x v="1"/>
    <x v="1"/>
    <x v="54"/>
    <x v="1"/>
    <n v="2"/>
    <n v="88088"/>
    <n v="0"/>
    <n v="88088"/>
    <n v="10.999999999999998"/>
    <n v="5000"/>
    <n v="100"/>
    <x v="6241"/>
    <x v="4"/>
    <x v="4"/>
    <x v="1"/>
  </r>
  <r>
    <x v="574"/>
    <s v="ZTAN"/>
    <x v="10"/>
    <s v="KKPF51"/>
    <s v="95707734"/>
    <s v="QUILICURA"/>
    <x v="4944"/>
    <x v="8"/>
    <x v="0"/>
    <x v="8"/>
    <x v="1"/>
    <n v="1"/>
    <n v="118325"/>
    <n v="0"/>
    <n v="118325"/>
    <n v="10.999967462593602"/>
    <n v="5000"/>
    <n v="100"/>
    <x v="6242"/>
    <x v="4"/>
    <x v="4"/>
    <x v="1"/>
  </r>
  <r>
    <x v="574"/>
    <s v="ZTAN"/>
    <x v="6"/>
    <s v="SV2718"/>
    <s v="154837728"/>
    <s v="CERRILLOS"/>
    <x v="4945"/>
    <x v="1"/>
    <x v="1"/>
    <x v="9"/>
    <x v="1"/>
    <n v="2"/>
    <n v="69173"/>
    <n v="0"/>
    <n v="69173"/>
    <n v="18.986879666227495"/>
    <n v="5000"/>
    <n v="73"/>
    <x v="6243"/>
    <x v="4"/>
    <x v="4"/>
    <x v="1"/>
  </r>
  <r>
    <x v="574"/>
    <s v="ZTAN"/>
    <x v="6"/>
    <s v="XR6339"/>
    <s v="78907355"/>
    <s v="LA FLORIDA"/>
    <x v="4946"/>
    <x v="1"/>
    <x v="1"/>
    <x v="33"/>
    <x v="1"/>
    <n v="3"/>
    <n v="69173"/>
    <n v="0"/>
    <n v="69173"/>
    <n v="17.972614840989394"/>
    <n v="5000"/>
    <n v="77"/>
    <x v="6244"/>
    <x v="4"/>
    <x v="4"/>
    <x v="1"/>
  </r>
  <r>
    <x v="574"/>
    <s v="ZTAN"/>
    <x v="7"/>
    <s v="GHLW16"/>
    <s v="180683275"/>
    <s v="CORONEL"/>
    <x v="4947"/>
    <x v="0"/>
    <x v="0"/>
    <x v="16"/>
    <x v="0"/>
    <n v="0"/>
    <n v="528000"/>
    <n v="0"/>
    <n v="528000"/>
    <n v="29.857835985478236"/>
    <n v="14000"/>
    <n v="100"/>
    <x v="6245"/>
    <x v="4"/>
    <x v="4"/>
    <x v="0"/>
  </r>
  <r>
    <x v="574"/>
    <s v="ZTAN"/>
    <x v="7"/>
    <s v="NK5991"/>
    <s v="78778555"/>
    <s v="CORONEL"/>
    <x v="4948"/>
    <x v="0"/>
    <x v="0"/>
    <x v="16"/>
    <x v="0"/>
    <n v="0"/>
    <n v="528000"/>
    <n v="0"/>
    <n v="528000"/>
    <n v="34.702596122247805"/>
    <n v="14000"/>
    <n v="100"/>
    <x v="6246"/>
    <x v="4"/>
    <x v="4"/>
    <x v="0"/>
  </r>
  <r>
    <x v="574"/>
    <s v="ZTAN"/>
    <x v="124"/>
    <s v="WG4022"/>
    <s v="81417709"/>
    <s v="SANTIAGO"/>
    <x v="4949"/>
    <x v="1"/>
    <x v="0"/>
    <x v="20"/>
    <x v="1"/>
    <n v="1"/>
    <n v="69173"/>
    <n v="0"/>
    <n v="69173"/>
    <n v="16.838607594936708"/>
    <n v="5000"/>
    <n v="82"/>
    <x v="6247"/>
    <x v="4"/>
    <x v="4"/>
    <x v="1"/>
  </r>
  <r>
    <x v="575"/>
    <s v="ZPEP"/>
    <x v="5"/>
    <s v="DJLF85"/>
    <s v="125108660"/>
    <s v="COLINA"/>
    <x v="4950"/>
    <x v="4"/>
    <x v="1"/>
    <x v="5"/>
    <x v="1"/>
    <n v="5"/>
    <n v="87500"/>
    <n v="0"/>
    <n v="87500"/>
    <n v="12.990734265993822"/>
    <n v="10000"/>
    <n v="67"/>
    <x v="6248"/>
    <x v="4"/>
    <x v="4"/>
    <x v="1"/>
  </r>
  <r>
    <x v="575"/>
    <s v="ZTAN"/>
    <x v="10"/>
    <s v="KKPF51"/>
    <s v="95707734"/>
    <s v="SANTIAGO"/>
    <x v="4951"/>
    <x v="8"/>
    <x v="0"/>
    <x v="20"/>
    <x v="1"/>
    <n v="1"/>
    <n v="192005"/>
    <n v="0"/>
    <n v="192005"/>
    <n v="11.00002520773465"/>
    <n v="5000"/>
    <n v="100"/>
    <x v="6249"/>
    <x v="4"/>
    <x v="4"/>
    <x v="1"/>
  </r>
  <r>
    <x v="575"/>
    <s v="ZTAN"/>
    <x v="10"/>
    <s v="UK7193"/>
    <s v="81417709"/>
    <s v="SANTIAGO"/>
    <x v="4952"/>
    <x v="1"/>
    <x v="0"/>
    <x v="20"/>
    <x v="1"/>
    <n v="1"/>
    <n v="94736"/>
    <n v="0"/>
    <n v="94736"/>
    <n v="10.999953555338813"/>
    <n v="5000"/>
    <n v="100"/>
    <x v="6250"/>
    <x v="4"/>
    <x v="4"/>
    <x v="1"/>
  </r>
  <r>
    <x v="575"/>
    <s v="ZTAN"/>
    <x v="6"/>
    <s v="DJLF85"/>
    <s v="53173292"/>
    <s v="LOS ANDES"/>
    <x v="4953"/>
    <x v="4"/>
    <x v="1"/>
    <x v="38"/>
    <x v="2"/>
    <n v="0"/>
    <n v="227000"/>
    <n v="0"/>
    <n v="227000"/>
    <n v="43.656700630425838"/>
    <n v="14000"/>
    <n v="37"/>
    <x v="6251"/>
    <x v="4"/>
    <x v="4"/>
    <x v="0"/>
  </r>
  <r>
    <x v="575"/>
    <s v="ZTAN"/>
    <x v="6"/>
    <s v="DRFV76"/>
    <s v="113693568"/>
    <s v="OSORNO"/>
    <x v="4954"/>
    <x v="0"/>
    <x v="0"/>
    <x v="64"/>
    <x v="10"/>
    <n v="0"/>
    <n v="1131000"/>
    <n v="0"/>
    <n v="1131000"/>
    <n v="195.43129665468612"/>
    <n v="14000"/>
    <n v="41"/>
    <x v="6252"/>
    <x v="4"/>
    <x v="4"/>
    <x v="0"/>
  </r>
  <r>
    <x v="575"/>
    <s v="ZTAN"/>
    <x v="6"/>
    <s v="KXTC79"/>
    <s v="177846392"/>
    <s v="COPIAPO"/>
    <x v="4955"/>
    <x v="0"/>
    <x v="0"/>
    <x v="60"/>
    <x v="9"/>
    <n v="0"/>
    <n v="1132000"/>
    <n v="0"/>
    <n v="1132000"/>
    <n v="116.4268876171983"/>
    <n v="14000"/>
    <n v="69"/>
    <x v="6253"/>
    <x v="4"/>
    <x v="4"/>
    <x v="0"/>
  </r>
  <r>
    <x v="575"/>
    <s v="ZTAN"/>
    <x v="6"/>
    <s v="ZJ6833"/>
    <s v="334895416"/>
    <s v="LA SERENA"/>
    <x v="4956"/>
    <x v="0"/>
    <x v="0"/>
    <x v="63"/>
    <x v="8"/>
    <n v="0"/>
    <n v="754000"/>
    <n v="0"/>
    <n v="754000"/>
    <n v="87.57991376746952"/>
    <n v="14000"/>
    <n v="61"/>
    <x v="6254"/>
    <x v="4"/>
    <x v="4"/>
    <x v="0"/>
  </r>
  <r>
    <x v="575"/>
    <s v="ZTAN"/>
    <x v="7"/>
    <s v="HLBX77"/>
    <s v="16093509K"/>
    <s v="RENCA"/>
    <x v="4957"/>
    <x v="1"/>
    <x v="1"/>
    <x v="7"/>
    <x v="1"/>
    <n v="1"/>
    <n v="137234"/>
    <n v="0"/>
    <n v="137234"/>
    <n v="11.000016031036086"/>
    <n v="5000"/>
    <n v="100"/>
    <x v="6255"/>
    <x v="4"/>
    <x v="4"/>
    <x v="1"/>
  </r>
  <r>
    <x v="575"/>
    <s v="ZTAN"/>
    <x v="7"/>
    <s v="WG4022"/>
    <s v="154837728"/>
    <s v="RENCA"/>
    <x v="4958"/>
    <x v="1"/>
    <x v="0"/>
    <x v="7"/>
    <x v="1"/>
    <n v="1"/>
    <n v="204090"/>
    <n v="0"/>
    <n v="204090"/>
    <n v="10.999991915337413"/>
    <n v="5000"/>
    <n v="100"/>
    <x v="6256"/>
    <x v="4"/>
    <x v="4"/>
    <x v="1"/>
  </r>
  <r>
    <x v="575"/>
    <s v="ZTAN"/>
    <x v="8"/>
    <s v="HLBX77"/>
    <s v="16093509K"/>
    <s v="PUDAHUEL"/>
    <x v="4959"/>
    <x v="1"/>
    <x v="1"/>
    <x v="10"/>
    <x v="1"/>
    <n v="1"/>
    <n v="69173"/>
    <n v="0"/>
    <n v="69173"/>
    <n v="13.871553819374814"/>
    <n v="5000"/>
    <n v="100"/>
    <x v="6257"/>
    <x v="4"/>
    <x v="4"/>
    <x v="1"/>
  </r>
  <r>
    <x v="575"/>
    <s v="ZTAN"/>
    <x v="8"/>
    <s v="SV2718"/>
    <s v="78907355"/>
    <s v="SAN BERNARDO"/>
    <x v="4960"/>
    <x v="1"/>
    <x v="1"/>
    <x v="4"/>
    <x v="1"/>
    <n v="4"/>
    <n v="69173"/>
    <n v="0"/>
    <n v="69173"/>
    <n v="24.935294329692514"/>
    <n v="5000"/>
    <n v="55"/>
    <x v="6258"/>
    <x v="4"/>
    <x v="4"/>
    <x v="1"/>
  </r>
  <r>
    <x v="575"/>
    <s v="ZTAN"/>
    <x v="8"/>
    <s v="XR6339"/>
    <s v="78907355"/>
    <s v="PUENTE ALTO"/>
    <x v="4961"/>
    <x v="1"/>
    <x v="1"/>
    <x v="30"/>
    <x v="1"/>
    <n v="4"/>
    <n v="69173"/>
    <n v="0"/>
    <n v="69173"/>
    <n v="27.684925037421255"/>
    <n v="5000"/>
    <n v="50"/>
    <x v="6259"/>
    <x v="4"/>
    <x v="4"/>
    <x v="1"/>
  </r>
  <r>
    <x v="576"/>
    <s v="ZTAN"/>
    <x v="123"/>
    <s v="XR6339"/>
    <s v="78907355"/>
    <s v="SANTIAGO"/>
    <x v="1381"/>
    <x v="1"/>
    <x v="1"/>
    <x v="20"/>
    <x v="1"/>
    <n v="1"/>
    <n v="69173"/>
    <n v="0"/>
    <n v="69173"/>
    <n v="20.044334975369459"/>
    <n v="5000"/>
    <n v="69"/>
    <x v="6260"/>
    <x v="4"/>
    <x v="4"/>
    <x v="1"/>
  </r>
  <r>
    <x v="576"/>
    <s v="ZTAN"/>
    <x v="10"/>
    <s v="RH1133"/>
    <s v="138841065"/>
    <s v="QUILICURA"/>
    <x v="4962"/>
    <x v="0"/>
    <x v="0"/>
    <x v="8"/>
    <x v="1"/>
    <n v="1"/>
    <n v="123721"/>
    <n v="0"/>
    <n v="123721"/>
    <n v="10.99996443622525"/>
    <n v="5000"/>
    <n v="100"/>
    <x v="6261"/>
    <x v="4"/>
    <x v="4"/>
    <x v="1"/>
  </r>
  <r>
    <x v="576"/>
    <s v="ZTAN"/>
    <x v="10"/>
    <s v="XR6339"/>
    <s v="78907355"/>
    <s v="PAINE"/>
    <x v="471"/>
    <x v="1"/>
    <x v="1"/>
    <x v="13"/>
    <x v="1"/>
    <n v="5"/>
    <n v="112500"/>
    <n v="0"/>
    <n v="112500"/>
    <n v="49.97334754797442"/>
    <n v="10000"/>
    <n v="23"/>
    <x v="6262"/>
    <x v="4"/>
    <x v="4"/>
    <x v="1"/>
  </r>
  <r>
    <x v="576"/>
    <s v="ZTAN"/>
    <x v="6"/>
    <s v="HLBX77"/>
    <s v="16093509K"/>
    <s v="RANCAGUA"/>
    <x v="4963"/>
    <x v="1"/>
    <x v="1"/>
    <x v="28"/>
    <x v="6"/>
    <n v="0"/>
    <n v="226400"/>
    <n v="0"/>
    <n v="226400"/>
    <n v="67.873845784866276"/>
    <n v="14000"/>
    <n v="24"/>
    <x v="6263"/>
    <x v="4"/>
    <x v="4"/>
    <x v="0"/>
  </r>
  <r>
    <x v="576"/>
    <s v="ZTAN"/>
    <x v="7"/>
    <s v="DJLF85"/>
    <s v="125108660"/>
    <s v="SAN MIGUEL"/>
    <x v="4964"/>
    <x v="4"/>
    <x v="1"/>
    <x v="23"/>
    <x v="1"/>
    <n v="2"/>
    <n v="95391"/>
    <n v="0"/>
    <n v="95391"/>
    <n v="11.00001153149829"/>
    <n v="5000"/>
    <n v="100"/>
    <x v="6264"/>
    <x v="4"/>
    <x v="4"/>
    <x v="1"/>
  </r>
  <r>
    <x v="576"/>
    <s v="ZTAN"/>
    <x v="8"/>
    <s v="BPKD94"/>
    <s v="125897258"/>
    <s v="LINARES"/>
    <x v="4965"/>
    <x v="0"/>
    <x v="0"/>
    <x v="59"/>
    <x v="3"/>
    <n v="0"/>
    <n v="437500"/>
    <n v="0"/>
    <n v="437500"/>
    <n v="78.965132607275265"/>
    <n v="14000"/>
    <n v="55"/>
    <x v="6265"/>
    <x v="4"/>
    <x v="4"/>
    <x v="0"/>
  </r>
  <r>
    <x v="576"/>
    <s v="ZTAN"/>
    <x v="8"/>
    <s v="RKYY82"/>
    <s v="101495566"/>
    <s v="TALCAHUANO"/>
    <x v="4966"/>
    <x v="0"/>
    <x v="0"/>
    <x v="0"/>
    <x v="0"/>
    <n v="0"/>
    <n v="506000"/>
    <n v="0"/>
    <n v="506000"/>
    <n v="34.992358388138584"/>
    <n v="14000"/>
    <n v="100"/>
    <x v="6266"/>
    <x v="4"/>
    <x v="4"/>
    <x v="0"/>
  </r>
  <r>
    <x v="576"/>
    <s v="ZTAN"/>
    <x v="8"/>
    <s v="SV2718"/>
    <s v="154837728"/>
    <s v="LAS CONDES"/>
    <x v="4967"/>
    <x v="1"/>
    <x v="1"/>
    <x v="3"/>
    <x v="1"/>
    <n v="4"/>
    <n v="69173"/>
    <n v="0"/>
    <n v="69173"/>
    <n v="26.597429962241517"/>
    <n v="5000"/>
    <n v="52"/>
    <x v="6267"/>
    <x v="4"/>
    <x v="4"/>
    <x v="1"/>
  </r>
  <r>
    <x v="576"/>
    <s v="ZTAN"/>
    <x v="8"/>
    <s v="XR6339"/>
    <s v="78907355"/>
    <s v="QUILICURA"/>
    <x v="4941"/>
    <x v="1"/>
    <x v="1"/>
    <x v="8"/>
    <x v="1"/>
    <n v="1"/>
    <n v="69173"/>
    <n v="0"/>
    <n v="69173"/>
    <n v="26.525016872200748"/>
    <n v="5000"/>
    <n v="52"/>
    <x v="6268"/>
    <x v="4"/>
    <x v="4"/>
    <x v="1"/>
  </r>
  <r>
    <x v="577"/>
    <s v="ZPEP"/>
    <x v="63"/>
    <s v="WG4022"/>
    <s v="154837728"/>
    <s v="TALCAHUANO"/>
    <x v="4968"/>
    <x v="1"/>
    <x v="0"/>
    <x v="0"/>
    <x v="0"/>
    <n v="0"/>
    <n v="506000"/>
    <n v="0"/>
    <n v="506000"/>
    <n v="27.802197802197803"/>
    <n v="14000"/>
    <n v="100"/>
    <x v="6269"/>
    <x v="4"/>
    <x v="4"/>
    <x v="0"/>
  </r>
  <r>
    <x v="577"/>
    <s v="ZTAN"/>
    <x v="123"/>
    <s v="DJLF85"/>
    <s v="125108660"/>
    <s v="SANTIAGO"/>
    <x v="1382"/>
    <x v="4"/>
    <x v="1"/>
    <x v="20"/>
    <x v="1"/>
    <n v="1"/>
    <n v="75922"/>
    <n v="0"/>
    <n v="75922"/>
    <n v="11.000000000000002"/>
    <n v="5000"/>
    <n v="100"/>
    <x v="6270"/>
    <x v="4"/>
    <x v="4"/>
    <x v="1"/>
  </r>
  <r>
    <x v="577"/>
    <s v="ZTAN"/>
    <x v="7"/>
    <s v="PKYS74"/>
    <s v="62704391"/>
    <s v="CORONEL"/>
    <x v="4969"/>
    <x v="0"/>
    <x v="0"/>
    <x v="16"/>
    <x v="0"/>
    <n v="0"/>
    <n v="528000"/>
    <n v="0"/>
    <n v="528000"/>
    <n v="43.72685292539272"/>
    <n v="14000"/>
    <n v="86"/>
    <x v="6271"/>
    <x v="4"/>
    <x v="4"/>
    <x v="0"/>
  </r>
  <r>
    <x v="577"/>
    <s v="ZTAN"/>
    <x v="8"/>
    <s v="HLBX77"/>
    <s v="16093509K"/>
    <s v="PUDAHUEL"/>
    <x v="4970"/>
    <x v="1"/>
    <x v="1"/>
    <x v="10"/>
    <x v="1"/>
    <n v="1"/>
    <n v="71784"/>
    <n v="0"/>
    <n v="71784"/>
    <n v="11.00003064758344"/>
    <n v="5000"/>
    <n v="100"/>
    <x v="6272"/>
    <x v="4"/>
    <x v="4"/>
    <x v="1"/>
  </r>
  <r>
    <x v="578"/>
    <s v="ZPEP"/>
    <x v="63"/>
    <s v="KKPF51"/>
    <s v="95707734"/>
    <s v="TALCAHUANO"/>
    <x v="4971"/>
    <x v="8"/>
    <x v="0"/>
    <x v="0"/>
    <x v="0"/>
    <n v="0"/>
    <n v="506000"/>
    <n v="0"/>
    <n v="506000"/>
    <n v="28.515074668920821"/>
    <n v="14000"/>
    <n v="100"/>
    <x v="6273"/>
    <x v="4"/>
    <x v="4"/>
    <x v="0"/>
  </r>
  <r>
    <x v="578"/>
    <s v="ZPEP"/>
    <x v="5"/>
    <s v="HLBX77"/>
    <s v="16093509K"/>
    <s v="COLINA"/>
    <x v="4972"/>
    <x v="1"/>
    <x v="1"/>
    <x v="5"/>
    <x v="1"/>
    <n v="5"/>
    <n v="87500"/>
    <n v="0"/>
    <n v="87500"/>
    <n v="25.219772301484365"/>
    <n v="10000"/>
    <n v="35"/>
    <x v="6274"/>
    <x v="4"/>
    <x v="4"/>
    <x v="1"/>
  </r>
  <r>
    <x v="578"/>
    <s v="ZPEP"/>
    <x v="5"/>
    <s v="WG4022"/>
    <s v="154837728"/>
    <s v="COLINA"/>
    <x v="4973"/>
    <x v="1"/>
    <x v="0"/>
    <x v="5"/>
    <x v="1"/>
    <n v="5"/>
    <n v="187000"/>
    <n v="0"/>
    <n v="187000"/>
    <n v="13.680921406398721"/>
    <n v="10000"/>
    <n v="100"/>
    <x v="6275"/>
    <x v="4"/>
    <x v="4"/>
    <x v="1"/>
  </r>
  <r>
    <x v="578"/>
    <s v="ZTAN"/>
    <x v="6"/>
    <s v="FSFS27"/>
    <s v="103576032"/>
    <s v="TEMUCO"/>
    <x v="4974"/>
    <x v="0"/>
    <x v="0"/>
    <x v="14"/>
    <x v="4"/>
    <n v="0"/>
    <n v="779000"/>
    <n v="0"/>
    <n v="779000"/>
    <n v="95.92414727250339"/>
    <n v="14000"/>
    <n v="65"/>
    <x v="6276"/>
    <x v="4"/>
    <x v="4"/>
    <x v="0"/>
  </r>
  <r>
    <x v="578"/>
    <s v="ZTAN"/>
    <x v="7"/>
    <s v="DJLF85"/>
    <s v="53173292"/>
    <s v="RENCA"/>
    <x v="4975"/>
    <x v="4"/>
    <x v="1"/>
    <x v="7"/>
    <x v="1"/>
    <n v="1"/>
    <n v="125389"/>
    <n v="0"/>
    <n v="125389"/>
    <n v="11.000000000000009"/>
    <n v="5000"/>
    <n v="100"/>
    <x v="6277"/>
    <x v="4"/>
    <x v="4"/>
    <x v="1"/>
  </r>
  <r>
    <x v="578"/>
    <s v="ZTAN"/>
    <x v="7"/>
    <s v="DJLF85"/>
    <s v="53173292"/>
    <s v="SAN MIGUEL"/>
    <x v="4976"/>
    <x v="4"/>
    <x v="1"/>
    <x v="23"/>
    <x v="1"/>
    <n v="2"/>
    <n v="105320"/>
    <n v="0"/>
    <n v="105320"/>
    <n v="10.999948822873876"/>
    <n v="5000"/>
    <n v="100"/>
    <x v="6278"/>
    <x v="4"/>
    <x v="4"/>
    <x v="1"/>
  </r>
  <r>
    <x v="578"/>
    <s v="ZTAN"/>
    <x v="7"/>
    <s v="WG4022"/>
    <s v="154837728"/>
    <s v="RENCA"/>
    <x v="4977"/>
    <x v="1"/>
    <x v="0"/>
    <x v="7"/>
    <x v="1"/>
    <n v="1"/>
    <n v="122726"/>
    <n v="0"/>
    <n v="122726"/>
    <n v="10.999979385010034"/>
    <n v="5000"/>
    <n v="100"/>
    <x v="6279"/>
    <x v="4"/>
    <x v="4"/>
    <x v="1"/>
  </r>
  <r>
    <x v="578"/>
    <s v="ZTAN"/>
    <x v="8"/>
    <s v="RGTZ39"/>
    <s v="152508697"/>
    <s v="OSORNO"/>
    <x v="4978"/>
    <x v="0"/>
    <x v="0"/>
    <x v="64"/>
    <x v="10"/>
    <n v="0"/>
    <n v="1131000"/>
    <n v="0"/>
    <n v="1131000"/>
    <n v="104.41410393588549"/>
    <n v="14000"/>
    <n v="77"/>
    <x v="6280"/>
    <x v="4"/>
    <x v="4"/>
    <x v="0"/>
  </r>
  <r>
    <x v="578"/>
    <s v="ZTAN"/>
    <x v="8"/>
    <s v="XR6339"/>
    <s v="81417709"/>
    <s v="LAS CONDES"/>
    <x v="4979"/>
    <x v="1"/>
    <x v="1"/>
    <x v="3"/>
    <x v="1"/>
    <n v="4"/>
    <n v="69173"/>
    <n v="0"/>
    <n v="69173"/>
    <n v="20.010587765634309"/>
    <n v="5000"/>
    <n v="69"/>
    <x v="6281"/>
    <x v="4"/>
    <x v="4"/>
    <x v="1"/>
  </r>
  <r>
    <x v="579"/>
    <s v="ZPEP"/>
    <x v="5"/>
    <s v="KKPF51"/>
    <s v="95707734"/>
    <s v="COQUIMBO"/>
    <x v="4980"/>
    <x v="8"/>
    <x v="0"/>
    <x v="42"/>
    <x v="8"/>
    <n v="0"/>
    <n v="800000"/>
    <n v="0"/>
    <n v="800000"/>
    <n v="53.192515015249633"/>
    <n v="14000"/>
    <n v="100"/>
    <x v="6282"/>
    <x v="4"/>
    <x v="4"/>
    <x v="0"/>
  </r>
  <r>
    <x v="579"/>
    <s v="ZPEP"/>
    <x v="120"/>
    <s v="HLBX77"/>
    <s v="16093509K"/>
    <s v="SAN BERNARDO"/>
    <x v="4981"/>
    <x v="1"/>
    <x v="1"/>
    <x v="4"/>
    <x v="1"/>
    <n v="4"/>
    <n v="71698"/>
    <n v="0"/>
    <n v="71698"/>
    <n v="6.062225363807082"/>
    <n v="5000"/>
    <n v="100"/>
    <x v="6283"/>
    <x v="4"/>
    <x v="4"/>
    <x v="1"/>
  </r>
  <r>
    <x v="579"/>
    <s v="ZTAN"/>
    <x v="10"/>
    <s v="RH1133"/>
    <s v="138841065"/>
    <s v="QUILICURA"/>
    <x v="4982"/>
    <x v="0"/>
    <x v="0"/>
    <x v="8"/>
    <x v="1"/>
    <n v="1"/>
    <n v="92119"/>
    <n v="0"/>
    <n v="92119"/>
    <n v="11.000019105755131"/>
    <n v="5000"/>
    <n v="100"/>
    <x v="6284"/>
    <x v="4"/>
    <x v="4"/>
    <x v="1"/>
  </r>
  <r>
    <x v="579"/>
    <s v="ZTAN"/>
    <x v="6"/>
    <s v="SV2718"/>
    <s v="78907355"/>
    <s v="LA DEHESA"/>
    <x v="4983"/>
    <x v="1"/>
    <x v="1"/>
    <x v="41"/>
    <x v="1"/>
    <n v="4"/>
    <n v="69173"/>
    <n v="0"/>
    <n v="69173"/>
    <n v="23.898908236594803"/>
    <n v="5000"/>
    <n v="58"/>
    <x v="6285"/>
    <x v="4"/>
    <x v="4"/>
    <x v="1"/>
  </r>
  <r>
    <x v="579"/>
    <s v="ZTAN"/>
    <x v="7"/>
    <s v="HLBX77"/>
    <s v="16093509K"/>
    <s v="SANTIAGO"/>
    <x v="3510"/>
    <x v="1"/>
    <x v="1"/>
    <x v="20"/>
    <x v="1"/>
    <n v="1"/>
    <n v="92994"/>
    <n v="0"/>
    <n v="92994"/>
    <n v="11.000000000000002"/>
    <n v="5000"/>
    <n v="100"/>
    <x v="6286"/>
    <x v="4"/>
    <x v="4"/>
    <x v="1"/>
  </r>
  <r>
    <x v="579"/>
    <s v="ZTAN"/>
    <x v="7"/>
    <s v="RFDS14"/>
    <s v="11899972K"/>
    <s v="CORONEL"/>
    <x v="4984"/>
    <x v="0"/>
    <x v="0"/>
    <x v="16"/>
    <x v="0"/>
    <n v="0"/>
    <n v="528000"/>
    <n v="0"/>
    <n v="528000"/>
    <n v="40.794882096609697"/>
    <n v="14000"/>
    <n v="92"/>
    <x v="6287"/>
    <x v="4"/>
    <x v="4"/>
    <x v="0"/>
  </r>
  <r>
    <x v="579"/>
    <s v="ZTAN"/>
    <x v="7"/>
    <s v="RJ6819"/>
    <s v="94742285"/>
    <s v="CORONEL"/>
    <x v="4985"/>
    <x v="5"/>
    <x v="0"/>
    <x v="16"/>
    <x v="0"/>
    <n v="0"/>
    <n v="528000"/>
    <n v="0"/>
    <n v="528000"/>
    <n v="33.17074641718245"/>
    <n v="14000"/>
    <n v="100"/>
    <x v="6288"/>
    <x v="4"/>
    <x v="4"/>
    <x v="0"/>
  </r>
  <r>
    <x v="579"/>
    <s v="ZTAN"/>
    <x v="7"/>
    <s v="WG4022"/>
    <s v="154837728"/>
    <s v="LA CALERA"/>
    <x v="419"/>
    <x v="1"/>
    <x v="0"/>
    <x v="19"/>
    <x v="2"/>
    <n v="0"/>
    <n v="289000"/>
    <n v="0"/>
    <n v="289000"/>
    <n v="35.055798156234822"/>
    <n v="14000"/>
    <n v="59"/>
    <x v="6289"/>
    <x v="4"/>
    <x v="4"/>
    <x v="0"/>
  </r>
  <r>
    <x v="579"/>
    <s v="ZTAN"/>
    <x v="100"/>
    <s v="XR6339"/>
    <s v="78907355"/>
    <s v="PAINE"/>
    <x v="4986"/>
    <x v="1"/>
    <x v="1"/>
    <x v="13"/>
    <x v="1"/>
    <n v="5"/>
    <n v="112500"/>
    <n v="0"/>
    <n v="112500"/>
    <n v="22.544367314875675"/>
    <n v="10000"/>
    <n v="50"/>
    <x v="6290"/>
    <x v="4"/>
    <x v="4"/>
    <x v="1"/>
  </r>
  <r>
    <x v="579"/>
    <s v="ZTAN"/>
    <x v="8"/>
    <s v="BDHB75"/>
    <s v="98494073"/>
    <s v="LOS ANGELES"/>
    <x v="315"/>
    <x v="0"/>
    <x v="0"/>
    <x v="57"/>
    <x v="0"/>
    <n v="0"/>
    <n v="528000"/>
    <n v="0"/>
    <n v="528000"/>
    <n v="55.5555555555555"/>
    <n v="14000"/>
    <n v="68"/>
    <x v="6291"/>
    <x v="4"/>
    <x v="4"/>
    <x v="0"/>
  </r>
  <r>
    <x v="580"/>
    <s v="ZPEP"/>
    <x v="5"/>
    <s v="HLBX77"/>
    <s v="154837728"/>
    <s v="COLINA"/>
    <x v="4987"/>
    <x v="1"/>
    <x v="1"/>
    <x v="5"/>
    <x v="1"/>
    <n v="5"/>
    <n v="87500"/>
    <n v="0"/>
    <n v="87500"/>
    <n v="25.168195454767719"/>
    <n v="10000"/>
    <n v="35"/>
    <x v="6292"/>
    <x v="4"/>
    <x v="4"/>
    <x v="1"/>
  </r>
  <r>
    <x v="580"/>
    <s v="ZTAN"/>
    <x v="10"/>
    <s v="XR6339"/>
    <s v="78907355"/>
    <s v="SANTIAGO"/>
    <x v="4988"/>
    <x v="1"/>
    <x v="1"/>
    <x v="20"/>
    <x v="1"/>
    <n v="1"/>
    <n v="91453"/>
    <n v="0"/>
    <n v="91453"/>
    <n v="10.999985566375431"/>
    <n v="5000"/>
    <n v="100"/>
    <x v="6293"/>
    <x v="4"/>
    <x v="4"/>
    <x v="1"/>
  </r>
  <r>
    <x v="580"/>
    <s v="ZTAN"/>
    <x v="6"/>
    <s v="SV2718"/>
    <s v="78907355"/>
    <s v="PUENTE ALTO"/>
    <x v="225"/>
    <x v="1"/>
    <x v="1"/>
    <x v="30"/>
    <x v="1"/>
    <n v="4"/>
    <n v="69173"/>
    <n v="0"/>
    <n v="69173"/>
    <n v="21.174543896167503"/>
    <n v="5000"/>
    <n v="65"/>
    <x v="6294"/>
    <x v="4"/>
    <x v="4"/>
    <x v="1"/>
  </r>
  <r>
    <x v="580"/>
    <s v="ZTAN"/>
    <x v="16"/>
    <s v="FSFS27"/>
    <s v="103576032"/>
    <s v="CONCEPCION"/>
    <x v="4989"/>
    <x v="0"/>
    <x v="0"/>
    <x v="81"/>
    <x v="0"/>
    <n v="0"/>
    <n v="478000"/>
    <n v="0"/>
    <n v="478000"/>
    <n v="26.428843931594635"/>
    <n v="14000"/>
    <n v="100"/>
    <x v="6295"/>
    <x v="4"/>
    <x v="4"/>
    <x v="0"/>
  </r>
  <r>
    <x v="580"/>
    <s v="ZTAN"/>
    <x v="7"/>
    <s v="DJLF85"/>
    <s v="53173292"/>
    <s v="RENCA"/>
    <x v="4990"/>
    <x v="4"/>
    <x v="1"/>
    <x v="7"/>
    <x v="1"/>
    <n v="1"/>
    <n v="127549"/>
    <n v="0"/>
    <n v="127549"/>
    <n v="11.000003449655724"/>
    <n v="5000"/>
    <n v="100"/>
    <x v="6296"/>
    <x v="4"/>
    <x v="4"/>
    <x v="1"/>
  </r>
  <r>
    <x v="580"/>
    <s v="ZTAN"/>
    <x v="7"/>
    <s v="WG4022"/>
    <s v="154837728"/>
    <s v="RENCA"/>
    <x v="4991"/>
    <x v="1"/>
    <x v="0"/>
    <x v="7"/>
    <x v="1"/>
    <n v="1"/>
    <n v="103448"/>
    <n v="0"/>
    <n v="103448"/>
    <n v="11.000004253346324"/>
    <n v="5000"/>
    <n v="100"/>
    <x v="6297"/>
    <x v="4"/>
    <x v="4"/>
    <x v="1"/>
  </r>
  <r>
    <x v="580"/>
    <s v="ZTAN"/>
    <x v="8"/>
    <s v="DJLF85"/>
    <s v="53173292"/>
    <s v="HUECHURABA"/>
    <x v="4992"/>
    <x v="4"/>
    <x v="1"/>
    <x v="24"/>
    <x v="1"/>
    <n v="1"/>
    <n v="69173"/>
    <n v="0"/>
    <n v="69173"/>
    <n v="29.55504853705223"/>
    <n v="5000"/>
    <n v="47"/>
    <x v="6298"/>
    <x v="4"/>
    <x v="4"/>
    <x v="1"/>
  </r>
  <r>
    <x v="580"/>
    <s v="ZTAN"/>
    <x v="8"/>
    <s v="HLBX77"/>
    <s v="16093509K"/>
    <s v="PUDAHUEL"/>
    <x v="4993"/>
    <x v="1"/>
    <x v="1"/>
    <x v="10"/>
    <x v="1"/>
    <n v="1"/>
    <n v="69173"/>
    <n v="0"/>
    <n v="69173"/>
    <n v="17.655451589355632"/>
    <n v="5000"/>
    <n v="78"/>
    <x v="6299"/>
    <x v="4"/>
    <x v="4"/>
    <x v="1"/>
  </r>
  <r>
    <x v="580"/>
    <s v="ZTAN"/>
    <x v="8"/>
    <s v="XR6339"/>
    <s v="78907355"/>
    <s v="SAN BERNARDO"/>
    <x v="4994"/>
    <x v="1"/>
    <x v="1"/>
    <x v="4"/>
    <x v="1"/>
    <n v="4"/>
    <n v="69173"/>
    <n v="0"/>
    <n v="69173"/>
    <n v="26.239862224886011"/>
    <n v="5000"/>
    <n v="53"/>
    <x v="6300"/>
    <x v="4"/>
    <x v="4"/>
    <x v="1"/>
  </r>
  <r>
    <x v="580"/>
    <s v="ZTAN"/>
    <x v="124"/>
    <s v="KKPF51"/>
    <s v="95707734"/>
    <s v="SANTIAGO"/>
    <x v="4995"/>
    <x v="8"/>
    <x v="0"/>
    <x v="20"/>
    <x v="1"/>
    <n v="1"/>
    <n v="169455"/>
    <n v="0"/>
    <n v="169455"/>
    <n v="10.999999999999993"/>
    <n v="5000"/>
    <n v="100"/>
    <x v="6301"/>
    <x v="4"/>
    <x v="4"/>
    <x v="1"/>
  </r>
  <r>
    <x v="581"/>
    <s v="ZPEP"/>
    <x v="125"/>
    <s v="DFRV76"/>
    <s v="113693568"/>
    <s v="CONCEPCION"/>
    <x v="4996"/>
    <x v="5"/>
    <x v="0"/>
    <x v="81"/>
    <x v="0"/>
    <n v="0"/>
    <n v="478000"/>
    <n v="0"/>
    <n v="478000"/>
    <n v="27.7467062395841"/>
    <n v="14000"/>
    <n v="100"/>
    <x v="6302"/>
    <x v="4"/>
    <x v="4"/>
    <x v="0"/>
  </r>
  <r>
    <x v="581"/>
    <s v="ZTAN"/>
    <x v="4"/>
    <s v="XR6339"/>
    <s v="78907355"/>
    <s v="SAN BERNARDO"/>
    <x v="4997"/>
    <x v="1"/>
    <x v="1"/>
    <x v="4"/>
    <x v="1"/>
    <n v="4"/>
    <n v="69173"/>
    <n v="0"/>
    <n v="69173"/>
    <n v="14.527259744623654"/>
    <n v="5000"/>
    <n v="95"/>
    <x v="6303"/>
    <x v="4"/>
    <x v="4"/>
    <x v="1"/>
  </r>
  <r>
    <x v="581"/>
    <s v="ZTAN"/>
    <x v="7"/>
    <s v="DJLF85"/>
    <s v="53173292"/>
    <s v="RENCA"/>
    <x v="4998"/>
    <x v="4"/>
    <x v="1"/>
    <x v="7"/>
    <x v="1"/>
    <n v="1"/>
    <n v="84593"/>
    <n v="0"/>
    <n v="84593"/>
    <n v="10.999960989818346"/>
    <n v="5000"/>
    <n v="100"/>
    <x v="6304"/>
    <x v="4"/>
    <x v="4"/>
    <x v="1"/>
  </r>
  <r>
    <x v="581"/>
    <s v="ZTAN"/>
    <x v="7"/>
    <s v="WG4022"/>
    <s v="154837728"/>
    <s v="RENCA"/>
    <x v="2206"/>
    <x v="1"/>
    <x v="0"/>
    <x v="7"/>
    <x v="1"/>
    <n v="1"/>
    <n v="273319"/>
    <n v="0"/>
    <n v="273319"/>
    <n v="10.999991950803304"/>
    <n v="5000"/>
    <n v="100"/>
    <x v="6305"/>
    <x v="4"/>
    <x v="4"/>
    <x v="1"/>
  </r>
  <r>
    <x v="581"/>
    <s v="ZTAN"/>
    <x v="7"/>
    <s v="XR6339"/>
    <s v="78907355"/>
    <s v="MELIPILLA"/>
    <x v="4999"/>
    <x v="1"/>
    <x v="1"/>
    <x v="29"/>
    <x v="1"/>
    <n v="5"/>
    <n v="112500"/>
    <n v="0"/>
    <n v="112500"/>
    <n v="37.823771483902199"/>
    <n v="10000"/>
    <n v="30"/>
    <x v="6306"/>
    <x v="4"/>
    <x v="4"/>
    <x v="1"/>
  </r>
  <r>
    <x v="581"/>
    <s v="ZTAN"/>
    <x v="8"/>
    <s v="HLBX77"/>
    <s v="16093509K"/>
    <s v="PUDAHUEL"/>
    <x v="5000"/>
    <x v="1"/>
    <x v="1"/>
    <x v="10"/>
    <x v="1"/>
    <n v="1"/>
    <n v="75623"/>
    <n v="0"/>
    <n v="75623"/>
    <n v="6.4245942947244297"/>
    <n v="5000"/>
    <n v="100"/>
    <x v="6307"/>
    <x v="4"/>
    <x v="4"/>
    <x v="1"/>
  </r>
  <r>
    <x v="581"/>
    <s v="ZTAN"/>
    <x v="8"/>
    <s v="SV2718"/>
    <s v="78907355"/>
    <s v="SAN MIGUEL"/>
    <x v="5001"/>
    <x v="1"/>
    <x v="1"/>
    <x v="23"/>
    <x v="1"/>
    <n v="2"/>
    <n v="69173"/>
    <n v="0"/>
    <n v="69173"/>
    <n v="21.956615583854955"/>
    <n v="5000"/>
    <n v="63"/>
    <x v="6308"/>
    <x v="4"/>
    <x v="4"/>
    <x v="1"/>
  </r>
  <r>
    <x v="582"/>
    <s v="ZTAN"/>
    <x v="51"/>
    <s v="RH1133"/>
    <s v="65941082"/>
    <s v="RANCAGUA"/>
    <x v="5002"/>
    <x v="0"/>
    <x v="0"/>
    <x v="28"/>
    <x v="6"/>
    <n v="0"/>
    <n v="289000"/>
    <n v="0"/>
    <n v="289000"/>
    <n v="44.783566755407371"/>
    <n v="14000"/>
    <n v="46"/>
    <x v="6309"/>
    <x v="4"/>
    <x v="4"/>
    <x v="0"/>
  </r>
  <r>
    <x v="582"/>
    <s v="ZTAN"/>
    <x v="41"/>
    <s v="KKPF51"/>
    <s v="95707734"/>
    <s v="LAS CABRAS"/>
    <x v="5003"/>
    <x v="8"/>
    <x v="0"/>
    <x v="61"/>
    <x v="6"/>
    <n v="0"/>
    <n v="290000"/>
    <n v="0"/>
    <n v="290000"/>
    <n v="23.317332818743917"/>
    <n v="14000"/>
    <n v="89"/>
    <x v="6310"/>
    <x v="4"/>
    <x v="4"/>
    <x v="0"/>
  </r>
  <r>
    <x v="582"/>
    <s v="ZTAN"/>
    <x v="7"/>
    <s v="DJLF85"/>
    <s v="125108660"/>
    <s v="RENCA"/>
    <x v="5004"/>
    <x v="4"/>
    <x v="1"/>
    <x v="7"/>
    <x v="1"/>
    <n v="1"/>
    <n v="79042"/>
    <n v="0"/>
    <n v="79042"/>
    <n v="11.000055666889335"/>
    <n v="5000"/>
    <n v="100"/>
    <x v="6311"/>
    <x v="4"/>
    <x v="4"/>
    <x v="1"/>
  </r>
  <r>
    <x v="582"/>
    <s v="ZTAN"/>
    <x v="7"/>
    <s v="WG4022"/>
    <s v="154837728"/>
    <s v="RENCA"/>
    <x v="5005"/>
    <x v="1"/>
    <x v="0"/>
    <x v="7"/>
    <x v="1"/>
    <n v="1"/>
    <n v="126191"/>
    <n v="0"/>
    <n v="126191"/>
    <n v="11.000008716951857"/>
    <n v="5000"/>
    <n v="100"/>
    <x v="6312"/>
    <x v="4"/>
    <x v="4"/>
    <x v="1"/>
  </r>
  <r>
    <x v="582"/>
    <s v="ZTAN"/>
    <x v="8"/>
    <s v="DJLF85"/>
    <s v="125108660"/>
    <s v="LA REINA"/>
    <x v="5006"/>
    <x v="4"/>
    <x v="1"/>
    <x v="11"/>
    <x v="1"/>
    <n v="3"/>
    <n v="69173"/>
    <n v="0"/>
    <n v="69173"/>
    <n v="13.874558729139924"/>
    <n v="5000"/>
    <n v="100"/>
    <x v="6313"/>
    <x v="4"/>
    <x v="4"/>
    <x v="1"/>
  </r>
  <r>
    <x v="582"/>
    <s v="ZTAN"/>
    <x v="8"/>
    <s v="RX2274"/>
    <s v="100822326"/>
    <s v="TALCA"/>
    <x v="5007"/>
    <x v="0"/>
    <x v="0"/>
    <x v="12"/>
    <x v="3"/>
    <n v="0"/>
    <n v="402000"/>
    <n v="0"/>
    <n v="402000"/>
    <n v="105.05903690656018"/>
    <n v="14000"/>
    <n v="27"/>
    <x v="6314"/>
    <x v="4"/>
    <x v="4"/>
    <x v="0"/>
  </r>
  <r>
    <x v="582"/>
    <s v="ZTAN"/>
    <x v="8"/>
    <s v="SV2718"/>
    <s v="154837728"/>
    <s v="ÑUÑOA"/>
    <x v="5008"/>
    <x v="1"/>
    <x v="1"/>
    <x v="15"/>
    <x v="1"/>
    <n v="4"/>
    <n v="69173"/>
    <n v="0"/>
    <n v="69173"/>
    <n v="22.499089276885847"/>
    <n v="5000"/>
    <n v="61"/>
    <x v="6315"/>
    <x v="4"/>
    <x v="4"/>
    <x v="1"/>
  </r>
  <r>
    <x v="582"/>
    <s v="ZTAN"/>
    <x v="8"/>
    <s v="XR6339"/>
    <s v="78907355"/>
    <s v="TALAGANTE"/>
    <x v="5009"/>
    <x v="1"/>
    <x v="1"/>
    <x v="50"/>
    <x v="1"/>
    <n v="4"/>
    <n v="69173"/>
    <n v="0"/>
    <n v="69173"/>
    <n v="25.272183901326944"/>
    <n v="5000"/>
    <n v="55"/>
    <x v="6316"/>
    <x v="4"/>
    <x v="4"/>
    <x v="1"/>
  </r>
  <r>
    <x v="583"/>
    <s v="ZPEP"/>
    <x v="5"/>
    <s v="DJLF85"/>
    <s v="125108660"/>
    <s v="COLINA"/>
    <x v="5010"/>
    <x v="4"/>
    <x v="1"/>
    <x v="5"/>
    <x v="1"/>
    <n v="5"/>
    <n v="87500"/>
    <n v="0"/>
    <n v="87500"/>
    <n v="21.195267762845546"/>
    <n v="10000"/>
    <n v="41"/>
    <x v="6317"/>
    <x v="4"/>
    <x v="4"/>
    <x v="1"/>
  </r>
  <r>
    <x v="583"/>
    <s v="ZPEP"/>
    <x v="125"/>
    <s v="BPKD94"/>
    <s v="125897258"/>
    <s v="CONCEPCION"/>
    <x v="5011"/>
    <x v="0"/>
    <x v="0"/>
    <x v="81"/>
    <x v="0"/>
    <n v="0"/>
    <n v="478000"/>
    <n v="0"/>
    <n v="478000"/>
    <n v="41.730579347902953"/>
    <n v="14000"/>
    <n v="82"/>
    <x v="6318"/>
    <x v="4"/>
    <x v="4"/>
    <x v="0"/>
  </r>
  <r>
    <x v="583"/>
    <s v="ZPEP"/>
    <x v="7"/>
    <s v="HLZV71"/>
    <s v="90366327"/>
    <s v="RENCA"/>
    <x v="5012"/>
    <x v="0"/>
    <x v="0"/>
    <x v="7"/>
    <x v="1"/>
    <n v="1"/>
    <n v="176328"/>
    <n v="0"/>
    <n v="176328"/>
    <n v="6.6657493108490433"/>
    <n v="5000"/>
    <n v="100"/>
    <x v="6319"/>
    <x v="4"/>
    <x v="4"/>
    <x v="1"/>
  </r>
  <r>
    <x v="583"/>
    <s v="ZPEP"/>
    <x v="7"/>
    <s v="KXTC79"/>
    <s v="170846392"/>
    <s v="RENCA"/>
    <x v="4782"/>
    <x v="0"/>
    <x v="0"/>
    <x v="7"/>
    <x v="1"/>
    <n v="1"/>
    <n v="300965"/>
    <n v="0"/>
    <n v="300965"/>
    <n v="10.999989766261406"/>
    <n v="5000"/>
    <n v="100"/>
    <x v="6320"/>
    <x v="4"/>
    <x v="4"/>
    <x v="1"/>
  </r>
  <r>
    <x v="583"/>
    <s v="ZTAN"/>
    <x v="4"/>
    <s v="KKPF51"/>
    <s v="95707734"/>
    <s v="VILLA ALEMANA"/>
    <x v="397"/>
    <x v="8"/>
    <x v="0"/>
    <x v="96"/>
    <x v="2"/>
    <n v="0"/>
    <n v="289000"/>
    <n v="0"/>
    <n v="289000"/>
    <n v="15.405117270788912"/>
    <n v="14000"/>
    <n v="100"/>
    <x v="6321"/>
    <x v="4"/>
    <x v="4"/>
    <x v="0"/>
  </r>
  <r>
    <x v="583"/>
    <s v="ZTAN"/>
    <x v="47"/>
    <s v="SV2718"/>
    <s v="107643206"/>
    <s v="SAN JOAQUIN"/>
    <x v="613"/>
    <x v="1"/>
    <x v="1"/>
    <x v="67"/>
    <x v="1"/>
    <n v="3"/>
    <n v="69173"/>
    <n v="0"/>
    <n v="69173"/>
    <n v="40.680428134556571"/>
    <n v="5000"/>
    <n v="34"/>
    <x v="6322"/>
    <x v="4"/>
    <x v="4"/>
    <x v="1"/>
  </r>
  <r>
    <x v="583"/>
    <s v="ZTAN"/>
    <x v="10"/>
    <s v="HLBX77"/>
    <s v="16093509K"/>
    <s v="SANTIAGO"/>
    <x v="5013"/>
    <x v="1"/>
    <x v="1"/>
    <x v="20"/>
    <x v="1"/>
    <n v="1"/>
    <n v="69358"/>
    <n v="0"/>
    <n v="69358"/>
    <n v="11.000039649498435"/>
    <n v="5000"/>
    <n v="100"/>
    <x v="6323"/>
    <x v="4"/>
    <x v="4"/>
    <x v="1"/>
  </r>
  <r>
    <x v="583"/>
    <s v="ZTAN"/>
    <x v="10"/>
    <s v="XR6339"/>
    <s v="78907355"/>
    <s v="QUILICURA"/>
    <x v="5014"/>
    <x v="1"/>
    <x v="1"/>
    <x v="8"/>
    <x v="1"/>
    <n v="1"/>
    <n v="69173"/>
    <n v="0"/>
    <n v="69173"/>
    <n v="24.06184778071518"/>
    <n v="5000"/>
    <n v="57"/>
    <x v="6324"/>
    <x v="4"/>
    <x v="4"/>
    <x v="1"/>
  </r>
  <r>
    <x v="583"/>
    <s v="ZTAN"/>
    <x v="7"/>
    <s v="PBFY95"/>
    <s v="17510674K"/>
    <s v="CORONEL"/>
    <x v="2480"/>
    <x v="0"/>
    <x v="0"/>
    <x v="16"/>
    <x v="0"/>
    <n v="0"/>
    <n v="528000"/>
    <n v="0"/>
    <n v="528000"/>
    <n v="64.046579330422119"/>
    <n v="14000"/>
    <n v="70"/>
    <x v="6325"/>
    <x v="4"/>
    <x v="4"/>
    <x v="0"/>
  </r>
  <r>
    <x v="583"/>
    <s v="ZTAN"/>
    <x v="7"/>
    <s v="PPPW97"/>
    <s v="116995093"/>
    <s v="CORONEL"/>
    <x v="5015"/>
    <x v="0"/>
    <x v="0"/>
    <x v="16"/>
    <x v="0"/>
    <n v="0"/>
    <n v="528000"/>
    <n v="0"/>
    <n v="528000"/>
    <n v="29.384266061172681"/>
    <n v="14000"/>
    <n v="100"/>
    <x v="6326"/>
    <x v="4"/>
    <x v="4"/>
    <x v="0"/>
  </r>
  <r>
    <x v="583"/>
    <s v="ZTAN"/>
    <x v="7"/>
    <s v="WC2233"/>
    <s v="125108660"/>
    <s v="RENCA"/>
    <x v="5016"/>
    <x v="4"/>
    <x v="1"/>
    <x v="7"/>
    <x v="1"/>
    <n v="1"/>
    <n v="94085"/>
    <n v="0"/>
    <n v="94085"/>
    <n v="10.999976616938689"/>
    <n v="5000"/>
    <n v="100"/>
    <x v="6327"/>
    <x v="4"/>
    <x v="4"/>
    <x v="1"/>
  </r>
  <r>
    <x v="583"/>
    <s v="ZTAN"/>
    <x v="7"/>
    <s v="WG4022"/>
    <s v="154837728"/>
    <s v="RENCA"/>
    <x v="5017"/>
    <x v="1"/>
    <x v="0"/>
    <x v="7"/>
    <x v="1"/>
    <n v="1"/>
    <n v="155660"/>
    <n v="0"/>
    <n v="155660"/>
    <n v="10.999999293331665"/>
    <n v="5000"/>
    <n v="100"/>
    <x v="6328"/>
    <x v="4"/>
    <x v="4"/>
    <x v="1"/>
  </r>
  <r>
    <x v="583"/>
    <s v="ZTAN"/>
    <x v="8"/>
    <s v="RY1139"/>
    <s v="129162074"/>
    <s v="RENCA"/>
    <x v="5018"/>
    <x v="5"/>
    <x v="0"/>
    <x v="7"/>
    <x v="1"/>
    <n v="1"/>
    <n v="69173"/>
    <n v="0"/>
    <n v="69173"/>
    <n v="17.947247706422019"/>
    <n v="5000"/>
    <n v="77"/>
    <x v="6329"/>
    <x v="4"/>
    <x v="4"/>
    <x v="1"/>
  </r>
  <r>
    <x v="584"/>
    <s v="ZTAN"/>
    <x v="26"/>
    <s v="RH1133"/>
    <s v="65941082"/>
    <s v="GRANEROS"/>
    <x v="5019"/>
    <x v="0"/>
    <x v="0"/>
    <x v="46"/>
    <x v="6"/>
    <n v="0"/>
    <n v="300000"/>
    <n v="0"/>
    <n v="300000"/>
    <n v="35.833603080734299"/>
    <n v="14000"/>
    <n v="60"/>
    <x v="6330"/>
    <x v="5"/>
    <x v="4"/>
    <x v="0"/>
  </r>
  <r>
    <x v="584"/>
    <s v="ZTAN"/>
    <x v="6"/>
    <s v="DRFV76"/>
    <s v="113693568"/>
    <s v="CHIGUAYANTE"/>
    <x v="5020"/>
    <x v="0"/>
    <x v="0"/>
    <x v="82"/>
    <x v="0"/>
    <n v="0"/>
    <n v="478000"/>
    <n v="0"/>
    <n v="478000"/>
    <n v="67.437923250564339"/>
    <n v="14000"/>
    <n v="55"/>
    <x v="6331"/>
    <x v="5"/>
    <x v="4"/>
    <x v="0"/>
  </r>
  <r>
    <x v="584"/>
    <s v="ZTAN"/>
    <x v="41"/>
    <s v="FYTP84"/>
    <s v="100327283"/>
    <s v="SAN VICENTE"/>
    <x v="5021"/>
    <x v="0"/>
    <x v="0"/>
    <x v="90"/>
    <x v="6"/>
    <n v="0"/>
    <n v="289000"/>
    <n v="0"/>
    <n v="289000"/>
    <n v="28.701158374779524"/>
    <n v="14000"/>
    <n v="75"/>
    <x v="6332"/>
    <x v="5"/>
    <x v="4"/>
    <x v="0"/>
  </r>
  <r>
    <x v="584"/>
    <s v="ZTAN"/>
    <x v="7"/>
    <s v="DJLF85"/>
    <s v="53173292"/>
    <s v="MELIPILLA"/>
    <x v="5022"/>
    <x v="4"/>
    <x v="1"/>
    <x v="29"/>
    <x v="1"/>
    <n v="5"/>
    <n v="112500"/>
    <n v="0"/>
    <n v="112500"/>
    <n v="20.268809455174402"/>
    <n v="10000"/>
    <n v="56"/>
    <x v="6333"/>
    <x v="5"/>
    <x v="4"/>
    <x v="1"/>
  </r>
  <r>
    <x v="584"/>
    <s v="ZTAN"/>
    <x v="8"/>
    <s v="DJLF85"/>
    <s v="53173292"/>
    <s v="QUILIN"/>
    <x v="5023"/>
    <x v="4"/>
    <x v="1"/>
    <x v="34"/>
    <x v="1"/>
    <n v="4"/>
    <n v="88720"/>
    <n v="0"/>
    <n v="88720"/>
    <n v="11.000047114719386"/>
    <n v="5000"/>
    <n v="100"/>
    <x v="6334"/>
    <x v="5"/>
    <x v="4"/>
    <x v="1"/>
  </r>
  <r>
    <x v="584"/>
    <s v="ZTAN"/>
    <x v="8"/>
    <s v="HLBX77"/>
    <s v="16093509K"/>
    <s v="REÑACA"/>
    <x v="5024"/>
    <x v="1"/>
    <x v="1"/>
    <x v="6"/>
    <x v="2"/>
    <n v="0"/>
    <n v="227000"/>
    <n v="0"/>
    <n v="227000"/>
    <n v="36.326625976578129"/>
    <n v="14000"/>
    <n v="55"/>
    <x v="6335"/>
    <x v="5"/>
    <x v="4"/>
    <x v="0"/>
  </r>
  <r>
    <x v="584"/>
    <s v="ZTAN"/>
    <x v="8"/>
    <s v="RN8625"/>
    <s v="141449192"/>
    <s v="RENCA"/>
    <x v="1212"/>
    <x v="0"/>
    <x v="0"/>
    <x v="7"/>
    <x v="1"/>
    <n v="1"/>
    <n v="69173"/>
    <n v="0"/>
    <n v="69173"/>
    <n v="38.174944812362028"/>
    <n v="5000"/>
    <n v="36"/>
    <x v="6336"/>
    <x v="5"/>
    <x v="4"/>
    <x v="1"/>
  </r>
  <r>
    <x v="584"/>
    <s v="ZTAN"/>
    <x v="8"/>
    <s v="SV2718"/>
    <s v="107643206"/>
    <s v="EL BOSQUE"/>
    <x v="5025"/>
    <x v="1"/>
    <x v="1"/>
    <x v="25"/>
    <x v="1"/>
    <n v="3"/>
    <n v="69173"/>
    <n v="0"/>
    <n v="69173"/>
    <n v="26.82891827948648"/>
    <n v="5000"/>
    <n v="52"/>
    <x v="6337"/>
    <x v="5"/>
    <x v="4"/>
    <x v="1"/>
  </r>
  <r>
    <x v="584"/>
    <s v="ZTAN"/>
    <x v="8"/>
    <s v="XR6339"/>
    <s v="78907355"/>
    <s v="PUDAHUEL"/>
    <x v="5026"/>
    <x v="1"/>
    <x v="1"/>
    <x v="10"/>
    <x v="1"/>
    <n v="1"/>
    <n v="69173"/>
    <n v="0"/>
    <n v="69173"/>
    <n v="16.422137705416198"/>
    <n v="5000"/>
    <n v="84"/>
    <x v="6338"/>
    <x v="5"/>
    <x v="4"/>
    <x v="1"/>
  </r>
  <r>
    <x v="585"/>
    <s v="ZPEP"/>
    <x v="120"/>
    <s v="HLBX77"/>
    <s v="16093509K"/>
    <s v="SAN BERNARDO"/>
    <x v="5027"/>
    <x v="1"/>
    <x v="1"/>
    <x v="4"/>
    <x v="1"/>
    <n v="4"/>
    <n v="76335"/>
    <n v="0"/>
    <n v="76335"/>
    <n v="6.6957472115307022"/>
    <n v="5000"/>
    <n v="100"/>
    <x v="6339"/>
    <x v="5"/>
    <x v="4"/>
    <x v="1"/>
  </r>
  <r>
    <x v="585"/>
    <s v="ZTAN"/>
    <x v="105"/>
    <s v="KKPF51"/>
    <s v="95707734"/>
    <s v="VALPARAISO"/>
    <x v="5028"/>
    <x v="8"/>
    <x v="0"/>
    <x v="36"/>
    <x v="2"/>
    <n v="0"/>
    <n v="289000"/>
    <n v="0"/>
    <n v="289000"/>
    <n v="21.425023537871862"/>
    <n v="14000"/>
    <n v="96"/>
    <x v="6340"/>
    <x v="5"/>
    <x v="4"/>
    <x v="0"/>
  </r>
  <r>
    <x v="585"/>
    <s v="ZTAN"/>
    <x v="9"/>
    <s v="WG4022"/>
    <s v="154837728"/>
    <s v="SAN BERNARDO"/>
    <x v="5029"/>
    <x v="1"/>
    <x v="0"/>
    <x v="4"/>
    <x v="1"/>
    <n v="4"/>
    <n v="145332"/>
    <n v="0"/>
    <n v="145332"/>
    <n v="10.999999999999993"/>
    <n v="5000"/>
    <n v="100"/>
    <x v="6341"/>
    <x v="5"/>
    <x v="4"/>
    <x v="1"/>
  </r>
  <r>
    <x v="585"/>
    <s v="ZTAN"/>
    <x v="7"/>
    <s v="DJLF85"/>
    <s v="53173292"/>
    <s v="RENCA"/>
    <x v="5030"/>
    <x v="4"/>
    <x v="1"/>
    <x v="7"/>
    <x v="1"/>
    <n v="1"/>
    <n v="103659"/>
    <n v="0"/>
    <n v="103659"/>
    <n v="11.000053058842253"/>
    <n v="5000"/>
    <n v="100"/>
    <x v="6342"/>
    <x v="5"/>
    <x v="4"/>
    <x v="1"/>
  </r>
  <r>
    <x v="585"/>
    <s v="ZTAN"/>
    <x v="7"/>
    <s v="WG4022"/>
    <s v="154837728"/>
    <s v="RENCA"/>
    <x v="5031"/>
    <x v="1"/>
    <x v="0"/>
    <x v="7"/>
    <x v="1"/>
    <n v="1"/>
    <n v="166338"/>
    <n v="0"/>
    <n v="166338"/>
    <n v="10.999968257495206"/>
    <n v="5000"/>
    <n v="100"/>
    <x v="6343"/>
    <x v="5"/>
    <x v="4"/>
    <x v="1"/>
  </r>
  <r>
    <x v="585"/>
    <s v="ZTAN"/>
    <x v="7"/>
    <s v="XR6339"/>
    <s v="78907355"/>
    <s v="SANTIAGO"/>
    <x v="5032"/>
    <x v="1"/>
    <x v="1"/>
    <x v="20"/>
    <x v="1"/>
    <n v="1"/>
    <n v="69173"/>
    <n v="0"/>
    <n v="69173"/>
    <n v="16.600988768359411"/>
    <n v="5000"/>
    <n v="83"/>
    <x v="6344"/>
    <x v="5"/>
    <x v="4"/>
    <x v="1"/>
  </r>
  <r>
    <x v="585"/>
    <s v="ZTAN"/>
    <x v="8"/>
    <s v="BPKD94"/>
    <s v="125897258"/>
    <s v="VILLARRICA"/>
    <x v="5033"/>
    <x v="0"/>
    <x v="0"/>
    <x v="88"/>
    <x v="4"/>
    <n v="0"/>
    <n v="943000"/>
    <n v="0"/>
    <n v="943000"/>
    <n v="25"/>
    <n v="14000"/>
    <n v="85"/>
    <x v="6345"/>
    <x v="5"/>
    <x v="4"/>
    <x v="0"/>
  </r>
  <r>
    <x v="585"/>
    <s v="ZTAN"/>
    <x v="8"/>
    <s v="SV2718"/>
    <s v="107643206"/>
    <s v="MAIPU"/>
    <x v="5034"/>
    <x v="1"/>
    <x v="1"/>
    <x v="2"/>
    <x v="1"/>
    <n v="2"/>
    <n v="69173"/>
    <n v="0"/>
    <n v="69173"/>
    <n v="27.027882406264162"/>
    <n v="5000"/>
    <n v="51"/>
    <x v="6346"/>
    <x v="5"/>
    <x v="4"/>
    <x v="1"/>
  </r>
  <r>
    <x v="586"/>
    <s v="ZPEP"/>
    <x v="120"/>
    <s v="HLBX77"/>
    <s v="16093509K"/>
    <s v="SAN BERNARDO"/>
    <x v="5035"/>
    <x v="1"/>
    <x v="1"/>
    <x v="4"/>
    <x v="1"/>
    <n v="4"/>
    <n v="138717"/>
    <n v="0"/>
    <n v="138717"/>
    <n v="10.999979382522396"/>
    <n v="5000"/>
    <n v="100"/>
    <x v="6347"/>
    <x v="5"/>
    <x v="4"/>
    <x v="1"/>
  </r>
  <r>
    <x v="586"/>
    <s v="ZTAN"/>
    <x v="51"/>
    <s v="SV2718"/>
    <s v="107643206"/>
    <s v="CERRILLOS"/>
    <x v="5036"/>
    <x v="1"/>
    <x v="1"/>
    <x v="9"/>
    <x v="1"/>
    <n v="2"/>
    <n v="69173"/>
    <n v="0"/>
    <n v="69173"/>
    <n v="26.867996348876503"/>
    <n v="5000"/>
    <n v="51"/>
    <x v="6348"/>
    <x v="5"/>
    <x v="4"/>
    <x v="1"/>
  </r>
  <r>
    <x v="586"/>
    <s v="ZTAN"/>
    <x v="10"/>
    <s v="DRFV76"/>
    <s v="113693568"/>
    <s v="TALCA"/>
    <x v="5037"/>
    <x v="0"/>
    <x v="0"/>
    <x v="12"/>
    <x v="3"/>
    <n v="0"/>
    <n v="402000"/>
    <n v="0"/>
    <n v="402000"/>
    <n v="19.415506324528742"/>
    <n v="14000"/>
    <n v="100"/>
    <x v="6349"/>
    <x v="5"/>
    <x v="4"/>
    <x v="0"/>
  </r>
  <r>
    <x v="586"/>
    <s v="ZTAN"/>
    <x v="70"/>
    <s v="XR6339"/>
    <s v="78907355"/>
    <s v="SANTIAGO"/>
    <x v="5038"/>
    <x v="1"/>
    <x v="1"/>
    <x v="20"/>
    <x v="1"/>
    <n v="1"/>
    <n v="69173"/>
    <n v="0"/>
    <n v="69173"/>
    <n v="9.3860077614046507"/>
    <n v="5000"/>
    <n v="100"/>
    <x v="6350"/>
    <x v="5"/>
    <x v="4"/>
    <x v="1"/>
  </r>
  <r>
    <x v="586"/>
    <s v="ZTAN"/>
    <x v="7"/>
    <s v="DJLF85"/>
    <s v="53173292"/>
    <s v="RENCA"/>
    <x v="5039"/>
    <x v="4"/>
    <x v="1"/>
    <x v="7"/>
    <x v="1"/>
    <n v="1"/>
    <n v="79059"/>
    <n v="0"/>
    <n v="79059"/>
    <n v="10.999972172751555"/>
    <n v="5000"/>
    <n v="100"/>
    <x v="6351"/>
    <x v="5"/>
    <x v="4"/>
    <x v="1"/>
  </r>
  <r>
    <x v="586"/>
    <s v="ZTAN"/>
    <x v="7"/>
    <s v="WG4022"/>
    <s v="154837728"/>
    <s v="RENCA"/>
    <x v="5040"/>
    <x v="1"/>
    <x v="0"/>
    <x v="7"/>
    <x v="1"/>
    <n v="1"/>
    <n v="103552"/>
    <n v="0"/>
    <n v="103552"/>
    <n v="10.999986190530318"/>
    <n v="5000"/>
    <n v="100"/>
    <x v="6352"/>
    <x v="5"/>
    <x v="4"/>
    <x v="1"/>
  </r>
  <r>
    <x v="586"/>
    <s v="ZTAN"/>
    <x v="8"/>
    <s v="HLBX77"/>
    <s v="16093509K"/>
    <s v="PUDAHUEL"/>
    <x v="5041"/>
    <x v="1"/>
    <x v="1"/>
    <x v="10"/>
    <x v="1"/>
    <n v="1"/>
    <n v="94436"/>
    <n v="0"/>
    <n v="94436"/>
    <n v="11.000001164810151"/>
    <n v="5000"/>
    <n v="100"/>
    <x v="6353"/>
    <x v="5"/>
    <x v="4"/>
    <x v="1"/>
  </r>
  <r>
    <x v="586"/>
    <s v="ZTAN"/>
    <x v="8"/>
    <s v="SV2718"/>
    <s v="107643206"/>
    <s v="QUILICURA"/>
    <x v="5042"/>
    <x v="1"/>
    <x v="1"/>
    <x v="8"/>
    <x v="1"/>
    <n v="1"/>
    <n v="69173"/>
    <n v="0"/>
    <n v="69173"/>
    <n v="21.55345130041098"/>
    <n v="5000"/>
    <n v="64"/>
    <x v="6354"/>
    <x v="5"/>
    <x v="4"/>
    <x v="1"/>
  </r>
  <r>
    <x v="587"/>
    <s v="ZPEP"/>
    <x v="63"/>
    <s v="RH1133"/>
    <n v="65941082"/>
    <s v="TALCAHUANO"/>
    <x v="4968"/>
    <x v="0"/>
    <x v="0"/>
    <x v="0"/>
    <x v="0"/>
    <n v="0"/>
    <n v="506000"/>
    <n v="0"/>
    <n v="506000"/>
    <n v="27.802197802197803"/>
    <n v="14000"/>
    <n v="100"/>
    <x v="6355"/>
    <x v="5"/>
    <x v="4"/>
    <x v="0"/>
  </r>
  <r>
    <x v="587"/>
    <s v="ZTAN"/>
    <x v="126"/>
    <s v="KKPF51"/>
    <n v="95707734"/>
    <s v="SANTIAGO"/>
    <x v="5043"/>
    <x v="8"/>
    <x v="0"/>
    <x v="20"/>
    <x v="1"/>
    <n v="1"/>
    <n v="301497"/>
    <n v="0"/>
    <n v="301497"/>
    <n v="10.999991243700926"/>
    <n v="5000"/>
    <n v="100"/>
    <x v="6356"/>
    <x v="5"/>
    <x v="4"/>
    <x v="1"/>
  </r>
  <r>
    <x v="587"/>
    <s v="ZTAN"/>
    <x v="7"/>
    <s v="GYXS96"/>
    <n v="165132386"/>
    <s v="CORONEL"/>
    <x v="5044"/>
    <x v="0"/>
    <x v="0"/>
    <x v="16"/>
    <x v="0"/>
    <n v="0"/>
    <n v="528000"/>
    <n v="0"/>
    <n v="528000"/>
    <n v="29.597573895836703"/>
    <n v="14000"/>
    <n v="100"/>
    <x v="6357"/>
    <x v="5"/>
    <x v="4"/>
    <x v="0"/>
  </r>
  <r>
    <x v="587"/>
    <s v="ZTAN"/>
    <x v="7"/>
    <s v="RGTZ39"/>
    <n v="152508697"/>
    <s v="CORONEL"/>
    <x v="5045"/>
    <x v="0"/>
    <x v="0"/>
    <x v="16"/>
    <x v="0"/>
    <n v="0"/>
    <n v="528000"/>
    <n v="0"/>
    <n v="528000"/>
    <n v="63.428909166918963"/>
    <n v="14000"/>
    <n v="59"/>
    <x v="6358"/>
    <x v="5"/>
    <x v="4"/>
    <x v="0"/>
  </r>
  <r>
    <x v="587"/>
    <s v="ZTAN"/>
    <x v="8"/>
    <s v="LZPP69"/>
    <n v="98944117"/>
    <s v="VALDIVIA"/>
    <x v="5046"/>
    <x v="0"/>
    <x v="0"/>
    <x v="77"/>
    <x v="11"/>
    <n v="0"/>
    <n v="943000"/>
    <n v="0"/>
    <n v="943000"/>
    <n v="159.0653770507289"/>
    <n v="14000"/>
    <n v="42"/>
    <x v="6359"/>
    <x v="5"/>
    <x v="4"/>
    <x v="0"/>
  </r>
  <r>
    <x v="587"/>
    <s v="ZTAN"/>
    <x v="8"/>
    <s v="PYCP18"/>
    <n v="139528778"/>
    <s v="OSORNO"/>
    <x v="5047"/>
    <x v="0"/>
    <x v="0"/>
    <x v="64"/>
    <x v="10"/>
    <n v="0"/>
    <n v="1131000"/>
    <n v="0"/>
    <n v="1131000"/>
    <n v="130.98479487734798"/>
    <n v="14000"/>
    <n v="62"/>
    <x v="6360"/>
    <x v="5"/>
    <x v="4"/>
    <x v="0"/>
  </r>
  <r>
    <x v="587"/>
    <s v="ZTAN"/>
    <x v="8"/>
    <s v="SV2718"/>
    <n v="107643206"/>
    <s v="LA FLORIDA"/>
    <x v="5048"/>
    <x v="1"/>
    <x v="1"/>
    <x v="33"/>
    <x v="1"/>
    <n v="3"/>
    <n v="69173"/>
    <n v="0"/>
    <n v="69173"/>
    <n v="24.422907177911942"/>
    <n v="5000"/>
    <n v="57"/>
    <x v="6361"/>
    <x v="5"/>
    <x v="4"/>
    <x v="1"/>
  </r>
  <r>
    <x v="587"/>
    <s v="ZTAN"/>
    <x v="8"/>
    <s v="XR6339"/>
    <n v="78907355"/>
    <s v="SAN MIGUEL"/>
    <x v="5049"/>
    <x v="1"/>
    <x v="1"/>
    <x v="23"/>
    <x v="1"/>
    <n v="2"/>
    <n v="69173"/>
    <n v="0"/>
    <n v="69173"/>
    <n v="26.050917033856813"/>
    <n v="5000"/>
    <n v="53"/>
    <x v="6362"/>
    <x v="5"/>
    <x v="4"/>
    <x v="1"/>
  </r>
  <r>
    <x v="588"/>
    <s v="ZTAN"/>
    <x v="10"/>
    <s v="DRFV76"/>
    <n v="113693568"/>
    <s v="TALCAHUANO"/>
    <x v="5050"/>
    <x v="0"/>
    <x v="0"/>
    <x v="0"/>
    <x v="0"/>
    <n v="0"/>
    <n v="506000"/>
    <n v="0"/>
    <n v="506000"/>
    <n v="56.723913725841868"/>
    <n v="14000"/>
    <n v="64"/>
    <x v="6363"/>
    <x v="5"/>
    <x v="4"/>
    <x v="0"/>
  </r>
  <r>
    <x v="588"/>
    <s v="ZTAN"/>
    <x v="41"/>
    <s v="RH1133"/>
    <n v="65941082"/>
    <s v="LAS CABRAS"/>
    <x v="5051"/>
    <x v="0"/>
    <x v="0"/>
    <x v="61"/>
    <x v="6"/>
    <n v="0"/>
    <n v="290000"/>
    <n v="0"/>
    <n v="290000"/>
    <n v="22.597637378050681"/>
    <n v="14000"/>
    <n v="100"/>
    <x v="6364"/>
    <x v="5"/>
    <x v="4"/>
    <x v="0"/>
  </r>
  <r>
    <x v="588"/>
    <s v="ZTAN"/>
    <x v="7"/>
    <s v="PYCP22"/>
    <n v="114163848"/>
    <s v="CORONEL"/>
    <x v="5052"/>
    <x v="0"/>
    <x v="0"/>
    <x v="16"/>
    <x v="0"/>
    <n v="0"/>
    <n v="528000"/>
    <n v="0"/>
    <n v="528000"/>
    <n v="20.933773154021821"/>
    <n v="14000"/>
    <n v="100"/>
    <x v="6365"/>
    <x v="5"/>
    <x v="4"/>
    <x v="0"/>
  </r>
  <r>
    <x v="588"/>
    <s v="ZTAN"/>
    <x v="8"/>
    <s v="SV2718"/>
    <n v="107643206"/>
    <s v="TALAGANTE"/>
    <x v="5053"/>
    <x v="1"/>
    <x v="1"/>
    <x v="50"/>
    <x v="1"/>
    <n v="4"/>
    <n v="69173"/>
    <n v="0"/>
    <n v="69173"/>
    <n v="23.97145867121332"/>
    <n v="5000"/>
    <n v="58"/>
    <x v="6366"/>
    <x v="5"/>
    <x v="4"/>
    <x v="1"/>
  </r>
  <r>
    <x v="588"/>
    <s v="ZTAN"/>
    <x v="8"/>
    <s v="XR6339"/>
    <n v="78907355"/>
    <s v="PUDAHUEL"/>
    <x v="5054"/>
    <x v="1"/>
    <x v="1"/>
    <x v="10"/>
    <x v="1"/>
    <n v="1"/>
    <n v="69173"/>
    <n v="0"/>
    <n v="69173"/>
    <n v="15.246283920794172"/>
    <n v="5000"/>
    <n v="91"/>
    <x v="6367"/>
    <x v="5"/>
    <x v="4"/>
    <x v="1"/>
  </r>
  <r>
    <x v="589"/>
    <s v="ZTAN"/>
    <x v="7"/>
    <s v="HLBX"/>
    <s v="16093509K"/>
    <s v="RENCA"/>
    <x v="5055"/>
    <x v="0"/>
    <x v="0"/>
    <x v="7"/>
    <x v="1"/>
    <n v="1"/>
    <n v="69173"/>
    <n v="0"/>
    <n v="69173"/>
    <n v="3.9615215889840454"/>
    <n v="5000"/>
    <n v="100"/>
    <x v="6368"/>
    <x v="5"/>
    <x v="4"/>
    <x v="1"/>
  </r>
  <r>
    <x v="589"/>
    <s v="ZTAN"/>
    <x v="7"/>
    <s v="RJ6819"/>
    <s v="94742285"/>
    <s v="CORONEL"/>
    <x v="5056"/>
    <x v="5"/>
    <x v="0"/>
    <x v="16"/>
    <x v="0"/>
    <n v="0"/>
    <n v="528000"/>
    <n v="0"/>
    <n v="528000"/>
    <n v="24.598183088749114"/>
    <n v="14000"/>
    <n v="100"/>
    <x v="6369"/>
    <x v="5"/>
    <x v="4"/>
    <x v="0"/>
  </r>
  <r>
    <x v="589"/>
    <s v="ZTAN"/>
    <x v="7"/>
    <s v="WG4022"/>
    <s v="154837728"/>
    <s v="RENCA"/>
    <x v="5057"/>
    <x v="1"/>
    <x v="0"/>
    <x v="7"/>
    <x v="1"/>
    <n v="1"/>
    <n v="147224"/>
    <n v="0"/>
    <n v="147224"/>
    <n v="11"/>
    <n v="5000"/>
    <n v="100"/>
    <x v="6370"/>
    <x v="5"/>
    <x v="4"/>
    <x v="1"/>
  </r>
  <r>
    <x v="589"/>
    <s v="ZTAN"/>
    <x v="7"/>
    <s v="XR6339"/>
    <s v="78907355"/>
    <s v="MELIPILLA"/>
    <x v="936"/>
    <x v="1"/>
    <x v="1"/>
    <x v="29"/>
    <x v="1"/>
    <n v="5"/>
    <n v="112500"/>
    <n v="0"/>
    <n v="112500"/>
    <n v="18.511814651484237"/>
    <n v="10000"/>
    <n v="61"/>
    <x v="6371"/>
    <x v="5"/>
    <x v="4"/>
    <x v="1"/>
  </r>
  <r>
    <x v="589"/>
    <s v="ZTAN"/>
    <x v="8"/>
    <s v="CKGX35"/>
    <s v="178705210"/>
    <s v="VILLARRICA"/>
    <x v="5058"/>
    <x v="5"/>
    <x v="0"/>
    <x v="88"/>
    <x v="4"/>
    <n v="0"/>
    <n v="943000"/>
    <n v="0"/>
    <n v="943000"/>
    <n v="93.338981842945046"/>
    <n v="14000"/>
    <n v="72"/>
    <x v="6372"/>
    <x v="5"/>
    <x v="4"/>
    <x v="0"/>
  </r>
  <r>
    <x v="589"/>
    <s v="ZTAN"/>
    <x v="8"/>
    <s v="SV2718"/>
    <s v="107643206"/>
    <s v="QUILICURA"/>
    <x v="5059"/>
    <x v="1"/>
    <x v="1"/>
    <x v="8"/>
    <x v="1"/>
    <n v="1"/>
    <n v="69173"/>
    <n v="0"/>
    <n v="69173"/>
    <n v="27.144550134990894"/>
    <n v="5000"/>
    <n v="51"/>
    <x v="6373"/>
    <x v="5"/>
    <x v="4"/>
    <x v="1"/>
  </r>
  <r>
    <x v="590"/>
    <s v="ZTAN"/>
    <x v="51"/>
    <s v="DKDL88"/>
    <s v="122975819"/>
    <s v="VALDIVIA"/>
    <x v="5060"/>
    <x v="0"/>
    <x v="0"/>
    <x v="77"/>
    <x v="11"/>
    <n v="0"/>
    <n v="943000"/>
    <n v="0"/>
    <n v="943000"/>
    <n v="144.65075968492826"/>
    <n v="14000"/>
    <n v="65"/>
    <x v="6374"/>
    <x v="5"/>
    <x v="4"/>
    <x v="0"/>
  </r>
  <r>
    <x v="590"/>
    <s v="ZTAN"/>
    <x v="5"/>
    <s v="SV2718"/>
    <s v="107642306"/>
    <s v="COLINA"/>
    <x v="5061"/>
    <x v="1"/>
    <x v="1"/>
    <x v="5"/>
    <x v="1"/>
    <n v="5"/>
    <n v="87500"/>
    <n v="0"/>
    <n v="87500"/>
    <n v="12.511439029970255"/>
    <n v="10000"/>
    <n v="70"/>
    <x v="6375"/>
    <x v="5"/>
    <x v="4"/>
    <x v="1"/>
  </r>
  <r>
    <x v="590"/>
    <s v="ZTAN"/>
    <x v="114"/>
    <s v="XR6339"/>
    <s v="78907355"/>
    <s v="SANTIAGO"/>
    <x v="5062"/>
    <x v="1"/>
    <x v="1"/>
    <x v="20"/>
    <x v="1"/>
    <n v="1"/>
    <n v="93302"/>
    <n v="0"/>
    <n v="93302"/>
    <n v="11.000000000000002"/>
    <n v="5000"/>
    <n v="100"/>
    <x v="6376"/>
    <x v="5"/>
    <x v="4"/>
    <x v="1"/>
  </r>
  <r>
    <x v="590"/>
    <s v="ZTAN"/>
    <x v="7"/>
    <s v="DJKG97"/>
    <s v="167832741"/>
    <s v="CORONEL"/>
    <x v="5063"/>
    <x v="0"/>
    <x v="0"/>
    <x v="16"/>
    <x v="0"/>
    <n v="0"/>
    <n v="528000"/>
    <n v="0"/>
    <n v="528000"/>
    <n v="28.176530231068895"/>
    <n v="14000"/>
    <n v="100"/>
    <x v="6377"/>
    <x v="5"/>
    <x v="4"/>
    <x v="0"/>
  </r>
  <r>
    <x v="590"/>
    <s v="ZTAN"/>
    <x v="7"/>
    <s v="DJLF85"/>
    <s v="53173292"/>
    <s v="RENCA"/>
    <x v="5064"/>
    <x v="4"/>
    <x v="1"/>
    <x v="7"/>
    <x v="1"/>
    <n v="1"/>
    <n v="129868"/>
    <n v="0"/>
    <n v="129868"/>
    <n v="11.00002032837096"/>
    <n v="5000"/>
    <n v="100"/>
    <x v="6378"/>
    <x v="5"/>
    <x v="4"/>
    <x v="1"/>
  </r>
  <r>
    <x v="590"/>
    <s v="ZTAN"/>
    <x v="7"/>
    <s v="GHLW16"/>
    <s v="190829758"/>
    <s v="CORONEL"/>
    <x v="5065"/>
    <x v="0"/>
    <x v="0"/>
    <x v="16"/>
    <x v="0"/>
    <n v="0"/>
    <n v="528000"/>
    <n v="0"/>
    <n v="528000"/>
    <n v="43.275850763884335"/>
    <n v="14000"/>
    <n v="87"/>
    <x v="6379"/>
    <x v="5"/>
    <x v="4"/>
    <x v="0"/>
  </r>
  <r>
    <x v="590"/>
    <s v="ZTAN"/>
    <x v="7"/>
    <s v="WG4022"/>
    <s v="154837728"/>
    <s v="RENCA"/>
    <x v="5066"/>
    <x v="1"/>
    <x v="0"/>
    <x v="7"/>
    <x v="1"/>
    <n v="1"/>
    <n v="237957"/>
    <n v="0"/>
    <n v="237957"/>
    <n v="10.999987056500226"/>
    <n v="5000"/>
    <n v="100"/>
    <x v="6380"/>
    <x v="5"/>
    <x v="4"/>
    <x v="1"/>
  </r>
  <r>
    <x v="590"/>
    <s v="ZTAN"/>
    <x v="8"/>
    <s v="HLBX77"/>
    <s v="16093509K"/>
    <s v="REÑACA"/>
    <x v="5067"/>
    <x v="1"/>
    <x v="1"/>
    <x v="6"/>
    <x v="2"/>
    <n v="0"/>
    <n v="227000"/>
    <n v="0"/>
    <n v="227000"/>
    <n v="31.207639410161867"/>
    <n v="14000"/>
    <n v="52"/>
    <x v="6381"/>
    <x v="5"/>
    <x v="4"/>
    <x v="0"/>
  </r>
  <r>
    <x v="590"/>
    <s v="ZTAN"/>
    <x v="8"/>
    <s v="SU9354"/>
    <s v="72564391"/>
    <s v="PUENTE ALTO"/>
    <x v="5068"/>
    <x v="2"/>
    <x v="1"/>
    <x v="30"/>
    <x v="1"/>
    <n v="4"/>
    <n v="69173"/>
    <n v="0"/>
    <n v="69173"/>
    <n v="26.416830881566685"/>
    <n v="5000"/>
    <n v="52"/>
    <x v="6382"/>
    <x v="5"/>
    <x v="4"/>
    <x v="1"/>
  </r>
  <r>
    <x v="590"/>
    <s v="ZTAN"/>
    <x v="8"/>
    <s v="SV2718"/>
    <s v="107643206"/>
    <s v="SAN BERNARDO"/>
    <x v="5069"/>
    <x v="1"/>
    <x v="1"/>
    <x v="4"/>
    <x v="1"/>
    <n v="4"/>
    <n v="69173"/>
    <n v="0"/>
    <n v="69173"/>
    <n v="21.843185550082101"/>
    <n v="5000"/>
    <n v="63"/>
    <x v="6383"/>
    <x v="5"/>
    <x v="4"/>
    <x v="1"/>
  </r>
  <r>
    <x v="590"/>
    <s v="ZTAN"/>
    <x v="8"/>
    <s v="XR6339"/>
    <s v="78907355"/>
    <s v="PUDAHUEL"/>
    <x v="5070"/>
    <x v="1"/>
    <x v="1"/>
    <x v="10"/>
    <x v="1"/>
    <n v="1"/>
    <n v="69173"/>
    <n v="0"/>
    <n v="69173"/>
    <n v="20.311545689452661"/>
    <n v="5000"/>
    <n v="68"/>
    <x v="6384"/>
    <x v="5"/>
    <x v="4"/>
    <x v="1"/>
  </r>
  <r>
    <x v="591"/>
    <s v="ZTAN"/>
    <x v="10"/>
    <s v="HLBX77"/>
    <s v="16093509K"/>
    <s v="PETORCA"/>
    <x v="385"/>
    <x v="1"/>
    <x v="1"/>
    <x v="106"/>
    <x v="2"/>
    <n v="0"/>
    <n v="250000"/>
    <n v="0"/>
    <n v="250000"/>
    <n v="33.315565031982956"/>
    <n v="14000"/>
    <n v="54"/>
    <x v="6385"/>
    <x v="5"/>
    <x v="4"/>
    <x v="0"/>
  </r>
  <r>
    <x v="591"/>
    <s v="ZTAN"/>
    <x v="10"/>
    <s v="XR6339"/>
    <s v="78907355"/>
    <s v="TIL TIL"/>
    <x v="5071"/>
    <x v="1"/>
    <x v="1"/>
    <x v="70"/>
    <x v="1"/>
    <n v="5"/>
    <n v="112500"/>
    <n v="0"/>
    <n v="112500"/>
    <n v="27.217039560269402"/>
    <n v="10000"/>
    <n v="41"/>
    <x v="6386"/>
    <x v="5"/>
    <x v="4"/>
    <x v="1"/>
  </r>
  <r>
    <x v="591"/>
    <s v="ZTAN"/>
    <x v="6"/>
    <s v="SU9354"/>
    <s v="72564391"/>
    <s v="RANCAGUA"/>
    <x v="5072"/>
    <x v="2"/>
    <x v="1"/>
    <x v="28"/>
    <x v="6"/>
    <n v="0"/>
    <n v="226400"/>
    <n v="0"/>
    <n v="226400"/>
    <n v="13.677873984732013"/>
    <n v="14000"/>
    <n v="36"/>
    <x v="6387"/>
    <x v="5"/>
    <x v="4"/>
    <x v="0"/>
  </r>
  <r>
    <x v="591"/>
    <s v="ZTAN"/>
    <x v="7"/>
    <s v="DRFV76"/>
    <s v="113693568"/>
    <s v="CORONEL"/>
    <x v="5073"/>
    <x v="0"/>
    <x v="0"/>
    <x v="16"/>
    <x v="0"/>
    <n v="0"/>
    <n v="528000"/>
    <n v="0"/>
    <n v="528000"/>
    <n v="22.030291651020143"/>
    <n v="14000"/>
    <n v="100"/>
    <x v="6388"/>
    <x v="5"/>
    <x v="4"/>
    <x v="0"/>
  </r>
  <r>
    <x v="591"/>
    <s v="ZTAN"/>
    <x v="8"/>
    <s v="FYTP84"/>
    <s v="124860342"/>
    <s v="CORONEL"/>
    <x v="5074"/>
    <x v="0"/>
    <x v="0"/>
    <x v="16"/>
    <x v="0"/>
    <n v="0"/>
    <n v="528000"/>
    <n v="0"/>
    <n v="528000"/>
    <n v="63.622353135389098"/>
    <n v="14000"/>
    <n v="59"/>
    <x v="6389"/>
    <x v="5"/>
    <x v="4"/>
    <x v="0"/>
  </r>
  <r>
    <x v="591"/>
    <s v="ZTAN"/>
    <x v="8"/>
    <s v="SV2718"/>
    <s v="107643206"/>
    <s v="ESTACION CENTRAL"/>
    <x v="5075"/>
    <x v="1"/>
    <x v="1"/>
    <x v="107"/>
    <x v="1"/>
    <n v="1"/>
    <n v="69173"/>
    <n v="0"/>
    <n v="69173"/>
    <n v="22.980146970884874"/>
    <n v="5000"/>
    <n v="60"/>
    <x v="6390"/>
    <x v="5"/>
    <x v="4"/>
    <x v="1"/>
  </r>
  <r>
    <x v="591"/>
    <s v="ZTAN"/>
    <x v="8"/>
    <s v="XR6339"/>
    <s v="78907355"/>
    <s v="MAIPU"/>
    <x v="5076"/>
    <x v="1"/>
    <x v="1"/>
    <x v="2"/>
    <x v="1"/>
    <n v="2"/>
    <n v="69173"/>
    <n v="0"/>
    <n v="69173"/>
    <n v="27.441000638688667"/>
    <n v="5000"/>
    <n v="50"/>
    <x v="6391"/>
    <x v="5"/>
    <x v="4"/>
    <x v="1"/>
  </r>
  <r>
    <x v="592"/>
    <s v="ZPEP"/>
    <x v="7"/>
    <s v="HLZV71"/>
    <s v="90366327"/>
    <s v="RENCA"/>
    <x v="5077"/>
    <x v="0"/>
    <x v="0"/>
    <x v="7"/>
    <x v="1"/>
    <n v="1"/>
    <n v="287155"/>
    <n v="0"/>
    <n v="287155"/>
    <n v="11"/>
    <n v="5000"/>
    <n v="100"/>
    <x v="6392"/>
    <x v="5"/>
    <x v="4"/>
    <x v="1"/>
  </r>
  <r>
    <x v="592"/>
    <s v="ZPEP"/>
    <x v="7"/>
    <s v="KXTC79"/>
    <s v="170846392"/>
    <s v="RENCA"/>
    <x v="5077"/>
    <x v="0"/>
    <x v="0"/>
    <x v="7"/>
    <x v="1"/>
    <n v="1"/>
    <n v="287155"/>
    <n v="0"/>
    <n v="287155"/>
    <n v="11"/>
    <n v="5000"/>
    <n v="100"/>
    <x v="6393"/>
    <x v="5"/>
    <x v="4"/>
    <x v="1"/>
  </r>
  <r>
    <x v="592"/>
    <s v="ZPEP"/>
    <x v="7"/>
    <s v="ZJ6833"/>
    <s v="334895416"/>
    <s v="RENCA"/>
    <x v="5077"/>
    <x v="0"/>
    <x v="0"/>
    <x v="7"/>
    <x v="1"/>
    <n v="1"/>
    <n v="287155"/>
    <n v="0"/>
    <n v="287155"/>
    <n v="11"/>
    <n v="5000"/>
    <n v="100"/>
    <x v="6394"/>
    <x v="5"/>
    <x v="4"/>
    <x v="1"/>
  </r>
  <r>
    <x v="592"/>
    <s v="ZTAN"/>
    <x v="118"/>
    <s v="DJKG97"/>
    <s v="167832741"/>
    <s v="PUERTO VARAS"/>
    <x v="5078"/>
    <x v="0"/>
    <x v="0"/>
    <x v="111"/>
    <x v="10"/>
    <n v="0"/>
    <n v="1282000"/>
    <n v="0"/>
    <n v="1282000"/>
    <n v="103.71916539242575"/>
    <n v="14000"/>
    <n v="100"/>
    <x v="6395"/>
    <x v="5"/>
    <x v="4"/>
    <x v="0"/>
  </r>
  <r>
    <x v="592"/>
    <s v="ZTAN"/>
    <x v="7"/>
    <s v="DJLF85"/>
    <s v="53173292"/>
    <s v="RENCA"/>
    <x v="5079"/>
    <x v="4"/>
    <x v="1"/>
    <x v="7"/>
    <x v="1"/>
    <n v="1"/>
    <n v="108340"/>
    <n v="0"/>
    <n v="108340"/>
    <n v="11.000045689685813"/>
    <n v="5000"/>
    <n v="100"/>
    <x v="6396"/>
    <x v="5"/>
    <x v="4"/>
    <x v="1"/>
  </r>
  <r>
    <x v="592"/>
    <s v="ZTAN"/>
    <x v="7"/>
    <s v="RJ6819"/>
    <s v="94742285"/>
    <s v="CORONEL"/>
    <x v="5080"/>
    <x v="5"/>
    <x v="0"/>
    <x v="16"/>
    <x v="0"/>
    <n v="0"/>
    <n v="528000"/>
    <n v="0"/>
    <n v="528000"/>
    <n v="19.891321054963321"/>
    <n v="14000"/>
    <n v="100"/>
    <x v="6397"/>
    <x v="5"/>
    <x v="4"/>
    <x v="0"/>
  </r>
  <r>
    <x v="592"/>
    <s v="ZTAN"/>
    <x v="7"/>
    <s v="WG4022"/>
    <s v="154837728"/>
    <s v="RENCA"/>
    <x v="5081"/>
    <x v="1"/>
    <x v="0"/>
    <x v="7"/>
    <x v="1"/>
    <n v="1"/>
    <n v="124962"/>
    <n v="0"/>
    <n v="124962"/>
    <n v="10.070961424547576"/>
    <n v="5000"/>
    <n v="100"/>
    <x v="6398"/>
    <x v="5"/>
    <x v="4"/>
    <x v="1"/>
  </r>
  <r>
    <x v="592"/>
    <s v="ZTAN"/>
    <x v="8"/>
    <s v="HLBX77"/>
    <s v="16093509K"/>
    <s v="PUDAHUEL"/>
    <x v="5082"/>
    <x v="1"/>
    <x v="1"/>
    <x v="10"/>
    <x v="1"/>
    <n v="1"/>
    <n v="69173"/>
    <n v="0"/>
    <n v="69173"/>
    <n v="14.05378279649412"/>
    <n v="5000"/>
    <n v="98"/>
    <x v="6399"/>
    <x v="5"/>
    <x v="4"/>
    <x v="1"/>
  </r>
  <r>
    <x v="592"/>
    <s v="ZTAN"/>
    <x v="8"/>
    <s v="SV2718"/>
    <s v="107643206"/>
    <s v="LA REINA"/>
    <x v="5083"/>
    <x v="1"/>
    <x v="1"/>
    <x v="11"/>
    <x v="1"/>
    <n v="3"/>
    <n v="69173"/>
    <n v="0"/>
    <n v="69173"/>
    <n v="27.859536352359317"/>
    <n v="5000"/>
    <n v="50"/>
    <x v="6400"/>
    <x v="5"/>
    <x v="4"/>
    <x v="1"/>
  </r>
  <r>
    <x v="592"/>
    <s v="ZTAN"/>
    <x v="8"/>
    <s v="XR6339"/>
    <s v="78907355"/>
    <s v="HUECHURABA"/>
    <x v="97"/>
    <x v="1"/>
    <x v="1"/>
    <x v="24"/>
    <x v="1"/>
    <n v="1"/>
    <n v="69173"/>
    <n v="0"/>
    <n v="69173"/>
    <n v="17.505061241016296"/>
    <n v="5000"/>
    <n v="79"/>
    <x v="6401"/>
    <x v="5"/>
    <x v="4"/>
    <x v="1"/>
  </r>
  <r>
    <x v="593"/>
    <s v="ZPEP"/>
    <x v="63"/>
    <s v="RH1133"/>
    <s v="65941082"/>
    <s v="TALCAHUANO"/>
    <x v="4968"/>
    <x v="0"/>
    <x v="0"/>
    <x v="0"/>
    <x v="0"/>
    <n v="0"/>
    <n v="506000"/>
    <n v="0"/>
    <n v="506000"/>
    <n v="27.802197802197803"/>
    <n v="14000"/>
    <n v="100"/>
    <x v="6402"/>
    <x v="5"/>
    <x v="4"/>
    <x v="0"/>
  </r>
  <r>
    <x v="593"/>
    <s v="ZTAN"/>
    <x v="6"/>
    <s v="HLBX77"/>
    <s v="16093509K"/>
    <s v="VALPARAISO"/>
    <x v="5084"/>
    <x v="1"/>
    <x v="1"/>
    <x v="36"/>
    <x v="2"/>
    <n v="0"/>
    <n v="227000"/>
    <n v="0"/>
    <n v="227000"/>
    <n v="54.368652998658746"/>
    <n v="14000"/>
    <n v="30"/>
    <x v="6403"/>
    <x v="5"/>
    <x v="4"/>
    <x v="0"/>
  </r>
  <r>
    <x v="593"/>
    <s v="ZTAN"/>
    <x v="7"/>
    <s v="PBFY95"/>
    <s v="17510674K"/>
    <s v="CORONEL"/>
    <x v="1589"/>
    <x v="0"/>
    <x v="0"/>
    <x v="16"/>
    <x v="0"/>
    <n v="0"/>
    <n v="528000"/>
    <n v="0"/>
    <n v="528000"/>
    <n v="160.11644832605526"/>
    <n v="14000"/>
    <n v="24"/>
    <x v="6404"/>
    <x v="5"/>
    <x v="4"/>
    <x v="0"/>
  </r>
  <r>
    <x v="593"/>
    <s v="ZTAN"/>
    <x v="7"/>
    <s v="PYZP23"/>
    <s v="121384531"/>
    <s v="CORONEL"/>
    <x v="5085"/>
    <x v="0"/>
    <x v="0"/>
    <x v="16"/>
    <x v="0"/>
    <n v="0"/>
    <n v="528000"/>
    <n v="0"/>
    <n v="528000"/>
    <n v="37.583762675622232"/>
    <n v="14000"/>
    <n v="100"/>
    <x v="6405"/>
    <x v="5"/>
    <x v="4"/>
    <x v="0"/>
  </r>
  <r>
    <x v="593"/>
    <s v="ZTAN"/>
    <x v="7"/>
    <s v="XR6339"/>
    <s v="78907355"/>
    <s v="MELIPILLA"/>
    <x v="5086"/>
    <x v="1"/>
    <x v="1"/>
    <x v="29"/>
    <x v="1"/>
    <n v="5"/>
    <n v="112500"/>
    <n v="0"/>
    <n v="112500"/>
    <n v="31.724099035587379"/>
    <n v="10000"/>
    <n v="35"/>
    <x v="6406"/>
    <x v="5"/>
    <x v="4"/>
    <x v="1"/>
  </r>
  <r>
    <x v="593"/>
    <s v="ZTAN"/>
    <x v="8"/>
    <s v="DJLF85"/>
    <s v="53173292"/>
    <s v="CERRILLOS"/>
    <x v="5087"/>
    <x v="4"/>
    <x v="1"/>
    <x v="9"/>
    <x v="1"/>
    <n v="2"/>
    <n v="69173"/>
    <n v="0"/>
    <n v="69173"/>
    <n v="25.933132385579746"/>
    <n v="5000"/>
    <n v="53"/>
    <x v="6407"/>
    <x v="5"/>
    <x v="4"/>
    <x v="1"/>
  </r>
  <r>
    <x v="593"/>
    <s v="ZTAN"/>
    <x v="8"/>
    <s v="GGZX14"/>
    <s v="1573966544"/>
    <s v="VILLARRICA"/>
    <x v="5088"/>
    <x v="0"/>
    <x v="0"/>
    <x v="88"/>
    <x v="4"/>
    <n v="0"/>
    <n v="943000"/>
    <n v="0"/>
    <n v="943000"/>
    <n v="106.29016877931998"/>
    <n v="14000"/>
    <n v="70"/>
    <x v="6408"/>
    <x v="5"/>
    <x v="4"/>
    <x v="0"/>
  </r>
  <r>
    <x v="593"/>
    <s v="ZTAN"/>
    <x v="8"/>
    <s v="SU9354"/>
    <s v="72564391"/>
    <s v="LAS CABRAS"/>
    <x v="5089"/>
    <x v="2"/>
    <x v="1"/>
    <x v="61"/>
    <x v="6"/>
    <n v="0"/>
    <n v="227000"/>
    <n v="0"/>
    <n v="227000"/>
    <n v="50.988319856244374"/>
    <n v="14000"/>
    <n v="32"/>
    <x v="6409"/>
    <x v="5"/>
    <x v="4"/>
    <x v="0"/>
  </r>
  <r>
    <x v="593"/>
    <s v="ZTAN"/>
    <x v="8"/>
    <s v="SV2718"/>
    <s v="107643206"/>
    <s v="LAS CONDES"/>
    <x v="5090"/>
    <x v="1"/>
    <x v="1"/>
    <x v="3"/>
    <x v="1"/>
    <n v="4"/>
    <n v="69173"/>
    <n v="0"/>
    <n v="69173"/>
    <n v="23.891149225997637"/>
    <n v="5000"/>
    <n v="58"/>
    <x v="6410"/>
    <x v="5"/>
    <x v="4"/>
    <x v="1"/>
  </r>
  <r>
    <x v="594"/>
    <s v="ZPEP"/>
    <x v="2"/>
    <s v="DKDL88"/>
    <s v="122975819"/>
    <s v="TEMUCO"/>
    <x v="5091"/>
    <x v="0"/>
    <x v="0"/>
    <x v="14"/>
    <x v="4"/>
    <n v="0"/>
    <n v="779000"/>
    <n v="0"/>
    <n v="779000"/>
    <n v="40.199023870686105"/>
    <n v="14000"/>
    <n v="100"/>
    <x v="6411"/>
    <x v="5"/>
    <x v="4"/>
    <x v="0"/>
  </r>
  <r>
    <x v="594"/>
    <s v="ZPEP"/>
    <x v="2"/>
    <s v="RJ6819"/>
    <s v="94742285"/>
    <s v="TEMUCO"/>
    <x v="5092"/>
    <x v="5"/>
    <x v="0"/>
    <x v="14"/>
    <x v="4"/>
    <n v="0"/>
    <n v="779000"/>
    <n v="0"/>
    <n v="779000"/>
    <n v="45.455022867552614"/>
    <n v="14000"/>
    <n v="100"/>
    <x v="6412"/>
    <x v="5"/>
    <x v="4"/>
    <x v="0"/>
  </r>
  <r>
    <x v="594"/>
    <s v="ZPEP"/>
    <x v="89"/>
    <s v="HLBX77"/>
    <s v="16093509K"/>
    <s v="PADRE HURTADO"/>
    <x v="5093"/>
    <x v="1"/>
    <x v="1"/>
    <x v="26"/>
    <x v="1"/>
    <n v="5"/>
    <n v="87500"/>
    <n v="0"/>
    <n v="87500"/>
    <n v="9.5724558326887887"/>
    <n v="10000"/>
    <n v="91"/>
    <x v="6413"/>
    <x v="5"/>
    <x v="4"/>
    <x v="1"/>
  </r>
  <r>
    <x v="594"/>
    <s v="ZPEP"/>
    <x v="103"/>
    <s v="DJLF85"/>
    <s v="53173292"/>
    <s v="SANTIAGO"/>
    <x v="5094"/>
    <x v="4"/>
    <x v="1"/>
    <x v="20"/>
    <x v="1"/>
    <n v="1"/>
    <n v="69173"/>
    <n v="0"/>
    <n v="69173"/>
    <n v="16.944199490495784"/>
    <n v="5000"/>
    <n v="82"/>
    <x v="6414"/>
    <x v="5"/>
    <x v="4"/>
    <x v="1"/>
  </r>
  <r>
    <x v="594"/>
    <s v="ZTAN"/>
    <x v="10"/>
    <s v="KKPF51"/>
    <s v="95707734"/>
    <s v="SANTIAGO"/>
    <x v="5095"/>
    <x v="8"/>
    <x v="0"/>
    <x v="20"/>
    <x v="1"/>
    <n v="1"/>
    <n v="75069"/>
    <n v="0"/>
    <n v="75069"/>
    <n v="10.999991208095581"/>
    <n v="5000"/>
    <n v="100"/>
    <x v="6415"/>
    <x v="5"/>
    <x v="4"/>
    <x v="1"/>
  </r>
  <r>
    <x v="594"/>
    <s v="ZTAN"/>
    <x v="10"/>
    <s v="RH1133"/>
    <s v="65941082"/>
    <s v="QUILICURA"/>
    <x v="5096"/>
    <x v="0"/>
    <x v="0"/>
    <x v="8"/>
    <x v="1"/>
    <n v="1"/>
    <n v="119847"/>
    <n v="0"/>
    <n v="119847"/>
    <n v="11.000001835674123"/>
    <n v="5000"/>
    <n v="100"/>
    <x v="6416"/>
    <x v="5"/>
    <x v="4"/>
    <x v="1"/>
  </r>
  <r>
    <x v="594"/>
    <s v="ZTAN"/>
    <x v="6"/>
    <s v="GGZX13"/>
    <s v="137998513"/>
    <s v="TEMUCO"/>
    <x v="5097"/>
    <x v="0"/>
    <x v="0"/>
    <x v="14"/>
    <x v="4"/>
    <n v="0"/>
    <n v="779000"/>
    <n v="0"/>
    <n v="779000"/>
    <n v="93.53088079915473"/>
    <n v="14000"/>
    <n v="59"/>
    <x v="6417"/>
    <x v="5"/>
    <x v="4"/>
    <x v="0"/>
  </r>
  <r>
    <x v="594"/>
    <s v="ZTAN"/>
    <x v="70"/>
    <s v="SV2718"/>
    <s v="107643206"/>
    <s v="SANTIAGO"/>
    <x v="5098"/>
    <x v="1"/>
    <x v="1"/>
    <x v="20"/>
    <x v="1"/>
    <n v="1"/>
    <n v="69173"/>
    <n v="0"/>
    <n v="69173"/>
    <n v="12.641726671296466"/>
    <n v="5000"/>
    <n v="100"/>
    <x v="6418"/>
    <x v="5"/>
    <x v="4"/>
    <x v="1"/>
  </r>
  <r>
    <x v="594"/>
    <s v="ZTAN"/>
    <x v="7"/>
    <s v="DJLF85"/>
    <s v="53173292"/>
    <s v="RENCA"/>
    <x v="5099"/>
    <x v="4"/>
    <x v="1"/>
    <x v="7"/>
    <x v="1"/>
    <n v="1"/>
    <n v="132648"/>
    <n v="0"/>
    <n v="132648"/>
    <n v="10.404629718235398"/>
    <n v="5000"/>
    <n v="100"/>
    <x v="6419"/>
    <x v="5"/>
    <x v="4"/>
    <x v="1"/>
  </r>
  <r>
    <x v="594"/>
    <s v="ZTAN"/>
    <x v="7"/>
    <s v="WG4022"/>
    <s v="154837728"/>
    <s v="RENCA"/>
    <x v="5100"/>
    <x v="1"/>
    <x v="0"/>
    <x v="7"/>
    <x v="1"/>
    <n v="1"/>
    <n v="219243"/>
    <n v="0"/>
    <n v="219243"/>
    <n v="10.999989965481255"/>
    <n v="5000"/>
    <n v="100"/>
    <x v="6420"/>
    <x v="5"/>
    <x v="4"/>
    <x v="1"/>
  </r>
  <r>
    <x v="595"/>
    <s v="ZPEP"/>
    <x v="103"/>
    <s v="DJLF85"/>
    <n v="53173292"/>
    <s v="SANTIAGO"/>
    <x v="5101"/>
    <x v="4"/>
    <x v="1"/>
    <x v="20"/>
    <x v="1"/>
    <n v="1"/>
    <n v="69173"/>
    <n v="0"/>
    <n v="69173"/>
    <n v="19.891016793190701"/>
    <n v="5000"/>
    <n v="70"/>
    <x v="6421"/>
    <x v="5"/>
    <x v="4"/>
    <x v="1"/>
  </r>
  <r>
    <x v="595"/>
    <s v="ZPEP"/>
    <x v="7"/>
    <s v="HLZV71"/>
    <n v="90366327"/>
    <s v="RENCA"/>
    <x v="5077"/>
    <x v="0"/>
    <x v="0"/>
    <x v="7"/>
    <x v="1"/>
    <n v="1"/>
    <n v="287155"/>
    <n v="0"/>
    <n v="287155"/>
    <n v="11"/>
    <n v="5000"/>
    <n v="100"/>
    <x v="6422"/>
    <x v="5"/>
    <x v="4"/>
    <x v="1"/>
  </r>
  <r>
    <x v="595"/>
    <s v="ZPEP"/>
    <x v="7"/>
    <s v="KXTC79"/>
    <n v="170946352"/>
    <s v="RENCA"/>
    <x v="5077"/>
    <x v="0"/>
    <x v="0"/>
    <x v="7"/>
    <x v="1"/>
    <n v="1"/>
    <n v="287155"/>
    <n v="0"/>
    <n v="287155"/>
    <n v="11"/>
    <n v="5000"/>
    <n v="100"/>
    <x v="6423"/>
    <x v="5"/>
    <x v="4"/>
    <x v="1"/>
  </r>
  <r>
    <x v="595"/>
    <s v="ZTAN"/>
    <x v="7"/>
    <s v="KKPF51"/>
    <n v="95707734"/>
    <s v="MELIPILLA"/>
    <x v="5102"/>
    <x v="8"/>
    <x v="0"/>
    <x v="29"/>
    <x v="1"/>
    <n v="5"/>
    <n v="187000"/>
    <n v="0"/>
    <n v="187000"/>
    <n v="11.058872231585802"/>
    <n v="10000"/>
    <n v="100"/>
    <x v="6424"/>
    <x v="5"/>
    <x v="4"/>
    <x v="1"/>
  </r>
  <r>
    <x v="595"/>
    <s v="ZTAN"/>
    <x v="8"/>
    <s v="PBGD49"/>
    <n v="143274594"/>
    <s v="RENCA"/>
    <x v="5103"/>
    <x v="0"/>
    <x v="0"/>
    <x v="7"/>
    <x v="1"/>
    <n v="1"/>
    <n v="69173"/>
    <n v="0"/>
    <n v="69173"/>
    <n v="33.385941542144487"/>
    <n v="5000"/>
    <n v="41"/>
    <x v="6425"/>
    <x v="5"/>
    <x v="4"/>
    <x v="1"/>
  </r>
  <r>
    <x v="595"/>
    <s v="ZTAN"/>
    <x v="8"/>
    <s v="PYCP22"/>
    <n v="114163848"/>
    <s v="VALDIVIA"/>
    <x v="5104"/>
    <x v="0"/>
    <x v="0"/>
    <x v="77"/>
    <x v="11"/>
    <n v="0"/>
    <n v="943000"/>
    <n v="0"/>
    <n v="943000"/>
    <n v="114.19935113454574"/>
    <n v="14000"/>
    <n v="55"/>
    <x v="6426"/>
    <x v="5"/>
    <x v="4"/>
    <x v="0"/>
  </r>
  <r>
    <x v="595"/>
    <s v="ZTAN"/>
    <x v="8"/>
    <s v="XR6339"/>
    <n v="78907355"/>
    <s v="PUDAHUEL"/>
    <x v="5105"/>
    <x v="1"/>
    <x v="1"/>
    <x v="10"/>
    <x v="1"/>
    <n v="1"/>
    <n v="69173"/>
    <n v="0"/>
    <n v="69173"/>
    <n v="18.512184808730886"/>
    <n v="5000"/>
    <n v="75"/>
    <x v="6427"/>
    <x v="5"/>
    <x v="4"/>
    <x v="1"/>
  </r>
  <r>
    <x v="596"/>
    <s v="ZPEP"/>
    <x v="7"/>
    <s v="ZJ6833"/>
    <s v="334895416"/>
    <s v="RENCA"/>
    <x v="5077"/>
    <x v="0"/>
    <x v="0"/>
    <x v="7"/>
    <x v="1"/>
    <n v="1"/>
    <n v="287155"/>
    <n v="0"/>
    <n v="287155"/>
    <n v="11"/>
    <n v="5000"/>
    <n v="100"/>
    <x v="6428"/>
    <x v="5"/>
    <x v="4"/>
    <x v="1"/>
  </r>
  <r>
    <x v="596"/>
    <s v="ZTAN"/>
    <x v="51"/>
    <s v="DRFV76"/>
    <s v="113693568"/>
    <s v="PUERTO MONTT"/>
    <x v="5106"/>
    <x v="0"/>
    <x v="0"/>
    <x v="53"/>
    <x v="10"/>
    <n v="0"/>
    <n v="1282000"/>
    <n v="0"/>
    <n v="1282000"/>
    <n v="147.06101655640913"/>
    <n v="14000"/>
    <n v="66"/>
    <x v="6429"/>
    <x v="5"/>
    <x v="4"/>
    <x v="0"/>
  </r>
  <r>
    <x v="596"/>
    <s v="ZTAN"/>
    <x v="6"/>
    <s v="SU9354"/>
    <s v="72564391"/>
    <s v="QUILPUE"/>
    <x v="5107"/>
    <x v="2"/>
    <x v="1"/>
    <x v="58"/>
    <x v="2"/>
    <n v="0"/>
    <n v="230000"/>
    <n v="0"/>
    <n v="230000"/>
    <n v="34.322006076487341"/>
    <n v="14000"/>
    <n v="55"/>
    <x v="6430"/>
    <x v="5"/>
    <x v="4"/>
    <x v="0"/>
  </r>
  <r>
    <x v="596"/>
    <s v="ZTAN"/>
    <x v="7"/>
    <s v="DJLF85"/>
    <s v="53173292"/>
    <s v="RENCA"/>
    <x v="5108"/>
    <x v="4"/>
    <x v="1"/>
    <x v="7"/>
    <x v="1"/>
    <n v="1"/>
    <n v="163145"/>
    <n v="0"/>
    <n v="163145"/>
    <n v="10.999973030192692"/>
    <n v="5000"/>
    <n v="100"/>
    <x v="6431"/>
    <x v="5"/>
    <x v="4"/>
    <x v="1"/>
  </r>
  <r>
    <x v="596"/>
    <s v="ZTAN"/>
    <x v="7"/>
    <s v="WG4022"/>
    <s v="154837728"/>
    <s v="RENCA"/>
    <x v="5109"/>
    <x v="1"/>
    <x v="0"/>
    <x v="7"/>
    <x v="1"/>
    <n v="1"/>
    <n v="187783"/>
    <n v="0"/>
    <n v="187783"/>
    <n v="10.99997539718896"/>
    <n v="5000"/>
    <n v="100"/>
    <x v="6432"/>
    <x v="5"/>
    <x v="4"/>
    <x v="1"/>
  </r>
  <r>
    <x v="596"/>
    <s v="ZTAN"/>
    <x v="8"/>
    <s v="DJKG97"/>
    <s v="167832741"/>
    <s v="LINARES"/>
    <x v="5110"/>
    <x v="0"/>
    <x v="0"/>
    <x v="59"/>
    <x v="3"/>
    <n v="0"/>
    <n v="437500"/>
    <n v="0"/>
    <n v="437500"/>
    <n v="68.856215630911805"/>
    <n v="14000"/>
    <n v="55"/>
    <x v="6433"/>
    <x v="5"/>
    <x v="4"/>
    <x v="0"/>
  </r>
  <r>
    <x v="596"/>
    <s v="ZTAN"/>
    <x v="8"/>
    <s v="HLBX77"/>
    <s v="16093509K"/>
    <s v="REÑACA"/>
    <x v="5111"/>
    <x v="1"/>
    <x v="1"/>
    <x v="6"/>
    <x v="2"/>
    <n v="0"/>
    <n v="227000"/>
    <n v="0"/>
    <n v="227000"/>
    <n v="49.719642544243904"/>
    <n v="14000"/>
    <n v="33"/>
    <x v="6434"/>
    <x v="5"/>
    <x v="4"/>
    <x v="0"/>
  </r>
  <r>
    <x v="596"/>
    <s v="ZTAN"/>
    <x v="8"/>
    <s v="XR6339"/>
    <s v="107643206"/>
    <s v="PUDAHUEL"/>
    <x v="5112"/>
    <x v="1"/>
    <x v="1"/>
    <x v="10"/>
    <x v="1"/>
    <n v="1"/>
    <n v="69173"/>
    <n v="0"/>
    <n v="69173"/>
    <n v="14.597340221240247"/>
    <n v="5000"/>
    <n v="95"/>
    <x v="6435"/>
    <x v="5"/>
    <x v="4"/>
    <x v="1"/>
  </r>
  <r>
    <x v="597"/>
    <s v="ZPEP"/>
    <x v="116"/>
    <s v="HBRG39"/>
    <s v="120202251"/>
    <s v="SANTIAGO"/>
    <x v="5113"/>
    <x v="0"/>
    <x v="0"/>
    <x v="20"/>
    <x v="1"/>
    <n v="1"/>
    <n v="69173"/>
    <n v="0"/>
    <n v="69173"/>
    <n v="30.091178799189134"/>
    <n v="5000"/>
    <n v="46"/>
    <x v="6436"/>
    <x v="5"/>
    <x v="4"/>
    <x v="1"/>
  </r>
  <r>
    <x v="597"/>
    <s v="ZTAN"/>
    <x v="10"/>
    <s v="RJ6819"/>
    <s v="94742285"/>
    <s v="TALCA"/>
    <x v="5114"/>
    <x v="5"/>
    <x v="0"/>
    <x v="12"/>
    <x v="3"/>
    <n v="0"/>
    <n v="402000"/>
    <n v="0"/>
    <n v="402000"/>
    <n v="17.679033194363818"/>
    <n v="14000"/>
    <n v="100"/>
    <x v="6437"/>
    <x v="5"/>
    <x v="4"/>
    <x v="0"/>
  </r>
  <r>
    <x v="597"/>
    <s v="ZTAN"/>
    <x v="7"/>
    <s v="WC2233"/>
    <s v="125108660"/>
    <s v="SANTIAGO"/>
    <x v="5115"/>
    <x v="4"/>
    <x v="1"/>
    <x v="20"/>
    <x v="1"/>
    <n v="1"/>
    <n v="69173"/>
    <n v="0"/>
    <n v="69173"/>
    <n v="15.810248674346317"/>
    <n v="5000"/>
    <n v="88"/>
    <x v="6438"/>
    <x v="5"/>
    <x v="4"/>
    <x v="1"/>
  </r>
  <r>
    <x v="597"/>
    <s v="ZTAN"/>
    <x v="7"/>
    <s v="WG4022"/>
    <s v="154837728"/>
    <s v="RENCA"/>
    <x v="5116"/>
    <x v="1"/>
    <x v="0"/>
    <x v="7"/>
    <x v="1"/>
    <n v="1"/>
    <n v="99891"/>
    <n v="0"/>
    <n v="99891"/>
    <n v="11.000000000000002"/>
    <n v="5000"/>
    <n v="100"/>
    <x v="6439"/>
    <x v="5"/>
    <x v="4"/>
    <x v="1"/>
  </r>
  <r>
    <x v="597"/>
    <s v="ZTAN"/>
    <x v="7"/>
    <s v="XR6339"/>
    <s v="78907355"/>
    <s v="RENCA"/>
    <x v="5117"/>
    <x v="1"/>
    <x v="1"/>
    <x v="7"/>
    <x v="1"/>
    <n v="1"/>
    <n v="110992"/>
    <n v="0"/>
    <n v="110992"/>
    <n v="10.999969277150823"/>
    <n v="5000"/>
    <n v="100"/>
    <x v="6440"/>
    <x v="5"/>
    <x v="4"/>
    <x v="1"/>
  </r>
  <r>
    <x v="597"/>
    <s v="ZTAN"/>
    <x v="99"/>
    <s v="KKPF51"/>
    <s v="95707734"/>
    <s v="SANTIAGO"/>
    <x v="5118"/>
    <x v="8"/>
    <x v="0"/>
    <x v="20"/>
    <x v="1"/>
    <n v="1"/>
    <n v="305536"/>
    <n v="0"/>
    <n v="305536"/>
    <n v="10.999999999999993"/>
    <n v="5000"/>
    <n v="100"/>
    <x v="6441"/>
    <x v="5"/>
    <x v="4"/>
    <x v="1"/>
  </r>
  <r>
    <x v="597"/>
    <s v="ZTAN"/>
    <x v="8"/>
    <s v="DKDJ88"/>
    <s v="122975819"/>
    <s v="TALCA"/>
    <x v="5119"/>
    <x v="0"/>
    <x v="0"/>
    <x v="12"/>
    <x v="3"/>
    <n v="0"/>
    <n v="402000"/>
    <n v="0"/>
    <n v="402000"/>
    <n v="98.75281580634622"/>
    <n v="14000"/>
    <n v="29"/>
    <x v="6442"/>
    <x v="5"/>
    <x v="4"/>
    <x v="0"/>
  </r>
  <r>
    <x v="597"/>
    <s v="ZTAN"/>
    <x v="8"/>
    <s v="HLBX77"/>
    <s v="16093509K"/>
    <s v="VALPARAISO"/>
    <x v="5120"/>
    <x v="1"/>
    <x v="1"/>
    <x v="36"/>
    <x v="2"/>
    <n v="0"/>
    <n v="227000"/>
    <n v="0"/>
    <n v="227000"/>
    <n v="47.16197124574088"/>
    <n v="14000"/>
    <n v="34"/>
    <x v="6443"/>
    <x v="5"/>
    <x v="4"/>
    <x v="0"/>
  </r>
  <r>
    <x v="597"/>
    <s v="ZTAN"/>
    <x v="8"/>
    <s v="SV2718"/>
    <s v="107643206"/>
    <s v="LAS CONDES"/>
    <x v="5121"/>
    <x v="1"/>
    <x v="1"/>
    <x v="3"/>
    <x v="1"/>
    <n v="4"/>
    <n v="69173"/>
    <n v="0"/>
    <n v="69173"/>
    <n v="23.418308619405511"/>
    <n v="5000"/>
    <n v="59"/>
    <x v="6444"/>
    <x v="5"/>
    <x v="4"/>
    <x v="1"/>
  </r>
  <r>
    <x v="598"/>
    <s v="ZPEP"/>
    <x v="2"/>
    <s v="RJ6819"/>
    <s v="94742285"/>
    <s v="TEMUCO"/>
    <x v="5122"/>
    <x v="5"/>
    <x v="0"/>
    <x v="14"/>
    <x v="4"/>
    <n v="0"/>
    <n v="779000"/>
    <n v="0"/>
    <n v="779000"/>
    <n v="42.855649628932788"/>
    <n v="14000"/>
    <n v="100"/>
    <x v="6445"/>
    <x v="5"/>
    <x v="4"/>
    <x v="0"/>
  </r>
  <r>
    <x v="598"/>
    <s v="ZPEP"/>
    <x v="89"/>
    <s v="SU9354"/>
    <s v="72564391"/>
    <s v="PADRE HURTADO"/>
    <x v="5123"/>
    <x v="2"/>
    <x v="1"/>
    <x v="26"/>
    <x v="1"/>
    <n v="5"/>
    <n v="87500"/>
    <n v="0"/>
    <n v="87500"/>
    <n v="7.1772434627615906"/>
    <n v="10000"/>
    <n v="100"/>
    <x v="6446"/>
    <x v="5"/>
    <x v="4"/>
    <x v="1"/>
  </r>
  <r>
    <x v="598"/>
    <s v="ZPEP"/>
    <x v="116"/>
    <s v="HBRG39"/>
    <s v="120208002"/>
    <s v="SANTIAGO"/>
    <x v="5113"/>
    <x v="0"/>
    <x v="0"/>
    <x v="20"/>
    <x v="1"/>
    <n v="1"/>
    <n v="69173"/>
    <n v="0"/>
    <n v="69173"/>
    <n v="30.091178799189134"/>
    <n v="5000"/>
    <n v="46"/>
    <x v="6447"/>
    <x v="5"/>
    <x v="4"/>
    <x v="1"/>
  </r>
  <r>
    <x v="598"/>
    <s v="ZPEP"/>
    <x v="7"/>
    <s v="HLZV71"/>
    <s v="90636327"/>
    <s v="RENCA"/>
    <x v="5124"/>
    <x v="0"/>
    <x v="0"/>
    <x v="7"/>
    <x v="1"/>
    <n v="1"/>
    <n v="262185"/>
    <n v="0"/>
    <n v="262185"/>
    <n v="11"/>
    <n v="5000"/>
    <n v="100"/>
    <x v="6448"/>
    <x v="5"/>
    <x v="4"/>
    <x v="1"/>
  </r>
  <r>
    <x v="598"/>
    <s v="ZPEP"/>
    <x v="7"/>
    <s v="KXTC79"/>
    <s v="170846392"/>
    <s v="RENCA"/>
    <x v="5124"/>
    <x v="0"/>
    <x v="0"/>
    <x v="7"/>
    <x v="1"/>
    <n v="1"/>
    <n v="262185"/>
    <n v="0"/>
    <n v="262185"/>
    <n v="11"/>
    <n v="5000"/>
    <n v="100"/>
    <x v="6449"/>
    <x v="5"/>
    <x v="4"/>
    <x v="1"/>
  </r>
  <r>
    <x v="598"/>
    <s v="ZPEP"/>
    <x v="7"/>
    <s v="ZJ6833"/>
    <s v="100652750"/>
    <s v="RENCA"/>
    <x v="5125"/>
    <x v="0"/>
    <x v="0"/>
    <x v="7"/>
    <x v="1"/>
    <n v="1"/>
    <n v="249700"/>
    <n v="0"/>
    <n v="249700"/>
    <n v="11"/>
    <n v="5000"/>
    <n v="100"/>
    <x v="6450"/>
    <x v="5"/>
    <x v="4"/>
    <x v="1"/>
  </r>
  <r>
    <x v="598"/>
    <s v="ZTAN"/>
    <x v="10"/>
    <s v="RH1133"/>
    <s v="65941082"/>
    <s v="SANTIAGO"/>
    <x v="5126"/>
    <x v="0"/>
    <x v="0"/>
    <x v="20"/>
    <x v="1"/>
    <n v="1"/>
    <n v="87539"/>
    <n v="0"/>
    <n v="87539"/>
    <n v="10.999987434186549"/>
    <n v="5000"/>
    <n v="100"/>
    <x v="6451"/>
    <x v="5"/>
    <x v="4"/>
    <x v="1"/>
  </r>
  <r>
    <x v="598"/>
    <s v="ZTAN"/>
    <x v="7"/>
    <s v="DJLF85"/>
    <s v="53173292"/>
    <s v="RENCA"/>
    <x v="5127"/>
    <x v="4"/>
    <x v="1"/>
    <x v="7"/>
    <x v="1"/>
    <n v="1"/>
    <n v="84469"/>
    <n v="0"/>
    <n v="84469"/>
    <n v="9.9037401805604404"/>
    <n v="5000"/>
    <n v="100"/>
    <x v="6452"/>
    <x v="5"/>
    <x v="4"/>
    <x v="1"/>
  </r>
  <r>
    <x v="598"/>
    <s v="ZTAN"/>
    <x v="7"/>
    <s v="WG4022"/>
    <s v="154837728"/>
    <s v="RENCA"/>
    <x v="5128"/>
    <x v="1"/>
    <x v="0"/>
    <x v="7"/>
    <x v="1"/>
    <n v="1"/>
    <n v="158722"/>
    <n v="0"/>
    <n v="158722"/>
    <n v="10.999994455717818"/>
    <n v="5000"/>
    <n v="100"/>
    <x v="6453"/>
    <x v="5"/>
    <x v="4"/>
    <x v="1"/>
  </r>
  <r>
    <x v="598"/>
    <s v="ZTAN"/>
    <x v="8"/>
    <s v="HLBX77"/>
    <s v="16093509K"/>
    <s v="PUDAHUEL"/>
    <x v="5129"/>
    <x v="1"/>
    <x v="1"/>
    <x v="10"/>
    <x v="1"/>
    <n v="1"/>
    <n v="69173"/>
    <n v="0"/>
    <n v="69173"/>
    <n v="24.296803652968038"/>
    <n v="5000"/>
    <n v="57"/>
    <x v="6454"/>
    <x v="5"/>
    <x v="4"/>
    <x v="1"/>
  </r>
  <r>
    <x v="598"/>
    <s v="ZTAN"/>
    <x v="8"/>
    <s v="RKYY82"/>
    <s v="101495566"/>
    <s v="ANGOL"/>
    <x v="5130"/>
    <x v="0"/>
    <x v="0"/>
    <x v="84"/>
    <x v="4"/>
    <n v="0"/>
    <n v="583000"/>
    <n v="0"/>
    <n v="583000"/>
    <n v="56.442259471746922"/>
    <n v="14000"/>
    <n v="74"/>
    <x v="6455"/>
    <x v="5"/>
    <x v="4"/>
    <x v="0"/>
  </r>
  <r>
    <x v="598"/>
    <s v="ZTAN"/>
    <x v="8"/>
    <s v="SV2718"/>
    <s v="107643206"/>
    <s v="ÑUÑOA"/>
    <x v="5131"/>
    <x v="1"/>
    <x v="1"/>
    <x v="15"/>
    <x v="1"/>
    <n v="4"/>
    <n v="69173"/>
    <n v="0"/>
    <n v="69173"/>
    <n v="17.721489801042182"/>
    <n v="5000"/>
    <n v="69"/>
    <x v="6456"/>
    <x v="5"/>
    <x v="4"/>
    <x v="1"/>
  </r>
  <r>
    <x v="598"/>
    <s v="ZTAN"/>
    <x v="8"/>
    <s v="WC2233"/>
    <s v="125108660"/>
    <s v="TALAGANTE"/>
    <x v="5132"/>
    <x v="4"/>
    <x v="1"/>
    <x v="50"/>
    <x v="1"/>
    <n v="4"/>
    <n v="69173"/>
    <n v="0"/>
    <n v="69173"/>
    <n v="27.219961751257262"/>
    <n v="5000"/>
    <n v="51"/>
    <x v="6457"/>
    <x v="5"/>
    <x v="4"/>
    <x v="1"/>
  </r>
  <r>
    <x v="598"/>
    <s v="ZTAN"/>
    <x v="8"/>
    <s v="XR6339"/>
    <s v="789087355"/>
    <s v="SAN BERNARDO"/>
    <x v="5133"/>
    <x v="1"/>
    <x v="1"/>
    <x v="4"/>
    <x v="1"/>
    <n v="4"/>
    <n v="69173"/>
    <n v="0"/>
    <n v="69173"/>
    <n v="28.213149522799572"/>
    <n v="5000"/>
    <n v="49"/>
    <x v="6458"/>
    <x v="5"/>
    <x v="4"/>
    <x v="1"/>
  </r>
  <r>
    <x v="599"/>
    <s v="ZPEP"/>
    <x v="89"/>
    <s v="SU9354"/>
    <s v="72564391"/>
    <s v="PADRE HURTADO"/>
    <x v="5134"/>
    <x v="2"/>
    <x v="1"/>
    <x v="26"/>
    <x v="1"/>
    <n v="5"/>
    <n v="87500"/>
    <n v="0"/>
    <n v="87500"/>
    <n v="9.1608456036316728"/>
    <n v="10000"/>
    <n v="96"/>
    <x v="6459"/>
    <x v="5"/>
    <x v="4"/>
    <x v="1"/>
  </r>
  <r>
    <x v="599"/>
    <s v="ZTAN"/>
    <x v="10"/>
    <s v="DKDL88"/>
    <s v="122975819"/>
    <s v="TALCA"/>
    <x v="5135"/>
    <x v="0"/>
    <x v="0"/>
    <x v="12"/>
    <x v="3"/>
    <n v="0"/>
    <n v="402000"/>
    <n v="0"/>
    <n v="402000"/>
    <n v="21.880003962348972"/>
    <n v="14000"/>
    <n v="100"/>
    <x v="6460"/>
    <x v="5"/>
    <x v="4"/>
    <x v="0"/>
  </r>
  <r>
    <x v="599"/>
    <s v="ZTAN"/>
    <x v="10"/>
    <s v="KKPF51"/>
    <s v="95707334"/>
    <s v="SANTIAGO"/>
    <x v="705"/>
    <x v="8"/>
    <x v="0"/>
    <x v="20"/>
    <x v="1"/>
    <n v="1"/>
    <n v="112741"/>
    <n v="0"/>
    <n v="112741"/>
    <n v="10.999980486281855"/>
    <n v="5000"/>
    <n v="100"/>
    <x v="6461"/>
    <x v="5"/>
    <x v="4"/>
    <x v="1"/>
  </r>
  <r>
    <x v="599"/>
    <s v="ZTAN"/>
    <x v="7"/>
    <s v="XR6339"/>
    <s v="78907355"/>
    <s v="MELIPILLA"/>
    <x v="5136"/>
    <x v="1"/>
    <x v="1"/>
    <x v="29"/>
    <x v="1"/>
    <n v="5"/>
    <n v="112500"/>
    <n v="0"/>
    <n v="112500"/>
    <n v="32.705389848246988"/>
    <n v="10000"/>
    <n v="34"/>
    <x v="6462"/>
    <x v="5"/>
    <x v="4"/>
    <x v="1"/>
  </r>
  <r>
    <x v="599"/>
    <s v="ZTAN"/>
    <x v="8"/>
    <s v="PBFY95"/>
    <s v="17510674K"/>
    <s v="OSORNO"/>
    <x v="5137"/>
    <x v="0"/>
    <x v="0"/>
    <x v="64"/>
    <x v="10"/>
    <n v="0"/>
    <n v="1131000"/>
    <n v="0"/>
    <n v="1131000"/>
    <n v="211.99386698556341"/>
    <n v="14000"/>
    <n v="38"/>
    <x v="6463"/>
    <x v="5"/>
    <x v="4"/>
    <x v="0"/>
  </r>
  <r>
    <x v="599"/>
    <s v="ZTAN"/>
    <x v="8"/>
    <s v="SV2718"/>
    <s v="107643206"/>
    <s v="MAIPU"/>
    <x v="5138"/>
    <x v="1"/>
    <x v="1"/>
    <x v="2"/>
    <x v="1"/>
    <n v="2"/>
    <n v="69173"/>
    <n v="0"/>
    <n v="69173"/>
    <n v="24.455977966886692"/>
    <n v="5000"/>
    <n v="57"/>
    <x v="6464"/>
    <x v="5"/>
    <x v="4"/>
    <x v="1"/>
  </r>
  <r>
    <x v="599"/>
    <s v="ZTAN"/>
    <x v="94"/>
    <s v="DRFV76"/>
    <s v="113693568"/>
    <s v="LOS ANGELES"/>
    <x v="1931"/>
    <x v="0"/>
    <x v="0"/>
    <x v="57"/>
    <x v="0"/>
    <n v="0"/>
    <n v="528000"/>
    <n v="0"/>
    <n v="528000"/>
    <n v="31.051517290049379"/>
    <n v="14000"/>
    <n v="100"/>
    <x v="6465"/>
    <x v="5"/>
    <x v="4"/>
    <x v="0"/>
  </r>
  <r>
    <x v="600"/>
    <s v="ZPEP"/>
    <x v="2"/>
    <s v="BPKD94"/>
    <s v="125897258"/>
    <s v="TEMUCO"/>
    <x v="5139"/>
    <x v="0"/>
    <x v="0"/>
    <x v="14"/>
    <x v="4"/>
    <n v="0"/>
    <n v="779000"/>
    <n v="0"/>
    <n v="779000"/>
    <n v="33.813699105825172"/>
    <n v="14000"/>
    <n v="100"/>
    <x v="6466"/>
    <x v="5"/>
    <x v="4"/>
    <x v="0"/>
  </r>
  <r>
    <x v="600"/>
    <s v="ZPEP"/>
    <x v="89"/>
    <s v="DJLF85"/>
    <s v="53173292"/>
    <s v="PADRE HURTADO"/>
    <x v="5140"/>
    <x v="4"/>
    <x v="1"/>
    <x v="26"/>
    <x v="1"/>
    <n v="5"/>
    <n v="87500"/>
    <n v="0"/>
    <n v="87500"/>
    <n v="7.6922400682191805"/>
    <n v="10000"/>
    <n v="100"/>
    <x v="6467"/>
    <x v="5"/>
    <x v="4"/>
    <x v="1"/>
  </r>
  <r>
    <x v="600"/>
    <s v="ZPEP"/>
    <x v="89"/>
    <s v="SU9354"/>
    <s v="72564391"/>
    <s v="PADRE HURTADO"/>
    <x v="5141"/>
    <x v="2"/>
    <x v="1"/>
    <x v="26"/>
    <x v="1"/>
    <n v="5"/>
    <n v="87500"/>
    <n v="0"/>
    <n v="87500"/>
    <n v="12.134727370813692"/>
    <n v="10000"/>
    <n v="72"/>
    <x v="6468"/>
    <x v="5"/>
    <x v="4"/>
    <x v="1"/>
  </r>
  <r>
    <x v="600"/>
    <s v="ZTAN"/>
    <x v="4"/>
    <s v="CVSK23"/>
    <s v="95439802"/>
    <s v="SAN BERNARDO"/>
    <x v="5142"/>
    <x v="0"/>
    <x v="0"/>
    <x v="4"/>
    <x v="1"/>
    <n v="4"/>
    <n v="114972"/>
    <n v="0"/>
    <n v="114972"/>
    <n v="11"/>
    <n v="5000"/>
    <n v="100"/>
    <x v="6469"/>
    <x v="5"/>
    <x v="4"/>
    <x v="1"/>
  </r>
  <r>
    <x v="600"/>
    <s v="ZTAN"/>
    <x v="24"/>
    <s v="HLBX77"/>
    <s v="16093509K"/>
    <s v="MACHALI"/>
    <x v="5143"/>
    <x v="1"/>
    <x v="1"/>
    <x v="43"/>
    <x v="6"/>
    <n v="0"/>
    <n v="280000"/>
    <n v="0"/>
    <n v="280000"/>
    <n v="42.571306939123012"/>
    <n v="14000"/>
    <n v="47"/>
    <x v="6470"/>
    <x v="5"/>
    <x v="4"/>
    <x v="0"/>
  </r>
  <r>
    <x v="600"/>
    <s v="ZTAN"/>
    <x v="24"/>
    <s v="KKPF51"/>
    <s v="95707734"/>
    <s v="MACHALI"/>
    <x v="5144"/>
    <x v="8"/>
    <x v="0"/>
    <x v="43"/>
    <x v="6"/>
    <n v="0"/>
    <n v="280000"/>
    <n v="0"/>
    <n v="280000"/>
    <n v="20.139451315034243"/>
    <n v="14000"/>
    <n v="99"/>
    <x v="6471"/>
    <x v="5"/>
    <x v="4"/>
    <x v="0"/>
  </r>
  <r>
    <x v="600"/>
    <s v="ZTAN"/>
    <x v="41"/>
    <s v="RH1133"/>
    <s v="65941082"/>
    <s v="LAS CABRAS"/>
    <x v="5145"/>
    <x v="0"/>
    <x v="0"/>
    <x v="61"/>
    <x v="6"/>
    <n v="0"/>
    <n v="290000"/>
    <n v="0"/>
    <n v="290000"/>
    <n v="15.414692434362653"/>
    <n v="14000"/>
    <n v="100"/>
    <x v="6472"/>
    <x v="5"/>
    <x v="4"/>
    <x v="0"/>
  </r>
  <r>
    <x v="600"/>
    <s v="ZTAN"/>
    <x v="70"/>
    <s v="WG4022"/>
    <s v="154837728"/>
    <s v="SANTIAGO"/>
    <x v="104"/>
    <x v="1"/>
    <x v="0"/>
    <x v="20"/>
    <x v="1"/>
    <n v="1"/>
    <n v="214614"/>
    <n v="0"/>
    <n v="214614"/>
    <n v="10.999979498113825"/>
    <n v="5000"/>
    <n v="100"/>
    <x v="6473"/>
    <x v="5"/>
    <x v="4"/>
    <x v="1"/>
  </r>
  <r>
    <x v="600"/>
    <s v="ZTAN"/>
    <x v="7"/>
    <s v="FYTP84"/>
    <s v="124860342"/>
    <s v="CHILLAN"/>
    <x v="5146"/>
    <x v="0"/>
    <x v="0"/>
    <x v="21"/>
    <x v="5"/>
    <n v="0"/>
    <n v="440000"/>
    <n v="0"/>
    <n v="440000"/>
    <n v="37.055752063331646"/>
    <n v="14000"/>
    <n v="85"/>
    <x v="6474"/>
    <x v="5"/>
    <x v="4"/>
    <x v="0"/>
  </r>
  <r>
    <x v="600"/>
    <s v="ZTAN"/>
    <x v="7"/>
    <s v="PPPW97"/>
    <s v="116995095"/>
    <s v="CORONEL"/>
    <x v="5147"/>
    <x v="0"/>
    <x v="0"/>
    <x v="16"/>
    <x v="0"/>
    <n v="0"/>
    <n v="528000"/>
    <n v="0"/>
    <n v="528000"/>
    <n v="36.090718943526227"/>
    <n v="14000"/>
    <n v="100"/>
    <x v="6475"/>
    <x v="5"/>
    <x v="4"/>
    <x v="0"/>
  </r>
  <r>
    <x v="600"/>
    <s v="ZTAN"/>
    <x v="7"/>
    <s v="WG4022"/>
    <s v="154837728"/>
    <s v="RENCA"/>
    <x v="5148"/>
    <x v="1"/>
    <x v="0"/>
    <x v="7"/>
    <x v="1"/>
    <n v="1"/>
    <n v="197693"/>
    <n v="0"/>
    <n v="197693"/>
    <n v="10.999982194643698"/>
    <n v="5000"/>
    <n v="100"/>
    <x v="6476"/>
    <x v="5"/>
    <x v="4"/>
    <x v="1"/>
  </r>
  <r>
    <x v="600"/>
    <s v="ZTAN"/>
    <x v="7"/>
    <s v="XR6339"/>
    <s v="78907355"/>
    <s v="RENCA"/>
    <x v="5149"/>
    <x v="1"/>
    <x v="1"/>
    <x v="7"/>
    <x v="1"/>
    <n v="1"/>
    <n v="85331"/>
    <n v="0"/>
    <n v="85331"/>
    <n v="11.000019336500221"/>
    <n v="5000"/>
    <n v="100"/>
    <x v="6477"/>
    <x v="5"/>
    <x v="4"/>
    <x v="1"/>
  </r>
  <r>
    <x v="600"/>
    <s v="ZTAN"/>
    <x v="8"/>
    <s v="HLBX77"/>
    <s v="16093509K"/>
    <s v="PUDAHUEL"/>
    <x v="5150"/>
    <x v="1"/>
    <x v="1"/>
    <x v="10"/>
    <x v="1"/>
    <n v="1"/>
    <n v="116248"/>
    <n v="0"/>
    <n v="116248"/>
    <n v="11"/>
    <n v="5000"/>
    <n v="100"/>
    <x v="6478"/>
    <x v="5"/>
    <x v="4"/>
    <x v="1"/>
  </r>
  <r>
    <x v="600"/>
    <s v="ZTAN"/>
    <x v="8"/>
    <s v="HYFL63"/>
    <s v="137998513"/>
    <s v="TALCAHUANO"/>
    <x v="5151"/>
    <x v="0"/>
    <x v="0"/>
    <x v="0"/>
    <x v="0"/>
    <n v="0"/>
    <n v="506000"/>
    <n v="0"/>
    <n v="506000"/>
    <n v="53.383974257530177"/>
    <n v="14000"/>
    <n v="68"/>
    <x v="6479"/>
    <x v="5"/>
    <x v="4"/>
    <x v="0"/>
  </r>
  <r>
    <x v="600"/>
    <s v="ZTAN"/>
    <x v="8"/>
    <s v="PYCP22"/>
    <s v="114163848"/>
    <s v="CONCEPCION"/>
    <x v="5152"/>
    <x v="0"/>
    <x v="0"/>
    <x v="81"/>
    <x v="0"/>
    <n v="0"/>
    <n v="478000"/>
    <n v="0"/>
    <n v="478000"/>
    <n v="58.470948012232434"/>
    <n v="14000"/>
    <n v="58"/>
    <x v="6480"/>
    <x v="5"/>
    <x v="4"/>
    <x v="0"/>
  </r>
  <r>
    <x v="600"/>
    <s v="ZTAN"/>
    <x v="8"/>
    <s v="SV2718"/>
    <s v="107643206"/>
    <s v="SANTIAGO"/>
    <x v="5153"/>
    <x v="1"/>
    <x v="1"/>
    <x v="20"/>
    <x v="1"/>
    <n v="1"/>
    <n v="69173"/>
    <n v="0"/>
    <n v="69173"/>
    <n v="22.078133478024959"/>
    <n v="5000"/>
    <n v="63"/>
    <x v="6481"/>
    <x v="5"/>
    <x v="4"/>
    <x v="1"/>
  </r>
  <r>
    <x v="601"/>
    <s v="ZPEP"/>
    <x v="2"/>
    <s v="RJ6819"/>
    <n v="94742285"/>
    <s v="TEMUCO"/>
    <x v="5154"/>
    <x v="5"/>
    <x v="0"/>
    <x v="14"/>
    <x v="4"/>
    <n v="0"/>
    <n v="779000"/>
    <n v="0"/>
    <n v="779000"/>
    <n v="57.517220094552698"/>
    <n v="14000"/>
    <n v="97"/>
    <x v="6482"/>
    <x v="6"/>
    <x v="4"/>
    <x v="0"/>
  </r>
  <r>
    <x v="601"/>
    <s v="ZPEP"/>
    <x v="89"/>
    <s v="DJLF85"/>
    <n v="53173292"/>
    <s v="PADRE HURTADO"/>
    <x v="5155"/>
    <x v="4"/>
    <x v="1"/>
    <x v="26"/>
    <x v="1"/>
    <n v="5"/>
    <n v="87500"/>
    <n v="0"/>
    <n v="87500"/>
    <n v="8.6106792103761158"/>
    <n v="10000"/>
    <n v="100"/>
    <x v="6483"/>
    <x v="6"/>
    <x v="4"/>
    <x v="1"/>
  </r>
  <r>
    <x v="601"/>
    <s v="ZPEP"/>
    <x v="89"/>
    <s v="SU9354"/>
    <n v="72564391"/>
    <s v="PADRE HURTADO"/>
    <x v="5156"/>
    <x v="2"/>
    <x v="1"/>
    <x v="26"/>
    <x v="1"/>
    <n v="5"/>
    <n v="87500"/>
    <n v="0"/>
    <n v="87500"/>
    <n v="5.9811310694809201"/>
    <n v="10000"/>
    <n v="100"/>
    <x v="6484"/>
    <x v="6"/>
    <x v="4"/>
    <x v="1"/>
  </r>
  <r>
    <x v="601"/>
    <s v="ZTAN"/>
    <x v="7"/>
    <s v="DRFV76"/>
    <n v="113693568"/>
    <s v="CORONEL"/>
    <x v="5157"/>
    <x v="0"/>
    <x v="0"/>
    <x v="16"/>
    <x v="0"/>
    <n v="0"/>
    <n v="528000"/>
    <n v="0"/>
    <n v="528000"/>
    <n v="47.817337769719671"/>
    <n v="14000"/>
    <n v="79"/>
    <x v="6485"/>
    <x v="6"/>
    <x v="4"/>
    <x v="0"/>
  </r>
  <r>
    <x v="601"/>
    <s v="ZTAN"/>
    <x v="7"/>
    <s v="RFV76"/>
    <n v="113693568"/>
    <s v="CORONEL"/>
    <x v="5158"/>
    <x v="0"/>
    <x v="0"/>
    <x v="16"/>
    <x v="0"/>
    <n v="0"/>
    <n v="528000"/>
    <n v="0"/>
    <n v="528000"/>
    <n v="84.493518963034077"/>
    <n v="14000"/>
    <n v="45"/>
    <x v="6486"/>
    <x v="6"/>
    <x v="4"/>
    <x v="0"/>
  </r>
  <r>
    <x v="601"/>
    <s v="ZTAN"/>
    <x v="8"/>
    <s v="SV2718"/>
    <n v="107643206"/>
    <s v="ÑUÑOA"/>
    <x v="5159"/>
    <x v="1"/>
    <x v="1"/>
    <x v="15"/>
    <x v="1"/>
    <n v="4"/>
    <n v="58101"/>
    <n v="0"/>
    <n v="58101"/>
    <n v="11.00001893258108"/>
    <n v="5000"/>
    <n v="100"/>
    <x v="6487"/>
    <x v="6"/>
    <x v="4"/>
    <x v="1"/>
  </r>
  <r>
    <x v="601"/>
    <s v="ZTAN"/>
    <x v="8"/>
    <s v="XR6339"/>
    <n v="78907355"/>
    <s v="LAS CONDES"/>
    <x v="5160"/>
    <x v="1"/>
    <x v="1"/>
    <x v="3"/>
    <x v="1"/>
    <n v="4"/>
    <n v="69173"/>
    <n v="0"/>
    <n v="69173"/>
    <n v="23.638221383854123"/>
    <n v="5000"/>
    <n v="59"/>
    <x v="6488"/>
    <x v="6"/>
    <x v="4"/>
    <x v="1"/>
  </r>
  <r>
    <x v="602"/>
    <s v="ZPEP"/>
    <x v="2"/>
    <s v="DKDL88"/>
    <s v="122975819"/>
    <s v="TEMUCO"/>
    <x v="5161"/>
    <x v="0"/>
    <x v="0"/>
    <x v="14"/>
    <x v="4"/>
    <n v="0"/>
    <n v="779000"/>
    <n v="0"/>
    <n v="779000"/>
    <n v="56.525051699742448"/>
    <n v="14000"/>
    <n v="98"/>
    <x v="6489"/>
    <x v="6"/>
    <x v="4"/>
    <x v="0"/>
  </r>
  <r>
    <x v="602"/>
    <s v="ZPEP"/>
    <x v="103"/>
    <s v="DJLF85"/>
    <s v="125108660"/>
    <s v="SANTIAGO"/>
    <x v="5162"/>
    <x v="4"/>
    <x v="1"/>
    <x v="20"/>
    <x v="1"/>
    <n v="1"/>
    <n v="69173"/>
    <n v="0"/>
    <n v="69173"/>
    <n v="17.320963541666671"/>
    <n v="5000"/>
    <n v="80"/>
    <x v="6490"/>
    <x v="6"/>
    <x v="4"/>
    <x v="1"/>
  </r>
  <r>
    <x v="602"/>
    <s v="ZTAN"/>
    <x v="127"/>
    <s v="PBFY95"/>
    <s v="17510674K"/>
    <s v="TEMUCO"/>
    <x v="5163"/>
    <x v="0"/>
    <x v="0"/>
    <x v="14"/>
    <x v="4"/>
    <n v="0"/>
    <n v="779000"/>
    <n v="0"/>
    <n v="779000"/>
    <n v="32.652068942391523"/>
    <n v="14000"/>
    <n v="100"/>
    <x v="6491"/>
    <x v="6"/>
    <x v="4"/>
    <x v="0"/>
  </r>
  <r>
    <x v="602"/>
    <s v="ZTAN"/>
    <x v="127"/>
    <s v="PYCP22"/>
    <s v="114163848"/>
    <s v="TEMUCO"/>
    <x v="5164"/>
    <x v="0"/>
    <x v="0"/>
    <x v="14"/>
    <x v="4"/>
    <n v="0"/>
    <n v="779000"/>
    <n v="0"/>
    <n v="779000"/>
    <n v="37.112946272459524"/>
    <n v="14000"/>
    <n v="100"/>
    <x v="6492"/>
    <x v="6"/>
    <x v="4"/>
    <x v="0"/>
  </r>
  <r>
    <x v="602"/>
    <s v="ZTAN"/>
    <x v="10"/>
    <s v="KKPF51"/>
    <s v="95707734"/>
    <s v="QUILICURA"/>
    <x v="5165"/>
    <x v="8"/>
    <x v="0"/>
    <x v="8"/>
    <x v="1"/>
    <n v="1"/>
    <n v="99585"/>
    <n v="0"/>
    <n v="99585"/>
    <n v="11.000038660576706"/>
    <n v="5000"/>
    <n v="100"/>
    <x v="6493"/>
    <x v="6"/>
    <x v="4"/>
    <x v="1"/>
  </r>
  <r>
    <x v="602"/>
    <s v="ZTAN"/>
    <x v="10"/>
    <s v="PN4466"/>
    <s v="81417709"/>
    <s v="SANTIAGO"/>
    <x v="5166"/>
    <x v="1"/>
    <x v="0"/>
    <x v="20"/>
    <x v="1"/>
    <n v="1"/>
    <n v="70412"/>
    <n v="0"/>
    <n v="70412"/>
    <n v="11.000035931492699"/>
    <n v="5000"/>
    <n v="100"/>
    <x v="6494"/>
    <x v="6"/>
    <x v="4"/>
    <x v="1"/>
  </r>
  <r>
    <x v="602"/>
    <s v="ZTAN"/>
    <x v="7"/>
    <s v="WC2233"/>
    <s v="125108660"/>
    <s v="SANTIAGO"/>
    <x v="5167"/>
    <x v="4"/>
    <x v="1"/>
    <x v="20"/>
    <x v="1"/>
    <n v="1"/>
    <n v="69173"/>
    <n v="0"/>
    <n v="69173"/>
    <n v="17.948179053668358"/>
    <n v="5000"/>
    <n v="77"/>
    <x v="6495"/>
    <x v="6"/>
    <x v="4"/>
    <x v="1"/>
  </r>
  <r>
    <x v="602"/>
    <s v="ZTAN"/>
    <x v="7"/>
    <s v="WG4022"/>
    <s v="154837728"/>
    <s v="RENCA"/>
    <x v="5168"/>
    <x v="1"/>
    <x v="0"/>
    <x v="7"/>
    <x v="1"/>
    <n v="1"/>
    <n v="199387"/>
    <n v="0"/>
    <n v="199387"/>
    <n v="11.000012688906089"/>
    <n v="5000"/>
    <n v="100"/>
    <x v="6496"/>
    <x v="6"/>
    <x v="4"/>
    <x v="1"/>
  </r>
  <r>
    <x v="602"/>
    <s v="ZTAN"/>
    <x v="8"/>
    <s v="DJLF85"/>
    <s v="53173292"/>
    <s v="EL BOSQUE"/>
    <x v="5169"/>
    <x v="4"/>
    <x v="1"/>
    <x v="25"/>
    <x v="1"/>
    <n v="3"/>
    <n v="69173"/>
    <n v="0"/>
    <n v="69173"/>
    <n v="22.115403060278403"/>
    <n v="5000"/>
    <n v="63"/>
    <x v="6497"/>
    <x v="6"/>
    <x v="4"/>
    <x v="1"/>
  </r>
  <r>
    <x v="602"/>
    <s v="ZTAN"/>
    <x v="8"/>
    <s v="SU9354"/>
    <s v="72564391"/>
    <s v="VALPARAISO"/>
    <x v="5170"/>
    <x v="2"/>
    <x v="1"/>
    <x v="36"/>
    <x v="2"/>
    <n v="0"/>
    <n v="227000"/>
    <n v="0"/>
    <n v="227000"/>
    <n v="47.158052185474489"/>
    <n v="14000"/>
    <n v="34"/>
    <x v="6498"/>
    <x v="6"/>
    <x v="4"/>
    <x v="0"/>
  </r>
  <r>
    <x v="602"/>
    <s v="ZTAN"/>
    <x v="8"/>
    <s v="SV2718"/>
    <s v="107643206"/>
    <s v="SAN MIGUEL"/>
    <x v="5171"/>
    <x v="1"/>
    <x v="1"/>
    <x v="23"/>
    <x v="1"/>
    <n v="2"/>
    <n v="69173"/>
    <n v="0"/>
    <n v="69173"/>
    <n v="22.670752490823276"/>
    <n v="5000"/>
    <n v="61"/>
    <x v="6499"/>
    <x v="6"/>
    <x v="4"/>
    <x v="1"/>
  </r>
  <r>
    <x v="602"/>
    <s v="ZTAN"/>
    <x v="8"/>
    <s v="XR6339"/>
    <s v="78907355"/>
    <s v="PUENTE ALTO"/>
    <x v="5172"/>
    <x v="1"/>
    <x v="1"/>
    <x v="30"/>
    <x v="1"/>
    <n v="4"/>
    <n v="69173"/>
    <n v="0"/>
    <n v="69173"/>
    <n v="19.510413376054874"/>
    <n v="5000"/>
    <n v="71"/>
    <x v="6500"/>
    <x v="6"/>
    <x v="4"/>
    <x v="1"/>
  </r>
  <r>
    <x v="603"/>
    <s v="ZPEP"/>
    <x v="127"/>
    <s v="GGZX13"/>
    <s v="137998513"/>
    <s v="TEMUCO"/>
    <x v="5173"/>
    <x v="0"/>
    <x v="0"/>
    <x v="14"/>
    <x v="4"/>
    <n v="0"/>
    <n v="779000"/>
    <n v="0"/>
    <n v="779000"/>
    <n v="52.359293640194196"/>
    <n v="14000"/>
    <n v="100"/>
    <x v="6501"/>
    <x v="6"/>
    <x v="4"/>
    <x v="0"/>
  </r>
  <r>
    <x v="603"/>
    <s v="ZPEP"/>
    <x v="127"/>
    <s v="PYCP18"/>
    <s v="139528778"/>
    <s v="CHILLAN"/>
    <x v="5174"/>
    <x v="0"/>
    <x v="0"/>
    <x v="21"/>
    <x v="5"/>
    <n v="0"/>
    <n v="440000"/>
    <n v="0"/>
    <n v="440000"/>
    <n v="33.634052337643077"/>
    <n v="14000"/>
    <n v="93"/>
    <x v="6502"/>
    <x v="6"/>
    <x v="4"/>
    <x v="0"/>
  </r>
  <r>
    <x v="603"/>
    <s v="ZPEP"/>
    <x v="103"/>
    <s v="HLBX77"/>
    <s v="16093509K"/>
    <s v="SANTIAGO"/>
    <x v="5175"/>
    <x v="1"/>
    <x v="1"/>
    <x v="20"/>
    <x v="1"/>
    <n v="1"/>
    <n v="69173"/>
    <n v="0"/>
    <n v="69173"/>
    <n v="31.812454010301693"/>
    <n v="5000"/>
    <n v="43"/>
    <x v="6503"/>
    <x v="6"/>
    <x v="4"/>
    <x v="1"/>
  </r>
  <r>
    <x v="603"/>
    <s v="ZTAN"/>
    <x v="115"/>
    <s v="EMPRESACONSTRUCTORA"/>
    <s v="78907355"/>
    <s v="SANTIAGO"/>
    <x v="5176"/>
    <x v="0"/>
    <x v="0"/>
    <x v="20"/>
    <x v="1"/>
    <n v="1"/>
    <n v="81052"/>
    <n v="0"/>
    <n v="81052"/>
    <n v="10.999945714130613"/>
    <n v="5000"/>
    <n v="100"/>
    <x v="6504"/>
    <x v="6"/>
    <x v="4"/>
    <x v="1"/>
  </r>
  <r>
    <x v="603"/>
    <s v="ZTAN"/>
    <x v="8"/>
    <s v="HLBX77"/>
    <s v="16093509K"/>
    <s v="PUDAHUEL"/>
    <x v="5177"/>
    <x v="1"/>
    <x v="1"/>
    <x v="10"/>
    <x v="1"/>
    <n v="1"/>
    <n v="64359"/>
    <n v="0"/>
    <n v="64359"/>
    <n v="10.999958980248989"/>
    <n v="5000"/>
    <n v="100"/>
    <x v="6505"/>
    <x v="6"/>
    <x v="4"/>
    <x v="1"/>
  </r>
  <r>
    <x v="604"/>
    <s v="ZTAN"/>
    <x v="8"/>
    <s v="DPKD94"/>
    <n v="125897258"/>
    <s v="TEMUCO"/>
    <x v="5178"/>
    <x v="0"/>
    <x v="0"/>
    <x v="14"/>
    <x v="4"/>
    <n v="0"/>
    <n v="779000"/>
    <n v="0"/>
    <n v="779000"/>
    <n v="144.32768127112109"/>
    <n v="14000"/>
    <n v="39"/>
    <x v="6506"/>
    <x v="6"/>
    <x v="4"/>
    <x v="0"/>
  </r>
  <r>
    <x v="604"/>
    <s v="ZTAN"/>
    <x v="8"/>
    <s v="KKPF51"/>
    <n v="95707734"/>
    <s v="VALLENAR"/>
    <x v="5179"/>
    <x v="8"/>
    <x v="0"/>
    <x v="45"/>
    <x v="9"/>
    <n v="0"/>
    <n v="1006000"/>
    <n v="0"/>
    <n v="1006000"/>
    <n v="105.39549502357255"/>
    <n v="14000"/>
    <n v="70"/>
    <x v="6507"/>
    <x v="6"/>
    <x v="4"/>
    <x v="0"/>
  </r>
  <r>
    <x v="605"/>
    <s v="ZPEP"/>
    <x v="127"/>
    <s v="PYCP18"/>
    <n v="139528778"/>
    <s v="TEMUCO"/>
    <x v="5180"/>
    <x v="0"/>
    <x v="0"/>
    <x v="14"/>
    <x v="4"/>
    <n v="0"/>
    <n v="779000"/>
    <n v="0"/>
    <n v="779000"/>
    <n v="32.603555001234653"/>
    <n v="14000"/>
    <n v="100"/>
    <x v="6508"/>
    <x v="6"/>
    <x v="4"/>
    <x v="0"/>
  </r>
  <r>
    <x v="605"/>
    <s v="ZTAN"/>
    <x v="10"/>
    <s v="KKPF51"/>
    <n v="95707734"/>
    <s v="QUILICURA"/>
    <x v="5181"/>
    <x v="8"/>
    <x v="0"/>
    <x v="8"/>
    <x v="1"/>
    <n v="1"/>
    <n v="109779"/>
    <n v="0"/>
    <n v="109779"/>
    <n v="11.000021042316098"/>
    <n v="5000"/>
    <n v="100"/>
    <x v="6509"/>
    <x v="6"/>
    <x v="4"/>
    <x v="1"/>
  </r>
  <r>
    <x v="605"/>
    <s v="ZTAN"/>
    <x v="10"/>
    <s v="RH1133"/>
    <n v="65941082"/>
    <s v="SANTIAGO"/>
    <x v="5182"/>
    <x v="0"/>
    <x v="0"/>
    <x v="20"/>
    <x v="1"/>
    <n v="1"/>
    <n v="179868"/>
    <n v="0"/>
    <n v="179868"/>
    <n v="10.999970645218106"/>
    <n v="5000"/>
    <n v="100"/>
    <x v="6510"/>
    <x v="6"/>
    <x v="4"/>
    <x v="1"/>
  </r>
  <r>
    <x v="605"/>
    <s v="ZTAN"/>
    <x v="7"/>
    <s v="DJKG97"/>
    <n v="167832741"/>
    <s v="CORONEL"/>
    <x v="5183"/>
    <x v="0"/>
    <x v="0"/>
    <x v="16"/>
    <x v="0"/>
    <n v="0"/>
    <n v="528000"/>
    <n v="0"/>
    <n v="528000"/>
    <n v="31.501550019449816"/>
    <n v="14000"/>
    <n v="100"/>
    <x v="6511"/>
    <x v="6"/>
    <x v="4"/>
    <x v="0"/>
  </r>
  <r>
    <x v="605"/>
    <s v="ZTAN"/>
    <x v="7"/>
    <s v="DJLF85"/>
    <n v="53173292"/>
    <s v="RENCA"/>
    <x v="5184"/>
    <x v="4"/>
    <x v="1"/>
    <x v="7"/>
    <x v="1"/>
    <n v="1"/>
    <n v="149920"/>
    <n v="0"/>
    <n v="149920"/>
    <n v="10.999992662758363"/>
    <n v="5000"/>
    <n v="100"/>
    <x v="6512"/>
    <x v="6"/>
    <x v="4"/>
    <x v="1"/>
  </r>
  <r>
    <x v="605"/>
    <s v="ZTAN"/>
    <x v="7"/>
    <s v="GGZX13"/>
    <n v="137998513"/>
    <s v="CORONEL"/>
    <x v="5185"/>
    <x v="0"/>
    <x v="0"/>
    <x v="16"/>
    <x v="0"/>
    <n v="0"/>
    <n v="528000"/>
    <n v="0"/>
    <n v="528000"/>
    <n v="44.584201655695168"/>
    <n v="14000"/>
    <n v="85"/>
    <x v="6513"/>
    <x v="6"/>
    <x v="4"/>
    <x v="0"/>
  </r>
  <r>
    <x v="605"/>
    <s v="ZTAN"/>
    <x v="7"/>
    <s v="WG4022"/>
    <n v="154837728"/>
    <s v="RENCA"/>
    <x v="5186"/>
    <x v="1"/>
    <x v="0"/>
    <x v="7"/>
    <x v="1"/>
    <n v="1"/>
    <n v="181240"/>
    <n v="0"/>
    <n v="181240"/>
    <n v="11.000002427720693"/>
    <n v="5000"/>
    <n v="100"/>
    <x v="6514"/>
    <x v="6"/>
    <x v="4"/>
    <x v="1"/>
  </r>
  <r>
    <x v="606"/>
    <s v="ZPEP"/>
    <x v="127"/>
    <s v="DRFV76"/>
    <n v="113693568"/>
    <s v="CHILLAN"/>
    <x v="5187"/>
    <x v="0"/>
    <x v="0"/>
    <x v="21"/>
    <x v="5"/>
    <n v="0"/>
    <n v="440000"/>
    <n v="0"/>
    <n v="440000"/>
    <n v="19.077680847742766"/>
    <n v="14000"/>
    <n v="100"/>
    <x v="6515"/>
    <x v="6"/>
    <x v="4"/>
    <x v="0"/>
  </r>
  <r>
    <x v="606"/>
    <s v="ZPEP"/>
    <x v="89"/>
    <s v="DJLF85"/>
    <n v="53173292"/>
    <s v="PADRE HURTADO"/>
    <x v="5188"/>
    <x v="4"/>
    <x v="1"/>
    <x v="26"/>
    <x v="1"/>
    <n v="5"/>
    <n v="87500"/>
    <n v="0"/>
    <n v="87500"/>
    <n v="6.7057824536879505"/>
    <n v="10000"/>
    <n v="100"/>
    <x v="6516"/>
    <x v="6"/>
    <x v="4"/>
    <x v="1"/>
  </r>
  <r>
    <x v="606"/>
    <s v="ZPEP"/>
    <x v="116"/>
    <s v="SF9624"/>
    <n v="57635886"/>
    <s v="SANTIAGO"/>
    <x v="5189"/>
    <x v="0"/>
    <x v="0"/>
    <x v="20"/>
    <x v="1"/>
    <n v="1"/>
    <n v="69173"/>
    <n v="0"/>
    <n v="69173"/>
    <n v="15.045589399594567"/>
    <n v="5000"/>
    <n v="92"/>
    <x v="6517"/>
    <x v="6"/>
    <x v="4"/>
    <x v="1"/>
  </r>
  <r>
    <x v="606"/>
    <s v="ZPEP"/>
    <x v="7"/>
    <s v="KXTC79"/>
    <n v="170846392"/>
    <s v="RENCA"/>
    <x v="5190"/>
    <x v="0"/>
    <x v="0"/>
    <x v="7"/>
    <x v="1"/>
    <n v="1"/>
    <n v="296063"/>
    <n v="0"/>
    <n v="296063"/>
    <n v="10.999982909069567"/>
    <n v="5000"/>
    <n v="100"/>
    <x v="6518"/>
    <x v="6"/>
    <x v="4"/>
    <x v="1"/>
  </r>
  <r>
    <x v="606"/>
    <s v="ZTAN"/>
    <x v="7"/>
    <s v="WG4022"/>
    <n v="154837728"/>
    <s v="RENCA"/>
    <x v="5191"/>
    <x v="1"/>
    <x v="0"/>
    <x v="7"/>
    <x v="1"/>
    <n v="1"/>
    <n v="142263"/>
    <n v="0"/>
    <n v="142263"/>
    <n v="11"/>
    <n v="5000"/>
    <n v="100"/>
    <x v="6519"/>
    <x v="6"/>
    <x v="4"/>
    <x v="1"/>
  </r>
  <r>
    <x v="606"/>
    <s v="ZTAN"/>
    <x v="7"/>
    <s v="XR6339"/>
    <n v="78907355"/>
    <s v="RENCA"/>
    <x v="5192"/>
    <x v="1"/>
    <x v="1"/>
    <x v="7"/>
    <x v="1"/>
    <n v="1"/>
    <n v="100422"/>
    <n v="0"/>
    <n v="100422"/>
    <n v="10.012902248022286"/>
    <n v="5000"/>
    <n v="100"/>
    <x v="6520"/>
    <x v="6"/>
    <x v="4"/>
    <x v="1"/>
  </r>
  <r>
    <x v="606"/>
    <s v="ZTAN"/>
    <x v="8"/>
    <s v="HYFL62"/>
    <n v="99199296"/>
    <s v="VILLARRICA"/>
    <x v="5193"/>
    <x v="0"/>
    <x v="0"/>
    <x v="88"/>
    <x v="4"/>
    <n v="0"/>
    <n v="943000"/>
    <n v="0"/>
    <n v="943000"/>
    <n v="121.16648763664962"/>
    <n v="14000"/>
    <n v="56"/>
    <x v="6521"/>
    <x v="6"/>
    <x v="4"/>
    <x v="0"/>
  </r>
  <r>
    <x v="606"/>
    <s v="ZTAN"/>
    <x v="8"/>
    <s v="SU9354"/>
    <n v="72564391"/>
    <s v="REÑACA"/>
    <x v="5194"/>
    <x v="2"/>
    <x v="1"/>
    <x v="6"/>
    <x v="2"/>
    <n v="0"/>
    <n v="227000"/>
    <n v="0"/>
    <n v="227000"/>
    <n v="46.922348680593167"/>
    <n v="14000"/>
    <n v="35"/>
    <x v="6522"/>
    <x v="6"/>
    <x v="4"/>
    <x v="0"/>
  </r>
  <r>
    <x v="607"/>
    <s v="ZPEP"/>
    <x v="127"/>
    <s v="RJ6819"/>
    <s v="94742285"/>
    <s v="TEMUCO"/>
    <x v="5195"/>
    <x v="5"/>
    <x v="0"/>
    <x v="14"/>
    <x v="4"/>
    <n v="0"/>
    <n v="779000"/>
    <n v="0"/>
    <n v="779000"/>
    <n v="34.380686439754136"/>
    <n v="14000"/>
    <n v="100"/>
    <x v="6523"/>
    <x v="6"/>
    <x v="4"/>
    <x v="0"/>
  </r>
  <r>
    <x v="607"/>
    <s v="ZPEP"/>
    <x v="89"/>
    <s v="DJLF85"/>
    <s v="53173292"/>
    <s v="PADRE HURTADO"/>
    <x v="5196"/>
    <x v="4"/>
    <x v="1"/>
    <x v="26"/>
    <x v="1"/>
    <n v="5"/>
    <n v="87500"/>
    <n v="0"/>
    <n v="87500"/>
    <n v="8.6804866628042632"/>
    <n v="10000"/>
    <n v="100"/>
    <x v="6524"/>
    <x v="6"/>
    <x v="4"/>
    <x v="1"/>
  </r>
  <r>
    <x v="607"/>
    <s v="ZPEP"/>
    <x v="120"/>
    <s v="WC2233"/>
    <s v="125108660"/>
    <s v="PROVIDENCIA"/>
    <x v="5197"/>
    <x v="4"/>
    <x v="1"/>
    <x v="54"/>
    <x v="1"/>
    <n v="2"/>
    <n v="81937"/>
    <n v="0"/>
    <n v="81937"/>
    <n v="11.000026849962412"/>
    <n v="5000"/>
    <n v="100"/>
    <x v="6525"/>
    <x v="6"/>
    <x v="4"/>
    <x v="1"/>
  </r>
  <r>
    <x v="607"/>
    <s v="ZTAN"/>
    <x v="123"/>
    <s v="SU9354"/>
    <s v="72564391"/>
    <s v="SANTIAGO"/>
    <x v="5198"/>
    <x v="2"/>
    <x v="1"/>
    <x v="20"/>
    <x v="1"/>
    <n v="1"/>
    <n v="98699"/>
    <n v="0"/>
    <n v="98699"/>
    <n v="11.000044580166284"/>
    <n v="5000"/>
    <n v="100"/>
    <x v="6526"/>
    <x v="6"/>
    <x v="4"/>
    <x v="1"/>
  </r>
  <r>
    <x v="607"/>
    <s v="ZTAN"/>
    <x v="7"/>
    <s v="FYTP84"/>
    <s v="124860342"/>
    <s v="LOS ANGELES"/>
    <x v="5199"/>
    <x v="0"/>
    <x v="0"/>
    <x v="57"/>
    <x v="0"/>
    <n v="0"/>
    <n v="528000"/>
    <n v="0"/>
    <n v="528000"/>
    <n v="19.923400562232342"/>
    <n v="14000"/>
    <n v="100"/>
    <x v="6527"/>
    <x v="6"/>
    <x v="4"/>
    <x v="0"/>
  </r>
  <r>
    <x v="607"/>
    <s v="ZTAN"/>
    <x v="7"/>
    <s v="RKYY82"/>
    <s v="101495566"/>
    <s v="CORONEL"/>
    <x v="5200"/>
    <x v="0"/>
    <x v="0"/>
    <x v="16"/>
    <x v="0"/>
    <n v="0"/>
    <n v="528000"/>
    <n v="0"/>
    <n v="528000"/>
    <n v="34.347271733756607"/>
    <n v="14000"/>
    <n v="100"/>
    <x v="6528"/>
    <x v="6"/>
    <x v="4"/>
    <x v="0"/>
  </r>
  <r>
    <x v="607"/>
    <s v="ZTAN"/>
    <x v="7"/>
    <s v="WG4022"/>
    <s v="154837728"/>
    <s v="RENCA"/>
    <x v="5201"/>
    <x v="1"/>
    <x v="0"/>
    <x v="7"/>
    <x v="1"/>
    <n v="1"/>
    <n v="153674"/>
    <n v="0"/>
    <n v="153674"/>
    <n v="11.0000107370252"/>
    <n v="5000"/>
    <n v="100"/>
    <x v="6529"/>
    <x v="6"/>
    <x v="4"/>
    <x v="1"/>
  </r>
  <r>
    <x v="607"/>
    <s v="ZTAN"/>
    <x v="7"/>
    <s v="XR6339"/>
    <s v="78907355"/>
    <s v="RENCA"/>
    <x v="5202"/>
    <x v="1"/>
    <x v="1"/>
    <x v="7"/>
    <x v="1"/>
    <n v="1"/>
    <n v="76278"/>
    <n v="0"/>
    <n v="76278"/>
    <n v="11.000069220918565"/>
    <n v="5000"/>
    <n v="100"/>
    <x v="6530"/>
    <x v="6"/>
    <x v="4"/>
    <x v="1"/>
  </r>
  <r>
    <x v="607"/>
    <s v="ZTAN"/>
    <x v="8"/>
    <s v="HLBX77"/>
    <s v="16093509K"/>
    <s v="PUDAHUEL"/>
    <x v="5203"/>
    <x v="1"/>
    <x v="1"/>
    <x v="10"/>
    <x v="1"/>
    <n v="1"/>
    <n v="69173"/>
    <n v="0"/>
    <n v="69173"/>
    <n v="14.907074573086103"/>
    <n v="5000"/>
    <n v="93"/>
    <x v="6531"/>
    <x v="6"/>
    <x v="4"/>
    <x v="1"/>
  </r>
  <r>
    <x v="608"/>
    <s v="ZPEP"/>
    <x v="127"/>
    <s v="BPKD94"/>
    <s v="125897258"/>
    <s v="CHILLAN"/>
    <x v="5204"/>
    <x v="0"/>
    <x v="0"/>
    <x v="21"/>
    <x v="5"/>
    <n v="0"/>
    <n v="440000"/>
    <n v="0"/>
    <n v="440000"/>
    <n v="21.566893641883681"/>
    <n v="14000"/>
    <n v="100"/>
    <x v="6532"/>
    <x v="6"/>
    <x v="4"/>
    <x v="0"/>
  </r>
  <r>
    <x v="608"/>
    <s v="ZPEP"/>
    <x v="127"/>
    <s v="PYCL28"/>
    <s v="160374632"/>
    <s v="TEMUCO"/>
    <x v="5205"/>
    <x v="0"/>
    <x v="0"/>
    <x v="14"/>
    <x v="4"/>
    <n v="0"/>
    <n v="779000"/>
    <n v="0"/>
    <n v="779000"/>
    <n v="37.718947839876044"/>
    <n v="14000"/>
    <n v="100"/>
    <x v="6533"/>
    <x v="6"/>
    <x v="4"/>
    <x v="0"/>
  </r>
  <r>
    <x v="608"/>
    <s v="ZPEP"/>
    <x v="89"/>
    <s v="SU9354"/>
    <s v="72564391"/>
    <s v="PADRE HURTADO"/>
    <x v="5206"/>
    <x v="2"/>
    <x v="1"/>
    <x v="26"/>
    <x v="1"/>
    <n v="5"/>
    <n v="87500"/>
    <n v="0"/>
    <n v="87500"/>
    <n v="8.7887142864317305"/>
    <n v="10000"/>
    <n v="100"/>
    <x v="6534"/>
    <x v="6"/>
    <x v="4"/>
    <x v="1"/>
  </r>
  <r>
    <x v="608"/>
    <s v="ZPEP"/>
    <x v="120"/>
    <s v="DJLF85"/>
    <s v="53173292"/>
    <s v="PEÑALOLEN"/>
    <x v="5207"/>
    <x v="4"/>
    <x v="1"/>
    <x v="34"/>
    <x v="1"/>
    <n v="4"/>
    <n v="88050"/>
    <n v="0"/>
    <n v="88050"/>
    <n v="11.000048722532672"/>
    <n v="5000"/>
    <n v="100"/>
    <x v="6535"/>
    <x v="6"/>
    <x v="4"/>
    <x v="1"/>
  </r>
  <r>
    <x v="608"/>
    <s v="ZTAN"/>
    <x v="13"/>
    <s v="SV2718"/>
    <s v="107643206"/>
    <s v="SANTIAGO"/>
    <x v="4518"/>
    <x v="1"/>
    <x v="1"/>
    <x v="20"/>
    <x v="1"/>
    <n v="1"/>
    <n v="69173"/>
    <n v="0"/>
    <n v="69173"/>
    <n v="35.473333333333336"/>
    <n v="5000"/>
    <n v="39"/>
    <x v="6536"/>
    <x v="6"/>
    <x v="4"/>
    <x v="1"/>
  </r>
  <r>
    <x v="608"/>
    <s v="ZTAN"/>
    <x v="6"/>
    <s v="XR6339"/>
    <s v="78907355"/>
    <s v="SANTIAGO"/>
    <x v="4808"/>
    <x v="1"/>
    <x v="1"/>
    <x v="20"/>
    <x v="1"/>
    <n v="1"/>
    <n v="69173"/>
    <n v="0"/>
    <n v="69173"/>
    <n v="14.749040511727079"/>
    <n v="5000"/>
    <n v="94"/>
    <x v="6537"/>
    <x v="6"/>
    <x v="4"/>
    <x v="1"/>
  </r>
  <r>
    <x v="608"/>
    <s v="ZTAN"/>
    <x v="128"/>
    <s v="RH1133"/>
    <s v="65941082"/>
    <s v="SANTIAGO"/>
    <x v="5208"/>
    <x v="0"/>
    <x v="0"/>
    <x v="20"/>
    <x v="1"/>
    <n v="1"/>
    <n v="122364"/>
    <n v="0"/>
    <n v="122364"/>
    <n v="11"/>
    <n v="5000"/>
    <n v="100"/>
    <x v="6538"/>
    <x v="6"/>
    <x v="4"/>
    <x v="1"/>
  </r>
  <r>
    <x v="608"/>
    <s v="ZTAN"/>
    <x v="129"/>
    <s v="KKPF51"/>
    <s v="95707734"/>
    <s v="SANTIAGO"/>
    <x v="5209"/>
    <x v="8"/>
    <x v="0"/>
    <x v="20"/>
    <x v="1"/>
    <n v="1"/>
    <n v="206237"/>
    <n v="0"/>
    <n v="206237"/>
    <n v="8.402814560092569"/>
    <n v="5000"/>
    <n v="100"/>
    <x v="6539"/>
    <x v="6"/>
    <x v="4"/>
    <x v="1"/>
  </r>
  <r>
    <x v="608"/>
    <s v="ZTAN"/>
    <x v="7"/>
    <s v="WG4022"/>
    <s v="154837728"/>
    <s v="RENCA"/>
    <x v="5210"/>
    <x v="1"/>
    <x v="0"/>
    <x v="7"/>
    <x v="1"/>
    <n v="1"/>
    <n v="191827"/>
    <n v="0"/>
    <n v="191827"/>
    <n v="10.999992545371448"/>
    <n v="5000"/>
    <n v="100"/>
    <x v="6540"/>
    <x v="6"/>
    <x v="4"/>
    <x v="1"/>
  </r>
  <r>
    <x v="608"/>
    <s v="ZTAN"/>
    <x v="8"/>
    <s v="HLBX77"/>
    <s v="16093509K"/>
    <s v="PUDAHUEL"/>
    <x v="5211"/>
    <x v="1"/>
    <x v="1"/>
    <x v="10"/>
    <x v="1"/>
    <n v="1"/>
    <n v="69173"/>
    <n v="0"/>
    <n v="69173"/>
    <n v="17.065510758922183"/>
    <n v="5000"/>
    <n v="81"/>
    <x v="6541"/>
    <x v="6"/>
    <x v="4"/>
    <x v="1"/>
  </r>
  <r>
    <x v="608"/>
    <s v="ZTAN"/>
    <x v="8"/>
    <s v="SV2718"/>
    <s v="107643206"/>
    <s v="MAIPU"/>
    <x v="5212"/>
    <x v="1"/>
    <x v="1"/>
    <x v="2"/>
    <x v="1"/>
    <n v="2"/>
    <n v="69173"/>
    <n v="0"/>
    <n v="69173"/>
    <n v="16.338624988485275"/>
    <n v="5000"/>
    <n v="85"/>
    <x v="6542"/>
    <x v="6"/>
    <x v="4"/>
    <x v="1"/>
  </r>
  <r>
    <x v="609"/>
    <s v="ZPEP"/>
    <x v="116"/>
    <s v="CYWH42"/>
    <s v="151873413"/>
    <s v="SANTIAGO"/>
    <x v="5189"/>
    <x v="0"/>
    <x v="0"/>
    <x v="20"/>
    <x v="1"/>
    <n v="1"/>
    <n v="69173"/>
    <n v="0"/>
    <n v="69173"/>
    <n v="15.045589399594567"/>
    <n v="5000"/>
    <n v="92"/>
    <x v="6543"/>
    <x v="6"/>
    <x v="4"/>
    <x v="1"/>
  </r>
  <r>
    <x v="609"/>
    <s v="ZTAN"/>
    <x v="4"/>
    <s v="DJLF85"/>
    <s v="53173292"/>
    <s v="SAN BERNARDO"/>
    <x v="4761"/>
    <x v="4"/>
    <x v="1"/>
    <x v="4"/>
    <x v="1"/>
    <n v="4"/>
    <n v="75387"/>
    <n v="0"/>
    <n v="75387"/>
    <n v="10.999941634809002"/>
    <n v="5000"/>
    <n v="100"/>
    <x v="6544"/>
    <x v="6"/>
    <x v="4"/>
    <x v="1"/>
  </r>
  <r>
    <x v="609"/>
    <s v="ZTAN"/>
    <x v="4"/>
    <s v="RH1133"/>
    <s v="65941082"/>
    <s v="RENGO"/>
    <x v="5213"/>
    <x v="0"/>
    <x v="0"/>
    <x v="91"/>
    <x v="6"/>
    <n v="0"/>
    <n v="352000"/>
    <n v="0"/>
    <n v="352000"/>
    <n v="22.689037714079465"/>
    <n v="14000"/>
    <n v="100"/>
    <x v="6545"/>
    <x v="6"/>
    <x v="4"/>
    <x v="0"/>
  </r>
  <r>
    <x v="609"/>
    <s v="ZTAN"/>
    <x v="70"/>
    <s v="HLBX77"/>
    <s v="16093509K"/>
    <s v="SANTIAGO"/>
    <x v="234"/>
    <x v="1"/>
    <x v="1"/>
    <x v="20"/>
    <x v="1"/>
    <n v="1"/>
    <n v="99053"/>
    <n v="0"/>
    <n v="99053"/>
    <n v="11.000022210376692"/>
    <n v="5000"/>
    <n v="100"/>
    <x v="6546"/>
    <x v="6"/>
    <x v="4"/>
    <x v="1"/>
  </r>
  <r>
    <x v="609"/>
    <s v="ZTAN"/>
    <x v="70"/>
    <s v="SU9354"/>
    <s v="72564391"/>
    <s v="SANTIAGO"/>
    <x v="414"/>
    <x v="2"/>
    <x v="1"/>
    <x v="20"/>
    <x v="1"/>
    <n v="1"/>
    <n v="107307"/>
    <n v="0"/>
    <n v="107307"/>
    <n v="10.999979498113829"/>
    <n v="5000"/>
    <n v="100"/>
    <x v="6547"/>
    <x v="6"/>
    <x v="4"/>
    <x v="1"/>
  </r>
  <r>
    <x v="609"/>
    <s v="ZTAN"/>
    <x v="7"/>
    <s v="DJKG97"/>
    <s v="167832741"/>
    <s v="CORONEL"/>
    <x v="5214"/>
    <x v="0"/>
    <x v="0"/>
    <x v="16"/>
    <x v="0"/>
    <n v="0"/>
    <n v="528000"/>
    <n v="0"/>
    <n v="528000"/>
    <n v="29.819389380231115"/>
    <n v="14000"/>
    <n v="100"/>
    <x v="6548"/>
    <x v="6"/>
    <x v="4"/>
    <x v="0"/>
  </r>
  <r>
    <x v="609"/>
    <s v="ZTAN"/>
    <x v="7"/>
    <s v="PBKY95"/>
    <s v="17510674K"/>
    <s v="LOS ANGELES"/>
    <x v="5215"/>
    <x v="0"/>
    <x v="0"/>
    <x v="57"/>
    <x v="0"/>
    <n v="0"/>
    <n v="528000"/>
    <n v="0"/>
    <n v="528000"/>
    <n v="20.289509785461483"/>
    <n v="14000"/>
    <n v="100"/>
    <x v="6549"/>
    <x v="6"/>
    <x v="4"/>
    <x v="0"/>
  </r>
  <r>
    <x v="609"/>
    <s v="ZTAN"/>
    <x v="7"/>
    <s v="RJ6819"/>
    <s v="94742285"/>
    <s v="CORONEL"/>
    <x v="5216"/>
    <x v="5"/>
    <x v="0"/>
    <x v="16"/>
    <x v="0"/>
    <n v="0"/>
    <n v="528000"/>
    <n v="0"/>
    <n v="528000"/>
    <n v="25.648698328559824"/>
    <n v="14000"/>
    <n v="100"/>
    <x v="6550"/>
    <x v="6"/>
    <x v="4"/>
    <x v="0"/>
  </r>
  <r>
    <x v="609"/>
    <s v="ZTAN"/>
    <x v="8"/>
    <s v="SV2718"/>
    <s v="107643206"/>
    <s v="CERRILLOS"/>
    <x v="5217"/>
    <x v="1"/>
    <x v="1"/>
    <x v="9"/>
    <x v="1"/>
    <n v="2"/>
    <n v="69173"/>
    <n v="0"/>
    <n v="69173"/>
    <n v="26.564438146368801"/>
    <n v="5000"/>
    <n v="52"/>
    <x v="6551"/>
    <x v="6"/>
    <x v="4"/>
    <x v="1"/>
  </r>
  <r>
    <x v="610"/>
    <s v="ZPEP"/>
    <x v="116"/>
    <s v="CYWH42"/>
    <s v="151873413"/>
    <s v="SANTIAGO"/>
    <x v="5218"/>
    <x v="0"/>
    <x v="0"/>
    <x v="20"/>
    <x v="1"/>
    <n v="1"/>
    <n v="101146"/>
    <n v="0"/>
    <n v="101146"/>
    <n v="10.999965198931607"/>
    <n v="5000"/>
    <n v="100"/>
    <x v="6552"/>
    <x v="6"/>
    <x v="4"/>
    <x v="1"/>
  </r>
  <r>
    <x v="610"/>
    <s v="ZTAN"/>
    <x v="10"/>
    <s v="SU9354"/>
    <s v="72564391"/>
    <s v="QUILICURA"/>
    <x v="5219"/>
    <x v="2"/>
    <x v="1"/>
    <x v="8"/>
    <x v="1"/>
    <n v="1"/>
    <n v="56164"/>
    <n v="0"/>
    <n v="56164"/>
    <n v="11.000039171138708"/>
    <n v="5000"/>
    <n v="100"/>
    <x v="6553"/>
    <x v="6"/>
    <x v="4"/>
    <x v="1"/>
  </r>
  <r>
    <x v="610"/>
    <s v="ZTAN"/>
    <x v="105"/>
    <s v="KKPF51"/>
    <s v="95707734"/>
    <s v="VALPARAISO"/>
    <x v="5220"/>
    <x v="8"/>
    <x v="0"/>
    <x v="36"/>
    <x v="2"/>
    <n v="0"/>
    <n v="289000"/>
    <n v="0"/>
    <n v="289000"/>
    <n v="29.044058530310341"/>
    <n v="14000"/>
    <n v="71"/>
    <x v="6554"/>
    <x v="6"/>
    <x v="4"/>
    <x v="0"/>
  </r>
  <r>
    <x v="610"/>
    <s v="ZTAN"/>
    <x v="7"/>
    <s v="DJLF85"/>
    <s v="53173292"/>
    <s v="RENCA"/>
    <x v="5221"/>
    <x v="4"/>
    <x v="1"/>
    <x v="7"/>
    <x v="1"/>
    <n v="1"/>
    <n v="113615"/>
    <n v="0"/>
    <n v="113615"/>
    <n v="9.4864151762603743"/>
    <n v="5000"/>
    <n v="100"/>
    <x v="6555"/>
    <x v="6"/>
    <x v="4"/>
    <x v="1"/>
  </r>
  <r>
    <x v="610"/>
    <s v="ZTAN"/>
    <x v="7"/>
    <s v="WG4022"/>
    <s v="154837728"/>
    <s v="RENCA"/>
    <x v="5222"/>
    <x v="1"/>
    <x v="0"/>
    <x v="7"/>
    <x v="1"/>
    <n v="1"/>
    <n v="200578"/>
    <n v="0"/>
    <n v="200578"/>
    <n v="10.99997806344053"/>
    <n v="5000"/>
    <n v="100"/>
    <x v="6556"/>
    <x v="6"/>
    <x v="4"/>
    <x v="1"/>
  </r>
  <r>
    <x v="610"/>
    <s v="ZTAN"/>
    <x v="8"/>
    <s v="HLBX77"/>
    <s v="169093509K"/>
    <s v="QUILICURA"/>
    <x v="5223"/>
    <x v="1"/>
    <x v="1"/>
    <x v="8"/>
    <x v="1"/>
    <n v="1"/>
    <n v="69173"/>
    <n v="0"/>
    <n v="69173"/>
    <n v="24.573001776198936"/>
    <n v="5000"/>
    <n v="56"/>
    <x v="6557"/>
    <x v="6"/>
    <x v="4"/>
    <x v="1"/>
  </r>
  <r>
    <x v="610"/>
    <s v="ZTAN"/>
    <x v="8"/>
    <s v="SV2718"/>
    <s v="107643206"/>
    <s v="ÑUÑOA"/>
    <x v="5224"/>
    <x v="1"/>
    <x v="1"/>
    <x v="15"/>
    <x v="1"/>
    <n v="4"/>
    <n v="69173"/>
    <n v="0"/>
    <n v="69173"/>
    <n v="22.722136451729462"/>
    <n v="5000"/>
    <n v="61"/>
    <x v="6558"/>
    <x v="6"/>
    <x v="4"/>
    <x v="1"/>
  </r>
  <r>
    <x v="610"/>
    <s v="ZTAN"/>
    <x v="8"/>
    <s v="XR6339"/>
    <s v="78907355"/>
    <s v="PUENTE ALTO"/>
    <x v="5225"/>
    <x v="1"/>
    <x v="1"/>
    <x v="30"/>
    <x v="1"/>
    <n v="4"/>
    <n v="69173"/>
    <n v="0"/>
    <n v="69173"/>
    <n v="22.521504711175936"/>
    <n v="5000"/>
    <n v="61"/>
    <x v="6559"/>
    <x v="6"/>
    <x v="4"/>
    <x v="1"/>
  </r>
  <r>
    <x v="611"/>
    <s v="ZPEP"/>
    <x v="127"/>
    <s v="DKDL88"/>
    <s v="122975819"/>
    <s v="TEMUCO"/>
    <x v="5226"/>
    <x v="0"/>
    <x v="0"/>
    <x v="14"/>
    <x v="4"/>
    <n v="0"/>
    <n v="779000"/>
    <n v="0"/>
    <n v="779000"/>
    <n v="50.512353480132568"/>
    <n v="14000"/>
    <n v="100"/>
    <x v="6560"/>
    <x v="6"/>
    <x v="4"/>
    <x v="0"/>
  </r>
  <r>
    <x v="611"/>
    <s v="ZPEP"/>
    <x v="7"/>
    <s v="HLZV71"/>
    <s v="90366327"/>
    <s v="RENCA"/>
    <x v="5227"/>
    <x v="0"/>
    <x v="0"/>
    <x v="7"/>
    <x v="1"/>
    <n v="1"/>
    <n v="282502"/>
    <n v="0"/>
    <n v="282502"/>
    <n v="11"/>
    <n v="5000"/>
    <n v="100"/>
    <x v="6561"/>
    <x v="6"/>
    <x v="4"/>
    <x v="1"/>
  </r>
  <r>
    <x v="611"/>
    <s v="ZPEP"/>
    <x v="7"/>
    <s v="KXTC79"/>
    <s v="170846392"/>
    <s v="RENCA"/>
    <x v="5227"/>
    <x v="0"/>
    <x v="0"/>
    <x v="7"/>
    <x v="1"/>
    <n v="1"/>
    <n v="282502"/>
    <n v="0"/>
    <n v="282502"/>
    <n v="11"/>
    <n v="5000"/>
    <n v="100"/>
    <x v="6562"/>
    <x v="6"/>
    <x v="4"/>
    <x v="1"/>
  </r>
  <r>
    <x v="611"/>
    <s v="ZTAN"/>
    <x v="130"/>
    <s v="WC2233"/>
    <s v="53173292"/>
    <s v="LAMPA"/>
    <x v="479"/>
    <x v="4"/>
    <x v="1"/>
    <x v="17"/>
    <x v="1"/>
    <n v="5"/>
    <n v="87500"/>
    <n v="0"/>
    <n v="87500"/>
    <n v="9.3283582089552262"/>
    <n v="10000"/>
    <n v="94"/>
    <x v="6563"/>
    <x v="6"/>
    <x v="4"/>
    <x v="1"/>
  </r>
  <r>
    <x v="611"/>
    <s v="ZTAN"/>
    <x v="10"/>
    <s v="HLBX77"/>
    <s v="16093509K"/>
    <s v="VALPARAISO"/>
    <x v="385"/>
    <x v="1"/>
    <x v="1"/>
    <x v="36"/>
    <x v="2"/>
    <n v="0"/>
    <n v="227000"/>
    <n v="0"/>
    <n v="227000"/>
    <n v="30.250533049040524"/>
    <n v="14000"/>
    <n v="54"/>
    <x v="6564"/>
    <x v="6"/>
    <x v="4"/>
    <x v="0"/>
  </r>
  <r>
    <x v="611"/>
    <s v="ZTAN"/>
    <x v="6"/>
    <s v="DJLF85"/>
    <s v="531732962"/>
    <s v="LA REINA"/>
    <x v="5228"/>
    <x v="4"/>
    <x v="1"/>
    <x v="11"/>
    <x v="1"/>
    <n v="3"/>
    <n v="69173"/>
    <n v="0"/>
    <n v="69173"/>
    <n v="19.955285021924762"/>
    <n v="5000"/>
    <n v="69"/>
    <x v="6565"/>
    <x v="6"/>
    <x v="4"/>
    <x v="1"/>
  </r>
  <r>
    <x v="611"/>
    <s v="ZTAN"/>
    <x v="6"/>
    <s v="FYTP84"/>
    <s v="100327283"/>
    <s v="OSORNO"/>
    <x v="5229"/>
    <x v="0"/>
    <x v="0"/>
    <x v="64"/>
    <x v="10"/>
    <n v="0"/>
    <n v="1131000"/>
    <n v="0"/>
    <n v="1131000"/>
    <n v="130.71699020373825"/>
    <n v="14000"/>
    <n v="62"/>
    <x v="6566"/>
    <x v="6"/>
    <x v="4"/>
    <x v="0"/>
  </r>
  <r>
    <x v="611"/>
    <s v="ZTAN"/>
    <x v="6"/>
    <s v="RJ6819"/>
    <s v="94742285"/>
    <s v="TALCA"/>
    <x v="5230"/>
    <x v="5"/>
    <x v="0"/>
    <x v="12"/>
    <x v="3"/>
    <n v="0"/>
    <n v="402000"/>
    <n v="0"/>
    <n v="402000"/>
    <n v="50.723759917630659"/>
    <n v="14000"/>
    <n v="57"/>
    <x v="6567"/>
    <x v="6"/>
    <x v="4"/>
    <x v="0"/>
  </r>
  <r>
    <x v="611"/>
    <s v="ZTAN"/>
    <x v="6"/>
    <s v="SV2718"/>
    <s v="107643206"/>
    <s v="PEDRO AGUIRRE CERDA"/>
    <x v="974"/>
    <x v="1"/>
    <x v="1"/>
    <x v="83"/>
    <x v="1"/>
    <n v="3"/>
    <n v="69173"/>
    <n v="0"/>
    <n v="69173"/>
    <n v="13.897974764928072"/>
    <n v="5000"/>
    <n v="90"/>
    <x v="6568"/>
    <x v="6"/>
    <x v="4"/>
    <x v="1"/>
  </r>
  <r>
    <x v="611"/>
    <s v="ZTAN"/>
    <x v="6"/>
    <s v="XR6339"/>
    <s v="78907355"/>
    <s v="CERRILLOS"/>
    <x v="5231"/>
    <x v="1"/>
    <x v="1"/>
    <x v="9"/>
    <x v="1"/>
    <n v="2"/>
    <n v="69173"/>
    <n v="0"/>
    <n v="69173"/>
    <n v="14.12477946941976"/>
    <n v="5000"/>
    <n v="98"/>
    <x v="6569"/>
    <x v="6"/>
    <x v="4"/>
    <x v="1"/>
  </r>
  <r>
    <x v="611"/>
    <s v="ZTAN"/>
    <x v="16"/>
    <s v="DJLF85"/>
    <s v="125108660"/>
    <s v="VILLARRICA"/>
    <x v="385"/>
    <x v="4"/>
    <x v="1"/>
    <x v="88"/>
    <x v="4"/>
    <n v="0"/>
    <m/>
    <n v="0"/>
    <n v="0"/>
    <n v="0"/>
    <n v="14000"/>
    <n v="54"/>
    <x v="6570"/>
    <x v="6"/>
    <x v="4"/>
    <x v="0"/>
  </r>
  <r>
    <x v="611"/>
    <s v="ZTAN"/>
    <x v="7"/>
    <s v="GGZX14"/>
    <s v="157396544"/>
    <s v="CORONEL"/>
    <x v="0"/>
    <x v="0"/>
    <x v="0"/>
    <x v="16"/>
    <x v="0"/>
    <n v="0"/>
    <n v="528000"/>
    <n v="0"/>
    <n v="528000"/>
    <n v="35.181236673774009"/>
    <n v="14000"/>
    <n v="100"/>
    <x v="6571"/>
    <x v="6"/>
    <x v="4"/>
    <x v="0"/>
  </r>
  <r>
    <x v="611"/>
    <s v="ZTAN"/>
    <x v="7"/>
    <s v="PYCP22"/>
    <s v="114163848"/>
    <s v="CORONEL"/>
    <x v="5232"/>
    <x v="0"/>
    <x v="0"/>
    <x v="16"/>
    <x v="0"/>
    <n v="0"/>
    <n v="528000"/>
    <n v="0"/>
    <n v="528000"/>
    <n v="29.078092300914196"/>
    <n v="14000"/>
    <n v="100"/>
    <x v="6572"/>
    <x v="6"/>
    <x v="4"/>
    <x v="0"/>
  </r>
  <r>
    <x v="611"/>
    <s v="ZTAN"/>
    <x v="7"/>
    <s v="WC2233"/>
    <s v="125108660"/>
    <s v="RENCA"/>
    <x v="5233"/>
    <x v="4"/>
    <x v="1"/>
    <x v="7"/>
    <x v="1"/>
    <n v="1"/>
    <n v="118510"/>
    <n v="0"/>
    <n v="118510"/>
    <n v="10.999955446978191"/>
    <n v="5000"/>
    <n v="100"/>
    <x v="6573"/>
    <x v="6"/>
    <x v="4"/>
    <x v="1"/>
  </r>
  <r>
    <x v="611"/>
    <s v="ZTAN"/>
    <x v="7"/>
    <s v="WG4022"/>
    <s v="154837728"/>
    <s v="RENCA"/>
    <x v="5234"/>
    <x v="1"/>
    <x v="0"/>
    <x v="7"/>
    <x v="1"/>
    <n v="1"/>
    <n v="205517"/>
    <n v="0"/>
    <n v="205517"/>
    <n v="10.999996253352574"/>
    <n v="5000"/>
    <n v="100"/>
    <x v="6574"/>
    <x v="6"/>
    <x v="4"/>
    <x v="1"/>
  </r>
  <r>
    <x v="611"/>
    <s v="ZTAN"/>
    <x v="8"/>
    <s v="BPKD94"/>
    <s v="125897258"/>
    <s v="VALDIVIA"/>
    <x v="5235"/>
    <x v="0"/>
    <x v="0"/>
    <x v="77"/>
    <x v="11"/>
    <n v="0"/>
    <n v="943000"/>
    <n v="0"/>
    <n v="943000"/>
    <n v="132.12353199967501"/>
    <n v="14000"/>
    <n v="51"/>
    <x v="6575"/>
    <x v="6"/>
    <x v="4"/>
    <x v="0"/>
  </r>
  <r>
    <x v="611"/>
    <s v="ZTAN"/>
    <x v="8"/>
    <s v="XR6339"/>
    <s v="78907355"/>
    <s v="SAN BERNARDO"/>
    <x v="5236"/>
    <x v="1"/>
    <x v="1"/>
    <x v="4"/>
    <x v="1"/>
    <n v="4"/>
    <n v="69173"/>
    <n v="0"/>
    <n v="69173"/>
    <n v="25.554890573510068"/>
    <n v="5000"/>
    <n v="54"/>
    <x v="6576"/>
    <x v="6"/>
    <x v="4"/>
    <x v="1"/>
  </r>
  <r>
    <x v="612"/>
    <s v="ZTAN"/>
    <x v="24"/>
    <s v="KKPF51"/>
    <s v="95707734"/>
    <s v="MACHALI"/>
    <x v="5237"/>
    <x v="8"/>
    <x v="0"/>
    <x v="43"/>
    <x v="6"/>
    <n v="0"/>
    <n v="350000"/>
    <n v="0"/>
    <n v="350000"/>
    <n v="37.048798560389542"/>
    <n v="14000"/>
    <n v="67"/>
    <x v="6577"/>
    <x v="6"/>
    <x v="4"/>
    <x v="0"/>
  </r>
  <r>
    <x v="612"/>
    <s v="ZTAN"/>
    <x v="6"/>
    <s v="SU9354"/>
    <s v="72564391"/>
    <s v="LOS ANDES"/>
    <x v="5120"/>
    <x v="2"/>
    <x v="1"/>
    <x v="38"/>
    <x v="2"/>
    <n v="0"/>
    <n v="227000"/>
    <n v="0"/>
    <n v="227000"/>
    <n v="47.16197124574088"/>
    <n v="14000"/>
    <n v="34"/>
    <x v="6578"/>
    <x v="6"/>
    <x v="4"/>
    <x v="0"/>
  </r>
  <r>
    <x v="612"/>
    <s v="ZTAN"/>
    <x v="16"/>
    <s v="DJLF85"/>
    <s v="125108660"/>
    <s v="SAN BERNARDO"/>
    <x v="414"/>
    <x v="4"/>
    <x v="1"/>
    <x v="4"/>
    <x v="1"/>
    <n v="4"/>
    <n v="107307"/>
    <n v="0"/>
    <n v="107307"/>
    <n v="10.999979498113829"/>
    <n v="5000"/>
    <n v="100"/>
    <x v="6579"/>
    <x v="6"/>
    <x v="4"/>
    <x v="1"/>
  </r>
  <r>
    <x v="612"/>
    <s v="ZTAN"/>
    <x v="16"/>
    <s v="XR6339"/>
    <s v="78907355"/>
    <s v="SAN BERNARDO"/>
    <x v="414"/>
    <x v="1"/>
    <x v="1"/>
    <x v="4"/>
    <x v="1"/>
    <n v="4"/>
    <n v="107307"/>
    <n v="0"/>
    <n v="107307"/>
    <n v="10.999979498113829"/>
    <n v="5000"/>
    <n v="100"/>
    <x v="6580"/>
    <x v="6"/>
    <x v="4"/>
    <x v="1"/>
  </r>
  <r>
    <x v="612"/>
    <s v="ZTAN"/>
    <x v="7"/>
    <s v="DJLF85"/>
    <s v="53173292"/>
    <s v="RENCA"/>
    <x v="5238"/>
    <x v="4"/>
    <x v="1"/>
    <x v="7"/>
    <x v="1"/>
    <n v="1"/>
    <n v="155570"/>
    <n v="0"/>
    <n v="155570"/>
    <n v="10.999966767472001"/>
    <n v="5000"/>
    <n v="100"/>
    <x v="6581"/>
    <x v="6"/>
    <x v="4"/>
    <x v="1"/>
  </r>
  <r>
    <x v="612"/>
    <s v="ZTAN"/>
    <x v="7"/>
    <s v="PBFY96"/>
    <s v="17751067K"/>
    <s v="CORONEL"/>
    <x v="5239"/>
    <x v="0"/>
    <x v="0"/>
    <x v="16"/>
    <x v="0"/>
    <n v="0"/>
    <n v="528000"/>
    <n v="0"/>
    <n v="528000"/>
    <n v="42.946382092660109"/>
    <n v="14000"/>
    <n v="88"/>
    <x v="6582"/>
    <x v="6"/>
    <x v="4"/>
    <x v="0"/>
  </r>
  <r>
    <x v="612"/>
    <s v="ZTAN"/>
    <x v="7"/>
    <s v="RKYY82"/>
    <s v="101495566"/>
    <s v="CORONEL"/>
    <x v="5240"/>
    <x v="0"/>
    <x v="0"/>
    <x v="16"/>
    <x v="0"/>
    <n v="0"/>
    <n v="528000"/>
    <n v="0"/>
    <n v="528000"/>
    <n v="23.477706405945543"/>
    <n v="14000"/>
    <n v="100"/>
    <x v="6583"/>
    <x v="6"/>
    <x v="4"/>
    <x v="0"/>
  </r>
  <r>
    <x v="612"/>
    <s v="ZTAN"/>
    <x v="7"/>
    <s v="WC2233"/>
    <s v="125108660"/>
    <s v="SAN MIGUEL"/>
    <x v="5241"/>
    <x v="4"/>
    <x v="1"/>
    <x v="23"/>
    <x v="1"/>
    <n v="2"/>
    <n v="69173"/>
    <n v="0"/>
    <n v="69173"/>
    <n v="16.232268359361242"/>
    <n v="5000"/>
    <n v="85"/>
    <x v="6584"/>
    <x v="6"/>
    <x v="4"/>
    <x v="1"/>
  </r>
  <r>
    <x v="612"/>
    <s v="ZTAN"/>
    <x v="7"/>
    <s v="WG4022"/>
    <s v="154837728"/>
    <s v="RENCA"/>
    <x v="5242"/>
    <x v="1"/>
    <x v="0"/>
    <x v="7"/>
    <x v="1"/>
    <n v="1"/>
    <n v="191671"/>
    <n v="0"/>
    <n v="191671"/>
    <n v="11.000022956050643"/>
    <n v="5000"/>
    <n v="100"/>
    <x v="6585"/>
    <x v="6"/>
    <x v="4"/>
    <x v="1"/>
  </r>
  <r>
    <x v="612"/>
    <s v="ZTAN"/>
    <x v="8"/>
    <s v="SV2718"/>
    <s v="107643206"/>
    <s v="LA REINA"/>
    <x v="5243"/>
    <x v="1"/>
    <x v="1"/>
    <x v="11"/>
    <x v="1"/>
    <n v="3"/>
    <n v="69173"/>
    <n v="0"/>
    <n v="69173"/>
    <n v="14.766483223253056"/>
    <n v="5000"/>
    <n v="94"/>
    <x v="6586"/>
    <x v="6"/>
    <x v="4"/>
    <x v="1"/>
  </r>
  <r>
    <x v="612"/>
    <s v="ZTAN"/>
    <x v="8"/>
    <s v="XR6339"/>
    <s v="78907355"/>
    <s v="PUDAHUEL"/>
    <x v="5244"/>
    <x v="1"/>
    <x v="1"/>
    <x v="10"/>
    <x v="1"/>
    <n v="1"/>
    <n v="69173"/>
    <n v="0"/>
    <n v="69173"/>
    <n v="16.300393058789155"/>
    <n v="5000"/>
    <n v="85"/>
    <x v="6587"/>
    <x v="6"/>
    <x v="4"/>
    <x v="1"/>
  </r>
  <r>
    <x v="613"/>
    <s v="ZPEP"/>
    <x v="2"/>
    <s v="FYTP84"/>
    <n v="124860342"/>
    <s v="TEMUCO"/>
    <x v="5245"/>
    <x v="0"/>
    <x v="0"/>
    <x v="14"/>
    <x v="4"/>
    <n v="0"/>
    <n v="779000"/>
    <n v="0"/>
    <n v="779000"/>
    <n v="37.417294090805385"/>
    <n v="14000"/>
    <n v="100"/>
    <x v="6588"/>
    <x v="6"/>
    <x v="4"/>
    <x v="0"/>
  </r>
  <r>
    <x v="613"/>
    <s v="ZPEP"/>
    <x v="7"/>
    <s v="WG4022"/>
    <n v="154837728"/>
    <s v="RENCA"/>
    <x v="5246"/>
    <x v="1"/>
    <x v="0"/>
    <x v="7"/>
    <x v="1"/>
    <n v="1"/>
    <n v="69173"/>
    <n v="0"/>
    <n v="69173"/>
    <n v="15.721136363636363"/>
    <n v="5000"/>
    <n v="88"/>
    <x v="6589"/>
    <x v="6"/>
    <x v="4"/>
    <x v="1"/>
  </r>
  <r>
    <x v="613"/>
    <s v="ZTAN"/>
    <x v="6"/>
    <s v="DJLF85"/>
    <n v="53173292"/>
    <s v="LA FLORIDA"/>
    <x v="5247"/>
    <x v="4"/>
    <x v="1"/>
    <x v="33"/>
    <x v="1"/>
    <n v="3"/>
    <n v="69173"/>
    <n v="0"/>
    <n v="69173"/>
    <n v="22.786507230622263"/>
    <n v="5000"/>
    <n v="58"/>
    <x v="6590"/>
    <x v="6"/>
    <x v="4"/>
    <x v="1"/>
  </r>
  <r>
    <x v="613"/>
    <s v="ZTAN"/>
    <x v="70"/>
    <s v="SU9354"/>
    <n v="725643961"/>
    <s v="VALPARAISO"/>
    <x v="5248"/>
    <x v="2"/>
    <x v="1"/>
    <x v="36"/>
    <x v="2"/>
    <n v="0"/>
    <n v="227000"/>
    <n v="0"/>
    <n v="227000"/>
    <n v="44.103875312321506"/>
    <n v="14000"/>
    <n v="37"/>
    <x v="6591"/>
    <x v="6"/>
    <x v="4"/>
    <x v="0"/>
  </r>
  <r>
    <x v="613"/>
    <s v="ZTAN"/>
    <x v="7"/>
    <s v="GYXS96"/>
    <n v="165132386"/>
    <s v="CORONEL"/>
    <x v="5249"/>
    <x v="0"/>
    <x v="0"/>
    <x v="16"/>
    <x v="0"/>
    <n v="0"/>
    <n v="528000"/>
    <n v="0"/>
    <n v="528000"/>
    <n v="33.040474581362169"/>
    <n v="14000"/>
    <n v="100"/>
    <x v="6592"/>
    <x v="6"/>
    <x v="4"/>
    <x v="0"/>
  </r>
  <r>
    <x v="613"/>
    <s v="ZTAN"/>
    <x v="7"/>
    <s v="RGTZ39"/>
    <n v="115738402"/>
    <s v="CORONEL"/>
    <x v="5250"/>
    <x v="0"/>
    <x v="0"/>
    <x v="16"/>
    <x v="0"/>
    <n v="0"/>
    <n v="528000"/>
    <n v="0"/>
    <n v="528000"/>
    <n v="31.93767314694961"/>
    <n v="14000"/>
    <n v="100"/>
    <x v="6593"/>
    <x v="6"/>
    <x v="4"/>
    <x v="0"/>
  </r>
  <r>
    <x v="613"/>
    <s v="ZTAN"/>
    <x v="7"/>
    <s v="WC2233"/>
    <n v="125108660"/>
    <s v="RENCA"/>
    <x v="5251"/>
    <x v="4"/>
    <x v="1"/>
    <x v="7"/>
    <x v="1"/>
    <n v="1"/>
    <n v="101673"/>
    <n v="0"/>
    <n v="101673"/>
    <n v="10.999999999999998"/>
    <n v="5000"/>
    <n v="100"/>
    <x v="6594"/>
    <x v="6"/>
    <x v="4"/>
    <x v="1"/>
  </r>
  <r>
    <x v="613"/>
    <s v="ZTAN"/>
    <x v="7"/>
    <s v="WG4022"/>
    <n v="154837728"/>
    <s v="RENCA"/>
    <x v="5252"/>
    <x v="1"/>
    <x v="0"/>
    <x v="7"/>
    <x v="1"/>
    <n v="1"/>
    <n v="107609"/>
    <n v="0"/>
    <n v="107609"/>
    <n v="11.000018399978737"/>
    <n v="5000"/>
    <n v="100"/>
    <x v="6595"/>
    <x v="6"/>
    <x v="4"/>
    <x v="1"/>
  </r>
  <r>
    <x v="613"/>
    <s v="ZTAN"/>
    <x v="7"/>
    <s v="XR6339"/>
    <n v="78907355"/>
    <s v="SANTIAGO"/>
    <x v="5253"/>
    <x v="1"/>
    <x v="1"/>
    <x v="20"/>
    <x v="1"/>
    <n v="1"/>
    <n v="69173"/>
    <n v="0"/>
    <n v="69173"/>
    <n v="14.368116917376005"/>
    <n v="5000"/>
    <n v="96"/>
    <x v="6596"/>
    <x v="6"/>
    <x v="4"/>
    <x v="1"/>
  </r>
  <r>
    <x v="613"/>
    <s v="ZTAN"/>
    <x v="100"/>
    <s v="JPLL73"/>
    <n v="72564391"/>
    <s v="PAINE"/>
    <x v="5254"/>
    <x v="0"/>
    <x v="0"/>
    <x v="13"/>
    <x v="1"/>
    <n v="5"/>
    <n v="187000"/>
    <n v="0"/>
    <n v="187000"/>
    <n v="96.748325012287566"/>
    <n v="10000"/>
    <n v="19"/>
    <x v="6597"/>
    <x v="6"/>
    <x v="4"/>
    <x v="1"/>
  </r>
  <r>
    <x v="613"/>
    <s v="ZTAN"/>
    <x v="8"/>
    <s v="SV2718"/>
    <n v="107643206"/>
    <s v="HUECHURABA"/>
    <x v="5255"/>
    <x v="1"/>
    <x v="1"/>
    <x v="24"/>
    <x v="1"/>
    <n v="1"/>
    <n v="69173"/>
    <n v="0"/>
    <n v="69173"/>
    <n v="21.353513900636532"/>
    <n v="5000"/>
    <n v="65"/>
    <x v="6598"/>
    <x v="6"/>
    <x v="4"/>
    <x v="1"/>
  </r>
  <r>
    <x v="614"/>
    <s v="ZPEP"/>
    <x v="7"/>
    <s v="DCRX92"/>
    <s v="78778555"/>
    <s v="RENCA"/>
    <x v="5227"/>
    <x v="0"/>
    <x v="0"/>
    <x v="7"/>
    <x v="1"/>
    <n v="1"/>
    <n v="282502"/>
    <n v="0"/>
    <n v="282502"/>
    <n v="11"/>
    <n v="5000"/>
    <n v="100"/>
    <x v="6599"/>
    <x v="6"/>
    <x v="4"/>
    <x v="1"/>
  </r>
  <r>
    <x v="614"/>
    <s v="ZTAN"/>
    <x v="66"/>
    <s v="KKPF51"/>
    <s v="95707734"/>
    <s v="SANTIAGO"/>
    <x v="5256"/>
    <x v="8"/>
    <x v="0"/>
    <x v="20"/>
    <x v="1"/>
    <n v="1"/>
    <n v="256942"/>
    <n v="0"/>
    <n v="256942"/>
    <n v="10.999982875539416"/>
    <n v="5000"/>
    <n v="100"/>
    <x v="6600"/>
    <x v="6"/>
    <x v="4"/>
    <x v="1"/>
  </r>
  <r>
    <x v="614"/>
    <s v="ZTAN"/>
    <x v="66"/>
    <s v="WC2233"/>
    <s v="125108660"/>
    <s v="SANTIAGO"/>
    <x v="5257"/>
    <x v="4"/>
    <x v="1"/>
    <x v="20"/>
    <x v="1"/>
    <n v="1"/>
    <n v="158987"/>
    <n v="0"/>
    <n v="158987"/>
    <n v="10.999972324850892"/>
    <n v="5000"/>
    <n v="100"/>
    <x v="6601"/>
    <x v="6"/>
    <x v="4"/>
    <x v="1"/>
  </r>
  <r>
    <x v="614"/>
    <s v="ZTAN"/>
    <x v="66"/>
    <s v="XR6339"/>
    <s v="78907355"/>
    <s v="SANTIAGO"/>
    <x v="414"/>
    <x v="1"/>
    <x v="1"/>
    <x v="20"/>
    <x v="1"/>
    <n v="1"/>
    <n v="107307"/>
    <n v="0"/>
    <n v="107307"/>
    <n v="10.999979498113829"/>
    <n v="5000"/>
    <n v="100"/>
    <x v="6602"/>
    <x v="6"/>
    <x v="4"/>
    <x v="1"/>
  </r>
  <r>
    <x v="614"/>
    <s v="ZTAN"/>
    <x v="103"/>
    <s v="HLBX77"/>
    <s v="16093509K"/>
    <s v="SANTIAGO"/>
    <x v="5258"/>
    <x v="1"/>
    <x v="1"/>
    <x v="20"/>
    <x v="1"/>
    <n v="1"/>
    <n v="161700"/>
    <n v="0"/>
    <n v="161700"/>
    <n v="11"/>
    <n v="5000"/>
    <n v="100"/>
    <x v="6603"/>
    <x v="6"/>
    <x v="4"/>
    <x v="1"/>
  </r>
  <r>
    <x v="614"/>
    <s v="ZTAN"/>
    <x v="7"/>
    <s v="DJLF85"/>
    <s v="53173292"/>
    <s v="RENCA"/>
    <x v="5259"/>
    <x v="4"/>
    <x v="1"/>
    <x v="7"/>
    <x v="1"/>
    <n v="1"/>
    <n v="85738"/>
    <n v="0"/>
    <n v="85738"/>
    <n v="9.9183401026561739"/>
    <n v="5000"/>
    <n v="100"/>
    <x v="6604"/>
    <x v="6"/>
    <x v="4"/>
    <x v="1"/>
  </r>
  <r>
    <x v="614"/>
    <s v="ZTAN"/>
    <x v="7"/>
    <s v="GGZX14"/>
    <s v="157396544"/>
    <s v="CHILLAN"/>
    <x v="5260"/>
    <x v="0"/>
    <x v="0"/>
    <x v="21"/>
    <x v="5"/>
    <n v="0"/>
    <n v="440000"/>
    <n v="0"/>
    <n v="440000"/>
    <n v="30.895405010672956"/>
    <n v="14000"/>
    <n v="100"/>
    <x v="6605"/>
    <x v="6"/>
    <x v="4"/>
    <x v="0"/>
  </r>
  <r>
    <x v="614"/>
    <s v="ZTAN"/>
    <x v="7"/>
    <s v="JL4605"/>
    <s v="94590507"/>
    <s v="CORONEL"/>
    <x v="5261"/>
    <x v="0"/>
    <x v="0"/>
    <x v="16"/>
    <x v="0"/>
    <n v="0"/>
    <n v="528000"/>
    <n v="0"/>
    <n v="528000"/>
    <n v="23.31949474428054"/>
    <n v="14000"/>
    <n v="100"/>
    <x v="6606"/>
    <x v="6"/>
    <x v="4"/>
    <x v="0"/>
  </r>
  <r>
    <x v="614"/>
    <s v="ZTAN"/>
    <x v="7"/>
    <s v="PBFY96"/>
    <s v="17510674K"/>
    <s v="CORONEL"/>
    <x v="5262"/>
    <x v="0"/>
    <x v="0"/>
    <x v="16"/>
    <x v="0"/>
    <n v="0"/>
    <n v="528000"/>
    <n v="0"/>
    <n v="528000"/>
    <n v="40.716863567660937"/>
    <n v="14000"/>
    <n v="98"/>
    <x v="6607"/>
    <x v="6"/>
    <x v="4"/>
    <x v="0"/>
  </r>
  <r>
    <x v="614"/>
    <s v="ZTAN"/>
    <x v="7"/>
    <s v="RJ6819"/>
    <s v="94742285"/>
    <s v="CHILLAN"/>
    <x v="5263"/>
    <x v="5"/>
    <x v="0"/>
    <x v="21"/>
    <x v="5"/>
    <n v="0"/>
    <n v="440000"/>
    <n v="0"/>
    <n v="440000"/>
    <n v="37.401926199199259"/>
    <n v="14000"/>
    <n v="84"/>
    <x v="6608"/>
    <x v="6"/>
    <x v="4"/>
    <x v="0"/>
  </r>
  <r>
    <x v="614"/>
    <s v="ZTAN"/>
    <x v="7"/>
    <s v="WG4022"/>
    <s v="154837728"/>
    <s v="RENCA"/>
    <x v="5264"/>
    <x v="1"/>
    <x v="0"/>
    <x v="7"/>
    <x v="1"/>
    <n v="1"/>
    <n v="190370"/>
    <n v="0"/>
    <n v="190370"/>
    <n v="10.999989599211389"/>
    <n v="5000"/>
    <n v="100"/>
    <x v="6609"/>
    <x v="6"/>
    <x v="4"/>
    <x v="1"/>
  </r>
  <r>
    <x v="614"/>
    <s v="ZTAN"/>
    <x v="8"/>
    <s v="DRFV76"/>
    <s v="113693568"/>
    <s v="ANGOL"/>
    <x v="5265"/>
    <x v="0"/>
    <x v="0"/>
    <x v="84"/>
    <x v="4"/>
    <n v="0"/>
    <n v="583000"/>
    <n v="0"/>
    <n v="583000"/>
    <n v="74.370402875825661"/>
    <n v="14000"/>
    <n v="59"/>
    <x v="6610"/>
    <x v="6"/>
    <x v="4"/>
    <x v="0"/>
  </r>
  <r>
    <x v="614"/>
    <s v="ZTAN"/>
    <x v="8"/>
    <s v="SU9354"/>
    <s v="72564391"/>
    <s v="RENCA"/>
    <x v="5120"/>
    <x v="2"/>
    <x v="1"/>
    <x v="7"/>
    <x v="1"/>
    <n v="1"/>
    <n v="69173"/>
    <n v="0"/>
    <n v="69173"/>
    <n v="14.371519986703234"/>
    <n v="5000"/>
    <n v="96"/>
    <x v="6611"/>
    <x v="6"/>
    <x v="4"/>
    <x v="1"/>
  </r>
  <r>
    <x v="614"/>
    <s v="ZTAN"/>
    <x v="8"/>
    <s v="SV2718"/>
    <s v="107643206"/>
    <s v="LAS CONDES"/>
    <x v="5266"/>
    <x v="1"/>
    <x v="1"/>
    <x v="3"/>
    <x v="1"/>
    <n v="4"/>
    <n v="69173"/>
    <n v="0"/>
    <n v="69173"/>
    <n v="20.100950809001301"/>
    <n v="5000"/>
    <n v="69"/>
    <x v="6612"/>
    <x v="6"/>
    <x v="4"/>
    <x v="1"/>
  </r>
  <r>
    <x v="614"/>
    <s v="ZTAN"/>
    <x v="8"/>
    <s v="XR6339"/>
    <s v="78907355"/>
    <s v="LAS CONDES"/>
    <x v="5267"/>
    <x v="1"/>
    <x v="1"/>
    <x v="3"/>
    <x v="1"/>
    <n v="4"/>
    <n v="73681"/>
    <n v="0"/>
    <n v="73681"/>
    <n v="10.999988056635436"/>
    <n v="5000"/>
    <n v="100"/>
    <x v="6613"/>
    <x v="6"/>
    <x v="4"/>
    <x v="1"/>
  </r>
  <r>
    <x v="614"/>
    <s v="ZTAN"/>
    <x v="94"/>
    <s v="RKYY82"/>
    <s v="101495566"/>
    <s v="LOS ANGELES"/>
    <x v="1931"/>
    <x v="0"/>
    <x v="0"/>
    <x v="57"/>
    <x v="0"/>
    <n v="0"/>
    <n v="528000"/>
    <n v="0"/>
    <n v="528000"/>
    <n v="31.051517290049379"/>
    <n v="14000"/>
    <n v="100"/>
    <x v="6614"/>
    <x v="6"/>
    <x v="4"/>
    <x v="0"/>
  </r>
  <r>
    <x v="615"/>
    <s v="ZPEP"/>
    <x v="11"/>
    <s v="DKDL88"/>
    <s v="122975819"/>
    <s v="CURICO"/>
    <x v="5268"/>
    <x v="0"/>
    <x v="0"/>
    <x v="73"/>
    <x v="3"/>
    <n v="0"/>
    <n v="352000"/>
    <n v="0"/>
    <n v="352000"/>
    <n v="13.047591088495286"/>
    <n v="14000"/>
    <n v="100"/>
    <x v="6615"/>
    <x v="6"/>
    <x v="4"/>
    <x v="0"/>
  </r>
  <r>
    <x v="615"/>
    <s v="ZPEP"/>
    <x v="89"/>
    <s v="HLBX77"/>
    <s v="16093509K"/>
    <s v="PADRE HURTADO"/>
    <x v="5269"/>
    <x v="1"/>
    <x v="1"/>
    <x v="26"/>
    <x v="1"/>
    <n v="5"/>
    <n v="87500"/>
    <n v="0"/>
    <n v="87500"/>
    <n v="6.3770676275267757"/>
    <n v="10000"/>
    <n v="100"/>
    <x v="6616"/>
    <x v="6"/>
    <x v="4"/>
    <x v="1"/>
  </r>
  <r>
    <x v="615"/>
    <s v="ZPEP"/>
    <x v="89"/>
    <s v="XR6339"/>
    <s v="78907355"/>
    <s v="PADRE HURTADO"/>
    <x v="5270"/>
    <x v="1"/>
    <x v="1"/>
    <x v="26"/>
    <x v="1"/>
    <n v="5"/>
    <n v="87500"/>
    <n v="0"/>
    <n v="87500"/>
    <n v="7.5831831863062442"/>
    <n v="10000"/>
    <n v="100"/>
    <x v="6617"/>
    <x v="6"/>
    <x v="4"/>
    <x v="1"/>
  </r>
  <r>
    <x v="615"/>
    <s v="ZPEP"/>
    <x v="7"/>
    <s v="KXTC79"/>
    <s v="170846392"/>
    <s v="RENCA"/>
    <x v="5227"/>
    <x v="0"/>
    <x v="0"/>
    <x v="7"/>
    <x v="1"/>
    <n v="1"/>
    <n v="282502"/>
    <n v="0"/>
    <n v="282502"/>
    <n v="11"/>
    <n v="5000"/>
    <n v="100"/>
    <x v="6618"/>
    <x v="6"/>
    <x v="4"/>
    <x v="1"/>
  </r>
  <r>
    <x v="615"/>
    <s v="ZTAN"/>
    <x v="10"/>
    <s v="RX2274"/>
    <s v="100822326"/>
    <s v="TALCA"/>
    <x v="5037"/>
    <x v="0"/>
    <x v="0"/>
    <x v="12"/>
    <x v="3"/>
    <n v="0"/>
    <n v="402000"/>
    <n v="0"/>
    <n v="402000"/>
    <n v="19.415506324528742"/>
    <n v="14000"/>
    <n v="100"/>
    <x v="6619"/>
    <x v="6"/>
    <x v="4"/>
    <x v="0"/>
  </r>
  <r>
    <x v="615"/>
    <s v="ZTAN"/>
    <x v="10"/>
    <s v="WG4022"/>
    <s v="154837728"/>
    <s v="QUILICURA"/>
    <x v="5271"/>
    <x v="1"/>
    <x v="0"/>
    <x v="8"/>
    <x v="1"/>
    <n v="1"/>
    <n v="98690"/>
    <n v="0"/>
    <n v="98690"/>
    <n v="10.99996098909366"/>
    <n v="5000"/>
    <n v="100"/>
    <x v="6620"/>
    <x v="6"/>
    <x v="4"/>
    <x v="1"/>
  </r>
  <r>
    <x v="615"/>
    <s v="ZTAN"/>
    <x v="6"/>
    <s v="SU9354"/>
    <s v="72564391"/>
    <s v="QUILPUE"/>
    <x v="5272"/>
    <x v="2"/>
    <x v="1"/>
    <x v="58"/>
    <x v="2"/>
    <n v="0"/>
    <n v="250000"/>
    <n v="0"/>
    <n v="250000"/>
    <n v="39.785729972659247"/>
    <n v="14000"/>
    <n v="55"/>
    <x v="6621"/>
    <x v="6"/>
    <x v="4"/>
    <x v="0"/>
  </r>
  <r>
    <x v="615"/>
    <s v="ZTAN"/>
    <x v="6"/>
    <s v="SV2718"/>
    <s v="107643206"/>
    <s v="LA DEHESA"/>
    <x v="5273"/>
    <x v="1"/>
    <x v="1"/>
    <x v="41"/>
    <x v="1"/>
    <n v="4"/>
    <n v="69173"/>
    <n v="0"/>
    <n v="69173"/>
    <n v="26.930024682514336"/>
    <n v="5000"/>
    <n v="51"/>
    <x v="6622"/>
    <x v="6"/>
    <x v="4"/>
    <x v="1"/>
  </r>
  <r>
    <x v="615"/>
    <s v="ZTAN"/>
    <x v="66"/>
    <s v="KKPF51"/>
    <s v="95707734"/>
    <s v="SANTIAGO"/>
    <x v="5274"/>
    <x v="8"/>
    <x v="0"/>
    <x v="20"/>
    <x v="1"/>
    <n v="1"/>
    <n v="429229"/>
    <n v="0"/>
    <n v="429229"/>
    <n v="11.000005125471532"/>
    <n v="5000"/>
    <n v="100"/>
    <x v="6623"/>
    <x v="6"/>
    <x v="4"/>
    <x v="1"/>
  </r>
  <r>
    <x v="615"/>
    <s v="ZTAN"/>
    <x v="16"/>
    <s v="DJKG97"/>
    <s v="167832741"/>
    <s v="VALDIVIA"/>
    <x v="5275"/>
    <x v="0"/>
    <x v="0"/>
    <x v="77"/>
    <x v="11"/>
    <n v="0"/>
    <n v="943000"/>
    <n v="0"/>
    <n v="943000"/>
    <n v="46.404739877566286"/>
    <n v="14000"/>
    <n v="100"/>
    <x v="6624"/>
    <x v="6"/>
    <x v="4"/>
    <x v="0"/>
  </r>
  <r>
    <x v="615"/>
    <s v="ZTAN"/>
    <x v="41"/>
    <s v="RH1133"/>
    <s v="65941082"/>
    <s v="LAS CABRAS"/>
    <x v="5276"/>
    <x v="0"/>
    <x v="0"/>
    <x v="61"/>
    <x v="6"/>
    <n v="0"/>
    <n v="290000"/>
    <n v="0"/>
    <n v="290000"/>
    <n v="24.972487208058709"/>
    <n v="14000"/>
    <n v="85"/>
    <x v="6625"/>
    <x v="6"/>
    <x v="4"/>
    <x v="0"/>
  </r>
  <r>
    <x v="615"/>
    <s v="ZTAN"/>
    <x v="7"/>
    <s v="DJLF85"/>
    <s v="125108660"/>
    <s v="RENCA"/>
    <x v="5277"/>
    <x v="4"/>
    <x v="1"/>
    <x v="7"/>
    <x v="1"/>
    <n v="1"/>
    <n v="147104"/>
    <n v="0"/>
    <n v="147104"/>
    <n v="10.999967845971737"/>
    <n v="5000"/>
    <n v="100"/>
    <x v="6626"/>
    <x v="6"/>
    <x v="4"/>
    <x v="1"/>
  </r>
  <r>
    <x v="616"/>
    <s v="ZPEP"/>
    <x v="11"/>
    <s v="DKDL88"/>
    <s v="122975819"/>
    <s v="CURICO"/>
    <x v="5278"/>
    <x v="0"/>
    <x v="0"/>
    <x v="73"/>
    <x v="3"/>
    <n v="0"/>
    <n v="352000"/>
    <n v="0"/>
    <n v="352000"/>
    <n v="16.708247418765641"/>
    <n v="14000"/>
    <n v="100"/>
    <x v="6627"/>
    <x v="6"/>
    <x v="4"/>
    <x v="0"/>
  </r>
  <r>
    <x v="616"/>
    <s v="ZPEP"/>
    <x v="89"/>
    <s v="DJLF85"/>
    <s v="53173292"/>
    <s v="PADRE HURTADO"/>
    <x v="5279"/>
    <x v="4"/>
    <x v="1"/>
    <x v="26"/>
    <x v="1"/>
    <n v="5"/>
    <n v="87500"/>
    <n v="0"/>
    <n v="87500"/>
    <n v="27.102537416988799"/>
    <n v="10000"/>
    <n v="32"/>
    <x v="6628"/>
    <x v="6"/>
    <x v="4"/>
    <x v="1"/>
  </r>
  <r>
    <x v="616"/>
    <s v="ZTAN"/>
    <x v="4"/>
    <s v="DJLF85"/>
    <s v="53173292"/>
    <s v="LAMPA"/>
    <x v="5280"/>
    <x v="4"/>
    <x v="1"/>
    <x v="17"/>
    <x v="1"/>
    <n v="5"/>
    <n v="87500"/>
    <n v="0"/>
    <n v="87500"/>
    <n v="16.465939028980053"/>
    <n v="10000"/>
    <n v="53"/>
    <x v="6629"/>
    <x v="6"/>
    <x v="4"/>
    <x v="1"/>
  </r>
  <r>
    <x v="616"/>
    <s v="ZTAN"/>
    <x v="10"/>
    <s v="KKPF51"/>
    <s v="95707734"/>
    <s v="SANTIAGO"/>
    <x v="5281"/>
    <x v="8"/>
    <x v="0"/>
    <x v="20"/>
    <x v="1"/>
    <n v="1"/>
    <n v="131472"/>
    <n v="0"/>
    <n v="131472"/>
    <n v="11.000036814045563"/>
    <n v="5000"/>
    <n v="100"/>
    <x v="6630"/>
    <x v="6"/>
    <x v="4"/>
    <x v="1"/>
  </r>
  <r>
    <x v="616"/>
    <s v="ZTAN"/>
    <x v="10"/>
    <s v="WC2233"/>
    <s v="125108660"/>
    <s v="QUILICURA"/>
    <x v="5282"/>
    <x v="4"/>
    <x v="1"/>
    <x v="8"/>
    <x v="1"/>
    <n v="1"/>
    <n v="68720"/>
    <n v="0"/>
    <n v="68720"/>
    <n v="11.000057625447399"/>
    <n v="5000"/>
    <n v="100"/>
    <x v="6631"/>
    <x v="6"/>
    <x v="4"/>
    <x v="1"/>
  </r>
  <r>
    <x v="616"/>
    <s v="ZTAN"/>
    <x v="105"/>
    <s v="HLBX77"/>
    <s v="16093509K"/>
    <s v="VALPARAISO"/>
    <x v="448"/>
    <x v="1"/>
    <x v="1"/>
    <x v="36"/>
    <x v="2"/>
    <n v="0"/>
    <n v="227000"/>
    <n v="0"/>
    <n v="227000"/>
    <n v="37.813166311300648"/>
    <n v="14000"/>
    <n v="43"/>
    <x v="6632"/>
    <x v="6"/>
    <x v="4"/>
    <x v="0"/>
  </r>
  <r>
    <x v="616"/>
    <s v="ZTAN"/>
    <x v="6"/>
    <s v="HLBX77"/>
    <s v="16093509K"/>
    <s v="SANTIAGO"/>
    <x v="248"/>
    <x v="1"/>
    <x v="1"/>
    <x v="20"/>
    <x v="1"/>
    <n v="1"/>
    <n v="69173"/>
    <n v="0"/>
    <n v="69173"/>
    <n v="23.045375799573563"/>
    <n v="5000"/>
    <n v="60"/>
    <x v="6633"/>
    <x v="6"/>
    <x v="4"/>
    <x v="1"/>
  </r>
  <r>
    <x v="616"/>
    <s v="ZTAN"/>
    <x v="41"/>
    <s v="SU9354"/>
    <s v="72564391"/>
    <s v="LITUECHE"/>
    <x v="5283"/>
    <x v="2"/>
    <x v="1"/>
    <x v="112"/>
    <x v="6"/>
    <n v="0"/>
    <n v="250000"/>
    <n v="0"/>
    <n v="250000"/>
    <n v="51.874538316608984"/>
    <n v="14000"/>
    <n v="34"/>
    <x v="6634"/>
    <x v="6"/>
    <x v="4"/>
    <x v="0"/>
  </r>
  <r>
    <x v="616"/>
    <s v="ZTAN"/>
    <x v="7"/>
    <s v="FHTK12"/>
    <s v="178705210"/>
    <s v="CHILLAN"/>
    <x v="5284"/>
    <x v="0"/>
    <x v="0"/>
    <x v="21"/>
    <x v="5"/>
    <n v="0"/>
    <n v="440000"/>
    <n v="0"/>
    <n v="440000"/>
    <n v="39.717070035637043"/>
    <n v="14000"/>
    <n v="79"/>
    <x v="6635"/>
    <x v="6"/>
    <x v="4"/>
    <x v="0"/>
  </r>
  <r>
    <x v="616"/>
    <s v="ZTAN"/>
    <x v="7"/>
    <s v="WG4022"/>
    <s v="154837728"/>
    <s v="RENCA"/>
    <x v="5285"/>
    <x v="1"/>
    <x v="0"/>
    <x v="7"/>
    <x v="1"/>
    <n v="1"/>
    <n v="182306"/>
    <n v="0"/>
    <n v="182306"/>
    <n v="10.999995172953092"/>
    <n v="5000"/>
    <n v="100"/>
    <x v="6636"/>
    <x v="6"/>
    <x v="4"/>
    <x v="1"/>
  </r>
  <r>
    <x v="616"/>
    <s v="ZTAN"/>
    <x v="7"/>
    <s v="XR6339"/>
    <s v="78907355"/>
    <s v="RENCA"/>
    <x v="5286"/>
    <x v="1"/>
    <x v="1"/>
    <x v="7"/>
    <x v="1"/>
    <n v="1"/>
    <n v="109405"/>
    <n v="0"/>
    <n v="109405"/>
    <n v="10.999965815196953"/>
    <n v="5000"/>
    <n v="100"/>
    <x v="6637"/>
    <x v="6"/>
    <x v="4"/>
    <x v="1"/>
  </r>
  <r>
    <x v="616"/>
    <s v="ZTAN"/>
    <x v="8"/>
    <s v="SV2718"/>
    <s v="107643206"/>
    <s v="PUDAHUEL"/>
    <x v="5287"/>
    <x v="1"/>
    <x v="1"/>
    <x v="10"/>
    <x v="1"/>
    <n v="1"/>
    <n v="69173"/>
    <n v="0"/>
    <n v="69173"/>
    <n v="29.979023827891375"/>
    <n v="5000"/>
    <n v="46"/>
    <x v="6638"/>
    <x v="6"/>
    <x v="4"/>
    <x v="1"/>
  </r>
  <r>
    <x v="617"/>
    <s v="ZPEP"/>
    <x v="89"/>
    <s v="WG4022"/>
    <s v="154837728"/>
    <s v="PADRE HURTADO"/>
    <x v="5288"/>
    <x v="1"/>
    <x v="0"/>
    <x v="26"/>
    <x v="1"/>
    <n v="5"/>
    <n v="187000"/>
    <n v="0"/>
    <n v="187000"/>
    <n v="12.248592721846904"/>
    <n v="10000"/>
    <n v="100"/>
    <x v="6639"/>
    <x v="6"/>
    <x v="4"/>
    <x v="1"/>
  </r>
  <r>
    <x v="617"/>
    <s v="ZPEP"/>
    <x v="103"/>
    <s v="DJLF85"/>
    <s v="53173292"/>
    <s v="SANTIAGO"/>
    <x v="5289"/>
    <x v="4"/>
    <x v="1"/>
    <x v="20"/>
    <x v="1"/>
    <n v="1"/>
    <n v="69173"/>
    <n v="0"/>
    <n v="69173"/>
    <n v="16.499618357027003"/>
    <n v="5000"/>
    <n v="84"/>
    <x v="6640"/>
    <x v="6"/>
    <x v="4"/>
    <x v="1"/>
  </r>
  <r>
    <x v="617"/>
    <s v="ZPEP"/>
    <x v="103"/>
    <s v="WC2233"/>
    <s v="125108660"/>
    <s v="SANTIAGO"/>
    <x v="3748"/>
    <x v="4"/>
    <x v="1"/>
    <x v="20"/>
    <x v="1"/>
    <n v="1"/>
    <n v="58819"/>
    <n v="0"/>
    <n v="58819"/>
    <n v="10.999962597247151"/>
    <n v="5000"/>
    <n v="100"/>
    <x v="6641"/>
    <x v="6"/>
    <x v="4"/>
    <x v="1"/>
  </r>
  <r>
    <x v="617"/>
    <s v="ZPEP"/>
    <x v="103"/>
    <s v="XR6339"/>
    <s v="78907355"/>
    <s v="SANTIAGO"/>
    <x v="5290"/>
    <x v="1"/>
    <x v="1"/>
    <x v="20"/>
    <x v="1"/>
    <n v="1"/>
    <n v="69173"/>
    <n v="0"/>
    <n v="69173"/>
    <n v="15.538907359151764"/>
    <n v="5000"/>
    <n v="89"/>
    <x v="6642"/>
    <x v="6"/>
    <x v="4"/>
    <x v="1"/>
  </r>
  <r>
    <x v="617"/>
    <s v="ZTAN"/>
    <x v="4"/>
    <s v="JPLL73"/>
    <s v="72564361"/>
    <s v="LAMPA"/>
    <x v="5291"/>
    <x v="0"/>
    <x v="0"/>
    <x v="17"/>
    <x v="1"/>
    <n v="5"/>
    <n v="187000"/>
    <n v="0"/>
    <n v="187000"/>
    <n v="35.031847133757964"/>
    <n v="10000"/>
    <n v="53"/>
    <x v="6643"/>
    <x v="6"/>
    <x v="4"/>
    <x v="1"/>
  </r>
  <r>
    <x v="617"/>
    <s v="ZTAN"/>
    <x v="6"/>
    <s v="SU9354"/>
    <s v="72564391"/>
    <s v="SAN FELIPE"/>
    <x v="5292"/>
    <x v="2"/>
    <x v="1"/>
    <x v="35"/>
    <x v="2"/>
    <n v="0"/>
    <n v="227000"/>
    <n v="0"/>
    <n v="227000"/>
    <n v="41.38408809159192"/>
    <n v="14000"/>
    <n v="39"/>
    <x v="6644"/>
    <x v="6"/>
    <x v="4"/>
    <x v="0"/>
  </r>
  <r>
    <x v="617"/>
    <s v="ZTAN"/>
    <x v="7"/>
    <s v="FSFS27"/>
    <s v="103576032"/>
    <s v="LOS ANGELES"/>
    <x v="5293"/>
    <x v="0"/>
    <x v="0"/>
    <x v="57"/>
    <x v="0"/>
    <n v="0"/>
    <n v="528000"/>
    <n v="0"/>
    <n v="528000"/>
    <n v="25.149743382116533"/>
    <n v="14000"/>
    <n v="100"/>
    <x v="6645"/>
    <x v="6"/>
    <x v="4"/>
    <x v="0"/>
  </r>
  <r>
    <x v="617"/>
    <s v="ZTAN"/>
    <x v="7"/>
    <s v="PBFY96"/>
    <s v="17510674K"/>
    <s v="CORONEL"/>
    <x v="5294"/>
    <x v="0"/>
    <x v="0"/>
    <x v="16"/>
    <x v="0"/>
    <n v="0"/>
    <n v="528000"/>
    <n v="0"/>
    <n v="528000"/>
    <n v="28.729377965437674"/>
    <n v="14000"/>
    <n v="100"/>
    <x v="6646"/>
    <x v="6"/>
    <x v="4"/>
    <x v="0"/>
  </r>
  <r>
    <x v="617"/>
    <s v="ZTAN"/>
    <x v="7"/>
    <s v="PYCP18"/>
    <s v="139528778"/>
    <s v="CORONEL"/>
    <x v="5295"/>
    <x v="0"/>
    <x v="0"/>
    <x v="16"/>
    <x v="0"/>
    <n v="0"/>
    <n v="528000"/>
    <n v="0"/>
    <n v="528000"/>
    <n v="26.692712282894217"/>
    <n v="14000"/>
    <n v="100"/>
    <x v="6647"/>
    <x v="6"/>
    <x v="4"/>
    <x v="0"/>
  </r>
  <r>
    <x v="618"/>
    <s v="ZPEP"/>
    <x v="120"/>
    <s v="HLBX77"/>
    <s v="16093509K"/>
    <s v="SAN BERNARDO"/>
    <x v="5296"/>
    <x v="1"/>
    <x v="1"/>
    <x v="4"/>
    <x v="1"/>
    <n v="4"/>
    <n v="107546"/>
    <n v="0"/>
    <n v="107546"/>
    <n v="11.000010228190943"/>
    <n v="5000"/>
    <n v="100"/>
    <x v="6648"/>
    <x v="7"/>
    <x v="4"/>
    <x v="1"/>
  </r>
  <r>
    <x v="618"/>
    <s v="ZTAN"/>
    <x v="6"/>
    <s v="DCRX92"/>
    <s v="78778555"/>
    <s v="CURICO"/>
    <x v="5297"/>
    <x v="0"/>
    <x v="0"/>
    <x v="73"/>
    <x v="3"/>
    <n v="0"/>
    <n v="352000"/>
    <n v="0"/>
    <n v="352000"/>
    <n v="79.911708858321319"/>
    <n v="14000"/>
    <n v="41"/>
    <x v="6649"/>
    <x v="7"/>
    <x v="4"/>
    <x v="0"/>
  </r>
  <r>
    <x v="618"/>
    <s v="ZTAN"/>
    <x v="8"/>
    <s v="GHLW16"/>
    <s v="190683275"/>
    <s v="TEMUCO"/>
    <x v="5298"/>
    <x v="0"/>
    <x v="0"/>
    <x v="14"/>
    <x v="4"/>
    <n v="0"/>
    <n v="779000"/>
    <n v="0"/>
    <n v="779000"/>
    <n v="98.655549026362181"/>
    <n v="14000"/>
    <n v="65"/>
    <x v="6650"/>
    <x v="7"/>
    <x v="4"/>
    <x v="0"/>
  </r>
  <r>
    <x v="618"/>
    <s v="ZTAN"/>
    <x v="8"/>
    <s v="HLBX77"/>
    <s v="16093509K"/>
    <s v="PUDAHUEL"/>
    <x v="5299"/>
    <x v="1"/>
    <x v="1"/>
    <x v="10"/>
    <x v="1"/>
    <n v="1"/>
    <n v="78261"/>
    <n v="0"/>
    <n v="78261"/>
    <n v="10.999994377790021"/>
    <n v="5000"/>
    <n v="100"/>
    <x v="6651"/>
    <x v="7"/>
    <x v="4"/>
    <x v="1"/>
  </r>
  <r>
    <x v="618"/>
    <s v="ZTAN"/>
    <x v="8"/>
    <s v="XR6339"/>
    <s v="78907355"/>
    <s v="PUDAHUEL"/>
    <x v="5300"/>
    <x v="1"/>
    <x v="1"/>
    <x v="10"/>
    <x v="1"/>
    <n v="1"/>
    <n v="85412"/>
    <n v="0"/>
    <n v="85412"/>
    <n v="10.99996780321324"/>
    <n v="5000"/>
    <n v="100"/>
    <x v="6652"/>
    <x v="7"/>
    <x v="4"/>
    <x v="1"/>
  </r>
  <r>
    <x v="619"/>
    <s v="ZPEP"/>
    <x v="7"/>
    <s v="DJLF85"/>
    <s v="53173292"/>
    <s v="RENCA"/>
    <x v="5301"/>
    <x v="4"/>
    <x v="1"/>
    <x v="7"/>
    <x v="1"/>
    <n v="1"/>
    <n v="69173"/>
    <n v="0"/>
    <n v="69173"/>
    <n v="22.953914970997758"/>
    <n v="5000"/>
    <n v="60"/>
    <x v="6653"/>
    <x v="7"/>
    <x v="4"/>
    <x v="1"/>
  </r>
  <r>
    <x v="619"/>
    <s v="ZTAN"/>
    <x v="6"/>
    <s v="SU9354"/>
    <s v="72564391"/>
    <s v="VIÑA DEL MAR"/>
    <x v="5302"/>
    <x v="2"/>
    <x v="1"/>
    <x v="6"/>
    <x v="2"/>
    <n v="0"/>
    <n v="227000"/>
    <n v="0"/>
    <n v="227000"/>
    <n v="56.054919004346111"/>
    <n v="14000"/>
    <n v="29"/>
    <x v="6654"/>
    <x v="7"/>
    <x v="4"/>
    <x v="0"/>
  </r>
  <r>
    <x v="619"/>
    <s v="ZTAN"/>
    <x v="70"/>
    <s v="SU9354"/>
    <s v="72564391"/>
    <s v="SANTIAGO"/>
    <x v="479"/>
    <x v="2"/>
    <x v="1"/>
    <x v="20"/>
    <x v="1"/>
    <n v="1"/>
    <n v="103180"/>
    <n v="0"/>
    <n v="103180"/>
    <n v="11.000000000000002"/>
    <n v="5000"/>
    <n v="100"/>
    <x v="6655"/>
    <x v="7"/>
    <x v="4"/>
    <x v="1"/>
  </r>
  <r>
    <x v="619"/>
    <s v="ZTAN"/>
    <x v="7"/>
    <s v="DJLF85"/>
    <s v="53173292"/>
    <s v="RENCA"/>
    <x v="5303"/>
    <x v="4"/>
    <x v="1"/>
    <x v="7"/>
    <x v="1"/>
    <n v="1"/>
    <n v="103862"/>
    <n v="0"/>
    <n v="103862"/>
    <n v="10.999999999999998"/>
    <n v="5000"/>
    <n v="100"/>
    <x v="6656"/>
    <x v="7"/>
    <x v="4"/>
    <x v="1"/>
  </r>
  <r>
    <x v="619"/>
    <s v="ZTAN"/>
    <x v="7"/>
    <s v="HLBX77"/>
    <s v="16093509K"/>
    <s v="SANTIAGO"/>
    <x v="5304"/>
    <x v="1"/>
    <x v="1"/>
    <x v="20"/>
    <x v="1"/>
    <n v="1"/>
    <n v="69173"/>
    <n v="0"/>
    <n v="69173"/>
    <n v="18.148783661818104"/>
    <n v="5000"/>
    <n v="76"/>
    <x v="6657"/>
    <x v="7"/>
    <x v="4"/>
    <x v="1"/>
  </r>
  <r>
    <x v="619"/>
    <s v="ZTAN"/>
    <x v="7"/>
    <s v="WC2233"/>
    <s v="125108660"/>
    <s v="RENCA"/>
    <x v="5305"/>
    <x v="4"/>
    <x v="1"/>
    <x v="7"/>
    <x v="1"/>
    <n v="1"/>
    <n v="116562"/>
    <n v="0"/>
    <n v="116562"/>
    <n v="10.999964139373269"/>
    <n v="5000"/>
    <n v="100"/>
    <x v="6658"/>
    <x v="7"/>
    <x v="4"/>
    <x v="1"/>
  </r>
  <r>
    <x v="619"/>
    <s v="ZTAN"/>
    <x v="7"/>
    <s v="WG4022"/>
    <s v="154837728"/>
    <s v="RENCA"/>
    <x v="5306"/>
    <x v="1"/>
    <x v="0"/>
    <x v="7"/>
    <x v="1"/>
    <n v="1"/>
    <n v="187904"/>
    <n v="0"/>
    <n v="187904"/>
    <n v="11.000026928710337"/>
    <n v="5000"/>
    <n v="100"/>
    <x v="6659"/>
    <x v="7"/>
    <x v="4"/>
    <x v="1"/>
  </r>
  <r>
    <x v="619"/>
    <s v="ZTAN"/>
    <x v="7"/>
    <s v="XR6339"/>
    <s v="78907355"/>
    <s v="SAN MIGUEL"/>
    <x v="5307"/>
    <x v="1"/>
    <x v="1"/>
    <x v="23"/>
    <x v="1"/>
    <n v="2"/>
    <n v="91462"/>
    <n v="0"/>
    <n v="91462"/>
    <n v="11.000009621490562"/>
    <n v="5000"/>
    <n v="100"/>
    <x v="6660"/>
    <x v="7"/>
    <x v="4"/>
    <x v="1"/>
  </r>
  <r>
    <x v="619"/>
    <s v="ZTAN"/>
    <x v="8"/>
    <s v="HLBX77"/>
    <s v="16093509K"/>
    <s v="PUDAHUEL"/>
    <x v="5308"/>
    <x v="1"/>
    <x v="1"/>
    <x v="10"/>
    <x v="1"/>
    <n v="1"/>
    <n v="69173"/>
    <n v="0"/>
    <n v="69173"/>
    <n v="16.134246409195441"/>
    <n v="5000"/>
    <n v="86"/>
    <x v="6661"/>
    <x v="7"/>
    <x v="4"/>
    <x v="1"/>
  </r>
  <r>
    <x v="619"/>
    <s v="ZTAN"/>
    <x v="8"/>
    <s v="SV2718"/>
    <s v="107643206"/>
    <s v="LA REINA"/>
    <x v="5309"/>
    <x v="1"/>
    <x v="1"/>
    <x v="11"/>
    <x v="1"/>
    <n v="3"/>
    <n v="69173"/>
    <n v="0"/>
    <n v="69173"/>
    <n v="20.716681641209941"/>
    <n v="5000"/>
    <n v="67"/>
    <x v="6662"/>
    <x v="7"/>
    <x v="4"/>
    <x v="1"/>
  </r>
  <r>
    <x v="620"/>
    <s v="ZPEP"/>
    <x v="127"/>
    <s v="BPKD94"/>
    <s v="125897258"/>
    <s v="CHILLAN"/>
    <x v="5310"/>
    <x v="0"/>
    <x v="0"/>
    <x v="21"/>
    <x v="5"/>
    <n v="0"/>
    <n v="440000"/>
    <n v="0"/>
    <n v="440000"/>
    <n v="22.367725405669201"/>
    <n v="14000"/>
    <n v="100"/>
    <x v="6663"/>
    <x v="7"/>
    <x v="4"/>
    <x v="0"/>
  </r>
  <r>
    <x v="620"/>
    <s v="ZPEP"/>
    <x v="116"/>
    <s v="CYWH42"/>
    <s v="151873413"/>
    <s v="SANTIAGO"/>
    <x v="5311"/>
    <x v="0"/>
    <x v="0"/>
    <x v="20"/>
    <x v="1"/>
    <n v="1"/>
    <n v="69173"/>
    <n v="0"/>
    <n v="69173"/>
    <n v="40.257117582698982"/>
    <n v="5000"/>
    <n v="34"/>
    <x v="6664"/>
    <x v="7"/>
    <x v="4"/>
    <x v="1"/>
  </r>
  <r>
    <x v="620"/>
    <s v="ZTAN"/>
    <x v="6"/>
    <s v="HLBX77"/>
    <s v="16093509K"/>
    <s v="VALPARAISO"/>
    <x v="5312"/>
    <x v="1"/>
    <x v="1"/>
    <x v="36"/>
    <x v="2"/>
    <n v="0"/>
    <n v="227000"/>
    <n v="0"/>
    <n v="227000"/>
    <n v="58.381770485057359"/>
    <n v="14000"/>
    <n v="28"/>
    <x v="6665"/>
    <x v="7"/>
    <x v="4"/>
    <x v="0"/>
  </r>
  <r>
    <x v="620"/>
    <s v="ZTAN"/>
    <x v="6"/>
    <s v="RKWZ13"/>
    <s v="264148421"/>
    <s v="CALAMA"/>
    <x v="5313"/>
    <x v="0"/>
    <x v="0"/>
    <x v="37"/>
    <x v="7"/>
    <n v="0"/>
    <n v="1760000"/>
    <n v="0"/>
    <n v="1760000"/>
    <n v="243.18259696906051"/>
    <n v="14000"/>
    <n v="52"/>
    <x v="6666"/>
    <x v="7"/>
    <x v="4"/>
    <x v="0"/>
  </r>
  <r>
    <x v="620"/>
    <s v="ZTAN"/>
    <x v="70"/>
    <s v="DJLF85"/>
    <s v="53173292"/>
    <s v="SANTIAGO"/>
    <x v="5314"/>
    <x v="4"/>
    <x v="1"/>
    <x v="20"/>
    <x v="1"/>
    <n v="1"/>
    <n v="69173"/>
    <n v="0"/>
    <n v="69173"/>
    <n v="7.3745202558635397"/>
    <n v="5000"/>
    <n v="100"/>
    <x v="6667"/>
    <x v="7"/>
    <x v="4"/>
    <x v="1"/>
  </r>
  <r>
    <x v="620"/>
    <s v="ZTAN"/>
    <x v="7"/>
    <s v="CVSK23"/>
    <s v="95439802"/>
    <s v="CHILLAN"/>
    <x v="5315"/>
    <x v="0"/>
    <x v="0"/>
    <x v="21"/>
    <x v="5"/>
    <n v="0"/>
    <n v="440000"/>
    <n v="0"/>
    <n v="440000"/>
    <n v="45.288270132179989"/>
    <n v="14000"/>
    <n v="80"/>
    <x v="6668"/>
    <x v="7"/>
    <x v="4"/>
    <x v="0"/>
  </r>
  <r>
    <x v="620"/>
    <s v="ZTAN"/>
    <x v="7"/>
    <s v="UT5439"/>
    <s v="165285395"/>
    <s v="SAN FERNANDO"/>
    <x v="5316"/>
    <x v="0"/>
    <x v="0"/>
    <x v="92"/>
    <x v="6"/>
    <n v="0"/>
    <n v="352000"/>
    <n v="0"/>
    <n v="352000"/>
    <n v="68.000795918406752"/>
    <n v="14000"/>
    <n v="37"/>
    <x v="6669"/>
    <x v="7"/>
    <x v="4"/>
    <x v="0"/>
  </r>
  <r>
    <x v="620"/>
    <s v="ZTAN"/>
    <x v="8"/>
    <s v="DKDL88"/>
    <s v="122975819"/>
    <s v="TALCA"/>
    <x v="5317"/>
    <x v="0"/>
    <x v="0"/>
    <x v="12"/>
    <x v="3"/>
    <n v="0"/>
    <n v="402000"/>
    <n v="0"/>
    <n v="402000"/>
    <n v="98.415317536287588"/>
    <n v="14000"/>
    <n v="29"/>
    <x v="6670"/>
    <x v="7"/>
    <x v="4"/>
    <x v="0"/>
  </r>
  <r>
    <x v="620"/>
    <s v="ZTAN"/>
    <x v="8"/>
    <s v="DRFV76"/>
    <s v="113693568"/>
    <s v="LOS ANGELES"/>
    <x v="419"/>
    <x v="0"/>
    <x v="0"/>
    <x v="57"/>
    <x v="0"/>
    <n v="0"/>
    <n v="528000"/>
    <n v="0"/>
    <n v="528000"/>
    <n v="64.046579330422091"/>
    <n v="14000"/>
    <n v="59"/>
    <x v="6671"/>
    <x v="7"/>
    <x v="4"/>
    <x v="0"/>
  </r>
  <r>
    <x v="620"/>
    <s v="ZTAN"/>
    <x v="8"/>
    <s v="FYTP84"/>
    <s v="124860341"/>
    <s v="LOS ANGELES"/>
    <x v="315"/>
    <x v="0"/>
    <x v="0"/>
    <x v="57"/>
    <x v="0"/>
    <n v="0"/>
    <n v="528000"/>
    <n v="0"/>
    <n v="528000"/>
    <n v="55.5555555555555"/>
    <n v="14000"/>
    <n v="68"/>
    <x v="6672"/>
    <x v="7"/>
    <x v="4"/>
    <x v="0"/>
  </r>
  <r>
    <x v="621"/>
    <s v="ZTAN"/>
    <x v="34"/>
    <s v="HLBX77"/>
    <s v="16093509K"/>
    <s v="QUINTA NORMAL"/>
    <x v="2337"/>
    <x v="1"/>
    <x v="1"/>
    <x v="62"/>
    <x v="1"/>
    <n v="1"/>
    <n v="69173"/>
    <n v="0"/>
    <n v="69173"/>
    <n v="21.594967532467535"/>
    <n v="5000"/>
    <n v="64"/>
    <x v="6673"/>
    <x v="7"/>
    <x v="4"/>
    <x v="1"/>
  </r>
  <r>
    <x v="621"/>
    <s v="ZTAN"/>
    <x v="65"/>
    <s v="SU9354"/>
    <s v="72564391"/>
    <s v="MACHALI"/>
    <x v="5318"/>
    <x v="2"/>
    <x v="1"/>
    <x v="43"/>
    <x v="6"/>
    <n v="0"/>
    <n v="180000"/>
    <n v="0"/>
    <n v="180000"/>
    <n v="14.399942400230399"/>
    <n v="14000"/>
    <n v="89"/>
    <x v="6674"/>
    <x v="7"/>
    <x v="4"/>
    <x v="0"/>
  </r>
  <r>
    <x v="621"/>
    <s v="ZTAN"/>
    <x v="10"/>
    <s v="KKPF51"/>
    <s v="95707734"/>
    <s v="SANTIAGO"/>
    <x v="5319"/>
    <x v="8"/>
    <x v="0"/>
    <x v="20"/>
    <x v="1"/>
    <n v="1"/>
    <n v="98598"/>
    <n v="0"/>
    <n v="98598"/>
    <n v="11.000030122397344"/>
    <n v="5000"/>
    <n v="100"/>
    <x v="6675"/>
    <x v="7"/>
    <x v="4"/>
    <x v="1"/>
  </r>
  <r>
    <x v="621"/>
    <s v="ZTAN"/>
    <x v="131"/>
    <s v="DJLF85"/>
    <s v="531736292"/>
    <s v="LAS CONDES"/>
    <x v="5320"/>
    <x v="4"/>
    <x v="1"/>
    <x v="3"/>
    <x v="1"/>
    <n v="4"/>
    <n v="61024"/>
    <n v="0"/>
    <n v="61024"/>
    <n v="10.999953133393179"/>
    <n v="5000"/>
    <n v="100"/>
    <x v="6676"/>
    <x v="7"/>
    <x v="4"/>
    <x v="1"/>
  </r>
  <r>
    <x v="621"/>
    <s v="ZTAN"/>
    <x v="16"/>
    <s v="XR6339"/>
    <s v="78907355"/>
    <s v="SAN BERNARDO"/>
    <x v="5321"/>
    <x v="1"/>
    <x v="1"/>
    <x v="4"/>
    <x v="1"/>
    <n v="4"/>
    <n v="62724"/>
    <n v="0"/>
    <n v="62724"/>
    <n v="10.999964925818107"/>
    <n v="5000"/>
    <n v="100"/>
    <x v="6677"/>
    <x v="7"/>
    <x v="4"/>
    <x v="1"/>
  </r>
  <r>
    <x v="621"/>
    <s v="ZTAN"/>
    <x v="7"/>
    <s v="DJLF85"/>
    <s v="125108660"/>
    <s v="MELIPILLA"/>
    <x v="5322"/>
    <x v="4"/>
    <x v="1"/>
    <x v="29"/>
    <x v="1"/>
    <n v="5"/>
    <n v="112500"/>
    <n v="0"/>
    <n v="112500"/>
    <n v="15.701720350267001"/>
    <n v="10000"/>
    <n v="72"/>
    <x v="6678"/>
    <x v="7"/>
    <x v="4"/>
    <x v="1"/>
  </r>
  <r>
    <x v="621"/>
    <s v="ZTAN"/>
    <x v="7"/>
    <s v="HLBX77"/>
    <s v="16093509K"/>
    <s v="SAN MIGUEL"/>
    <x v="5323"/>
    <x v="1"/>
    <x v="1"/>
    <x v="23"/>
    <x v="1"/>
    <n v="2"/>
    <n v="117069"/>
    <n v="0"/>
    <n v="117069"/>
    <n v="10.999965234288013"/>
    <n v="5000"/>
    <n v="100"/>
    <x v="6679"/>
    <x v="7"/>
    <x v="4"/>
    <x v="1"/>
  </r>
  <r>
    <x v="621"/>
    <s v="ZTAN"/>
    <x v="7"/>
    <s v="PYCP18"/>
    <s v="139528778"/>
    <s v="CORONEL"/>
    <x v="5324"/>
    <x v="0"/>
    <x v="0"/>
    <x v="16"/>
    <x v="0"/>
    <n v="0"/>
    <n v="528000"/>
    <n v="0"/>
    <n v="528000"/>
    <n v="24.674857348480941"/>
    <n v="14000"/>
    <n v="100"/>
    <x v="6680"/>
    <x v="7"/>
    <x v="4"/>
    <x v="0"/>
  </r>
  <r>
    <x v="622"/>
    <s v="ZPEP"/>
    <x v="50"/>
    <s v="SU9354"/>
    <s v="72564391"/>
    <s v="CHILLAN"/>
    <x v="5325"/>
    <x v="2"/>
    <x v="1"/>
    <x v="21"/>
    <x v="5"/>
    <n v="0"/>
    <n v="320000"/>
    <n v="0"/>
    <n v="320000"/>
    <n v="71.159183092578104"/>
    <n v="14000"/>
    <n v="32"/>
    <x v="6681"/>
    <x v="7"/>
    <x v="4"/>
    <x v="0"/>
  </r>
  <r>
    <x v="622"/>
    <s v="ZPEP"/>
    <x v="7"/>
    <s v="WC2233"/>
    <s v="125108660"/>
    <s v="RENCA"/>
    <x v="5326"/>
    <x v="4"/>
    <x v="1"/>
    <x v="7"/>
    <x v="1"/>
    <n v="1"/>
    <n v="117118"/>
    <n v="0"/>
    <n v="117118"/>
    <n v="10.999969944924073"/>
    <n v="5000"/>
    <n v="100"/>
    <x v="6682"/>
    <x v="7"/>
    <x v="4"/>
    <x v="1"/>
  </r>
  <r>
    <x v="622"/>
    <s v="ZTAN"/>
    <x v="4"/>
    <s v="SU9354"/>
    <s v="72564391"/>
    <s v="SAN BERNARDO"/>
    <x v="414"/>
    <x v="2"/>
    <x v="1"/>
    <x v="4"/>
    <x v="1"/>
    <n v="4"/>
    <n v="107307"/>
    <n v="0"/>
    <n v="107307"/>
    <n v="10.999979498113829"/>
    <n v="5000"/>
    <n v="100"/>
    <x v="6683"/>
    <x v="7"/>
    <x v="4"/>
    <x v="1"/>
  </r>
  <r>
    <x v="622"/>
    <s v="ZTAN"/>
    <x v="4"/>
    <s v="WC2233"/>
    <s v="125108660"/>
    <s v="SAN BERNARDO"/>
    <x v="414"/>
    <x v="4"/>
    <x v="1"/>
    <x v="4"/>
    <x v="1"/>
    <n v="4"/>
    <n v="107307"/>
    <n v="0"/>
    <n v="107307"/>
    <n v="10.999979498113829"/>
    <n v="5000"/>
    <n v="100"/>
    <x v="6684"/>
    <x v="7"/>
    <x v="4"/>
    <x v="1"/>
  </r>
  <r>
    <x v="622"/>
    <s v="ZTAN"/>
    <x v="65"/>
    <s v="HLBX77"/>
    <s v="16093509K"/>
    <s v="CODEGUA"/>
    <x v="2207"/>
    <x v="1"/>
    <x v="1"/>
    <x v="79"/>
    <x v="6"/>
    <n v="0"/>
    <n v="300000"/>
    <n v="0"/>
    <n v="300000"/>
    <n v="24.147590070510962"/>
    <n v="14000"/>
    <n v="89"/>
    <x v="6685"/>
    <x v="7"/>
    <x v="4"/>
    <x v="0"/>
  </r>
  <r>
    <x v="622"/>
    <s v="ZTAN"/>
    <x v="10"/>
    <s v="UA7248"/>
    <s v="78907355"/>
    <s v="QUILICURA"/>
    <x v="5327"/>
    <x v="1"/>
    <x v="1"/>
    <x v="8"/>
    <x v="1"/>
    <n v="1"/>
    <n v="71816"/>
    <n v="0"/>
    <n v="71816"/>
    <n v="10.999928010942334"/>
    <n v="5000"/>
    <n v="100"/>
    <x v="6686"/>
    <x v="7"/>
    <x v="4"/>
    <x v="1"/>
  </r>
  <r>
    <x v="622"/>
    <s v="ZTAN"/>
    <x v="7"/>
    <s v="PYCP22"/>
    <s v="114163848"/>
    <s v="CHILLAN"/>
    <x v="5328"/>
    <x v="0"/>
    <x v="0"/>
    <x v="21"/>
    <x v="5"/>
    <n v="0"/>
    <n v="440000"/>
    <n v="0"/>
    <n v="440000"/>
    <n v="32.239770101130269"/>
    <n v="14000"/>
    <n v="97"/>
    <x v="6687"/>
    <x v="7"/>
    <x v="4"/>
    <x v="0"/>
  </r>
  <r>
    <x v="622"/>
    <s v="ZTAN"/>
    <x v="7"/>
    <s v="WG4022"/>
    <s v="154837728"/>
    <s v="RENCA"/>
    <x v="5329"/>
    <x v="1"/>
    <x v="0"/>
    <x v="7"/>
    <x v="1"/>
    <n v="1"/>
    <n v="212158"/>
    <n v="0"/>
    <n v="212158"/>
    <n v="11.000023331717403"/>
    <n v="5000"/>
    <n v="100"/>
    <x v="6688"/>
    <x v="7"/>
    <x v="4"/>
    <x v="1"/>
  </r>
  <r>
    <x v="622"/>
    <s v="ZTAN"/>
    <x v="8"/>
    <s v="SV2718"/>
    <s v="107643206"/>
    <s v="PUENTE ALTO"/>
    <x v="5330"/>
    <x v="1"/>
    <x v="1"/>
    <x v="30"/>
    <x v="1"/>
    <n v="4"/>
    <n v="69173"/>
    <n v="0"/>
    <n v="69173"/>
    <n v="26.194353140762505"/>
    <n v="5000"/>
    <n v="53"/>
    <x v="6689"/>
    <x v="7"/>
    <x v="4"/>
    <x v="1"/>
  </r>
  <r>
    <x v="623"/>
    <s v="ZTAN"/>
    <x v="4"/>
    <s v="SV2718"/>
    <n v="107643206"/>
    <s v="SAN BERNARDO"/>
    <x v="5331"/>
    <x v="1"/>
    <x v="1"/>
    <x v="4"/>
    <x v="1"/>
    <n v="4"/>
    <n v="77055"/>
    <n v="0"/>
    <n v="77055"/>
    <n v="11"/>
    <n v="5000"/>
    <n v="100"/>
    <x v="6690"/>
    <x v="7"/>
    <x v="4"/>
    <x v="1"/>
  </r>
  <r>
    <x v="623"/>
    <s v="ZTAN"/>
    <x v="10"/>
    <s v="SV2718"/>
    <n v="107643206"/>
    <s v="SANTIAGO"/>
    <x v="5332"/>
    <x v="1"/>
    <x v="1"/>
    <x v="20"/>
    <x v="1"/>
    <n v="1"/>
    <n v="69173"/>
    <n v="0"/>
    <n v="69173"/>
    <n v="16.359452453929695"/>
    <n v="5000"/>
    <n v="85"/>
    <x v="6691"/>
    <x v="7"/>
    <x v="4"/>
    <x v="1"/>
  </r>
  <r>
    <x v="623"/>
    <s v="ZTAN"/>
    <x v="9"/>
    <s v="SV2718"/>
    <n v="107643206"/>
    <s v="SAN BERNARDO"/>
    <x v="5333"/>
    <x v="1"/>
    <x v="1"/>
    <x v="4"/>
    <x v="1"/>
    <n v="4"/>
    <n v="69173"/>
    <n v="0"/>
    <n v="69173"/>
    <n v="35.346448645886561"/>
    <n v="5000"/>
    <n v="39"/>
    <x v="6692"/>
    <x v="7"/>
    <x v="4"/>
    <x v="1"/>
  </r>
  <r>
    <x v="623"/>
    <s v="ZTAN"/>
    <x v="7"/>
    <s v="DJLF85"/>
    <n v="125108660"/>
    <s v="MELIPILLA"/>
    <x v="5334"/>
    <x v="4"/>
    <x v="1"/>
    <x v="29"/>
    <x v="1"/>
    <n v="5"/>
    <n v="112500"/>
    <n v="0"/>
    <n v="112500"/>
    <n v="19.388528884599477"/>
    <n v="10000"/>
    <n v="58"/>
    <x v="6693"/>
    <x v="7"/>
    <x v="4"/>
    <x v="1"/>
  </r>
  <r>
    <x v="623"/>
    <s v="ZTAN"/>
    <x v="7"/>
    <s v="DJLF85"/>
    <n v="53173292"/>
    <s v="SAN MIGUEL"/>
    <x v="5335"/>
    <x v="4"/>
    <x v="1"/>
    <x v="23"/>
    <x v="1"/>
    <n v="2"/>
    <n v="67624"/>
    <n v="0"/>
    <n v="67624"/>
    <n v="11.000065066042033"/>
    <n v="5000"/>
    <n v="100"/>
    <x v="6694"/>
    <x v="7"/>
    <x v="4"/>
    <x v="1"/>
  </r>
  <r>
    <x v="623"/>
    <s v="ZTAN"/>
    <x v="7"/>
    <s v="SU9354"/>
    <n v="72564391"/>
    <s v="SAN MIGUEL"/>
    <x v="3243"/>
    <x v="2"/>
    <x v="1"/>
    <x v="23"/>
    <x v="1"/>
    <n v="2"/>
    <n v="62590"/>
    <n v="0"/>
    <n v="62590"/>
    <n v="11"/>
    <n v="5000"/>
    <n v="100"/>
    <x v="6695"/>
    <x v="7"/>
    <x v="4"/>
    <x v="1"/>
  </r>
  <r>
    <x v="623"/>
    <s v="ZTAN"/>
    <x v="7"/>
    <s v="WC2233"/>
    <n v="125108660"/>
    <s v="RENCA"/>
    <x v="5336"/>
    <x v="4"/>
    <x v="1"/>
    <x v="7"/>
    <x v="1"/>
    <n v="1"/>
    <n v="96859"/>
    <n v="0"/>
    <n v="96859"/>
    <n v="10.999954573330005"/>
    <n v="5000"/>
    <n v="100"/>
    <x v="6696"/>
    <x v="7"/>
    <x v="4"/>
    <x v="1"/>
  </r>
  <r>
    <x v="623"/>
    <s v="ZTAN"/>
    <x v="7"/>
    <s v="WG4022"/>
    <n v="154837728"/>
    <s v="RENCA"/>
    <x v="5337"/>
    <x v="1"/>
    <x v="0"/>
    <x v="7"/>
    <x v="1"/>
    <n v="1"/>
    <n v="212414"/>
    <n v="0"/>
    <n v="212414"/>
    <n v="11.000013464289081"/>
    <n v="5000"/>
    <n v="100"/>
    <x v="6697"/>
    <x v="7"/>
    <x v="4"/>
    <x v="1"/>
  </r>
  <r>
    <x v="624"/>
    <s v="ZPEP"/>
    <x v="2"/>
    <s v="BDHB75"/>
    <s v="98494073"/>
    <s v="TEMUCO"/>
    <x v="5338"/>
    <x v="0"/>
    <x v="0"/>
    <x v="14"/>
    <x v="4"/>
    <n v="0"/>
    <n v="779000"/>
    <n v="0"/>
    <n v="779000"/>
    <n v="53.806294576684671"/>
    <n v="14000"/>
    <n v="100"/>
    <x v="6698"/>
    <x v="7"/>
    <x v="4"/>
    <x v="0"/>
  </r>
  <r>
    <x v="624"/>
    <s v="ZPEP"/>
    <x v="2"/>
    <s v="DJKG97"/>
    <s v="177832741"/>
    <s v="TEMUCO"/>
    <x v="5339"/>
    <x v="0"/>
    <x v="0"/>
    <x v="14"/>
    <x v="4"/>
    <n v="0"/>
    <n v="779000"/>
    <n v="0"/>
    <n v="779000"/>
    <n v="39.334176905839357"/>
    <n v="14000"/>
    <n v="100"/>
    <x v="6699"/>
    <x v="7"/>
    <x v="4"/>
    <x v="0"/>
  </r>
  <r>
    <x v="624"/>
    <s v="ZTAN"/>
    <x v="132"/>
    <s v="HLBX77"/>
    <s v="16093509K"/>
    <s v="SANTIAGO"/>
    <x v="5340"/>
    <x v="1"/>
    <x v="1"/>
    <x v="20"/>
    <x v="1"/>
    <n v="1"/>
    <n v="57764"/>
    <n v="0"/>
    <n v="57764"/>
    <n v="10.99998476561905"/>
    <n v="5000"/>
    <n v="100"/>
    <x v="6700"/>
    <x v="7"/>
    <x v="4"/>
    <x v="1"/>
  </r>
  <r>
    <x v="624"/>
    <s v="ZTAN"/>
    <x v="41"/>
    <s v="HLBX77"/>
    <s v="16093509K"/>
    <s v="REQUINOA"/>
    <x v="2092"/>
    <x v="1"/>
    <x v="1"/>
    <x v="113"/>
    <x v="6"/>
    <n v="0"/>
    <n v="150000"/>
    <n v="0"/>
    <n v="150000"/>
    <n v="27.736686390532544"/>
    <n v="14000"/>
    <n v="39"/>
    <x v="6701"/>
    <x v="7"/>
    <x v="4"/>
    <x v="0"/>
  </r>
  <r>
    <x v="624"/>
    <s v="ZTAN"/>
    <x v="133"/>
    <s v="HYFL62"/>
    <s v="99199296"/>
    <s v="SAN CARLOS"/>
    <x v="2618"/>
    <x v="0"/>
    <x v="0"/>
    <x v="32"/>
    <x v="5"/>
    <n v="0"/>
    <n v="440000"/>
    <n v="0"/>
    <n v="440000"/>
    <n v="32.575219142383318"/>
    <n v="14000"/>
    <n v="96"/>
    <x v="6702"/>
    <x v="7"/>
    <x v="4"/>
    <x v="0"/>
  </r>
  <r>
    <x v="624"/>
    <s v="ZTAN"/>
    <x v="7"/>
    <s v="UA7248"/>
    <s v="78907355"/>
    <s v="SANTIAGO"/>
    <x v="5341"/>
    <x v="1"/>
    <x v="1"/>
    <x v="20"/>
    <x v="1"/>
    <n v="1"/>
    <n v="69173"/>
    <n v="0"/>
    <n v="69173"/>
    <n v="20.488418932527686"/>
    <n v="5000"/>
    <n v="68"/>
    <x v="6703"/>
    <x v="7"/>
    <x v="4"/>
    <x v="1"/>
  </r>
  <r>
    <x v="625"/>
    <s v="ZPEP"/>
    <x v="65"/>
    <s v="PN4466"/>
    <s v="81417709"/>
    <s v="LINARES"/>
    <x v="5342"/>
    <x v="1"/>
    <x v="0"/>
    <x v="59"/>
    <x v="3"/>
    <n v="0"/>
    <n v="437500"/>
    <n v="0"/>
    <n v="437500"/>
    <n v="22.940590425253003"/>
    <n v="14000"/>
    <n v="100"/>
    <x v="6704"/>
    <x v="7"/>
    <x v="4"/>
    <x v="0"/>
  </r>
  <r>
    <x v="625"/>
    <s v="ZTAN"/>
    <x v="10"/>
    <s v="KKPF51"/>
    <s v="95707734"/>
    <s v="QUILICURA"/>
    <x v="5343"/>
    <x v="8"/>
    <x v="0"/>
    <x v="8"/>
    <x v="1"/>
    <n v="1"/>
    <n v="169341"/>
    <n v="0"/>
    <n v="169341"/>
    <n v="10.999983111026802"/>
    <n v="5000"/>
    <n v="100"/>
    <x v="6705"/>
    <x v="7"/>
    <x v="4"/>
    <x v="1"/>
  </r>
  <r>
    <x v="625"/>
    <s v="ZTAN"/>
    <x v="134"/>
    <s v="XR6339"/>
    <s v="78907355"/>
    <s v="SANTIAGO"/>
    <x v="1717"/>
    <x v="1"/>
    <x v="1"/>
    <x v="20"/>
    <x v="1"/>
    <n v="1"/>
    <n v="105118"/>
    <n v="0"/>
    <n v="105118"/>
    <n v="10.999979071178915"/>
    <n v="5000"/>
    <n v="100"/>
    <x v="6706"/>
    <x v="7"/>
    <x v="4"/>
    <x v="1"/>
  </r>
  <r>
    <x v="625"/>
    <s v="ZTAN"/>
    <x v="7"/>
    <s v="HLBX77"/>
    <s v="16093509K"/>
    <s v="SAN MIGUEL"/>
    <x v="5344"/>
    <x v="1"/>
    <x v="1"/>
    <x v="23"/>
    <x v="1"/>
    <n v="2"/>
    <n v="123673"/>
    <n v="0"/>
    <n v="123673"/>
    <n v="10.999999999999991"/>
    <n v="5000"/>
    <n v="100"/>
    <x v="6707"/>
    <x v="7"/>
    <x v="4"/>
    <x v="1"/>
  </r>
  <r>
    <x v="625"/>
    <s v="ZTAN"/>
    <x v="7"/>
    <s v="PBFY96"/>
    <s v="17510674K"/>
    <s v="CORONEL"/>
    <x v="5345"/>
    <x v="0"/>
    <x v="0"/>
    <x v="16"/>
    <x v="0"/>
    <n v="0"/>
    <n v="528000"/>
    <n v="0"/>
    <n v="528000"/>
    <n v="39.220929714311211"/>
    <n v="14000"/>
    <n v="96"/>
    <x v="6708"/>
    <x v="7"/>
    <x v="4"/>
    <x v="0"/>
  </r>
  <r>
    <x v="625"/>
    <s v="ZTAN"/>
    <x v="7"/>
    <s v="RKLM77"/>
    <s v="94590507"/>
    <s v="CORONEL"/>
    <x v="5346"/>
    <x v="0"/>
    <x v="0"/>
    <x v="16"/>
    <x v="0"/>
    <n v="0"/>
    <n v="528000"/>
    <n v="0"/>
    <n v="528000"/>
    <n v="42.428450204427989"/>
    <n v="14000"/>
    <n v="86"/>
    <x v="6709"/>
    <x v="7"/>
    <x v="4"/>
    <x v="0"/>
  </r>
  <r>
    <x v="625"/>
    <s v="ZTAN"/>
    <x v="7"/>
    <s v="SV2718"/>
    <s v="107643206"/>
    <s v="SANTIAGO"/>
    <x v="5347"/>
    <x v="1"/>
    <x v="1"/>
    <x v="20"/>
    <x v="1"/>
    <n v="1"/>
    <n v="69173"/>
    <n v="0"/>
    <n v="69173"/>
    <n v="18.915851764345561"/>
    <n v="5000"/>
    <n v="73"/>
    <x v="6710"/>
    <x v="7"/>
    <x v="4"/>
    <x v="1"/>
  </r>
  <r>
    <x v="625"/>
    <s v="ZTAN"/>
    <x v="99"/>
    <s v="RX2274"/>
    <s v="100822326"/>
    <s v="SANTIAGO"/>
    <x v="5348"/>
    <x v="0"/>
    <x v="0"/>
    <x v="20"/>
    <x v="1"/>
    <n v="1"/>
    <n v="227545"/>
    <n v="0"/>
    <n v="227545"/>
    <n v="11.000004834210742"/>
    <n v="5000"/>
    <n v="100"/>
    <x v="6711"/>
    <x v="7"/>
    <x v="4"/>
    <x v="1"/>
  </r>
  <r>
    <x v="625"/>
    <s v="ZTAN"/>
    <x v="135"/>
    <s v="PYCL27"/>
    <s v="104840078"/>
    <s v="SAN CARLOS"/>
    <x v="5349"/>
    <x v="0"/>
    <x v="0"/>
    <x v="32"/>
    <x v="5"/>
    <n v="0"/>
    <n v="440000"/>
    <n v="0"/>
    <n v="440000"/>
    <n v="27.568265918480638"/>
    <n v="14000"/>
    <n v="100"/>
    <x v="6712"/>
    <x v="7"/>
    <x v="4"/>
    <x v="0"/>
  </r>
  <r>
    <x v="625"/>
    <s v="ZTAN"/>
    <x v="135"/>
    <s v="RGTZ38"/>
    <s v="115738402"/>
    <s v="SAN CARLOS"/>
    <x v="5350"/>
    <x v="0"/>
    <x v="0"/>
    <x v="32"/>
    <x v="5"/>
    <n v="0"/>
    <n v="440000"/>
    <n v="0"/>
    <n v="440000"/>
    <n v="20.870360435867994"/>
    <n v="14000"/>
    <n v="100"/>
    <x v="6713"/>
    <x v="7"/>
    <x v="4"/>
    <x v="0"/>
  </r>
  <r>
    <x v="626"/>
    <s v="ZTAN"/>
    <x v="4"/>
    <s v="WC2233"/>
    <s v="53173292"/>
    <s v="SAN BERNARDO"/>
    <x v="5351"/>
    <x v="4"/>
    <x v="1"/>
    <x v="4"/>
    <x v="1"/>
    <n v="4"/>
    <n v="117975"/>
    <n v="0"/>
    <n v="117975"/>
    <n v="11"/>
    <n v="5000"/>
    <n v="100"/>
    <x v="6714"/>
    <x v="7"/>
    <x v="4"/>
    <x v="1"/>
  </r>
  <r>
    <x v="626"/>
    <s v="ZTAN"/>
    <x v="65"/>
    <s v="WG4022"/>
    <s v="154837728"/>
    <s v="PICHIDEGUA"/>
    <x v="5352"/>
    <x v="1"/>
    <x v="0"/>
    <x v="114"/>
    <x v="6"/>
    <n v="0"/>
    <n v="250000"/>
    <n v="0"/>
    <n v="250000"/>
    <n v="9.938382031405288"/>
    <n v="14000"/>
    <n v="100"/>
    <x v="6715"/>
    <x v="7"/>
    <x v="4"/>
    <x v="0"/>
  </r>
  <r>
    <x v="626"/>
    <s v="ZTAN"/>
    <x v="10"/>
    <s v="DJLF85"/>
    <s v="53173292"/>
    <s v="SANTIAGO"/>
    <x v="5353"/>
    <x v="4"/>
    <x v="1"/>
    <x v="20"/>
    <x v="1"/>
    <n v="1"/>
    <n v="56894"/>
    <n v="0"/>
    <n v="56894"/>
    <n v="10.999961331735046"/>
    <n v="5000"/>
    <n v="100"/>
    <x v="6716"/>
    <x v="7"/>
    <x v="4"/>
    <x v="1"/>
  </r>
  <r>
    <x v="626"/>
    <s v="ZTAN"/>
    <x v="105"/>
    <s v="HLBX77"/>
    <s v="16093509K"/>
    <s v="VALPARAISO"/>
    <x v="5354"/>
    <x v="1"/>
    <x v="1"/>
    <x v="36"/>
    <x v="2"/>
    <n v="0"/>
    <n v="227000"/>
    <n v="0"/>
    <n v="227000"/>
    <n v="35.270025450353174"/>
    <n v="14000"/>
    <n v="46"/>
    <x v="6717"/>
    <x v="7"/>
    <x v="4"/>
    <x v="0"/>
  </r>
  <r>
    <x v="626"/>
    <s v="ZTAN"/>
    <x v="75"/>
    <s v="SV2718"/>
    <s v="107643206"/>
    <s v="QUILICURA"/>
    <x v="5355"/>
    <x v="1"/>
    <x v="1"/>
    <x v="8"/>
    <x v="1"/>
    <n v="1"/>
    <n v="69173"/>
    <n v="0"/>
    <n v="69173"/>
    <n v="16.60258256528418"/>
    <n v="5000"/>
    <n v="83"/>
    <x v="6718"/>
    <x v="7"/>
    <x v="4"/>
    <x v="1"/>
  </r>
  <r>
    <x v="626"/>
    <s v="ZTAN"/>
    <x v="7"/>
    <s v="WG4022"/>
    <s v="154837728"/>
    <s v="RENCA"/>
    <x v="5356"/>
    <x v="1"/>
    <x v="0"/>
    <x v="7"/>
    <x v="1"/>
    <n v="1"/>
    <n v="184026"/>
    <n v="0"/>
    <n v="184026"/>
    <n v="11.000023909716914"/>
    <n v="5000"/>
    <n v="100"/>
    <x v="6719"/>
    <x v="7"/>
    <x v="4"/>
    <x v="1"/>
  </r>
  <r>
    <x v="626"/>
    <s v="ZTAN"/>
    <x v="7"/>
    <s v="XR6339"/>
    <s v="78907355"/>
    <s v="RENCA"/>
    <x v="5357"/>
    <x v="1"/>
    <x v="1"/>
    <x v="7"/>
    <x v="1"/>
    <n v="1"/>
    <n v="73355"/>
    <n v="0"/>
    <n v="73355"/>
    <n v="11.000026992091318"/>
    <n v="5000"/>
    <n v="100"/>
    <x v="6720"/>
    <x v="7"/>
    <x v="4"/>
    <x v="1"/>
  </r>
  <r>
    <x v="626"/>
    <s v="ZTAN"/>
    <x v="8"/>
    <s v="SV2718"/>
    <s v="107643206"/>
    <s v="SAN BERNARDO"/>
    <x v="5358"/>
    <x v="1"/>
    <x v="1"/>
    <x v="4"/>
    <x v="1"/>
    <n v="4"/>
    <n v="69173"/>
    <n v="0"/>
    <n v="69173"/>
    <n v="25.213413522872244"/>
    <n v="5000"/>
    <n v="55"/>
    <x v="6721"/>
    <x v="7"/>
    <x v="4"/>
    <x v="1"/>
  </r>
  <r>
    <x v="626"/>
    <s v="ZTAN"/>
    <x v="57"/>
    <s v="UA7248"/>
    <s v="99626232"/>
    <s v="SANTIAGO"/>
    <x v="5359"/>
    <x v="1"/>
    <x v="1"/>
    <x v="20"/>
    <x v="1"/>
    <n v="1"/>
    <n v="69173"/>
    <n v="0"/>
    <n v="69173"/>
    <n v="16.834017989253173"/>
    <n v="5000"/>
    <n v="82"/>
    <x v="6722"/>
    <x v="7"/>
    <x v="4"/>
    <x v="1"/>
  </r>
  <r>
    <x v="627"/>
    <s v="ZPEP"/>
    <x v="8"/>
    <s v="WD7700"/>
    <s v="73835526"/>
    <s v="RENCA"/>
    <x v="5360"/>
    <x v="0"/>
    <x v="0"/>
    <x v="7"/>
    <x v="1"/>
    <n v="1"/>
    <n v="69173"/>
    <n v="0"/>
    <n v="69173"/>
    <n v="19.744421165603896"/>
    <n v="5000"/>
    <n v="70"/>
    <x v="6723"/>
    <x v="7"/>
    <x v="4"/>
    <x v="1"/>
  </r>
  <r>
    <x v="627"/>
    <s v="ZTAN"/>
    <x v="136"/>
    <s v="UA7248"/>
    <s v="99626232"/>
    <s v="SANTIAGO"/>
    <x v="5361"/>
    <x v="1"/>
    <x v="1"/>
    <x v="20"/>
    <x v="1"/>
    <n v="1"/>
    <n v="69173"/>
    <n v="0"/>
    <n v="69173"/>
    <n v="28.349590163934426"/>
    <n v="5000"/>
    <n v="49"/>
    <x v="6724"/>
    <x v="7"/>
    <x v="4"/>
    <x v="1"/>
  </r>
  <r>
    <x v="627"/>
    <s v="ZTAN"/>
    <x v="4"/>
    <s v="CJXX49"/>
    <s v="167832741"/>
    <s v="VICTORIA"/>
    <x v="5362"/>
    <x v="5"/>
    <x v="0"/>
    <x v="108"/>
    <x v="4"/>
    <n v="0"/>
    <n v="800000"/>
    <n v="0"/>
    <n v="800000"/>
    <n v="74.875519448916108"/>
    <n v="14000"/>
    <n v="76"/>
    <x v="6725"/>
    <x v="7"/>
    <x v="4"/>
    <x v="0"/>
  </r>
  <r>
    <x v="627"/>
    <s v="ZTAN"/>
    <x v="4"/>
    <s v="XR6339"/>
    <s v="78907355"/>
    <s v="LAMPA"/>
    <x v="5363"/>
    <x v="1"/>
    <x v="1"/>
    <x v="17"/>
    <x v="1"/>
    <n v="5"/>
    <n v="87500"/>
    <n v="0"/>
    <n v="87500"/>
    <n v="8.0719557195571952"/>
    <n v="10000"/>
    <n v="100"/>
    <x v="6726"/>
    <x v="7"/>
    <x v="4"/>
    <x v="1"/>
  </r>
  <r>
    <x v="627"/>
    <s v="ZTAN"/>
    <x v="65"/>
    <s v="PN4466"/>
    <s v="81417709"/>
    <s v="PICHIDEGUA"/>
    <x v="5364"/>
    <x v="1"/>
    <x v="0"/>
    <x v="114"/>
    <x v="6"/>
    <n v="0"/>
    <n v="250000"/>
    <n v="0"/>
    <n v="250000"/>
    <n v="12.802372842992225"/>
    <n v="14000"/>
    <n v="100"/>
    <x v="6727"/>
    <x v="7"/>
    <x v="4"/>
    <x v="0"/>
  </r>
  <r>
    <x v="627"/>
    <s v="ZTAN"/>
    <x v="10"/>
    <s v="XR6339"/>
    <s v="78907355"/>
    <s v="LLANQUIHUE"/>
    <x v="359"/>
    <x v="1"/>
    <x v="1"/>
    <x v="115"/>
    <x v="10"/>
    <n v="0"/>
    <n v="300000"/>
    <n v="0"/>
    <n v="300000"/>
    <n v="66.631130063965884"/>
    <n v="14000"/>
    <n v="32"/>
    <x v="6728"/>
    <x v="7"/>
    <x v="4"/>
    <x v="0"/>
  </r>
  <r>
    <x v="627"/>
    <s v="ZTAN"/>
    <x v="6"/>
    <s v="HLBX77"/>
    <s v="16093509K"/>
    <s v="QUILLOTA"/>
    <x v="5365"/>
    <x v="1"/>
    <x v="1"/>
    <x v="19"/>
    <x v="2"/>
    <n v="0"/>
    <n v="227000"/>
    <n v="0"/>
    <n v="227000"/>
    <n v="39.119045977803815"/>
    <n v="14000"/>
    <n v="41"/>
    <x v="6729"/>
    <x v="7"/>
    <x v="4"/>
    <x v="0"/>
  </r>
  <r>
    <x v="627"/>
    <s v="ZTAN"/>
    <x v="137"/>
    <s v="WD7700"/>
    <s v="73835526"/>
    <s v="LAS CONDES"/>
    <x v="1366"/>
    <x v="0"/>
    <x v="0"/>
    <x v="3"/>
    <x v="1"/>
    <n v="4"/>
    <n v="134200"/>
    <n v="0"/>
    <n v="134200"/>
    <n v="11"/>
    <n v="5000"/>
    <n v="100"/>
    <x v="6730"/>
    <x v="7"/>
    <x v="4"/>
    <x v="1"/>
  </r>
  <r>
    <x v="627"/>
    <s v="ZTAN"/>
    <x v="7"/>
    <s v="DJLF85"/>
    <s v="53173292"/>
    <s v="MELIPILLA"/>
    <x v="5366"/>
    <x v="4"/>
    <x v="1"/>
    <x v="29"/>
    <x v="1"/>
    <n v="5"/>
    <n v="112500"/>
    <n v="0"/>
    <n v="112500"/>
    <n v="14.881661031477694"/>
    <n v="10000"/>
    <n v="76"/>
    <x v="6731"/>
    <x v="7"/>
    <x v="4"/>
    <x v="1"/>
  </r>
  <r>
    <x v="627"/>
    <s v="ZTAN"/>
    <x v="7"/>
    <s v="SV2718"/>
    <s v="107643206"/>
    <s v="SAN MIGUEL"/>
    <x v="5367"/>
    <x v="1"/>
    <x v="1"/>
    <x v="23"/>
    <x v="1"/>
    <n v="2"/>
    <n v="69173"/>
    <n v="0"/>
    <n v="69173"/>
    <n v="15.671734781495603"/>
    <n v="5000"/>
    <n v="88"/>
    <x v="6732"/>
    <x v="7"/>
    <x v="4"/>
    <x v="1"/>
  </r>
  <r>
    <x v="628"/>
    <s v="ZPEP"/>
    <x v="87"/>
    <s v="SU9354"/>
    <n v="72564391"/>
    <s v="HUASCO"/>
    <x v="5368"/>
    <x v="2"/>
    <x v="1"/>
    <x v="104"/>
    <x v="9"/>
    <n v="0"/>
    <n v="900000"/>
    <n v="0"/>
    <n v="900000"/>
    <n v="168.22367019188718"/>
    <n v="14000"/>
    <n v="38"/>
    <x v="6733"/>
    <x v="7"/>
    <x v="4"/>
    <x v="0"/>
  </r>
  <r>
    <x v="628"/>
    <s v="ZPEP"/>
    <x v="11"/>
    <s v="DKDL88"/>
    <n v="122975819"/>
    <s v="CURICO"/>
    <x v="5369"/>
    <x v="0"/>
    <x v="0"/>
    <x v="73"/>
    <x v="3"/>
    <n v="0"/>
    <n v="352000"/>
    <n v="0"/>
    <n v="352000"/>
    <n v="17.156705054794219"/>
    <n v="14000"/>
    <n v="100"/>
    <x v="6734"/>
    <x v="7"/>
    <x v="4"/>
    <x v="0"/>
  </r>
  <r>
    <x v="628"/>
    <s v="ZPEP"/>
    <x v="138"/>
    <s v="XR6339"/>
    <n v="78907355"/>
    <s v="SANTIAGO"/>
    <x v="5370"/>
    <x v="1"/>
    <x v="1"/>
    <x v="20"/>
    <x v="1"/>
    <n v="1"/>
    <n v="80419"/>
    <n v="0"/>
    <n v="80419"/>
    <n v="10.999997264328762"/>
    <n v="5000"/>
    <n v="100"/>
    <x v="6735"/>
    <x v="7"/>
    <x v="4"/>
    <x v="1"/>
  </r>
  <r>
    <x v="628"/>
    <s v="ZTAN"/>
    <x v="6"/>
    <s v="KKPF51"/>
    <n v="95707734"/>
    <s v="LA SERENA"/>
    <x v="5371"/>
    <x v="8"/>
    <x v="0"/>
    <x v="63"/>
    <x v="8"/>
    <n v="0"/>
    <n v="754000"/>
    <n v="0"/>
    <n v="754000"/>
    <n v="54.343909013593183"/>
    <n v="14000"/>
    <n v="100"/>
    <x v="6736"/>
    <x v="7"/>
    <x v="4"/>
    <x v="0"/>
  </r>
  <r>
    <x v="628"/>
    <s v="ZTAN"/>
    <x v="103"/>
    <s v="WD7700"/>
    <n v="73835526"/>
    <s v="SANTIAGO"/>
    <x v="5372"/>
    <x v="0"/>
    <x v="0"/>
    <x v="20"/>
    <x v="1"/>
    <n v="1"/>
    <n v="66066"/>
    <n v="0"/>
    <n v="66066"/>
    <n v="11"/>
    <n v="5000"/>
    <n v="100"/>
    <x v="6737"/>
    <x v="7"/>
    <x v="4"/>
    <x v="1"/>
  </r>
  <r>
    <x v="628"/>
    <s v="ZTAN"/>
    <x v="7"/>
    <s v="DJLF85"/>
    <n v="53173292"/>
    <s v="RENCA"/>
    <x v="5373"/>
    <x v="4"/>
    <x v="1"/>
    <x v="7"/>
    <x v="1"/>
    <n v="1"/>
    <n v="98296"/>
    <n v="0"/>
    <n v="98296"/>
    <n v="10.999999999999998"/>
    <n v="5000"/>
    <n v="100"/>
    <x v="6738"/>
    <x v="7"/>
    <x v="4"/>
    <x v="1"/>
  </r>
  <r>
    <x v="628"/>
    <s v="ZTAN"/>
    <x v="7"/>
    <s v="WG4022"/>
    <n v="154837728"/>
    <s v="RENCA"/>
    <x v="5374"/>
    <x v="1"/>
    <x v="0"/>
    <x v="7"/>
    <x v="1"/>
    <n v="1"/>
    <n v="143648"/>
    <n v="0"/>
    <n v="143648"/>
    <n v="11.000024504398532"/>
    <n v="5000"/>
    <n v="100"/>
    <x v="6739"/>
    <x v="7"/>
    <x v="4"/>
    <x v="1"/>
  </r>
  <r>
    <x v="628"/>
    <s v="ZTAN"/>
    <x v="8"/>
    <s v="BPKD94"/>
    <n v="125897258"/>
    <s v="VALDIVIA"/>
    <x v="5375"/>
    <x v="0"/>
    <x v="0"/>
    <x v="77"/>
    <x v="11"/>
    <n v="0"/>
    <n v="943000"/>
    <n v="0"/>
    <n v="943000"/>
    <n v="102.19740680853647"/>
    <n v="14000"/>
    <n v="65"/>
    <x v="6740"/>
    <x v="7"/>
    <x v="4"/>
    <x v="0"/>
  </r>
  <r>
    <x v="629"/>
    <s v="ZTAN"/>
    <x v="10"/>
    <s v="RBBL48"/>
    <s v="191651650"/>
    <s v="SAN ANTONIO"/>
    <x v="252"/>
    <x v="0"/>
    <x v="0"/>
    <x v="55"/>
    <x v="2"/>
    <n v="0"/>
    <n v="352000"/>
    <n v="0"/>
    <n v="352000"/>
    <n v="93.816631130063968"/>
    <n v="14000"/>
    <n v="27"/>
    <x v="6741"/>
    <x v="7"/>
    <x v="4"/>
    <x v="0"/>
  </r>
  <r>
    <x v="629"/>
    <s v="ZTAN"/>
    <x v="16"/>
    <s v="DJLF85"/>
    <s v="53173292"/>
    <s v="SAN BERNARDO"/>
    <x v="5376"/>
    <x v="4"/>
    <x v="1"/>
    <x v="4"/>
    <x v="1"/>
    <n v="4"/>
    <n v="69173"/>
    <n v="0"/>
    <n v="69173"/>
    <n v="9.4449602665283052"/>
    <n v="5000"/>
    <n v="100"/>
    <x v="6742"/>
    <x v="7"/>
    <x v="4"/>
    <x v="1"/>
  </r>
  <r>
    <x v="629"/>
    <s v="ZTAN"/>
    <x v="129"/>
    <s v="HLBX77"/>
    <s v="16093509K"/>
    <s v="SANTIAGO"/>
    <x v="5377"/>
    <x v="1"/>
    <x v="1"/>
    <x v="20"/>
    <x v="1"/>
    <n v="1"/>
    <n v="119134"/>
    <n v="0"/>
    <n v="119134"/>
    <n v="11.000003693321366"/>
    <n v="5000"/>
    <n v="100"/>
    <x v="6743"/>
    <x v="7"/>
    <x v="4"/>
    <x v="1"/>
  </r>
  <r>
    <x v="629"/>
    <s v="ZTAN"/>
    <x v="7"/>
    <s v="DRFV76"/>
    <s v="113693568"/>
    <s v="LINARES"/>
    <x v="5378"/>
    <x v="0"/>
    <x v="0"/>
    <x v="59"/>
    <x v="3"/>
    <n v="0"/>
    <n v="437500"/>
    <n v="0"/>
    <n v="437500"/>
    <n v="36.998010986929344"/>
    <n v="14000"/>
    <n v="84"/>
    <x v="6744"/>
    <x v="7"/>
    <x v="4"/>
    <x v="0"/>
  </r>
  <r>
    <x v="629"/>
    <s v="ZTAN"/>
    <x v="7"/>
    <s v="PYCP18"/>
    <s v="139528778"/>
    <s v="CORONEL"/>
    <x v="5379"/>
    <x v="0"/>
    <x v="0"/>
    <x v="16"/>
    <x v="0"/>
    <n v="0"/>
    <n v="528000"/>
    <n v="0"/>
    <n v="528000"/>
    <n v="30.822073741811423"/>
    <n v="14000"/>
    <n v="100"/>
    <x v="6745"/>
    <x v="7"/>
    <x v="4"/>
    <x v="0"/>
  </r>
  <r>
    <x v="629"/>
    <s v="ZTAN"/>
    <x v="7"/>
    <s v="WG4022"/>
    <s v="154837728"/>
    <s v="RENCA"/>
    <x v="5380"/>
    <x v="1"/>
    <x v="0"/>
    <x v="7"/>
    <x v="1"/>
    <n v="1"/>
    <n v="220282"/>
    <n v="0"/>
    <n v="220282"/>
    <n v="10.999981523714313"/>
    <n v="5000"/>
    <n v="100"/>
    <x v="6746"/>
    <x v="7"/>
    <x v="4"/>
    <x v="1"/>
  </r>
  <r>
    <x v="629"/>
    <s v="ZTAN"/>
    <x v="7"/>
    <s v="XR6339"/>
    <s v="78907355"/>
    <s v="RENCA"/>
    <x v="5381"/>
    <x v="1"/>
    <x v="1"/>
    <x v="7"/>
    <x v="1"/>
    <n v="1"/>
    <n v="130093"/>
    <n v="0"/>
    <n v="130093"/>
    <n v="11.00000591884586"/>
    <n v="5000"/>
    <n v="100"/>
    <x v="6747"/>
    <x v="7"/>
    <x v="4"/>
    <x v="1"/>
  </r>
  <r>
    <x v="629"/>
    <s v="ZTAN"/>
    <x v="135"/>
    <s v="FSFS27"/>
    <s v="103576032"/>
    <s v="SAN CARLOS"/>
    <x v="5382"/>
    <x v="0"/>
    <x v="0"/>
    <x v="32"/>
    <x v="5"/>
    <n v="0"/>
    <n v="440000"/>
    <n v="0"/>
    <n v="440000"/>
    <n v="22.543870885103111"/>
    <n v="14000"/>
    <n v="100"/>
    <x v="6748"/>
    <x v="7"/>
    <x v="4"/>
    <x v="0"/>
  </r>
  <r>
    <x v="629"/>
    <s v="ZTAN"/>
    <x v="8"/>
    <s v="HLBX77"/>
    <s v="16093509K"/>
    <s v="REÑACA"/>
    <x v="5383"/>
    <x v="1"/>
    <x v="1"/>
    <x v="6"/>
    <x v="2"/>
    <n v="0"/>
    <n v="227000"/>
    <n v="0"/>
    <n v="227000"/>
    <n v="50.29980456199285"/>
    <n v="14000"/>
    <n v="32"/>
    <x v="6749"/>
    <x v="7"/>
    <x v="4"/>
    <x v="0"/>
  </r>
  <r>
    <x v="629"/>
    <s v="ZTAN"/>
    <x v="8"/>
    <s v="SV2718"/>
    <s v="107643206"/>
    <s v="SANTIAGO"/>
    <x v="2377"/>
    <x v="1"/>
    <x v="1"/>
    <x v="20"/>
    <x v="1"/>
    <n v="1"/>
    <n v="69173"/>
    <n v="0"/>
    <n v="69173"/>
    <n v="21.608459327752087"/>
    <n v="5000"/>
    <n v="64"/>
    <x v="6750"/>
    <x v="7"/>
    <x v="4"/>
    <x v="1"/>
  </r>
  <r>
    <x v="630"/>
    <s v="ZTAN"/>
    <x v="10"/>
    <s v="WG4022"/>
    <n v="154837728"/>
    <s v="SANTIAGO"/>
    <x v="5384"/>
    <x v="1"/>
    <x v="0"/>
    <x v="20"/>
    <x v="1"/>
    <n v="1"/>
    <n v="72357"/>
    <n v="0"/>
    <n v="72357"/>
    <n v="11.000048647892635"/>
    <n v="5000"/>
    <n v="100"/>
    <x v="6751"/>
    <x v="7"/>
    <x v="4"/>
    <x v="1"/>
  </r>
  <r>
    <x v="630"/>
    <s v="ZTAN"/>
    <x v="6"/>
    <s v="DJLF85"/>
    <n v="125108660"/>
    <s v="SANTIAGO"/>
    <x v="5385"/>
    <x v="4"/>
    <x v="1"/>
    <x v="20"/>
    <x v="1"/>
    <n v="1"/>
    <n v="69173"/>
    <n v="0"/>
    <n v="69173"/>
    <n v="15.495743727598565"/>
    <n v="5000"/>
    <n v="89"/>
    <x v="6752"/>
    <x v="7"/>
    <x v="4"/>
    <x v="1"/>
  </r>
  <r>
    <x v="630"/>
    <s v="ZTAN"/>
    <x v="7"/>
    <s v="CVSK23"/>
    <n v="95439802"/>
    <s v="CHILLAN"/>
    <x v="5386"/>
    <x v="0"/>
    <x v="0"/>
    <x v="21"/>
    <x v="5"/>
    <n v="0"/>
    <n v="440000"/>
    <n v="0"/>
    <n v="440000"/>
    <n v="34.61555103630306"/>
    <n v="14000"/>
    <n v="91"/>
    <x v="6753"/>
    <x v="7"/>
    <x v="4"/>
    <x v="0"/>
  </r>
  <r>
    <x v="630"/>
    <s v="ZTAN"/>
    <x v="7"/>
    <s v="DKDL88"/>
    <n v="122975819"/>
    <s v="LINARES"/>
    <x v="5387"/>
    <x v="0"/>
    <x v="0"/>
    <x v="59"/>
    <x v="3"/>
    <n v="0"/>
    <n v="437500"/>
    <n v="0"/>
    <n v="437500"/>
    <n v="27.507765049105309"/>
    <n v="14000"/>
    <n v="100"/>
    <x v="6754"/>
    <x v="7"/>
    <x v="4"/>
    <x v="0"/>
  </r>
  <r>
    <x v="630"/>
    <s v="ZTAN"/>
    <x v="7"/>
    <s v="GGZX13"/>
    <n v="137998513"/>
    <s v="CORONEL"/>
    <x v="5388"/>
    <x v="0"/>
    <x v="0"/>
    <x v="16"/>
    <x v="0"/>
    <n v="0"/>
    <n v="528000"/>
    <n v="0"/>
    <n v="528000"/>
    <n v="28.146849791777267"/>
    <n v="14000"/>
    <n v="100"/>
    <x v="6755"/>
    <x v="7"/>
    <x v="4"/>
    <x v="0"/>
  </r>
  <r>
    <x v="630"/>
    <s v="ZTAN"/>
    <x v="7"/>
    <s v="PYCL27"/>
    <n v="104840078"/>
    <s v="CORONEL"/>
    <x v="5389"/>
    <x v="0"/>
    <x v="0"/>
    <x v="16"/>
    <x v="0"/>
    <n v="0"/>
    <n v="528000"/>
    <n v="0"/>
    <n v="528000"/>
    <n v="30.196068563376272"/>
    <n v="14000"/>
    <n v="100"/>
    <x v="6756"/>
    <x v="7"/>
    <x v="4"/>
    <x v="0"/>
  </r>
  <r>
    <x v="630"/>
    <s v="ZTAN"/>
    <x v="7"/>
    <s v="RX2274"/>
    <n v="100822326"/>
    <s v="LOS ANGELES"/>
    <x v="5390"/>
    <x v="0"/>
    <x v="0"/>
    <x v="57"/>
    <x v="0"/>
    <n v="0"/>
    <n v="528000"/>
    <n v="0"/>
    <n v="528000"/>
    <n v="26.045237815712209"/>
    <n v="14000"/>
    <n v="100"/>
    <x v="6757"/>
    <x v="7"/>
    <x v="4"/>
    <x v="0"/>
  </r>
  <r>
    <x v="630"/>
    <s v="ZTAN"/>
    <x v="8"/>
    <s v="HLZV71"/>
    <n v="90366327"/>
    <s v="COQUIMBO"/>
    <x v="5391"/>
    <x v="0"/>
    <x v="0"/>
    <x v="42"/>
    <x v="8"/>
    <n v="0"/>
    <n v="805000"/>
    <n v="0"/>
    <n v="805000"/>
    <n v="48.007538078028645"/>
    <n v="14000"/>
    <n v="100"/>
    <x v="6758"/>
    <x v="7"/>
    <x v="4"/>
    <x v="0"/>
  </r>
  <r>
    <x v="630"/>
    <s v="ZTAN"/>
    <x v="8"/>
    <s v="SV2718"/>
    <n v="107643206"/>
    <s v="SAN MIGUEL"/>
    <x v="5392"/>
    <x v="1"/>
    <x v="1"/>
    <x v="23"/>
    <x v="1"/>
    <n v="2"/>
    <n v="69173"/>
    <n v="0"/>
    <n v="69173"/>
    <n v="21.715367421769049"/>
    <n v="5000"/>
    <n v="64"/>
    <x v="6759"/>
    <x v="7"/>
    <x v="4"/>
    <x v="1"/>
  </r>
  <r>
    <x v="631"/>
    <s v="ZPEP"/>
    <x v="103"/>
    <s v="XR6339"/>
    <s v="78907355"/>
    <s v="SANTIAGO"/>
    <x v="5393"/>
    <x v="1"/>
    <x v="1"/>
    <x v="20"/>
    <x v="1"/>
    <n v="1"/>
    <n v="72824"/>
    <n v="0"/>
    <n v="72824"/>
    <n v="10.999939580689992"/>
    <n v="5000"/>
    <n v="100"/>
    <x v="6760"/>
    <x v="7"/>
    <x v="4"/>
    <x v="1"/>
  </r>
  <r>
    <x v="631"/>
    <s v="ZPEP"/>
    <x v="9"/>
    <s v="SU9354"/>
    <s v="72564391"/>
    <s v="SAN BERNARDO"/>
    <x v="5394"/>
    <x v="2"/>
    <x v="1"/>
    <x v="4"/>
    <x v="1"/>
    <n v="4"/>
    <n v="230908"/>
    <n v="0"/>
    <n v="230908"/>
    <n v="11.000019055241145"/>
    <n v="5000"/>
    <n v="100"/>
    <x v="6761"/>
    <x v="7"/>
    <x v="4"/>
    <x v="1"/>
  </r>
  <r>
    <x v="631"/>
    <s v="ZTAN"/>
    <x v="10"/>
    <s v="DRFV76"/>
    <s v="113693568"/>
    <s v="TALCA"/>
    <x v="5037"/>
    <x v="0"/>
    <x v="0"/>
    <x v="12"/>
    <x v="3"/>
    <n v="0"/>
    <n v="402000"/>
    <n v="0"/>
    <n v="402000"/>
    <n v="19.415506324528742"/>
    <n v="14000"/>
    <n v="100"/>
    <x v="6762"/>
    <x v="7"/>
    <x v="4"/>
    <x v="0"/>
  </r>
  <r>
    <x v="631"/>
    <s v="ZTAN"/>
    <x v="41"/>
    <s v="KKPF51"/>
    <s v="95707734"/>
    <s v="LAS CABRAS"/>
    <x v="5395"/>
    <x v="8"/>
    <x v="0"/>
    <x v="61"/>
    <x v="6"/>
    <n v="0"/>
    <n v="290000"/>
    <n v="0"/>
    <n v="290000"/>
    <n v="21.587917912314342"/>
    <n v="14000"/>
    <n v="96"/>
    <x v="6763"/>
    <x v="7"/>
    <x v="4"/>
    <x v="0"/>
  </r>
  <r>
    <x v="631"/>
    <s v="ZTAN"/>
    <x v="70"/>
    <s v="HLBX77"/>
    <s v="16093509K"/>
    <s v="SANTIAGO"/>
    <x v="479"/>
    <x v="1"/>
    <x v="1"/>
    <x v="20"/>
    <x v="1"/>
    <n v="1"/>
    <n v="103180"/>
    <n v="0"/>
    <n v="103180"/>
    <n v="11.000000000000002"/>
    <n v="5000"/>
    <n v="100"/>
    <x v="6764"/>
    <x v="7"/>
    <x v="4"/>
    <x v="1"/>
  </r>
  <r>
    <x v="631"/>
    <s v="ZTAN"/>
    <x v="7"/>
    <s v="PYCL28"/>
    <s v="160374632"/>
    <s v="CORONEL"/>
    <x v="5396"/>
    <x v="0"/>
    <x v="0"/>
    <x v="16"/>
    <x v="0"/>
    <n v="0"/>
    <n v="528000"/>
    <n v="0"/>
    <n v="528000"/>
    <n v="33.616441495931667"/>
    <n v="14000"/>
    <n v="100"/>
    <x v="6765"/>
    <x v="7"/>
    <x v="4"/>
    <x v="0"/>
  </r>
  <r>
    <x v="631"/>
    <s v="ZTAN"/>
    <x v="7"/>
    <s v="RKYY82"/>
    <s v="101495566"/>
    <s v="CORONEL"/>
    <x v="810"/>
    <x v="0"/>
    <x v="0"/>
    <x v="16"/>
    <x v="0"/>
    <n v="0"/>
    <n v="528000"/>
    <n v="0"/>
    <n v="528000"/>
    <n v="31.982942430703627"/>
    <n v="14000"/>
    <n v="100"/>
    <x v="6766"/>
    <x v="7"/>
    <x v="4"/>
    <x v="0"/>
  </r>
  <r>
    <x v="631"/>
    <s v="ZTAN"/>
    <x v="8"/>
    <s v="SV2718"/>
    <s v="107643206"/>
    <s v="HUECHURABA"/>
    <x v="5397"/>
    <x v="1"/>
    <x v="1"/>
    <x v="24"/>
    <x v="1"/>
    <n v="1"/>
    <n v="69173"/>
    <n v="0"/>
    <n v="69173"/>
    <n v="23.831392544615174"/>
    <n v="5000"/>
    <n v="58"/>
    <x v="6767"/>
    <x v="7"/>
    <x v="4"/>
    <x v="1"/>
  </r>
  <r>
    <x v="631"/>
    <s v="ZTAN"/>
    <x v="8"/>
    <s v="UA7248"/>
    <s v="99626232"/>
    <s v="ÑUÑOA"/>
    <x v="5398"/>
    <x v="1"/>
    <x v="1"/>
    <x v="15"/>
    <x v="1"/>
    <n v="4"/>
    <n v="69173"/>
    <n v="0"/>
    <n v="69173"/>
    <n v="25.36708619374523"/>
    <n v="5000"/>
    <n v="55"/>
    <x v="6768"/>
    <x v="7"/>
    <x v="4"/>
    <x v="1"/>
  </r>
  <r>
    <x v="631"/>
    <s v="ZTAN"/>
    <x v="8"/>
    <s v="WD7700"/>
    <s v="73835526"/>
    <s v="LA REINA"/>
    <x v="5399"/>
    <x v="0"/>
    <x v="0"/>
    <x v="11"/>
    <x v="1"/>
    <n v="3"/>
    <n v="69173"/>
    <n v="0"/>
    <n v="69173"/>
    <n v="27.990531299316146"/>
    <n v="5000"/>
    <n v="49"/>
    <x v="6769"/>
    <x v="7"/>
    <x v="4"/>
    <x v="1"/>
  </r>
  <r>
    <x v="632"/>
    <s v="ZPEP"/>
    <x v="5"/>
    <s v="DJLF85"/>
    <s v="125108660"/>
    <s v="BUIN"/>
    <x v="5400"/>
    <x v="4"/>
    <x v="1"/>
    <x v="56"/>
    <x v="1"/>
    <n v="5"/>
    <n v="112500"/>
    <n v="0"/>
    <n v="112500"/>
    <n v="21.060237896447283"/>
    <n v="10000"/>
    <n v="53"/>
    <x v="6770"/>
    <x v="7"/>
    <x v="4"/>
    <x v="1"/>
  </r>
  <r>
    <x v="632"/>
    <s v="ZPEP"/>
    <x v="120"/>
    <s v="WD7700"/>
    <s v="73835526"/>
    <s v="SAN BERNARDO"/>
    <x v="5401"/>
    <x v="0"/>
    <x v="0"/>
    <x v="4"/>
    <x v="1"/>
    <n v="4"/>
    <n v="66960"/>
    <n v="0"/>
    <n v="66960"/>
    <n v="10.999968787424288"/>
    <n v="5000"/>
    <n v="100"/>
    <x v="6771"/>
    <x v="7"/>
    <x v="4"/>
    <x v="1"/>
  </r>
  <r>
    <x v="632"/>
    <s v="ZTAN"/>
    <x v="138"/>
    <s v="XR6339"/>
    <s v="78907355"/>
    <s v="SANTIAGO"/>
    <x v="5402"/>
    <x v="1"/>
    <x v="1"/>
    <x v="20"/>
    <x v="1"/>
    <n v="1"/>
    <n v="63385"/>
    <n v="0"/>
    <n v="63385"/>
    <n v="11.000005206281552"/>
    <n v="5000"/>
    <n v="100"/>
    <x v="6772"/>
    <x v="7"/>
    <x v="4"/>
    <x v="1"/>
  </r>
  <r>
    <x v="632"/>
    <s v="ZTAN"/>
    <x v="70"/>
    <s v="DJLF85"/>
    <s v="125108660"/>
    <s v="SANTIAGO"/>
    <x v="479"/>
    <x v="4"/>
    <x v="1"/>
    <x v="20"/>
    <x v="1"/>
    <n v="1"/>
    <n v="103180"/>
    <n v="0"/>
    <n v="103180"/>
    <n v="11.000000000000002"/>
    <n v="5000"/>
    <n v="100"/>
    <x v="6773"/>
    <x v="7"/>
    <x v="4"/>
    <x v="1"/>
  </r>
  <r>
    <x v="632"/>
    <s v="ZTAN"/>
    <x v="7"/>
    <s v="DLVX56"/>
    <s v="1071779094"/>
    <s v="CHILLAN"/>
    <x v="5403"/>
    <x v="0"/>
    <x v="0"/>
    <x v="21"/>
    <x v="5"/>
    <n v="0"/>
    <n v="500000"/>
    <n v="0"/>
    <n v="500000"/>
    <n v="36.481597952360843"/>
    <n v="14000"/>
    <n v="98"/>
    <x v="6774"/>
    <x v="7"/>
    <x v="4"/>
    <x v="0"/>
  </r>
  <r>
    <x v="632"/>
    <s v="ZTAN"/>
    <x v="7"/>
    <s v="SU9354"/>
    <s v="72564391"/>
    <s v="LINARES"/>
    <x v="5404"/>
    <x v="2"/>
    <x v="1"/>
    <x v="59"/>
    <x v="3"/>
    <n v="0"/>
    <n v="310000"/>
    <n v="0"/>
    <n v="310000"/>
    <n v="37.511919109781658"/>
    <n v="14000"/>
    <n v="59"/>
    <x v="6775"/>
    <x v="7"/>
    <x v="4"/>
    <x v="0"/>
  </r>
  <r>
    <x v="632"/>
    <s v="ZTAN"/>
    <x v="7"/>
    <s v="WG4022"/>
    <s v="154837728"/>
    <s v="RENCA"/>
    <x v="5405"/>
    <x v="1"/>
    <x v="0"/>
    <x v="7"/>
    <x v="1"/>
    <n v="1"/>
    <n v="179184"/>
    <n v="0"/>
    <n v="179184"/>
    <n v="11.000030080893039"/>
    <n v="5000"/>
    <n v="100"/>
    <x v="6776"/>
    <x v="7"/>
    <x v="4"/>
    <x v="1"/>
  </r>
  <r>
    <x v="632"/>
    <s v="ZTAN"/>
    <x v="7"/>
    <s v="XR6339"/>
    <s v="78907355"/>
    <s v="RENCA"/>
    <x v="5406"/>
    <x v="1"/>
    <x v="1"/>
    <x v="7"/>
    <x v="1"/>
    <n v="1"/>
    <n v="94499"/>
    <n v="0"/>
    <n v="94499"/>
    <n v="11.000023280718906"/>
    <n v="5000"/>
    <n v="100"/>
    <x v="6777"/>
    <x v="7"/>
    <x v="4"/>
    <x v="1"/>
  </r>
  <r>
    <x v="632"/>
    <s v="ZTAN"/>
    <x v="8"/>
    <s v="HLBX77"/>
    <s v="16093509K"/>
    <s v="PUDAHUEL"/>
    <x v="5407"/>
    <x v="1"/>
    <x v="1"/>
    <x v="10"/>
    <x v="1"/>
    <n v="1"/>
    <n v="81226"/>
    <n v="0"/>
    <n v="81226"/>
    <n v="11.00003250200429"/>
    <n v="5000"/>
    <n v="100"/>
    <x v="6778"/>
    <x v="7"/>
    <x v="4"/>
    <x v="1"/>
  </r>
  <r>
    <x v="633"/>
    <s v="ZPEP"/>
    <x v="5"/>
    <s v="SU9354"/>
    <s v="72564391"/>
    <s v="BUIN"/>
    <x v="5408"/>
    <x v="2"/>
    <x v="1"/>
    <x v="56"/>
    <x v="1"/>
    <n v="5"/>
    <n v="112500"/>
    <n v="0"/>
    <n v="112500"/>
    <n v="31.999772446062604"/>
    <n v="10000"/>
    <n v="35"/>
    <x v="6779"/>
    <x v="7"/>
    <x v="4"/>
    <x v="1"/>
  </r>
  <r>
    <x v="633"/>
    <s v="ZPEP"/>
    <x v="120"/>
    <s v="HLBX77"/>
    <s v="16093509K"/>
    <s v="SAN BERNARDO"/>
    <x v="5409"/>
    <x v="1"/>
    <x v="1"/>
    <x v="4"/>
    <x v="1"/>
    <n v="4"/>
    <n v="73987"/>
    <n v="0"/>
    <n v="73987"/>
    <n v="11.000050549653139"/>
    <n v="5000"/>
    <n v="100"/>
    <x v="6780"/>
    <x v="7"/>
    <x v="4"/>
    <x v="1"/>
  </r>
  <r>
    <x v="633"/>
    <s v="ZPEP"/>
    <x v="120"/>
    <s v="XR6339"/>
    <s v="78907355"/>
    <s v="PEÑALOLEN"/>
    <x v="5410"/>
    <x v="1"/>
    <x v="1"/>
    <x v="34"/>
    <x v="1"/>
    <n v="4"/>
    <n v="85990"/>
    <n v="0"/>
    <n v="85990"/>
    <n v="11.000003837656882"/>
    <n v="5000"/>
    <n v="100"/>
    <x v="6781"/>
    <x v="7"/>
    <x v="4"/>
    <x v="1"/>
  </r>
  <r>
    <x v="633"/>
    <s v="ZPEP"/>
    <x v="103"/>
    <s v="DJLF85"/>
    <s v="125108660"/>
    <s v="SANTIAGO"/>
    <x v="5411"/>
    <x v="4"/>
    <x v="1"/>
    <x v="20"/>
    <x v="1"/>
    <n v="1"/>
    <n v="88678"/>
    <n v="0"/>
    <n v="88678"/>
    <n v="11.000049617941851"/>
    <n v="5000"/>
    <n v="100"/>
    <x v="6782"/>
    <x v="7"/>
    <x v="4"/>
    <x v="1"/>
  </r>
  <r>
    <x v="633"/>
    <s v="ZTAN"/>
    <x v="95"/>
    <s v="PYCP18"/>
    <s v="139528778"/>
    <s v="SANTIAGO"/>
    <x v="1067"/>
    <x v="0"/>
    <x v="0"/>
    <x v="20"/>
    <x v="1"/>
    <n v="1"/>
    <n v="93522"/>
    <n v="0"/>
    <n v="93522"/>
    <n v="11"/>
    <n v="5000"/>
    <n v="100"/>
    <x v="6783"/>
    <x v="7"/>
    <x v="4"/>
    <x v="1"/>
  </r>
  <r>
    <x v="633"/>
    <s v="ZTAN"/>
    <x v="10"/>
    <s v="KKPF51"/>
    <s v="95707734"/>
    <s v="QUILICURA"/>
    <x v="5412"/>
    <x v="8"/>
    <x v="0"/>
    <x v="8"/>
    <x v="1"/>
    <n v="1"/>
    <n v="113582"/>
    <n v="0"/>
    <n v="113582"/>
    <n v="11.00000677924737"/>
    <n v="5000"/>
    <n v="100"/>
    <x v="6784"/>
    <x v="7"/>
    <x v="4"/>
    <x v="1"/>
  </r>
  <r>
    <x v="633"/>
    <s v="ZTAN"/>
    <x v="7"/>
    <s v="DKDL88"/>
    <s v="122975819"/>
    <s v="LINARES"/>
    <x v="5413"/>
    <x v="0"/>
    <x v="0"/>
    <x v="59"/>
    <x v="3"/>
    <n v="0"/>
    <n v="420000"/>
    <n v="0"/>
    <n v="420000"/>
    <n v="20.570750156484635"/>
    <n v="14000"/>
    <n v="100"/>
    <x v="6785"/>
    <x v="7"/>
    <x v="4"/>
    <x v="0"/>
  </r>
  <r>
    <x v="633"/>
    <s v="ZTAN"/>
    <x v="7"/>
    <s v="HLBX77"/>
    <s v="16093509K"/>
    <s v="MELIPILLA"/>
    <x v="5414"/>
    <x v="1"/>
    <x v="1"/>
    <x v="29"/>
    <x v="1"/>
    <n v="5"/>
    <n v="112500"/>
    <n v="0"/>
    <n v="112500"/>
    <n v="15.357439280097854"/>
    <n v="10000"/>
    <n v="73"/>
    <x v="6786"/>
    <x v="7"/>
    <x v="4"/>
    <x v="1"/>
  </r>
  <r>
    <x v="633"/>
    <s v="ZTAN"/>
    <x v="8"/>
    <s v="HDDV11"/>
    <s v="108287489"/>
    <s v="VILLARRICA"/>
    <x v="5415"/>
    <x v="0"/>
    <x v="0"/>
    <x v="88"/>
    <x v="4"/>
    <n v="0"/>
    <n v="1000000"/>
    <n v="0"/>
    <n v="1000000"/>
    <n v="89.921588374937059"/>
    <n v="14000"/>
    <n v="80"/>
    <x v="6787"/>
    <x v="7"/>
    <x v="4"/>
    <x v="0"/>
  </r>
  <r>
    <x v="633"/>
    <s v="ZTAN"/>
    <x v="94"/>
    <s v="PYCP18"/>
    <s v="139528778"/>
    <s v="LOS ANGELES"/>
    <x v="5416"/>
    <x v="0"/>
    <x v="0"/>
    <x v="57"/>
    <x v="0"/>
    <n v="0"/>
    <n v="528000"/>
    <n v="0"/>
    <n v="528000"/>
    <n v="37.261820748059257"/>
    <n v="14000"/>
    <n v="100"/>
    <x v="6788"/>
    <x v="7"/>
    <x v="4"/>
    <x v="0"/>
  </r>
  <r>
    <x v="634"/>
    <s v="ZTAN"/>
    <x v="4"/>
    <s v="UA7248"/>
    <s v="99626232"/>
    <s v="LAMPA"/>
    <x v="5417"/>
    <x v="1"/>
    <x v="1"/>
    <x v="17"/>
    <x v="1"/>
    <n v="5"/>
    <n v="112500"/>
    <n v="0"/>
    <n v="112500"/>
    <n v="31.556802244039272"/>
    <n v="10000"/>
    <n v="36"/>
    <x v="6789"/>
    <x v="7"/>
    <x v="4"/>
    <x v="1"/>
  </r>
  <r>
    <x v="634"/>
    <s v="ZTAN"/>
    <x v="4"/>
    <s v="WD7700"/>
    <s v="73835526"/>
    <s v="SAN BERNARDO"/>
    <x v="234"/>
    <x v="0"/>
    <x v="0"/>
    <x v="4"/>
    <x v="1"/>
    <n v="4"/>
    <n v="99053"/>
    <n v="0"/>
    <n v="99053"/>
    <n v="11.000022210376692"/>
    <n v="5000"/>
    <n v="100"/>
    <x v="6790"/>
    <x v="7"/>
    <x v="4"/>
    <x v="1"/>
  </r>
  <r>
    <x v="634"/>
    <s v="ZTAN"/>
    <x v="4"/>
    <s v="XR6339"/>
    <s v="78907355"/>
    <s v="SAN BERNARDO"/>
    <x v="414"/>
    <x v="1"/>
    <x v="1"/>
    <x v="4"/>
    <x v="1"/>
    <n v="4"/>
    <n v="107307"/>
    <n v="0"/>
    <n v="107307"/>
    <n v="10.999979498113829"/>
    <n v="5000"/>
    <n v="100"/>
    <x v="6791"/>
    <x v="7"/>
    <x v="4"/>
    <x v="1"/>
  </r>
  <r>
    <x v="634"/>
    <s v="ZTAN"/>
    <x v="10"/>
    <s v="DJLF85"/>
    <s v="53173292"/>
    <s v="SANTIAGO"/>
    <x v="5418"/>
    <x v="4"/>
    <x v="1"/>
    <x v="20"/>
    <x v="1"/>
    <n v="1"/>
    <n v="69173"/>
    <n v="0"/>
    <n v="69173"/>
    <n v="32.244576414979996"/>
    <n v="5000"/>
    <n v="43"/>
    <x v="6792"/>
    <x v="7"/>
    <x v="4"/>
    <x v="1"/>
  </r>
  <r>
    <x v="634"/>
    <s v="ZTAN"/>
    <x v="10"/>
    <s v="KKPF51"/>
    <s v="95707734"/>
    <s v="SANTIAGO"/>
    <x v="5419"/>
    <x v="8"/>
    <x v="0"/>
    <x v="20"/>
    <x v="1"/>
    <n v="1"/>
    <n v="106273"/>
    <n v="0"/>
    <n v="106273"/>
    <n v="10.99997929863785"/>
    <n v="5000"/>
    <n v="100"/>
    <x v="6793"/>
    <x v="7"/>
    <x v="4"/>
    <x v="1"/>
  </r>
  <r>
    <x v="634"/>
    <s v="ZTAN"/>
    <x v="7"/>
    <s v="CYWH42"/>
    <s v="151873413"/>
    <s v="LOS ANGELES"/>
    <x v="5420"/>
    <x v="0"/>
    <x v="0"/>
    <x v="57"/>
    <x v="0"/>
    <n v="0"/>
    <n v="528000"/>
    <n v="0"/>
    <n v="528000"/>
    <n v="30.062345204543515"/>
    <n v="14000"/>
    <n v="100"/>
    <x v="6794"/>
    <x v="7"/>
    <x v="4"/>
    <x v="0"/>
  </r>
  <r>
    <x v="634"/>
    <s v="ZTAN"/>
    <x v="7"/>
    <s v="DJLF85"/>
    <s v="53173292"/>
    <s v="TIL TIL"/>
    <x v="5421"/>
    <x v="4"/>
    <x v="1"/>
    <x v="70"/>
    <x v="1"/>
    <n v="5"/>
    <n v="112500"/>
    <n v="0"/>
    <n v="112500"/>
    <n v="9.3719150779535063"/>
    <n v="10000"/>
    <n v="100"/>
    <x v="6795"/>
    <x v="7"/>
    <x v="4"/>
    <x v="1"/>
  </r>
  <r>
    <x v="634"/>
    <s v="ZTAN"/>
    <x v="7"/>
    <s v="HLBX77"/>
    <s v="16093509K"/>
    <s v="RENCA"/>
    <x v="5422"/>
    <x v="1"/>
    <x v="1"/>
    <x v="7"/>
    <x v="1"/>
    <n v="1"/>
    <n v="114921"/>
    <n v="0"/>
    <n v="114921"/>
    <n v="10.999961712962078"/>
    <n v="5000"/>
    <n v="100"/>
    <x v="6796"/>
    <x v="7"/>
    <x v="4"/>
    <x v="1"/>
  </r>
  <r>
    <x v="634"/>
    <s v="ZTAN"/>
    <x v="7"/>
    <s v="PBFY95"/>
    <s v="17510674K"/>
    <s v="CORONEL"/>
    <x v="5423"/>
    <x v="0"/>
    <x v="0"/>
    <x v="16"/>
    <x v="0"/>
    <n v="0"/>
    <n v="528000"/>
    <n v="0"/>
    <n v="528000"/>
    <n v="44.958362425708003"/>
    <n v="14000"/>
    <n v="84"/>
    <x v="6797"/>
    <x v="7"/>
    <x v="4"/>
    <x v="0"/>
  </r>
  <r>
    <x v="634"/>
    <s v="ZTAN"/>
    <x v="7"/>
    <s v="WD7700"/>
    <s v="73835526"/>
    <s v="SAN MIGUEL"/>
    <x v="5424"/>
    <x v="0"/>
    <x v="0"/>
    <x v="23"/>
    <x v="1"/>
    <n v="2"/>
    <n v="69173"/>
    <n v="0"/>
    <n v="69173"/>
    <n v="14.316345009572101"/>
    <n v="5000"/>
    <n v="97"/>
    <x v="6798"/>
    <x v="7"/>
    <x v="4"/>
    <x v="1"/>
  </r>
  <r>
    <x v="634"/>
    <s v="ZTAN"/>
    <x v="7"/>
    <s v="WG4022"/>
    <s v="154837728"/>
    <s v="RENCA"/>
    <x v="5425"/>
    <x v="1"/>
    <x v="0"/>
    <x v="7"/>
    <x v="1"/>
    <n v="1"/>
    <n v="182459"/>
    <n v="0"/>
    <n v="182459"/>
    <n v="10.999994574126179"/>
    <n v="5000"/>
    <n v="100"/>
    <x v="6799"/>
    <x v="7"/>
    <x v="4"/>
    <x v="1"/>
  </r>
  <r>
    <x v="634"/>
    <s v="ZTAN"/>
    <x v="99"/>
    <s v="RKYY85"/>
    <s v="123000153"/>
    <s v="SANTIAGO"/>
    <x v="5426"/>
    <x v="0"/>
    <x v="0"/>
    <x v="20"/>
    <x v="1"/>
    <n v="1"/>
    <n v="181170"/>
    <n v="0"/>
    <n v="181170"/>
    <n v="11"/>
    <n v="5000"/>
    <n v="100"/>
    <x v="6800"/>
    <x v="7"/>
    <x v="4"/>
    <x v="1"/>
  </r>
  <r>
    <x v="634"/>
    <s v="ZTAN"/>
    <x v="99"/>
    <s v="RX2274"/>
    <s v="100822326"/>
    <s v="SANTIAGO"/>
    <x v="5427"/>
    <x v="0"/>
    <x v="0"/>
    <x v="20"/>
    <x v="1"/>
    <n v="1"/>
    <n v="69173"/>
    <n v="0"/>
    <n v="69173"/>
    <n v="22.153791954906481"/>
    <n v="5000"/>
    <n v="62"/>
    <x v="6801"/>
    <x v="7"/>
    <x v="4"/>
    <x v="1"/>
  </r>
  <r>
    <x v="634"/>
    <s v="ZTAN"/>
    <x v="8"/>
    <s v="SU9354"/>
    <s v="72564391"/>
    <s v="REÑACA"/>
    <x v="5428"/>
    <x v="2"/>
    <x v="1"/>
    <x v="6"/>
    <x v="2"/>
    <n v="0"/>
    <n v="227000"/>
    <n v="0"/>
    <n v="227000"/>
    <n v="53.79350875862594"/>
    <n v="14000"/>
    <n v="30"/>
    <x v="6802"/>
    <x v="7"/>
    <x v="4"/>
    <x v="0"/>
  </r>
  <r>
    <x v="634"/>
    <s v="ZTAN"/>
    <x v="8"/>
    <s v="SV2718"/>
    <s v="107643206"/>
    <s v="SAN BERNARDO"/>
    <x v="5429"/>
    <x v="1"/>
    <x v="1"/>
    <x v="4"/>
    <x v="1"/>
    <n v="4"/>
    <n v="69173"/>
    <n v="0"/>
    <n v="69173"/>
    <n v="26.999082765753982"/>
    <n v="5000"/>
    <n v="51"/>
    <x v="6803"/>
    <x v="7"/>
    <x v="4"/>
    <x v="1"/>
  </r>
  <r>
    <x v="634"/>
    <s v="ZTAN"/>
    <x v="8"/>
    <s v="UA7248"/>
    <s v="129626232"/>
    <s v="SANTIAGO"/>
    <x v="5430"/>
    <x v="1"/>
    <x v="1"/>
    <x v="20"/>
    <x v="1"/>
    <n v="1"/>
    <n v="69173"/>
    <n v="0"/>
    <n v="69173"/>
    <n v="21.409426300542254"/>
    <n v="5000"/>
    <n v="65"/>
    <x v="6804"/>
    <x v="7"/>
    <x v="4"/>
    <x v="1"/>
  </r>
  <r>
    <x v="634"/>
    <s v="ZTAN"/>
    <x v="8"/>
    <s v="XR6339"/>
    <s v="78907355"/>
    <s v="PUDAHUEL"/>
    <x v="5431"/>
    <x v="1"/>
    <x v="1"/>
    <x v="10"/>
    <x v="1"/>
    <n v="1"/>
    <n v="69173"/>
    <n v="0"/>
    <n v="69173"/>
    <n v="14.663840161110818"/>
    <n v="5000"/>
    <n v="94"/>
    <x v="6805"/>
    <x v="7"/>
    <x v="4"/>
    <x v="1"/>
  </r>
  <r>
    <x v="635"/>
    <s v="ZPEP"/>
    <x v="9"/>
    <s v="HLBX77"/>
    <s v="16093509K"/>
    <s v="SAN BERNARDO"/>
    <x v="5432"/>
    <x v="1"/>
    <x v="1"/>
    <x v="4"/>
    <x v="1"/>
    <n v="4"/>
    <n v="131014"/>
    <n v="0"/>
    <n v="131014"/>
    <n v="10.999984887132065"/>
    <n v="5000"/>
    <n v="100"/>
    <x v="6806"/>
    <x v="8"/>
    <x v="4"/>
    <x v="1"/>
  </r>
  <r>
    <x v="635"/>
    <s v="ZTAN"/>
    <x v="16"/>
    <s v="SU9354"/>
    <s v="72564391"/>
    <s v="RENCA"/>
    <x v="385"/>
    <x v="2"/>
    <x v="1"/>
    <x v="7"/>
    <x v="1"/>
    <n v="1"/>
    <n v="82544"/>
    <n v="0"/>
    <n v="82544"/>
    <n v="11.000000000000004"/>
    <n v="5000"/>
    <n v="100"/>
    <x v="6807"/>
    <x v="8"/>
    <x v="4"/>
    <x v="1"/>
  </r>
  <r>
    <x v="635"/>
    <s v="ZTAN"/>
    <x v="7"/>
    <s v="RJ6819"/>
    <s v="94742285"/>
    <s v="CHILLAN"/>
    <x v="5433"/>
    <x v="5"/>
    <x v="0"/>
    <x v="21"/>
    <x v="5"/>
    <n v="0"/>
    <n v="500000"/>
    <n v="0"/>
    <n v="500000"/>
    <n v="35.367182084400241"/>
    <n v="14000"/>
    <n v="100"/>
    <x v="6808"/>
    <x v="8"/>
    <x v="4"/>
    <x v="0"/>
  </r>
  <r>
    <x v="635"/>
    <s v="ZTAN"/>
    <x v="8"/>
    <s v="SV2718"/>
    <s v="107643206"/>
    <s v="QUILICURA"/>
    <x v="5434"/>
    <x v="1"/>
    <x v="1"/>
    <x v="8"/>
    <x v="1"/>
    <n v="1"/>
    <n v="69173"/>
    <n v="0"/>
    <n v="69173"/>
    <n v="17.103317657414411"/>
    <n v="5000"/>
    <n v="81"/>
    <x v="6809"/>
    <x v="8"/>
    <x v="4"/>
    <x v="1"/>
  </r>
  <r>
    <x v="636"/>
    <s v="ZPEP"/>
    <x v="103"/>
    <s v="HLBX77"/>
    <s v="16093509K"/>
    <s v="SANTIAGO"/>
    <x v="2071"/>
    <x v="1"/>
    <x v="1"/>
    <x v="20"/>
    <x v="1"/>
    <n v="1"/>
    <n v="100426"/>
    <n v="0"/>
    <n v="100426"/>
    <n v="11.000043813529617"/>
    <n v="5000"/>
    <n v="100"/>
    <x v="6810"/>
    <x v="8"/>
    <x v="4"/>
    <x v="1"/>
  </r>
  <r>
    <x v="636"/>
    <s v="ZTAN"/>
    <x v="10"/>
    <s v="DJLF85"/>
    <s v="125108660"/>
    <s v="LLANQUIHUE"/>
    <x v="5435"/>
    <x v="4"/>
    <x v="1"/>
    <x v="115"/>
    <x v="10"/>
    <n v="0"/>
    <n v="1020000"/>
    <n v="0"/>
    <n v="1020000"/>
    <n v="127.6314604042164"/>
    <n v="14000"/>
    <n v="57"/>
    <x v="6811"/>
    <x v="8"/>
    <x v="4"/>
    <x v="0"/>
  </r>
  <r>
    <x v="636"/>
    <s v="ZTAN"/>
    <x v="7"/>
    <s v="DJLF85"/>
    <s v="53173292"/>
    <s v="RENCA"/>
    <x v="5436"/>
    <x v="4"/>
    <x v="1"/>
    <x v="7"/>
    <x v="1"/>
    <n v="1"/>
    <n v="112653"/>
    <n v="0"/>
    <n v="112653"/>
    <n v="10.999980471038549"/>
    <n v="5000"/>
    <n v="100"/>
    <x v="6812"/>
    <x v="8"/>
    <x v="4"/>
    <x v="1"/>
  </r>
  <r>
    <x v="636"/>
    <s v="ZTAN"/>
    <x v="7"/>
    <s v="SU9354"/>
    <s v="72564391"/>
    <s v="MELIPILLA"/>
    <x v="5437"/>
    <x v="2"/>
    <x v="1"/>
    <x v="29"/>
    <x v="1"/>
    <n v="5"/>
    <n v="112500"/>
    <n v="0"/>
    <n v="112500"/>
    <n v="37.004144464179987"/>
    <n v="10000"/>
    <n v="45"/>
    <x v="6813"/>
    <x v="8"/>
    <x v="4"/>
    <x v="1"/>
  </r>
  <r>
    <x v="636"/>
    <s v="ZTAN"/>
    <x v="7"/>
    <s v="WG4022"/>
    <s v="154837728"/>
    <s v="RENCA"/>
    <x v="5438"/>
    <x v="1"/>
    <x v="0"/>
    <x v="7"/>
    <x v="1"/>
    <n v="1"/>
    <n v="225737"/>
    <n v="0"/>
    <n v="225737"/>
    <n v="10.9999868431119"/>
    <n v="5000"/>
    <n v="100"/>
    <x v="6814"/>
    <x v="8"/>
    <x v="4"/>
    <x v="1"/>
  </r>
  <r>
    <x v="636"/>
    <s v="ZTAN"/>
    <x v="7"/>
    <s v="XR6339"/>
    <s v="78907355"/>
    <s v="SAN MIGUEL"/>
    <x v="5439"/>
    <x v="1"/>
    <x v="1"/>
    <x v="23"/>
    <x v="1"/>
    <n v="2"/>
    <n v="109706"/>
    <n v="0"/>
    <n v="109706"/>
    <n v="10.999980949115081"/>
    <n v="5000"/>
    <n v="100"/>
    <x v="6815"/>
    <x v="8"/>
    <x v="4"/>
    <x v="1"/>
  </r>
  <r>
    <x v="636"/>
    <s v="ZTAN"/>
    <x v="8"/>
    <s v="DRFV76"/>
    <s v="113693568"/>
    <s v="CONCEPCION"/>
    <x v="5440"/>
    <x v="0"/>
    <x v="0"/>
    <x v="81"/>
    <x v="0"/>
    <n v="0"/>
    <n v="478000"/>
    <n v="0"/>
    <n v="478000"/>
    <n v="95.202055408392923"/>
    <n v="14000"/>
    <n v="36"/>
    <x v="6816"/>
    <x v="8"/>
    <x v="4"/>
    <x v="0"/>
  </r>
  <r>
    <x v="636"/>
    <s v="ZTAN"/>
    <x v="8"/>
    <s v="SV2718"/>
    <s v="107643206"/>
    <s v="LA REINA"/>
    <x v="5441"/>
    <x v="1"/>
    <x v="1"/>
    <x v="11"/>
    <x v="1"/>
    <n v="3"/>
    <n v="69173"/>
    <n v="0"/>
    <n v="69173"/>
    <n v="20.341888887581899"/>
    <n v="5000"/>
    <n v="68"/>
    <x v="6817"/>
    <x v="8"/>
    <x v="4"/>
    <x v="1"/>
  </r>
  <r>
    <x v="636"/>
    <s v="ZTAN"/>
    <x v="8"/>
    <s v="UK7153"/>
    <s v="81417709"/>
    <s v="PUDAHUEL"/>
    <x v="5442"/>
    <x v="0"/>
    <x v="0"/>
    <x v="10"/>
    <x v="1"/>
    <n v="1"/>
    <n v="103055"/>
    <n v="0"/>
    <n v="103055"/>
    <n v="10.999948765461093"/>
    <n v="5000"/>
    <n v="100"/>
    <x v="6818"/>
    <x v="8"/>
    <x v="4"/>
    <x v="1"/>
  </r>
  <r>
    <x v="636"/>
    <s v="ZTAN"/>
    <x v="83"/>
    <s v="WD7700"/>
    <s v="73835526"/>
    <s v="QUILICURA"/>
    <x v="1067"/>
    <x v="0"/>
    <x v="0"/>
    <x v="8"/>
    <x v="1"/>
    <n v="1"/>
    <n v="93522"/>
    <n v="0"/>
    <n v="93522"/>
    <n v="11"/>
    <n v="5000"/>
    <n v="100"/>
    <x v="6819"/>
    <x v="8"/>
    <x v="4"/>
    <x v="1"/>
  </r>
  <r>
    <x v="637"/>
    <s v="ZPEP"/>
    <x v="103"/>
    <s v="HLBX77"/>
    <s v="16093509K"/>
    <s v="SANTIAGO"/>
    <x v="5443"/>
    <x v="1"/>
    <x v="1"/>
    <x v="20"/>
    <x v="1"/>
    <n v="1"/>
    <n v="97746"/>
    <n v="0"/>
    <n v="97746"/>
    <n v="11.000000000000005"/>
    <n v="5000"/>
    <n v="100"/>
    <x v="6820"/>
    <x v="8"/>
    <x v="4"/>
    <x v="1"/>
  </r>
  <r>
    <x v="637"/>
    <s v="ZTAN"/>
    <x v="5"/>
    <s v="XR6339"/>
    <s v="78907355"/>
    <s v="BUIN"/>
    <x v="5444"/>
    <x v="1"/>
    <x v="1"/>
    <x v="56"/>
    <x v="1"/>
    <n v="5"/>
    <n v="112500"/>
    <n v="0"/>
    <n v="112500"/>
    <n v="37.802419354838712"/>
    <n v="10000"/>
    <n v="30"/>
    <x v="6821"/>
    <x v="8"/>
    <x v="4"/>
    <x v="1"/>
  </r>
  <r>
    <x v="637"/>
    <s v="ZTAN"/>
    <x v="65"/>
    <s v="WD7700"/>
    <s v="73835526"/>
    <s v="LINARES"/>
    <x v="5445"/>
    <x v="0"/>
    <x v="0"/>
    <x v="59"/>
    <x v="3"/>
    <n v="0"/>
    <n v="420000"/>
    <n v="0"/>
    <n v="420000"/>
    <n v="72.335222086354477"/>
    <n v="14000"/>
    <n v="40"/>
    <x v="6822"/>
    <x v="8"/>
    <x v="4"/>
    <x v="0"/>
  </r>
  <r>
    <x v="637"/>
    <s v="ZTAN"/>
    <x v="10"/>
    <s v="DJLF85"/>
    <s v="125108660"/>
    <s v="QUILICURA"/>
    <x v="5446"/>
    <x v="4"/>
    <x v="1"/>
    <x v="8"/>
    <x v="1"/>
    <n v="1"/>
    <n v="98534"/>
    <n v="0"/>
    <n v="98534"/>
    <n v="10.999946414696661"/>
    <n v="5000"/>
    <n v="100"/>
    <x v="6823"/>
    <x v="8"/>
    <x v="4"/>
    <x v="1"/>
  </r>
  <r>
    <x v="637"/>
    <s v="ZTAN"/>
    <x v="7"/>
    <s v="DRFV76"/>
    <s v="113693568"/>
    <s v="CORONEL"/>
    <x v="5447"/>
    <x v="0"/>
    <x v="0"/>
    <x v="16"/>
    <x v="0"/>
    <n v="0"/>
    <n v="528000"/>
    <n v="0"/>
    <n v="528000"/>
    <n v="23.992366065342846"/>
    <n v="14000"/>
    <n v="100"/>
    <x v="6824"/>
    <x v="8"/>
    <x v="4"/>
    <x v="0"/>
  </r>
  <r>
    <x v="637"/>
    <s v="ZTAN"/>
    <x v="7"/>
    <s v="SV2718"/>
    <s v="107643206"/>
    <s v="SANTIAGO"/>
    <x v="5448"/>
    <x v="1"/>
    <x v="1"/>
    <x v="20"/>
    <x v="1"/>
    <n v="1"/>
    <n v="69173"/>
    <n v="0"/>
    <n v="69173"/>
    <n v="21.689901479377152"/>
    <n v="5000"/>
    <n v="64"/>
    <x v="6825"/>
    <x v="8"/>
    <x v="4"/>
    <x v="1"/>
  </r>
  <r>
    <x v="638"/>
    <s v="ZPEP"/>
    <x v="103"/>
    <s v="HLBX77"/>
    <s v="16093509K"/>
    <s v="SANTIAGO"/>
    <x v="5449"/>
    <x v="1"/>
    <x v="1"/>
    <x v="20"/>
    <x v="1"/>
    <n v="1"/>
    <n v="106762"/>
    <n v="0"/>
    <n v="106762"/>
    <n v="11.000041213320145"/>
    <n v="5000"/>
    <n v="100"/>
    <x v="6826"/>
    <x v="8"/>
    <x v="4"/>
    <x v="1"/>
  </r>
  <r>
    <x v="638"/>
    <s v="ZTAN"/>
    <x v="139"/>
    <s v="SU9354"/>
    <s v="72564391"/>
    <s v="PROVIDENCIA"/>
    <x v="5450"/>
    <x v="2"/>
    <x v="1"/>
    <x v="54"/>
    <x v="1"/>
    <n v="2"/>
    <n v="69173"/>
    <n v="0"/>
    <n v="69173"/>
    <n v="21.207522411488416"/>
    <n v="5000"/>
    <n v="65"/>
    <x v="6827"/>
    <x v="8"/>
    <x v="4"/>
    <x v="1"/>
  </r>
  <r>
    <x v="638"/>
    <s v="ZTAN"/>
    <x v="10"/>
    <s v="SV2718"/>
    <s v="107643209"/>
    <s v="SANTIAGO"/>
    <x v="5451"/>
    <x v="1"/>
    <x v="1"/>
    <x v="20"/>
    <x v="1"/>
    <n v="1"/>
    <n v="69173"/>
    <n v="0"/>
    <n v="69173"/>
    <n v="9.6510589614085998"/>
    <n v="5000"/>
    <n v="100"/>
    <x v="6828"/>
    <x v="8"/>
    <x v="4"/>
    <x v="1"/>
  </r>
  <r>
    <x v="638"/>
    <s v="ZTAN"/>
    <x v="7"/>
    <s v="WD7700"/>
    <s v="73835526"/>
    <s v="RENCA"/>
    <x v="5452"/>
    <x v="0"/>
    <x v="0"/>
    <x v="7"/>
    <x v="1"/>
    <n v="1"/>
    <n v="150201"/>
    <n v="0"/>
    <n v="150201"/>
    <n v="10.999997070592855"/>
    <n v="5000"/>
    <n v="100"/>
    <x v="6829"/>
    <x v="8"/>
    <x v="4"/>
    <x v="1"/>
  </r>
  <r>
    <x v="638"/>
    <s v="ZTAN"/>
    <x v="7"/>
    <s v="WG4022"/>
    <s v="154837728"/>
    <s v="RENCA"/>
    <x v="5453"/>
    <x v="1"/>
    <x v="0"/>
    <x v="7"/>
    <x v="1"/>
    <n v="1"/>
    <n v="185643"/>
    <n v="0"/>
    <n v="185643"/>
    <n v="11.000010665642765"/>
    <n v="5000"/>
    <n v="100"/>
    <x v="6830"/>
    <x v="8"/>
    <x v="4"/>
    <x v="1"/>
  </r>
  <r>
    <x v="638"/>
    <s v="ZTAN"/>
    <x v="7"/>
    <s v="XR6339"/>
    <s v="78907355"/>
    <s v="SAN MIGUEL"/>
    <x v="5454"/>
    <x v="1"/>
    <x v="1"/>
    <x v="23"/>
    <x v="1"/>
    <n v="2"/>
    <n v="116937"/>
    <n v="0"/>
    <n v="116937"/>
    <n v="11.000016932220321"/>
    <n v="5000"/>
    <n v="100"/>
    <x v="6831"/>
    <x v="8"/>
    <x v="4"/>
    <x v="1"/>
  </r>
  <r>
    <x v="638"/>
    <s v="ZTAN"/>
    <x v="8"/>
    <s v="HLBX77"/>
    <s v="16093509K"/>
    <s v="PUDAHUEL"/>
    <x v="5455"/>
    <x v="1"/>
    <x v="1"/>
    <x v="10"/>
    <x v="1"/>
    <n v="1"/>
    <n v="69173"/>
    <n v="0"/>
    <n v="69173"/>
    <n v="25.339580341705005"/>
    <n v="5000"/>
    <n v="55"/>
    <x v="6832"/>
    <x v="8"/>
    <x v="4"/>
    <x v="1"/>
  </r>
  <r>
    <x v="639"/>
    <s v="ZPEP"/>
    <x v="103"/>
    <s v="HLBX77"/>
    <s v="16093509K"/>
    <s v="SANTIAGO"/>
    <x v="5456"/>
    <x v="1"/>
    <x v="1"/>
    <x v="20"/>
    <x v="1"/>
    <n v="1"/>
    <n v="117885"/>
    <n v="0"/>
    <n v="117885"/>
    <n v="11.000018662287252"/>
    <n v="5000"/>
    <n v="100"/>
    <x v="6833"/>
    <x v="8"/>
    <x v="4"/>
    <x v="1"/>
  </r>
  <r>
    <x v="639"/>
    <s v="ZTAN"/>
    <x v="6"/>
    <s v="GSVC95"/>
    <s v="138885453"/>
    <s v="COPIAPO"/>
    <x v="5457"/>
    <x v="0"/>
    <x v="0"/>
    <x v="60"/>
    <x v="9"/>
    <n v="0"/>
    <n v="1500000"/>
    <n v="0"/>
    <n v="1500000"/>
    <n v="127.24502641606747"/>
    <n v="14000"/>
    <n v="84"/>
    <x v="6834"/>
    <x v="8"/>
    <x v="4"/>
    <x v="0"/>
  </r>
  <r>
    <x v="639"/>
    <s v="ZTAN"/>
    <x v="16"/>
    <s v="PBFH81"/>
    <s v="129210451"/>
    <s v="CONCEPCION"/>
    <x v="5458"/>
    <x v="0"/>
    <x v="0"/>
    <x v="81"/>
    <x v="0"/>
    <n v="0"/>
    <n v="478000"/>
    <n v="0"/>
    <n v="478000"/>
    <n v="53.860732821468559"/>
    <n v="14000"/>
    <n v="63"/>
    <x v="6835"/>
    <x v="8"/>
    <x v="4"/>
    <x v="0"/>
  </r>
  <r>
    <x v="639"/>
    <s v="ZTAN"/>
    <x v="7"/>
    <s v="CJXX49"/>
    <s v="167832741"/>
    <s v="CORONEL"/>
    <x v="5459"/>
    <x v="5"/>
    <x v="0"/>
    <x v="16"/>
    <x v="0"/>
    <n v="0"/>
    <n v="528000"/>
    <n v="0"/>
    <n v="528000"/>
    <n v="39.896571161730726"/>
    <n v="14000"/>
    <n v="95"/>
    <x v="6836"/>
    <x v="8"/>
    <x v="4"/>
    <x v="0"/>
  </r>
  <r>
    <x v="639"/>
    <s v="ZTAN"/>
    <x v="7"/>
    <s v="SU9354"/>
    <s v="72564391"/>
    <s v="RENCA"/>
    <x v="5460"/>
    <x v="2"/>
    <x v="1"/>
    <x v="7"/>
    <x v="1"/>
    <n v="1"/>
    <n v="107701"/>
    <n v="0"/>
    <n v="107701"/>
    <n v="11"/>
    <n v="5000"/>
    <n v="100"/>
    <x v="6837"/>
    <x v="8"/>
    <x v="4"/>
    <x v="1"/>
  </r>
  <r>
    <x v="639"/>
    <s v="ZTAN"/>
    <x v="7"/>
    <s v="WG4022"/>
    <s v="154837728"/>
    <s v="RENCA"/>
    <x v="5461"/>
    <x v="1"/>
    <x v="0"/>
    <x v="7"/>
    <x v="1"/>
    <n v="1"/>
    <n v="201756"/>
    <n v="0"/>
    <n v="201756"/>
    <n v="10.999984734056358"/>
    <n v="5000"/>
    <n v="100"/>
    <x v="6838"/>
    <x v="8"/>
    <x v="4"/>
    <x v="1"/>
  </r>
  <r>
    <x v="639"/>
    <s v="ZTAN"/>
    <x v="99"/>
    <s v="LWYB23"/>
    <s v="19331337K"/>
    <s v="SANTIAGO"/>
    <x v="5420"/>
    <x v="0"/>
    <x v="0"/>
    <x v="20"/>
    <x v="1"/>
    <n v="1"/>
    <n v="193199"/>
    <n v="0"/>
    <n v="193199"/>
    <n v="11.000028468129928"/>
    <n v="5000"/>
    <n v="100"/>
    <x v="6839"/>
    <x v="8"/>
    <x v="4"/>
    <x v="1"/>
  </r>
  <r>
    <x v="640"/>
    <s v="ZPEP"/>
    <x v="103"/>
    <s v="WD7700"/>
    <n v="73835526"/>
    <s v="SANTIAGO"/>
    <x v="5462"/>
    <x v="0"/>
    <x v="0"/>
    <x v="20"/>
    <x v="1"/>
    <n v="1"/>
    <n v="69173"/>
    <n v="0"/>
    <n v="69173"/>
    <n v="20.946281492248069"/>
    <n v="5000"/>
    <n v="66"/>
    <x v="6840"/>
    <x v="8"/>
    <x v="4"/>
    <x v="1"/>
  </r>
  <r>
    <x v="640"/>
    <s v="ZTAN"/>
    <x v="10"/>
    <s v="DJLF85"/>
    <n v="125108660"/>
    <s v="HUECHURABA"/>
    <x v="665"/>
    <x v="4"/>
    <x v="1"/>
    <x v="24"/>
    <x v="1"/>
    <n v="1"/>
    <n v="69173"/>
    <n v="0"/>
    <n v="69173"/>
    <n v="16.272171253822631"/>
    <n v="5000"/>
    <n v="85"/>
    <x v="6841"/>
    <x v="8"/>
    <x v="4"/>
    <x v="1"/>
  </r>
  <r>
    <x v="640"/>
    <s v="ZTAN"/>
    <x v="7"/>
    <s v="KKPX70"/>
    <n v="119615755"/>
    <s v="CORONEL"/>
    <x v="419"/>
    <x v="0"/>
    <x v="0"/>
    <x v="16"/>
    <x v="0"/>
    <n v="0"/>
    <n v="528000"/>
    <n v="0"/>
    <n v="528000"/>
    <n v="64.046579330422091"/>
    <n v="14000"/>
    <n v="59"/>
    <x v="6842"/>
    <x v="8"/>
    <x v="4"/>
    <x v="0"/>
  </r>
  <r>
    <x v="640"/>
    <s v="ZTAN"/>
    <x v="8"/>
    <s v="SV2718"/>
    <n v="107643206"/>
    <s v="SAN BERNARDO"/>
    <x v="1024"/>
    <x v="1"/>
    <x v="1"/>
    <x v="4"/>
    <x v="1"/>
    <n v="4"/>
    <n v="69173"/>
    <n v="0"/>
    <n v="69173"/>
    <n v="27.488872993164836"/>
    <n v="5000"/>
    <n v="50"/>
    <x v="6843"/>
    <x v="8"/>
    <x v="4"/>
    <x v="1"/>
  </r>
  <r>
    <x v="640"/>
    <s v="ZTAN"/>
    <x v="8"/>
    <s v="XR6339"/>
    <n v="78907355"/>
    <s v="CERRILLOS"/>
    <x v="5048"/>
    <x v="1"/>
    <x v="1"/>
    <x v="9"/>
    <x v="1"/>
    <n v="2"/>
    <n v="69173"/>
    <n v="0"/>
    <n v="69173"/>
    <n v="24.422907177911942"/>
    <n v="5000"/>
    <n v="57"/>
    <x v="6844"/>
    <x v="8"/>
    <x v="4"/>
    <x v="1"/>
  </r>
  <r>
    <x v="641"/>
    <s v="ZPEP"/>
    <x v="120"/>
    <s v="DKDL88"/>
    <s v="122975819"/>
    <s v="TALCAHUANO"/>
    <x v="5463"/>
    <x v="0"/>
    <x v="0"/>
    <x v="0"/>
    <x v="0"/>
    <n v="0"/>
    <n v="506000"/>
    <n v="0"/>
    <n v="506000"/>
    <n v="25.188478013594811"/>
    <n v="14000"/>
    <n v="100"/>
    <x v="6845"/>
    <x v="8"/>
    <x v="4"/>
    <x v="0"/>
  </r>
  <r>
    <x v="641"/>
    <s v="ZTAN"/>
    <x v="4"/>
    <s v="SV2718"/>
    <s v="107643206"/>
    <s v="LAMPA"/>
    <x v="5464"/>
    <x v="1"/>
    <x v="1"/>
    <x v="17"/>
    <x v="1"/>
    <n v="5"/>
    <n v="112500"/>
    <n v="0"/>
    <n v="112500"/>
    <n v="63.667232597623091"/>
    <n v="10000"/>
    <n v="18"/>
    <x v="6846"/>
    <x v="8"/>
    <x v="4"/>
    <x v="1"/>
  </r>
  <r>
    <x v="641"/>
    <s v="ZTAN"/>
    <x v="65"/>
    <s v="WD7700"/>
    <s v="73835526"/>
    <s v="MACHALI"/>
    <x v="1380"/>
    <x v="0"/>
    <x v="0"/>
    <x v="43"/>
    <x v="6"/>
    <n v="0"/>
    <n v="250000"/>
    <n v="0"/>
    <n v="250000"/>
    <n v="24.147590070510962"/>
    <n v="14000"/>
    <n v="74"/>
    <x v="6847"/>
    <x v="8"/>
    <x v="4"/>
    <x v="0"/>
  </r>
  <r>
    <x v="641"/>
    <s v="ZTAN"/>
    <x v="10"/>
    <s v="KKPF51"/>
    <s v="95707734"/>
    <s v="QUILICURA"/>
    <x v="5465"/>
    <x v="8"/>
    <x v="0"/>
    <x v="8"/>
    <x v="1"/>
    <n v="1"/>
    <n v="72868"/>
    <n v="0"/>
    <n v="72868"/>
    <n v="11.000039249193131"/>
    <n v="5000"/>
    <n v="100"/>
    <x v="6848"/>
    <x v="8"/>
    <x v="4"/>
    <x v="1"/>
  </r>
  <r>
    <x v="641"/>
    <s v="ZTAN"/>
    <x v="114"/>
    <s v="HLBX77"/>
    <s v="16093509K"/>
    <s v="SANTIAGO"/>
    <x v="1067"/>
    <x v="1"/>
    <x v="1"/>
    <x v="20"/>
    <x v="1"/>
    <n v="1"/>
    <n v="93522"/>
    <n v="0"/>
    <n v="93522"/>
    <n v="11"/>
    <n v="5000"/>
    <n v="100"/>
    <x v="6849"/>
    <x v="8"/>
    <x v="4"/>
    <x v="1"/>
  </r>
  <r>
    <x v="641"/>
    <s v="ZTAN"/>
    <x v="114"/>
    <s v="SU9354"/>
    <s v="72564391"/>
    <s v="SANTIAGO"/>
    <x v="1334"/>
    <x v="2"/>
    <x v="1"/>
    <x v="20"/>
    <x v="1"/>
    <n v="1"/>
    <n v="61908"/>
    <n v="0"/>
    <n v="61908"/>
    <n v="11.000000000000002"/>
    <n v="5000"/>
    <n v="100"/>
    <x v="6850"/>
    <x v="8"/>
    <x v="4"/>
    <x v="1"/>
  </r>
  <r>
    <x v="641"/>
    <s v="ZTAN"/>
    <x v="101"/>
    <s v="SU9354"/>
    <s v="72564391"/>
    <s v="QUILICURA"/>
    <x v="2395"/>
    <x v="2"/>
    <x v="1"/>
    <x v="8"/>
    <x v="1"/>
    <n v="1"/>
    <n v="69173"/>
    <n v="0"/>
    <n v="69173"/>
    <n v="33.205165130568361"/>
    <n v="5000"/>
    <n v="42"/>
    <x v="6851"/>
    <x v="8"/>
    <x v="4"/>
    <x v="1"/>
  </r>
  <r>
    <x v="641"/>
    <s v="ZTAN"/>
    <x v="7"/>
    <s v="DJLF85"/>
    <s v="125108660"/>
    <s v="RENCA"/>
    <x v="5466"/>
    <x v="4"/>
    <x v="1"/>
    <x v="7"/>
    <x v="1"/>
    <n v="1"/>
    <n v="71381"/>
    <n v="0"/>
    <n v="71381"/>
    <n v="11.000020033378689"/>
    <n v="5000"/>
    <n v="100"/>
    <x v="6852"/>
    <x v="8"/>
    <x v="4"/>
    <x v="1"/>
  </r>
  <r>
    <x v="641"/>
    <s v="ZTAN"/>
    <x v="7"/>
    <s v="DKDL88"/>
    <s v="122975819"/>
    <s v="CHILLAN"/>
    <x v="5467"/>
    <x v="0"/>
    <x v="0"/>
    <x v="21"/>
    <x v="5"/>
    <n v="0"/>
    <n v="500000"/>
    <n v="0"/>
    <n v="500000"/>
    <n v="35.143356780980973"/>
    <n v="14000"/>
    <n v="100"/>
    <x v="6853"/>
    <x v="8"/>
    <x v="4"/>
    <x v="0"/>
  </r>
  <r>
    <x v="641"/>
    <s v="ZTAN"/>
    <x v="7"/>
    <s v="WG4022"/>
    <s v="154837728"/>
    <s v="RENCA"/>
    <x v="5468"/>
    <x v="1"/>
    <x v="0"/>
    <x v="7"/>
    <x v="1"/>
    <n v="1"/>
    <n v="207261"/>
    <n v="0"/>
    <n v="207261"/>
    <n v="11.000022821514001"/>
    <n v="5000"/>
    <n v="100"/>
    <x v="6854"/>
    <x v="8"/>
    <x v="4"/>
    <x v="1"/>
  </r>
  <r>
    <x v="641"/>
    <s v="ZTAN"/>
    <x v="83"/>
    <s v="XR6339"/>
    <s v="78907355"/>
    <s v="SANTIAGO"/>
    <x v="5469"/>
    <x v="1"/>
    <x v="1"/>
    <x v="20"/>
    <x v="1"/>
    <n v="1"/>
    <n v="72446"/>
    <n v="0"/>
    <n v="72446"/>
    <n v="11"/>
    <n v="5000"/>
    <n v="100"/>
    <x v="6855"/>
    <x v="8"/>
    <x v="4"/>
    <x v="1"/>
  </r>
  <r>
    <x v="642"/>
    <s v="ZPEP"/>
    <x v="120"/>
    <s v="DRFV76"/>
    <s v="113693568"/>
    <s v="TALCAHUANO"/>
    <x v="5470"/>
    <x v="0"/>
    <x v="0"/>
    <x v="0"/>
    <x v="0"/>
    <n v="0"/>
    <n v="506000"/>
    <n v="0"/>
    <n v="506000"/>
    <n v="25.037023622382321"/>
    <n v="14000"/>
    <n v="100"/>
    <x v="6856"/>
    <x v="8"/>
    <x v="4"/>
    <x v="0"/>
  </r>
  <r>
    <x v="642"/>
    <s v="ZPEP"/>
    <x v="138"/>
    <s v="HLBX77"/>
    <s v="16083509K"/>
    <s v="SANTIAGO"/>
    <x v="5471"/>
    <x v="1"/>
    <x v="1"/>
    <x v="20"/>
    <x v="1"/>
    <n v="1"/>
    <n v="65675"/>
    <n v="0"/>
    <n v="65675"/>
    <n v="5.7012419028041341"/>
    <n v="5000"/>
    <n v="100"/>
    <x v="6857"/>
    <x v="8"/>
    <x v="4"/>
    <x v="1"/>
  </r>
  <r>
    <x v="642"/>
    <s v="ZTAN"/>
    <x v="10"/>
    <s v="SU9354"/>
    <s v="72564391"/>
    <s v="SANTIAGO"/>
    <x v="5472"/>
    <x v="2"/>
    <x v="1"/>
    <x v="20"/>
    <x v="1"/>
    <n v="1"/>
    <n v="69173"/>
    <n v="0"/>
    <n v="69173"/>
    <n v="14.106114491736948"/>
    <n v="5000"/>
    <n v="98"/>
    <x v="6858"/>
    <x v="8"/>
    <x v="4"/>
    <x v="1"/>
  </r>
  <r>
    <x v="642"/>
    <s v="ZTAN"/>
    <x v="7"/>
    <s v="DJLF85"/>
    <s v="125108660"/>
    <s v="MELIPILLA"/>
    <x v="5473"/>
    <x v="4"/>
    <x v="1"/>
    <x v="29"/>
    <x v="1"/>
    <n v="5"/>
    <n v="112500"/>
    <n v="0"/>
    <n v="112500"/>
    <n v="35.988483685220729"/>
    <n v="10000"/>
    <n v="31"/>
    <x v="6859"/>
    <x v="8"/>
    <x v="4"/>
    <x v="1"/>
  </r>
  <r>
    <x v="642"/>
    <s v="ZTAN"/>
    <x v="8"/>
    <s v="PYCP22"/>
    <s v="114163848"/>
    <s v="CORONEL"/>
    <x v="5474"/>
    <x v="0"/>
    <x v="0"/>
    <x v="16"/>
    <x v="0"/>
    <n v="0"/>
    <n v="528000"/>
    <n v="0"/>
    <n v="528000"/>
    <n v="74.339393120227072"/>
    <n v="14000"/>
    <n v="60"/>
    <x v="6860"/>
    <x v="8"/>
    <x v="4"/>
    <x v="0"/>
  </r>
  <r>
    <x v="642"/>
    <s v="ZTAN"/>
    <x v="8"/>
    <s v="RGTZ38"/>
    <s v="115738402"/>
    <s v="OSORNO"/>
    <x v="5475"/>
    <x v="0"/>
    <x v="0"/>
    <x v="64"/>
    <x v="10"/>
    <n v="0"/>
    <n v="1131000"/>
    <n v="0"/>
    <n v="1131000"/>
    <n v="97.653636108532822"/>
    <n v="14000"/>
    <n v="80"/>
    <x v="6861"/>
    <x v="8"/>
    <x v="4"/>
    <x v="0"/>
  </r>
  <r>
    <x v="642"/>
    <s v="ZTAN"/>
    <x v="8"/>
    <s v="SV2718"/>
    <s v="107643206"/>
    <s v="ÑUÑOA"/>
    <x v="5476"/>
    <x v="1"/>
    <x v="1"/>
    <x v="15"/>
    <x v="1"/>
    <n v="4"/>
    <n v="69173"/>
    <n v="0"/>
    <n v="69173"/>
    <n v="23.336774489561826"/>
    <n v="5000"/>
    <n v="59"/>
    <x v="6862"/>
    <x v="8"/>
    <x v="4"/>
    <x v="1"/>
  </r>
  <r>
    <x v="642"/>
    <s v="ZTAN"/>
    <x v="8"/>
    <s v="XR6339"/>
    <s v="78907355"/>
    <s v="PUDAHUEL"/>
    <x v="5477"/>
    <x v="1"/>
    <x v="1"/>
    <x v="10"/>
    <x v="1"/>
    <n v="1"/>
    <n v="69173"/>
    <n v="0"/>
    <n v="69173"/>
    <n v="23.278110371888449"/>
    <n v="5000"/>
    <n v="59"/>
    <x v="6863"/>
    <x v="8"/>
    <x v="4"/>
    <x v="1"/>
  </r>
  <r>
    <x v="642"/>
    <s v="ZTAN"/>
    <x v="83"/>
    <s v="WD7700"/>
    <s v="73835526"/>
    <s v="SANTIAGO"/>
    <x v="1334"/>
    <x v="0"/>
    <x v="0"/>
    <x v="20"/>
    <x v="1"/>
    <n v="1"/>
    <n v="61908"/>
    <n v="0"/>
    <n v="61908"/>
    <n v="11.000000000000002"/>
    <n v="5000"/>
    <n v="100"/>
    <x v="6864"/>
    <x v="8"/>
    <x v="4"/>
    <x v="1"/>
  </r>
  <r>
    <x v="643"/>
    <s v="ZPEP"/>
    <x v="138"/>
    <s v="SU9354"/>
    <s v="72564391"/>
    <s v="SANTIAGO"/>
    <x v="5478"/>
    <x v="2"/>
    <x v="1"/>
    <x v="20"/>
    <x v="1"/>
    <n v="1"/>
    <n v="79638"/>
    <n v="0"/>
    <n v="79638"/>
    <n v="10.999966850096135"/>
    <n v="5000"/>
    <n v="100"/>
    <x v="6865"/>
    <x v="8"/>
    <x v="4"/>
    <x v="1"/>
  </r>
  <r>
    <x v="643"/>
    <s v="ZTAN"/>
    <x v="7"/>
    <s v="DJLF85"/>
    <s v="125108660"/>
    <s v="SAN MIGUEL"/>
    <x v="5479"/>
    <x v="4"/>
    <x v="1"/>
    <x v="23"/>
    <x v="1"/>
    <n v="2"/>
    <n v="68016"/>
    <n v="0"/>
    <n v="68016"/>
    <n v="10.999951482218233"/>
    <n v="5000"/>
    <n v="100"/>
    <x v="6866"/>
    <x v="8"/>
    <x v="4"/>
    <x v="1"/>
  </r>
  <r>
    <x v="643"/>
    <s v="ZTAN"/>
    <x v="7"/>
    <s v="HLBX77"/>
    <s v="16093509K"/>
    <s v="SANTIAGO"/>
    <x v="5480"/>
    <x v="1"/>
    <x v="1"/>
    <x v="20"/>
    <x v="1"/>
    <n v="1"/>
    <n v="69173"/>
    <n v="0"/>
    <n v="69173"/>
    <n v="21.986065818664944"/>
    <n v="5000"/>
    <n v="63"/>
    <x v="6867"/>
    <x v="8"/>
    <x v="4"/>
    <x v="1"/>
  </r>
  <r>
    <x v="643"/>
    <s v="ZTAN"/>
    <x v="7"/>
    <s v="WG4022"/>
    <s v="154837728"/>
    <s v="RENCA"/>
    <x v="5481"/>
    <x v="1"/>
    <x v="0"/>
    <x v="7"/>
    <x v="1"/>
    <n v="1"/>
    <n v="165396"/>
    <n v="0"/>
    <n v="165396"/>
    <n v="11.000029263179737"/>
    <n v="5000"/>
    <n v="100"/>
    <x v="6868"/>
    <x v="8"/>
    <x v="4"/>
    <x v="1"/>
  </r>
  <r>
    <x v="643"/>
    <s v="ZTAN"/>
    <x v="7"/>
    <s v="XR6339"/>
    <s v="78907355"/>
    <s v="RENCA"/>
    <x v="5482"/>
    <x v="1"/>
    <x v="1"/>
    <x v="7"/>
    <x v="1"/>
    <n v="1"/>
    <n v="90076"/>
    <n v="0"/>
    <n v="90076"/>
    <n v="11.000023202677834"/>
    <n v="5000"/>
    <n v="100"/>
    <x v="6869"/>
    <x v="8"/>
    <x v="4"/>
    <x v="1"/>
  </r>
  <r>
    <x v="643"/>
    <s v="ZTAN"/>
    <x v="8"/>
    <s v="HLBX77"/>
    <s v="16093509K"/>
    <s v="REÑACA"/>
    <x v="5483"/>
    <x v="1"/>
    <x v="1"/>
    <x v="6"/>
    <x v="2"/>
    <n v="0"/>
    <n v="227000"/>
    <n v="0"/>
    <n v="227000"/>
    <n v="56.949322629202207"/>
    <n v="14000"/>
    <n v="28"/>
    <x v="6870"/>
    <x v="8"/>
    <x v="4"/>
    <x v="0"/>
  </r>
  <r>
    <x v="644"/>
    <s v="ZPEP"/>
    <x v="89"/>
    <s v="WD7700"/>
    <s v="73835526"/>
    <s v="PADRE HURTADO"/>
    <x v="5484"/>
    <x v="0"/>
    <x v="0"/>
    <x v="26"/>
    <x v="1"/>
    <n v="5"/>
    <n v="180000"/>
    <n v="0"/>
    <n v="180000"/>
    <n v="50.876201243640473"/>
    <n v="10000"/>
    <n v="35"/>
    <x v="6871"/>
    <x v="8"/>
    <x v="4"/>
    <x v="1"/>
  </r>
  <r>
    <x v="644"/>
    <s v="ZPEP"/>
    <x v="120"/>
    <s v="DJLF85"/>
    <s v="53173292"/>
    <s v="SAN BERNARDO"/>
    <x v="5485"/>
    <x v="4"/>
    <x v="1"/>
    <x v="4"/>
    <x v="1"/>
    <n v="4"/>
    <n v="69173"/>
    <n v="0"/>
    <n v="69173"/>
    <n v="18.657636298412129"/>
    <n v="5000"/>
    <n v="74"/>
    <x v="6872"/>
    <x v="8"/>
    <x v="4"/>
    <x v="1"/>
  </r>
  <r>
    <x v="644"/>
    <s v="ZPEP"/>
    <x v="138"/>
    <s v="XR6339"/>
    <s v="78907355"/>
    <s v="SANTIAGO"/>
    <x v="5486"/>
    <x v="1"/>
    <x v="1"/>
    <x v="20"/>
    <x v="1"/>
    <n v="1"/>
    <n v="70676"/>
    <n v="0"/>
    <n v="70676"/>
    <n v="10.999950195482729"/>
    <n v="5000"/>
    <n v="100"/>
    <x v="6873"/>
    <x v="8"/>
    <x v="4"/>
    <x v="1"/>
  </r>
  <r>
    <x v="644"/>
    <s v="ZTAN"/>
    <x v="7"/>
    <s v="HLBX77"/>
    <s v="16093509K"/>
    <s v="RENCA"/>
    <x v="5487"/>
    <x v="1"/>
    <x v="1"/>
    <x v="7"/>
    <x v="1"/>
    <n v="1"/>
    <n v="77449"/>
    <n v="0"/>
    <n v="77449"/>
    <n v="11.000028405862968"/>
    <n v="5000"/>
    <n v="100"/>
    <x v="6874"/>
    <x v="8"/>
    <x v="4"/>
    <x v="1"/>
  </r>
  <r>
    <x v="644"/>
    <s v="ZTAN"/>
    <x v="7"/>
    <s v="SV2718"/>
    <s v="107643206"/>
    <s v="SANTIAGO"/>
    <x v="5488"/>
    <x v="1"/>
    <x v="1"/>
    <x v="20"/>
    <x v="1"/>
    <n v="1"/>
    <n v="62568"/>
    <n v="0"/>
    <n v="62568"/>
    <n v="10.999922644707143"/>
    <n v="5000"/>
    <n v="100"/>
    <x v="6875"/>
    <x v="8"/>
    <x v="4"/>
    <x v="1"/>
  </r>
  <r>
    <x v="644"/>
    <s v="ZTAN"/>
    <x v="7"/>
    <s v="WG4022"/>
    <s v="154837728"/>
    <s v="RENCA"/>
    <x v="5489"/>
    <x v="1"/>
    <x v="0"/>
    <x v="7"/>
    <x v="1"/>
    <n v="1"/>
    <n v="183708"/>
    <n v="0"/>
    <n v="183708"/>
    <n v="10.999998203671337"/>
    <n v="5000"/>
    <n v="100"/>
    <x v="6876"/>
    <x v="8"/>
    <x v="4"/>
    <x v="1"/>
  </r>
  <r>
    <x v="644"/>
    <s v="ZTAN"/>
    <x v="8"/>
    <s v="WD7700"/>
    <s v="73835526"/>
    <s v="QUILIN"/>
    <x v="4941"/>
    <x v="0"/>
    <x v="0"/>
    <x v="34"/>
    <x v="1"/>
    <n v="4"/>
    <n v="69173"/>
    <n v="0"/>
    <n v="69173"/>
    <n v="26.525016872200748"/>
    <n v="5000"/>
    <n v="52"/>
    <x v="6877"/>
    <x v="8"/>
    <x v="4"/>
    <x v="1"/>
  </r>
  <r>
    <x v="644"/>
    <s v="ZTAN"/>
    <x v="8"/>
    <s v="XR6339"/>
    <s v="78907355"/>
    <s v="ESTACION CENTRAL"/>
    <x v="5490"/>
    <x v="1"/>
    <x v="1"/>
    <x v="107"/>
    <x v="1"/>
    <n v="1"/>
    <n v="69173"/>
    <n v="0"/>
    <n v="69173"/>
    <n v="27.804217279107345"/>
    <n v="5000"/>
    <n v="50"/>
    <x v="6878"/>
    <x v="8"/>
    <x v="4"/>
    <x v="1"/>
  </r>
  <r>
    <x v="644"/>
    <s v="ZTAN"/>
    <x v="8"/>
    <s v="YB5040"/>
    <s v="119629756"/>
    <s v="TEMUCO"/>
    <x v="5491"/>
    <x v="0"/>
    <x v="0"/>
    <x v="14"/>
    <x v="4"/>
    <n v="0"/>
    <n v="900000"/>
    <n v="0"/>
    <n v="900000"/>
    <n v="85.439739351835158"/>
    <n v="14000"/>
    <n v="75"/>
    <x v="6879"/>
    <x v="8"/>
    <x v="4"/>
    <x v="0"/>
  </r>
  <r>
    <x v="644"/>
    <s v="ZTAN"/>
    <x v="83"/>
    <s v="DJLF85"/>
    <s v="53173292"/>
    <s v="SANTIAGO"/>
    <x v="5492"/>
    <x v="4"/>
    <x v="1"/>
    <x v="20"/>
    <x v="1"/>
    <n v="1"/>
    <n v="69173"/>
    <n v="0"/>
    <n v="69173"/>
    <n v="14.317382125263899"/>
    <n v="5000"/>
    <n v="97"/>
    <x v="6880"/>
    <x v="8"/>
    <x v="4"/>
    <x v="1"/>
  </r>
  <r>
    <x v="645"/>
    <s v="ZPEP"/>
    <x v="5"/>
    <s v="HLBX77"/>
    <s v="16093509K"/>
    <s v="BUIN"/>
    <x v="5493"/>
    <x v="1"/>
    <x v="1"/>
    <x v="56"/>
    <x v="1"/>
    <n v="5"/>
    <n v="112500"/>
    <n v="0"/>
    <n v="112500"/>
    <n v="13.198571034709309"/>
    <n v="10000"/>
    <n v="86"/>
    <x v="6881"/>
    <x v="8"/>
    <x v="4"/>
    <x v="1"/>
  </r>
  <r>
    <x v="645"/>
    <s v="ZPEP"/>
    <x v="2"/>
    <s v="DJLF85"/>
    <s v="53173292"/>
    <s v="PADRE HURTADO"/>
    <x v="5494"/>
    <x v="4"/>
    <x v="1"/>
    <x v="26"/>
    <x v="1"/>
    <n v="5"/>
    <n v="112500"/>
    <n v="0"/>
    <n v="112500"/>
    <n v="16.903109871716662"/>
    <n v="10000"/>
    <n v="67"/>
    <x v="6882"/>
    <x v="8"/>
    <x v="4"/>
    <x v="1"/>
  </r>
  <r>
    <x v="645"/>
    <s v="ZTAN"/>
    <x v="4"/>
    <s v="SU9354"/>
    <s v="72564391"/>
    <s v="SAN BERNARDO"/>
    <x v="5372"/>
    <x v="2"/>
    <x v="1"/>
    <x v="4"/>
    <x v="1"/>
    <n v="4"/>
    <n v="66066"/>
    <n v="0"/>
    <n v="66066"/>
    <n v="11"/>
    <n v="5000"/>
    <n v="100"/>
    <x v="6883"/>
    <x v="8"/>
    <x v="4"/>
    <x v="1"/>
  </r>
  <r>
    <x v="645"/>
    <s v="ZTAN"/>
    <x v="4"/>
    <s v="XR6339"/>
    <s v="107643206"/>
    <s v="LAMPA"/>
    <x v="5495"/>
    <x v="1"/>
    <x v="1"/>
    <x v="17"/>
    <x v="1"/>
    <n v="5"/>
    <n v="112500"/>
    <n v="0"/>
    <n v="112500"/>
    <n v="15.714485263304931"/>
    <n v="10000"/>
    <n v="72"/>
    <x v="6884"/>
    <x v="8"/>
    <x v="4"/>
    <x v="1"/>
  </r>
  <r>
    <x v="645"/>
    <s v="ZTAN"/>
    <x v="10"/>
    <s v="KKPF51"/>
    <s v="95707734"/>
    <s v="QUILICURA"/>
    <x v="5496"/>
    <x v="8"/>
    <x v="0"/>
    <x v="8"/>
    <x v="1"/>
    <n v="1"/>
    <n v="70617"/>
    <n v="0"/>
    <n v="70617"/>
    <n v="9.5819795756785702"/>
    <n v="5000"/>
    <n v="100"/>
    <x v="6885"/>
    <x v="8"/>
    <x v="4"/>
    <x v="1"/>
  </r>
  <r>
    <x v="645"/>
    <s v="ZTAN"/>
    <x v="137"/>
    <s v="SU9354"/>
    <s v="72564391"/>
    <s v="LAS CONDES"/>
    <x v="5497"/>
    <x v="2"/>
    <x v="1"/>
    <x v="3"/>
    <x v="1"/>
    <n v="4"/>
    <n v="111042"/>
    <n v="0"/>
    <n v="111042"/>
    <n v="11.000029718565187"/>
    <n v="5000"/>
    <n v="100"/>
    <x v="6886"/>
    <x v="8"/>
    <x v="4"/>
    <x v="1"/>
  </r>
  <r>
    <x v="645"/>
    <s v="ZTAN"/>
    <x v="137"/>
    <s v="WD7700"/>
    <s v="73835526"/>
    <s v="LAS CONDES"/>
    <x v="35"/>
    <x v="0"/>
    <x v="0"/>
    <x v="3"/>
    <x v="1"/>
    <n v="4"/>
    <n v="86053"/>
    <n v="0"/>
    <n v="86053"/>
    <n v="10.999999999999998"/>
    <n v="5000"/>
    <n v="100"/>
    <x v="6887"/>
    <x v="8"/>
    <x v="4"/>
    <x v="1"/>
  </r>
  <r>
    <x v="645"/>
    <s v="ZTAN"/>
    <x v="7"/>
    <s v="RKYY83"/>
    <s v="69588204"/>
    <s v="CORONEL"/>
    <x v="5498"/>
    <x v="0"/>
    <x v="0"/>
    <x v="16"/>
    <x v="0"/>
    <n v="0"/>
    <n v="528000"/>
    <n v="0"/>
    <n v="528000"/>
    <n v="27.593992035370484"/>
    <n v="14000"/>
    <n v="100"/>
    <x v="6888"/>
    <x v="8"/>
    <x v="4"/>
    <x v="0"/>
  </r>
  <r>
    <x v="645"/>
    <s v="ZTAN"/>
    <x v="8"/>
    <s v="WD7700"/>
    <s v="73835526"/>
    <s v="SAN BERNARDO"/>
    <x v="5499"/>
    <x v="0"/>
    <x v="0"/>
    <x v="4"/>
    <x v="1"/>
    <n v="4"/>
    <n v="69173"/>
    <n v="0"/>
    <n v="69173"/>
    <n v="21.996483004900263"/>
    <n v="5000"/>
    <n v="63"/>
    <x v="6889"/>
    <x v="8"/>
    <x v="4"/>
    <x v="1"/>
  </r>
  <r>
    <x v="645"/>
    <s v="ZTAN"/>
    <x v="8"/>
    <s v="XR6339"/>
    <s v="78907355"/>
    <s v="ÑUÑOA"/>
    <x v="5500"/>
    <x v="1"/>
    <x v="1"/>
    <x v="15"/>
    <x v="1"/>
    <n v="4"/>
    <n v="69173"/>
    <n v="0"/>
    <n v="69173"/>
    <n v="24.472850006368255"/>
    <n v="5000"/>
    <n v="57"/>
    <x v="6890"/>
    <x v="8"/>
    <x v="4"/>
    <x v="1"/>
  </r>
  <r>
    <x v="646"/>
    <s v="ZPEP"/>
    <x v="5"/>
    <s v="WG4022"/>
    <s v="154837728"/>
    <s v="BUIN"/>
    <x v="5501"/>
    <x v="1"/>
    <x v="0"/>
    <x v="56"/>
    <x v="1"/>
    <n v="5"/>
    <n v="180000"/>
    <n v="0"/>
    <n v="180000"/>
    <n v="17.182409412905709"/>
    <n v="10000"/>
    <n v="100"/>
    <x v="6891"/>
    <x v="8"/>
    <x v="4"/>
    <x v="1"/>
  </r>
  <r>
    <x v="646"/>
    <s v="ZPEP"/>
    <x v="2"/>
    <s v="DJLF85"/>
    <s v="125108660"/>
    <s v="PADRE HURTADO"/>
    <x v="5502"/>
    <x v="4"/>
    <x v="1"/>
    <x v="26"/>
    <x v="1"/>
    <n v="5"/>
    <n v="112500"/>
    <n v="0"/>
    <n v="112500"/>
    <n v="11.360928101987808"/>
    <n v="10000"/>
    <n v="99"/>
    <x v="6892"/>
    <x v="8"/>
    <x v="4"/>
    <x v="1"/>
  </r>
  <r>
    <x v="646"/>
    <s v="ZTAN"/>
    <x v="6"/>
    <s v="WD7700"/>
    <s v="73835526"/>
    <s v="PUENTE ALTO"/>
    <x v="5503"/>
    <x v="0"/>
    <x v="0"/>
    <x v="30"/>
    <x v="1"/>
    <n v="4"/>
    <n v="69173"/>
    <n v="0"/>
    <n v="69173"/>
    <n v="21.738843494657448"/>
    <n v="5000"/>
    <n v="65"/>
    <x v="6893"/>
    <x v="8"/>
    <x v="4"/>
    <x v="1"/>
  </r>
  <r>
    <x v="646"/>
    <s v="ZTAN"/>
    <x v="7"/>
    <s v="XR6339"/>
    <s v="78907355"/>
    <s v="SAN MIGUEL"/>
    <x v="5504"/>
    <x v="1"/>
    <x v="1"/>
    <x v="23"/>
    <x v="1"/>
    <n v="2"/>
    <n v="102735"/>
    <n v="0"/>
    <n v="102735"/>
    <n v="11.000029980127458"/>
    <n v="5000"/>
    <n v="100"/>
    <x v="6894"/>
    <x v="8"/>
    <x v="4"/>
    <x v="1"/>
  </r>
  <r>
    <x v="646"/>
    <s v="ZTAN"/>
    <x v="8"/>
    <s v="HLBX77"/>
    <s v="16093509K"/>
    <s v="PUDAHUEL"/>
    <x v="5505"/>
    <x v="1"/>
    <x v="1"/>
    <x v="10"/>
    <x v="1"/>
    <n v="1"/>
    <n v="69173"/>
    <n v="0"/>
    <n v="69173"/>
    <n v="19.668294957605674"/>
    <n v="5000"/>
    <n v="70"/>
    <x v="6895"/>
    <x v="8"/>
    <x v="4"/>
    <x v="1"/>
  </r>
  <r>
    <x v="647"/>
    <s v="ZTAN"/>
    <x v="10"/>
    <s v="SU9354"/>
    <s v="72564391"/>
    <s v="TALCA"/>
    <x v="5506"/>
    <x v="2"/>
    <x v="1"/>
    <x v="12"/>
    <x v="3"/>
    <n v="0"/>
    <n v="327000"/>
    <n v="0"/>
    <n v="327000"/>
    <n v="54.908150586022764"/>
    <n v="14000"/>
    <n v="43"/>
    <x v="6896"/>
    <x v="8"/>
    <x v="4"/>
    <x v="0"/>
  </r>
  <r>
    <x v="647"/>
    <s v="ZTAN"/>
    <x v="137"/>
    <s v="HLBX77"/>
    <s v="16093509K"/>
    <s v="LAS CONDES"/>
    <x v="756"/>
    <x v="1"/>
    <x v="1"/>
    <x v="3"/>
    <x v="1"/>
    <n v="4"/>
    <n v="100947"/>
    <n v="0"/>
    <n v="100947"/>
    <n v="11"/>
    <n v="5000"/>
    <n v="100"/>
    <x v="6897"/>
    <x v="8"/>
    <x v="4"/>
    <x v="1"/>
  </r>
  <r>
    <x v="647"/>
    <s v="ZTAN"/>
    <x v="7"/>
    <s v="DJLF85"/>
    <s v="125108660"/>
    <s v="RENCA"/>
    <x v="5507"/>
    <x v="4"/>
    <x v="1"/>
    <x v="7"/>
    <x v="1"/>
    <n v="1"/>
    <n v="100724"/>
    <n v="0"/>
    <n v="100724"/>
    <n v="11.000032762894923"/>
    <n v="5000"/>
    <n v="100"/>
    <x v="6898"/>
    <x v="8"/>
    <x v="4"/>
    <x v="1"/>
  </r>
  <r>
    <x v="647"/>
    <s v="ZTAN"/>
    <x v="7"/>
    <s v="GYXS96"/>
    <s v="165132386"/>
    <s v="CORONEL"/>
    <x v="5508"/>
    <x v="0"/>
    <x v="0"/>
    <x v="16"/>
    <x v="0"/>
    <n v="0"/>
    <n v="528000"/>
    <n v="0"/>
    <n v="528000"/>
    <n v="28.34238894131515"/>
    <n v="14000"/>
    <n v="100"/>
    <x v="6899"/>
    <x v="8"/>
    <x v="4"/>
    <x v="0"/>
  </r>
  <r>
    <x v="647"/>
    <s v="ZTAN"/>
    <x v="7"/>
    <s v="RKYY85"/>
    <s v="123000153"/>
    <s v="CORONEL"/>
    <x v="5509"/>
    <x v="0"/>
    <x v="0"/>
    <x v="16"/>
    <x v="0"/>
    <n v="0"/>
    <n v="528000"/>
    <n v="0"/>
    <n v="528000"/>
    <n v="26.695681366818885"/>
    <n v="14000"/>
    <n v="100"/>
    <x v="6900"/>
    <x v="8"/>
    <x v="4"/>
    <x v="0"/>
  </r>
  <r>
    <x v="647"/>
    <s v="ZTAN"/>
    <x v="7"/>
    <s v="SU9354"/>
    <s v="72564391"/>
    <s v="RANCAGUA"/>
    <x v="5510"/>
    <x v="2"/>
    <x v="1"/>
    <x v="28"/>
    <x v="6"/>
    <n v="0"/>
    <n v="226400"/>
    <n v="0"/>
    <n v="226400"/>
    <n v="45.566155456265342"/>
    <n v="14000"/>
    <n v="35"/>
    <x v="6901"/>
    <x v="8"/>
    <x v="4"/>
    <x v="0"/>
  </r>
  <r>
    <x v="647"/>
    <s v="ZTAN"/>
    <x v="7"/>
    <s v="WG4022"/>
    <s v="154837728"/>
    <s v="RENCA"/>
    <x v="5511"/>
    <x v="1"/>
    <x v="0"/>
    <x v="7"/>
    <x v="1"/>
    <n v="1"/>
    <n v="259739"/>
    <n v="0"/>
    <n v="259739"/>
    <n v="10.99999830599204"/>
    <n v="5000"/>
    <n v="100"/>
    <x v="6902"/>
    <x v="8"/>
    <x v="4"/>
    <x v="1"/>
  </r>
  <r>
    <x v="647"/>
    <s v="ZTAN"/>
    <x v="8"/>
    <s v="UA7248"/>
    <s v="78907355"/>
    <s v="LAS CONDES"/>
    <x v="5512"/>
    <x v="1"/>
    <x v="1"/>
    <x v="3"/>
    <x v="1"/>
    <n v="4"/>
    <n v="69173"/>
    <n v="0"/>
    <n v="69173"/>
    <n v="21.546267801298264"/>
    <n v="5000"/>
    <n v="64"/>
    <x v="6903"/>
    <x v="8"/>
    <x v="4"/>
    <x v="1"/>
  </r>
  <r>
    <x v="648"/>
    <s v="ZPEP"/>
    <x v="5"/>
    <s v="DJLF85"/>
    <s v="53173192"/>
    <s v="BUIN"/>
    <x v="5513"/>
    <x v="4"/>
    <x v="1"/>
    <x v="56"/>
    <x v="1"/>
    <n v="5"/>
    <n v="112500"/>
    <n v="0"/>
    <n v="112500"/>
    <n v="25.508121785976655"/>
    <n v="10000"/>
    <n v="55"/>
    <x v="6904"/>
    <x v="8"/>
    <x v="4"/>
    <x v="1"/>
  </r>
  <r>
    <x v="648"/>
    <s v="ZPEP"/>
    <x v="120"/>
    <s v="XR6339"/>
    <s v="78907355"/>
    <s v="PEÑALOLEN"/>
    <x v="5514"/>
    <x v="1"/>
    <x v="1"/>
    <x v="34"/>
    <x v="1"/>
    <n v="4"/>
    <n v="69173"/>
    <n v="0"/>
    <n v="69173"/>
    <n v="49.25799330627359"/>
    <n v="5000"/>
    <n v="28"/>
    <x v="6905"/>
    <x v="8"/>
    <x v="4"/>
    <x v="1"/>
  </r>
  <r>
    <x v="648"/>
    <s v="ZTAN"/>
    <x v="10"/>
    <s v="KKPF51"/>
    <s v="95707734"/>
    <s v="QUILICURA"/>
    <x v="5515"/>
    <x v="8"/>
    <x v="0"/>
    <x v="8"/>
    <x v="1"/>
    <n v="1"/>
    <n v="110793"/>
    <n v="0"/>
    <n v="110793"/>
    <n v="11.000011914123002"/>
    <n v="5000"/>
    <n v="100"/>
    <x v="6906"/>
    <x v="8"/>
    <x v="4"/>
    <x v="1"/>
  </r>
  <r>
    <x v="648"/>
    <s v="ZTAN"/>
    <x v="10"/>
    <s v="WD7700"/>
    <s v="73835526"/>
    <s v="TALCA"/>
    <x v="5516"/>
    <x v="0"/>
    <x v="0"/>
    <x v="12"/>
    <x v="3"/>
    <n v="0"/>
    <n v="402000"/>
    <n v="0"/>
    <n v="402000"/>
    <n v="46.082949308755765"/>
    <n v="14000"/>
    <n v="90"/>
    <x v="6907"/>
    <x v="8"/>
    <x v="4"/>
    <x v="0"/>
  </r>
  <r>
    <x v="648"/>
    <s v="ZTAN"/>
    <x v="6"/>
    <s v="UA7248"/>
    <s v="99626232"/>
    <s v="CERRILLOS"/>
    <x v="471"/>
    <x v="1"/>
    <x v="1"/>
    <x v="9"/>
    <x v="1"/>
    <n v="2"/>
    <n v="69173"/>
    <n v="0"/>
    <n v="69173"/>
    <n v="30.727167732764752"/>
    <n v="5000"/>
    <n v="45"/>
    <x v="6908"/>
    <x v="8"/>
    <x v="4"/>
    <x v="1"/>
  </r>
  <r>
    <x v="648"/>
    <s v="ZTAN"/>
    <x v="16"/>
    <s v="RX2274"/>
    <s v="100822326"/>
    <s v="CONCEPCION"/>
    <x v="5517"/>
    <x v="0"/>
    <x v="0"/>
    <x v="81"/>
    <x v="0"/>
    <n v="0"/>
    <n v="478000"/>
    <n v="0"/>
    <n v="478000"/>
    <n v="49.468063087303889"/>
    <n v="14000"/>
    <n v="69"/>
    <x v="6909"/>
    <x v="8"/>
    <x v="4"/>
    <x v="0"/>
  </r>
  <r>
    <x v="648"/>
    <s v="ZTAN"/>
    <x v="7"/>
    <s v="LWYB23"/>
    <s v="19331337K"/>
    <s v="CORONEL"/>
    <x v="5518"/>
    <x v="0"/>
    <x v="0"/>
    <x v="16"/>
    <x v="0"/>
    <n v="0"/>
    <n v="528000"/>
    <n v="0"/>
    <n v="528000"/>
    <n v="87.00810757366024"/>
    <n v="14000"/>
    <n v="43"/>
    <x v="6910"/>
    <x v="8"/>
    <x v="4"/>
    <x v="0"/>
  </r>
  <r>
    <x v="648"/>
    <s v="ZTAN"/>
    <x v="7"/>
    <s v="PYCP23"/>
    <s v="121384531"/>
    <s v="CORONEL"/>
    <x v="5519"/>
    <x v="0"/>
    <x v="0"/>
    <x v="16"/>
    <x v="0"/>
    <n v="0"/>
    <n v="528000"/>
    <n v="0"/>
    <n v="528000"/>
    <n v="70.947716370379311"/>
    <n v="14000"/>
    <n v="53"/>
    <x v="6911"/>
    <x v="8"/>
    <x v="4"/>
    <x v="0"/>
  </r>
  <r>
    <x v="648"/>
    <s v="ZTAN"/>
    <x v="99"/>
    <s v="KKPF51"/>
    <s v="95707734"/>
    <s v="SANTIAGO"/>
    <x v="1457"/>
    <x v="8"/>
    <x v="0"/>
    <x v="20"/>
    <x v="1"/>
    <n v="1"/>
    <n v="114576"/>
    <n v="0"/>
    <n v="114576"/>
    <n v="11"/>
    <n v="5000"/>
    <n v="100"/>
    <x v="6912"/>
    <x v="8"/>
    <x v="4"/>
    <x v="1"/>
  </r>
  <r>
    <x v="648"/>
    <s v="ZTAN"/>
    <x v="8"/>
    <s v="HLBX77"/>
    <s v="16093509K"/>
    <s v="CALERA DE TANGO"/>
    <x v="1693"/>
    <x v="1"/>
    <x v="1"/>
    <x v="71"/>
    <x v="1"/>
    <n v="5"/>
    <n v="112500"/>
    <n v="0"/>
    <n v="112500"/>
    <n v="24.582641377501965"/>
    <n v="10000"/>
    <n v="46"/>
    <x v="6913"/>
    <x v="8"/>
    <x v="4"/>
    <x v="1"/>
  </r>
  <r>
    <x v="648"/>
    <s v="ZTAN"/>
    <x v="8"/>
    <s v="RX2274"/>
    <s v="100822326"/>
    <s v="CHILLAN"/>
    <x v="5520"/>
    <x v="0"/>
    <x v="0"/>
    <x v="21"/>
    <x v="5"/>
    <n v="0"/>
    <n v="500000"/>
    <n v="0"/>
    <n v="500000"/>
    <n v="98.554015484806925"/>
    <n v="14000"/>
    <n v="36"/>
    <x v="6914"/>
    <x v="8"/>
    <x v="4"/>
    <x v="0"/>
  </r>
  <r>
    <x v="648"/>
    <s v="ZTAN"/>
    <x v="8"/>
    <s v="UA7248"/>
    <s v="99626232"/>
    <s v="CERRILLOS"/>
    <x v="5521"/>
    <x v="1"/>
    <x v="1"/>
    <x v="9"/>
    <x v="1"/>
    <n v="2"/>
    <n v="69173"/>
    <n v="0"/>
    <n v="69173"/>
    <n v="20.566330004370567"/>
    <n v="5000"/>
    <n v="67"/>
    <x v="6915"/>
    <x v="8"/>
    <x v="4"/>
    <x v="1"/>
  </r>
  <r>
    <x v="649"/>
    <s v="ZPEP"/>
    <x v="5"/>
    <s v="XR6339"/>
    <n v="78907355"/>
    <s v="SAN BERNARDO"/>
    <x v="5522"/>
    <x v="1"/>
    <x v="1"/>
    <x v="4"/>
    <x v="1"/>
    <n v="4"/>
    <n v="56398"/>
    <n v="0"/>
    <n v="56398"/>
    <n v="11.000001950424119"/>
    <n v="5000"/>
    <n v="100"/>
    <x v="6916"/>
    <x v="8"/>
    <x v="4"/>
    <x v="1"/>
  </r>
  <r>
    <x v="649"/>
    <s v="ZPEP"/>
    <x v="11"/>
    <s v="DKDL88"/>
    <n v="122975819"/>
    <s v="CURICO"/>
    <x v="5523"/>
    <x v="0"/>
    <x v="0"/>
    <x v="73"/>
    <x v="3"/>
    <n v="0"/>
    <n v="352000"/>
    <n v="0"/>
    <n v="352000"/>
    <n v="14.84859912747608"/>
    <n v="14000"/>
    <n v="100"/>
    <x v="6917"/>
    <x v="8"/>
    <x v="4"/>
    <x v="0"/>
  </r>
  <r>
    <x v="649"/>
    <s v="ZPEP"/>
    <x v="137"/>
    <s v="WC2233"/>
    <n v="125108660"/>
    <s v="LAS CONDES"/>
    <x v="5524"/>
    <x v="4"/>
    <x v="1"/>
    <x v="3"/>
    <x v="1"/>
    <n v="4"/>
    <n v="60797"/>
    <n v="0"/>
    <n v="60797"/>
    <n v="11"/>
    <n v="5000"/>
    <n v="100"/>
    <x v="6918"/>
    <x v="8"/>
    <x v="4"/>
    <x v="1"/>
  </r>
  <r>
    <x v="649"/>
    <s v="ZTAN"/>
    <x v="10"/>
    <s v="WG4022"/>
    <n v="154837728"/>
    <s v="SANTIAGO"/>
    <x v="5525"/>
    <x v="1"/>
    <x v="0"/>
    <x v="20"/>
    <x v="1"/>
    <n v="1"/>
    <n v="160612"/>
    <n v="0"/>
    <n v="160612"/>
    <n v="10.999993151200945"/>
    <n v="5000"/>
    <n v="100"/>
    <x v="6919"/>
    <x v="8"/>
    <x v="4"/>
    <x v="1"/>
  </r>
  <r>
    <x v="649"/>
    <s v="ZTAN"/>
    <x v="6"/>
    <s v="RH1133"/>
    <n v="138841065"/>
    <s v="ALGARROBO"/>
    <x v="2618"/>
    <x v="0"/>
    <x v="0"/>
    <x v="116"/>
    <x v="2"/>
    <n v="0"/>
    <n v="315000"/>
    <n v="0"/>
    <n v="315000"/>
    <n v="23.32089552238806"/>
    <n v="14000"/>
    <n v="96"/>
    <x v="6920"/>
    <x v="8"/>
    <x v="4"/>
    <x v="0"/>
  </r>
  <r>
    <x v="649"/>
    <s v="ZTAN"/>
    <x v="66"/>
    <s v="KKPF51"/>
    <n v="95707734"/>
    <s v="SANTIAGO"/>
    <x v="104"/>
    <x v="8"/>
    <x v="0"/>
    <x v="20"/>
    <x v="1"/>
    <n v="1"/>
    <n v="214614"/>
    <n v="0"/>
    <n v="214614"/>
    <n v="10.999979498113825"/>
    <n v="5000"/>
    <n v="100"/>
    <x v="6921"/>
    <x v="8"/>
    <x v="4"/>
    <x v="1"/>
  </r>
  <r>
    <x v="649"/>
    <s v="ZTAN"/>
    <x v="66"/>
    <s v="UA7248"/>
    <n v="99626232"/>
    <s v="SANTIAGO"/>
    <x v="5526"/>
    <x v="1"/>
    <x v="1"/>
    <x v="20"/>
    <x v="1"/>
    <n v="1"/>
    <n v="69173"/>
    <n v="0"/>
    <n v="69173"/>
    <n v="14.99588102670829"/>
    <n v="5000"/>
    <n v="92"/>
    <x v="6922"/>
    <x v="8"/>
    <x v="4"/>
    <x v="1"/>
  </r>
  <r>
    <x v="649"/>
    <s v="ZTAN"/>
    <x v="16"/>
    <s v="DJLF85"/>
    <n v="53173292"/>
    <s v="SAN BERNARDO"/>
    <x v="1000"/>
    <x v="4"/>
    <x v="1"/>
    <x v="4"/>
    <x v="1"/>
    <n v="4"/>
    <n v="74290"/>
    <n v="0"/>
    <n v="74290"/>
    <n v="11.000059227671169"/>
    <n v="5000"/>
    <n v="100"/>
    <x v="6923"/>
    <x v="8"/>
    <x v="4"/>
    <x v="1"/>
  </r>
  <r>
    <x v="649"/>
    <s v="ZTAN"/>
    <x v="137"/>
    <s v="WC2233"/>
    <n v="125108660"/>
    <s v="LAS CONDES"/>
    <x v="5527"/>
    <x v="4"/>
    <x v="1"/>
    <x v="3"/>
    <x v="1"/>
    <n v="4"/>
    <n v="162629"/>
    <n v="0"/>
    <n v="162629"/>
    <n v="10.999966180797463"/>
    <n v="5000"/>
    <n v="100"/>
    <x v="6924"/>
    <x v="8"/>
    <x v="4"/>
    <x v="1"/>
  </r>
  <r>
    <x v="649"/>
    <s v="ZTAN"/>
    <x v="7"/>
    <s v="HDDV12"/>
    <n v="200217330"/>
    <s v="CORONEL"/>
    <x v="623"/>
    <x v="5"/>
    <x v="0"/>
    <x v="16"/>
    <x v="0"/>
    <n v="0"/>
    <n v="528000"/>
    <n v="0"/>
    <n v="528000"/>
    <n v="59.499661933738963"/>
    <n v="14000"/>
    <n v="63"/>
    <x v="6925"/>
    <x v="8"/>
    <x v="4"/>
    <x v="0"/>
  </r>
  <r>
    <x v="649"/>
    <s v="ZTAN"/>
    <x v="7"/>
    <s v="UA7248"/>
    <n v="99626232"/>
    <s v="MELIPILLA"/>
    <x v="5528"/>
    <x v="1"/>
    <x v="1"/>
    <x v="29"/>
    <x v="1"/>
    <n v="5"/>
    <n v="112500"/>
    <n v="0"/>
    <n v="112500"/>
    <n v="27.069102003594768"/>
    <n v="10000"/>
    <n v="42"/>
    <x v="6926"/>
    <x v="8"/>
    <x v="4"/>
    <x v="1"/>
  </r>
  <r>
    <x v="649"/>
    <s v="ZTAN"/>
    <x v="7"/>
    <s v="WD7700"/>
    <n v="73835526"/>
    <s v="SAN MIGUEL"/>
    <x v="5529"/>
    <x v="0"/>
    <x v="0"/>
    <x v="23"/>
    <x v="1"/>
    <n v="2"/>
    <n v="63102"/>
    <n v="0"/>
    <n v="63102"/>
    <n v="11.000048810079976"/>
    <n v="5000"/>
    <n v="100"/>
    <x v="6927"/>
    <x v="8"/>
    <x v="4"/>
    <x v="1"/>
  </r>
  <r>
    <x v="649"/>
    <s v="ZTAN"/>
    <x v="7"/>
    <s v="WG4022"/>
    <n v="154837728"/>
    <s v="RENCA"/>
    <x v="5530"/>
    <x v="1"/>
    <x v="0"/>
    <x v="7"/>
    <x v="1"/>
    <n v="1"/>
    <n v="206831"/>
    <n v="0"/>
    <n v="206831"/>
    <n v="11.000016486914973"/>
    <n v="5000"/>
    <n v="100"/>
    <x v="6928"/>
    <x v="8"/>
    <x v="4"/>
    <x v="1"/>
  </r>
  <r>
    <x v="649"/>
    <s v="ZTAN"/>
    <x v="8"/>
    <s v="XR6339"/>
    <n v="78907355"/>
    <s v="PUDAHUEL"/>
    <x v="5531"/>
    <x v="1"/>
    <x v="1"/>
    <x v="10"/>
    <x v="1"/>
    <n v="1"/>
    <n v="69173"/>
    <n v="0"/>
    <n v="69173"/>
    <n v="25.763715594621772"/>
    <n v="5000"/>
    <n v="54"/>
    <x v="6929"/>
    <x v="8"/>
    <x v="4"/>
    <x v="1"/>
  </r>
  <r>
    <x v="649"/>
    <s v="ZTAN"/>
    <x v="45"/>
    <s v="XR6339"/>
    <n v="78907355"/>
    <s v="VITACURA"/>
    <x v="836"/>
    <x v="1"/>
    <x v="1"/>
    <x v="27"/>
    <x v="1"/>
    <n v="4"/>
    <n v="100650"/>
    <n v="0"/>
    <n v="100650"/>
    <n v="11"/>
    <n v="5000"/>
    <n v="100"/>
    <x v="6930"/>
    <x v="8"/>
    <x v="4"/>
    <x v="1"/>
  </r>
  <r>
    <x v="650"/>
    <s v="ZPEP"/>
    <x v="5"/>
    <s v="XR6339"/>
    <n v="78907355"/>
    <s v="SAN BERNARDO"/>
    <x v="5532"/>
    <x v="1"/>
    <x v="1"/>
    <x v="4"/>
    <x v="1"/>
    <n v="4"/>
    <n v="69173"/>
    <n v="0"/>
    <n v="69173"/>
    <n v="25.918265646017627"/>
    <n v="5000"/>
    <n v="53"/>
    <x v="6931"/>
    <x v="8"/>
    <x v="4"/>
    <x v="1"/>
  </r>
  <r>
    <x v="650"/>
    <s v="ZPEP"/>
    <x v="2"/>
    <s v="DKDL88"/>
    <n v="122975819"/>
    <s v="TALCA"/>
    <x v="5533"/>
    <x v="0"/>
    <x v="0"/>
    <x v="12"/>
    <x v="3"/>
    <n v="0"/>
    <n v="402000"/>
    <n v="0"/>
    <n v="402000"/>
    <n v="19.524192514366309"/>
    <n v="14000"/>
    <n v="100"/>
    <x v="6932"/>
    <x v="8"/>
    <x v="4"/>
    <x v="0"/>
  </r>
  <r>
    <x v="650"/>
    <s v="ZTAN"/>
    <x v="4"/>
    <s v="DJLF85"/>
    <n v="12510860"/>
    <s v="SAN BERNARDO"/>
    <x v="5416"/>
    <x v="4"/>
    <x v="1"/>
    <x v="4"/>
    <x v="1"/>
    <n v="4"/>
    <n v="155870"/>
    <n v="0"/>
    <n v="155870"/>
    <n v="10.999999999999993"/>
    <n v="5000"/>
    <n v="100"/>
    <x v="6933"/>
    <x v="8"/>
    <x v="4"/>
    <x v="1"/>
  </r>
  <r>
    <x v="650"/>
    <s v="ZTAN"/>
    <x v="4"/>
    <s v="WC2233"/>
    <n v="125108660"/>
    <s v="LAMPA"/>
    <x v="5534"/>
    <x v="4"/>
    <x v="1"/>
    <x v="17"/>
    <x v="1"/>
    <n v="5"/>
    <n v="112500"/>
    <n v="0"/>
    <n v="112500"/>
    <n v="10.437929114863611"/>
    <n v="10000"/>
    <n v="100"/>
    <x v="6934"/>
    <x v="8"/>
    <x v="4"/>
    <x v="1"/>
  </r>
  <r>
    <x v="650"/>
    <s v="ZTAN"/>
    <x v="5"/>
    <s v="XR6339"/>
    <n v="78907355"/>
    <s v="LAS CONDES"/>
    <x v="5535"/>
    <x v="1"/>
    <x v="1"/>
    <x v="3"/>
    <x v="1"/>
    <n v="4"/>
    <n v="69173"/>
    <n v="0"/>
    <n v="69173"/>
    <n v="31.616595135908444"/>
    <n v="5000"/>
    <n v="44"/>
    <x v="6935"/>
    <x v="8"/>
    <x v="4"/>
    <x v="1"/>
  </r>
  <r>
    <x v="650"/>
    <s v="ZTAN"/>
    <x v="16"/>
    <s v="KKPF81"/>
    <n v="95707734"/>
    <s v="SAN BERNARDO"/>
    <x v="5536"/>
    <x v="0"/>
    <x v="0"/>
    <x v="4"/>
    <x v="1"/>
    <n v="4"/>
    <n v="179001"/>
    <n v="0"/>
    <n v="179001"/>
    <n v="11.000012290447865"/>
    <n v="5000"/>
    <n v="100"/>
    <x v="6936"/>
    <x v="8"/>
    <x v="4"/>
    <x v="1"/>
  </r>
  <r>
    <x v="650"/>
    <s v="ZTAN"/>
    <x v="16"/>
    <s v="RKYY82"/>
    <n v="101495566"/>
    <s v="LOS ANGELES"/>
    <x v="397"/>
    <x v="0"/>
    <x v="0"/>
    <x v="57"/>
    <x v="0"/>
    <n v="0"/>
    <n v="528000"/>
    <n v="0"/>
    <n v="528000"/>
    <n v="28.14498933901919"/>
    <n v="14000"/>
    <n v="100"/>
    <x v="6937"/>
    <x v="8"/>
    <x v="4"/>
    <x v="0"/>
  </r>
  <r>
    <x v="650"/>
    <s v="ZTAN"/>
    <x v="16"/>
    <s v="WC2233"/>
    <n v="125108660"/>
    <s v="SAN BERNARDO"/>
    <x v="5537"/>
    <x v="4"/>
    <x v="1"/>
    <x v="4"/>
    <x v="1"/>
    <n v="4"/>
    <n v="61908"/>
    <n v="0"/>
    <n v="61908"/>
    <n v="11"/>
    <n v="5000"/>
    <n v="100"/>
    <x v="6938"/>
    <x v="8"/>
    <x v="4"/>
    <x v="1"/>
  </r>
  <r>
    <x v="650"/>
    <s v="ZTAN"/>
    <x v="7"/>
    <s v="DJLF85"/>
    <n v="53173292"/>
    <s v="RENCA"/>
    <x v="5538"/>
    <x v="4"/>
    <x v="1"/>
    <x v="7"/>
    <x v="1"/>
    <n v="1"/>
    <n v="96386"/>
    <n v="0"/>
    <n v="96386"/>
    <n v="10.999954350406282"/>
    <n v="5000"/>
    <n v="100"/>
    <x v="6939"/>
    <x v="8"/>
    <x v="4"/>
    <x v="1"/>
  </r>
  <r>
    <x v="650"/>
    <s v="ZTAN"/>
    <x v="7"/>
    <s v="WG4022"/>
    <n v="154837728"/>
    <s v="RENCA"/>
    <x v="5539"/>
    <x v="1"/>
    <x v="0"/>
    <x v="7"/>
    <x v="1"/>
    <n v="1"/>
    <n v="153224"/>
    <n v="0"/>
    <n v="153224"/>
    <n v="10.999964104957105"/>
    <n v="5000"/>
    <n v="100"/>
    <x v="6940"/>
    <x v="8"/>
    <x v="4"/>
    <x v="1"/>
  </r>
  <r>
    <x v="650"/>
    <s v="ZTAN"/>
    <x v="8"/>
    <s v="UA7248"/>
    <n v="99626232"/>
    <s v="HUECHURABA"/>
    <x v="5540"/>
    <x v="1"/>
    <x v="1"/>
    <x v="24"/>
    <x v="1"/>
    <n v="1"/>
    <n v="69173"/>
    <n v="0"/>
    <n v="69173"/>
    <n v="27.608461384953102"/>
    <n v="5000"/>
    <n v="50"/>
    <x v="6941"/>
    <x v="8"/>
    <x v="4"/>
    <x v="1"/>
  </r>
  <r>
    <x v="650"/>
    <s v="ZTAN"/>
    <x v="8"/>
    <s v="WD7700"/>
    <n v="73835526"/>
    <s v="MAIPU"/>
    <x v="5541"/>
    <x v="0"/>
    <x v="0"/>
    <x v="2"/>
    <x v="1"/>
    <n v="2"/>
    <n v="69173"/>
    <n v="0"/>
    <n v="69173"/>
    <n v="26.733113304528626"/>
    <n v="5000"/>
    <n v="52"/>
    <x v="6942"/>
    <x v="8"/>
    <x v="4"/>
    <x v="1"/>
  </r>
  <r>
    <x v="650"/>
    <s v="ZTAN"/>
    <x v="8"/>
    <s v="XR6339"/>
    <n v="78907355"/>
    <s v="LAS CONDES"/>
    <x v="1468"/>
    <x v="1"/>
    <x v="1"/>
    <x v="3"/>
    <x v="1"/>
    <n v="4"/>
    <n v="69173"/>
    <n v="0"/>
    <n v="69173"/>
    <n v="20.340214067278286"/>
    <n v="5000"/>
    <n v="68"/>
    <x v="6943"/>
    <x v="8"/>
    <x v="4"/>
    <x v="1"/>
  </r>
  <r>
    <x v="651"/>
    <s v="ZPEP"/>
    <x v="5"/>
    <s v="XR6339"/>
    <n v="78907355"/>
    <s v="BUIN"/>
    <x v="5542"/>
    <x v="1"/>
    <x v="1"/>
    <x v="56"/>
    <x v="1"/>
    <n v="5"/>
    <n v="112500"/>
    <n v="0"/>
    <n v="112500"/>
    <n v="14.857859807838347"/>
    <n v="10000"/>
    <n v="75"/>
    <x v="6944"/>
    <x v="10"/>
    <x v="4"/>
    <x v="1"/>
  </r>
  <r>
    <x v="651"/>
    <s v="ZPEP"/>
    <x v="2"/>
    <s v="DJLF85"/>
    <n v="53173292"/>
    <s v="PADRE HURTADO"/>
    <x v="5543"/>
    <x v="4"/>
    <x v="1"/>
    <x v="26"/>
    <x v="1"/>
    <n v="5"/>
    <n v="112500"/>
    <n v="0"/>
    <n v="112500"/>
    <n v="8.9090140216002016"/>
    <n v="10000"/>
    <n v="100"/>
    <x v="6945"/>
    <x v="10"/>
    <x v="4"/>
    <x v="1"/>
  </r>
  <r>
    <x v="651"/>
    <s v="ZPEP"/>
    <x v="7"/>
    <s v="PBFH81"/>
    <n v="129210451"/>
    <s v="CONCEPCION"/>
    <x v="5544"/>
    <x v="0"/>
    <x v="0"/>
    <x v="81"/>
    <x v="0"/>
    <n v="0"/>
    <n v="478000"/>
    <n v="0"/>
    <n v="478000"/>
    <n v="33.935655724902496"/>
    <n v="14000"/>
    <n v="100"/>
    <x v="6946"/>
    <x v="10"/>
    <x v="4"/>
    <x v="0"/>
  </r>
  <r>
    <x v="651"/>
    <s v="ZTAN"/>
    <x v="140"/>
    <s v="DJLF85"/>
    <n v="53173292"/>
    <s v="SANTIAGO"/>
    <x v="769"/>
    <x v="4"/>
    <x v="1"/>
    <x v="20"/>
    <x v="1"/>
    <n v="1"/>
    <n v="67100"/>
    <n v="0"/>
    <n v="67100"/>
    <n v="11"/>
    <n v="5000"/>
    <n v="100"/>
    <x v="6947"/>
    <x v="10"/>
    <x v="4"/>
    <x v="1"/>
  </r>
  <r>
    <x v="651"/>
    <s v="ZTAN"/>
    <x v="8"/>
    <s v="UA7248"/>
    <n v="99626232"/>
    <s v="LAS CONDES"/>
    <x v="5545"/>
    <x v="1"/>
    <x v="1"/>
    <x v="3"/>
    <x v="1"/>
    <n v="4"/>
    <n v="69173"/>
    <n v="0"/>
    <n v="69173"/>
    <n v="27.6692"/>
    <n v="5000"/>
    <n v="50"/>
    <x v="6948"/>
    <x v="10"/>
    <x v="4"/>
    <x v="1"/>
  </r>
  <r>
    <x v="651"/>
    <s v="ZTAN"/>
    <x v="8"/>
    <s v="XR6339"/>
    <n v="78907355"/>
    <s v="LA REINA"/>
    <x v="5546"/>
    <x v="1"/>
    <x v="1"/>
    <x v="11"/>
    <x v="1"/>
    <n v="3"/>
    <n v="69173"/>
    <n v="0"/>
    <n v="69173"/>
    <n v="27.542285150028668"/>
    <n v="5000"/>
    <n v="50"/>
    <x v="6949"/>
    <x v="10"/>
    <x v="4"/>
    <x v="1"/>
  </r>
  <r>
    <x v="652"/>
    <s v="ZPEP"/>
    <x v="5"/>
    <s v="WD7700"/>
    <s v="73835526"/>
    <s v="SAN BERNARDO"/>
    <x v="5547"/>
    <x v="0"/>
    <x v="0"/>
    <x v="4"/>
    <x v="1"/>
    <n v="4"/>
    <n v="69173"/>
    <n v="0"/>
    <n v="69173"/>
    <n v="28.721319371206018"/>
    <n v="5000"/>
    <n v="48"/>
    <x v="6950"/>
    <x v="10"/>
    <x v="4"/>
    <x v="1"/>
  </r>
  <r>
    <x v="652"/>
    <s v="ZPEP"/>
    <x v="2"/>
    <s v="WC2233"/>
    <s v="125108660"/>
    <s v="PADRE HURTADO"/>
    <x v="5548"/>
    <x v="4"/>
    <x v="1"/>
    <x v="26"/>
    <x v="1"/>
    <n v="5"/>
    <n v="112500"/>
    <n v="0"/>
    <n v="112500"/>
    <n v="7.5375268335955274"/>
    <n v="10000"/>
    <n v="100"/>
    <x v="6951"/>
    <x v="10"/>
    <x v="4"/>
    <x v="1"/>
  </r>
  <r>
    <x v="652"/>
    <s v="ZPEP"/>
    <x v="120"/>
    <s v="PBFT95"/>
    <s v="17510674K"/>
    <s v="TALCAHUANO"/>
    <x v="5549"/>
    <x v="0"/>
    <x v="0"/>
    <x v="0"/>
    <x v="0"/>
    <n v="0"/>
    <n v="506000"/>
    <n v="0"/>
    <n v="506000"/>
    <n v="30.677208471032184"/>
    <n v="14000"/>
    <n v="100"/>
    <x v="6952"/>
    <x v="10"/>
    <x v="4"/>
    <x v="0"/>
  </r>
  <r>
    <x v="652"/>
    <s v="ZPEP"/>
    <x v="138"/>
    <s v="DJLF85"/>
    <s v="53173292"/>
    <s v="SANTIAGO"/>
    <x v="5550"/>
    <x v="4"/>
    <x v="1"/>
    <x v="20"/>
    <x v="1"/>
    <n v="1"/>
    <n v="75571"/>
    <n v="0"/>
    <n v="75571"/>
    <n v="11.000017467045506"/>
    <n v="5000"/>
    <n v="100"/>
    <x v="6953"/>
    <x v="10"/>
    <x v="4"/>
    <x v="1"/>
  </r>
  <r>
    <x v="652"/>
    <s v="ZTAN"/>
    <x v="141"/>
    <s v="XR6339"/>
    <s v="78907355"/>
    <s v="PROVIDENCIA"/>
    <x v="205"/>
    <x v="1"/>
    <x v="1"/>
    <x v="54"/>
    <x v="1"/>
    <n v="2"/>
    <n v="121475"/>
    <n v="0"/>
    <n v="121475"/>
    <n v="10.999981889307447"/>
    <n v="5000"/>
    <n v="100"/>
    <x v="6954"/>
    <x v="10"/>
    <x v="4"/>
    <x v="1"/>
  </r>
  <r>
    <x v="652"/>
    <s v="ZTAN"/>
    <x v="5"/>
    <s v="WD7700"/>
    <s v="73835526"/>
    <s v="LAS CONDES"/>
    <x v="5444"/>
    <x v="0"/>
    <x v="0"/>
    <x v="3"/>
    <x v="1"/>
    <n v="4"/>
    <n v="69173"/>
    <n v="0"/>
    <n v="69173"/>
    <n v="23.243615591397848"/>
    <n v="5000"/>
    <n v="60"/>
    <x v="6955"/>
    <x v="10"/>
    <x v="4"/>
    <x v="1"/>
  </r>
  <r>
    <x v="652"/>
    <s v="ZTAN"/>
    <x v="10"/>
    <s v="XR6339"/>
    <s v="78907355"/>
    <s v="QUILICURA"/>
    <x v="5551"/>
    <x v="1"/>
    <x v="1"/>
    <x v="8"/>
    <x v="1"/>
    <n v="1"/>
    <n v="69173"/>
    <n v="0"/>
    <n v="69173"/>
    <n v="17.684429582361844"/>
    <n v="5000"/>
    <n v="78"/>
    <x v="6956"/>
    <x v="10"/>
    <x v="4"/>
    <x v="1"/>
  </r>
  <r>
    <x v="652"/>
    <s v="ZTAN"/>
    <x v="105"/>
    <s v="KKPF51"/>
    <s v="95707734"/>
    <s v="VALPARAISO"/>
    <x v="5552"/>
    <x v="8"/>
    <x v="0"/>
    <x v="36"/>
    <x v="2"/>
    <n v="0"/>
    <n v="289000"/>
    <n v="0"/>
    <n v="289000"/>
    <n v="39.699656302629535"/>
    <n v="14000"/>
    <n v="52"/>
    <x v="6957"/>
    <x v="10"/>
    <x v="4"/>
    <x v="0"/>
  </r>
  <r>
    <x v="652"/>
    <s v="ZTAN"/>
    <x v="16"/>
    <s v="FYTP84"/>
    <s v="172861164"/>
    <s v="LOS ANGELES"/>
    <x v="5553"/>
    <x v="0"/>
    <x v="0"/>
    <x v="57"/>
    <x v="0"/>
    <n v="0"/>
    <n v="528000"/>
    <n v="0"/>
    <n v="528000"/>
    <n v="70.186632636784154"/>
    <n v="14000"/>
    <n v="54"/>
    <x v="6958"/>
    <x v="10"/>
    <x v="4"/>
    <x v="0"/>
  </r>
  <r>
    <x v="652"/>
    <s v="ZTAN"/>
    <x v="16"/>
    <s v="WG4022"/>
    <s v="81417709"/>
    <s v="SAN BERNARDO"/>
    <x v="5554"/>
    <x v="1"/>
    <x v="0"/>
    <x v="4"/>
    <x v="1"/>
    <n v="4"/>
    <n v="144716"/>
    <n v="0"/>
    <n v="144716"/>
    <n v="11.000000000000007"/>
    <n v="5000"/>
    <n v="100"/>
    <x v="6959"/>
    <x v="10"/>
    <x v="4"/>
    <x v="1"/>
  </r>
  <r>
    <x v="652"/>
    <s v="ZTAN"/>
    <x v="70"/>
    <s v="YB5040"/>
    <s v="119629756"/>
    <s v="VILLARRICA"/>
    <x v="414"/>
    <x v="0"/>
    <x v="0"/>
    <x v="88"/>
    <x v="4"/>
    <n v="0"/>
    <n v="1000000"/>
    <n v="0"/>
    <n v="1000000"/>
    <n v="102.50943086763985"/>
    <n v="14000"/>
    <n v="70"/>
    <x v="6960"/>
    <x v="10"/>
    <x v="4"/>
    <x v="0"/>
  </r>
  <r>
    <x v="652"/>
    <s v="ZTAN"/>
    <x v="8"/>
    <s v="DRFV76"/>
    <s v="113693568"/>
    <s v="CORONEL"/>
    <x v="5555"/>
    <x v="0"/>
    <x v="0"/>
    <x v="16"/>
    <x v="0"/>
    <n v="0"/>
    <n v="528000"/>
    <n v="0"/>
    <n v="528000"/>
    <n v="77.757749266603057"/>
    <n v="14000"/>
    <n v="55"/>
    <x v="6961"/>
    <x v="10"/>
    <x v="4"/>
    <x v="0"/>
  </r>
  <r>
    <x v="652"/>
    <s v="ZTAN"/>
    <x v="8"/>
    <s v="FYTP84"/>
    <s v="172861164"/>
    <s v="RENCA"/>
    <x v="252"/>
    <x v="0"/>
    <x v="0"/>
    <x v="7"/>
    <x v="1"/>
    <n v="1"/>
    <n v="69173"/>
    <n v="0"/>
    <n v="69173"/>
    <n v="18.43630063965885"/>
    <n v="5000"/>
    <n v="75"/>
    <x v="6962"/>
    <x v="10"/>
    <x v="4"/>
    <x v="1"/>
  </r>
  <r>
    <x v="652"/>
    <s v="ZTAN"/>
    <x v="8"/>
    <s v="UA7248"/>
    <s v="99626232"/>
    <s v="SAN MIGUEL"/>
    <x v="5556"/>
    <x v="1"/>
    <x v="1"/>
    <x v="23"/>
    <x v="1"/>
    <n v="2"/>
    <n v="69173"/>
    <n v="0"/>
    <n v="69173"/>
    <n v="24.238909524143246"/>
    <n v="5000"/>
    <n v="57"/>
    <x v="6963"/>
    <x v="10"/>
    <x v="4"/>
    <x v="1"/>
  </r>
  <r>
    <x v="652"/>
    <s v="ZTAN"/>
    <x v="8"/>
    <s v="WD7700"/>
    <s v="73835526"/>
    <s v="PUENTE ALTO"/>
    <x v="5557"/>
    <x v="0"/>
    <x v="0"/>
    <x v="30"/>
    <x v="1"/>
    <n v="4"/>
    <n v="69173"/>
    <n v="0"/>
    <n v="69173"/>
    <n v="24.816316280404678"/>
    <n v="5000"/>
    <n v="56"/>
    <x v="6964"/>
    <x v="10"/>
    <x v="4"/>
    <x v="1"/>
  </r>
  <r>
    <x v="652"/>
    <s v="ZTAN"/>
    <x v="45"/>
    <s v="UA7248"/>
    <s v="107643206"/>
    <s v="VITACURA"/>
    <x v="5558"/>
    <x v="1"/>
    <x v="1"/>
    <x v="27"/>
    <x v="1"/>
    <n v="4"/>
    <n v="69173"/>
    <n v="0"/>
    <n v="69173"/>
    <n v="20.937912413884955"/>
    <n v="5000"/>
    <n v="66"/>
    <x v="6965"/>
    <x v="10"/>
    <x v="4"/>
    <x v="1"/>
  </r>
  <r>
    <x v="652"/>
    <s v="ZTAN"/>
    <x v="53"/>
    <s v="DJLF85"/>
    <s v="125108660"/>
    <s v="LAS CONDES"/>
    <x v="5559"/>
    <x v="4"/>
    <x v="1"/>
    <x v="3"/>
    <x v="1"/>
    <n v="4"/>
    <n v="69173"/>
    <n v="0"/>
    <n v="69173"/>
    <n v="26.824964710627132"/>
    <n v="5000"/>
    <n v="52"/>
    <x v="6966"/>
    <x v="10"/>
    <x v="4"/>
    <x v="1"/>
  </r>
  <r>
    <x v="653"/>
    <s v="ZPEP"/>
    <x v="142"/>
    <s v="WC2233"/>
    <n v="125108660"/>
    <s v="LAS CONDES"/>
    <x v="5560"/>
    <x v="4"/>
    <x v="1"/>
    <x v="3"/>
    <x v="1"/>
    <n v="4"/>
    <n v="69173"/>
    <n v="0"/>
    <n v="69173"/>
    <n v="66.817676889640182"/>
    <n v="5000"/>
    <n v="21"/>
    <x v="6967"/>
    <x v="10"/>
    <x v="4"/>
    <x v="1"/>
  </r>
  <r>
    <x v="653"/>
    <s v="ZPEP"/>
    <x v="138"/>
    <s v="XR6339"/>
    <n v="78907355"/>
    <s v="SANTIAGO"/>
    <x v="5561"/>
    <x v="1"/>
    <x v="1"/>
    <x v="20"/>
    <x v="1"/>
    <n v="1"/>
    <n v="69173"/>
    <n v="0"/>
    <n v="69173"/>
    <n v="18.285803409042845"/>
    <n v="5000"/>
    <n v="76"/>
    <x v="6968"/>
    <x v="10"/>
    <x v="4"/>
    <x v="1"/>
  </r>
  <r>
    <x v="653"/>
    <s v="ZTAN"/>
    <x v="143"/>
    <s v="DJLF85"/>
    <n v="53173292"/>
    <s v="PAINE"/>
    <x v="5562"/>
    <x v="4"/>
    <x v="1"/>
    <x v="13"/>
    <x v="1"/>
    <n v="5"/>
    <n v="112500"/>
    <n v="0"/>
    <n v="112500"/>
    <n v="32.029381619405527"/>
    <n v="10000"/>
    <n v="35"/>
    <x v="6969"/>
    <x v="10"/>
    <x v="4"/>
    <x v="1"/>
  </r>
  <r>
    <x v="653"/>
    <s v="ZTAN"/>
    <x v="46"/>
    <s v="WD7700"/>
    <n v="73835526"/>
    <s v="PUENTE ALTO"/>
    <x v="5563"/>
    <x v="0"/>
    <x v="0"/>
    <x v="30"/>
    <x v="1"/>
    <n v="4"/>
    <n v="69173"/>
    <n v="0"/>
    <n v="69173"/>
    <n v="32.197752748321143"/>
    <n v="5000"/>
    <n v="65"/>
    <x v="6970"/>
    <x v="10"/>
    <x v="4"/>
    <x v="1"/>
  </r>
  <r>
    <x v="653"/>
    <s v="ZTAN"/>
    <x v="6"/>
    <s v="WD7700"/>
    <n v="73835526"/>
    <s v="LA DEHESA"/>
    <x v="5564"/>
    <x v="0"/>
    <x v="0"/>
    <x v="41"/>
    <x v="1"/>
    <n v="4"/>
    <n v="69173"/>
    <n v="0"/>
    <n v="69173"/>
    <n v="17.106955257248565"/>
    <n v="5000"/>
    <n v="81"/>
    <x v="6971"/>
    <x v="10"/>
    <x v="4"/>
    <x v="1"/>
  </r>
  <r>
    <x v="653"/>
    <s v="ZTAN"/>
    <x v="7"/>
    <s v="PYZP23"/>
    <n v="121384531"/>
    <s v="CORONEL"/>
    <x v="5565"/>
    <x v="0"/>
    <x v="0"/>
    <x v="16"/>
    <x v="0"/>
    <n v="0"/>
    <n v="528000"/>
    <n v="0"/>
    <n v="528000"/>
    <n v="24.104636033691708"/>
    <n v="14000"/>
    <n v="100"/>
    <x v="6972"/>
    <x v="10"/>
    <x v="4"/>
    <x v="0"/>
  </r>
  <r>
    <x v="653"/>
    <s v="ZTAN"/>
    <x v="7"/>
    <s v="WC2233"/>
    <n v="125108660"/>
    <s v="RENCA"/>
    <x v="5566"/>
    <x v="4"/>
    <x v="1"/>
    <x v="7"/>
    <x v="1"/>
    <n v="1"/>
    <n v="136636"/>
    <n v="0"/>
    <n v="136636"/>
    <n v="10.99996860280047"/>
    <n v="5000"/>
    <n v="100"/>
    <x v="6973"/>
    <x v="10"/>
    <x v="4"/>
    <x v="1"/>
  </r>
  <r>
    <x v="653"/>
    <s v="ZTAN"/>
    <x v="7"/>
    <s v="WG4022"/>
    <n v="154837728"/>
    <s v="RENCA"/>
    <x v="5567"/>
    <x v="1"/>
    <x v="0"/>
    <x v="7"/>
    <x v="1"/>
    <n v="1"/>
    <n v="206531"/>
    <n v="0"/>
    <n v="206531"/>
    <n v="10.999997336962167"/>
    <n v="5000"/>
    <n v="100"/>
    <x v="6974"/>
    <x v="10"/>
    <x v="4"/>
    <x v="1"/>
  </r>
  <r>
    <x v="653"/>
    <s v="ZTAN"/>
    <x v="8"/>
    <s v="GGZX13"/>
    <n v="137998513"/>
    <s v="VALDIVIA"/>
    <x v="5568"/>
    <x v="0"/>
    <x v="0"/>
    <x v="77"/>
    <x v="11"/>
    <n v="0"/>
    <n v="1100000"/>
    <n v="0"/>
    <n v="1100000"/>
    <n v="110.93786874234782"/>
    <n v="14000"/>
    <n v="75"/>
    <x v="6975"/>
    <x v="10"/>
    <x v="4"/>
    <x v="0"/>
  </r>
  <r>
    <x v="653"/>
    <s v="ZTAN"/>
    <x v="8"/>
    <s v="UA7248"/>
    <n v="99626232"/>
    <s v="ÑUÑOA"/>
    <x v="5569"/>
    <x v="1"/>
    <x v="1"/>
    <x v="15"/>
    <x v="1"/>
    <n v="4"/>
    <n v="69173"/>
    <n v="0"/>
    <n v="69173"/>
    <n v="26.320135152617432"/>
    <n v="5000"/>
    <n v="53"/>
    <x v="6976"/>
    <x v="10"/>
    <x v="4"/>
    <x v="1"/>
  </r>
  <r>
    <x v="653"/>
    <s v="ZTAN"/>
    <x v="8"/>
    <s v="XR6339"/>
    <n v="78907355"/>
    <s v="PUDAHUEL"/>
    <x v="5570"/>
    <x v="1"/>
    <x v="1"/>
    <x v="10"/>
    <x v="1"/>
    <n v="1"/>
    <n v="69173"/>
    <n v="0"/>
    <n v="69173"/>
    <n v="23.450700405462214"/>
    <n v="5000"/>
    <n v="59"/>
    <x v="6977"/>
    <x v="10"/>
    <x v="4"/>
    <x v="1"/>
  </r>
  <r>
    <x v="654"/>
    <s v="ZPEP"/>
    <x v="120"/>
    <s v="XR6339"/>
    <n v="81417709"/>
    <s v="PEÑALOLEN"/>
    <x v="5571"/>
    <x v="1"/>
    <x v="1"/>
    <x v="34"/>
    <x v="1"/>
    <n v="4"/>
    <n v="94229"/>
    <n v="0"/>
    <n v="94229"/>
    <n v="11.000054866609931"/>
    <n v="5000"/>
    <n v="100"/>
    <x v="6978"/>
    <x v="10"/>
    <x v="4"/>
    <x v="1"/>
  </r>
  <r>
    <x v="654"/>
    <s v="ZPEP"/>
    <x v="142"/>
    <s v="DJLF85"/>
    <n v="53173292"/>
    <s v="LAS CONDES"/>
    <x v="5572"/>
    <x v="4"/>
    <x v="1"/>
    <x v="3"/>
    <x v="1"/>
    <n v="4"/>
    <n v="79528"/>
    <n v="0"/>
    <n v="79528"/>
    <n v="11.000042878147221"/>
    <n v="5000"/>
    <n v="100"/>
    <x v="6979"/>
    <x v="10"/>
    <x v="4"/>
    <x v="1"/>
  </r>
  <r>
    <x v="654"/>
    <s v="ZPEP"/>
    <x v="7"/>
    <s v="WD7700"/>
    <n v="73835526"/>
    <s v="PUENTE ALTO"/>
    <x v="1736"/>
    <x v="0"/>
    <x v="0"/>
    <x v="30"/>
    <x v="1"/>
    <n v="4"/>
    <n v="69173"/>
    <n v="0"/>
    <n v="69173"/>
    <n v="18.930760810071156"/>
    <n v="5000"/>
    <n v="73"/>
    <x v="6980"/>
    <x v="10"/>
    <x v="4"/>
    <x v="1"/>
  </r>
  <r>
    <x v="654"/>
    <s v="ZTAN"/>
    <x v="5"/>
    <s v="DJLF85"/>
    <n v="53173292"/>
    <s v="SAN BERNARDO"/>
    <x v="5535"/>
    <x v="4"/>
    <x v="1"/>
    <x v="4"/>
    <x v="1"/>
    <n v="4"/>
    <n v="69173"/>
    <n v="0"/>
    <n v="69173"/>
    <n v="31.616595135908444"/>
    <n v="5000"/>
    <n v="44"/>
    <x v="6981"/>
    <x v="10"/>
    <x v="4"/>
    <x v="1"/>
  </r>
  <r>
    <x v="654"/>
    <s v="ZTAN"/>
    <x v="10"/>
    <s v="UA7248"/>
    <n v="99626232"/>
    <s v="SANTIAGO"/>
    <x v="5573"/>
    <x v="1"/>
    <x v="1"/>
    <x v="20"/>
    <x v="1"/>
    <n v="1"/>
    <n v="69173"/>
    <n v="0"/>
    <n v="69173"/>
    <n v="17.098329048843187"/>
    <n v="5000"/>
    <n v="65"/>
    <x v="6982"/>
    <x v="10"/>
    <x v="4"/>
    <x v="1"/>
  </r>
  <r>
    <x v="654"/>
    <s v="ZTAN"/>
    <x v="7"/>
    <s v="WG4022"/>
    <n v="154837728"/>
    <s v="RENCA"/>
    <x v="5574"/>
    <x v="1"/>
    <x v="0"/>
    <x v="7"/>
    <x v="1"/>
    <n v="1"/>
    <n v="274500"/>
    <n v="0"/>
    <n v="274500"/>
    <n v="10.999980364333776"/>
    <n v="5000"/>
    <n v="100"/>
    <x v="6983"/>
    <x v="10"/>
    <x v="4"/>
    <x v="1"/>
  </r>
  <r>
    <x v="654"/>
    <s v="ZTAN"/>
    <x v="8"/>
    <s v="XR6339"/>
    <n v="81417709"/>
    <s v="REÑACA"/>
    <x v="5575"/>
    <x v="1"/>
    <x v="1"/>
    <x v="6"/>
    <x v="2"/>
    <n v="0"/>
    <n v="227000"/>
    <n v="0"/>
    <n v="227000"/>
    <n v="56.526719458140342"/>
    <n v="5000"/>
    <n v="85"/>
    <x v="6984"/>
    <x v="10"/>
    <x v="4"/>
    <x v="0"/>
  </r>
  <r>
    <x v="655"/>
    <s v="ZPEP"/>
    <x v="2"/>
    <s v="DJLF85"/>
    <n v="53173292"/>
    <s v="PADRE HURTADO"/>
    <x v="5576"/>
    <x v="4"/>
    <x v="1"/>
    <x v="26"/>
    <x v="1"/>
    <n v="5"/>
    <n v="112500"/>
    <n v="0"/>
    <n v="112500"/>
    <n v="8.5813535197279656"/>
    <n v="10000"/>
    <n v="100"/>
    <x v="6985"/>
    <x v="10"/>
    <x v="4"/>
    <x v="1"/>
  </r>
  <r>
    <x v="655"/>
    <s v="ZPEP"/>
    <x v="2"/>
    <s v="PYZP23"/>
    <n v="121384531"/>
    <s v="TEMUCO"/>
    <x v="5577"/>
    <x v="0"/>
    <x v="0"/>
    <x v="14"/>
    <x v="4"/>
    <n v="0"/>
    <n v="900000"/>
    <n v="0"/>
    <n v="900000"/>
    <n v="51.034034597673184"/>
    <n v="14000"/>
    <n v="100"/>
    <x v="6986"/>
    <x v="10"/>
    <x v="4"/>
    <x v="0"/>
  </r>
  <r>
    <x v="655"/>
    <s v="ZPEP"/>
    <x v="2"/>
    <s v="WD7700"/>
    <n v="73835526"/>
    <s v="PADRE HURTADO"/>
    <x v="5578"/>
    <x v="0"/>
    <x v="0"/>
    <x v="26"/>
    <x v="1"/>
    <n v="5"/>
    <n v="180000"/>
    <n v="0"/>
    <n v="180000"/>
    <n v="17.022145811701023"/>
    <n v="10000"/>
    <n v="100"/>
    <x v="6987"/>
    <x v="10"/>
    <x v="4"/>
    <x v="1"/>
  </r>
  <r>
    <x v="655"/>
    <s v="ZPEP"/>
    <x v="142"/>
    <s v="WC2233"/>
    <n v="125108660"/>
    <s v="LAS CONDES"/>
    <x v="5579"/>
    <x v="4"/>
    <x v="1"/>
    <x v="3"/>
    <x v="1"/>
    <n v="4"/>
    <n v="56963"/>
    <n v="0"/>
    <n v="56963"/>
    <n v="11.000030897335877"/>
    <n v="5000"/>
    <n v="100"/>
    <x v="6988"/>
    <x v="10"/>
    <x v="4"/>
    <x v="1"/>
  </r>
  <r>
    <x v="655"/>
    <s v="ZTAN"/>
    <x v="7"/>
    <s v="WC2233"/>
    <n v="125108660"/>
    <s v="MELIPILLA"/>
    <x v="5580"/>
    <x v="4"/>
    <x v="1"/>
    <x v="29"/>
    <x v="1"/>
    <n v="5"/>
    <n v="112500"/>
    <n v="0"/>
    <n v="112500"/>
    <n v="35.971683091070709"/>
    <n v="10000"/>
    <n v="31"/>
    <x v="6989"/>
    <x v="10"/>
    <x v="4"/>
    <x v="1"/>
  </r>
  <r>
    <x v="655"/>
    <s v="ZTAN"/>
    <x v="8"/>
    <s v="DKDL88"/>
    <n v="122975819"/>
    <s v="OSORNO"/>
    <x v="5581"/>
    <x v="0"/>
    <x v="0"/>
    <x v="64"/>
    <x v="10"/>
    <n v="0"/>
    <n v="1131000"/>
    <n v="0"/>
    <n v="1131000"/>
    <n v="112.46625266622581"/>
    <n v="14000"/>
    <n v="72"/>
    <x v="6990"/>
    <x v="10"/>
    <x v="4"/>
    <x v="0"/>
  </r>
  <r>
    <x v="655"/>
    <s v="ZTAN"/>
    <x v="8"/>
    <s v="DRFV76"/>
    <n v="113693568"/>
    <s v="CORONEL"/>
    <x v="5582"/>
    <x v="0"/>
    <x v="0"/>
    <x v="16"/>
    <x v="0"/>
    <n v="0"/>
    <n v="528000"/>
    <n v="0"/>
    <n v="528000"/>
    <n v="78.487801687487732"/>
    <n v="14000"/>
    <n v="55"/>
    <x v="6991"/>
    <x v="10"/>
    <x v="4"/>
    <x v="0"/>
  </r>
  <r>
    <x v="655"/>
    <s v="ZTAN"/>
    <x v="8"/>
    <s v="UA7248"/>
    <n v="99626232"/>
    <s v="EL BOSQUE"/>
    <x v="5583"/>
    <x v="1"/>
    <x v="1"/>
    <x v="25"/>
    <x v="1"/>
    <n v="3"/>
    <n v="69173"/>
    <n v="0"/>
    <n v="69173"/>
    <n v="26.338976338976337"/>
    <n v="5000"/>
    <n v="53"/>
    <x v="6992"/>
    <x v="10"/>
    <x v="4"/>
    <x v="1"/>
  </r>
  <r>
    <x v="655"/>
    <s v="ZTAN"/>
    <x v="8"/>
    <s v="WD7700"/>
    <n v="73835526"/>
    <s v="TALAGANTE"/>
    <x v="5584"/>
    <x v="0"/>
    <x v="0"/>
    <x v="50"/>
    <x v="1"/>
    <n v="4"/>
    <n v="69173"/>
    <n v="0"/>
    <n v="69173"/>
    <n v="25.510125055779081"/>
    <n v="5000"/>
    <n v="54"/>
    <x v="6993"/>
    <x v="10"/>
    <x v="4"/>
    <x v="1"/>
  </r>
  <r>
    <x v="655"/>
    <s v="ZTAN"/>
    <x v="8"/>
    <s v="XR6339"/>
    <n v="107643206"/>
    <s v="PUDAHUEL"/>
    <x v="5585"/>
    <x v="1"/>
    <x v="1"/>
    <x v="10"/>
    <x v="1"/>
    <n v="1"/>
    <n v="69173"/>
    <n v="0"/>
    <n v="69173"/>
    <n v="26.733423252470519"/>
    <n v="5000"/>
    <n v="52"/>
    <x v="6994"/>
    <x v="10"/>
    <x v="4"/>
    <x v="1"/>
  </r>
  <r>
    <x v="656"/>
    <s v="ZPEP"/>
    <x v="2"/>
    <s v="WD7700"/>
    <n v="73835526"/>
    <s v="PADRE HURTADO"/>
    <x v="5586"/>
    <x v="0"/>
    <x v="1"/>
    <x v="26"/>
    <x v="1"/>
    <n v="5"/>
    <n v="180000"/>
    <n v="0"/>
    <n v="180000"/>
    <n v="65.75582669686564"/>
    <n v="10000"/>
    <n v="57"/>
    <x v="6995"/>
    <x v="10"/>
    <x v="4"/>
    <x v="1"/>
  </r>
  <r>
    <x v="656"/>
    <s v="ZPEP"/>
    <x v="137"/>
    <s v="DJLF85"/>
    <n v="53173292"/>
    <s v="LAS CONDES"/>
    <x v="5587"/>
    <x v="4"/>
    <x v="1"/>
    <x v="3"/>
    <x v="1"/>
    <n v="4"/>
    <n v="60797"/>
    <n v="0"/>
    <n v="60797"/>
    <n v="11.000000000000002"/>
    <n v="5000"/>
    <n v="100"/>
    <x v="6996"/>
    <x v="10"/>
    <x v="4"/>
    <x v="1"/>
  </r>
  <r>
    <x v="656"/>
    <s v="ZTAN"/>
    <x v="4"/>
    <s v="XR6339"/>
    <n v="107643206"/>
    <s v="LAMPA"/>
    <x v="5588"/>
    <x v="1"/>
    <x v="1"/>
    <x v="17"/>
    <x v="1"/>
    <n v="5"/>
    <n v="112500"/>
    <n v="0"/>
    <n v="112500"/>
    <n v="15.421521590130226"/>
    <n v="10000"/>
    <n v="73"/>
    <x v="6997"/>
    <x v="10"/>
    <x v="4"/>
    <x v="1"/>
  </r>
  <r>
    <x v="656"/>
    <s v="ZTAN"/>
    <x v="137"/>
    <s v="DJLF85"/>
    <n v="53173292"/>
    <s v="LAS CONDES"/>
    <x v="5589"/>
    <x v="4"/>
    <x v="1"/>
    <x v="3"/>
    <x v="1"/>
    <n v="4"/>
    <n v="69173"/>
    <n v="0"/>
    <n v="69173"/>
    <n v="17.684520005113129"/>
    <n v="5000"/>
    <n v="78"/>
    <x v="6998"/>
    <x v="10"/>
    <x v="4"/>
    <x v="1"/>
  </r>
  <r>
    <x v="656"/>
    <s v="ZTAN"/>
    <x v="7"/>
    <s v="WD7700"/>
    <n v="73835526"/>
    <s v="RENCA"/>
    <x v="5590"/>
    <x v="0"/>
    <x v="0"/>
    <x v="7"/>
    <x v="1"/>
    <n v="1"/>
    <n v="140224"/>
    <n v="0"/>
    <n v="140224"/>
    <n v="11.000005491216799"/>
    <n v="5000"/>
    <n v="100"/>
    <x v="6999"/>
    <x v="10"/>
    <x v="4"/>
    <x v="1"/>
  </r>
  <r>
    <x v="656"/>
    <s v="ZTAN"/>
    <x v="7"/>
    <s v="WG4022"/>
    <n v="154837728"/>
    <s v="RENCA"/>
    <x v="5591"/>
    <x v="1"/>
    <x v="0"/>
    <x v="7"/>
    <x v="1"/>
    <n v="1"/>
    <n v="224339"/>
    <n v="0"/>
    <n v="224339"/>
    <n v="11.000018632547535"/>
    <n v="5000"/>
    <n v="100"/>
    <x v="7000"/>
    <x v="10"/>
    <x v="4"/>
    <x v="1"/>
  </r>
  <r>
    <x v="656"/>
    <s v="ZTAN"/>
    <x v="8"/>
    <s v="RX2274"/>
    <n v="100822326"/>
    <s v="LINARES"/>
    <x v="521"/>
    <x v="0"/>
    <x v="1"/>
    <x v="59"/>
    <x v="3"/>
    <n v="0"/>
    <n v="250000"/>
    <n v="0"/>
    <n v="250000"/>
    <n v="77.954474586841286"/>
    <n v="14000"/>
    <n v="55"/>
    <x v="7001"/>
    <x v="10"/>
    <x v="4"/>
    <x v="0"/>
  </r>
  <r>
    <x v="656"/>
    <s v="ZTAN"/>
    <x v="8"/>
    <s v="UA7248"/>
    <n v="99626232"/>
    <s v="LAS CONDES"/>
    <x v="5592"/>
    <x v="1"/>
    <x v="1"/>
    <x v="3"/>
    <x v="1"/>
    <n v="4"/>
    <n v="69173"/>
    <n v="0"/>
    <n v="69173"/>
    <n v="20.710479041916166"/>
    <n v="5000"/>
    <n v="67"/>
    <x v="7002"/>
    <x v="10"/>
    <x v="4"/>
    <x v="1"/>
  </r>
  <r>
    <x v="657"/>
    <s v="ZPEP"/>
    <x v="11"/>
    <s v="YB5040"/>
    <n v="119629756"/>
    <s v="CURICO"/>
    <x v="5593"/>
    <x v="0"/>
    <x v="0"/>
    <x v="73"/>
    <x v="3"/>
    <n v="0"/>
    <n v="352000"/>
    <n v="0"/>
    <n v="352000"/>
    <n v="16.527955487210789"/>
    <n v="14000"/>
    <n v="100"/>
    <x v="7003"/>
    <x v="10"/>
    <x v="4"/>
    <x v="0"/>
  </r>
  <r>
    <x v="657"/>
    <s v="ZPEP"/>
    <x v="2"/>
    <s v="DRFV76"/>
    <n v="113693568"/>
    <s v="TEMUCO"/>
    <x v="5594"/>
    <x v="0"/>
    <x v="0"/>
    <x v="14"/>
    <x v="4"/>
    <n v="0"/>
    <n v="900000"/>
    <n v="0"/>
    <n v="900000"/>
    <n v="152.48448046843234"/>
    <n v="14000"/>
    <n v="42"/>
    <x v="7004"/>
    <x v="10"/>
    <x v="4"/>
    <x v="0"/>
  </r>
  <r>
    <x v="657"/>
    <s v="ZPEP"/>
    <x v="2"/>
    <s v="RJ6819"/>
    <n v="94742285"/>
    <s v="TALCA"/>
    <x v="5595"/>
    <x v="5"/>
    <x v="0"/>
    <x v="12"/>
    <x v="3"/>
    <n v="0"/>
    <n v="402000"/>
    <n v="0"/>
    <n v="402000"/>
    <n v="45.43255864416588"/>
    <n v="14000"/>
    <n v="63"/>
    <x v="7005"/>
    <x v="10"/>
    <x v="4"/>
    <x v="0"/>
  </r>
  <r>
    <x v="657"/>
    <s v="ZPEP"/>
    <x v="142"/>
    <s v="WC2233"/>
    <n v="125108660"/>
    <s v="LAS CONDES"/>
    <x v="5596"/>
    <x v="4"/>
    <x v="1"/>
    <x v="3"/>
    <x v="1"/>
    <n v="4"/>
    <n v="70067"/>
    <n v="0"/>
    <n v="70067"/>
    <n v="11.000012559421764"/>
    <n v="5000"/>
    <n v="100"/>
    <x v="7006"/>
    <x v="10"/>
    <x v="4"/>
    <x v="1"/>
  </r>
  <r>
    <x v="657"/>
    <s v="ZTAN"/>
    <x v="4"/>
    <s v="DJLF85"/>
    <n v="53173292"/>
    <s v="LAMPA"/>
    <x v="5597"/>
    <x v="4"/>
    <x v="1"/>
    <x v="17"/>
    <x v="1"/>
    <n v="5"/>
    <n v="112500"/>
    <n v="0"/>
    <n v="112500"/>
    <n v="12.868908716540837"/>
    <n v="10000"/>
    <n v="87"/>
    <x v="7007"/>
    <x v="10"/>
    <x v="4"/>
    <x v="1"/>
  </r>
  <r>
    <x v="657"/>
    <s v="ZTAN"/>
    <x v="10"/>
    <s v="RH1133"/>
    <n v="138841065"/>
    <s v="QUILICURA"/>
    <x v="5598"/>
    <x v="0"/>
    <x v="0"/>
    <x v="8"/>
    <x v="1"/>
    <n v="1"/>
    <n v="100736"/>
    <n v="0"/>
    <n v="100736"/>
    <n v="10.043629808650985"/>
    <n v="5000"/>
    <n v="100"/>
    <x v="7008"/>
    <x v="10"/>
    <x v="4"/>
    <x v="1"/>
  </r>
  <r>
    <x v="657"/>
    <s v="ZTAN"/>
    <x v="10"/>
    <s v="XR6339"/>
    <n v="81417709"/>
    <s v="COLINA"/>
    <x v="5599"/>
    <x v="1"/>
    <x v="1"/>
    <x v="5"/>
    <x v="1"/>
    <n v="5"/>
    <n v="112500"/>
    <n v="0"/>
    <n v="112500"/>
    <n v="21.978150787696922"/>
    <n v="10000"/>
    <n v="51"/>
    <x v="7009"/>
    <x v="10"/>
    <x v="4"/>
    <x v="1"/>
  </r>
  <r>
    <x v="657"/>
    <s v="ZTAN"/>
    <x v="8"/>
    <s v="SV2718"/>
    <n v="107643206"/>
    <s v="PUENTE ALTO"/>
    <x v="5600"/>
    <x v="1"/>
    <x v="1"/>
    <x v="30"/>
    <x v="1"/>
    <n v="4"/>
    <n v="69173"/>
    <n v="0"/>
    <n v="69173"/>
    <n v="25.79715225514839"/>
    <n v="5000"/>
    <n v="54"/>
    <x v="7010"/>
    <x v="10"/>
    <x v="4"/>
    <x v="1"/>
  </r>
  <r>
    <x v="658"/>
    <s v="ZPEP"/>
    <x v="50"/>
    <s v="PYZP23"/>
    <n v="121384531"/>
    <s v="CHILLAN"/>
    <x v="5601"/>
    <x v="0"/>
    <x v="0"/>
    <x v="21"/>
    <x v="5"/>
    <n v="0"/>
    <n v="500000"/>
    <n v="0"/>
    <n v="500000"/>
    <n v="30.566943440150535"/>
    <n v="14000"/>
    <n v="100"/>
    <x v="7011"/>
    <x v="10"/>
    <x v="4"/>
    <x v="0"/>
  </r>
  <r>
    <x v="658"/>
    <s v="ZPEP"/>
    <x v="103"/>
    <s v="XR6339"/>
    <n v="81417709"/>
    <s v="SANTIAGO"/>
    <x v="3748"/>
    <x v="1"/>
    <x v="1"/>
    <x v="20"/>
    <x v="1"/>
    <n v="1"/>
    <n v="58819"/>
    <n v="0"/>
    <n v="58819"/>
    <n v="10.999962597247151"/>
    <n v="5000"/>
    <n v="100"/>
    <x v="7012"/>
    <x v="10"/>
    <x v="4"/>
    <x v="1"/>
  </r>
  <r>
    <x v="658"/>
    <s v="ZTAN"/>
    <x v="6"/>
    <s v="DJLF85"/>
    <n v="53173292"/>
    <s v="SANTIAGO"/>
    <x v="5602"/>
    <x v="4"/>
    <x v="1"/>
    <x v="20"/>
    <x v="1"/>
    <n v="1"/>
    <n v="86352"/>
    <n v="0"/>
    <n v="86352"/>
    <n v="10.999946498314696"/>
    <n v="5000"/>
    <n v="100"/>
    <x v="7013"/>
    <x v="10"/>
    <x v="4"/>
    <x v="1"/>
  </r>
  <r>
    <x v="658"/>
    <s v="ZTAN"/>
    <x v="6"/>
    <s v="WC2233"/>
    <n v="125108660"/>
    <s v="SANTIAGO"/>
    <x v="5603"/>
    <x v="4"/>
    <x v="1"/>
    <x v="20"/>
    <x v="1"/>
    <n v="1"/>
    <n v="84482"/>
    <n v="0"/>
    <n v="84482"/>
    <n v="11.000059894741502"/>
    <n v="5000"/>
    <n v="100"/>
    <x v="7014"/>
    <x v="10"/>
    <x v="4"/>
    <x v="1"/>
  </r>
  <r>
    <x v="658"/>
    <s v="ZTAN"/>
    <x v="134"/>
    <s v="SV2718"/>
    <n v="107643206"/>
    <s v="SANTIAGO"/>
    <x v="5604"/>
    <x v="1"/>
    <x v="1"/>
    <x v="20"/>
    <x v="1"/>
    <n v="1"/>
    <n v="69173"/>
    <n v="0"/>
    <n v="69173"/>
    <n v="40.499414519906324"/>
    <n v="5000"/>
    <n v="34"/>
    <x v="7015"/>
    <x v="10"/>
    <x v="4"/>
    <x v="1"/>
  </r>
  <r>
    <x v="658"/>
    <s v="ZTAN"/>
    <x v="7"/>
    <s v="WG4022"/>
    <n v="154837728"/>
    <s v="RENCA"/>
    <x v="5605"/>
    <x v="1"/>
    <x v="0"/>
    <x v="7"/>
    <x v="1"/>
    <n v="1"/>
    <n v="201807"/>
    <n v="0"/>
    <n v="201807"/>
    <n v="11.000018532589557"/>
    <n v="5000"/>
    <n v="100"/>
    <x v="7016"/>
    <x v="10"/>
    <x v="4"/>
    <x v="1"/>
  </r>
  <r>
    <x v="658"/>
    <s v="ZTAN"/>
    <x v="7"/>
    <s v="XR6339"/>
    <n v="81417709"/>
    <s v="RENCA"/>
    <x v="5606"/>
    <x v="1"/>
    <x v="1"/>
    <x v="7"/>
    <x v="1"/>
    <n v="1"/>
    <n v="88614"/>
    <n v="0"/>
    <n v="88614"/>
    <n v="8.9348444211417863"/>
    <n v="5000"/>
    <n v="100"/>
    <x v="7017"/>
    <x v="10"/>
    <x v="4"/>
    <x v="1"/>
  </r>
  <r>
    <x v="658"/>
    <s v="ZTAN"/>
    <x v="8"/>
    <s v="DKDL88"/>
    <n v="122975819"/>
    <s v="LOS ANGELES"/>
    <x v="2873"/>
    <x v="0"/>
    <x v="0"/>
    <x v="57"/>
    <x v="0"/>
    <n v="0"/>
    <n v="528000"/>
    <n v="0"/>
    <n v="528000"/>
    <n v="35.485778805312108"/>
    <n v="14000"/>
    <n v="100"/>
    <x v="7018"/>
    <x v="10"/>
    <x v="4"/>
    <x v="0"/>
  </r>
  <r>
    <x v="658"/>
    <s v="ZTAN"/>
    <x v="8"/>
    <s v="SV2718"/>
    <n v="107643206"/>
    <s v="SAN BERNARDO"/>
    <x v="5607"/>
    <x v="1"/>
    <x v="1"/>
    <x v="4"/>
    <x v="1"/>
    <n v="4"/>
    <n v="69173"/>
    <n v="0"/>
    <n v="69173"/>
    <n v="26.407754388376052"/>
    <n v="5000"/>
    <n v="52"/>
    <x v="7019"/>
    <x v="10"/>
    <x v="4"/>
    <x v="1"/>
  </r>
  <r>
    <x v="658"/>
    <s v="ZTAN"/>
    <x v="8"/>
    <s v="UA7248"/>
    <n v="99626232"/>
    <s v="QUILICURA"/>
    <x v="5608"/>
    <x v="1"/>
    <x v="1"/>
    <x v="8"/>
    <x v="1"/>
    <n v="1"/>
    <n v="69173"/>
    <n v="0"/>
    <n v="69173"/>
    <n v="21.283999999999999"/>
    <n v="5000"/>
    <n v="65"/>
    <x v="7020"/>
    <x v="10"/>
    <x v="4"/>
    <x v="1"/>
  </r>
  <r>
    <x v="659"/>
    <s v="ZPEP"/>
    <x v="5"/>
    <s v="WD7700"/>
    <n v="73835526"/>
    <s v="SAN BERNARDO"/>
    <x v="5609"/>
    <x v="0"/>
    <x v="0"/>
    <x v="4"/>
    <x v="1"/>
    <n v="4"/>
    <n v="129550"/>
    <n v="0"/>
    <n v="129550"/>
    <n v="11.000039907516454"/>
    <n v="5000"/>
    <n v="100"/>
    <x v="7021"/>
    <x v="10"/>
    <x v="4"/>
    <x v="1"/>
  </r>
  <r>
    <x v="659"/>
    <s v="ZTAN"/>
    <x v="10"/>
    <s v="KKPF51"/>
    <n v="95707734"/>
    <s v="SANTIAGO"/>
    <x v="5610"/>
    <x v="8"/>
    <x v="0"/>
    <x v="20"/>
    <x v="1"/>
    <n v="1"/>
    <n v="78921"/>
    <n v="0"/>
    <n v="78921"/>
    <n v="6.7797702192143747"/>
    <n v="5000"/>
    <n v="100"/>
    <x v="7022"/>
    <x v="10"/>
    <x v="4"/>
    <x v="1"/>
  </r>
  <r>
    <x v="659"/>
    <s v="ZTAN"/>
    <x v="10"/>
    <s v="RWTG52"/>
    <n v="276547747"/>
    <s v="LLANQUIHUE"/>
    <x v="5611"/>
    <x v="0"/>
    <x v="0"/>
    <x v="115"/>
    <x v="10"/>
    <n v="0"/>
    <n v="1282000"/>
    <n v="0"/>
    <n v="1282000"/>
    <n v="253.09958145779046"/>
    <n v="14000"/>
    <n v="36"/>
    <x v="7023"/>
    <x v="10"/>
    <x v="4"/>
    <x v="0"/>
  </r>
  <r>
    <x v="659"/>
    <s v="ZTAN"/>
    <x v="7"/>
    <s v="UA7248"/>
    <n v="99626232"/>
    <s v="SAN MIGUEL"/>
    <x v="5612"/>
    <x v="1"/>
    <x v="1"/>
    <x v="23"/>
    <x v="1"/>
    <n v="2"/>
    <n v="69173"/>
    <n v="0"/>
    <n v="69173"/>
    <n v="21.17927662297501"/>
    <n v="5000"/>
    <n v="65"/>
    <x v="7024"/>
    <x v="10"/>
    <x v="4"/>
    <x v="1"/>
  </r>
  <r>
    <x v="659"/>
    <s v="ZTAN"/>
    <x v="8"/>
    <s v="SV2718"/>
    <n v="107643206"/>
    <s v="MAIPU"/>
    <x v="4777"/>
    <x v="1"/>
    <x v="1"/>
    <x v="2"/>
    <x v="1"/>
    <n v="2"/>
    <n v="69173"/>
    <n v="0"/>
    <n v="69173"/>
    <n v="27.465297630391969"/>
    <n v="5000"/>
    <n v="50"/>
    <x v="7025"/>
    <x v="10"/>
    <x v="4"/>
    <x v="1"/>
  </r>
  <r>
    <x v="659"/>
    <s v="ZTAN"/>
    <x v="8"/>
    <s v="XR6339"/>
    <n v="81417709"/>
    <s v="REÑACA"/>
    <x v="5613"/>
    <x v="1"/>
    <x v="1"/>
    <x v="6"/>
    <x v="2"/>
    <n v="0"/>
    <n v="227000"/>
    <n v="0"/>
    <n v="227000"/>
    <n v="56.352153794212875"/>
    <n v="14000"/>
    <n v="29"/>
    <x v="7026"/>
    <x v="10"/>
    <x v="4"/>
    <x v="0"/>
  </r>
  <r>
    <x v="659"/>
    <s v="ZTAN"/>
    <x v="8"/>
    <s v="YB5040"/>
    <n v="119629766"/>
    <s v="CHILLAN"/>
    <x v="5614"/>
    <x v="0"/>
    <x v="0"/>
    <x v="21"/>
    <x v="5"/>
    <n v="0"/>
    <n v="500000"/>
    <n v="0"/>
    <n v="500000"/>
    <n v="94.058688859500776"/>
    <n v="14000"/>
    <n v="55"/>
    <x v="7027"/>
    <x v="10"/>
    <x v="4"/>
    <x v="0"/>
  </r>
  <r>
    <x v="660"/>
    <s v="ZPEP"/>
    <x v="5"/>
    <s v="SU9354"/>
    <n v="72564391"/>
    <s v="SAN BERNARDO"/>
    <x v="5615"/>
    <x v="2"/>
    <x v="1"/>
    <x v="4"/>
    <x v="1"/>
    <n v="4"/>
    <n v="82879"/>
    <n v="0"/>
    <n v="82879"/>
    <n v="10.999948238036014"/>
    <n v="5000"/>
    <n v="100"/>
    <x v="7028"/>
    <x v="10"/>
    <x v="4"/>
    <x v="1"/>
  </r>
  <r>
    <x v="660"/>
    <s v="ZPEP"/>
    <x v="142"/>
    <s v="SU9354"/>
    <n v="72564391"/>
    <s v="LAS CONDES"/>
    <x v="5616"/>
    <x v="2"/>
    <x v="1"/>
    <x v="3"/>
    <x v="1"/>
    <n v="4"/>
    <n v="69173"/>
    <n v="0"/>
    <n v="69173"/>
    <n v="57.790086635421105"/>
    <n v="5000"/>
    <n v="24"/>
    <x v="7029"/>
    <x v="10"/>
    <x v="4"/>
    <x v="1"/>
  </r>
  <r>
    <x v="660"/>
    <s v="ZPEP"/>
    <x v="53"/>
    <s v="XR6339"/>
    <n v="78907355"/>
    <s v="LAS CONDES"/>
    <x v="5617"/>
    <x v="1"/>
    <x v="1"/>
    <x v="3"/>
    <x v="1"/>
    <n v="4"/>
    <n v="69173"/>
    <n v="0"/>
    <n v="69173"/>
    <n v="27.86986301369863"/>
    <n v="5000"/>
    <n v="50"/>
    <x v="7030"/>
    <x v="10"/>
    <x v="4"/>
    <x v="1"/>
  </r>
  <r>
    <x v="660"/>
    <s v="ZTAN"/>
    <x v="7"/>
    <s v="DJLF85"/>
    <n v="125108660"/>
    <s v="RENCA"/>
    <x v="5618"/>
    <x v="4"/>
    <x v="1"/>
    <x v="7"/>
    <x v="1"/>
    <n v="1"/>
    <n v="154364"/>
    <n v="0"/>
    <n v="154364"/>
    <n v="11.000024228500413"/>
    <n v="5000"/>
    <n v="100"/>
    <x v="7031"/>
    <x v="10"/>
    <x v="4"/>
    <x v="1"/>
  </r>
  <r>
    <x v="660"/>
    <s v="ZTAN"/>
    <x v="7"/>
    <s v="WG4022"/>
    <n v="154837728"/>
    <s v="RENCA"/>
    <x v="5619"/>
    <x v="1"/>
    <x v="0"/>
    <x v="7"/>
    <x v="1"/>
    <n v="1"/>
    <n v="218484"/>
    <n v="0"/>
    <n v="218484"/>
    <n v="10.999989930621986"/>
    <n v="5000"/>
    <n v="100"/>
    <x v="7032"/>
    <x v="10"/>
    <x v="4"/>
    <x v="1"/>
  </r>
  <r>
    <x v="660"/>
    <s v="ZTAN"/>
    <x v="7"/>
    <s v="XR6339"/>
    <n v="78907355"/>
    <s v="SANTIAGO"/>
    <x v="5620"/>
    <x v="1"/>
    <x v="1"/>
    <x v="20"/>
    <x v="1"/>
    <n v="1"/>
    <n v="69173"/>
    <n v="0"/>
    <n v="69173"/>
    <n v="21.459638890612396"/>
    <n v="5000"/>
    <n v="64"/>
    <x v="7033"/>
    <x v="10"/>
    <x v="4"/>
    <x v="1"/>
  </r>
  <r>
    <x v="660"/>
    <s v="ZTAN"/>
    <x v="8"/>
    <s v="SV2718"/>
    <n v="107643206"/>
    <s v="ÑUÑOA"/>
    <x v="5621"/>
    <x v="1"/>
    <x v="1"/>
    <x v="15"/>
    <x v="1"/>
    <n v="4"/>
    <n v="69173"/>
    <n v="0"/>
    <n v="69173"/>
    <n v="24.543706268893967"/>
    <n v="5000"/>
    <n v="56"/>
    <x v="7034"/>
    <x v="10"/>
    <x v="4"/>
    <x v="1"/>
  </r>
  <r>
    <x v="660"/>
    <s v="ZTAN"/>
    <x v="8"/>
    <s v="UA7248"/>
    <n v="99626232"/>
    <s v="LA REINA"/>
    <x v="5622"/>
    <x v="1"/>
    <x v="1"/>
    <x v="11"/>
    <x v="1"/>
    <n v="3"/>
    <n v="69173"/>
    <n v="0"/>
    <n v="69173"/>
    <n v="27.782552815487186"/>
    <n v="5000"/>
    <n v="50"/>
    <x v="7035"/>
    <x v="10"/>
    <x v="4"/>
    <x v="1"/>
  </r>
  <r>
    <x v="660"/>
    <s v="ZTAN"/>
    <x v="8"/>
    <s v="XR6339"/>
    <n v="78907355"/>
    <s v="LAS CONDES"/>
    <x v="5623"/>
    <x v="1"/>
    <x v="1"/>
    <x v="3"/>
    <x v="1"/>
    <n v="4"/>
    <n v="69173"/>
    <n v="0"/>
    <n v="69173"/>
    <n v="19.430399658430805"/>
    <n v="5000"/>
    <n v="71"/>
    <x v="7036"/>
    <x v="10"/>
    <x v="4"/>
    <x v="1"/>
  </r>
  <r>
    <x v="661"/>
    <s v="ZPEP"/>
    <x v="140"/>
    <s v="SU9354"/>
    <n v="72564391"/>
    <s v="SANTIAGO"/>
    <x v="5624"/>
    <x v="2"/>
    <x v="1"/>
    <x v="20"/>
    <x v="1"/>
    <n v="1"/>
    <n v="65956"/>
    <n v="0"/>
    <n v="65956"/>
    <n v="10.999999999999998"/>
    <n v="5000"/>
    <n v="100"/>
    <x v="7037"/>
    <x v="10"/>
    <x v="4"/>
    <x v="1"/>
  </r>
  <r>
    <x v="661"/>
    <s v="ZPEP"/>
    <x v="5"/>
    <s v="DJLF85"/>
    <n v="53173292"/>
    <s v="SAN BERNARDO"/>
    <x v="5625"/>
    <x v="4"/>
    <x v="1"/>
    <x v="4"/>
    <x v="1"/>
    <n v="4"/>
    <n v="69173"/>
    <n v="0"/>
    <n v="69173"/>
    <n v="23.349062972564269"/>
    <n v="5000"/>
    <n v="59"/>
    <x v="7038"/>
    <x v="10"/>
    <x v="4"/>
    <x v="1"/>
  </r>
  <r>
    <x v="661"/>
    <s v="ZPEP"/>
    <x v="2"/>
    <s v="DKDL88"/>
    <n v="122975819"/>
    <s v="MAULE"/>
    <x v="5626"/>
    <x v="0"/>
    <x v="0"/>
    <x v="117"/>
    <x v="3"/>
    <n v="0"/>
    <n v="320000"/>
    <n v="0"/>
    <n v="320000"/>
    <n v="12.696155604083083"/>
    <n v="14000"/>
    <n v="100"/>
    <x v="7039"/>
    <x v="10"/>
    <x v="4"/>
    <x v="0"/>
  </r>
  <r>
    <x v="661"/>
    <s v="ZPEP"/>
    <x v="2"/>
    <s v="DRFV76"/>
    <n v="113693508"/>
    <s v="MAULE"/>
    <x v="5627"/>
    <x v="0"/>
    <x v="0"/>
    <x v="117"/>
    <x v="3"/>
    <n v="0"/>
    <n v="320000"/>
    <n v="0"/>
    <n v="320000"/>
    <n v="13.042969655938682"/>
    <n v="14000"/>
    <n v="100"/>
    <x v="7040"/>
    <x v="10"/>
    <x v="4"/>
    <x v="0"/>
  </r>
  <r>
    <x v="661"/>
    <s v="ZPEP"/>
    <x v="120"/>
    <s v="RJ6819"/>
    <n v="94742285"/>
    <s v="TALCAHUANO"/>
    <x v="5628"/>
    <x v="5"/>
    <x v="0"/>
    <x v="0"/>
    <x v="0"/>
    <n v="0"/>
    <n v="506000"/>
    <n v="0"/>
    <n v="506000"/>
    <n v="22.626660108214462"/>
    <n v="14000"/>
    <n v="100"/>
    <x v="7041"/>
    <x v="10"/>
    <x v="4"/>
    <x v="0"/>
  </r>
  <r>
    <x v="661"/>
    <s v="ZPEP"/>
    <x v="7"/>
    <s v="SU9354"/>
    <n v="72564391"/>
    <s v="RENCA"/>
    <x v="3990"/>
    <x v="2"/>
    <x v="1"/>
    <x v="7"/>
    <x v="1"/>
    <n v="1"/>
    <n v="99447"/>
    <n v="0"/>
    <n v="99447"/>
    <n v="10.999946906648615"/>
    <n v="5000"/>
    <n v="100"/>
    <x v="7042"/>
    <x v="10"/>
    <x v="4"/>
    <x v="1"/>
  </r>
  <r>
    <x v="661"/>
    <s v="ZTAN"/>
    <x v="10"/>
    <s v="KKPF51"/>
    <n v="95707734"/>
    <s v="QUILICURA"/>
    <x v="5629"/>
    <x v="8"/>
    <x v="0"/>
    <x v="8"/>
    <x v="1"/>
    <n v="1"/>
    <n v="132230"/>
    <n v="0"/>
    <n v="132230"/>
    <n v="10.99996256535465"/>
    <n v="5000"/>
    <n v="100"/>
    <x v="7043"/>
    <x v="10"/>
    <x v="4"/>
    <x v="1"/>
  </r>
  <r>
    <x v="661"/>
    <s v="ZTAN"/>
    <x v="10"/>
    <s v="XR6339"/>
    <n v="78907355"/>
    <s v="SANTIAGO"/>
    <x v="5630"/>
    <x v="1"/>
    <x v="1"/>
    <x v="20"/>
    <x v="1"/>
    <n v="1"/>
    <n v="57152"/>
    <n v="0"/>
    <n v="57152"/>
    <n v="10.999992301237192"/>
    <n v="5000"/>
    <n v="100"/>
    <x v="7044"/>
    <x v="10"/>
    <x v="4"/>
    <x v="1"/>
  </r>
  <r>
    <x v="661"/>
    <s v="ZTAN"/>
    <x v="7"/>
    <s v="SU9354"/>
    <n v="72564391"/>
    <s v="RENCA"/>
    <x v="5631"/>
    <x v="2"/>
    <x v="1"/>
    <x v="7"/>
    <x v="1"/>
    <n v="1"/>
    <n v="69173"/>
    <n v="0"/>
    <n v="69173"/>
    <n v="15.207536384821703"/>
    <n v="5000"/>
    <n v="91"/>
    <x v="7045"/>
    <x v="10"/>
    <x v="4"/>
    <x v="1"/>
  </r>
  <r>
    <x v="661"/>
    <s v="ZTAN"/>
    <x v="7"/>
    <s v="WG4022"/>
    <n v="154837728"/>
    <s v="RENCA"/>
    <x v="447"/>
    <x v="1"/>
    <x v="0"/>
    <x v="7"/>
    <x v="1"/>
    <n v="1"/>
    <n v="69173"/>
    <n v="0"/>
    <n v="69173"/>
    <n v="50.344250363901018"/>
    <n v="5000"/>
    <n v="27"/>
    <x v="7046"/>
    <x v="10"/>
    <x v="4"/>
    <x v="1"/>
  </r>
  <r>
    <x v="661"/>
    <s v="ZTAN"/>
    <x v="8"/>
    <s v="RWTG52"/>
    <n v="276547747"/>
    <s v="LA FLORIDA"/>
    <x v="5632"/>
    <x v="0"/>
    <x v="0"/>
    <x v="33"/>
    <x v="1"/>
    <n v="3"/>
    <n v="69173"/>
    <n v="0"/>
    <n v="69173"/>
    <n v="23.485892778324786"/>
    <n v="5000"/>
    <n v="59"/>
    <x v="7047"/>
    <x v="10"/>
    <x v="4"/>
    <x v="1"/>
  </r>
  <r>
    <x v="661"/>
    <s v="ZTAN"/>
    <x v="8"/>
    <s v="SV2718"/>
    <n v="107643206"/>
    <s v="CERRILLOS"/>
    <x v="5633"/>
    <x v="1"/>
    <x v="1"/>
    <x v="9"/>
    <x v="1"/>
    <n v="2"/>
    <n v="69173"/>
    <n v="0"/>
    <n v="69173"/>
    <n v="24.04169316803431"/>
    <n v="5000"/>
    <n v="58"/>
    <x v="7048"/>
    <x v="10"/>
    <x v="4"/>
    <x v="1"/>
  </r>
  <r>
    <x v="661"/>
    <s v="ZTAN"/>
    <x v="8"/>
    <s v="UA7248"/>
    <n v="99626232"/>
    <s v="PUENTE ALTO"/>
    <x v="5634"/>
    <x v="1"/>
    <x v="1"/>
    <x v="30"/>
    <x v="1"/>
    <n v="4"/>
    <n v="69173"/>
    <n v="0"/>
    <n v="69173"/>
    <n v="26.121550382913163"/>
    <n v="5000"/>
    <n v="53"/>
    <x v="7049"/>
    <x v="10"/>
    <x v="4"/>
    <x v="1"/>
  </r>
  <r>
    <x v="662"/>
    <s v="ZPEP"/>
    <x v="5"/>
    <s v="DJLF85"/>
    <s v="53173292"/>
    <s v="SAN BERNARDO"/>
    <x v="5635"/>
    <x v="4"/>
    <x v="1"/>
    <x v="4"/>
    <x v="1"/>
    <n v="4"/>
    <n v="69173"/>
    <n v="0"/>
    <n v="69173"/>
    <n v="49.944404332129963"/>
    <n v="5000"/>
    <n v="28"/>
    <x v="7050"/>
    <x v="10"/>
    <x v="4"/>
    <x v="1"/>
  </r>
  <r>
    <x v="662"/>
    <s v="ZPEP"/>
    <x v="142"/>
    <s v="DJLF85"/>
    <s v="53173292"/>
    <s v="LAS CONDES"/>
    <x v="5636"/>
    <x v="4"/>
    <x v="1"/>
    <x v="3"/>
    <x v="1"/>
    <n v="4"/>
    <n v="69173"/>
    <n v="0"/>
    <n v="69173"/>
    <n v="28.331940758216195"/>
    <n v="5000"/>
    <n v="49"/>
    <x v="7051"/>
    <x v="10"/>
    <x v="4"/>
    <x v="1"/>
  </r>
  <r>
    <x v="662"/>
    <s v="ZTAN"/>
    <x v="10"/>
    <s v="KKPF51"/>
    <s v="95707734"/>
    <s v="PUERTO MONTT"/>
    <x v="5637"/>
    <x v="8"/>
    <x v="0"/>
    <x v="53"/>
    <x v="10"/>
    <n v="0"/>
    <n v="1282000"/>
    <n v="0"/>
    <n v="1282000"/>
    <n v="101.68889227323059"/>
    <n v="14000"/>
    <n v="91"/>
    <x v="7052"/>
    <x v="10"/>
    <x v="4"/>
    <x v="0"/>
  </r>
  <r>
    <x v="662"/>
    <s v="ZTAN"/>
    <x v="6"/>
    <s v="HLBX77"/>
    <s v="103018366"/>
    <s v="RANCAGUA"/>
    <x v="5638"/>
    <x v="1"/>
    <x v="1"/>
    <x v="28"/>
    <x v="6"/>
    <n v="0"/>
    <n v="226400"/>
    <n v="0"/>
    <n v="226400"/>
    <n v="43.251504441684972"/>
    <n v="14000"/>
    <n v="37"/>
    <x v="7053"/>
    <x v="10"/>
    <x v="4"/>
    <x v="0"/>
  </r>
  <r>
    <x v="662"/>
    <s v="ZTAN"/>
    <x v="6"/>
    <s v="RX2274"/>
    <s v="100822326"/>
    <s v="LINARES"/>
    <x v="5639"/>
    <x v="0"/>
    <x v="0"/>
    <x v="59"/>
    <x v="3"/>
    <n v="0"/>
    <n v="420000"/>
    <n v="0"/>
    <n v="420000"/>
    <n v="52.381617544349773"/>
    <n v="14000"/>
    <n v="32"/>
    <x v="7054"/>
    <x v="10"/>
    <x v="4"/>
    <x v="0"/>
  </r>
  <r>
    <x v="662"/>
    <s v="ZTAN"/>
    <x v="103"/>
    <s v="SU9354"/>
    <s v="72564391"/>
    <s v="SANTIAGO"/>
    <x v="5640"/>
    <x v="2"/>
    <x v="1"/>
    <x v="20"/>
    <x v="1"/>
    <n v="1"/>
    <n v="129360"/>
    <n v="0"/>
    <n v="129360"/>
    <n v="11"/>
    <n v="5000"/>
    <n v="100"/>
    <x v="7055"/>
    <x v="10"/>
    <x v="4"/>
    <x v="1"/>
  </r>
  <r>
    <x v="662"/>
    <s v="ZTAN"/>
    <x v="7"/>
    <s v="PBFY95"/>
    <s v="17510674K"/>
    <s v="CORONEL"/>
    <x v="5641"/>
    <x v="0"/>
    <x v="0"/>
    <x v="16"/>
    <x v="0"/>
    <n v="0"/>
    <n v="528000"/>
    <n v="0"/>
    <n v="528000"/>
    <n v="36.292850308489228"/>
    <n v="14000"/>
    <n v="100"/>
    <x v="7056"/>
    <x v="10"/>
    <x v="4"/>
    <x v="0"/>
  </r>
  <r>
    <x v="662"/>
    <s v="ZTAN"/>
    <x v="7"/>
    <s v="WG4022"/>
    <s v="154837728"/>
    <s v="RENCA"/>
    <x v="5642"/>
    <x v="1"/>
    <x v="0"/>
    <x v="7"/>
    <x v="1"/>
    <n v="1"/>
    <n v="166514"/>
    <n v="0"/>
    <n v="166514"/>
    <n v="10.999982824293847"/>
    <n v="5000"/>
    <n v="100"/>
    <x v="7057"/>
    <x v="10"/>
    <x v="4"/>
    <x v="1"/>
  </r>
  <r>
    <x v="662"/>
    <s v="ZTAN"/>
    <x v="8"/>
    <s v="RWTG52"/>
    <s v="276547747"/>
    <s v="TALAGANTE"/>
    <x v="905"/>
    <x v="0"/>
    <x v="0"/>
    <x v="50"/>
    <x v="1"/>
    <n v="4"/>
    <n v="69173"/>
    <n v="0"/>
    <n v="69173"/>
    <n v="27.571047072422175"/>
    <n v="5000"/>
    <n v="50"/>
    <x v="7058"/>
    <x v="10"/>
    <x v="4"/>
    <x v="1"/>
  </r>
  <r>
    <x v="662"/>
    <s v="ZTAN"/>
    <x v="8"/>
    <s v="XR6339"/>
    <s v="78907355"/>
    <s v="PUDAHUEL"/>
    <x v="5643"/>
    <x v="1"/>
    <x v="1"/>
    <x v="10"/>
    <x v="1"/>
    <n v="1"/>
    <n v="69173"/>
    <n v="0"/>
    <n v="69173"/>
    <n v="19.027721998800676"/>
    <n v="5000"/>
    <n v="73"/>
    <x v="7059"/>
    <x v="10"/>
    <x v="4"/>
    <x v="1"/>
  </r>
  <r>
    <x v="663"/>
    <s v="ZPEP"/>
    <x v="103"/>
    <s v="XR6339"/>
    <n v="78907355"/>
    <s v="SANTIAGO"/>
    <x v="5644"/>
    <x v="1"/>
    <x v="1"/>
    <x v="20"/>
    <x v="1"/>
    <n v="1"/>
    <n v="69173"/>
    <n v="0"/>
    <n v="69173"/>
    <n v="18.752168726957283"/>
    <n v="5000"/>
    <n v="74"/>
    <x v="7060"/>
    <x v="10"/>
    <x v="4"/>
    <x v="1"/>
  </r>
  <r>
    <x v="663"/>
    <s v="ZTAN"/>
    <x v="5"/>
    <s v="WD7700"/>
    <n v="73835526"/>
    <s v="LAS CONDES"/>
    <x v="5645"/>
    <x v="0"/>
    <x v="0"/>
    <x v="3"/>
    <x v="1"/>
    <n v="4"/>
    <n v="69173"/>
    <n v="0"/>
    <n v="69173"/>
    <n v="10.84726360357535"/>
    <n v="5000"/>
    <n v="80"/>
    <x v="7061"/>
    <x v="10"/>
    <x v="4"/>
    <x v="1"/>
  </r>
  <r>
    <x v="663"/>
    <s v="ZTAN"/>
    <x v="10"/>
    <s v="SU9354"/>
    <n v="72564391"/>
    <s v="COQUIMBO"/>
    <x v="5646"/>
    <x v="2"/>
    <x v="1"/>
    <x v="42"/>
    <x v="8"/>
    <n v="0"/>
    <n v="800000"/>
    <n v="0"/>
    <n v="800000"/>
    <n v="95.909461468373848"/>
    <n v="14000"/>
    <n v="65"/>
    <x v="7062"/>
    <x v="10"/>
    <x v="4"/>
    <x v="0"/>
  </r>
  <r>
    <x v="663"/>
    <s v="ZTAN"/>
    <x v="7"/>
    <s v="UA7248"/>
    <n v="99626232"/>
    <s v="SAN MIGUEL"/>
    <x v="5647"/>
    <x v="1"/>
    <x v="1"/>
    <x v="23"/>
    <x v="1"/>
    <n v="2"/>
    <n v="69173"/>
    <n v="0"/>
    <n v="69173"/>
    <n v="16.385493651696041"/>
    <n v="5000"/>
    <n v="84"/>
    <x v="7063"/>
    <x v="10"/>
    <x v="4"/>
    <x v="1"/>
  </r>
  <r>
    <x v="663"/>
    <s v="ZTAN"/>
    <x v="7"/>
    <s v="WC2233"/>
    <n v="125108660"/>
    <s v="MELIPILLA"/>
    <x v="5648"/>
    <x v="4"/>
    <x v="1"/>
    <x v="29"/>
    <x v="1"/>
    <n v="5"/>
    <n v="112500"/>
    <n v="0"/>
    <n v="112500"/>
    <n v="37.003414181681826"/>
    <n v="10000"/>
    <n v="30"/>
    <x v="7064"/>
    <x v="10"/>
    <x v="4"/>
    <x v="1"/>
  </r>
  <r>
    <x v="663"/>
    <s v="ZTAN"/>
    <x v="8"/>
    <s v="SV2718"/>
    <n v="107643206"/>
    <s v="PUDAHUEL"/>
    <x v="5649"/>
    <x v="1"/>
    <x v="1"/>
    <x v="10"/>
    <x v="1"/>
    <n v="1"/>
    <n v="69173"/>
    <n v="0"/>
    <n v="69173"/>
    <n v="25.963111985226774"/>
    <n v="5000"/>
    <n v="53"/>
    <x v="7065"/>
    <x v="10"/>
    <x v="4"/>
    <x v="1"/>
  </r>
  <r>
    <x v="663"/>
    <s v="ZTAN"/>
    <x v="8"/>
    <s v="XR6339"/>
    <n v="78907355"/>
    <s v="BUIN"/>
    <x v="5650"/>
    <x v="1"/>
    <x v="1"/>
    <x v="56"/>
    <x v="1"/>
    <n v="5"/>
    <n v="112500"/>
    <n v="0"/>
    <n v="112500"/>
    <n v="39.792020373514433"/>
    <n v="10000"/>
    <n v="28"/>
    <x v="7066"/>
    <x v="10"/>
    <x v="4"/>
    <x v="1"/>
  </r>
  <r>
    <x v="664"/>
    <s v="ZTAN"/>
    <x v="6"/>
    <s v="SV2718"/>
    <n v="107643206"/>
    <s v="LA REINA"/>
    <x v="5651"/>
    <x v="1"/>
    <x v="1"/>
    <x v="11"/>
    <x v="1"/>
    <n v="3"/>
    <n v="69173"/>
    <n v="0"/>
    <n v="69173"/>
    <n v="22.962753950338598"/>
    <n v="5000"/>
    <n v="60"/>
    <x v="7067"/>
    <x v="10"/>
    <x v="4"/>
    <x v="1"/>
  </r>
  <r>
    <x v="664"/>
    <s v="ZTAN"/>
    <x v="7"/>
    <s v="HLBX77"/>
    <n v="81417709"/>
    <s v="RENCA"/>
    <x v="5652"/>
    <x v="1"/>
    <x v="1"/>
    <x v="7"/>
    <x v="1"/>
    <n v="1"/>
    <n v="129875"/>
    <n v="0"/>
    <n v="129875"/>
    <n v="11.000016939390861"/>
    <n v="5000"/>
    <n v="100"/>
    <x v="7068"/>
    <x v="10"/>
    <x v="4"/>
    <x v="1"/>
  </r>
  <r>
    <x v="664"/>
    <s v="ZTAN"/>
    <x v="7"/>
    <s v="WG4022"/>
    <n v="154837728"/>
    <s v="RENCA"/>
    <x v="5653"/>
    <x v="1"/>
    <x v="0"/>
    <x v="7"/>
    <x v="1"/>
    <n v="1"/>
    <n v="222733"/>
    <n v="0"/>
    <n v="222733"/>
    <n v="10.99998073930451"/>
    <n v="5000"/>
    <n v="100"/>
    <x v="7069"/>
    <x v="10"/>
    <x v="4"/>
    <x v="1"/>
  </r>
  <r>
    <x v="664"/>
    <s v="ZTAN"/>
    <x v="8"/>
    <s v="UA7248"/>
    <n v="99626232"/>
    <s v="LAS CONDES"/>
    <x v="5654"/>
    <x v="1"/>
    <x v="1"/>
    <x v="3"/>
    <x v="1"/>
    <n v="4"/>
    <n v="69173"/>
    <n v="0"/>
    <n v="69173"/>
    <n v="22.461099854530332"/>
    <n v="5000"/>
    <n v="62"/>
    <x v="7070"/>
    <x v="10"/>
    <x v="4"/>
    <x v="1"/>
  </r>
  <r>
    <x v="665"/>
    <s v="ZPEP"/>
    <x v="5"/>
    <s v="WD7700"/>
    <n v="73835526"/>
    <s v="SAN BERNARDO"/>
    <x v="5655"/>
    <x v="0"/>
    <x v="0"/>
    <x v="4"/>
    <x v="1"/>
    <n v="4"/>
    <n v="69173"/>
    <n v="0"/>
    <n v="69173"/>
    <n v="17.220879254931152"/>
    <n v="5000"/>
    <n v="80"/>
    <x v="7071"/>
    <x v="10"/>
    <x v="4"/>
    <x v="1"/>
  </r>
  <r>
    <x v="665"/>
    <s v="ZPEP"/>
    <x v="5"/>
    <s v="XR6339"/>
    <n v="78907355"/>
    <s v="SAN BERNARDO"/>
    <x v="5656"/>
    <x v="1"/>
    <x v="1"/>
    <x v="4"/>
    <x v="1"/>
    <n v="4"/>
    <n v="69173"/>
    <n v="0"/>
    <n v="69173"/>
    <n v="20.79652935198936"/>
    <n v="5000"/>
    <n v="67"/>
    <x v="7072"/>
    <x v="10"/>
    <x v="4"/>
    <x v="1"/>
  </r>
  <r>
    <x v="665"/>
    <s v="ZPEP"/>
    <x v="2"/>
    <s v="DKDL88"/>
    <n v="122975819"/>
    <s v="TALCA"/>
    <x v="5657"/>
    <x v="0"/>
    <x v="0"/>
    <x v="12"/>
    <x v="3"/>
    <n v="0"/>
    <n v="402000"/>
    <n v="0"/>
    <n v="402000"/>
    <n v="22.027517959002513"/>
    <n v="14000"/>
    <n v="100"/>
    <x v="7073"/>
    <x v="10"/>
    <x v="4"/>
    <x v="0"/>
  </r>
  <r>
    <x v="665"/>
    <s v="ZPEP"/>
    <x v="103"/>
    <s v="SU9354"/>
    <n v="72564391"/>
    <s v="SANTIAGO"/>
    <x v="5658"/>
    <x v="2"/>
    <x v="1"/>
    <x v="20"/>
    <x v="1"/>
    <n v="1"/>
    <n v="55273"/>
    <n v="0"/>
    <n v="55273"/>
    <n v="11.000039802579202"/>
    <n v="5000"/>
    <n v="100"/>
    <x v="7074"/>
    <x v="10"/>
    <x v="4"/>
    <x v="1"/>
  </r>
  <r>
    <x v="665"/>
    <s v="ZTAN"/>
    <x v="10"/>
    <s v="DJLF85"/>
    <n v="53173292"/>
    <s v="QUILICURA"/>
    <x v="5659"/>
    <x v="4"/>
    <x v="1"/>
    <x v="8"/>
    <x v="1"/>
    <n v="1"/>
    <n v="80032"/>
    <n v="0"/>
    <n v="80032"/>
    <n v="10.999964264410377"/>
    <n v="5000"/>
    <n v="100"/>
    <x v="7075"/>
    <x v="10"/>
    <x v="4"/>
    <x v="1"/>
  </r>
  <r>
    <x v="665"/>
    <s v="ZTAN"/>
    <x v="10"/>
    <s v="RH1133"/>
    <n v="65941082"/>
    <s v="QUILICURA"/>
    <x v="5660"/>
    <x v="0"/>
    <x v="0"/>
    <x v="8"/>
    <x v="1"/>
    <n v="1"/>
    <n v="216401"/>
    <n v="0"/>
    <n v="216401"/>
    <n v="11.000010166321019"/>
    <n v="5000"/>
    <n v="100"/>
    <x v="7076"/>
    <x v="10"/>
    <x v="4"/>
    <x v="1"/>
  </r>
  <r>
    <x v="665"/>
    <s v="ZTAN"/>
    <x v="105"/>
    <s v="KKPF51"/>
    <n v="95707734"/>
    <s v="VALPARAISO"/>
    <x v="5661"/>
    <x v="8"/>
    <x v="0"/>
    <x v="36"/>
    <x v="2"/>
    <n v="0"/>
    <n v="289000"/>
    <n v="0"/>
    <n v="289000"/>
    <n v="37.932184080032982"/>
    <n v="14000"/>
    <n v="54"/>
    <x v="7077"/>
    <x v="10"/>
    <x v="4"/>
    <x v="0"/>
  </r>
  <r>
    <x v="665"/>
    <s v="ZTAN"/>
    <x v="7"/>
    <s v="HLBX77"/>
    <n v="81417709"/>
    <s v="RENCA"/>
    <x v="5662"/>
    <x v="1"/>
    <x v="1"/>
    <x v="7"/>
    <x v="1"/>
    <n v="1"/>
    <n v="104071"/>
    <n v="0"/>
    <n v="104071"/>
    <n v="10.999999999999998"/>
    <n v="5000"/>
    <n v="100"/>
    <x v="7078"/>
    <x v="10"/>
    <x v="4"/>
    <x v="1"/>
  </r>
  <r>
    <x v="665"/>
    <s v="ZTAN"/>
    <x v="7"/>
    <s v="WD7700"/>
    <n v="73835526"/>
    <s v="SANTIAGO"/>
    <x v="5663"/>
    <x v="0"/>
    <x v="0"/>
    <x v="20"/>
    <x v="1"/>
    <n v="1"/>
    <n v="69173"/>
    <n v="0"/>
    <n v="69173"/>
    <n v="23.299123247252361"/>
    <n v="5000"/>
    <n v="59"/>
    <x v="7079"/>
    <x v="10"/>
    <x v="4"/>
    <x v="1"/>
  </r>
  <r>
    <x v="665"/>
    <s v="ZTAN"/>
    <x v="7"/>
    <s v="WG4022"/>
    <n v="154837728"/>
    <s v="RENCA"/>
    <x v="5664"/>
    <x v="1"/>
    <x v="0"/>
    <x v="7"/>
    <x v="1"/>
    <n v="1"/>
    <n v="194163"/>
    <n v="0"/>
    <n v="194163"/>
    <n v="10.999988669325605"/>
    <n v="5000"/>
    <n v="100"/>
    <x v="7080"/>
    <x v="10"/>
    <x v="4"/>
    <x v="1"/>
  </r>
  <r>
    <x v="665"/>
    <s v="ZTAN"/>
    <x v="99"/>
    <s v="PPPW97"/>
    <n v="116995093"/>
    <s v="SANTIAGO"/>
    <x v="5665"/>
    <x v="0"/>
    <x v="0"/>
    <x v="20"/>
    <x v="1"/>
    <n v="1"/>
    <n v="216062"/>
    <n v="0"/>
    <n v="216062"/>
    <n v="11"/>
    <n v="5000"/>
    <n v="100"/>
    <x v="7081"/>
    <x v="10"/>
    <x v="4"/>
    <x v="1"/>
  </r>
  <r>
    <x v="665"/>
    <s v="ZTAN"/>
    <x v="8"/>
    <s v="DRFV76"/>
    <n v="113693568"/>
    <s v="VILLARRICA"/>
    <x v="5666"/>
    <x v="0"/>
    <x v="0"/>
    <x v="88"/>
    <x v="4"/>
    <n v="0"/>
    <n v="1000000"/>
    <n v="0"/>
    <n v="1000000"/>
    <n v="150.41393916056992"/>
    <n v="14000"/>
    <n v="47"/>
    <x v="7082"/>
    <x v="10"/>
    <x v="4"/>
    <x v="0"/>
  </r>
  <r>
    <x v="665"/>
    <s v="ZTAN"/>
    <x v="8"/>
    <s v="RWTG52"/>
    <n v="276547747"/>
    <s v="TALAGANTE"/>
    <x v="5667"/>
    <x v="0"/>
    <x v="0"/>
    <x v="50"/>
    <x v="1"/>
    <n v="4"/>
    <n v="69173"/>
    <n v="0"/>
    <n v="69173"/>
    <n v="26.518508863399376"/>
    <n v="5000"/>
    <n v="52"/>
    <x v="7083"/>
    <x v="10"/>
    <x v="4"/>
    <x v="1"/>
  </r>
  <r>
    <x v="665"/>
    <s v="ZTAN"/>
    <x v="8"/>
    <s v="SV2718"/>
    <n v="107643206"/>
    <s v="ÑUÑOA"/>
    <x v="5668"/>
    <x v="1"/>
    <x v="1"/>
    <x v="15"/>
    <x v="1"/>
    <n v="4"/>
    <n v="69173"/>
    <n v="0"/>
    <n v="69173"/>
    <n v="27.671413713097046"/>
    <n v="5000"/>
    <n v="50"/>
    <x v="7084"/>
    <x v="10"/>
    <x v="4"/>
    <x v="1"/>
  </r>
  <r>
    <x v="665"/>
    <s v="ZTAN"/>
    <x v="8"/>
    <s v="UA7248"/>
    <n v="99626232"/>
    <s v="LA REINA"/>
    <x v="5669"/>
    <x v="1"/>
    <x v="1"/>
    <x v="11"/>
    <x v="1"/>
    <n v="3"/>
    <n v="69173"/>
    <n v="0"/>
    <n v="69173"/>
    <n v="22.252998249948529"/>
    <n v="5000"/>
    <n v="62"/>
    <x v="7085"/>
    <x v="10"/>
    <x v="4"/>
    <x v="1"/>
  </r>
  <r>
    <x v="666"/>
    <s v="ZPEP"/>
    <x v="5"/>
    <s v="SU9354"/>
    <n v="72564391"/>
    <s v="BUIN"/>
    <x v="5670"/>
    <x v="2"/>
    <x v="1"/>
    <x v="56"/>
    <x v="1"/>
    <n v="5"/>
    <n v="112500"/>
    <n v="0"/>
    <n v="112500"/>
    <n v="20.743139091505828"/>
    <n v="10000"/>
    <n v="54"/>
    <x v="7086"/>
    <x v="10"/>
    <x v="4"/>
    <x v="1"/>
  </r>
  <r>
    <x v="666"/>
    <s v="ZPEP"/>
    <x v="5"/>
    <s v="WC2233"/>
    <n v="125108660"/>
    <s v="BUIN"/>
    <x v="5671"/>
    <x v="4"/>
    <x v="1"/>
    <x v="56"/>
    <x v="1"/>
    <n v="5"/>
    <n v="112500"/>
    <n v="0"/>
    <n v="112500"/>
    <n v="17.828814851323532"/>
    <n v="10000"/>
    <n v="63"/>
    <x v="7087"/>
    <x v="10"/>
    <x v="4"/>
    <x v="1"/>
  </r>
  <r>
    <x v="666"/>
    <s v="ZTAN"/>
    <x v="6"/>
    <s v="RH1133"/>
    <n v="65941082"/>
    <s v="VIÑA DEL MAR"/>
    <x v="5672"/>
    <x v="0"/>
    <x v="0"/>
    <x v="6"/>
    <x v="2"/>
    <n v="0"/>
    <n v="300000"/>
    <n v="0"/>
    <n v="300000"/>
    <n v="67.446043165467628"/>
    <n v="14000"/>
    <n v="45"/>
    <x v="7088"/>
    <x v="10"/>
    <x v="4"/>
    <x v="0"/>
  </r>
  <r>
    <x v="667"/>
    <s v="ZPEP"/>
    <x v="5"/>
    <s v="SU9354"/>
    <n v="72564391"/>
    <s v="BUIN"/>
    <x v="5673"/>
    <x v="2"/>
    <x v="1"/>
    <x v="56"/>
    <x v="1"/>
    <n v="5"/>
    <n v="112500"/>
    <n v="0"/>
    <n v="112500"/>
    <n v="29.707284226092238"/>
    <n v="10000"/>
    <n v="38"/>
    <x v="7089"/>
    <x v="11"/>
    <x v="4"/>
    <x v="1"/>
  </r>
  <r>
    <x v="667"/>
    <s v="ZPEP"/>
    <x v="103"/>
    <s v="WD7700"/>
    <n v="73835526"/>
    <s v="SANTIAGO"/>
    <x v="5674"/>
    <x v="0"/>
    <x v="0"/>
    <x v="20"/>
    <x v="1"/>
    <n v="1"/>
    <n v="69173"/>
    <n v="0"/>
    <n v="69173"/>
    <n v="14.727686935786075"/>
    <n v="5000"/>
    <n v="94"/>
    <x v="7090"/>
    <x v="11"/>
    <x v="4"/>
    <x v="1"/>
  </r>
  <r>
    <x v="667"/>
    <s v="ZTAN"/>
    <x v="10"/>
    <s v="KKPF51"/>
    <n v="95707734"/>
    <s v="QUILICURA"/>
    <x v="5675"/>
    <x v="8"/>
    <x v="0"/>
    <x v="8"/>
    <x v="1"/>
    <n v="1"/>
    <n v="96054"/>
    <n v="0"/>
    <n v="96054"/>
    <n v="10.999977096264402"/>
    <n v="5000"/>
    <n v="100"/>
    <x v="7091"/>
    <x v="11"/>
    <x v="4"/>
    <x v="1"/>
  </r>
  <r>
    <x v="667"/>
    <s v="ZTAN"/>
    <x v="7"/>
    <s v="WD7700"/>
    <n v="73835526"/>
    <s v="SAN MIGUEL"/>
    <x v="5676"/>
    <x v="0"/>
    <x v="0"/>
    <x v="23"/>
    <x v="1"/>
    <n v="2"/>
    <n v="69173"/>
    <n v="0"/>
    <n v="69173"/>
    <n v="13.681855762270018"/>
    <n v="5000"/>
    <n v="96"/>
    <x v="7092"/>
    <x v="11"/>
    <x v="4"/>
    <x v="1"/>
  </r>
  <r>
    <x v="667"/>
    <s v="ZTAN"/>
    <x v="8"/>
    <s v="RWTG52"/>
    <n v="276547747"/>
    <s v="LA FLORIDA"/>
    <x v="5677"/>
    <x v="0"/>
    <x v="0"/>
    <x v="33"/>
    <x v="1"/>
    <n v="3"/>
    <n v="69173"/>
    <n v="0"/>
    <n v="69173"/>
    <n v="22.397681647454991"/>
    <n v="5000"/>
    <n v="62"/>
    <x v="7093"/>
    <x v="11"/>
    <x v="4"/>
    <x v="1"/>
  </r>
  <r>
    <x v="667"/>
    <s v="ZTAN"/>
    <x v="8"/>
    <s v="SU2718"/>
    <n v="107643206"/>
    <s v="PUENTE ALTO"/>
    <x v="5622"/>
    <x v="0"/>
    <x v="0"/>
    <x v="30"/>
    <x v="1"/>
    <n v="4"/>
    <n v="69173"/>
    <n v="0"/>
    <n v="69173"/>
    <n v="27.782552815487186"/>
    <n v="5000"/>
    <n v="50"/>
    <x v="7094"/>
    <x v="11"/>
    <x v="4"/>
    <x v="1"/>
  </r>
  <r>
    <x v="667"/>
    <s v="ZTAN"/>
    <x v="8"/>
    <s v="UA7248"/>
    <n v="99626232"/>
    <s v="ÑUÑOA"/>
    <x v="5678"/>
    <x v="1"/>
    <x v="1"/>
    <x v="15"/>
    <x v="1"/>
    <n v="4"/>
    <n v="69173"/>
    <n v="0"/>
    <n v="69173"/>
    <n v="27.000452785410943"/>
    <n v="5000"/>
    <n v="51"/>
    <x v="7095"/>
    <x v="11"/>
    <x v="4"/>
    <x v="1"/>
  </r>
  <r>
    <x v="667"/>
    <s v="ZTAN"/>
    <x v="8"/>
    <s v="XR6339"/>
    <n v="78907355"/>
    <s v="CERRILLOS"/>
    <x v="5679"/>
    <x v="1"/>
    <x v="1"/>
    <x v="9"/>
    <x v="1"/>
    <n v="2"/>
    <n v="69173"/>
    <n v="0"/>
    <n v="69173"/>
    <n v="25.96818031654503"/>
    <n v="5000"/>
    <n v="53"/>
    <x v="7096"/>
    <x v="11"/>
    <x v="4"/>
    <x v="1"/>
  </r>
  <r>
    <x v="668"/>
    <s v="ZPEP"/>
    <x v="2"/>
    <s v="DKDL88"/>
    <n v="122975819"/>
    <s v="TALCA"/>
    <x v="5680"/>
    <x v="0"/>
    <x v="0"/>
    <x v="12"/>
    <x v="3"/>
    <n v="0"/>
    <n v="402000"/>
    <n v="0"/>
    <n v="402000"/>
    <n v="63.027186353516669"/>
    <n v="14000"/>
    <n v="46"/>
    <x v="7097"/>
    <x v="11"/>
    <x v="4"/>
    <x v="0"/>
  </r>
  <r>
    <x v="668"/>
    <s v="ZPEP"/>
    <x v="120"/>
    <s v="DJLF85"/>
    <n v="125108660"/>
    <s v="PEÑALOLEN"/>
    <x v="5681"/>
    <x v="4"/>
    <x v="1"/>
    <x v="34"/>
    <x v="1"/>
    <n v="4"/>
    <n v="75692"/>
    <n v="0"/>
    <n v="75692"/>
    <n v="11.000033425034189"/>
    <n v="5000"/>
    <n v="100"/>
    <x v="7098"/>
    <x v="11"/>
    <x v="4"/>
    <x v="1"/>
  </r>
  <r>
    <x v="668"/>
    <s v="ZTAN"/>
    <x v="10"/>
    <s v="SU9354"/>
    <n v="72564391"/>
    <s v="COLINA"/>
    <x v="5682"/>
    <x v="2"/>
    <x v="1"/>
    <x v="5"/>
    <x v="1"/>
    <n v="5"/>
    <n v="112500"/>
    <n v="0"/>
    <n v="112500"/>
    <n v="16.21853064437304"/>
    <n v="10000"/>
    <n v="69"/>
    <x v="7099"/>
    <x v="11"/>
    <x v="4"/>
    <x v="1"/>
  </r>
  <r>
    <x v="668"/>
    <s v="ZTAN"/>
    <x v="144"/>
    <s v="WD7700"/>
    <n v="73835526"/>
    <s v="LAS CONDES"/>
    <x v="5683"/>
    <x v="0"/>
    <x v="0"/>
    <x v="3"/>
    <x v="1"/>
    <n v="4"/>
    <n v="69173"/>
    <n v="0"/>
    <n v="69173"/>
    <n v="27.670970942140297"/>
    <n v="5000"/>
    <n v="50"/>
    <x v="7100"/>
    <x v="11"/>
    <x v="4"/>
    <x v="1"/>
  </r>
  <r>
    <x v="668"/>
    <s v="ZTAN"/>
    <x v="7"/>
    <s v="HLBX77"/>
    <n v="81417709"/>
    <s v="RENCA"/>
    <x v="5684"/>
    <x v="1"/>
    <x v="1"/>
    <x v="7"/>
    <x v="1"/>
    <n v="1"/>
    <n v="137118"/>
    <n v="0"/>
    <n v="137118"/>
    <n v="11.000020055754991"/>
    <n v="5000"/>
    <n v="100"/>
    <x v="7101"/>
    <x v="11"/>
    <x v="4"/>
    <x v="1"/>
  </r>
  <r>
    <x v="668"/>
    <s v="ZTAN"/>
    <x v="7"/>
    <s v="WG4022"/>
    <n v="154837728"/>
    <s v="RENCA"/>
    <x v="5685"/>
    <x v="1"/>
    <x v="0"/>
    <x v="7"/>
    <x v="1"/>
    <n v="1"/>
    <n v="208877"/>
    <n v="0"/>
    <n v="208877"/>
    <n v="11.00001053252443"/>
    <n v="5000"/>
    <n v="100"/>
    <x v="7102"/>
    <x v="11"/>
    <x v="4"/>
    <x v="1"/>
  </r>
  <r>
    <x v="668"/>
    <s v="ZTAN"/>
    <x v="7"/>
    <s v="YG5635"/>
    <n v="93321006"/>
    <s v="CORONEL"/>
    <x v="5686"/>
    <x v="0"/>
    <x v="0"/>
    <x v="16"/>
    <x v="0"/>
    <n v="0"/>
    <n v="528000"/>
    <n v="0"/>
    <n v="528000"/>
    <n v="29.074569663329697"/>
    <n v="14000"/>
    <n v="100"/>
    <x v="7103"/>
    <x v="11"/>
    <x v="4"/>
    <x v="0"/>
  </r>
  <r>
    <x v="668"/>
    <s v="ZTAN"/>
    <x v="8"/>
    <s v="SU9354"/>
    <n v="72564391"/>
    <s v="REÑACA"/>
    <x v="5687"/>
    <x v="2"/>
    <x v="1"/>
    <x v="6"/>
    <x v="2"/>
    <n v="0"/>
    <n v="227000"/>
    <n v="0"/>
    <n v="227000"/>
    <n v="53.705819865475206"/>
    <n v="14000"/>
    <n v="30"/>
    <x v="7104"/>
    <x v="11"/>
    <x v="4"/>
    <x v="0"/>
  </r>
  <r>
    <x v="668"/>
    <s v="ZTAN"/>
    <x v="8"/>
    <s v="SV2718"/>
    <n v="107643206"/>
    <s v="LA REINA"/>
    <x v="5688"/>
    <x v="1"/>
    <x v="1"/>
    <x v="11"/>
    <x v="1"/>
    <n v="3"/>
    <n v="69173"/>
    <n v="0"/>
    <n v="69173"/>
    <n v="23.89164433146362"/>
    <n v="5000"/>
    <n v="58"/>
    <x v="7105"/>
    <x v="11"/>
    <x v="4"/>
    <x v="1"/>
  </r>
  <r>
    <x v="668"/>
    <s v="ZTAN"/>
    <x v="8"/>
    <s v="UA7248"/>
    <n v="99626232"/>
    <s v="QUILICURA"/>
    <x v="5689"/>
    <x v="1"/>
    <x v="1"/>
    <x v="8"/>
    <x v="1"/>
    <n v="1"/>
    <n v="69173"/>
    <n v="0"/>
    <n v="69173"/>
    <n v="22.329429538000671"/>
    <n v="5000"/>
    <n v="62"/>
    <x v="7106"/>
    <x v="11"/>
    <x v="4"/>
    <x v="1"/>
  </r>
  <r>
    <x v="668"/>
    <s v="ZPEP"/>
    <x v="2"/>
    <s v="DKDL88"/>
    <n v="122975819"/>
    <s v="TALCA"/>
    <x v="5680"/>
    <x v="0"/>
    <x v="0"/>
    <x v="12"/>
    <x v="3"/>
    <n v="0"/>
    <n v="402000"/>
    <n v="0"/>
    <n v="402000"/>
    <n v="63.027186353516669"/>
    <n v="14000"/>
    <n v="46"/>
    <x v="7097"/>
    <x v="11"/>
    <x v="4"/>
    <x v="0"/>
  </r>
  <r>
    <x v="668"/>
    <s v="ZPEP"/>
    <x v="120"/>
    <s v="DJLF85"/>
    <n v="125108660"/>
    <s v="PEÑALOLEN"/>
    <x v="5681"/>
    <x v="4"/>
    <x v="1"/>
    <x v="34"/>
    <x v="1"/>
    <n v="4"/>
    <n v="75692"/>
    <n v="0"/>
    <n v="75692"/>
    <n v="11.000033425034189"/>
    <n v="5000"/>
    <n v="100"/>
    <x v="7098"/>
    <x v="11"/>
    <x v="4"/>
    <x v="1"/>
  </r>
  <r>
    <x v="668"/>
    <s v="ZTAN"/>
    <x v="10"/>
    <s v="SU9354"/>
    <n v="72564391"/>
    <s v="COLINA"/>
    <x v="5682"/>
    <x v="2"/>
    <x v="1"/>
    <x v="5"/>
    <x v="1"/>
    <n v="5"/>
    <n v="112500"/>
    <n v="0"/>
    <n v="112500"/>
    <n v="16.21853064437304"/>
    <n v="10000"/>
    <n v="69"/>
    <x v="7099"/>
    <x v="11"/>
    <x v="4"/>
    <x v="1"/>
  </r>
  <r>
    <x v="668"/>
    <s v="ZTAN"/>
    <x v="144"/>
    <s v="WD7700"/>
    <n v="73835526"/>
    <s v="LAS CONDES"/>
    <x v="5683"/>
    <x v="0"/>
    <x v="0"/>
    <x v="3"/>
    <x v="1"/>
    <n v="4"/>
    <n v="69173"/>
    <n v="0"/>
    <n v="69173"/>
    <n v="27.670970942140297"/>
    <n v="5000"/>
    <n v="50"/>
    <x v="7100"/>
    <x v="11"/>
    <x v="4"/>
    <x v="1"/>
  </r>
  <r>
    <x v="668"/>
    <s v="ZTAN"/>
    <x v="7"/>
    <s v="HLBX"/>
    <n v="81417709"/>
    <s v="RENCA"/>
    <x v="5690"/>
    <x v="0"/>
    <x v="0"/>
    <x v="7"/>
    <x v="1"/>
    <n v="1"/>
    <n v="69173"/>
    <n v="0"/>
    <n v="69173"/>
    <n v="212.84"/>
    <n v="5000"/>
    <n v="6"/>
    <x v="7107"/>
    <x v="11"/>
    <x v="4"/>
    <x v="1"/>
  </r>
  <r>
    <x v="668"/>
    <s v="ZTAN"/>
    <x v="7"/>
    <s v="HLBX77"/>
    <n v="81417709"/>
    <s v="RENCA"/>
    <x v="5684"/>
    <x v="1"/>
    <x v="1"/>
    <x v="7"/>
    <x v="1"/>
    <n v="1"/>
    <n v="137118"/>
    <n v="0"/>
    <n v="137118"/>
    <n v="11.000020055754991"/>
    <n v="5000"/>
    <n v="100"/>
    <x v="7101"/>
    <x v="11"/>
    <x v="4"/>
    <x v="1"/>
  </r>
  <r>
    <x v="668"/>
    <s v="ZTAN"/>
    <x v="7"/>
    <s v="WG4022"/>
    <n v="154837728"/>
    <s v="RENCA"/>
    <x v="5685"/>
    <x v="1"/>
    <x v="0"/>
    <x v="7"/>
    <x v="1"/>
    <n v="1"/>
    <n v="208877"/>
    <n v="0"/>
    <n v="208877"/>
    <n v="11.00001053252443"/>
    <n v="5000"/>
    <n v="100"/>
    <x v="7102"/>
    <x v="11"/>
    <x v="4"/>
    <x v="1"/>
  </r>
  <r>
    <x v="668"/>
    <s v="ZTAN"/>
    <x v="7"/>
    <s v="YG5635"/>
    <n v="93321006"/>
    <s v="CORONEL"/>
    <x v="5686"/>
    <x v="0"/>
    <x v="0"/>
    <x v="16"/>
    <x v="0"/>
    <n v="0"/>
    <n v="528000"/>
    <n v="0"/>
    <n v="528000"/>
    <n v="29.074569663329697"/>
    <n v="14000"/>
    <n v="100"/>
    <x v="7103"/>
    <x v="11"/>
    <x v="4"/>
    <x v="0"/>
  </r>
  <r>
    <x v="668"/>
    <s v="ZTAN"/>
    <x v="8"/>
    <s v="SU9354"/>
    <n v="72564391"/>
    <s v="REÑACA"/>
    <x v="5687"/>
    <x v="2"/>
    <x v="1"/>
    <x v="6"/>
    <x v="2"/>
    <n v="0"/>
    <n v="227000"/>
    <n v="0"/>
    <n v="227000"/>
    <n v="53.705819865475206"/>
    <n v="14000"/>
    <n v="30"/>
    <x v="7104"/>
    <x v="11"/>
    <x v="4"/>
    <x v="0"/>
  </r>
  <r>
    <x v="668"/>
    <s v="ZTAN"/>
    <x v="8"/>
    <s v="SV2718"/>
    <n v="107643206"/>
    <s v="LA REINA"/>
    <x v="5688"/>
    <x v="1"/>
    <x v="1"/>
    <x v="11"/>
    <x v="1"/>
    <n v="3"/>
    <n v="69173"/>
    <n v="0"/>
    <n v="69173"/>
    <n v="23.89164433146362"/>
    <n v="5000"/>
    <n v="58"/>
    <x v="7105"/>
    <x v="11"/>
    <x v="4"/>
    <x v="1"/>
  </r>
  <r>
    <x v="668"/>
    <s v="ZTAN"/>
    <x v="8"/>
    <s v="UA7248"/>
    <n v="99626232"/>
    <s v="QUILICURA"/>
    <x v="5689"/>
    <x v="1"/>
    <x v="1"/>
    <x v="8"/>
    <x v="1"/>
    <n v="1"/>
    <n v="69173"/>
    <n v="0"/>
    <n v="69173"/>
    <n v="22.329429538000671"/>
    <n v="5000"/>
    <n v="62"/>
    <x v="7106"/>
    <x v="11"/>
    <x v="4"/>
    <x v="1"/>
  </r>
  <r>
    <x v="669"/>
    <s v="ZPEP"/>
    <x v="103"/>
    <s v="WD7700"/>
    <n v="73835526"/>
    <s v="SANTIAGO"/>
    <x v="5691"/>
    <x v="0"/>
    <x v="0"/>
    <x v="20"/>
    <x v="1"/>
    <n v="1"/>
    <n v="105732"/>
    <n v="0"/>
    <n v="105732"/>
    <n v="11"/>
    <n v="5000"/>
    <n v="100"/>
    <x v="7108"/>
    <x v="11"/>
    <x v="4"/>
    <x v="1"/>
  </r>
  <r>
    <x v="669"/>
    <s v="ZTAN"/>
    <x v="4"/>
    <s v="SV2718"/>
    <n v="107643206"/>
    <s v="LAMPA"/>
    <x v="5692"/>
    <x v="1"/>
    <x v="1"/>
    <x v="17"/>
    <x v="1"/>
    <n v="5"/>
    <n v="112500"/>
    <n v="0"/>
    <n v="112500"/>
    <n v="30.160857908847184"/>
    <n v="10000"/>
    <n v="37"/>
    <x v="7109"/>
    <x v="11"/>
    <x v="4"/>
    <x v="1"/>
  </r>
  <r>
    <x v="669"/>
    <s v="ZTAN"/>
    <x v="10"/>
    <s v="XR6339"/>
    <n v="78907355"/>
    <s v="COLINA"/>
    <x v="1381"/>
    <x v="1"/>
    <x v="1"/>
    <x v="5"/>
    <x v="1"/>
    <n v="5"/>
    <n v="112500"/>
    <n v="0"/>
    <n v="112500"/>
    <n v="32.599246595189797"/>
    <n v="10000"/>
    <n v="35"/>
    <x v="7110"/>
    <x v="11"/>
    <x v="4"/>
    <x v="1"/>
  </r>
  <r>
    <x v="669"/>
    <s v="ZTAN"/>
    <x v="66"/>
    <s v="XR6339"/>
    <n v="78907355"/>
    <s v="SANTIAGO"/>
    <x v="5693"/>
    <x v="1"/>
    <x v="1"/>
    <x v="20"/>
    <x v="1"/>
    <n v="1"/>
    <n v="69173"/>
    <n v="0"/>
    <n v="69173"/>
    <n v="14.995881026708295"/>
    <n v="5000"/>
    <n v="92"/>
    <x v="7111"/>
    <x v="11"/>
    <x v="4"/>
    <x v="1"/>
  </r>
  <r>
    <x v="669"/>
    <s v="ZTAN"/>
    <x v="116"/>
    <s v="PBFH81"/>
    <n v="1292210451"/>
    <s v="SANTIAGO"/>
    <x v="479"/>
    <x v="0"/>
    <x v="0"/>
    <x v="20"/>
    <x v="1"/>
    <n v="1"/>
    <n v="103180"/>
    <n v="0"/>
    <n v="103180"/>
    <n v="11.000000000000002"/>
    <n v="5000"/>
    <n v="100"/>
    <x v="7112"/>
    <x v="11"/>
    <x v="4"/>
    <x v="1"/>
  </r>
  <r>
    <x v="669"/>
    <s v="ZTAN"/>
    <x v="7"/>
    <s v="PBFH81"/>
    <n v="129210451"/>
    <s v="CORONEL"/>
    <x v="5694"/>
    <x v="0"/>
    <x v="0"/>
    <x v="16"/>
    <x v="0"/>
    <n v="0"/>
    <n v="528000"/>
    <n v="0"/>
    <n v="528000"/>
    <n v="142.72044632575947"/>
    <n v="14000"/>
    <n v="26"/>
    <x v="7113"/>
    <x v="11"/>
    <x v="4"/>
    <x v="0"/>
  </r>
  <r>
    <x v="669"/>
    <s v="ZTAN"/>
    <x v="7"/>
    <s v="PYCP18"/>
    <n v="968312638"/>
    <s v="CORONEL"/>
    <x v="5695"/>
    <x v="0"/>
    <x v="0"/>
    <x v="16"/>
    <x v="0"/>
    <n v="0"/>
    <n v="528000"/>
    <n v="0"/>
    <n v="528000"/>
    <n v="41.437764872076599"/>
    <n v="14000"/>
    <n v="91"/>
    <x v="7114"/>
    <x v="11"/>
    <x v="4"/>
    <x v="0"/>
  </r>
  <r>
    <x v="669"/>
    <s v="ZTAN"/>
    <x v="7"/>
    <s v="SU9354"/>
    <n v="72564391"/>
    <s v="SANTIAGO"/>
    <x v="5696"/>
    <x v="2"/>
    <x v="1"/>
    <x v="20"/>
    <x v="1"/>
    <n v="1"/>
    <n v="69173"/>
    <n v="0"/>
    <n v="69173"/>
    <n v="22.66480996068152"/>
    <n v="5000"/>
    <n v="61"/>
    <x v="7115"/>
    <x v="11"/>
    <x v="4"/>
    <x v="1"/>
  </r>
  <r>
    <x v="669"/>
    <s v="ZTAN"/>
    <x v="8"/>
    <s v="HLBX77"/>
    <n v="78907355"/>
    <s v="PUDAHUEL"/>
    <x v="5697"/>
    <x v="1"/>
    <x v="1"/>
    <x v="10"/>
    <x v="1"/>
    <n v="1"/>
    <n v="75277"/>
    <n v="0"/>
    <n v="75277"/>
    <n v="11.000005845081949"/>
    <n v="5000"/>
    <n v="100"/>
    <x v="7116"/>
    <x v="11"/>
    <x v="4"/>
    <x v="1"/>
  </r>
  <r>
    <x v="670"/>
    <s v="ZPEP"/>
    <x v="2"/>
    <s v="RJ6819"/>
    <n v="94742285"/>
    <s v="PROVIDENCIA"/>
    <x v="5698"/>
    <x v="5"/>
    <x v="0"/>
    <x v="54"/>
    <x v="1"/>
    <n v="2"/>
    <n v="64476"/>
    <n v="0"/>
    <n v="64476"/>
    <n v="10.999952230494689"/>
    <n v="5000"/>
    <n v="100"/>
    <x v="7117"/>
    <x v="11"/>
    <x v="4"/>
    <x v="1"/>
  </r>
  <r>
    <x v="670"/>
    <s v="ZPEP"/>
    <x v="103"/>
    <s v="DJLF85"/>
    <n v="125108660"/>
    <s v="SANTIAGO"/>
    <x v="5691"/>
    <x v="4"/>
    <x v="1"/>
    <x v="20"/>
    <x v="1"/>
    <n v="1"/>
    <n v="105732"/>
    <n v="0"/>
    <n v="105732"/>
    <n v="11"/>
    <n v="5000"/>
    <n v="100"/>
    <x v="7118"/>
    <x v="11"/>
    <x v="4"/>
    <x v="1"/>
  </r>
  <r>
    <x v="670"/>
    <s v="ZTAN"/>
    <x v="7"/>
    <s v="SU9354"/>
    <n v="72564391"/>
    <s v="MELIPILLA"/>
    <x v="5699"/>
    <x v="2"/>
    <x v="1"/>
    <x v="29"/>
    <x v="1"/>
    <n v="5"/>
    <n v="112500"/>
    <n v="0"/>
    <n v="112500"/>
    <n v="24.034661186051771"/>
    <n v="10000"/>
    <n v="47"/>
    <x v="7119"/>
    <x v="11"/>
    <x v="4"/>
    <x v="1"/>
  </r>
  <r>
    <x v="670"/>
    <s v="ZTAN"/>
    <x v="7"/>
    <s v="WD7700"/>
    <n v="73835526"/>
    <s v="RENCA"/>
    <x v="5700"/>
    <x v="0"/>
    <x v="0"/>
    <x v="7"/>
    <x v="1"/>
    <n v="1"/>
    <n v="98335"/>
    <n v="0"/>
    <n v="98335"/>
    <n v="10.999994406877303"/>
    <n v="5000"/>
    <n v="100"/>
    <x v="7120"/>
    <x v="11"/>
    <x v="4"/>
    <x v="1"/>
  </r>
  <r>
    <x v="670"/>
    <s v="ZTAN"/>
    <x v="7"/>
    <s v="WG4022"/>
    <n v="154837728"/>
    <s v="RENCA"/>
    <x v="5701"/>
    <x v="1"/>
    <x v="0"/>
    <x v="7"/>
    <x v="1"/>
    <n v="1"/>
    <n v="213270"/>
    <n v="0"/>
    <n v="213270"/>
    <n v="10.999978337361553"/>
    <n v="5000"/>
    <n v="100"/>
    <x v="7121"/>
    <x v="11"/>
    <x v="4"/>
    <x v="1"/>
  </r>
  <r>
    <x v="670"/>
    <s v="ZTAN"/>
    <x v="8"/>
    <s v="SV2718"/>
    <n v="107643206"/>
    <s v="TALAGANTE"/>
    <x v="5702"/>
    <x v="1"/>
    <x v="1"/>
    <x v="50"/>
    <x v="1"/>
    <n v="4"/>
    <n v="69173"/>
    <n v="0"/>
    <n v="69173"/>
    <n v="26.042482380579472"/>
    <n v="5000"/>
    <n v="53"/>
    <x v="7122"/>
    <x v="11"/>
    <x v="4"/>
    <x v="1"/>
  </r>
  <r>
    <x v="671"/>
    <s v="ZPEP"/>
    <x v="103"/>
    <s v="DJLF85"/>
    <n v="125108660"/>
    <s v="SANTIAGO"/>
    <x v="5703"/>
    <x v="4"/>
    <x v="1"/>
    <x v="20"/>
    <x v="1"/>
    <n v="1"/>
    <n v="111606"/>
    <n v="0"/>
    <n v="111606"/>
    <n v="11"/>
    <n v="5000"/>
    <n v="100"/>
    <x v="7123"/>
    <x v="11"/>
    <x v="4"/>
    <x v="1"/>
  </r>
  <r>
    <x v="671"/>
    <s v="ZTAN"/>
    <x v="4"/>
    <s v="WD7700"/>
    <n v="73835526"/>
    <s v="VILLA ALEMANA"/>
    <x v="5704"/>
    <x v="0"/>
    <x v="0"/>
    <x v="96"/>
    <x v="2"/>
    <n v="0"/>
    <n v="289000"/>
    <n v="0"/>
    <n v="289000"/>
    <n v="46.464217729073397"/>
    <n v="14000"/>
    <n v="44"/>
    <x v="7124"/>
    <x v="11"/>
    <x v="4"/>
    <x v="0"/>
  </r>
  <r>
    <x v="671"/>
    <s v="ZTAN"/>
    <x v="10"/>
    <s v="XR6339"/>
    <n v="78907355"/>
    <s v="SANTIAGO"/>
    <x v="5705"/>
    <x v="1"/>
    <x v="1"/>
    <x v="20"/>
    <x v="1"/>
    <n v="1"/>
    <n v="88854"/>
    <n v="0"/>
    <n v="88854"/>
    <n v="10.999940576997354"/>
    <n v="5000"/>
    <n v="100"/>
    <x v="7125"/>
    <x v="11"/>
    <x v="4"/>
    <x v="1"/>
  </r>
  <r>
    <x v="671"/>
    <s v="ZTAN"/>
    <x v="6"/>
    <s v="RKYY85"/>
    <n v="123000153"/>
    <s v="LOS ANGELES"/>
    <x v="5706"/>
    <x v="0"/>
    <x v="0"/>
    <x v="57"/>
    <x v="0"/>
    <n v="0"/>
    <n v="528000"/>
    <n v="0"/>
    <n v="528000"/>
    <n v="55.880111760223528"/>
    <n v="14000"/>
    <n v="67"/>
    <x v="7126"/>
    <x v="11"/>
    <x v="4"/>
    <x v="0"/>
  </r>
  <r>
    <x v="671"/>
    <s v="ZTAN"/>
    <x v="8"/>
    <s v="FYTP84"/>
    <n v="172861164"/>
    <s v="LOS ANGELES"/>
    <x v="5707"/>
    <x v="0"/>
    <x v="0"/>
    <x v="57"/>
    <x v="0"/>
    <n v="0"/>
    <n v="528000"/>
    <n v="0"/>
    <n v="528000"/>
    <n v="132.27778334502455"/>
    <n v="14000"/>
    <n v="35"/>
    <x v="7127"/>
    <x v="11"/>
    <x v="4"/>
    <x v="0"/>
  </r>
  <r>
    <x v="671"/>
    <s v="ZTAN"/>
    <x v="8"/>
    <s v="RWTG52"/>
    <n v="276547747"/>
    <s v="PUENTE ALTO"/>
    <x v="5708"/>
    <x v="0"/>
    <x v="0"/>
    <x v="30"/>
    <x v="1"/>
    <n v="4"/>
    <n v="69173"/>
    <n v="0"/>
    <n v="69173"/>
    <n v="21.733106282439582"/>
    <n v="5000"/>
    <n v="64"/>
    <x v="7128"/>
    <x v="11"/>
    <x v="4"/>
    <x v="1"/>
  </r>
  <r>
    <x v="671"/>
    <s v="ZTAN"/>
    <x v="8"/>
    <s v="UA7248"/>
    <n v="99626232"/>
    <s v="EL BOSQUE"/>
    <x v="5709"/>
    <x v="1"/>
    <x v="1"/>
    <x v="25"/>
    <x v="1"/>
    <n v="3"/>
    <n v="69173"/>
    <n v="0"/>
    <n v="69173"/>
    <n v="27.708435144164135"/>
    <n v="5000"/>
    <n v="50"/>
    <x v="7129"/>
    <x v="11"/>
    <x v="4"/>
    <x v="1"/>
  </r>
  <r>
    <x v="672"/>
    <s v="ZPEP"/>
    <x v="5"/>
    <s v="SU9354"/>
    <n v="72564391"/>
    <s v="SAN BERNARDO"/>
    <x v="5710"/>
    <x v="2"/>
    <x v="1"/>
    <x v="4"/>
    <x v="1"/>
    <n v="4"/>
    <n v="61253"/>
    <n v="0"/>
    <n v="61253"/>
    <n v="10.999949716978422"/>
    <n v="5000"/>
    <n v="100"/>
    <x v="7130"/>
    <x v="11"/>
    <x v="4"/>
    <x v="1"/>
  </r>
  <r>
    <x v="672"/>
    <s v="ZPEP"/>
    <x v="103"/>
    <s v="HLBX77"/>
    <n v="154837728"/>
    <s v="SANTIAGO"/>
    <x v="3748"/>
    <x v="1"/>
    <x v="1"/>
    <x v="20"/>
    <x v="1"/>
    <n v="1"/>
    <n v="58819"/>
    <n v="0"/>
    <n v="58819"/>
    <n v="10.999962597247151"/>
    <n v="5000"/>
    <n v="100"/>
    <x v="7131"/>
    <x v="11"/>
    <x v="4"/>
    <x v="1"/>
  </r>
  <r>
    <x v="672"/>
    <s v="ZTAN"/>
    <x v="4"/>
    <s v="HLBX77"/>
    <n v="154837728"/>
    <s v="SAN BERNARDO"/>
    <x v="5711"/>
    <x v="1"/>
    <x v="1"/>
    <x v="4"/>
    <x v="1"/>
    <n v="4"/>
    <n v="99642"/>
    <n v="0"/>
    <n v="99642"/>
    <n v="10.999955842091319"/>
    <n v="5000"/>
    <n v="100"/>
    <x v="7132"/>
    <x v="11"/>
    <x v="4"/>
    <x v="1"/>
  </r>
  <r>
    <x v="672"/>
    <s v="ZTAN"/>
    <x v="109"/>
    <s v="WC2233"/>
    <n v="125108660"/>
    <s v="SANTIAGO"/>
    <x v="5712"/>
    <x v="4"/>
    <x v="1"/>
    <x v="20"/>
    <x v="1"/>
    <n v="1"/>
    <n v="69173"/>
    <n v="0"/>
    <n v="69173"/>
    <n v="43.431280215985431"/>
    <n v="5000"/>
    <n v="32"/>
    <x v="7133"/>
    <x v="11"/>
    <x v="4"/>
    <x v="1"/>
  </r>
  <r>
    <x v="672"/>
    <s v="ZTAN"/>
    <x v="10"/>
    <s v="KKPF51"/>
    <n v="95707734"/>
    <s v="QUILICURA"/>
    <x v="5713"/>
    <x v="8"/>
    <x v="0"/>
    <x v="8"/>
    <x v="1"/>
    <n v="1"/>
    <n v="117600"/>
    <n v="0"/>
    <n v="117600"/>
    <n v="10.046181682120359"/>
    <n v="5000"/>
    <n v="100"/>
    <x v="7134"/>
    <x v="11"/>
    <x v="4"/>
    <x v="1"/>
  </r>
  <r>
    <x v="672"/>
    <s v="ZTAN"/>
    <x v="6"/>
    <s v="XR6339"/>
    <n v="78907355"/>
    <s v="COLINA"/>
    <x v="5714"/>
    <x v="1"/>
    <x v="1"/>
    <x v="5"/>
    <x v="1"/>
    <n v="5"/>
    <n v="112500"/>
    <n v="0"/>
    <n v="112500"/>
    <n v="18.901209677419345"/>
    <n v="10000"/>
    <n v="60"/>
    <x v="7135"/>
    <x v="11"/>
    <x v="4"/>
    <x v="1"/>
  </r>
  <r>
    <x v="672"/>
    <s v="ZTAN"/>
    <x v="7"/>
    <s v="WC2233"/>
    <n v="125108660"/>
    <s v="RENCA"/>
    <x v="5715"/>
    <x v="4"/>
    <x v="1"/>
    <x v="7"/>
    <x v="1"/>
    <n v="1"/>
    <n v="144299"/>
    <n v="0"/>
    <n v="144299"/>
    <n v="10.999992376944832"/>
    <n v="5000"/>
    <n v="100"/>
    <x v="7136"/>
    <x v="11"/>
    <x v="4"/>
    <x v="1"/>
  </r>
  <r>
    <x v="672"/>
    <s v="ZTAN"/>
    <x v="7"/>
    <s v="WD7700"/>
    <n v="73835526"/>
    <s v="LAMPA"/>
    <x v="5716"/>
    <x v="0"/>
    <x v="0"/>
    <x v="17"/>
    <x v="1"/>
    <n v="5"/>
    <n v="180000"/>
    <n v="0"/>
    <n v="180000"/>
    <n v="42.31759353951405"/>
    <n v="10000"/>
    <n v="43"/>
    <x v="7137"/>
    <x v="11"/>
    <x v="4"/>
    <x v="1"/>
  </r>
  <r>
    <x v="672"/>
    <s v="ZTAN"/>
    <x v="7"/>
    <s v="WG4022"/>
    <n v="154837728"/>
    <s v="RENCA"/>
    <x v="5717"/>
    <x v="1"/>
    <x v="0"/>
    <x v="7"/>
    <x v="1"/>
    <n v="1"/>
    <n v="239738"/>
    <n v="0"/>
    <n v="239738"/>
    <n v="10.999986693823496"/>
    <n v="5000"/>
    <n v="100"/>
    <x v="7138"/>
    <x v="11"/>
    <x v="4"/>
    <x v="1"/>
  </r>
  <r>
    <x v="672"/>
    <s v="ZTAN"/>
    <x v="8"/>
    <s v="RWTG52"/>
    <n v="276547747"/>
    <s v="SAN BERNARDO"/>
    <x v="5718"/>
    <x v="0"/>
    <x v="0"/>
    <x v="4"/>
    <x v="1"/>
    <n v="4"/>
    <n v="69173"/>
    <n v="0"/>
    <n v="69173"/>
    <n v="25.03003328991171"/>
    <n v="5000"/>
    <n v="55"/>
    <x v="7139"/>
    <x v="11"/>
    <x v="4"/>
    <x v="1"/>
  </r>
  <r>
    <x v="672"/>
    <s v="ZTAN"/>
    <x v="8"/>
    <s v="SV2718"/>
    <n v="107643206"/>
    <s v="PUDAHUEL"/>
    <x v="5719"/>
    <x v="1"/>
    <x v="1"/>
    <x v="10"/>
    <x v="1"/>
    <n v="1"/>
    <n v="69173"/>
    <n v="0"/>
    <n v="69173"/>
    <n v="21.618859503822272"/>
    <n v="5000"/>
    <n v="64"/>
    <x v="7140"/>
    <x v="11"/>
    <x v="4"/>
    <x v="1"/>
  </r>
  <r>
    <x v="672"/>
    <s v="ZTAN"/>
    <x v="45"/>
    <s v="SU9354"/>
    <n v="72564391"/>
    <s v="VITACURA"/>
    <x v="1366"/>
    <x v="2"/>
    <x v="1"/>
    <x v="27"/>
    <x v="1"/>
    <n v="4"/>
    <n v="134200"/>
    <n v="0"/>
    <n v="134200"/>
    <n v="11"/>
    <n v="5000"/>
    <n v="100"/>
    <x v="7141"/>
    <x v="11"/>
    <x v="4"/>
    <x v="1"/>
  </r>
  <r>
    <x v="673"/>
    <s v="ZPEP"/>
    <x v="103"/>
    <s v="HLBX77"/>
    <n v="154837728"/>
    <s v="SANTIAGO"/>
    <x v="5720"/>
    <x v="1"/>
    <x v="1"/>
    <x v="20"/>
    <x v="1"/>
    <n v="1"/>
    <n v="92712"/>
    <n v="0"/>
    <n v="92712"/>
    <n v="10.999952541407618"/>
    <n v="5000"/>
    <n v="100"/>
    <x v="7142"/>
    <x v="11"/>
    <x v="4"/>
    <x v="1"/>
  </r>
  <r>
    <x v="673"/>
    <s v="ZPEP"/>
    <x v="103"/>
    <s v="WD7700"/>
    <n v="73835526"/>
    <s v="SANTIAGO"/>
    <x v="3748"/>
    <x v="0"/>
    <x v="0"/>
    <x v="20"/>
    <x v="1"/>
    <n v="1"/>
    <n v="58819"/>
    <n v="0"/>
    <n v="58819"/>
    <n v="10.999962597247151"/>
    <n v="5000"/>
    <n v="100"/>
    <x v="7143"/>
    <x v="11"/>
    <x v="4"/>
    <x v="1"/>
  </r>
  <r>
    <x v="673"/>
    <s v="ZTAN"/>
    <x v="4"/>
    <s v="DJLF85"/>
    <n v="125108660"/>
    <s v="LAMPA"/>
    <x v="5721"/>
    <x v="4"/>
    <x v="1"/>
    <x v="17"/>
    <x v="1"/>
    <n v="5"/>
    <n v="112500"/>
    <n v="0"/>
    <n v="112500"/>
    <n v="10.470960536113179"/>
    <n v="10000"/>
    <n v="100"/>
    <x v="7144"/>
    <x v="11"/>
    <x v="4"/>
    <x v="1"/>
  </r>
  <r>
    <x v="673"/>
    <s v="ZTAN"/>
    <x v="4"/>
    <s v="UA7248"/>
    <n v="107643206"/>
    <s v="LAMPA"/>
    <x v="5722"/>
    <x v="1"/>
    <x v="1"/>
    <x v="17"/>
    <x v="1"/>
    <n v="5"/>
    <n v="112500"/>
    <n v="0"/>
    <n v="112500"/>
    <n v="12.623429084380611"/>
    <n v="10000"/>
    <n v="89"/>
    <x v="7145"/>
    <x v="11"/>
    <x v="4"/>
    <x v="1"/>
  </r>
  <r>
    <x v="673"/>
    <s v="ZTAN"/>
    <x v="10"/>
    <s v="HLBX77"/>
    <n v="154837728"/>
    <s v="QUILICURA"/>
    <x v="5723"/>
    <x v="1"/>
    <x v="1"/>
    <x v="8"/>
    <x v="1"/>
    <n v="1"/>
    <n v="61259"/>
    <n v="0"/>
    <n v="61259"/>
    <n v="10.999940743720181"/>
    <n v="5000"/>
    <n v="100"/>
    <x v="7146"/>
    <x v="11"/>
    <x v="4"/>
    <x v="1"/>
  </r>
  <r>
    <x v="673"/>
    <s v="ZTAN"/>
    <x v="6"/>
    <s v="DJLF85"/>
    <n v="53173212"/>
    <s v="COLINA"/>
    <x v="5724"/>
    <x v="4"/>
    <x v="1"/>
    <x v="5"/>
    <x v="1"/>
    <n v="5"/>
    <n v="112500"/>
    <n v="0"/>
    <n v="112500"/>
    <n v="15.556551174830741"/>
    <n v="10000"/>
    <n v="72"/>
    <x v="7147"/>
    <x v="11"/>
    <x v="4"/>
    <x v="1"/>
  </r>
  <r>
    <x v="673"/>
    <s v="ZTAN"/>
    <x v="7"/>
    <s v="RKLH77"/>
    <n v="94590507"/>
    <s v="CORONEL"/>
    <x v="1870"/>
    <x v="0"/>
    <x v="0"/>
    <x v="16"/>
    <x v="0"/>
    <n v="0"/>
    <n v="528000"/>
    <n v="0"/>
    <n v="528000"/>
    <n v="29.317697228144993"/>
    <n v="14000"/>
    <n v="100"/>
    <x v="7148"/>
    <x v="11"/>
    <x v="4"/>
    <x v="0"/>
  </r>
  <r>
    <x v="673"/>
    <s v="ZTAN"/>
    <x v="7"/>
    <s v="RKYY82"/>
    <n v="101495566"/>
    <s v="CORONEL"/>
    <x v="5725"/>
    <x v="0"/>
    <x v="0"/>
    <x v="16"/>
    <x v="0"/>
    <n v="0"/>
    <n v="528000"/>
    <n v="0"/>
    <n v="528000"/>
    <n v="31.907950397640761"/>
    <n v="14000"/>
    <n v="100"/>
    <x v="7149"/>
    <x v="11"/>
    <x v="4"/>
    <x v="0"/>
  </r>
  <r>
    <x v="673"/>
    <s v="ZTAN"/>
    <x v="7"/>
    <s v="WD7700"/>
    <n v="73835526"/>
    <s v="LAMPA"/>
    <x v="5716"/>
    <x v="0"/>
    <x v="0"/>
    <x v="17"/>
    <x v="1"/>
    <n v="5"/>
    <n v="180000"/>
    <n v="0"/>
    <n v="180000"/>
    <n v="42.31759353951405"/>
    <n v="10000"/>
    <n v="43"/>
    <x v="7150"/>
    <x v="11"/>
    <x v="4"/>
    <x v="1"/>
  </r>
  <r>
    <x v="673"/>
    <s v="ZTAN"/>
    <x v="8"/>
    <s v="DFRV76"/>
    <n v="113693568"/>
    <s v="TALCA"/>
    <x v="5726"/>
    <x v="5"/>
    <x v="0"/>
    <x v="12"/>
    <x v="3"/>
    <n v="0"/>
    <n v="402000"/>
    <n v="0"/>
    <n v="402000"/>
    <n v="66.579880951197936"/>
    <n v="14000"/>
    <n v="48"/>
    <x v="7151"/>
    <x v="11"/>
    <x v="4"/>
    <x v="0"/>
  </r>
  <r>
    <x v="673"/>
    <s v="ZTAN"/>
    <x v="8"/>
    <s v="SU9354"/>
    <n v="72564391"/>
    <s v="REÑACA"/>
    <x v="5727"/>
    <x v="2"/>
    <x v="1"/>
    <x v="6"/>
    <x v="2"/>
    <n v="0"/>
    <n v="227000"/>
    <n v="0"/>
    <n v="227000"/>
    <n v="49.246122139060638"/>
    <n v="14000"/>
    <n v="33"/>
    <x v="7152"/>
    <x v="11"/>
    <x v="4"/>
    <x v="0"/>
  </r>
  <r>
    <x v="674"/>
    <s v="ZPEP"/>
    <x v="103"/>
    <s v="DJLF85"/>
    <n v="125108660"/>
    <s v="SANTIAGO"/>
    <x v="5728"/>
    <x v="4"/>
    <x v="1"/>
    <x v="20"/>
    <x v="1"/>
    <n v="1"/>
    <n v="103712"/>
    <n v="0"/>
    <n v="103712"/>
    <n v="10.999957574986217"/>
    <n v="5000"/>
    <n v="100"/>
    <x v="7153"/>
    <x v="11"/>
    <x v="4"/>
    <x v="1"/>
  </r>
  <r>
    <x v="674"/>
    <s v="ZTAN"/>
    <x v="13"/>
    <s v="SV2718"/>
    <n v="107643206"/>
    <s v="SANTIAGO"/>
    <x v="4518"/>
    <x v="1"/>
    <x v="1"/>
    <x v="20"/>
    <x v="1"/>
    <n v="1"/>
    <n v="69173"/>
    <n v="0"/>
    <n v="69173"/>
    <n v="35.473333333333336"/>
    <n v="5000"/>
    <n v="39"/>
    <x v="7154"/>
    <x v="11"/>
    <x v="4"/>
    <x v="1"/>
  </r>
  <r>
    <x v="674"/>
    <s v="ZTAN"/>
    <x v="145"/>
    <s v="XR6339"/>
    <n v="78907355"/>
    <s v="SANTIAGO"/>
    <x v="1381"/>
    <x v="1"/>
    <x v="1"/>
    <x v="20"/>
    <x v="1"/>
    <n v="1"/>
    <n v="69173"/>
    <n v="0"/>
    <n v="69173"/>
    <n v="20.044334975369459"/>
    <n v="5000"/>
    <n v="69"/>
    <x v="7155"/>
    <x v="11"/>
    <x v="4"/>
    <x v="1"/>
  </r>
  <r>
    <x v="674"/>
    <s v="ZTAN"/>
    <x v="70"/>
    <s v="SU9354"/>
    <n v="72564391"/>
    <s v="TALAGANTE"/>
    <x v="5729"/>
    <x v="2"/>
    <x v="1"/>
    <x v="50"/>
    <x v="1"/>
    <n v="4"/>
    <n v="69173"/>
    <n v="0"/>
    <n v="69173"/>
    <n v="17.184216148537534"/>
    <n v="5000"/>
    <n v="81"/>
    <x v="7156"/>
    <x v="11"/>
    <x v="4"/>
    <x v="1"/>
  </r>
  <r>
    <x v="674"/>
    <s v="ZTAN"/>
    <x v="7"/>
    <s v="DKDL88"/>
    <n v="122975819"/>
    <s v="PARRAL"/>
    <x v="5730"/>
    <x v="0"/>
    <x v="0"/>
    <x v="78"/>
    <x v="3"/>
    <n v="0"/>
    <n v="427000"/>
    <n v="0"/>
    <n v="427000"/>
    <n v="71.749873555550707"/>
    <n v="14000"/>
    <n v="43"/>
    <x v="7157"/>
    <x v="11"/>
    <x v="4"/>
    <x v="0"/>
  </r>
  <r>
    <x v="674"/>
    <s v="ZTAN"/>
    <x v="7"/>
    <s v="HLBX77"/>
    <n v="81417709"/>
    <s v="RENCA"/>
    <x v="5731"/>
    <x v="1"/>
    <x v="1"/>
    <x v="7"/>
    <x v="1"/>
    <n v="1"/>
    <n v="142422"/>
    <n v="0"/>
    <n v="142422"/>
    <n v="10.999961382506283"/>
    <n v="5000"/>
    <n v="100"/>
    <x v="7158"/>
    <x v="11"/>
    <x v="4"/>
    <x v="1"/>
  </r>
  <r>
    <x v="674"/>
    <s v="ZTAN"/>
    <x v="7"/>
    <s v="KKPF51"/>
    <n v="95707734"/>
    <s v="CHILLAN"/>
    <x v="5732"/>
    <x v="8"/>
    <x v="0"/>
    <x v="21"/>
    <x v="5"/>
    <n v="0"/>
    <n v="500000"/>
    <n v="0"/>
    <n v="500000"/>
    <n v="60.921077961921874"/>
    <n v="14000"/>
    <n v="59"/>
    <x v="7159"/>
    <x v="11"/>
    <x v="4"/>
    <x v="0"/>
  </r>
  <r>
    <x v="674"/>
    <s v="ZTAN"/>
    <x v="7"/>
    <s v="WG4022"/>
    <n v="154837728"/>
    <s v="RENCA"/>
    <x v="5733"/>
    <x v="1"/>
    <x v="0"/>
    <x v="7"/>
    <x v="1"/>
    <n v="1"/>
    <n v="204189"/>
    <n v="0"/>
    <n v="204189"/>
    <n v="11.000015622803049"/>
    <n v="5000"/>
    <n v="100"/>
    <x v="7160"/>
    <x v="11"/>
    <x v="4"/>
    <x v="1"/>
  </r>
  <r>
    <x v="674"/>
    <s v="ZTAN"/>
    <x v="8"/>
    <s v="RWTG52"/>
    <n v="276547747"/>
    <s v="MAIPU"/>
    <x v="5734"/>
    <x v="0"/>
    <x v="0"/>
    <x v="2"/>
    <x v="1"/>
    <n v="2"/>
    <n v="69173"/>
    <n v="0"/>
    <n v="69173"/>
    <n v="26.542726679712992"/>
    <n v="5000"/>
    <n v="52"/>
    <x v="7161"/>
    <x v="11"/>
    <x v="4"/>
    <x v="1"/>
  </r>
  <r>
    <x v="674"/>
    <s v="ZTAN"/>
    <x v="8"/>
    <s v="RX2274"/>
    <n v="100822326"/>
    <s v="ANGOL"/>
    <x v="5735"/>
    <x v="0"/>
    <x v="0"/>
    <x v="84"/>
    <x v="4"/>
    <n v="0"/>
    <n v="583000"/>
    <n v="0"/>
    <n v="583000"/>
    <n v="67.349324658401443"/>
    <n v="14000"/>
    <n v="75"/>
    <x v="7162"/>
    <x v="11"/>
    <x v="4"/>
    <x v="0"/>
  </r>
  <r>
    <x v="674"/>
    <s v="ZTAN"/>
    <x v="8"/>
    <s v="SV2718"/>
    <n v="107643206"/>
    <s v="PUDAHUEL"/>
    <x v="5736"/>
    <x v="1"/>
    <x v="1"/>
    <x v="10"/>
    <x v="1"/>
    <n v="1"/>
    <n v="69173"/>
    <n v="0"/>
    <n v="69173"/>
    <n v="14.104101165062005"/>
    <n v="5000"/>
    <n v="98"/>
    <x v="7163"/>
    <x v="11"/>
    <x v="4"/>
    <x v="1"/>
  </r>
  <r>
    <x v="674"/>
    <s v="ZTAN"/>
    <x v="83"/>
    <s v="WD7700"/>
    <n v="73835526"/>
    <s v="LAS CONDES"/>
    <x v="5704"/>
    <x v="0"/>
    <x v="0"/>
    <x v="3"/>
    <x v="1"/>
    <n v="4"/>
    <n v="68418"/>
    <n v="0"/>
    <n v="68418"/>
    <n v="10.99996141379842"/>
    <n v="5000"/>
    <n v="100"/>
    <x v="7164"/>
    <x v="11"/>
    <x v="4"/>
    <x v="1"/>
  </r>
  <r>
    <x v="675"/>
    <s v="ZTAN"/>
    <x v="66"/>
    <s v="XR6339"/>
    <n v="78907355"/>
    <s v="SANTIAGO"/>
    <x v="5737"/>
    <x v="1"/>
    <x v="1"/>
    <x v="20"/>
    <x v="1"/>
    <n v="1"/>
    <n v="69173"/>
    <n v="0"/>
    <n v="69173"/>
    <n v="14.527259744623658"/>
    <n v="5000"/>
    <n v="95"/>
    <x v="7165"/>
    <x v="11"/>
    <x v="4"/>
    <x v="1"/>
  </r>
  <r>
    <x v="675"/>
    <s v="ZTAN"/>
    <x v="131"/>
    <s v="DJLF85"/>
    <n v="125108660"/>
    <s v="LAS CONDES"/>
    <x v="5738"/>
    <x v="4"/>
    <x v="1"/>
    <x v="3"/>
    <x v="1"/>
    <n v="4"/>
    <n v="69173"/>
    <n v="0"/>
    <n v="69173"/>
    <n v="37.226811613701798"/>
    <n v="5000"/>
    <n v="37"/>
    <x v="7166"/>
    <x v="11"/>
    <x v="4"/>
    <x v="1"/>
  </r>
  <r>
    <x v="675"/>
    <s v="ZTAN"/>
    <x v="7"/>
    <s v="DJLF85"/>
    <n v="125108660"/>
    <s v="RENCA"/>
    <x v="5739"/>
    <x v="4"/>
    <x v="1"/>
    <x v="7"/>
    <x v="1"/>
    <n v="1"/>
    <n v="60106"/>
    <n v="0"/>
    <n v="60106"/>
    <n v="10.999963398118661"/>
    <n v="5000"/>
    <n v="100"/>
    <x v="7167"/>
    <x v="11"/>
    <x v="4"/>
    <x v="1"/>
  </r>
  <r>
    <x v="675"/>
    <s v="ZTAN"/>
    <x v="7"/>
    <s v="HLBX77"/>
    <n v="78907355"/>
    <s v="RENCA"/>
    <x v="5740"/>
    <x v="1"/>
    <x v="1"/>
    <x v="7"/>
    <x v="1"/>
    <n v="1"/>
    <n v="133358"/>
    <n v="0"/>
    <n v="133358"/>
    <n v="10.999958757784476"/>
    <n v="5000"/>
    <n v="100"/>
    <x v="7168"/>
    <x v="11"/>
    <x v="4"/>
    <x v="1"/>
  </r>
  <r>
    <x v="675"/>
    <s v="ZTAN"/>
    <x v="7"/>
    <s v="SV2718"/>
    <n v="107643206"/>
    <s v="LAMPA"/>
    <x v="5741"/>
    <x v="1"/>
    <x v="1"/>
    <x v="17"/>
    <x v="1"/>
    <n v="5"/>
    <n v="112500"/>
    <n v="0"/>
    <n v="112500"/>
    <n v="54.452785804521753"/>
    <n v="10000"/>
    <n v="21"/>
    <x v="7169"/>
    <x v="11"/>
    <x v="4"/>
    <x v="1"/>
  </r>
  <r>
    <x v="675"/>
    <s v="ZTAN"/>
    <x v="7"/>
    <s v="WG4022"/>
    <n v="154837728"/>
    <s v="RENCA"/>
    <x v="5742"/>
    <x v="1"/>
    <x v="0"/>
    <x v="7"/>
    <x v="1"/>
    <n v="1"/>
    <n v="210457"/>
    <n v="0"/>
    <n v="210457"/>
    <n v="11.00002561099204"/>
    <n v="5000"/>
    <n v="100"/>
    <x v="7170"/>
    <x v="11"/>
    <x v="4"/>
    <x v="1"/>
  </r>
  <r>
    <x v="675"/>
    <s v="ZTAN"/>
    <x v="8"/>
    <s v="RKYY82"/>
    <n v="101495566"/>
    <s v="VALDIVIA"/>
    <x v="5743"/>
    <x v="0"/>
    <x v="0"/>
    <x v="77"/>
    <x v="11"/>
    <n v="0"/>
    <n v="1100000"/>
    <n v="0"/>
    <n v="1100000"/>
    <n v="162.70769267179344"/>
    <n v="14000"/>
    <n v="55"/>
    <x v="7171"/>
    <x v="11"/>
    <x v="4"/>
    <x v="0"/>
  </r>
  <r>
    <x v="675"/>
    <s v="ZTAN"/>
    <x v="8"/>
    <s v="RWTG52"/>
    <n v="276547747"/>
    <s v="TALAGANTE"/>
    <x v="5744"/>
    <x v="0"/>
    <x v="0"/>
    <x v="50"/>
    <x v="1"/>
    <n v="4"/>
    <n v="69173"/>
    <n v="0"/>
    <n v="69173"/>
    <n v="27.364252767162736"/>
    <n v="5000"/>
    <n v="51"/>
    <x v="7172"/>
    <x v="11"/>
    <x v="4"/>
    <x v="1"/>
  </r>
  <r>
    <x v="675"/>
    <s v="ZTAN"/>
    <x v="8"/>
    <s v="SV2718"/>
    <n v="107643206"/>
    <s v="PUENTE ALTO"/>
    <x v="927"/>
    <x v="1"/>
    <x v="1"/>
    <x v="30"/>
    <x v="1"/>
    <n v="4"/>
    <n v="69173"/>
    <n v="0"/>
    <n v="69173"/>
    <n v="24.697586403884603"/>
    <n v="5000"/>
    <n v="56"/>
    <x v="7173"/>
    <x v="11"/>
    <x v="4"/>
    <x v="1"/>
  </r>
  <r>
    <x v="675"/>
    <s v="ZTAN"/>
    <x v="8"/>
    <s v="UA7248"/>
    <n v="99626232"/>
    <s v="ÑUÑOA"/>
    <x v="5745"/>
    <x v="1"/>
    <x v="1"/>
    <x v="15"/>
    <x v="1"/>
    <n v="4"/>
    <n v="69173"/>
    <n v="0"/>
    <n v="69173"/>
    <n v="23.267852938208481"/>
    <n v="5000"/>
    <n v="59"/>
    <x v="7174"/>
    <x v="11"/>
    <x v="4"/>
    <x v="1"/>
  </r>
  <r>
    <x v="675"/>
    <s v="ZTAN"/>
    <x v="8"/>
    <s v="XR6339"/>
    <n v="78907355"/>
    <s v="QUILICURA"/>
    <x v="5746"/>
    <x v="1"/>
    <x v="1"/>
    <x v="8"/>
    <x v="1"/>
    <n v="1"/>
    <n v="69173"/>
    <n v="0"/>
    <n v="69173"/>
    <n v="26.896935196634235"/>
    <n v="5000"/>
    <n v="51"/>
    <x v="7175"/>
    <x v="11"/>
    <x v="4"/>
    <x v="1"/>
  </r>
  <r>
    <x v="676"/>
    <s v="ZPEP"/>
    <x v="39"/>
    <s v="WD7700"/>
    <n v="73835526"/>
    <s v="PADRE HURTADO"/>
    <x v="5747"/>
    <x v="0"/>
    <x v="0"/>
    <x v="26"/>
    <x v="1"/>
    <n v="5"/>
    <n v="180000"/>
    <n v="0"/>
    <n v="180000"/>
    <n v="46.147929752595822"/>
    <n v="10000"/>
    <n v="39"/>
    <x v="7176"/>
    <x v="11"/>
    <x v="4"/>
    <x v="1"/>
  </r>
  <r>
    <x v="676"/>
    <s v="ZTAN"/>
    <x v="5"/>
    <s v="SU9354"/>
    <n v="72564391"/>
    <s v="COLINA"/>
    <x v="5385"/>
    <x v="2"/>
    <x v="1"/>
    <x v="5"/>
    <x v="1"/>
    <n v="5"/>
    <n v="112500"/>
    <n v="0"/>
    <n v="112500"/>
    <n v="25.201612903225808"/>
    <n v="10000"/>
    <n v="45"/>
    <x v="7177"/>
    <x v="11"/>
    <x v="4"/>
    <x v="1"/>
  </r>
  <r>
    <x v="676"/>
    <s v="ZTAN"/>
    <x v="6"/>
    <s v="SV2718"/>
    <n v="107643206"/>
    <s v="LA DEHESA"/>
    <x v="5748"/>
    <x v="1"/>
    <x v="1"/>
    <x v="41"/>
    <x v="1"/>
    <n v="4"/>
    <n v="69173"/>
    <n v="0"/>
    <n v="69173"/>
    <n v="26.440256861096234"/>
    <n v="5000"/>
    <n v="52"/>
    <x v="7178"/>
    <x v="11"/>
    <x v="4"/>
    <x v="1"/>
  </r>
  <r>
    <x v="676"/>
    <s v="ZTAN"/>
    <x v="137"/>
    <s v="XR6339"/>
    <n v="78907355"/>
    <s v="LAS CONDES"/>
    <x v="2594"/>
    <x v="1"/>
    <x v="1"/>
    <x v="3"/>
    <x v="1"/>
    <n v="4"/>
    <n v="69173"/>
    <n v="0"/>
    <n v="69173"/>
    <n v="22.105650006391411"/>
    <n v="5000"/>
    <n v="63"/>
    <x v="7179"/>
    <x v="11"/>
    <x v="4"/>
    <x v="1"/>
  </r>
  <r>
    <x v="676"/>
    <s v="ZTAN"/>
    <x v="7"/>
    <s v="KKPF51"/>
    <n v="95707734"/>
    <s v="VALPARAISO"/>
    <x v="5749"/>
    <x v="8"/>
    <x v="0"/>
    <x v="36"/>
    <x v="2"/>
    <n v="0"/>
    <n v="289000"/>
    <n v="0"/>
    <n v="289000"/>
    <n v="13.349321725120374"/>
    <n v="14000"/>
    <n v="100"/>
    <x v="7180"/>
    <x v="11"/>
    <x v="4"/>
    <x v="0"/>
  </r>
  <r>
    <x v="676"/>
    <s v="ZTAN"/>
    <x v="8"/>
    <s v="HLBX77"/>
    <n v="103018366"/>
    <s v="REÑACA"/>
    <x v="5750"/>
    <x v="1"/>
    <x v="1"/>
    <x v="6"/>
    <x v="2"/>
    <n v="0"/>
    <n v="227000"/>
    <n v="0"/>
    <n v="227000"/>
    <n v="65.538556592687954"/>
    <n v="14000"/>
    <n v="25"/>
    <x v="7181"/>
    <x v="11"/>
    <x v="4"/>
    <x v="0"/>
  </r>
  <r>
    <x v="676"/>
    <s v="ZTAN"/>
    <x v="8"/>
    <s v="RWTG52"/>
    <n v="276547747"/>
    <s v="PUENTE ALTO"/>
    <x v="5751"/>
    <x v="0"/>
    <x v="0"/>
    <x v="30"/>
    <x v="1"/>
    <n v="4"/>
    <n v="69173"/>
    <n v="0"/>
    <n v="69173"/>
    <n v="27.99868856705714"/>
    <n v="5000"/>
    <n v="49"/>
    <x v="7182"/>
    <x v="11"/>
    <x v="4"/>
    <x v="1"/>
  </r>
  <r>
    <x v="676"/>
    <s v="ZTAN"/>
    <x v="8"/>
    <s v="UA7248"/>
    <n v="99626232"/>
    <s v="LAS CONDES"/>
    <x v="5752"/>
    <x v="1"/>
    <x v="1"/>
    <x v="3"/>
    <x v="1"/>
    <n v="4"/>
    <n v="69173"/>
    <n v="0"/>
    <n v="69173"/>
    <n v="26.365479756977013"/>
    <n v="5000"/>
    <n v="52"/>
    <x v="7183"/>
    <x v="11"/>
    <x v="4"/>
    <x v="1"/>
  </r>
  <r>
    <x v="677"/>
    <s v="ZTAN"/>
    <x v="114"/>
    <s v="XR6339"/>
    <n v="78907355"/>
    <s v="SANTIAGO"/>
    <x v="5753"/>
    <x v="1"/>
    <x v="1"/>
    <x v="20"/>
    <x v="1"/>
    <n v="1"/>
    <n v="93082"/>
    <n v="0"/>
    <n v="93082"/>
    <n v="11"/>
    <n v="5000"/>
    <n v="100"/>
    <x v="7184"/>
    <x v="11"/>
    <x v="4"/>
    <x v="1"/>
  </r>
  <r>
    <x v="677"/>
    <s v="ZTAN"/>
    <x v="105"/>
    <s v="HLBX77"/>
    <n v="103018366"/>
    <s v="VALPARAISO"/>
    <x v="5754"/>
    <x v="1"/>
    <x v="1"/>
    <x v="36"/>
    <x v="2"/>
    <n v="0"/>
    <n v="227000"/>
    <n v="0"/>
    <n v="227000"/>
    <n v="89.324361547239647"/>
    <n v="14000"/>
    <n v="18"/>
    <x v="7185"/>
    <x v="11"/>
    <x v="4"/>
    <x v="0"/>
  </r>
  <r>
    <x v="677"/>
    <s v="ZTAN"/>
    <x v="6"/>
    <s v="SU9354"/>
    <n v="72564391"/>
    <s v="LOS ANDES"/>
    <x v="5755"/>
    <x v="2"/>
    <x v="1"/>
    <x v="38"/>
    <x v="2"/>
    <n v="0"/>
    <n v="227000"/>
    <n v="0"/>
    <n v="227000"/>
    <n v="39.167644419904747"/>
    <n v="14000"/>
    <n v="41"/>
    <x v="7186"/>
    <x v="11"/>
    <x v="4"/>
    <x v="0"/>
  </r>
  <r>
    <x v="677"/>
    <s v="ZTAN"/>
    <x v="6"/>
    <s v="WD7700"/>
    <n v="73835526"/>
    <s v="LA REINA"/>
    <x v="2377"/>
    <x v="0"/>
    <x v="0"/>
    <x v="11"/>
    <x v="1"/>
    <n v="3"/>
    <n v="69173"/>
    <n v="0"/>
    <n v="69173"/>
    <n v="21.608459327752087"/>
    <n v="5000"/>
    <n v="64"/>
    <x v="7187"/>
    <x v="11"/>
    <x v="4"/>
    <x v="1"/>
  </r>
  <r>
    <x v="677"/>
    <s v="ZTAN"/>
    <x v="146"/>
    <s v="DJLF85"/>
    <n v="125108660"/>
    <s v="LAS CONDES"/>
    <x v="5756"/>
    <x v="4"/>
    <x v="1"/>
    <x v="3"/>
    <x v="1"/>
    <n v="4"/>
    <n v="69173"/>
    <n v="0"/>
    <n v="69173"/>
    <n v="13.54633401221996"/>
    <n v="5000"/>
    <n v="100"/>
    <x v="7188"/>
    <x v="11"/>
    <x v="4"/>
    <x v="1"/>
  </r>
  <r>
    <x v="677"/>
    <s v="ZTAN"/>
    <x v="7"/>
    <s v="WG4022"/>
    <n v="154837728"/>
    <s v="RENCA"/>
    <x v="5757"/>
    <x v="1"/>
    <x v="0"/>
    <x v="7"/>
    <x v="1"/>
    <n v="1"/>
    <n v="192254"/>
    <n v="0"/>
    <n v="192254"/>
    <n v="11.000004005119694"/>
    <n v="5000"/>
    <n v="100"/>
    <x v="7189"/>
    <x v="11"/>
    <x v="4"/>
    <x v="1"/>
  </r>
  <r>
    <x v="677"/>
    <s v="ZTAN"/>
    <x v="8"/>
    <s v="DFRV76"/>
    <n v="11693568"/>
    <s v="TALCA"/>
    <x v="5758"/>
    <x v="5"/>
    <x v="0"/>
    <x v="12"/>
    <x v="3"/>
    <n v="0"/>
    <n v="402000"/>
    <n v="0"/>
    <n v="402000"/>
    <n v="73.254466335746002"/>
    <n v="14000"/>
    <n v="55"/>
    <x v="7190"/>
    <x v="11"/>
    <x v="4"/>
    <x v="0"/>
  </r>
  <r>
    <x v="678"/>
    <s v="ZPEP"/>
    <x v="5"/>
    <s v="SU9354"/>
    <n v="72564391"/>
    <s v="SAN BERNARDO"/>
    <x v="5759"/>
    <x v="2"/>
    <x v="1"/>
    <x v="4"/>
    <x v="1"/>
    <n v="4"/>
    <n v="129830"/>
    <n v="0"/>
    <n v="129830"/>
    <n v="10.999960178839373"/>
    <n v="5000"/>
    <n v="100"/>
    <x v="7191"/>
    <x v="11"/>
    <x v="4"/>
    <x v="1"/>
  </r>
  <r>
    <x v="678"/>
    <s v="ZPEP"/>
    <x v="2"/>
    <s v="DKDL88"/>
    <n v="112975819"/>
    <s v="MAULE"/>
    <x v="5760"/>
    <x v="0"/>
    <x v="0"/>
    <x v="117"/>
    <x v="3"/>
    <n v="0"/>
    <n v="300000"/>
    <n v="0"/>
    <n v="300000"/>
    <n v="12.035075022646"/>
    <n v="14000"/>
    <n v="100"/>
    <x v="7192"/>
    <x v="11"/>
    <x v="4"/>
    <x v="0"/>
  </r>
  <r>
    <x v="678"/>
    <s v="ZPEP"/>
    <x v="120"/>
    <s v="WD7700"/>
    <n v="73835526"/>
    <s v="PEÑALOLEN"/>
    <x v="5761"/>
    <x v="0"/>
    <x v="0"/>
    <x v="34"/>
    <x v="1"/>
    <n v="4"/>
    <n v="69173"/>
    <n v="0"/>
    <n v="69173"/>
    <n v="14.487645090080468"/>
    <n v="5000"/>
    <n v="95"/>
    <x v="7193"/>
    <x v="11"/>
    <x v="4"/>
    <x v="1"/>
  </r>
  <r>
    <x v="678"/>
    <s v="ZTAN"/>
    <x v="4"/>
    <s v="YB5040"/>
    <n v="119629756"/>
    <s v="PUERTO MONTT"/>
    <x v="5762"/>
    <x v="0"/>
    <x v="0"/>
    <x v="53"/>
    <x v="10"/>
    <n v="0"/>
    <n v="1282000"/>
    <n v="0"/>
    <n v="1282000"/>
    <n v="102.53375135965202"/>
    <n v="14000"/>
    <n v="89"/>
    <x v="7194"/>
    <x v="11"/>
    <x v="4"/>
    <x v="0"/>
  </r>
  <r>
    <x v="678"/>
    <s v="ZTAN"/>
    <x v="6"/>
    <s v="SV2718"/>
    <n v="107643206"/>
    <s v="CERRILLOS"/>
    <x v="5763"/>
    <x v="1"/>
    <x v="1"/>
    <x v="9"/>
    <x v="1"/>
    <n v="2"/>
    <n v="69173"/>
    <n v="0"/>
    <n v="69173"/>
    <n v="19.497435030159533"/>
    <n v="5000"/>
    <n v="71"/>
    <x v="7195"/>
    <x v="11"/>
    <x v="4"/>
    <x v="1"/>
  </r>
  <r>
    <x v="678"/>
    <s v="ZTAN"/>
    <x v="7"/>
    <s v="WD7700"/>
    <n v="73835526"/>
    <s v="SANTIAGO"/>
    <x v="103"/>
    <x v="0"/>
    <x v="0"/>
    <x v="20"/>
    <x v="1"/>
    <n v="1"/>
    <n v="69173"/>
    <n v="0"/>
    <n v="69173"/>
    <n v="16.005599518719052"/>
    <n v="5000"/>
    <n v="86"/>
    <x v="7196"/>
    <x v="11"/>
    <x v="4"/>
    <x v="1"/>
  </r>
  <r>
    <x v="678"/>
    <s v="ZTAN"/>
    <x v="8"/>
    <s v="HLBX77"/>
    <n v="103018366"/>
    <s v="VILLA ALEMANA"/>
    <x v="5764"/>
    <x v="1"/>
    <x v="1"/>
    <x v="96"/>
    <x v="2"/>
    <n v="0"/>
    <n v="227000"/>
    <n v="0"/>
    <n v="227000"/>
    <n v="55.104577321189296"/>
    <n v="14000"/>
    <n v="29"/>
    <x v="7197"/>
    <x v="11"/>
    <x v="4"/>
    <x v="0"/>
  </r>
  <r>
    <x v="678"/>
    <s v="ZTAN"/>
    <x v="8"/>
    <s v="UA7248"/>
    <n v="99626232"/>
    <s v="HUECHURABA"/>
    <x v="4777"/>
    <x v="1"/>
    <x v="1"/>
    <x v="24"/>
    <x v="1"/>
    <n v="1"/>
    <n v="69173"/>
    <n v="0"/>
    <n v="69173"/>
    <n v="27.465297630391969"/>
    <n v="5000"/>
    <n v="50"/>
    <x v="7198"/>
    <x v="11"/>
    <x v="4"/>
    <x v="1"/>
  </r>
  <r>
    <x v="678"/>
    <s v="ZTAN"/>
    <x v="8"/>
    <s v="XR6339"/>
    <n v="78907355"/>
    <s v="QUILICURA"/>
    <x v="248"/>
    <x v="1"/>
    <x v="1"/>
    <x v="8"/>
    <x v="1"/>
    <n v="1"/>
    <n v="69173"/>
    <n v="0"/>
    <n v="69173"/>
    <n v="23.045375799573563"/>
    <n v="5000"/>
    <n v="60"/>
    <x v="7199"/>
    <x v="11"/>
    <x v="4"/>
    <x v="1"/>
  </r>
  <r>
    <x v="679"/>
    <s v="ZPEP"/>
    <x v="5"/>
    <s v="DJLF85"/>
    <s v="125108660"/>
    <s v="SAN BERNARDO"/>
    <x v="5765"/>
    <x v="4"/>
    <x v="1"/>
    <x v="4"/>
    <x v="1"/>
    <n v="4"/>
    <n v="108962"/>
    <n v="0"/>
    <n v="108962"/>
    <n v="11.00001817150264"/>
    <n v="5000"/>
    <n v="100"/>
    <x v="7200"/>
    <x v="11"/>
    <x v="4"/>
    <x v="1"/>
  </r>
  <r>
    <x v="679"/>
    <s v="ZTAN"/>
    <x v="4"/>
    <s v="SU9354"/>
    <s v="72564391"/>
    <s v="LAMPA"/>
    <x v="5766"/>
    <x v="2"/>
    <x v="1"/>
    <x v="17"/>
    <x v="1"/>
    <n v="5"/>
    <n v="112500"/>
    <n v="0"/>
    <n v="112500"/>
    <n v="10.921269779633045"/>
    <n v="10000"/>
    <n v="100"/>
    <x v="7201"/>
    <x v="11"/>
    <x v="4"/>
    <x v="1"/>
  </r>
  <r>
    <x v="679"/>
    <s v="ZTAN"/>
    <x v="131"/>
    <s v="WD7700"/>
    <s v="73835526"/>
    <s v="LAS CONDES"/>
    <x v="5767"/>
    <x v="0"/>
    <x v="0"/>
    <x v="3"/>
    <x v="1"/>
    <n v="4"/>
    <n v="65016"/>
    <n v="0"/>
    <n v="65016"/>
    <n v="11.000010151356729"/>
    <n v="5000"/>
    <n v="100"/>
    <x v="7202"/>
    <x v="11"/>
    <x v="4"/>
    <x v="1"/>
  </r>
  <r>
    <x v="679"/>
    <s v="ZTAN"/>
    <x v="7"/>
    <s v="GGZX13"/>
    <s v="137998513"/>
    <s v="LOS ANGELES"/>
    <x v="5768"/>
    <x v="0"/>
    <x v="0"/>
    <x v="57"/>
    <x v="0"/>
    <n v="0"/>
    <n v="528000"/>
    <n v="0"/>
    <n v="528000"/>
    <n v="26.197389390454227"/>
    <n v="14000"/>
    <n v="100"/>
    <x v="7203"/>
    <x v="11"/>
    <x v="4"/>
    <x v="0"/>
  </r>
  <r>
    <x v="679"/>
    <s v="ZTAN"/>
    <x v="7"/>
    <s v="PBFY95"/>
    <s v="17510674K"/>
    <s v="CORONEL"/>
    <x v="5769"/>
    <x v="0"/>
    <x v="0"/>
    <x v="16"/>
    <x v="0"/>
    <n v="0"/>
    <n v="528000"/>
    <n v="0"/>
    <n v="528000"/>
    <n v="23.359317624782104"/>
    <n v="14000"/>
    <n v="100"/>
    <x v="7204"/>
    <x v="11"/>
    <x v="4"/>
    <x v="0"/>
  </r>
  <r>
    <x v="679"/>
    <s v="ZTAN"/>
    <x v="8"/>
    <s v="SV2718"/>
    <s v="107643206"/>
    <s v="PUDAHUEL"/>
    <x v="5770"/>
    <x v="1"/>
    <x v="1"/>
    <x v="10"/>
    <x v="1"/>
    <n v="1"/>
    <n v="69173"/>
    <n v="0"/>
    <n v="69173"/>
    <n v="17.896635050735551"/>
    <n v="5000"/>
    <n v="77"/>
    <x v="7205"/>
    <x v="11"/>
    <x v="4"/>
    <x v="1"/>
  </r>
  <r>
    <x v="679"/>
    <s v="ZTAN"/>
    <x v="8"/>
    <s v="UA7248"/>
    <s v="99626232"/>
    <s v="MAIPU"/>
    <x v="5771"/>
    <x v="1"/>
    <x v="1"/>
    <x v="2"/>
    <x v="1"/>
    <n v="2"/>
    <n v="69173"/>
    <n v="0"/>
    <n v="69173"/>
    <n v="26.260382974200123"/>
    <n v="5000"/>
    <n v="53"/>
    <x v="7206"/>
    <x v="11"/>
    <x v="4"/>
    <x v="1"/>
  </r>
  <r>
    <x v="679"/>
    <s v="ZTAN"/>
    <x v="8"/>
    <s v="WT7724"/>
    <s v="106168342"/>
    <s v="TALCAHUANO"/>
    <x v="5772"/>
    <x v="5"/>
    <x v="0"/>
    <x v="0"/>
    <x v="0"/>
    <n v="0"/>
    <n v="506000"/>
    <n v="0"/>
    <n v="506000"/>
    <n v="66.000573918034064"/>
    <n v="14000"/>
    <n v="37"/>
    <x v="7207"/>
    <x v="11"/>
    <x v="4"/>
    <x v="0"/>
  </r>
  <r>
    <x v="680"/>
    <s v="ZTAN"/>
    <x v="6"/>
    <s v="RKLM77"/>
    <n v="94590507"/>
    <s v="PUERTO MONTT"/>
    <x v="5773"/>
    <x v="0"/>
    <x v="0"/>
    <x v="53"/>
    <x v="10"/>
    <n v="0"/>
    <n v="1282000"/>
    <n v="0"/>
    <n v="1282000"/>
    <n v="205.76858257226783"/>
    <n v="14000"/>
    <n v="45"/>
    <x v="7208"/>
    <x v="11"/>
    <x v="4"/>
    <x v="0"/>
  </r>
  <r>
    <x v="680"/>
    <s v="ZTAN"/>
    <x v="6"/>
    <s v="SV2718"/>
    <n v="107643206"/>
    <s v="SANTIAGO"/>
    <x v="5774"/>
    <x v="1"/>
    <x v="1"/>
    <x v="20"/>
    <x v="1"/>
    <n v="1"/>
    <n v="69173"/>
    <n v="0"/>
    <n v="69173"/>
    <n v="28.469066903727114"/>
    <n v="5000"/>
    <n v="49"/>
    <x v="7209"/>
    <x v="11"/>
    <x v="4"/>
    <x v="1"/>
  </r>
  <r>
    <x v="680"/>
    <s v="ZTAN"/>
    <x v="7"/>
    <s v="HLBX77"/>
    <n v="78907355"/>
    <s v="RENCA"/>
    <x v="5775"/>
    <x v="1"/>
    <x v="1"/>
    <x v="7"/>
    <x v="1"/>
    <n v="1"/>
    <n v="118151"/>
    <n v="0"/>
    <n v="118151"/>
    <n v="10.999979517773916"/>
    <n v="5000"/>
    <n v="100"/>
    <x v="7210"/>
    <x v="11"/>
    <x v="4"/>
    <x v="1"/>
  </r>
  <r>
    <x v="680"/>
    <s v="ZTAN"/>
    <x v="7"/>
    <s v="WG4022"/>
    <n v="154837728"/>
    <s v="RENCA"/>
    <x v="5776"/>
    <x v="1"/>
    <x v="0"/>
    <x v="7"/>
    <x v="1"/>
    <n v="1"/>
    <n v="185830"/>
    <n v="0"/>
    <n v="185830"/>
    <n v="11.000023677605727"/>
    <n v="5000"/>
    <n v="100"/>
    <x v="7211"/>
    <x v="11"/>
    <x v="4"/>
    <x v="1"/>
  </r>
  <r>
    <x v="680"/>
    <s v="ZTAN"/>
    <x v="8"/>
    <s v="LZPP69"/>
    <n v="180683275"/>
    <s v="LOS ANGELES"/>
    <x v="5777"/>
    <x v="0"/>
    <x v="0"/>
    <x v="57"/>
    <x v="0"/>
    <n v="0"/>
    <n v="528000"/>
    <n v="0"/>
    <n v="528000"/>
    <n v="74.948898478310241"/>
    <n v="14000"/>
    <n v="65"/>
    <x v="7212"/>
    <x v="11"/>
    <x v="4"/>
    <x v="0"/>
  </r>
  <r>
    <x v="680"/>
    <s v="ZTAN"/>
    <x v="8"/>
    <s v="PBFH81"/>
    <n v="129210451"/>
    <s v="OSORNO"/>
    <x v="5778"/>
    <x v="0"/>
    <x v="0"/>
    <x v="64"/>
    <x v="10"/>
    <n v="0"/>
    <n v="1131000"/>
    <n v="0"/>
    <n v="1131000"/>
    <n v="122.74719287697279"/>
    <n v="14000"/>
    <n v="72"/>
    <x v="7213"/>
    <x v="11"/>
    <x v="4"/>
    <x v="0"/>
  </r>
  <r>
    <x v="680"/>
    <s v="ZTAN"/>
    <x v="8"/>
    <s v="RWTG52"/>
    <n v="276547747"/>
    <s v="LAS CONDES"/>
    <x v="248"/>
    <x v="0"/>
    <x v="0"/>
    <x v="3"/>
    <x v="1"/>
    <n v="4"/>
    <n v="69173"/>
    <n v="0"/>
    <n v="69173"/>
    <n v="23.045375799573563"/>
    <n v="5000"/>
    <n v="60"/>
    <x v="7214"/>
    <x v="11"/>
    <x v="4"/>
    <x v="1"/>
  </r>
  <r>
    <x v="680"/>
    <s v="ZTAN"/>
    <x v="8"/>
    <s v="UA7248"/>
    <n v="99626232"/>
    <s v="LA REINA"/>
    <x v="5779"/>
    <x v="1"/>
    <x v="1"/>
    <x v="11"/>
    <x v="1"/>
    <n v="3"/>
    <n v="69173"/>
    <n v="0"/>
    <n v="69173"/>
    <n v="25.415365396627109"/>
    <n v="5000"/>
    <n v="54"/>
    <x v="7215"/>
    <x v="11"/>
    <x v="4"/>
    <x v="1"/>
  </r>
  <r>
    <x v="681"/>
    <s v="ZPEP"/>
    <x v="120"/>
    <s v="RJ6819"/>
    <n v="94742285"/>
    <s v="PROVIDENCIA"/>
    <x v="5780"/>
    <x v="5"/>
    <x v="0"/>
    <x v="54"/>
    <x v="1"/>
    <n v="2"/>
    <n v="217635"/>
    <n v="0"/>
    <n v="217635"/>
    <n v="10.999988880476232"/>
    <n v="5000"/>
    <n v="100"/>
    <x v="7216"/>
    <x v="11"/>
    <x v="4"/>
    <x v="1"/>
  </r>
  <r>
    <x v="681"/>
    <s v="ZPEP"/>
    <x v="120"/>
    <s v="RX2274"/>
    <n v="100822326"/>
    <s v="PROVIDENCIA"/>
    <x v="5781"/>
    <x v="0"/>
    <x v="0"/>
    <x v="54"/>
    <x v="1"/>
    <n v="2"/>
    <n v="144428"/>
    <n v="0"/>
    <n v="144428"/>
    <n v="10.01249239156507"/>
    <n v="5000"/>
    <n v="100"/>
    <x v="7217"/>
    <x v="11"/>
    <x v="4"/>
    <x v="1"/>
  </r>
  <r>
    <x v="681"/>
    <s v="ZPEP"/>
    <x v="7"/>
    <s v="HLZV71"/>
    <n v="60688508"/>
    <s v="CALAMA"/>
    <x v="5782"/>
    <x v="0"/>
    <x v="0"/>
    <x v="37"/>
    <x v="7"/>
    <n v="0"/>
    <n v="2550000"/>
    <n v="0"/>
    <n v="2550000"/>
    <n v="94.66884466884467"/>
    <n v="14000"/>
    <n v="100"/>
    <x v="7218"/>
    <x v="11"/>
    <x v="4"/>
    <x v="0"/>
  </r>
  <r>
    <x v="681"/>
    <s v="ZPEP"/>
    <x v="7"/>
    <s v="HXJC25"/>
    <n v="116608979"/>
    <s v="CALAMA"/>
    <x v="5782"/>
    <x v="0"/>
    <x v="0"/>
    <x v="37"/>
    <x v="7"/>
    <n v="0"/>
    <n v="2550000"/>
    <n v="0"/>
    <n v="2550000"/>
    <n v="94.66884466884467"/>
    <n v="14000"/>
    <n v="100"/>
    <x v="7219"/>
    <x v="11"/>
    <x v="4"/>
    <x v="0"/>
  </r>
  <r>
    <x v="681"/>
    <s v="ZTAN"/>
    <x v="4"/>
    <s v="HLBX77"/>
    <n v="103018366"/>
    <s v="OSORNO"/>
    <x v="5783"/>
    <x v="1"/>
    <x v="1"/>
    <x v="64"/>
    <x v="10"/>
    <n v="0"/>
    <n v="1131000"/>
    <n v="0"/>
    <n v="1131000"/>
    <n v="137.78904022806461"/>
    <n v="14000"/>
    <n v="100"/>
    <x v="7220"/>
    <x v="11"/>
    <x v="4"/>
    <x v="0"/>
  </r>
  <r>
    <x v="681"/>
    <s v="ZTAN"/>
    <x v="4"/>
    <s v="VG8997"/>
    <n v="124860342"/>
    <s v="LOS ANGELES"/>
    <x v="5784"/>
    <x v="0"/>
    <x v="0"/>
    <x v="57"/>
    <x v="0"/>
    <n v="0"/>
    <n v="528000"/>
    <n v="0"/>
    <n v="528000"/>
    <n v="49.671210453532019"/>
    <n v="14000"/>
    <n v="75"/>
    <x v="7221"/>
    <x v="11"/>
    <x v="4"/>
    <x v="0"/>
  </r>
  <r>
    <x v="681"/>
    <s v="ZTAN"/>
    <x v="10"/>
    <s v="KKPF51"/>
    <n v="95707734"/>
    <s v="QUILICURA"/>
    <x v="5785"/>
    <x v="8"/>
    <x v="0"/>
    <x v="8"/>
    <x v="1"/>
    <n v="1"/>
    <n v="118298"/>
    <n v="0"/>
    <n v="118298"/>
    <n v="10.999962805921298"/>
    <n v="5000"/>
    <n v="100"/>
    <x v="7222"/>
    <x v="11"/>
    <x v="4"/>
    <x v="1"/>
  </r>
  <r>
    <x v="681"/>
    <s v="ZTAN"/>
    <x v="7"/>
    <s v="SU9354"/>
    <n v="72564391"/>
    <s v="CONCON"/>
    <x v="5786"/>
    <x v="2"/>
    <x v="1"/>
    <x v="101"/>
    <x v="2"/>
    <n v="0"/>
    <n v="250000"/>
    <n v="0"/>
    <n v="250000"/>
    <n v="24.311829358187154"/>
    <n v="14000"/>
    <n v="73"/>
    <x v="7223"/>
    <x v="11"/>
    <x v="4"/>
    <x v="0"/>
  </r>
  <r>
    <x v="681"/>
    <s v="ZTAN"/>
    <x v="7"/>
    <s v="WD7700"/>
    <n v="73835526"/>
    <s v="RENCA"/>
    <x v="5787"/>
    <x v="0"/>
    <x v="0"/>
    <x v="7"/>
    <x v="1"/>
    <n v="1"/>
    <n v="98336"/>
    <n v="0"/>
    <n v="98336"/>
    <n v="11.000044744731307"/>
    <n v="5000"/>
    <n v="100"/>
    <x v="7224"/>
    <x v="11"/>
    <x v="4"/>
    <x v="1"/>
  </r>
  <r>
    <x v="681"/>
    <s v="ZTAN"/>
    <x v="7"/>
    <s v="WG4022"/>
    <n v="154837728"/>
    <s v="RENCA"/>
    <x v="5788"/>
    <x v="1"/>
    <x v="0"/>
    <x v="7"/>
    <x v="1"/>
    <n v="1"/>
    <n v="164829"/>
    <n v="0"/>
    <n v="164829"/>
    <n v="10.999995995851704"/>
    <n v="5000"/>
    <n v="100"/>
    <x v="7225"/>
    <x v="11"/>
    <x v="4"/>
    <x v="1"/>
  </r>
  <r>
    <x v="682"/>
    <s v="ZPEP"/>
    <x v="5"/>
    <s v="DJLF85"/>
    <n v="125108660"/>
    <s v="SAN BERNARDO"/>
    <x v="5789"/>
    <x v="4"/>
    <x v="1"/>
    <x v="4"/>
    <x v="1"/>
    <n v="4"/>
    <n v="55856"/>
    <n v="0"/>
    <n v="55856"/>
    <n v="10.99997439851275"/>
    <n v="5000"/>
    <n v="100"/>
    <x v="7226"/>
    <x v="11"/>
    <x v="4"/>
    <x v="1"/>
  </r>
  <r>
    <x v="682"/>
    <s v="ZPEP"/>
    <x v="2"/>
    <s v="DKDL88"/>
    <n v="122975819"/>
    <s v="TALCA"/>
    <x v="5790"/>
    <x v="0"/>
    <x v="0"/>
    <x v="12"/>
    <x v="3"/>
    <n v="0"/>
    <n v="402000"/>
    <n v="0"/>
    <n v="402000"/>
    <n v="22.257953065617762"/>
    <n v="14000"/>
    <n v="100"/>
    <x v="7227"/>
    <x v="11"/>
    <x v="4"/>
    <x v="0"/>
  </r>
  <r>
    <x v="682"/>
    <s v="ZTAN"/>
    <x v="4"/>
    <s v="DJLF85"/>
    <n v="125108660"/>
    <s v="SAN BERNARDO"/>
    <x v="248"/>
    <x v="4"/>
    <x v="1"/>
    <x v="4"/>
    <x v="1"/>
    <n v="4"/>
    <n v="69173"/>
    <n v="0"/>
    <n v="69173"/>
    <n v="23.045375799573563"/>
    <n v="5000"/>
    <n v="60"/>
    <x v="7228"/>
    <x v="11"/>
    <x v="4"/>
    <x v="1"/>
  </r>
  <r>
    <x v="682"/>
    <s v="ZTAN"/>
    <x v="137"/>
    <s v="XR6339"/>
    <n v="7890735"/>
    <s v="LAS CONDES"/>
    <x v="769"/>
    <x v="1"/>
    <x v="1"/>
    <x v="3"/>
    <x v="1"/>
    <n v="4"/>
    <n v="67100"/>
    <n v="0"/>
    <n v="67100"/>
    <n v="11"/>
    <n v="5000"/>
    <n v="100"/>
    <x v="7229"/>
    <x v="11"/>
    <x v="4"/>
    <x v="1"/>
  </r>
  <r>
    <x v="682"/>
    <s v="ZTAN"/>
    <x v="7"/>
    <s v="GYXS96"/>
    <n v="165132386"/>
    <s v="LOS ANGELES"/>
    <x v="5791"/>
    <x v="0"/>
    <x v="0"/>
    <x v="57"/>
    <x v="0"/>
    <n v="0"/>
    <n v="528000"/>
    <n v="0"/>
    <n v="528000"/>
    <n v="57.967195836901389"/>
    <n v="14000"/>
    <n v="65"/>
    <x v="7230"/>
    <x v="11"/>
    <x v="4"/>
    <x v="0"/>
  </r>
  <r>
    <x v="682"/>
    <s v="ZTAN"/>
    <x v="7"/>
    <s v="WD7700"/>
    <n v="73835526"/>
    <s v="RENCA"/>
    <x v="5792"/>
    <x v="0"/>
    <x v="0"/>
    <x v="7"/>
    <x v="1"/>
    <n v="1"/>
    <n v="118698"/>
    <n v="0"/>
    <n v="118698"/>
    <n v="10.999976832008896"/>
    <n v="5000"/>
    <n v="100"/>
    <x v="7231"/>
    <x v="11"/>
    <x v="4"/>
    <x v="1"/>
  </r>
  <r>
    <x v="682"/>
    <s v="ZTAN"/>
    <x v="7"/>
    <s v="WG4022"/>
    <n v="154837728"/>
    <s v="RENCA"/>
    <x v="5793"/>
    <x v="1"/>
    <x v="0"/>
    <x v="7"/>
    <x v="1"/>
    <n v="1"/>
    <n v="256435"/>
    <n v="0"/>
    <n v="256435"/>
    <n v="11.000006005423751"/>
    <n v="5000"/>
    <n v="100"/>
    <x v="7232"/>
    <x v="11"/>
    <x v="4"/>
    <x v="1"/>
  </r>
  <r>
    <x v="682"/>
    <s v="ZTAN"/>
    <x v="8"/>
    <s v="SV2718"/>
    <n v="107643206"/>
    <s v="PUDAHUEL"/>
    <x v="5794"/>
    <x v="1"/>
    <x v="1"/>
    <x v="10"/>
    <x v="1"/>
    <n v="1"/>
    <n v="69674"/>
    <n v="0"/>
    <n v="69674"/>
    <n v="10.99996526692369"/>
    <n v="5000"/>
    <n v="100"/>
    <x v="7233"/>
    <x v="11"/>
    <x v="4"/>
    <x v="1"/>
  </r>
  <r>
    <x v="682"/>
    <s v="ZTAN"/>
    <x v="8"/>
    <s v="UA7248"/>
    <n v="99626232"/>
    <s v="TALAGANTE"/>
    <x v="5795"/>
    <x v="1"/>
    <x v="1"/>
    <x v="50"/>
    <x v="1"/>
    <n v="4"/>
    <n v="69173"/>
    <n v="0"/>
    <n v="69173"/>
    <n v="25.201104618119818"/>
    <n v="5000"/>
    <n v="55"/>
    <x v="7234"/>
    <x v="11"/>
    <x v="4"/>
    <x v="1"/>
  </r>
  <r>
    <x v="683"/>
    <s v="ZPEP"/>
    <x v="2"/>
    <s v="DKDL88"/>
    <n v="122975819"/>
    <s v="MAULE"/>
    <x v="5796"/>
    <x v="0"/>
    <x v="0"/>
    <x v="117"/>
    <x v="3"/>
    <n v="0"/>
    <n v="320000"/>
    <n v="0"/>
    <n v="320000"/>
    <n v="12.78616026013443"/>
    <n v="14000"/>
    <n v="100"/>
    <x v="7235"/>
    <x v="11"/>
    <x v="4"/>
    <x v="0"/>
  </r>
  <r>
    <x v="683"/>
    <s v="ZPEP"/>
    <x v="120"/>
    <s v="DJLF85"/>
    <n v="125108660"/>
    <s v="PEÑALOLEN"/>
    <x v="5797"/>
    <x v="4"/>
    <x v="1"/>
    <x v="34"/>
    <x v="1"/>
    <n v="4"/>
    <n v="92684"/>
    <n v="0"/>
    <n v="92684"/>
    <n v="11.000023736618481"/>
    <n v="5000"/>
    <n v="100"/>
    <x v="7236"/>
    <x v="11"/>
    <x v="4"/>
    <x v="1"/>
  </r>
  <r>
    <x v="683"/>
    <s v="ZPEP"/>
    <x v="7"/>
    <s v="SU9354"/>
    <n v="72564391"/>
    <s v="CALAMA"/>
    <x v="5798"/>
    <x v="2"/>
    <x v="1"/>
    <x v="37"/>
    <x v="7"/>
    <n v="0"/>
    <n v="120000"/>
    <n v="0"/>
    <n v="120000"/>
    <n v="8"/>
    <n v="14000"/>
    <n v="100"/>
    <x v="7237"/>
    <x v="11"/>
    <x v="4"/>
    <x v="0"/>
  </r>
  <r>
    <x v="683"/>
    <s v="ZPEP"/>
    <x v="7"/>
    <s v="XR6339"/>
    <n v="78907355"/>
    <s v="CALAMA"/>
    <x v="5798"/>
    <x v="1"/>
    <x v="1"/>
    <x v="37"/>
    <x v="7"/>
    <n v="0"/>
    <n v="120000"/>
    <n v="0"/>
    <n v="120000"/>
    <n v="8"/>
    <n v="14000"/>
    <n v="100"/>
    <x v="7238"/>
    <x v="11"/>
    <x v="4"/>
    <x v="0"/>
  </r>
  <r>
    <x v="683"/>
    <s v="ZTAN"/>
    <x v="147"/>
    <s v="HLBX77"/>
    <n v="81417709"/>
    <s v="COLINA"/>
    <x v="5799"/>
    <x v="1"/>
    <x v="1"/>
    <x v="5"/>
    <x v="1"/>
    <n v="5"/>
    <n v="112500"/>
    <n v="0"/>
    <n v="112500"/>
    <n v="52.595162180104538"/>
    <n v="10000"/>
    <n v="21"/>
    <x v="7239"/>
    <x v="11"/>
    <x v="4"/>
    <x v="1"/>
  </r>
  <r>
    <x v="683"/>
    <s v="ZTAN"/>
    <x v="147"/>
    <s v="HLBX77"/>
    <n v="81417709"/>
    <s v="SANTIAGO"/>
    <x v="5800"/>
    <x v="1"/>
    <x v="1"/>
    <x v="20"/>
    <x v="1"/>
    <n v="1"/>
    <n v="69173"/>
    <n v="0"/>
    <n v="69173"/>
    <n v="15.178038547956742"/>
    <n v="5000"/>
    <n v="91"/>
    <x v="7240"/>
    <x v="11"/>
    <x v="4"/>
    <x v="1"/>
  </r>
  <r>
    <x v="683"/>
    <s v="ZTAN"/>
    <x v="10"/>
    <s v="KKPF51"/>
    <n v="95707734"/>
    <s v="QUILICURA"/>
    <x v="5801"/>
    <x v="8"/>
    <x v="0"/>
    <x v="8"/>
    <x v="1"/>
    <n v="1"/>
    <n v="93790"/>
    <n v="0"/>
    <n v="93790"/>
    <n v="11.000030493740576"/>
    <n v="5000"/>
    <n v="100"/>
    <x v="7241"/>
    <x v="11"/>
    <x v="4"/>
    <x v="1"/>
  </r>
  <r>
    <x v="683"/>
    <s v="ZTAN"/>
    <x v="6"/>
    <s v="RJ6819"/>
    <n v="94742285"/>
    <s v="TALCA"/>
    <x v="5802"/>
    <x v="5"/>
    <x v="0"/>
    <x v="12"/>
    <x v="3"/>
    <n v="0"/>
    <n v="402000"/>
    <n v="0"/>
    <n v="402000"/>
    <n v="86.54839820874956"/>
    <n v="14000"/>
    <n v="33"/>
    <x v="7242"/>
    <x v="11"/>
    <x v="4"/>
    <x v="0"/>
  </r>
  <r>
    <x v="683"/>
    <s v="ZTAN"/>
    <x v="6"/>
    <s v="YB5040"/>
    <n v="119629756"/>
    <s v="CHILLAN"/>
    <x v="5803"/>
    <x v="0"/>
    <x v="0"/>
    <x v="21"/>
    <x v="5"/>
    <n v="0"/>
    <n v="500000"/>
    <n v="0"/>
    <n v="500000"/>
    <n v="103.54367886549264"/>
    <n v="14000"/>
    <n v="34"/>
    <x v="7243"/>
    <x v="11"/>
    <x v="4"/>
    <x v="0"/>
  </r>
  <r>
    <x v="683"/>
    <s v="ZTAN"/>
    <x v="7"/>
    <s v="WD7700"/>
    <n v="73835526"/>
    <s v="RENCA"/>
    <x v="5804"/>
    <x v="0"/>
    <x v="0"/>
    <x v="7"/>
    <x v="1"/>
    <n v="1"/>
    <n v="118930"/>
    <n v="0"/>
    <n v="118930"/>
    <n v="10.999967628111747"/>
    <n v="5000"/>
    <n v="100"/>
    <x v="7244"/>
    <x v="11"/>
    <x v="4"/>
    <x v="1"/>
  </r>
  <r>
    <x v="683"/>
    <s v="ZTAN"/>
    <x v="7"/>
    <s v="WG4022"/>
    <n v="154837728"/>
    <s v="RENCA"/>
    <x v="5805"/>
    <x v="1"/>
    <x v="0"/>
    <x v="7"/>
    <x v="1"/>
    <n v="1"/>
    <n v="173285"/>
    <n v="0"/>
    <n v="173285"/>
    <n v="10.999987304166773"/>
    <n v="5000"/>
    <n v="100"/>
    <x v="7245"/>
    <x v="11"/>
    <x v="4"/>
    <x v="1"/>
  </r>
  <r>
    <x v="684"/>
    <s v="ZPEP"/>
    <x v="7"/>
    <s v="KXTC79"/>
    <n v="170846392"/>
    <s v="CALAMA"/>
    <x v="5806"/>
    <x v="0"/>
    <x v="0"/>
    <x v="37"/>
    <x v="7"/>
    <n v="0"/>
    <n v="2550000"/>
    <n v="0"/>
    <n v="2550000"/>
    <n v="94.884073987252009"/>
    <n v="14000"/>
    <n v="100"/>
    <x v="7246"/>
    <x v="12"/>
    <x v="4"/>
    <x v="0"/>
  </r>
  <r>
    <x v="684"/>
    <s v="ZTAN"/>
    <x v="10"/>
    <s v="KKPF51"/>
    <n v="95707334"/>
    <s v="MELIPILLA"/>
    <x v="854"/>
    <x v="8"/>
    <x v="0"/>
    <x v="29"/>
    <x v="1"/>
    <n v="5"/>
    <n v="180000"/>
    <n v="0"/>
    <n v="180000"/>
    <n v="11.301563382934633"/>
    <n v="10000"/>
    <n v="100"/>
    <x v="7247"/>
    <x v="12"/>
    <x v="4"/>
    <x v="1"/>
  </r>
  <r>
    <x v="684"/>
    <s v="ZTAN"/>
    <x v="7"/>
    <s v="PPPW97"/>
    <n v="116995093"/>
    <s v="CORONEL"/>
    <x v="5807"/>
    <x v="0"/>
    <x v="0"/>
    <x v="16"/>
    <x v="0"/>
    <n v="0"/>
    <n v="528000"/>
    <n v="0"/>
    <n v="528000"/>
    <n v="31.527846612249267"/>
    <n v="14000"/>
    <n v="100"/>
    <x v="7248"/>
    <x v="12"/>
    <x v="4"/>
    <x v="0"/>
  </r>
  <r>
    <x v="684"/>
    <s v="ZTAN"/>
    <x v="8"/>
    <s v="DJLF85"/>
    <n v="125108660"/>
    <s v="QUILICURA"/>
    <x v="5808"/>
    <x v="4"/>
    <x v="1"/>
    <x v="8"/>
    <x v="1"/>
    <n v="1"/>
    <n v="69173"/>
    <n v="0"/>
    <n v="69173"/>
    <n v="25.811495076363936"/>
    <n v="5000"/>
    <n v="54"/>
    <x v="7249"/>
    <x v="12"/>
    <x v="4"/>
    <x v="1"/>
  </r>
  <r>
    <x v="684"/>
    <s v="ZTAN"/>
    <x v="8"/>
    <s v="PYZP23"/>
    <n v="121384531"/>
    <s v="CORONEL"/>
    <x v="5809"/>
    <x v="0"/>
    <x v="0"/>
    <x v="16"/>
    <x v="0"/>
    <n v="0"/>
    <n v="528000"/>
    <n v="0"/>
    <n v="528000"/>
    <n v="38.882768453113862"/>
    <n v="14000"/>
    <n v="97"/>
    <x v="7250"/>
    <x v="12"/>
    <x v="4"/>
    <x v="0"/>
  </r>
  <r>
    <x v="684"/>
    <s v="ZTAN"/>
    <x v="8"/>
    <s v="RWTG62"/>
    <n v="276547747"/>
    <s v="ESTACION CENTRAL"/>
    <x v="5718"/>
    <x v="0"/>
    <x v="0"/>
    <x v="107"/>
    <x v="1"/>
    <n v="1"/>
    <n v="69173"/>
    <n v="0"/>
    <n v="69173"/>
    <n v="25.03003328991171"/>
    <n v="5000"/>
    <n v="55"/>
    <x v="7251"/>
    <x v="12"/>
    <x v="4"/>
    <x v="1"/>
  </r>
  <r>
    <x v="684"/>
    <s v="ZTAN"/>
    <x v="8"/>
    <s v="SV2718"/>
    <n v="107643206"/>
    <s v="PUDAHUEL"/>
    <x v="5810"/>
    <x v="1"/>
    <x v="1"/>
    <x v="10"/>
    <x v="1"/>
    <n v="1"/>
    <n v="58194"/>
    <n v="0"/>
    <n v="58194"/>
    <n v="11.00004914617964"/>
    <n v="5000"/>
    <n v="100"/>
    <x v="7252"/>
    <x v="12"/>
    <x v="4"/>
    <x v="1"/>
  </r>
  <r>
    <x v="685"/>
    <s v="ZTAN"/>
    <x v="51"/>
    <s v="RWTG52"/>
    <n v="276547747"/>
    <s v="RANCAGUA"/>
    <x v="5811"/>
    <x v="0"/>
    <x v="0"/>
    <x v="28"/>
    <x v="6"/>
    <n v="0"/>
    <n v="289000"/>
    <n v="0"/>
    <n v="289000"/>
    <n v="143.40474625051172"/>
    <n v="14000"/>
    <n v="14"/>
    <x v="7253"/>
    <x v="12"/>
    <x v="4"/>
    <x v="0"/>
  </r>
  <r>
    <x v="685"/>
    <s v="ZTAN"/>
    <x v="4"/>
    <s v="HLBX77"/>
    <n v="81417709"/>
    <s v="MELIPILLA"/>
    <x v="5812"/>
    <x v="1"/>
    <x v="1"/>
    <x v="29"/>
    <x v="1"/>
    <n v="5"/>
    <n v="112500"/>
    <n v="0"/>
    <n v="112500"/>
    <n v="17.074429334628455"/>
    <n v="10000"/>
    <n v="66"/>
    <x v="7254"/>
    <x v="12"/>
    <x v="4"/>
    <x v="1"/>
  </r>
  <r>
    <x v="685"/>
    <s v="ZTAN"/>
    <x v="6"/>
    <s v="SU9354"/>
    <n v="72564391"/>
    <s v="VALPARAISO"/>
    <x v="5813"/>
    <x v="2"/>
    <x v="1"/>
    <x v="36"/>
    <x v="2"/>
    <n v="0"/>
    <n v="227000"/>
    <n v="0"/>
    <n v="227000"/>
    <n v="62.379774663369055"/>
    <n v="14000"/>
    <n v="35"/>
    <x v="7255"/>
    <x v="12"/>
    <x v="4"/>
    <x v="0"/>
  </r>
  <r>
    <x v="685"/>
    <s v="ZTAN"/>
    <x v="7"/>
    <s v="DJLF85"/>
    <n v="125108660"/>
    <s v="SAN MIGUEL"/>
    <x v="5814"/>
    <x v="4"/>
    <x v="1"/>
    <x v="23"/>
    <x v="1"/>
    <n v="2"/>
    <n v="69173"/>
    <n v="0"/>
    <n v="69173"/>
    <n v="16.966642138827567"/>
    <n v="5000"/>
    <n v="82"/>
    <x v="7256"/>
    <x v="12"/>
    <x v="4"/>
    <x v="1"/>
  </r>
  <r>
    <x v="685"/>
    <s v="ZTAN"/>
    <x v="7"/>
    <s v="WG4022"/>
    <n v="154837728"/>
    <s v="RENCA"/>
    <x v="5815"/>
    <x v="1"/>
    <x v="0"/>
    <x v="7"/>
    <x v="1"/>
    <n v="1"/>
    <n v="228431"/>
    <n v="0"/>
    <n v="228431"/>
    <n v="11.000023595797252"/>
    <n v="5000"/>
    <n v="100"/>
    <x v="7257"/>
    <x v="12"/>
    <x v="4"/>
    <x v="1"/>
  </r>
  <r>
    <x v="685"/>
    <s v="ZTAN"/>
    <x v="7"/>
    <s v="XR6339"/>
    <n v="78907355"/>
    <s v="RENCA"/>
    <x v="5816"/>
    <x v="1"/>
    <x v="1"/>
    <x v="7"/>
    <x v="1"/>
    <n v="1"/>
    <n v="99157"/>
    <n v="0"/>
    <n v="99157"/>
    <n v="10.999966719545611"/>
    <n v="5000"/>
    <n v="100"/>
    <x v="7258"/>
    <x v="12"/>
    <x v="4"/>
    <x v="1"/>
  </r>
  <r>
    <x v="685"/>
    <s v="ZTAN"/>
    <x v="8"/>
    <s v="RKLH77"/>
    <n v="94590507"/>
    <s v="VALDIVIA"/>
    <x v="5817"/>
    <x v="0"/>
    <x v="0"/>
    <x v="77"/>
    <x v="11"/>
    <n v="0"/>
    <n v="1100000"/>
    <n v="0"/>
    <n v="1100000"/>
    <n v="171.55280239300563"/>
    <n v="14000"/>
    <n v="65"/>
    <x v="7259"/>
    <x v="12"/>
    <x v="4"/>
    <x v="0"/>
  </r>
  <r>
    <x v="685"/>
    <s v="ZTAN"/>
    <x v="8"/>
    <s v="SV2718"/>
    <n v="107643206"/>
    <s v="ÑUÑOA"/>
    <x v="5818"/>
    <x v="1"/>
    <x v="1"/>
    <x v="15"/>
    <x v="1"/>
    <n v="4"/>
    <n v="69173"/>
    <n v="0"/>
    <n v="69173"/>
    <n v="24.679786786165362"/>
    <n v="5000"/>
    <n v="56"/>
    <x v="7260"/>
    <x v="12"/>
    <x v="4"/>
    <x v="1"/>
  </r>
  <r>
    <x v="685"/>
    <s v="ZTAN"/>
    <x v="8"/>
    <s v="UA7248"/>
    <n v="99626232"/>
    <s v="LAS CONDES"/>
    <x v="5819"/>
    <x v="1"/>
    <x v="1"/>
    <x v="3"/>
    <x v="1"/>
    <n v="4"/>
    <n v="69173"/>
    <n v="0"/>
    <n v="69173"/>
    <n v="24.226854673195049"/>
    <n v="5000"/>
    <n v="57"/>
    <x v="7261"/>
    <x v="12"/>
    <x v="4"/>
    <x v="1"/>
  </r>
  <r>
    <x v="686"/>
    <s v="ZTAN"/>
    <x v="4"/>
    <s v="HLBX77"/>
    <n v="81417709"/>
    <s v="CONCON"/>
    <x v="5812"/>
    <x v="1"/>
    <x v="1"/>
    <x v="101"/>
    <x v="2"/>
    <n v="0"/>
    <n v="280000"/>
    <n v="0"/>
    <n v="280000"/>
    <n v="42.49635745507527"/>
    <n v="14000"/>
    <n v="47"/>
    <x v="7262"/>
    <x v="12"/>
    <x v="4"/>
    <x v="0"/>
  </r>
  <r>
    <x v="686"/>
    <s v="ZTAN"/>
    <x v="4"/>
    <s v="KKPF51"/>
    <n v="95707734"/>
    <s v="OLMUE"/>
    <x v="5820"/>
    <x v="8"/>
    <x v="0"/>
    <x v="118"/>
    <x v="2"/>
    <n v="0"/>
    <n v="289000"/>
    <n v="0"/>
    <n v="289000"/>
    <n v="11.048752140934671"/>
    <n v="14000"/>
    <n v="100"/>
    <x v="7263"/>
    <x v="12"/>
    <x v="4"/>
    <x v="0"/>
  </r>
  <r>
    <x v="686"/>
    <s v="ZTAN"/>
    <x v="4"/>
    <s v="SU9354"/>
    <n v="72564391"/>
    <s v="BUIN"/>
    <x v="5821"/>
    <x v="2"/>
    <x v="1"/>
    <x v="56"/>
    <x v="1"/>
    <n v="5"/>
    <n v="112500"/>
    <n v="0"/>
    <n v="112500"/>
    <n v="16.390815315577829"/>
    <n v="10000"/>
    <n v="69"/>
    <x v="7264"/>
    <x v="12"/>
    <x v="4"/>
    <x v="1"/>
  </r>
  <r>
    <x v="686"/>
    <s v="ZTAN"/>
    <x v="8"/>
    <s v="PYCL27"/>
    <n v="104840078"/>
    <s v="LOS ANGELES"/>
    <x v="419"/>
    <x v="0"/>
    <x v="0"/>
    <x v="57"/>
    <x v="0"/>
    <n v="0"/>
    <n v="528000"/>
    <n v="0"/>
    <n v="528000"/>
    <n v="64.046579330422091"/>
    <n v="14000"/>
    <n v="59"/>
    <x v="7265"/>
    <x v="12"/>
    <x v="4"/>
    <x v="0"/>
  </r>
  <r>
    <x v="686"/>
    <s v="ZTAN"/>
    <x v="8"/>
    <s v="RJ6819"/>
    <n v="94742285"/>
    <s v="CORONEL"/>
    <x v="5822"/>
    <x v="5"/>
    <x v="0"/>
    <x v="16"/>
    <x v="0"/>
    <n v="0"/>
    <n v="528000"/>
    <n v="0"/>
    <n v="528000"/>
    <n v="43.169455647881136"/>
    <n v="14000"/>
    <n v="87"/>
    <x v="7266"/>
    <x v="12"/>
    <x v="4"/>
    <x v="0"/>
  </r>
  <r>
    <x v="686"/>
    <s v="ZTAN"/>
    <x v="8"/>
    <s v="RKYY85"/>
    <n v="123000153"/>
    <s v="ANGOL"/>
    <x v="5823"/>
    <x v="0"/>
    <x v="0"/>
    <x v="84"/>
    <x v="4"/>
    <n v="0"/>
    <n v="583000"/>
    <n v="0"/>
    <n v="583000"/>
    <n v="126.0507835472377"/>
    <n v="14000"/>
    <n v="45"/>
    <x v="7267"/>
    <x v="12"/>
    <x v="4"/>
    <x v="0"/>
  </r>
  <r>
    <x v="686"/>
    <s v="ZTAN"/>
    <x v="8"/>
    <s v="RWTG52"/>
    <n v="276547747"/>
    <s v="TALAGANTE"/>
    <x v="5824"/>
    <x v="0"/>
    <x v="0"/>
    <x v="50"/>
    <x v="1"/>
    <n v="4"/>
    <n v="69173"/>
    <n v="0"/>
    <n v="69173"/>
    <n v="23.975363670078366"/>
    <n v="5000"/>
    <n v="58"/>
    <x v="7268"/>
    <x v="12"/>
    <x v="4"/>
    <x v="1"/>
  </r>
  <r>
    <x v="686"/>
    <s v="ZTAN"/>
    <x v="8"/>
    <s v="SV2718"/>
    <n v="107643206"/>
    <s v="LA REINA"/>
    <x v="5825"/>
    <x v="1"/>
    <x v="1"/>
    <x v="11"/>
    <x v="1"/>
    <n v="3"/>
    <n v="69173"/>
    <n v="0"/>
    <n v="69173"/>
    <n v="23.048447287751557"/>
    <n v="5000"/>
    <n v="60"/>
    <x v="7269"/>
    <x v="12"/>
    <x v="4"/>
    <x v="1"/>
  </r>
  <r>
    <x v="687"/>
    <s v="ZPEP"/>
    <x v="5"/>
    <s v="DJLF85"/>
    <s v="125108660"/>
    <s v="SAN BERNARDO"/>
    <x v="5826"/>
    <x v="4"/>
    <x v="1"/>
    <x v="4"/>
    <x v="1"/>
    <n v="4"/>
    <n v="98441"/>
    <n v="0"/>
    <n v="98441"/>
    <n v="11.000014526486813"/>
    <n v="5000"/>
    <n v="100"/>
    <x v="7270"/>
    <x v="12"/>
    <x v="4"/>
    <x v="1"/>
  </r>
  <r>
    <x v="687"/>
    <s v="ZPEP"/>
    <x v="7"/>
    <s v="GYXS96"/>
    <s v="165132386"/>
    <s v="LOS ANGELES"/>
    <x v="5827"/>
    <x v="0"/>
    <x v="0"/>
    <x v="57"/>
    <x v="0"/>
    <n v="0"/>
    <n v="528000"/>
    <n v="0"/>
    <n v="528000"/>
    <n v="59.359190556492422"/>
    <n v="14000"/>
    <n v="64"/>
    <x v="7271"/>
    <x v="12"/>
    <x v="4"/>
    <x v="0"/>
  </r>
  <r>
    <x v="687"/>
    <s v="ZTAN"/>
    <x v="4"/>
    <s v="HLBX77"/>
    <s v="81417709"/>
    <s v="OSORNO"/>
    <x v="5828"/>
    <x v="1"/>
    <x v="1"/>
    <x v="64"/>
    <x v="10"/>
    <n v="0"/>
    <n v="500000"/>
    <n v="0"/>
    <n v="500000"/>
    <n v="117.10493187420587"/>
    <n v="14000"/>
    <n v="65"/>
    <x v="7272"/>
    <x v="12"/>
    <x v="4"/>
    <x v="0"/>
  </r>
  <r>
    <x v="687"/>
    <s v="ZTAN"/>
    <x v="6"/>
    <s v="KXTC79"/>
    <s v="170846392"/>
    <s v="COPIAPO"/>
    <x v="5829"/>
    <x v="0"/>
    <x v="0"/>
    <x v="60"/>
    <x v="9"/>
    <n v="0"/>
    <n v="1500000"/>
    <n v="0"/>
    <n v="1500000"/>
    <n v="161.34809560842754"/>
    <n v="14000"/>
    <n v="85"/>
    <x v="7273"/>
    <x v="12"/>
    <x v="4"/>
    <x v="0"/>
  </r>
  <r>
    <x v="687"/>
    <s v="ZTAN"/>
    <x v="7"/>
    <s v="DJLF85"/>
    <s v="125108660"/>
    <s v="SAN MIGUEL"/>
    <x v="5814"/>
    <x v="4"/>
    <x v="1"/>
    <x v="23"/>
    <x v="1"/>
    <n v="2"/>
    <n v="69173"/>
    <n v="0"/>
    <n v="69173"/>
    <n v="16.966642138827567"/>
    <n v="5000"/>
    <n v="82"/>
    <x v="7274"/>
    <x v="12"/>
    <x v="4"/>
    <x v="1"/>
  </r>
  <r>
    <x v="687"/>
    <s v="ZTAN"/>
    <x v="7"/>
    <s v="RFDS14"/>
    <s v="11899972K"/>
    <s v="CORONEL"/>
    <x v="5830"/>
    <x v="0"/>
    <x v="0"/>
    <x v="16"/>
    <x v="0"/>
    <n v="0"/>
    <n v="528000"/>
    <n v="0"/>
    <n v="528000"/>
    <n v="27.65060941314724"/>
    <n v="14000"/>
    <n v="100"/>
    <x v="7275"/>
    <x v="12"/>
    <x v="4"/>
    <x v="0"/>
  </r>
  <r>
    <x v="687"/>
    <s v="ZTAN"/>
    <x v="7"/>
    <s v="WG4022"/>
    <s v="154837728"/>
    <s v="RENCA"/>
    <x v="5831"/>
    <x v="1"/>
    <x v="0"/>
    <x v="7"/>
    <x v="1"/>
    <n v="1"/>
    <n v="181691"/>
    <n v="0"/>
    <n v="181691"/>
    <n v="11.000015741033362"/>
    <n v="5000"/>
    <n v="100"/>
    <x v="7276"/>
    <x v="12"/>
    <x v="4"/>
    <x v="1"/>
  </r>
  <r>
    <x v="687"/>
    <s v="ZTAN"/>
    <x v="7"/>
    <s v="XR6339"/>
    <s v="78907355"/>
    <s v="RENCA"/>
    <x v="5832"/>
    <x v="1"/>
    <x v="1"/>
    <x v="7"/>
    <x v="1"/>
    <n v="1"/>
    <n v="112601"/>
    <n v="0"/>
    <n v="112601"/>
    <n v="11.000047868344469"/>
    <n v="5000"/>
    <n v="100"/>
    <x v="7277"/>
    <x v="12"/>
    <x v="4"/>
    <x v="1"/>
  </r>
  <r>
    <x v="687"/>
    <s v="ZTAN"/>
    <x v="8"/>
    <s v="FSFS27"/>
    <s v="109576032"/>
    <s v="LOS ANGELES"/>
    <x v="4462"/>
    <x v="0"/>
    <x v="0"/>
    <x v="57"/>
    <x v="0"/>
    <n v="0"/>
    <n v="528000"/>
    <n v="0"/>
    <n v="528000"/>
    <n v="67.073170731707293"/>
    <n v="14000"/>
    <n v="56"/>
    <x v="7278"/>
    <x v="12"/>
    <x v="4"/>
    <x v="0"/>
  </r>
  <r>
    <x v="687"/>
    <s v="ZTAN"/>
    <x v="8"/>
    <s v="PBPY95"/>
    <s v="17510674K"/>
    <s v="TALCAHUANO"/>
    <x v="5833"/>
    <x v="0"/>
    <x v="0"/>
    <x v="0"/>
    <x v="0"/>
    <n v="0"/>
    <n v="506000"/>
    <n v="0"/>
    <n v="506000"/>
    <n v="113.71246477385603"/>
    <n v="14000"/>
    <n v="55"/>
    <x v="7279"/>
    <x v="12"/>
    <x v="4"/>
    <x v="0"/>
  </r>
  <r>
    <x v="687"/>
    <s v="ZTAN"/>
    <x v="8"/>
    <s v="SV2718"/>
    <s v="107643206"/>
    <s v="PUDAHUEL"/>
    <x v="5834"/>
    <x v="1"/>
    <x v="1"/>
    <x v="10"/>
    <x v="1"/>
    <n v="1"/>
    <n v="69173"/>
    <n v="0"/>
    <n v="69173"/>
    <n v="22.161741336887431"/>
    <n v="5000"/>
    <n v="62"/>
    <x v="7280"/>
    <x v="12"/>
    <x v="4"/>
    <x v="1"/>
  </r>
  <r>
    <x v="687"/>
    <s v="ZTAN"/>
    <x v="8"/>
    <s v="UA7248"/>
    <s v="99626232"/>
    <s v="SAN BERNARDO"/>
    <x v="5835"/>
    <x v="1"/>
    <x v="1"/>
    <x v="4"/>
    <x v="1"/>
    <n v="4"/>
    <n v="69173"/>
    <n v="0"/>
    <n v="69173"/>
    <n v="17.242213049373852"/>
    <n v="5000"/>
    <n v="80"/>
    <x v="7281"/>
    <x v="12"/>
    <x v="4"/>
    <x v="1"/>
  </r>
  <r>
    <x v="688"/>
    <s v="ZPEP"/>
    <x v="5"/>
    <s v="SU9354"/>
    <n v="72564391"/>
    <s v="SAN BERNARDO"/>
    <x v="5836"/>
    <x v="2"/>
    <x v="1"/>
    <x v="4"/>
    <x v="1"/>
    <n v="4"/>
    <n v="73602"/>
    <n v="0"/>
    <n v="73602"/>
    <n v="11.000017934324504"/>
    <n v="5000"/>
    <n v="100"/>
    <x v="7282"/>
    <x v="12"/>
    <x v="4"/>
    <x v="1"/>
  </r>
  <r>
    <x v="688"/>
    <s v="ZPEP"/>
    <x v="2"/>
    <s v="DKDL88"/>
    <n v="122975819"/>
    <s v="TALCA"/>
    <x v="5837"/>
    <x v="0"/>
    <x v="0"/>
    <x v="12"/>
    <x v="3"/>
    <n v="0"/>
    <n v="402000"/>
    <n v="0"/>
    <n v="402000"/>
    <n v="24.085471068675943"/>
    <n v="14000"/>
    <n v="100"/>
    <x v="7283"/>
    <x v="12"/>
    <x v="4"/>
    <x v="0"/>
  </r>
  <r>
    <x v="688"/>
    <s v="ZTAN"/>
    <x v="8"/>
    <s v="DFRV76"/>
    <n v="113693568"/>
    <s v="TEMUCO"/>
    <x v="5838"/>
    <x v="5"/>
    <x v="0"/>
    <x v="14"/>
    <x v="4"/>
    <n v="0"/>
    <n v="900000"/>
    <n v="0"/>
    <n v="900000"/>
    <n v="149.82869585773597"/>
    <n v="14000"/>
    <n v="43"/>
    <x v="7284"/>
    <x v="12"/>
    <x v="4"/>
    <x v="0"/>
  </r>
  <r>
    <x v="688"/>
    <s v="ZTAN"/>
    <x v="8"/>
    <s v="UA7248"/>
    <n v="99626232"/>
    <s v="MAIPU"/>
    <x v="5839"/>
    <x v="1"/>
    <x v="1"/>
    <x v="2"/>
    <x v="1"/>
    <n v="2"/>
    <n v="69173"/>
    <n v="0"/>
    <n v="69173"/>
    <n v="25.569626803879832"/>
    <n v="5000"/>
    <n v="54"/>
    <x v="7285"/>
    <x v="12"/>
    <x v="4"/>
    <x v="1"/>
  </r>
  <r>
    <x v="689"/>
    <s v="ZPEP"/>
    <x v="5"/>
    <s v="HLBX77"/>
    <n v="154837728"/>
    <s v="SAN BERNARDO"/>
    <x v="5840"/>
    <x v="1"/>
    <x v="1"/>
    <x v="4"/>
    <x v="1"/>
    <n v="4"/>
    <n v="69173"/>
    <n v="0"/>
    <n v="69173"/>
    <n v="13.565780493736126"/>
    <n v="5000"/>
    <n v="100"/>
    <x v="7286"/>
    <x v="12"/>
    <x v="4"/>
    <x v="1"/>
  </r>
  <r>
    <x v="689"/>
    <s v="ZPEP"/>
    <x v="2"/>
    <s v="YB5040"/>
    <n v="119629756"/>
    <s v="TEMUCO"/>
    <x v="5841"/>
    <x v="0"/>
    <x v="0"/>
    <x v="14"/>
    <x v="4"/>
    <n v="0"/>
    <n v="900000"/>
    <n v="0"/>
    <n v="900000"/>
    <n v="51.366931111237946"/>
    <n v="14000"/>
    <n v="100"/>
    <x v="7287"/>
    <x v="12"/>
    <x v="4"/>
    <x v="0"/>
  </r>
  <r>
    <x v="689"/>
    <s v="ZTAN"/>
    <x v="5"/>
    <s v="HLBX77"/>
    <n v="154837728"/>
    <s v="SAN BERNARDO"/>
    <x v="5842"/>
    <x v="1"/>
    <x v="1"/>
    <x v="4"/>
    <x v="1"/>
    <n v="4"/>
    <n v="69173"/>
    <n v="0"/>
    <n v="69173"/>
    <n v="23.864032318716081"/>
    <n v="5000"/>
    <n v="58"/>
    <x v="7288"/>
    <x v="12"/>
    <x v="4"/>
    <x v="1"/>
  </r>
  <r>
    <x v="689"/>
    <s v="ZTAN"/>
    <x v="7"/>
    <s v="WD7700"/>
    <n v="73835526"/>
    <s v="BUIN"/>
    <x v="5843"/>
    <x v="0"/>
    <x v="0"/>
    <x v="56"/>
    <x v="1"/>
    <n v="5"/>
    <n v="180000"/>
    <n v="0"/>
    <n v="180000"/>
    <n v="25.249691392660765"/>
    <n v="10000"/>
    <n v="71"/>
    <x v="7289"/>
    <x v="12"/>
    <x v="4"/>
    <x v="1"/>
  </r>
  <r>
    <x v="689"/>
    <s v="ZTAN"/>
    <x v="7"/>
    <s v="WG4022"/>
    <n v="154837728"/>
    <s v="RENCA"/>
    <x v="5844"/>
    <x v="1"/>
    <x v="0"/>
    <x v="7"/>
    <x v="1"/>
    <n v="1"/>
    <n v="203983"/>
    <n v="0"/>
    <n v="203983"/>
    <n v="10.805374744675262"/>
    <n v="5000"/>
    <n v="100"/>
    <x v="7290"/>
    <x v="12"/>
    <x v="4"/>
    <x v="1"/>
  </r>
  <r>
    <x v="689"/>
    <s v="ZTAN"/>
    <x v="7"/>
    <s v="XR6339"/>
    <n v="78907355"/>
    <s v="RENCA"/>
    <x v="5845"/>
    <x v="1"/>
    <x v="1"/>
    <x v="7"/>
    <x v="1"/>
    <n v="1"/>
    <n v="92444"/>
    <n v="0"/>
    <n v="92444"/>
    <n v="10.324370446148967"/>
    <n v="5000"/>
    <n v="100"/>
    <x v="7291"/>
    <x v="12"/>
    <x v="4"/>
    <x v="1"/>
  </r>
  <r>
    <x v="689"/>
    <s v="ZTAN"/>
    <x v="8"/>
    <s v="DKDL88"/>
    <n v="122975819"/>
    <s v="PUERTO MONTT"/>
    <x v="5846"/>
    <x v="0"/>
    <x v="0"/>
    <x v="53"/>
    <x v="10"/>
    <n v="0"/>
    <n v="1282000"/>
    <n v="0"/>
    <n v="1282000"/>
    <n v="102.92129491366492"/>
    <n v="14000"/>
    <n v="100"/>
    <x v="7292"/>
    <x v="12"/>
    <x v="4"/>
    <x v="0"/>
  </r>
  <r>
    <x v="689"/>
    <s v="ZTAN"/>
    <x v="8"/>
    <s v="RJ6819"/>
    <n v="94742285"/>
    <s v="CORONEL"/>
    <x v="5847"/>
    <x v="5"/>
    <x v="0"/>
    <x v="16"/>
    <x v="0"/>
    <n v="0"/>
    <n v="528000"/>
    <n v="0"/>
    <n v="528000"/>
    <n v="57.544673412181162"/>
    <n v="14000"/>
    <n v="66"/>
    <x v="7293"/>
    <x v="12"/>
    <x v="4"/>
    <x v="0"/>
  </r>
  <r>
    <x v="690"/>
    <s v="ZPEP"/>
    <x v="5"/>
    <s v="HLBX77"/>
    <n v="154837728"/>
    <s v="SAN BERNARDO"/>
    <x v="5848"/>
    <x v="1"/>
    <x v="1"/>
    <x v="4"/>
    <x v="1"/>
    <n v="4"/>
    <n v="65487"/>
    <n v="0"/>
    <n v="65487"/>
    <n v="11.000006718894875"/>
    <n v="5000"/>
    <n v="100"/>
    <x v="7294"/>
    <x v="12"/>
    <x v="4"/>
    <x v="1"/>
  </r>
  <r>
    <x v="690"/>
    <s v="ZPEP"/>
    <x v="120"/>
    <s v="WD7700"/>
    <n v="73835526"/>
    <s v="PEÑALOLEN"/>
    <x v="5849"/>
    <x v="0"/>
    <x v="0"/>
    <x v="34"/>
    <x v="1"/>
    <n v="4"/>
    <n v="82901"/>
    <n v="0"/>
    <n v="82901"/>
    <n v="11.000065017694101"/>
    <n v="5000"/>
    <n v="100"/>
    <x v="7295"/>
    <x v="12"/>
    <x v="4"/>
    <x v="1"/>
  </r>
  <r>
    <x v="690"/>
    <s v="ZPEP"/>
    <x v="103"/>
    <s v="DJLF85"/>
    <n v="125108660"/>
    <s v="SANTIAGO"/>
    <x v="5850"/>
    <x v="4"/>
    <x v="1"/>
    <x v="20"/>
    <x v="1"/>
    <n v="1"/>
    <n v="61270"/>
    <n v="0"/>
    <n v="61270"/>
    <n v="10.999999999999995"/>
    <n v="5000"/>
    <n v="100"/>
    <x v="7296"/>
    <x v="12"/>
    <x v="4"/>
    <x v="1"/>
  </r>
  <r>
    <x v="690"/>
    <s v="ZTAN"/>
    <x v="10"/>
    <s v="DJLF85"/>
    <n v="125108660"/>
    <s v="SANTIAGO"/>
    <x v="5851"/>
    <x v="4"/>
    <x v="1"/>
    <x v="20"/>
    <x v="1"/>
    <n v="1"/>
    <n v="69173"/>
    <n v="0"/>
    <n v="69173"/>
    <n v="19.819889515426581"/>
    <n v="5000"/>
    <n v="70"/>
    <x v="7297"/>
    <x v="12"/>
    <x v="4"/>
    <x v="1"/>
  </r>
  <r>
    <x v="690"/>
    <s v="ZTAN"/>
    <x v="10"/>
    <s v="KKPF51"/>
    <n v="95707734"/>
    <s v="QUILICURA"/>
    <x v="5852"/>
    <x v="8"/>
    <x v="0"/>
    <x v="8"/>
    <x v="1"/>
    <n v="1"/>
    <n v="107643"/>
    <n v="0"/>
    <n v="107643"/>
    <n v="10.999996934311488"/>
    <n v="5000"/>
    <n v="100"/>
    <x v="7298"/>
    <x v="12"/>
    <x v="4"/>
    <x v="1"/>
  </r>
  <r>
    <x v="690"/>
    <s v="ZTAN"/>
    <x v="7"/>
    <s v="RKHL77"/>
    <n v="94590507"/>
    <s v="CORONEL"/>
    <x v="5853"/>
    <x v="0"/>
    <x v="0"/>
    <x v="16"/>
    <x v="0"/>
    <n v="0"/>
    <n v="528000"/>
    <n v="0"/>
    <n v="528000"/>
    <n v="20.256427963078057"/>
    <n v="14000"/>
    <n v="100"/>
    <x v="7299"/>
    <x v="12"/>
    <x v="4"/>
    <x v="0"/>
  </r>
  <r>
    <x v="690"/>
    <s v="ZTAN"/>
    <x v="7"/>
    <s v="WG4022"/>
    <n v="154837728"/>
    <s v="RENCA"/>
    <x v="5854"/>
    <x v="1"/>
    <x v="0"/>
    <x v="7"/>
    <x v="1"/>
    <n v="1"/>
    <n v="161620"/>
    <n v="0"/>
    <n v="161620"/>
    <n v="11.000020418302967"/>
    <n v="5000"/>
    <n v="100"/>
    <x v="7300"/>
    <x v="12"/>
    <x v="4"/>
    <x v="1"/>
  </r>
  <r>
    <x v="690"/>
    <s v="ZTAN"/>
    <x v="7"/>
    <s v="XR6339"/>
    <n v="78907355"/>
    <s v="SANTIAGO"/>
    <x v="5855"/>
    <x v="1"/>
    <x v="1"/>
    <x v="20"/>
    <x v="1"/>
    <n v="1"/>
    <n v="69173"/>
    <n v="0"/>
    <n v="69173"/>
    <n v="20.737176604610728"/>
    <n v="5000"/>
    <n v="67"/>
    <x v="7301"/>
    <x v="12"/>
    <x v="4"/>
    <x v="1"/>
  </r>
  <r>
    <x v="690"/>
    <s v="ZTAN"/>
    <x v="8"/>
    <s v="SV2718"/>
    <n v="107643206"/>
    <s v="ÑUÑOA"/>
    <x v="5779"/>
    <x v="1"/>
    <x v="1"/>
    <x v="15"/>
    <x v="1"/>
    <n v="4"/>
    <n v="69173"/>
    <n v="0"/>
    <n v="69173"/>
    <n v="25.415365396627109"/>
    <n v="5000"/>
    <n v="54"/>
    <x v="7302"/>
    <x v="12"/>
    <x v="4"/>
    <x v="1"/>
  </r>
  <r>
    <x v="690"/>
    <s v="ZTAN"/>
    <x v="8"/>
    <s v="UA7248"/>
    <n v="99626232"/>
    <s v="SAN BERNARDO"/>
    <x v="254"/>
    <x v="1"/>
    <x v="1"/>
    <x v="4"/>
    <x v="1"/>
    <n v="4"/>
    <n v="69173"/>
    <n v="0"/>
    <n v="69173"/>
    <n v="43.216918655504188"/>
    <n v="5000"/>
    <n v="32"/>
    <x v="7303"/>
    <x v="12"/>
    <x v="4"/>
    <x v="1"/>
  </r>
  <r>
    <x v="691"/>
    <s v="ZPEP"/>
    <x v="103"/>
    <s v="HLBX77"/>
    <n v="78907355"/>
    <s v="SANTIAGO"/>
    <x v="5703"/>
    <x v="1"/>
    <x v="1"/>
    <x v="20"/>
    <x v="1"/>
    <n v="1"/>
    <n v="111606"/>
    <n v="0"/>
    <n v="111606"/>
    <n v="11"/>
    <n v="5000"/>
    <n v="100"/>
    <x v="7304"/>
    <x v="12"/>
    <x v="4"/>
    <x v="1"/>
  </r>
  <r>
    <x v="691"/>
    <s v="ZTAN"/>
    <x v="4"/>
    <s v="WG4022"/>
    <n v="154837728"/>
    <s v="MELIPILLA"/>
    <x v="5856"/>
    <x v="1"/>
    <x v="0"/>
    <x v="29"/>
    <x v="1"/>
    <n v="5"/>
    <n v="180000"/>
    <n v="0"/>
    <n v="180000"/>
    <n v="25.423728813559304"/>
    <n v="10000"/>
    <n v="71"/>
    <x v="7305"/>
    <x v="12"/>
    <x v="4"/>
    <x v="1"/>
  </r>
  <r>
    <x v="691"/>
    <s v="ZTAN"/>
    <x v="8"/>
    <s v="DKDL88"/>
    <n v="122975819"/>
    <s v="LOS ANGELES"/>
    <x v="5857"/>
    <x v="0"/>
    <x v="0"/>
    <x v="57"/>
    <x v="0"/>
    <n v="0"/>
    <n v="528000"/>
    <n v="0"/>
    <n v="528000"/>
    <n v="42.259608458324664"/>
    <n v="14000"/>
    <n v="90"/>
    <x v="7306"/>
    <x v="12"/>
    <x v="4"/>
    <x v="0"/>
  </r>
  <r>
    <x v="691"/>
    <s v="ZTAN"/>
    <x v="8"/>
    <s v="SV2718"/>
    <n v="107643206"/>
    <s v="PUDAHUEL"/>
    <x v="5858"/>
    <x v="1"/>
    <x v="1"/>
    <x v="10"/>
    <x v="1"/>
    <n v="1"/>
    <n v="56117"/>
    <n v="0"/>
    <n v="56117"/>
    <n v="11.000054885602722"/>
    <n v="5000"/>
    <n v="100"/>
    <x v="7307"/>
    <x v="12"/>
    <x v="4"/>
    <x v="1"/>
  </r>
  <r>
    <x v="691"/>
    <s v="ZTAN"/>
    <x v="8"/>
    <s v="YG5635"/>
    <n v="93321006"/>
    <s v="TALCA"/>
    <x v="5859"/>
    <x v="0"/>
    <x v="0"/>
    <x v="12"/>
    <x v="3"/>
    <n v="0"/>
    <n v="402000"/>
    <n v="0"/>
    <n v="402000"/>
    <n v="77.875283314929959"/>
    <n v="14000"/>
    <n v="45"/>
    <x v="7308"/>
    <x v="12"/>
    <x v="4"/>
    <x v="0"/>
  </r>
  <r>
    <x v="692"/>
    <s v="ZPEP"/>
    <x v="5"/>
    <s v="HLBX77"/>
    <n v="78907355"/>
    <s v="SAN BERNARDO"/>
    <x v="5860"/>
    <x v="1"/>
    <x v="1"/>
    <x v="4"/>
    <x v="1"/>
    <n v="4"/>
    <n v="69173"/>
    <n v="0"/>
    <n v="69173"/>
    <n v="15.419062904016757"/>
    <n v="5000"/>
    <n v="90"/>
    <x v="7309"/>
    <x v="12"/>
    <x v="4"/>
    <x v="1"/>
  </r>
  <r>
    <x v="692"/>
    <s v="ZPEP"/>
    <x v="103"/>
    <s v="DJLF85"/>
    <n v="125108660"/>
    <s v="SANTIAGO"/>
    <x v="5861"/>
    <x v="4"/>
    <x v="1"/>
    <x v="20"/>
    <x v="1"/>
    <n v="1"/>
    <n v="108669"/>
    <n v="0"/>
    <n v="108669"/>
    <n v="11"/>
    <n v="5000"/>
    <n v="100"/>
    <x v="7310"/>
    <x v="12"/>
    <x v="4"/>
    <x v="1"/>
  </r>
  <r>
    <x v="692"/>
    <s v="ZTAN"/>
    <x v="105"/>
    <s v="SU9354"/>
    <n v="72564391"/>
    <s v="VALPARAISO"/>
    <x v="5862"/>
    <x v="2"/>
    <x v="1"/>
    <x v="36"/>
    <x v="2"/>
    <n v="0"/>
    <n v="227000"/>
    <n v="0"/>
    <n v="227000"/>
    <n v="48.511944196304533"/>
    <n v="14000"/>
    <n v="33"/>
    <x v="7311"/>
    <x v="12"/>
    <x v="4"/>
    <x v="0"/>
  </r>
  <r>
    <x v="692"/>
    <s v="ZTAN"/>
    <x v="7"/>
    <s v="DJLF85"/>
    <n v="125108660"/>
    <s v="MELIPILLA"/>
    <x v="5863"/>
    <x v="4"/>
    <x v="1"/>
    <x v="29"/>
    <x v="1"/>
    <n v="5"/>
    <n v="112500"/>
    <n v="0"/>
    <n v="112500"/>
    <n v="16.239859110200079"/>
    <n v="10000"/>
    <n v="69"/>
    <x v="7312"/>
    <x v="12"/>
    <x v="4"/>
    <x v="1"/>
  </r>
  <r>
    <x v="692"/>
    <s v="ZTAN"/>
    <x v="7"/>
    <s v="WD7700"/>
    <n v="73835526"/>
    <s v="RENCA"/>
    <x v="1518"/>
    <x v="0"/>
    <x v="0"/>
    <x v="7"/>
    <x v="1"/>
    <n v="1"/>
    <n v="116798"/>
    <n v="0"/>
    <n v="116798"/>
    <n v="11"/>
    <n v="5000"/>
    <n v="100"/>
    <x v="7313"/>
    <x v="12"/>
    <x v="4"/>
    <x v="1"/>
  </r>
  <r>
    <x v="692"/>
    <s v="ZTAN"/>
    <x v="7"/>
    <s v="WG4022"/>
    <n v="154837728"/>
    <s v="RENCA"/>
    <x v="5864"/>
    <x v="1"/>
    <x v="0"/>
    <x v="7"/>
    <x v="1"/>
    <n v="1"/>
    <n v="228831"/>
    <n v="0"/>
    <n v="228831"/>
    <n v="10.999999038591884"/>
    <n v="5000"/>
    <n v="100"/>
    <x v="7314"/>
    <x v="12"/>
    <x v="4"/>
    <x v="1"/>
  </r>
  <r>
    <x v="692"/>
    <s v="ZTAN"/>
    <x v="8"/>
    <s v="GGZX14"/>
    <n v="157396544"/>
    <s v="CORONEL"/>
    <x v="5865"/>
    <x v="0"/>
    <x v="0"/>
    <x v="16"/>
    <x v="0"/>
    <n v="0"/>
    <n v="528000"/>
    <n v="0"/>
    <n v="528000"/>
    <n v="47.315686135697405"/>
    <n v="14000"/>
    <n v="80"/>
    <x v="7315"/>
    <x v="12"/>
    <x v="4"/>
    <x v="0"/>
  </r>
  <r>
    <x v="692"/>
    <s v="ZTAN"/>
    <x v="8"/>
    <s v="SV2718"/>
    <n v="107643206"/>
    <s v="LA REINA"/>
    <x v="5866"/>
    <x v="1"/>
    <x v="1"/>
    <x v="11"/>
    <x v="1"/>
    <n v="3"/>
    <n v="69173"/>
    <n v="0"/>
    <n v="69173"/>
    <n v="24.255058031487778"/>
    <n v="5000"/>
    <n v="57"/>
    <x v="7316"/>
    <x v="12"/>
    <x v="4"/>
    <x v="1"/>
  </r>
  <r>
    <x v="692"/>
    <s v="ZTAN"/>
    <x v="8"/>
    <s v="UA7248"/>
    <n v="99626232"/>
    <s v="QUILICURA"/>
    <x v="5867"/>
    <x v="1"/>
    <x v="1"/>
    <x v="8"/>
    <x v="1"/>
    <n v="1"/>
    <n v="69173"/>
    <n v="0"/>
    <n v="69173"/>
    <n v="22.398261838151484"/>
    <n v="5000"/>
    <n v="62"/>
    <x v="7317"/>
    <x v="12"/>
    <x v="4"/>
    <x v="1"/>
  </r>
  <r>
    <x v="692"/>
    <s v="ZTAN"/>
    <x v="8"/>
    <s v="XR6339"/>
    <n v="78907355"/>
    <s v="SAN MIGUEL"/>
    <x v="347"/>
    <x v="1"/>
    <x v="1"/>
    <x v="23"/>
    <x v="1"/>
    <n v="2"/>
    <n v="69173"/>
    <n v="0"/>
    <n v="69173"/>
    <n v="23.337719298245613"/>
    <n v="5000"/>
    <n v="59"/>
    <x v="7318"/>
    <x v="12"/>
    <x v="4"/>
    <x v="1"/>
  </r>
  <r>
    <x v="693"/>
    <s v="ZPEP"/>
    <x v="5"/>
    <s v="XR6339"/>
    <n v="154837728"/>
    <s v="SAN BERNARDO"/>
    <x v="5868"/>
    <x v="1"/>
    <x v="1"/>
    <x v="4"/>
    <x v="1"/>
    <n v="4"/>
    <n v="69173"/>
    <n v="0"/>
    <n v="69173"/>
    <n v="22.328997062526227"/>
    <n v="5000"/>
    <n v="62"/>
    <x v="7319"/>
    <x v="12"/>
    <x v="4"/>
    <x v="1"/>
  </r>
  <r>
    <x v="693"/>
    <s v="ZPEP"/>
    <x v="2"/>
    <s v="HLBX77"/>
    <n v="107643206"/>
    <s v="PADRE HURTADO"/>
    <x v="5869"/>
    <x v="1"/>
    <x v="1"/>
    <x v="26"/>
    <x v="1"/>
    <n v="5"/>
    <n v="112500"/>
    <n v="0"/>
    <n v="112500"/>
    <n v="12.193667963711643"/>
    <n v="10000"/>
    <n v="100"/>
    <x v="7320"/>
    <x v="12"/>
    <x v="4"/>
    <x v="1"/>
  </r>
  <r>
    <x v="693"/>
    <s v="ZPEP"/>
    <x v="103"/>
    <s v="WD7700"/>
    <n v="73835526"/>
    <s v="SANTIAGO"/>
    <x v="5870"/>
    <x v="0"/>
    <x v="0"/>
    <x v="20"/>
    <x v="1"/>
    <n v="1"/>
    <n v="102960"/>
    <n v="0"/>
    <n v="102960"/>
    <n v="11.000000000000004"/>
    <n v="5000"/>
    <n v="100"/>
    <x v="7321"/>
    <x v="12"/>
    <x v="4"/>
    <x v="1"/>
  </r>
  <r>
    <x v="693"/>
    <s v="ZTAN"/>
    <x v="6"/>
    <s v="RKYY82"/>
    <n v="101495566"/>
    <s v="PUERTO MONTT"/>
    <x v="5871"/>
    <x v="0"/>
    <x v="0"/>
    <x v="53"/>
    <x v="10"/>
    <n v="0"/>
    <n v="1282000"/>
    <n v="0"/>
    <n v="1282000"/>
    <n v="164.91079123734548"/>
    <n v="14000"/>
    <n v="56"/>
    <x v="7322"/>
    <x v="12"/>
    <x v="4"/>
    <x v="0"/>
  </r>
  <r>
    <x v="693"/>
    <s v="ZTAN"/>
    <x v="6"/>
    <s v="SU9354"/>
    <n v="72564391"/>
    <s v="LOS ANDES"/>
    <x v="5872"/>
    <x v="2"/>
    <x v="1"/>
    <x v="38"/>
    <x v="2"/>
    <n v="0"/>
    <n v="227000"/>
    <n v="0"/>
    <n v="227000"/>
    <n v="44.210731327295747"/>
    <n v="14000"/>
    <n v="37"/>
    <x v="7323"/>
    <x v="12"/>
    <x v="4"/>
    <x v="0"/>
  </r>
  <r>
    <x v="693"/>
    <s v="ZTAN"/>
    <x v="7"/>
    <s v="DJLF85"/>
    <n v="125108660"/>
    <s v="RENCA"/>
    <x v="5873"/>
    <x v="4"/>
    <x v="1"/>
    <x v="7"/>
    <x v="1"/>
    <n v="1"/>
    <n v="80890"/>
    <n v="0"/>
    <n v="80890"/>
    <n v="10.999994560516972"/>
    <n v="5000"/>
    <n v="100"/>
    <x v="7324"/>
    <x v="12"/>
    <x v="4"/>
    <x v="1"/>
  </r>
  <r>
    <x v="693"/>
    <s v="ZTAN"/>
    <x v="7"/>
    <s v="PYCL27"/>
    <n v="104840078"/>
    <s v="CORONEL"/>
    <x v="5874"/>
    <x v="0"/>
    <x v="0"/>
    <x v="16"/>
    <x v="0"/>
    <n v="0"/>
    <n v="528000"/>
    <n v="0"/>
    <n v="528000"/>
    <n v="43.732865082454673"/>
    <n v="14000"/>
    <n v="86"/>
    <x v="7325"/>
    <x v="12"/>
    <x v="4"/>
    <x v="0"/>
  </r>
  <r>
    <x v="693"/>
    <s v="ZTAN"/>
    <x v="7"/>
    <s v="WG4022"/>
    <n v="154837728"/>
    <s v="RENCA"/>
    <x v="5875"/>
    <x v="1"/>
    <x v="0"/>
    <x v="7"/>
    <x v="1"/>
    <n v="1"/>
    <n v="218409"/>
    <n v="0"/>
    <n v="218409"/>
    <n v="11.000002014569365"/>
    <n v="5000"/>
    <n v="100"/>
    <x v="7326"/>
    <x v="12"/>
    <x v="4"/>
    <x v="1"/>
  </r>
  <r>
    <x v="693"/>
    <s v="ZTAN"/>
    <x v="8"/>
    <s v="SV2718"/>
    <n v="107643206"/>
    <s v="PUDAHUEL"/>
    <x v="5876"/>
    <x v="1"/>
    <x v="1"/>
    <x v="10"/>
    <x v="1"/>
    <n v="1"/>
    <n v="69173"/>
    <n v="0"/>
    <n v="69173"/>
    <n v="27.341538996663978"/>
    <n v="5000"/>
    <n v="51"/>
    <x v="7327"/>
    <x v="12"/>
    <x v="4"/>
    <x v="1"/>
  </r>
  <r>
    <x v="694"/>
    <s v="ZPEP"/>
    <x v="5"/>
    <s v="HLBX77"/>
    <n v="78907355"/>
    <s v="SAN BERNARDO"/>
    <x v="5877"/>
    <x v="1"/>
    <x v="1"/>
    <x v="4"/>
    <x v="1"/>
    <n v="4"/>
    <n v="69173"/>
    <n v="0"/>
    <n v="69173"/>
    <n v="14.16127222774973"/>
    <n v="5000"/>
    <n v="98"/>
    <x v="7328"/>
    <x v="12"/>
    <x v="4"/>
    <x v="1"/>
  </r>
  <r>
    <x v="694"/>
    <s v="ZPEP"/>
    <x v="2"/>
    <s v="DJLF85"/>
    <n v="125108660"/>
    <s v="PADRE HURTADO"/>
    <x v="5878"/>
    <x v="4"/>
    <x v="1"/>
    <x v="26"/>
    <x v="1"/>
    <n v="5"/>
    <n v="112500"/>
    <n v="0"/>
    <n v="112500"/>
    <n v="12.432148098378626"/>
    <n v="10000"/>
    <n v="90"/>
    <x v="7329"/>
    <x v="12"/>
    <x v="4"/>
    <x v="1"/>
  </r>
  <r>
    <x v="694"/>
    <s v="ZPEP"/>
    <x v="103"/>
    <s v="WD7700"/>
    <n v="73835526"/>
    <s v="SANTIAGO"/>
    <x v="5879"/>
    <x v="0"/>
    <x v="0"/>
    <x v="20"/>
    <x v="1"/>
    <n v="1"/>
    <n v="104940"/>
    <n v="0"/>
    <n v="104940"/>
    <n v="10.999999999999996"/>
    <n v="5000"/>
    <n v="100"/>
    <x v="7330"/>
    <x v="12"/>
    <x v="4"/>
    <x v="1"/>
  </r>
  <r>
    <x v="694"/>
    <s v="ZTAN"/>
    <x v="10"/>
    <s v="WD7700"/>
    <n v="73835526"/>
    <s v="PUENTE ALTO"/>
    <x v="5880"/>
    <x v="0"/>
    <x v="0"/>
    <x v="30"/>
    <x v="1"/>
    <n v="4"/>
    <n v="69173"/>
    <n v="0"/>
    <n v="69173"/>
    <n v="18.216364258815474"/>
    <n v="5000"/>
    <n v="76"/>
    <x v="7331"/>
    <x v="12"/>
    <x v="4"/>
    <x v="1"/>
  </r>
  <r>
    <x v="694"/>
    <s v="ZTAN"/>
    <x v="6"/>
    <s v="SU9354"/>
    <n v="72564391"/>
    <s v="QUILLOTA"/>
    <x v="5881"/>
    <x v="2"/>
    <x v="1"/>
    <x v="19"/>
    <x v="2"/>
    <n v="0"/>
    <n v="227000"/>
    <n v="0"/>
    <n v="227000"/>
    <n v="53.592339364635663"/>
    <n v="14000"/>
    <n v="55"/>
    <x v="7332"/>
    <x v="12"/>
    <x v="4"/>
    <x v="0"/>
  </r>
  <r>
    <x v="694"/>
    <s v="ZTAN"/>
    <x v="6"/>
    <s v="UA7248"/>
    <n v="99626232"/>
    <s v="PUENTE ALTO"/>
    <x v="5882"/>
    <x v="1"/>
    <x v="1"/>
    <x v="30"/>
    <x v="1"/>
    <n v="4"/>
    <n v="69173"/>
    <n v="0"/>
    <n v="69173"/>
    <n v="22.143863243485498"/>
    <n v="5000"/>
    <n v="62"/>
    <x v="7333"/>
    <x v="12"/>
    <x v="4"/>
    <x v="1"/>
  </r>
  <r>
    <x v="694"/>
    <s v="ZTAN"/>
    <x v="8"/>
    <s v="DKDL88"/>
    <n v="122975819"/>
    <s v="TALCA"/>
    <x v="5883"/>
    <x v="0"/>
    <x v="0"/>
    <x v="12"/>
    <x v="3"/>
    <n v="0"/>
    <n v="402000"/>
    <n v="0"/>
    <n v="402000"/>
    <n v="82.872928176795568"/>
    <n v="14000"/>
    <n v="35"/>
    <x v="7334"/>
    <x v="12"/>
    <x v="4"/>
    <x v="0"/>
  </r>
  <r>
    <x v="694"/>
    <s v="ZTAN"/>
    <x v="8"/>
    <s v="SV2718"/>
    <n v="107643206"/>
    <s v="PUDAHUEL"/>
    <x v="5884"/>
    <x v="1"/>
    <x v="1"/>
    <x v="10"/>
    <x v="1"/>
    <n v="1"/>
    <n v="69173"/>
    <n v="0"/>
    <n v="69173"/>
    <n v="24.943566591422112"/>
    <n v="5000"/>
    <n v="55"/>
    <x v="7335"/>
    <x v="12"/>
    <x v="4"/>
    <x v="1"/>
  </r>
  <r>
    <x v="695"/>
    <s v="ZPEP"/>
    <x v="5"/>
    <s v="DJLF85"/>
    <n v="125108660"/>
    <s v="SAN BERNARDO"/>
    <x v="5885"/>
    <x v="4"/>
    <x v="1"/>
    <x v="4"/>
    <x v="1"/>
    <n v="4"/>
    <n v="57603"/>
    <n v="0"/>
    <n v="57603"/>
    <n v="10.999908338871192"/>
    <n v="5000"/>
    <n v="100"/>
    <x v="7336"/>
    <x v="12"/>
    <x v="4"/>
    <x v="1"/>
  </r>
  <r>
    <x v="695"/>
    <s v="ZPEP"/>
    <x v="2"/>
    <s v="WD7700"/>
    <n v="73835526"/>
    <s v="PADRE HURTADO"/>
    <x v="5886"/>
    <x v="0"/>
    <x v="0"/>
    <x v="26"/>
    <x v="1"/>
    <n v="5"/>
    <n v="180000"/>
    <n v="0"/>
    <n v="180000"/>
    <n v="24.335373899500315"/>
    <n v="10000"/>
    <n v="74"/>
    <x v="7337"/>
    <x v="12"/>
    <x v="4"/>
    <x v="1"/>
  </r>
  <r>
    <x v="695"/>
    <s v="ZPEP"/>
    <x v="2"/>
    <s v="WD7700"/>
    <n v="73835526"/>
    <s v="PROVIDENCIA"/>
    <x v="5887"/>
    <x v="0"/>
    <x v="0"/>
    <x v="54"/>
    <x v="1"/>
    <n v="2"/>
    <n v="69173"/>
    <n v="0"/>
    <n v="69173"/>
    <n v="87.091128849495121"/>
    <n v="5000"/>
    <n v="16"/>
    <x v="7338"/>
    <x v="12"/>
    <x v="4"/>
    <x v="1"/>
  </r>
  <r>
    <x v="695"/>
    <s v="ZTAN"/>
    <x v="5"/>
    <s v="DJLF85"/>
    <n v="125108660"/>
    <s v="SAN BERNARDO"/>
    <x v="5888"/>
    <x v="4"/>
    <x v="1"/>
    <x v="4"/>
    <x v="1"/>
    <n v="4"/>
    <n v="69173"/>
    <n v="0"/>
    <n v="69173"/>
    <n v="46.487231182795696"/>
    <n v="5000"/>
    <n v="30"/>
    <x v="7339"/>
    <x v="12"/>
    <x v="4"/>
    <x v="1"/>
  </r>
  <r>
    <x v="695"/>
    <s v="ZTAN"/>
    <x v="10"/>
    <s v="RH1133"/>
    <n v="65941082"/>
    <s v="QUILICURA"/>
    <x v="5889"/>
    <x v="0"/>
    <x v="0"/>
    <x v="8"/>
    <x v="1"/>
    <n v="1"/>
    <n v="126270"/>
    <n v="0"/>
    <n v="126270"/>
    <n v="11.00002961915"/>
    <n v="5000"/>
    <n v="100"/>
    <x v="7340"/>
    <x v="12"/>
    <x v="4"/>
    <x v="1"/>
  </r>
  <r>
    <x v="695"/>
    <s v="ZTAN"/>
    <x v="6"/>
    <s v="DFRV76"/>
    <n v="113693568"/>
    <s v="HUALPEN"/>
    <x v="4963"/>
    <x v="5"/>
    <x v="0"/>
    <x v="44"/>
    <x v="0"/>
    <n v="0"/>
    <n v="503000"/>
    <n v="0"/>
    <n v="503000"/>
    <n v="150.7974577287444"/>
    <n v="14000"/>
    <n v="24"/>
    <x v="7341"/>
    <x v="12"/>
    <x v="4"/>
    <x v="0"/>
  </r>
  <r>
    <x v="695"/>
    <s v="ZTAN"/>
    <x v="6"/>
    <s v="DRFV76"/>
    <n v="113693568"/>
    <s v="CHIGUAYANTE"/>
    <x v="5890"/>
    <x v="0"/>
    <x v="0"/>
    <x v="82"/>
    <x v="0"/>
    <n v="0"/>
    <n v="478000"/>
    <n v="0"/>
    <n v="478000"/>
    <n v="93.079409588347545"/>
    <n v="14000"/>
    <n v="37"/>
    <x v="7342"/>
    <x v="12"/>
    <x v="4"/>
    <x v="0"/>
  </r>
  <r>
    <x v="695"/>
    <s v="ZTAN"/>
    <x v="137"/>
    <s v="WD7700"/>
    <n v="73835526"/>
    <s v="LAS CONDES"/>
    <x v="923"/>
    <x v="0"/>
    <x v="0"/>
    <x v="3"/>
    <x v="1"/>
    <n v="4"/>
    <n v="151420"/>
    <n v="0"/>
    <n v="151420"/>
    <n v="10.999963677309214"/>
    <n v="5000"/>
    <n v="100"/>
    <x v="7343"/>
    <x v="12"/>
    <x v="4"/>
    <x v="1"/>
  </r>
  <r>
    <x v="695"/>
    <s v="ZTAN"/>
    <x v="7"/>
    <s v="PBFH81"/>
    <n v="129210451"/>
    <s v="CORONEL"/>
    <x v="5891"/>
    <x v="0"/>
    <x v="0"/>
    <x v="16"/>
    <x v="0"/>
    <n v="0"/>
    <n v="528000"/>
    <n v="0"/>
    <n v="528000"/>
    <n v="25.886045509432964"/>
    <n v="14000"/>
    <n v="100"/>
    <x v="7344"/>
    <x v="12"/>
    <x v="4"/>
    <x v="0"/>
  </r>
  <r>
    <x v="695"/>
    <s v="ZTAN"/>
    <x v="7"/>
    <s v="WG4022"/>
    <n v="154837728"/>
    <s v="RENCA"/>
    <x v="5892"/>
    <x v="1"/>
    <x v="0"/>
    <x v="7"/>
    <x v="1"/>
    <n v="1"/>
    <n v="184883"/>
    <n v="0"/>
    <n v="184883"/>
    <n v="10.999970846504466"/>
    <n v="5000"/>
    <n v="100"/>
    <x v="7345"/>
    <x v="12"/>
    <x v="4"/>
    <x v="1"/>
  </r>
  <r>
    <x v="695"/>
    <s v="ZTAN"/>
    <x v="8"/>
    <s v="GGZX14"/>
    <n v="157396544"/>
    <s v="VILLARRICA"/>
    <x v="5893"/>
    <x v="0"/>
    <x v="0"/>
    <x v="88"/>
    <x v="4"/>
    <n v="0"/>
    <n v="1000000"/>
    <n v="0"/>
    <n v="1000000"/>
    <n v="184.99197134844349"/>
    <n v="14000"/>
    <n v="39"/>
    <x v="7346"/>
    <x v="12"/>
    <x v="4"/>
    <x v="0"/>
  </r>
  <r>
    <x v="695"/>
    <s v="ZTAN"/>
    <x v="8"/>
    <s v="RWTG52"/>
    <n v="276547747"/>
    <s v="SAN BERNARDO"/>
    <x v="2377"/>
    <x v="0"/>
    <x v="0"/>
    <x v="4"/>
    <x v="1"/>
    <n v="4"/>
    <n v="69173"/>
    <n v="0"/>
    <n v="69173"/>
    <n v="21.608459327752087"/>
    <n v="5000"/>
    <n v="64"/>
    <x v="7347"/>
    <x v="12"/>
    <x v="4"/>
    <x v="1"/>
  </r>
  <r>
    <x v="695"/>
    <s v="ZTAN"/>
    <x v="8"/>
    <s v="SV2718"/>
    <n v="107643206"/>
    <s v="PUDAHUEL"/>
    <x v="5894"/>
    <x v="1"/>
    <x v="1"/>
    <x v="10"/>
    <x v="1"/>
    <n v="1"/>
    <n v="69173"/>
    <n v="0"/>
    <n v="69173"/>
    <n v="20.651307481258787"/>
    <n v="5000"/>
    <n v="67"/>
    <x v="7348"/>
    <x v="12"/>
    <x v="4"/>
    <x v="1"/>
  </r>
  <r>
    <x v="695"/>
    <s v="ZTAN"/>
    <x v="8"/>
    <s v="UA7248"/>
    <n v="99626232"/>
    <s v="EL BOSQUE"/>
    <x v="5895"/>
    <x v="1"/>
    <x v="1"/>
    <x v="25"/>
    <x v="1"/>
    <n v="3"/>
    <n v="69173"/>
    <n v="0"/>
    <n v="69173"/>
    <n v="26.343590524792443"/>
    <n v="5000"/>
    <n v="53"/>
    <x v="7349"/>
    <x v="12"/>
    <x v="4"/>
    <x v="1"/>
  </r>
  <r>
    <x v="696"/>
    <s v="ZPEP"/>
    <x v="5"/>
    <s v="XR6339"/>
    <n v="78907355"/>
    <s v="SAN BERNARDO"/>
    <x v="5896"/>
    <x v="1"/>
    <x v="1"/>
    <x v="4"/>
    <x v="1"/>
    <n v="4"/>
    <n v="69173"/>
    <n v="0"/>
    <n v="69173"/>
    <n v="24.842072752477094"/>
    <n v="5000"/>
    <n v="56"/>
    <x v="7350"/>
    <x v="12"/>
    <x v="4"/>
    <x v="1"/>
  </r>
  <r>
    <x v="696"/>
    <s v="ZPEP"/>
    <x v="98"/>
    <s v="FFPF51"/>
    <n v="95707734"/>
    <s v="RANCAGUA"/>
    <x v="5897"/>
    <x v="0"/>
    <x v="0"/>
    <x v="28"/>
    <x v="6"/>
    <n v="0"/>
    <n v="289000"/>
    <n v="0"/>
    <n v="289000"/>
    <n v="11.982423567478458"/>
    <n v="14000"/>
    <n v="100"/>
    <x v="7351"/>
    <x v="12"/>
    <x v="4"/>
    <x v="0"/>
  </r>
  <r>
    <x v="696"/>
    <s v="ZPEP"/>
    <x v="98"/>
    <s v="UK7193"/>
    <n v="81417709"/>
    <s v="RANCAGUA"/>
    <x v="5898"/>
    <x v="1"/>
    <x v="0"/>
    <x v="28"/>
    <x v="6"/>
    <n v="0"/>
    <n v="289000"/>
    <n v="0"/>
    <n v="289000"/>
    <n v="12.788963080608973"/>
    <n v="14000"/>
    <n v="100"/>
    <x v="7352"/>
    <x v="12"/>
    <x v="4"/>
    <x v="0"/>
  </r>
  <r>
    <x v="696"/>
    <s v="ZTAN"/>
    <x v="114"/>
    <s v="DJLF85"/>
    <n v="125108660"/>
    <s v="SANTIAGO"/>
    <x v="5899"/>
    <x v="4"/>
    <x v="1"/>
    <x v="20"/>
    <x v="1"/>
    <n v="1"/>
    <n v="129525"/>
    <n v="0"/>
    <n v="129525"/>
    <n v="11"/>
    <n v="5000"/>
    <n v="100"/>
    <x v="7353"/>
    <x v="12"/>
    <x v="4"/>
    <x v="1"/>
  </r>
  <r>
    <x v="696"/>
    <s v="ZTAN"/>
    <x v="6"/>
    <s v="RKLH77"/>
    <n v="94590507"/>
    <s v="SAN CARLOS"/>
    <x v="1186"/>
    <x v="0"/>
    <x v="0"/>
    <x v="32"/>
    <x v="5"/>
    <n v="0"/>
    <n v="440000"/>
    <n v="0"/>
    <n v="440000"/>
    <n v="67.395766320497529"/>
    <n v="14000"/>
    <n v="47"/>
    <x v="7354"/>
    <x v="12"/>
    <x v="4"/>
    <x v="0"/>
  </r>
  <r>
    <x v="696"/>
    <s v="ZTAN"/>
    <x v="16"/>
    <s v="VG8997"/>
    <n v="124860342"/>
    <s v="LOS ANGELES"/>
    <x v="5900"/>
    <x v="0"/>
    <x v="0"/>
    <x v="57"/>
    <x v="0"/>
    <n v="0"/>
    <n v="528000"/>
    <n v="0"/>
    <n v="528000"/>
    <n v="19.909652410651656"/>
    <n v="14000"/>
    <n v="100"/>
    <x v="7355"/>
    <x v="12"/>
    <x v="4"/>
    <x v="0"/>
  </r>
  <r>
    <x v="696"/>
    <s v="ZTAN"/>
    <x v="116"/>
    <s v="HLBX77"/>
    <n v="81417709"/>
    <s v="SANTIAGO"/>
    <x v="5901"/>
    <x v="1"/>
    <x v="1"/>
    <x v="20"/>
    <x v="1"/>
    <n v="1"/>
    <n v="69173"/>
    <n v="0"/>
    <n v="69173"/>
    <n v="38.711609061604584"/>
    <n v="5000"/>
    <n v="36"/>
    <x v="7356"/>
    <x v="12"/>
    <x v="4"/>
    <x v="1"/>
  </r>
  <r>
    <x v="696"/>
    <s v="ZTAN"/>
    <x v="7"/>
    <s v="RH1133"/>
    <n v="65941082"/>
    <s v="RANCAGUA"/>
    <x v="5902"/>
    <x v="0"/>
    <x v="0"/>
    <x v="28"/>
    <x v="6"/>
    <n v="0"/>
    <n v="289000"/>
    <n v="0"/>
    <n v="289000"/>
    <n v="11.963678437849932"/>
    <n v="14000"/>
    <n v="100"/>
    <x v="7357"/>
    <x v="12"/>
    <x v="4"/>
    <x v="0"/>
  </r>
  <r>
    <x v="696"/>
    <s v="ZTAN"/>
    <x v="7"/>
    <s v="UA7248"/>
    <n v="99626232"/>
    <s v="SAN MIGUEL"/>
    <x v="5903"/>
    <x v="1"/>
    <x v="1"/>
    <x v="23"/>
    <x v="1"/>
    <n v="2"/>
    <n v="65216"/>
    <n v="0"/>
    <n v="65216"/>
    <n v="10.999957832595404"/>
    <n v="5000"/>
    <n v="100"/>
    <x v="7358"/>
    <x v="12"/>
    <x v="4"/>
    <x v="1"/>
  </r>
  <r>
    <x v="696"/>
    <s v="ZTAN"/>
    <x v="7"/>
    <s v="WD7700"/>
    <n v="73835526"/>
    <s v="SANTIAGO"/>
    <x v="5904"/>
    <x v="0"/>
    <x v="0"/>
    <x v="20"/>
    <x v="1"/>
    <n v="1"/>
    <n v="69173"/>
    <n v="0"/>
    <n v="69173"/>
    <n v="18.243749340647749"/>
    <n v="5000"/>
    <n v="76"/>
    <x v="7359"/>
    <x v="12"/>
    <x v="4"/>
    <x v="1"/>
  </r>
  <r>
    <x v="696"/>
    <s v="ZTAN"/>
    <x v="7"/>
    <s v="WG4022"/>
    <n v="154837728"/>
    <s v="RENCA"/>
    <x v="5905"/>
    <x v="1"/>
    <x v="0"/>
    <x v="7"/>
    <x v="1"/>
    <n v="1"/>
    <n v="186432"/>
    <n v="0"/>
    <n v="186432"/>
    <n v="11.000002360110365"/>
    <n v="5000"/>
    <n v="100"/>
    <x v="7360"/>
    <x v="12"/>
    <x v="4"/>
    <x v="1"/>
  </r>
  <r>
    <x v="696"/>
    <s v="ZTAN"/>
    <x v="7"/>
    <s v="XR6339"/>
    <n v="78907355"/>
    <s v="RENCA"/>
    <x v="5906"/>
    <x v="1"/>
    <x v="1"/>
    <x v="7"/>
    <x v="1"/>
    <n v="1"/>
    <n v="85652"/>
    <n v="0"/>
    <n v="85652"/>
    <n v="10.999993578670916"/>
    <n v="5000"/>
    <n v="100"/>
    <x v="7361"/>
    <x v="12"/>
    <x v="4"/>
    <x v="1"/>
  </r>
  <r>
    <x v="696"/>
    <s v="ZTAN"/>
    <x v="8"/>
    <s v="SV2718"/>
    <n v="107643206"/>
    <s v="LAS CONDES"/>
    <x v="5907"/>
    <x v="1"/>
    <x v="1"/>
    <x v="3"/>
    <x v="1"/>
    <n v="4"/>
    <n v="69173"/>
    <n v="0"/>
    <n v="69173"/>
    <n v="22.910884268122221"/>
    <n v="5000"/>
    <n v="60"/>
    <x v="7362"/>
    <x v="12"/>
    <x v="4"/>
    <x v="1"/>
  </r>
  <r>
    <x v="696"/>
    <s v="ZTAN"/>
    <x v="8"/>
    <s v="WD7700"/>
    <n v="73835526"/>
    <s v="LIMACHE"/>
    <x v="5908"/>
    <x v="0"/>
    <x v="0"/>
    <x v="119"/>
    <x v="2"/>
    <n v="0"/>
    <m/>
    <n v="0"/>
    <n v="0"/>
    <n v="0"/>
    <n v="14000"/>
    <n v="49"/>
    <x v="7363"/>
    <x v="12"/>
    <x v="4"/>
    <x v="0"/>
  </r>
  <r>
    <x v="697"/>
    <s v="ZPEP"/>
    <x v="148"/>
    <s v="HLBX77"/>
    <n v="78907355"/>
    <s v="SAN JOAQUIN"/>
    <x v="5909"/>
    <x v="1"/>
    <x v="1"/>
    <x v="67"/>
    <x v="1"/>
    <n v="3"/>
    <n v="61258"/>
    <n v="0"/>
    <n v="61258"/>
    <n v="11.000017956867605"/>
    <n v="5000"/>
    <n v="100"/>
    <x v="7364"/>
    <x v="12"/>
    <x v="4"/>
    <x v="1"/>
  </r>
  <r>
    <x v="697"/>
    <s v="ZPEP"/>
    <x v="5"/>
    <s v="WD7700"/>
    <n v="73835526"/>
    <s v="SAN BERNARDO"/>
    <x v="5910"/>
    <x v="0"/>
    <x v="0"/>
    <x v="4"/>
    <x v="1"/>
    <n v="4"/>
    <n v="69173"/>
    <n v="0"/>
    <n v="69173"/>
    <n v="18.655522922616786"/>
    <n v="5000"/>
    <n v="74"/>
    <x v="7365"/>
    <x v="12"/>
    <x v="4"/>
    <x v="1"/>
  </r>
  <r>
    <x v="697"/>
    <s v="ZPEP"/>
    <x v="2"/>
    <s v="DJLF85"/>
    <n v="125108660"/>
    <s v="PADRE HURTADO"/>
    <x v="5911"/>
    <x v="4"/>
    <x v="1"/>
    <x v="26"/>
    <x v="1"/>
    <n v="5"/>
    <n v="112500"/>
    <n v="0"/>
    <n v="112500"/>
    <n v="19.899977709619279"/>
    <n v="10000"/>
    <n v="100"/>
    <x v="7366"/>
    <x v="12"/>
    <x v="4"/>
    <x v="1"/>
  </r>
  <r>
    <x v="697"/>
    <s v="ZPEP"/>
    <x v="98"/>
    <s v="KKPF"/>
    <n v="95707734"/>
    <s v="RANCAGUA"/>
    <x v="5912"/>
    <x v="0"/>
    <x v="0"/>
    <x v="28"/>
    <x v="6"/>
    <n v="0"/>
    <n v="289000"/>
    <n v="0"/>
    <n v="289000"/>
    <n v="13.12429525032209"/>
    <n v="14000"/>
    <n v="100"/>
    <x v="7367"/>
    <x v="12"/>
    <x v="4"/>
    <x v="0"/>
  </r>
  <r>
    <x v="697"/>
    <s v="ZTAN"/>
    <x v="10"/>
    <s v="DJLF85"/>
    <n v="125108660"/>
    <s v="MELIPILLA"/>
    <x v="965"/>
    <x v="4"/>
    <x v="1"/>
    <x v="29"/>
    <x v="1"/>
    <n v="5"/>
    <n v="112500"/>
    <n v="0"/>
    <n v="112500"/>
    <n v="9.4179694857788583"/>
    <n v="10000"/>
    <n v="100"/>
    <x v="7368"/>
    <x v="12"/>
    <x v="4"/>
    <x v="1"/>
  </r>
  <r>
    <x v="697"/>
    <s v="ZTAN"/>
    <x v="10"/>
    <s v="HLBX77"/>
    <n v="78907355"/>
    <s v="MELIPILLA"/>
    <x v="965"/>
    <x v="1"/>
    <x v="1"/>
    <x v="29"/>
    <x v="1"/>
    <n v="5"/>
    <n v="112500"/>
    <n v="0"/>
    <n v="112500"/>
    <n v="9.4179694857788583"/>
    <n v="10000"/>
    <n v="100"/>
    <x v="7369"/>
    <x v="12"/>
    <x v="4"/>
    <x v="1"/>
  </r>
  <r>
    <x v="697"/>
    <s v="ZTAN"/>
    <x v="10"/>
    <s v="XR6339"/>
    <n v="78907355"/>
    <s v="SANTIAGO"/>
    <x v="5913"/>
    <x v="1"/>
    <x v="1"/>
    <x v="20"/>
    <x v="1"/>
    <n v="1"/>
    <n v="69173"/>
    <n v="0"/>
    <n v="69173"/>
    <n v="19.666561472042396"/>
    <n v="5000"/>
    <n v="70"/>
    <x v="7370"/>
    <x v="12"/>
    <x v="4"/>
    <x v="1"/>
  </r>
  <r>
    <x v="697"/>
    <s v="ZTAN"/>
    <x v="7"/>
    <s v="BPKD94"/>
    <n v="125897258"/>
    <s v="CORONEL"/>
    <x v="5914"/>
    <x v="0"/>
    <x v="0"/>
    <x v="16"/>
    <x v="0"/>
    <n v="0"/>
    <n v="528000"/>
    <n v="0"/>
    <n v="528000"/>
    <n v="44.844572787497874"/>
    <n v="14000"/>
    <n v="84"/>
    <x v="7371"/>
    <x v="12"/>
    <x v="4"/>
    <x v="0"/>
  </r>
  <r>
    <x v="697"/>
    <s v="ZTAN"/>
    <x v="7"/>
    <s v="RJ6819"/>
    <n v="94742285"/>
    <s v="CORONEL"/>
    <x v="5915"/>
    <x v="5"/>
    <x v="0"/>
    <x v="16"/>
    <x v="0"/>
    <n v="0"/>
    <n v="528000"/>
    <n v="0"/>
    <n v="528000"/>
    <n v="31.844060600212295"/>
    <n v="14000"/>
    <n v="100"/>
    <x v="7372"/>
    <x v="12"/>
    <x v="4"/>
    <x v="0"/>
  </r>
  <r>
    <x v="697"/>
    <s v="ZTAN"/>
    <x v="7"/>
    <s v="RKYY81"/>
    <n v="70866846"/>
    <s v="CORONEL"/>
    <x v="5916"/>
    <x v="0"/>
    <x v="0"/>
    <x v="16"/>
    <x v="0"/>
    <n v="0"/>
    <n v="528000"/>
    <n v="0"/>
    <n v="528000"/>
    <n v="29.284850636168994"/>
    <n v="14000"/>
    <n v="100"/>
    <x v="7373"/>
    <x v="12"/>
    <x v="4"/>
    <x v="0"/>
  </r>
  <r>
    <x v="697"/>
    <s v="ZTAN"/>
    <x v="7"/>
    <s v="WG4022"/>
    <n v="154837728"/>
    <s v="RENCA"/>
    <x v="5917"/>
    <x v="1"/>
    <x v="0"/>
    <x v="7"/>
    <x v="1"/>
    <n v="1"/>
    <n v="181963"/>
    <n v="0"/>
    <n v="181963"/>
    <n v="10.999980655441981"/>
    <n v="5000"/>
    <n v="100"/>
    <x v="7374"/>
    <x v="12"/>
    <x v="4"/>
    <x v="1"/>
  </r>
  <r>
    <x v="697"/>
    <s v="ZTAN"/>
    <x v="8"/>
    <s v="RKYY82"/>
    <n v="101495566"/>
    <s v="TALCAHUANO"/>
    <x v="5918"/>
    <x v="0"/>
    <x v="0"/>
    <x v="0"/>
    <x v="0"/>
    <n v="0"/>
    <n v="506000"/>
    <n v="0"/>
    <n v="506000"/>
    <n v="52.114016404586039"/>
    <n v="14000"/>
    <n v="70"/>
    <x v="7375"/>
    <x v="12"/>
    <x v="4"/>
    <x v="0"/>
  </r>
  <r>
    <x v="697"/>
    <s v="ZTAN"/>
    <x v="57"/>
    <s v="SV2718"/>
    <n v="107643206"/>
    <s v="SANTIAGO"/>
    <x v="5919"/>
    <x v="1"/>
    <x v="1"/>
    <x v="20"/>
    <x v="1"/>
    <n v="1"/>
    <n v="69173"/>
    <n v="0"/>
    <n v="69173"/>
    <n v="20.113107699464997"/>
    <n v="5000"/>
    <n v="69"/>
    <x v="7376"/>
    <x v="12"/>
    <x v="4"/>
    <x v="1"/>
  </r>
  <r>
    <x v="698"/>
    <s v="ZPEP"/>
    <x v="95"/>
    <s v="HLBX77"/>
    <n v="78907355"/>
    <s v="SANTIAGO"/>
    <x v="5920"/>
    <x v="1"/>
    <x v="1"/>
    <x v="20"/>
    <x v="1"/>
    <n v="1"/>
    <n v="112627"/>
    <n v="0"/>
    <n v="112627"/>
    <n v="10.99996581647353"/>
    <n v="5000"/>
    <n v="100"/>
    <x v="7377"/>
    <x v="0"/>
    <x v="4"/>
    <x v="1"/>
  </r>
  <r>
    <x v="698"/>
    <s v="ZPEP"/>
    <x v="95"/>
    <s v="WD7700"/>
    <n v="73835526"/>
    <s v="SANTIAGO"/>
    <x v="5921"/>
    <x v="0"/>
    <x v="0"/>
    <x v="20"/>
    <x v="1"/>
    <n v="1"/>
    <n v="89414"/>
    <n v="0"/>
    <n v="89414"/>
    <n v="10.999993848841427"/>
    <n v="5000"/>
    <n v="100"/>
    <x v="7378"/>
    <x v="0"/>
    <x v="4"/>
    <x v="1"/>
  </r>
  <r>
    <x v="698"/>
    <s v="ZPEP"/>
    <x v="45"/>
    <s v="XR6339"/>
    <n v="78907355"/>
    <s v="VITACURA"/>
    <x v="5922"/>
    <x v="1"/>
    <x v="1"/>
    <x v="27"/>
    <x v="1"/>
    <n v="4"/>
    <n v="126170"/>
    <n v="0"/>
    <n v="126170"/>
    <n v="11"/>
    <n v="5000"/>
    <n v="100"/>
    <x v="7379"/>
    <x v="0"/>
    <x v="4"/>
    <x v="1"/>
  </r>
  <r>
    <x v="698"/>
    <s v="ZTAN"/>
    <x v="66"/>
    <s v="DJLF85"/>
    <n v="125108660"/>
    <s v="SANTIAGO"/>
    <x v="5923"/>
    <x v="4"/>
    <x v="1"/>
    <x v="20"/>
    <x v="1"/>
    <n v="1"/>
    <n v="69173"/>
    <n v="0"/>
    <n v="69173"/>
    <n v="21.130559628543505"/>
    <n v="5000"/>
    <n v="65"/>
    <x v="7380"/>
    <x v="0"/>
    <x v="4"/>
    <x v="1"/>
  </r>
  <r>
    <x v="698"/>
    <s v="ZTAN"/>
    <x v="7"/>
    <s v="RKLH77"/>
    <n v="94590507"/>
    <s v="CHILLAN"/>
    <x v="5924"/>
    <x v="0"/>
    <x v="0"/>
    <x v="21"/>
    <x v="5"/>
    <n v="0"/>
    <n v="500000"/>
    <n v="0"/>
    <n v="500000"/>
    <n v="59.608680931421375"/>
    <n v="14000"/>
    <n v="60"/>
    <x v="7381"/>
    <x v="0"/>
    <x v="4"/>
    <x v="0"/>
  </r>
  <r>
    <x v="698"/>
    <s v="ZTAN"/>
    <x v="8"/>
    <s v="SV2718"/>
    <n v="107643206"/>
    <s v="MAIPU"/>
    <x v="5925"/>
    <x v="1"/>
    <x v="1"/>
    <x v="2"/>
    <x v="1"/>
    <n v="2"/>
    <n v="69173"/>
    <n v="0"/>
    <n v="69173"/>
    <n v="26.64188876906486"/>
    <n v="5000"/>
    <n v="52"/>
    <x v="7382"/>
    <x v="0"/>
    <x v="4"/>
    <x v="1"/>
  </r>
  <r>
    <x v="698"/>
    <s v="ZTAN"/>
    <x v="8"/>
    <s v="UA7248"/>
    <n v="99626232"/>
    <s v="LAS CONDES"/>
    <x v="5926"/>
    <x v="1"/>
    <x v="1"/>
    <x v="3"/>
    <x v="1"/>
    <n v="4"/>
    <n v="69173"/>
    <n v="0"/>
    <n v="69173"/>
    <n v="20.024374428272022"/>
    <n v="5000"/>
    <n v="69"/>
    <x v="7383"/>
    <x v="0"/>
    <x v="4"/>
    <x v="1"/>
  </r>
  <r>
    <x v="699"/>
    <s v="ZPEP"/>
    <x v="2"/>
    <s v="DKDL88"/>
    <n v="122975819"/>
    <s v="TALCA"/>
    <x v="5927"/>
    <x v="0"/>
    <x v="0"/>
    <x v="12"/>
    <x v="3"/>
    <n v="0"/>
    <n v="402000"/>
    <n v="0"/>
    <n v="402000"/>
    <n v="20.864636776257914"/>
    <n v="14000"/>
    <n v="100"/>
    <x v="7384"/>
    <x v="0"/>
    <x v="4"/>
    <x v="0"/>
  </r>
  <r>
    <x v="699"/>
    <s v="ZPEP"/>
    <x v="7"/>
    <s v="PBFH81"/>
    <n v="129210451"/>
    <s v="SAN PEDRO DE LA PAZ"/>
    <x v="5928"/>
    <x v="0"/>
    <x v="0"/>
    <x v="47"/>
    <x v="0"/>
    <n v="0"/>
    <n v="528000"/>
    <n v="0"/>
    <n v="528000"/>
    <n v="64.440145722602267"/>
    <n v="14000"/>
    <n v="59"/>
    <x v="7385"/>
    <x v="0"/>
    <x v="4"/>
    <x v="0"/>
  </r>
  <r>
    <x v="699"/>
    <s v="ZTAN"/>
    <x v="16"/>
    <s v="DRRV76"/>
    <n v="113693568"/>
    <s v="LOS ANGELES"/>
    <x v="397"/>
    <x v="0"/>
    <x v="0"/>
    <x v="57"/>
    <x v="0"/>
    <n v="0"/>
    <n v="528000"/>
    <n v="0"/>
    <n v="528000"/>
    <n v="28.14498933901919"/>
    <n v="14000"/>
    <n v="100"/>
    <x v="7386"/>
    <x v="0"/>
    <x v="4"/>
    <x v="0"/>
  </r>
  <r>
    <x v="699"/>
    <s v="ZTAN"/>
    <x v="41"/>
    <s v="WD7700"/>
    <n v="73835526"/>
    <s v="MELIPILLA"/>
    <x v="5929"/>
    <x v="0"/>
    <x v="0"/>
    <x v="29"/>
    <x v="1"/>
    <n v="5"/>
    <n v="180000"/>
    <n v="0"/>
    <n v="180000"/>
    <n v="26.054256541789584"/>
    <n v="10000"/>
    <n v="69"/>
    <x v="7387"/>
    <x v="0"/>
    <x v="4"/>
    <x v="1"/>
  </r>
  <r>
    <x v="699"/>
    <s v="ZTAN"/>
    <x v="7"/>
    <s v="WG4022"/>
    <n v="154837728"/>
    <s v="SAN MIGUEL"/>
    <x v="5930"/>
    <x v="1"/>
    <x v="0"/>
    <x v="23"/>
    <x v="1"/>
    <n v="2"/>
    <n v="182592"/>
    <n v="0"/>
    <n v="182592"/>
    <n v="10.999975300178134"/>
    <n v="5000"/>
    <n v="100"/>
    <x v="7388"/>
    <x v="0"/>
    <x v="4"/>
    <x v="1"/>
  </r>
  <r>
    <x v="699"/>
    <s v="ZTAN"/>
    <x v="8"/>
    <s v="DJLF85"/>
    <n v="125108660"/>
    <s v="SAN MIGUEL"/>
    <x v="446"/>
    <x v="4"/>
    <x v="1"/>
    <x v="23"/>
    <x v="1"/>
    <n v="2"/>
    <n v="58399"/>
    <n v="0"/>
    <n v="58399"/>
    <n v="11"/>
    <n v="5000"/>
    <n v="100"/>
    <x v="7389"/>
    <x v="0"/>
    <x v="4"/>
    <x v="1"/>
  </r>
  <r>
    <x v="699"/>
    <s v="ZTAN"/>
    <x v="8"/>
    <s v="SV2718"/>
    <n v="107643206"/>
    <s v="PUENTE ALTO"/>
    <x v="5931"/>
    <x v="1"/>
    <x v="1"/>
    <x v="30"/>
    <x v="1"/>
    <n v="4"/>
    <n v="69173"/>
    <n v="0"/>
    <n v="69173"/>
    <n v="26.718657056555966"/>
    <n v="5000"/>
    <n v="52"/>
    <x v="7390"/>
    <x v="0"/>
    <x v="4"/>
    <x v="1"/>
  </r>
  <r>
    <x v="699"/>
    <s v="ZTAN"/>
    <x v="8"/>
    <s v="UA7248"/>
    <n v="99626232"/>
    <s v="PUENTE ALTO"/>
    <x v="5932"/>
    <x v="1"/>
    <x v="1"/>
    <x v="30"/>
    <x v="1"/>
    <n v="4"/>
    <n v="69173"/>
    <n v="0"/>
    <n v="69173"/>
    <n v="21.421095008051523"/>
    <n v="5000"/>
    <n v="65"/>
    <x v="7391"/>
    <x v="0"/>
    <x v="4"/>
    <x v="1"/>
  </r>
  <r>
    <x v="700"/>
    <s v="ZPEP"/>
    <x v="5"/>
    <s v="DJLF85"/>
    <s v="125108660"/>
    <s v="SAN BERNARDO"/>
    <x v="5933"/>
    <x v="4"/>
    <x v="1"/>
    <x v="4"/>
    <x v="1"/>
    <n v="4"/>
    <n v="69173"/>
    <n v="0"/>
    <n v="69173"/>
    <n v="15.87079070599815"/>
    <n v="5000"/>
    <n v="87"/>
    <x v="7392"/>
    <x v="0"/>
    <x v="4"/>
    <x v="1"/>
  </r>
  <r>
    <x v="700"/>
    <s v="ZTAN"/>
    <x v="10"/>
    <s v="HLBX77"/>
    <s v="81417709"/>
    <s v="SANTIAGO"/>
    <x v="5934"/>
    <x v="1"/>
    <x v="1"/>
    <x v="20"/>
    <x v="1"/>
    <n v="1"/>
    <n v="69173"/>
    <n v="0"/>
    <n v="69173"/>
    <n v="20.917018947572135"/>
    <n v="5000"/>
    <n v="66"/>
    <x v="7393"/>
    <x v="0"/>
    <x v="4"/>
    <x v="1"/>
  </r>
  <r>
    <x v="700"/>
    <s v="ZTAN"/>
    <x v="10"/>
    <s v="KKPF51"/>
    <s v="95707734"/>
    <s v="QUILICURA"/>
    <x v="5935"/>
    <x v="8"/>
    <x v="0"/>
    <x v="8"/>
    <x v="1"/>
    <n v="1"/>
    <n v="122386"/>
    <n v="0"/>
    <n v="122386"/>
    <n v="10.999980226532038"/>
    <n v="5000"/>
    <n v="100"/>
    <x v="7394"/>
    <x v="0"/>
    <x v="4"/>
    <x v="1"/>
  </r>
  <r>
    <x v="700"/>
    <s v="ZTAN"/>
    <x v="7"/>
    <s v="DJLF85"/>
    <s v="125108660"/>
    <s v="RENCA"/>
    <x v="5936"/>
    <x v="4"/>
    <x v="1"/>
    <x v="7"/>
    <x v="1"/>
    <n v="1"/>
    <n v="82319"/>
    <n v="0"/>
    <n v="82319"/>
    <n v="10.999949222163725"/>
    <n v="5000"/>
    <n v="100"/>
    <x v="7395"/>
    <x v="0"/>
    <x v="4"/>
    <x v="1"/>
  </r>
  <r>
    <x v="700"/>
    <s v="ZTAN"/>
    <x v="7"/>
    <s v="RKLH77"/>
    <s v="94590507"/>
    <s v="CORONEL"/>
    <x v="5937"/>
    <x v="0"/>
    <x v="0"/>
    <x v="16"/>
    <x v="0"/>
    <n v="0"/>
    <n v="528000"/>
    <n v="0"/>
    <n v="528000"/>
    <n v="25.713676266763795"/>
    <n v="14000"/>
    <n v="100"/>
    <x v="7396"/>
    <x v="0"/>
    <x v="4"/>
    <x v="0"/>
  </r>
  <r>
    <x v="700"/>
    <s v="ZTAN"/>
    <x v="7"/>
    <s v="UA7248"/>
    <s v="99626232"/>
    <s v="SANTIAGO"/>
    <x v="5938"/>
    <x v="1"/>
    <x v="1"/>
    <x v="20"/>
    <x v="1"/>
    <n v="1"/>
    <n v="69173"/>
    <n v="0"/>
    <n v="69173"/>
    <n v="23.581168609804323"/>
    <n v="5000"/>
    <n v="59"/>
    <x v="7397"/>
    <x v="0"/>
    <x v="4"/>
    <x v="1"/>
  </r>
  <r>
    <x v="700"/>
    <s v="ZTAN"/>
    <x v="7"/>
    <s v="VG8997"/>
    <s v="124860342"/>
    <s v="CHILLAN"/>
    <x v="5939"/>
    <x v="0"/>
    <x v="0"/>
    <x v="21"/>
    <x v="5"/>
    <n v="0"/>
    <n v="500000"/>
    <n v="0"/>
    <n v="500000"/>
    <n v="36.212728049654892"/>
    <n v="14000"/>
    <n v="99"/>
    <x v="7398"/>
    <x v="0"/>
    <x v="4"/>
    <x v="0"/>
  </r>
  <r>
    <x v="700"/>
    <s v="ZTAN"/>
    <x v="7"/>
    <s v="WG4022"/>
    <s v="154837728"/>
    <s v="RENCA"/>
    <x v="5940"/>
    <x v="1"/>
    <x v="0"/>
    <x v="7"/>
    <x v="1"/>
    <n v="1"/>
    <n v="195870"/>
    <n v="0"/>
    <n v="195870"/>
    <n v="10.999977536166771"/>
    <n v="5000"/>
    <n v="100"/>
    <x v="7399"/>
    <x v="0"/>
    <x v="4"/>
    <x v="1"/>
  </r>
  <r>
    <x v="700"/>
    <s v="ZTAN"/>
    <x v="7"/>
    <s v="XR6339"/>
    <s v="78907355"/>
    <s v="MELIPILLA"/>
    <x v="5941"/>
    <x v="1"/>
    <x v="1"/>
    <x v="29"/>
    <x v="1"/>
    <n v="5"/>
    <n v="112500"/>
    <n v="0"/>
    <n v="112500"/>
    <n v="28.040108571300394"/>
    <n v="10000"/>
    <n v="40"/>
    <x v="7400"/>
    <x v="0"/>
    <x v="4"/>
    <x v="1"/>
  </r>
  <r>
    <x v="700"/>
    <s v="ZTAN"/>
    <x v="7"/>
    <s v="XR6339"/>
    <s v="78907355"/>
    <s v="SANTIAGO"/>
    <x v="4808"/>
    <x v="1"/>
    <x v="1"/>
    <x v="20"/>
    <x v="1"/>
    <n v="1"/>
    <n v="69173"/>
    <n v="0"/>
    <n v="69173"/>
    <n v="14.749040511727079"/>
    <n v="5000"/>
    <n v="94"/>
    <x v="7401"/>
    <x v="0"/>
    <x v="4"/>
    <x v="1"/>
  </r>
  <r>
    <x v="700"/>
    <s v="ZTAN"/>
    <x v="99"/>
    <s v="RKYY82"/>
    <s v="101495566"/>
    <s v="SANTIAGO"/>
    <x v="5942"/>
    <x v="0"/>
    <x v="0"/>
    <x v="20"/>
    <x v="1"/>
    <n v="1"/>
    <n v="201300"/>
    <n v="0"/>
    <n v="201300"/>
    <n v="11"/>
    <n v="5000"/>
    <n v="100"/>
    <x v="7402"/>
    <x v="0"/>
    <x v="4"/>
    <x v="1"/>
  </r>
  <r>
    <x v="700"/>
    <s v="ZTAN"/>
    <x v="8"/>
    <s v="RWTG52"/>
    <s v="276547747"/>
    <s v="QUILIN"/>
    <x v="5943"/>
    <x v="0"/>
    <x v="0"/>
    <x v="34"/>
    <x v="1"/>
    <n v="4"/>
    <n v="69173"/>
    <n v="0"/>
    <n v="69173"/>
    <n v="27.593263339290271"/>
    <n v="5000"/>
    <n v="50"/>
    <x v="7403"/>
    <x v="0"/>
    <x v="4"/>
    <x v="1"/>
  </r>
  <r>
    <x v="700"/>
    <s v="ZTAN"/>
    <x v="8"/>
    <s v="WD7700"/>
    <s v="73835526"/>
    <s v="REÑACA"/>
    <x v="5944"/>
    <x v="0"/>
    <x v="0"/>
    <x v="6"/>
    <x v="2"/>
    <n v="0"/>
    <n v="300000"/>
    <n v="0"/>
    <n v="300000"/>
    <n v="40.123044001604924"/>
    <n v="14000"/>
    <n v="53"/>
    <x v="7404"/>
    <x v="0"/>
    <x v="4"/>
    <x v="0"/>
  </r>
  <r>
    <x v="700"/>
    <s v="ZTAN"/>
    <x v="94"/>
    <s v="RFDS14"/>
    <s v="11899972K"/>
    <s v="LOS ANGELES"/>
    <x v="1067"/>
    <x v="0"/>
    <x v="0"/>
    <x v="57"/>
    <x v="0"/>
    <n v="0"/>
    <n v="528000"/>
    <n v="0"/>
    <n v="528000"/>
    <n v="62.1030345800988"/>
    <n v="14000"/>
    <n v="61"/>
    <x v="7405"/>
    <x v="0"/>
    <x v="4"/>
    <x v="0"/>
  </r>
  <r>
    <x v="701"/>
    <s v="ZPEP"/>
    <x v="5"/>
    <s v="DJLF85"/>
    <n v="125108660"/>
    <s v="SAN BERNARDO"/>
    <x v="5945"/>
    <x v="4"/>
    <x v="1"/>
    <x v="4"/>
    <x v="1"/>
    <n v="4"/>
    <n v="69173"/>
    <n v="0"/>
    <n v="69173"/>
    <n v="49.623731123784928"/>
    <n v="5000"/>
    <n v="28"/>
    <x v="7406"/>
    <x v="0"/>
    <x v="4"/>
    <x v="1"/>
  </r>
  <r>
    <x v="701"/>
    <s v="ZTAN"/>
    <x v="7"/>
    <s v="HLBX77"/>
    <n v="81417709"/>
    <s v="SAN MIGUEL"/>
    <x v="5946"/>
    <x v="1"/>
    <x v="1"/>
    <x v="23"/>
    <x v="1"/>
    <n v="2"/>
    <n v="116090"/>
    <n v="0"/>
    <n v="116090"/>
    <n v="11.000037901758642"/>
    <n v="5000"/>
    <n v="100"/>
    <x v="7407"/>
    <x v="0"/>
    <x v="4"/>
    <x v="1"/>
  </r>
  <r>
    <x v="701"/>
    <s v="ZTAN"/>
    <x v="8"/>
    <s v="PPPW97"/>
    <n v="116995093"/>
    <s v="LOS ANGELES"/>
    <x v="4462"/>
    <x v="0"/>
    <x v="0"/>
    <x v="57"/>
    <x v="0"/>
    <n v="0"/>
    <n v="528000"/>
    <n v="0"/>
    <n v="528000"/>
    <n v="67.073170731707293"/>
    <n v="14000"/>
    <n v="56"/>
    <x v="7408"/>
    <x v="0"/>
    <x v="4"/>
    <x v="0"/>
  </r>
  <r>
    <x v="701"/>
    <s v="ZTAN"/>
    <x v="8"/>
    <s v="SV2718"/>
    <n v="107643206"/>
    <s v="PUDAHUEL"/>
    <x v="5947"/>
    <x v="1"/>
    <x v="1"/>
    <x v="10"/>
    <x v="1"/>
    <n v="1"/>
    <n v="69173"/>
    <n v="0"/>
    <n v="69173"/>
    <n v="23.326307980239097"/>
    <n v="5000"/>
    <n v="59"/>
    <x v="7409"/>
    <x v="0"/>
    <x v="4"/>
    <x v="1"/>
  </r>
  <r>
    <x v="701"/>
    <s v="ZTAN"/>
    <x v="8"/>
    <s v="UA7248"/>
    <n v="99626232"/>
    <s v="QUILICURA"/>
    <x v="5540"/>
    <x v="1"/>
    <x v="1"/>
    <x v="8"/>
    <x v="1"/>
    <n v="1"/>
    <n v="69173"/>
    <n v="0"/>
    <n v="69173"/>
    <n v="27.608461384953102"/>
    <n v="5000"/>
    <n v="50"/>
    <x v="7410"/>
    <x v="0"/>
    <x v="4"/>
    <x v="1"/>
  </r>
  <r>
    <x v="701"/>
    <s v="ZTAN"/>
    <x v="8"/>
    <s v="YG5635"/>
    <n v="93321006"/>
    <s v="CORONEL"/>
    <x v="5948"/>
    <x v="0"/>
    <x v="0"/>
    <x v="16"/>
    <x v="0"/>
    <n v="0"/>
    <n v="528000"/>
    <n v="0"/>
    <n v="528000"/>
    <n v="59.247954935646391"/>
    <n v="14000"/>
    <n v="64"/>
    <x v="7411"/>
    <x v="0"/>
    <x v="4"/>
    <x v="0"/>
  </r>
  <r>
    <x v="702"/>
    <s v="ZPEP"/>
    <x v="27"/>
    <s v="VG8997"/>
    <n v="124860342"/>
    <s v="LOS ANGELES"/>
    <x v="5949"/>
    <x v="0"/>
    <x v="0"/>
    <x v="57"/>
    <x v="0"/>
    <n v="0"/>
    <n v="528000"/>
    <n v="0"/>
    <n v="528000"/>
    <n v="66"/>
    <n v="14000"/>
    <n v="80"/>
    <x v="7412"/>
    <x v="0"/>
    <x v="4"/>
    <x v="0"/>
  </r>
  <r>
    <x v="702"/>
    <s v="ZTAN"/>
    <x v="7"/>
    <s v="RX2274"/>
    <n v="100822326"/>
    <s v="CHILLAN"/>
    <x v="5950"/>
    <x v="0"/>
    <x v="0"/>
    <x v="21"/>
    <x v="5"/>
    <n v="0"/>
    <n v="500000"/>
    <n v="0"/>
    <n v="500000"/>
    <n v="38.233022626302791"/>
    <n v="14000"/>
    <n v="93"/>
    <x v="7413"/>
    <x v="0"/>
    <x v="4"/>
    <x v="0"/>
  </r>
  <r>
    <x v="702"/>
    <s v="ZTAN"/>
    <x v="7"/>
    <s v="WD7700"/>
    <n v="73835526"/>
    <s v="RENCA"/>
    <x v="5949"/>
    <x v="0"/>
    <x v="0"/>
    <x v="7"/>
    <x v="1"/>
    <n v="1"/>
    <n v="77206"/>
    <n v="0"/>
    <n v="77206"/>
    <n v="9.6507500000000004"/>
    <n v="5000"/>
    <n v="100"/>
    <x v="7414"/>
    <x v="0"/>
    <x v="4"/>
    <x v="1"/>
  </r>
  <r>
    <x v="702"/>
    <s v="ZTAN"/>
    <x v="7"/>
    <s v="WG4022"/>
    <n v="154837728"/>
    <s v="RENCA"/>
    <x v="5951"/>
    <x v="1"/>
    <x v="0"/>
    <x v="7"/>
    <x v="1"/>
    <n v="1"/>
    <n v="211289"/>
    <n v="0"/>
    <n v="211289"/>
    <n v="11.000017700902641"/>
    <n v="5000"/>
    <n v="100"/>
    <x v="7415"/>
    <x v="0"/>
    <x v="4"/>
    <x v="1"/>
  </r>
  <r>
    <x v="702"/>
    <s v="ZTAN"/>
    <x v="8"/>
    <s v="EWTG52"/>
    <n v="276547747"/>
    <s v="ÑUÑOA"/>
    <x v="1296"/>
    <x v="0"/>
    <x v="0"/>
    <x v="15"/>
    <x v="1"/>
    <n v="4"/>
    <n v="69173"/>
    <n v="0"/>
    <n v="69173"/>
    <n v="26.722166422004172"/>
    <n v="5000"/>
    <n v="52"/>
    <x v="7416"/>
    <x v="0"/>
    <x v="4"/>
    <x v="1"/>
  </r>
  <r>
    <x v="702"/>
    <s v="ZTAN"/>
    <x v="8"/>
    <s v="PYCL28"/>
    <n v="160374632"/>
    <s v="TALCA"/>
    <x v="5952"/>
    <x v="0"/>
    <x v="0"/>
    <x v="12"/>
    <x v="3"/>
    <n v="0"/>
    <n v="402000"/>
    <n v="0"/>
    <n v="402000"/>
    <n v="67"/>
    <n v="14000"/>
    <n v="80"/>
    <x v="7417"/>
    <x v="0"/>
    <x v="4"/>
    <x v="0"/>
  </r>
  <r>
    <x v="702"/>
    <s v="ZTAN"/>
    <x v="8"/>
    <s v="UA7248"/>
    <n v="99626232"/>
    <s v="ÑUÑOA"/>
    <x v="4834"/>
    <x v="1"/>
    <x v="1"/>
    <x v="15"/>
    <x v="1"/>
    <n v="4"/>
    <n v="69173"/>
    <n v="0"/>
    <n v="69173"/>
    <n v="19.449083680573125"/>
    <n v="5000"/>
    <n v="71"/>
    <x v="7418"/>
    <x v="0"/>
    <x v="4"/>
    <x v="1"/>
  </r>
  <r>
    <x v="703"/>
    <s v="ZPEP"/>
    <x v="27"/>
    <s v="RKYY81"/>
    <n v="70866846"/>
    <s v="CHILLAN"/>
    <x v="5953"/>
    <x v="0"/>
    <x v="0"/>
    <x v="21"/>
    <x v="5"/>
    <n v="0"/>
    <n v="500000"/>
    <n v="0"/>
    <n v="500000"/>
    <n v="47.447603611332006"/>
    <n v="14000"/>
    <n v="75"/>
    <x v="7419"/>
    <x v="0"/>
    <x v="4"/>
    <x v="0"/>
  </r>
  <r>
    <x v="703"/>
    <s v="ZPEP"/>
    <x v="7"/>
    <s v="KXTC79"/>
    <n v="170846392"/>
    <s v="CALAMA"/>
    <x v="5954"/>
    <x v="0"/>
    <x v="0"/>
    <x v="37"/>
    <x v="7"/>
    <n v="0"/>
    <n v="2550000"/>
    <n v="0"/>
    <n v="2550000"/>
    <n v="95.144567506376589"/>
    <n v="14000"/>
    <n v="100"/>
    <x v="7420"/>
    <x v="0"/>
    <x v="4"/>
    <x v="0"/>
  </r>
  <r>
    <x v="703"/>
    <s v="ZTAN"/>
    <x v="5"/>
    <s v="XR6339"/>
    <n v="78907355"/>
    <s v="SAN BERNARDO"/>
    <x v="5955"/>
    <x v="1"/>
    <x v="1"/>
    <x v="4"/>
    <x v="1"/>
    <n v="4"/>
    <n v="58873"/>
    <n v="0"/>
    <n v="58873"/>
    <n v="11.00002242118952"/>
    <n v="5000"/>
    <n v="100"/>
    <x v="7421"/>
    <x v="0"/>
    <x v="4"/>
    <x v="1"/>
  </r>
  <r>
    <x v="703"/>
    <s v="ZTAN"/>
    <x v="7"/>
    <s v="BPKD94"/>
    <n v="125897258"/>
    <s v="CHILLAN"/>
    <x v="5956"/>
    <x v="0"/>
    <x v="0"/>
    <x v="21"/>
    <x v="5"/>
    <n v="0"/>
    <n v="500000"/>
    <n v="0"/>
    <n v="500000"/>
    <n v="22.476152801877198"/>
    <n v="14000"/>
    <n v="100"/>
    <x v="7422"/>
    <x v="0"/>
    <x v="4"/>
    <x v="0"/>
  </r>
  <r>
    <x v="703"/>
    <s v="ZTAN"/>
    <x v="7"/>
    <s v="WT7700"/>
    <n v="73835526"/>
    <s v="SANTIAGO"/>
    <x v="103"/>
    <x v="0"/>
    <x v="0"/>
    <x v="20"/>
    <x v="1"/>
    <n v="1"/>
    <n v="69173"/>
    <n v="0"/>
    <n v="69173"/>
    <n v="16.005599518719052"/>
    <n v="5000"/>
    <n v="86"/>
    <x v="7423"/>
    <x v="0"/>
    <x v="4"/>
    <x v="1"/>
  </r>
  <r>
    <x v="703"/>
    <s v="ZTAN"/>
    <x v="8"/>
    <s v="FYTP84"/>
    <n v="172861164"/>
    <s v="TALCA"/>
    <x v="5957"/>
    <x v="0"/>
    <x v="0"/>
    <x v="12"/>
    <x v="3"/>
    <n v="0"/>
    <n v="402000"/>
    <n v="0"/>
    <n v="402000"/>
    <n v="40.603148663075679"/>
    <n v="14000"/>
    <n v="85"/>
    <x v="7424"/>
    <x v="0"/>
    <x v="4"/>
    <x v="0"/>
  </r>
  <r>
    <x v="703"/>
    <s v="ZTAN"/>
    <x v="8"/>
    <s v="SV2718"/>
    <n v="107643206"/>
    <s v="QUILIN"/>
    <x v="5958"/>
    <x v="1"/>
    <x v="1"/>
    <x v="34"/>
    <x v="1"/>
    <n v="4"/>
    <n v="69173"/>
    <n v="0"/>
    <n v="69173"/>
    <n v="30.161505524500527"/>
    <n v="5000"/>
    <n v="46"/>
    <x v="7425"/>
    <x v="0"/>
    <x v="4"/>
    <x v="1"/>
  </r>
  <r>
    <x v="703"/>
    <s v="ZTAN"/>
    <x v="8"/>
    <s v="UA7248"/>
    <n v="99626232"/>
    <s v="LA REINA"/>
    <x v="5959"/>
    <x v="1"/>
    <x v="1"/>
    <x v="11"/>
    <x v="1"/>
    <n v="3"/>
    <n v="69173"/>
    <n v="0"/>
    <n v="69173"/>
    <n v="15.434889325240984"/>
    <n v="5000"/>
    <n v="90"/>
    <x v="7426"/>
    <x v="0"/>
    <x v="4"/>
    <x v="1"/>
  </r>
  <r>
    <x v="704"/>
    <s v="ZPEP"/>
    <x v="2"/>
    <s v="DFRV76"/>
    <s v="113693568"/>
    <s v="LOS ANGELES"/>
    <x v="5960"/>
    <x v="5"/>
    <x v="0"/>
    <x v="57"/>
    <x v="0"/>
    <n v="0"/>
    <n v="528000"/>
    <n v="0"/>
    <n v="528000"/>
    <n v="29.073641110128531"/>
    <n v="14000"/>
    <n v="100"/>
    <x v="7427"/>
    <x v="0"/>
    <x v="4"/>
    <x v="0"/>
  </r>
  <r>
    <x v="704"/>
    <s v="ZTAN"/>
    <x v="13"/>
    <s v="DJLF85"/>
    <s v="125108660"/>
    <s v="SANTIAGO"/>
    <x v="4518"/>
    <x v="4"/>
    <x v="1"/>
    <x v="20"/>
    <x v="1"/>
    <n v="1"/>
    <n v="69173"/>
    <n v="0"/>
    <n v="69173"/>
    <n v="35.473333333333336"/>
    <n v="5000"/>
    <n v="39"/>
    <x v="7428"/>
    <x v="0"/>
    <x v="4"/>
    <x v="1"/>
  </r>
  <r>
    <x v="704"/>
    <s v="ZTAN"/>
    <x v="4"/>
    <s v="UK7193"/>
    <s v="81417709"/>
    <s v="VILLA ALEMANA"/>
    <x v="5961"/>
    <x v="1"/>
    <x v="0"/>
    <x v="96"/>
    <x v="2"/>
    <n v="0"/>
    <n v="289000"/>
    <n v="0"/>
    <n v="289000"/>
    <n v="14.26399747295269"/>
    <n v="14000"/>
    <n v="100"/>
    <x v="7429"/>
    <x v="0"/>
    <x v="4"/>
    <x v="0"/>
  </r>
  <r>
    <x v="704"/>
    <s v="ZTAN"/>
    <x v="16"/>
    <s v="PYZP23"/>
    <s v="121384531"/>
    <s v="CONCEPCION"/>
    <x v="5962"/>
    <x v="0"/>
    <x v="0"/>
    <x v="81"/>
    <x v="0"/>
    <n v="0"/>
    <n v="478000"/>
    <n v="0"/>
    <n v="478000"/>
    <n v="49.530907078774881"/>
    <n v="14000"/>
    <n v="69"/>
    <x v="7430"/>
    <x v="0"/>
    <x v="4"/>
    <x v="0"/>
  </r>
  <r>
    <x v="704"/>
    <s v="ZTAN"/>
    <x v="41"/>
    <s v="KKPF51"/>
    <s v="95707734"/>
    <s v="EL MANZANO"/>
    <x v="5963"/>
    <x v="8"/>
    <x v="0"/>
    <x v="61"/>
    <x v="6"/>
    <n v="0"/>
    <n v="290000"/>
    <n v="0"/>
    <n v="290000"/>
    <n v="18.6986994732125"/>
    <n v="14000"/>
    <n v="100"/>
    <x v="7431"/>
    <x v="0"/>
    <x v="4"/>
    <x v="0"/>
  </r>
  <r>
    <x v="704"/>
    <s v="ZTAN"/>
    <x v="137"/>
    <s v="SU9354"/>
    <s v="72564391"/>
    <s v="LAS CONDES"/>
    <x v="756"/>
    <x v="2"/>
    <x v="1"/>
    <x v="3"/>
    <x v="1"/>
    <n v="4"/>
    <n v="100947"/>
    <n v="0"/>
    <n v="100947"/>
    <n v="11"/>
    <n v="5000"/>
    <n v="100"/>
    <x v="7432"/>
    <x v="0"/>
    <x v="4"/>
    <x v="1"/>
  </r>
  <r>
    <x v="704"/>
    <s v="ZTAN"/>
    <x v="7"/>
    <s v="DTCY42"/>
    <s v="92028607"/>
    <s v="CHILLAN"/>
    <x v="5964"/>
    <x v="5"/>
    <x v="0"/>
    <x v="21"/>
    <x v="5"/>
    <n v="0"/>
    <n v="500000"/>
    <n v="0"/>
    <n v="500000"/>
    <n v="72.780203784570574"/>
    <n v="14000"/>
    <n v="49"/>
    <x v="7433"/>
    <x v="0"/>
    <x v="4"/>
    <x v="0"/>
  </r>
  <r>
    <x v="704"/>
    <s v="ZTAN"/>
    <x v="7"/>
    <s v="HLBX77"/>
    <s v="81417709"/>
    <s v="RENCA"/>
    <x v="5965"/>
    <x v="1"/>
    <x v="1"/>
    <x v="7"/>
    <x v="1"/>
    <n v="1"/>
    <n v="141362"/>
    <n v="0"/>
    <n v="141362"/>
    <n v="10.999983658999106"/>
    <n v="5000"/>
    <n v="100"/>
    <x v="7434"/>
    <x v="0"/>
    <x v="4"/>
    <x v="1"/>
  </r>
  <r>
    <x v="704"/>
    <s v="ZTAN"/>
    <x v="7"/>
    <s v="WD7700"/>
    <s v="73835526"/>
    <s v="SAN MIGUEL"/>
    <x v="5966"/>
    <x v="0"/>
    <x v="0"/>
    <x v="23"/>
    <x v="1"/>
    <n v="2"/>
    <n v="70378"/>
    <n v="0"/>
    <n v="70378"/>
    <n v="11.000000000000002"/>
    <n v="5000"/>
    <n v="100"/>
    <x v="7435"/>
    <x v="0"/>
    <x v="4"/>
    <x v="1"/>
  </r>
  <r>
    <x v="704"/>
    <s v="ZTAN"/>
    <x v="7"/>
    <s v="WG4022"/>
    <s v="154837728"/>
    <s v="RENCA"/>
    <x v="5967"/>
    <x v="1"/>
    <x v="0"/>
    <x v="7"/>
    <x v="1"/>
    <n v="1"/>
    <n v="257463"/>
    <n v="0"/>
    <n v="257463"/>
    <n v="11.00001281739063"/>
    <n v="5000"/>
    <n v="100"/>
    <x v="7436"/>
    <x v="0"/>
    <x v="4"/>
    <x v="1"/>
  </r>
  <r>
    <x v="704"/>
    <s v="ZTAN"/>
    <x v="8"/>
    <s v="LZPP69"/>
    <s v="1800683275"/>
    <s v="TALCAHUANO"/>
    <x v="5968"/>
    <x v="0"/>
    <x v="0"/>
    <x v="0"/>
    <x v="0"/>
    <n v="0"/>
    <n v="506000"/>
    <n v="0"/>
    <n v="506000"/>
    <n v="122.71426492700201"/>
    <n v="14000"/>
    <n v="29"/>
    <x v="7437"/>
    <x v="0"/>
    <x v="4"/>
    <x v="0"/>
  </r>
  <r>
    <x v="704"/>
    <s v="ZTAN"/>
    <x v="8"/>
    <s v="PBFY95"/>
    <s v="17510674K"/>
    <s v="CORONEL"/>
    <x v="5969"/>
    <x v="0"/>
    <x v="0"/>
    <x v="16"/>
    <x v="0"/>
    <n v="0"/>
    <n v="528000"/>
    <n v="0"/>
    <n v="528000"/>
    <n v="71.416881165285446"/>
    <n v="14000"/>
    <n v="58"/>
    <x v="7438"/>
    <x v="0"/>
    <x v="4"/>
    <x v="0"/>
  </r>
  <r>
    <x v="704"/>
    <s v="ZTAN"/>
    <x v="8"/>
    <s v="PYCL27"/>
    <s v="103484007"/>
    <s v="VILLARRICA"/>
    <x v="5970"/>
    <x v="0"/>
    <x v="0"/>
    <x v="88"/>
    <x v="4"/>
    <n v="0"/>
    <n v="1000000"/>
    <n v="0"/>
    <n v="1000000"/>
    <n v="86.072149118276826"/>
    <n v="14000"/>
    <n v="83"/>
    <x v="7439"/>
    <x v="0"/>
    <x v="4"/>
    <x v="0"/>
  </r>
  <r>
    <x v="704"/>
    <s v="ZTAN"/>
    <x v="8"/>
    <s v="RWTG52"/>
    <s v="276547747"/>
    <s v="HUECHURABA"/>
    <x v="5971"/>
    <x v="0"/>
    <x v="0"/>
    <x v="24"/>
    <x v="1"/>
    <n v="1"/>
    <n v="69173"/>
    <n v="0"/>
    <n v="69173"/>
    <n v="21.030213850092121"/>
    <n v="5000"/>
    <n v="66"/>
    <x v="7440"/>
    <x v="0"/>
    <x v="4"/>
    <x v="1"/>
  </r>
  <r>
    <x v="704"/>
    <s v="ZTAN"/>
    <x v="8"/>
    <s v="SV2718"/>
    <s v="107643206"/>
    <s v="PUDAHUEL"/>
    <x v="5972"/>
    <x v="1"/>
    <x v="1"/>
    <x v="10"/>
    <x v="1"/>
    <n v="1"/>
    <n v="69173"/>
    <n v="0"/>
    <n v="69173"/>
    <n v="22.131677288899127"/>
    <n v="5000"/>
    <n v="63"/>
    <x v="7441"/>
    <x v="0"/>
    <x v="4"/>
    <x v="1"/>
  </r>
  <r>
    <x v="704"/>
    <s v="ZTAN"/>
    <x v="8"/>
    <s v="UA7248"/>
    <s v="99626232"/>
    <s v="MAIPU"/>
    <x v="5973"/>
    <x v="1"/>
    <x v="1"/>
    <x v="2"/>
    <x v="1"/>
    <n v="2"/>
    <n v="69173"/>
    <n v="0"/>
    <n v="69173"/>
    <n v="26.107747818472781"/>
    <n v="5000"/>
    <n v="53"/>
    <x v="7442"/>
    <x v="0"/>
    <x v="4"/>
    <x v="1"/>
  </r>
  <r>
    <x v="704"/>
    <s v="ZTAN"/>
    <x v="8"/>
    <s v="XR6339"/>
    <s v="78907355"/>
    <s v="LAS CONDES"/>
    <x v="5974"/>
    <x v="1"/>
    <x v="1"/>
    <x v="3"/>
    <x v="1"/>
    <n v="4"/>
    <n v="69173"/>
    <n v="0"/>
    <n v="69173"/>
    <n v="26.227724273906119"/>
    <n v="5000"/>
    <n v="53"/>
    <x v="7443"/>
    <x v="0"/>
    <x v="4"/>
    <x v="1"/>
  </r>
  <r>
    <x v="705"/>
    <s v="ZPEP"/>
    <x v="7"/>
    <s v="HLZV71"/>
    <s v="60688508"/>
    <s v="CALAMA"/>
    <x v="4666"/>
    <x v="0"/>
    <x v="0"/>
    <x v="37"/>
    <x v="7"/>
    <n v="0"/>
    <n v="2550000"/>
    <n v="0"/>
    <n v="2550000"/>
    <n v="95.625095625095696"/>
    <n v="14000"/>
    <n v="100"/>
    <x v="7444"/>
    <x v="0"/>
    <x v="4"/>
    <x v="0"/>
  </r>
  <r>
    <x v="705"/>
    <s v="ZTAN"/>
    <x v="4"/>
    <s v="WD7700"/>
    <s v="73835526"/>
    <s v="VILLA ALEMANA"/>
    <x v="2538"/>
    <x v="0"/>
    <x v="0"/>
    <x v="96"/>
    <x v="2"/>
    <n v="0"/>
    <n v="289000"/>
    <n v="0"/>
    <n v="289000"/>
    <n v="26.14769375531549"/>
    <n v="14000"/>
    <n v="79"/>
    <x v="7445"/>
    <x v="0"/>
    <x v="4"/>
    <x v="0"/>
  </r>
  <r>
    <x v="705"/>
    <s v="ZTAN"/>
    <x v="10"/>
    <s v="WG4022"/>
    <s v="154837728"/>
    <s v="QUILICURA"/>
    <x v="5975"/>
    <x v="1"/>
    <x v="0"/>
    <x v="8"/>
    <x v="1"/>
    <n v="1"/>
    <n v="115724"/>
    <n v="0"/>
    <n v="115724"/>
    <n v="11.000045625988564"/>
    <n v="5000"/>
    <n v="100"/>
    <x v="7446"/>
    <x v="0"/>
    <x v="4"/>
    <x v="1"/>
  </r>
  <r>
    <x v="705"/>
    <s v="ZTAN"/>
    <x v="114"/>
    <s v="XR6339"/>
    <s v="78907355"/>
    <s v="SANTIAGO"/>
    <x v="1334"/>
    <x v="1"/>
    <x v="1"/>
    <x v="20"/>
    <x v="1"/>
    <n v="1"/>
    <n v="61908"/>
    <n v="0"/>
    <n v="61908"/>
    <n v="11.000000000000002"/>
    <n v="5000"/>
    <n v="100"/>
    <x v="7447"/>
    <x v="0"/>
    <x v="4"/>
    <x v="1"/>
  </r>
  <r>
    <x v="705"/>
    <s v="ZTAN"/>
    <x v="16"/>
    <s v="HYSL62"/>
    <s v="99199296"/>
    <s v="LOS ANGELES"/>
    <x v="5976"/>
    <x v="0"/>
    <x v="0"/>
    <x v="57"/>
    <x v="0"/>
    <n v="0"/>
    <n v="528000"/>
    <n v="0"/>
    <n v="528000"/>
    <n v="26.926136711339574"/>
    <n v="14000"/>
    <n v="100"/>
    <x v="7448"/>
    <x v="0"/>
    <x v="4"/>
    <x v="0"/>
  </r>
  <r>
    <x v="705"/>
    <s v="ZTAN"/>
    <x v="7"/>
    <s v="PYCP22"/>
    <s v="114163848"/>
    <s v="CORONEL"/>
    <x v="1652"/>
    <x v="0"/>
    <x v="0"/>
    <x v="16"/>
    <x v="0"/>
    <n v="0"/>
    <n v="528000"/>
    <n v="0"/>
    <n v="528000"/>
    <n v="34.837688044338897"/>
    <n v="14000"/>
    <n v="100"/>
    <x v="7449"/>
    <x v="0"/>
    <x v="4"/>
    <x v="0"/>
  </r>
  <r>
    <x v="705"/>
    <s v="ZTAN"/>
    <x v="7"/>
    <s v="RKLH77"/>
    <s v="94590507"/>
    <s v="CORONEL"/>
    <x v="5977"/>
    <x v="0"/>
    <x v="0"/>
    <x v="16"/>
    <x v="0"/>
    <n v="0"/>
    <n v="528000"/>
    <n v="0"/>
    <n v="528000"/>
    <n v="34.217279726261786"/>
    <n v="14000"/>
    <n v="100"/>
    <x v="7450"/>
    <x v="0"/>
    <x v="4"/>
    <x v="0"/>
  </r>
  <r>
    <x v="705"/>
    <s v="ZTAN"/>
    <x v="8"/>
    <s v="KKPF51"/>
    <s v="95707724"/>
    <s v="RENCA"/>
    <x v="5978"/>
    <x v="8"/>
    <x v="0"/>
    <x v="7"/>
    <x v="1"/>
    <n v="1"/>
    <n v="166859"/>
    <n v="0"/>
    <n v="166859"/>
    <n v="10.999999999999993"/>
    <n v="5000"/>
    <n v="100"/>
    <x v="7451"/>
    <x v="0"/>
    <x v="4"/>
    <x v="1"/>
  </r>
  <r>
    <x v="705"/>
    <s v="ZTAN"/>
    <x v="8"/>
    <s v="RWTG52"/>
    <s v="276547747"/>
    <s v="TALAGANTE"/>
    <x v="5979"/>
    <x v="0"/>
    <x v="0"/>
    <x v="50"/>
    <x v="1"/>
    <n v="4"/>
    <n v="69173"/>
    <n v="0"/>
    <n v="69173"/>
    <n v="25.158300933620897"/>
    <n v="5000"/>
    <n v="55"/>
    <x v="7452"/>
    <x v="0"/>
    <x v="4"/>
    <x v="1"/>
  </r>
  <r>
    <x v="705"/>
    <s v="ZTAN"/>
    <x v="8"/>
    <s v="SCWL85"/>
    <s v="256738929"/>
    <s v="LA REINA"/>
    <x v="5980"/>
    <x v="0"/>
    <x v="0"/>
    <x v="11"/>
    <x v="1"/>
    <n v="3"/>
    <n v="69173"/>
    <n v="0"/>
    <n v="69173"/>
    <n v="26.650716228607536"/>
    <n v="5000"/>
    <n v="52"/>
    <x v="7453"/>
    <x v="0"/>
    <x v="4"/>
    <x v="1"/>
  </r>
  <r>
    <x v="705"/>
    <s v="ZTAN"/>
    <x v="8"/>
    <s v="SV2718"/>
    <s v="107643206"/>
    <s v="SAN MIGUEL"/>
    <x v="5981"/>
    <x v="1"/>
    <x v="1"/>
    <x v="23"/>
    <x v="1"/>
    <n v="2"/>
    <n v="69173"/>
    <n v="0"/>
    <n v="69173"/>
    <n v="27.56797041264478"/>
    <n v="5000"/>
    <n v="50"/>
    <x v="7454"/>
    <x v="0"/>
    <x v="4"/>
    <x v="1"/>
  </r>
  <r>
    <x v="705"/>
    <s v="ZTAN"/>
    <x v="8"/>
    <s v="UA7248"/>
    <s v="99626232"/>
    <s v="ÑUÑOA"/>
    <x v="5982"/>
    <x v="1"/>
    <x v="1"/>
    <x v="15"/>
    <x v="1"/>
    <n v="4"/>
    <n v="69173"/>
    <n v="0"/>
    <n v="69173"/>
    <n v="20.117085257610832"/>
    <n v="5000"/>
    <n v="69"/>
    <x v="7455"/>
    <x v="0"/>
    <x v="4"/>
    <x v="1"/>
  </r>
  <r>
    <x v="706"/>
    <s v="ZPEP"/>
    <x v="120"/>
    <s v="RJ6819"/>
    <n v="94742285"/>
    <s v="TALCAHUANO"/>
    <x v="5983"/>
    <x v="5"/>
    <x v="0"/>
    <x v="0"/>
    <x v="0"/>
    <n v="0"/>
    <n v="506000"/>
    <n v="0"/>
    <n v="506000"/>
    <n v="25.897520542721953"/>
    <n v="14000"/>
    <n v="100"/>
    <x v="7456"/>
    <x v="0"/>
    <x v="4"/>
    <x v="0"/>
  </r>
  <r>
    <x v="706"/>
    <s v="ZPEP"/>
    <x v="120"/>
    <s v="YG5635"/>
    <n v="93321006"/>
    <s v="TALCAHUANO"/>
    <x v="5984"/>
    <x v="0"/>
    <x v="0"/>
    <x v="0"/>
    <x v="0"/>
    <n v="0"/>
    <n v="506000"/>
    <n v="0"/>
    <n v="506000"/>
    <n v="41.915626990681638"/>
    <n v="14000"/>
    <n v="86"/>
    <x v="7457"/>
    <x v="0"/>
    <x v="4"/>
    <x v="0"/>
  </r>
  <r>
    <x v="706"/>
    <s v="ZPEP"/>
    <x v="100"/>
    <s v="SU9354"/>
    <n v="72564391"/>
    <s v="PAINE"/>
    <x v="5985"/>
    <x v="2"/>
    <x v="1"/>
    <x v="13"/>
    <x v="1"/>
    <n v="5"/>
    <n v="112500"/>
    <n v="0"/>
    <n v="112500"/>
    <n v="13.583183415234894"/>
    <n v="10000"/>
    <n v="83"/>
    <x v="7458"/>
    <x v="0"/>
    <x v="4"/>
    <x v="1"/>
  </r>
  <r>
    <x v="706"/>
    <s v="ZTAN"/>
    <x v="4"/>
    <s v="DJLF85"/>
    <n v="125108660"/>
    <s v="SAN BERNARDO"/>
    <x v="5986"/>
    <x v="4"/>
    <x v="1"/>
    <x v="4"/>
    <x v="1"/>
    <n v="4"/>
    <n v="69173"/>
    <n v="0"/>
    <n v="69173"/>
    <n v="18.927652821102175"/>
    <n v="5000"/>
    <n v="75"/>
    <x v="7459"/>
    <x v="0"/>
    <x v="4"/>
    <x v="1"/>
  </r>
  <r>
    <x v="706"/>
    <s v="ZTAN"/>
    <x v="4"/>
    <s v="HLBX77"/>
    <n v="107643206"/>
    <s v="SAN BERNARDO"/>
    <x v="5987"/>
    <x v="1"/>
    <x v="1"/>
    <x v="4"/>
    <x v="1"/>
    <n v="4"/>
    <n v="69173"/>
    <n v="0"/>
    <n v="69173"/>
    <n v="14.149279986908848"/>
    <n v="5000"/>
    <n v="98"/>
    <x v="7460"/>
    <x v="0"/>
    <x v="4"/>
    <x v="1"/>
  </r>
  <r>
    <x v="706"/>
    <s v="ZTAN"/>
    <x v="4"/>
    <s v="UK7193"/>
    <n v="81417709"/>
    <s v="VILLA ALEMANA"/>
    <x v="5961"/>
    <x v="1"/>
    <x v="0"/>
    <x v="96"/>
    <x v="2"/>
    <n v="0"/>
    <n v="289000"/>
    <n v="0"/>
    <n v="289000"/>
    <n v="14.26399747295269"/>
    <n v="14000"/>
    <n v="100"/>
    <x v="7461"/>
    <x v="0"/>
    <x v="4"/>
    <x v="0"/>
  </r>
  <r>
    <x v="706"/>
    <s v="ZTAN"/>
    <x v="10"/>
    <s v="RH1133"/>
    <n v="65941082"/>
    <s v="MELIPILLA"/>
    <x v="5988"/>
    <x v="0"/>
    <x v="0"/>
    <x v="29"/>
    <x v="1"/>
    <n v="5"/>
    <n v="180000"/>
    <n v="0"/>
    <n v="180000"/>
    <n v="9.3401350272187109"/>
    <n v="10000"/>
    <n v="100"/>
    <x v="7462"/>
    <x v="0"/>
    <x v="4"/>
    <x v="1"/>
  </r>
  <r>
    <x v="706"/>
    <s v="ZTAN"/>
    <x v="41"/>
    <s v="KKPF51"/>
    <n v="95707734"/>
    <s v="LAS CABRAS"/>
    <x v="5989"/>
    <x v="8"/>
    <x v="0"/>
    <x v="61"/>
    <x v="6"/>
    <n v="0"/>
    <n v="290000"/>
    <n v="0"/>
    <n v="290000"/>
    <n v="25.950179235203475"/>
    <n v="14000"/>
    <n v="85"/>
    <x v="7463"/>
    <x v="0"/>
    <x v="4"/>
    <x v="0"/>
  </r>
  <r>
    <x v="706"/>
    <s v="ZTAN"/>
    <x v="70"/>
    <s v="DKDL88"/>
    <n v="122975819"/>
    <s v="SANTIAGO"/>
    <x v="5990"/>
    <x v="0"/>
    <x v="0"/>
    <x v="20"/>
    <x v="1"/>
    <n v="1"/>
    <n v="174046"/>
    <n v="0"/>
    <n v="174046"/>
    <n v="10.999974719385182"/>
    <n v="5000"/>
    <n v="100"/>
    <x v="7464"/>
    <x v="0"/>
    <x v="4"/>
    <x v="1"/>
  </r>
  <r>
    <x v="706"/>
    <s v="ZTAN"/>
    <x v="137"/>
    <s v="DJLF85"/>
    <n v="125108660"/>
    <s v="LAS CONDES"/>
    <x v="5991"/>
    <x v="4"/>
    <x v="1"/>
    <x v="3"/>
    <x v="1"/>
    <n v="4"/>
    <n v="98933"/>
    <n v="0"/>
    <n v="98933"/>
    <n v="11.00001111864708"/>
    <n v="5000"/>
    <n v="100"/>
    <x v="7465"/>
    <x v="0"/>
    <x v="4"/>
    <x v="1"/>
  </r>
  <r>
    <x v="706"/>
    <s v="ZTAN"/>
    <x v="7"/>
    <s v="HDDV11"/>
    <n v="161376469"/>
    <s v="CORONEL"/>
    <x v="5992"/>
    <x v="0"/>
    <x v="0"/>
    <x v="16"/>
    <x v="0"/>
    <n v="0"/>
    <n v="528000"/>
    <n v="0"/>
    <n v="528000"/>
    <n v="21.455678379381084"/>
    <n v="14000"/>
    <n v="100"/>
    <x v="7466"/>
    <x v="0"/>
    <x v="4"/>
    <x v="0"/>
  </r>
  <r>
    <x v="706"/>
    <s v="ZTAN"/>
    <x v="7"/>
    <s v="HDDV12"/>
    <n v="200217330"/>
    <s v="CORONEL"/>
    <x v="5993"/>
    <x v="5"/>
    <x v="0"/>
    <x v="16"/>
    <x v="0"/>
    <n v="0"/>
    <n v="528000"/>
    <n v="0"/>
    <n v="528000"/>
    <n v="28.269519889320527"/>
    <n v="14000"/>
    <n v="100"/>
    <x v="7467"/>
    <x v="0"/>
    <x v="4"/>
    <x v="0"/>
  </r>
  <r>
    <x v="706"/>
    <s v="ZTAN"/>
    <x v="7"/>
    <s v="PYCP23"/>
    <n v="121384531"/>
    <s v="CHILLAN"/>
    <x v="5994"/>
    <x v="0"/>
    <x v="0"/>
    <x v="21"/>
    <x v="5"/>
    <n v="0"/>
    <n v="500000"/>
    <n v="0"/>
    <n v="500000"/>
    <n v="54.667512190855213"/>
    <n v="14000"/>
    <n v="65"/>
    <x v="7468"/>
    <x v="0"/>
    <x v="4"/>
    <x v="0"/>
  </r>
  <r>
    <x v="706"/>
    <s v="ZTAN"/>
    <x v="8"/>
    <s v="RWTG52"/>
    <n v="276547747"/>
    <s v="EL BOSQUE"/>
    <x v="5895"/>
    <x v="0"/>
    <x v="0"/>
    <x v="25"/>
    <x v="1"/>
    <n v="3"/>
    <n v="69173"/>
    <n v="0"/>
    <n v="69173"/>
    <n v="26.343590524792443"/>
    <n v="5000"/>
    <n v="53"/>
    <x v="7469"/>
    <x v="0"/>
    <x v="4"/>
    <x v="1"/>
  </r>
  <r>
    <x v="706"/>
    <s v="ZTAN"/>
    <x v="8"/>
    <s v="SCWL85"/>
    <n v="256738929"/>
    <s v="SAN BERNARDO"/>
    <x v="5995"/>
    <x v="0"/>
    <x v="0"/>
    <x v="4"/>
    <x v="1"/>
    <n v="4"/>
    <n v="69173"/>
    <n v="0"/>
    <n v="69173"/>
    <n v="24.425666847929715"/>
    <n v="5000"/>
    <n v="57"/>
    <x v="7470"/>
    <x v="0"/>
    <x v="4"/>
    <x v="1"/>
  </r>
  <r>
    <x v="706"/>
    <s v="ZTAN"/>
    <x v="8"/>
    <s v="SV2718"/>
    <n v="107643206"/>
    <s v="LA FLORIDA"/>
    <x v="5996"/>
    <x v="1"/>
    <x v="1"/>
    <x v="33"/>
    <x v="1"/>
    <n v="3"/>
    <n v="69173"/>
    <n v="0"/>
    <n v="69173"/>
    <n v="21.685685622923067"/>
    <n v="5000"/>
    <n v="64"/>
    <x v="7471"/>
    <x v="0"/>
    <x v="4"/>
    <x v="1"/>
  </r>
  <r>
    <x v="706"/>
    <s v="ZTAN"/>
    <x v="8"/>
    <s v="UA7248"/>
    <n v="99626232"/>
    <s v="CERRILLOS"/>
    <x v="5668"/>
    <x v="1"/>
    <x v="1"/>
    <x v="9"/>
    <x v="1"/>
    <n v="2"/>
    <n v="69173"/>
    <n v="0"/>
    <n v="69173"/>
    <n v="27.671413713097046"/>
    <n v="5000"/>
    <n v="50"/>
    <x v="7472"/>
    <x v="0"/>
    <x v="4"/>
    <x v="1"/>
  </r>
  <r>
    <x v="706"/>
    <s v="ZTAN"/>
    <x v="8"/>
    <s v="XR6339"/>
    <n v="78907355"/>
    <s v="PUDAHUEL"/>
    <x v="5997"/>
    <x v="1"/>
    <x v="1"/>
    <x v="10"/>
    <x v="1"/>
    <n v="1"/>
    <n v="69173"/>
    <n v="0"/>
    <n v="69173"/>
    <n v="23.743701344170912"/>
    <n v="5000"/>
    <n v="58"/>
    <x v="7473"/>
    <x v="0"/>
    <x v="4"/>
    <x v="1"/>
  </r>
  <r>
    <x v="707"/>
    <s v="ZPEP"/>
    <x v="27"/>
    <s v="CGHR82"/>
    <n v="73546974"/>
    <s v="CHILLAN"/>
    <x v="5998"/>
    <x v="0"/>
    <x v="0"/>
    <x v="21"/>
    <x v="5"/>
    <n v="0"/>
    <n v="500000"/>
    <n v="0"/>
    <n v="500000"/>
    <n v="56.230509099783283"/>
    <n v="14000"/>
    <n v="64"/>
    <x v="7474"/>
    <x v="0"/>
    <x v="4"/>
    <x v="0"/>
  </r>
  <r>
    <x v="707"/>
    <s v="ZTAN"/>
    <x v="6"/>
    <s v="SV2718"/>
    <n v="107643206"/>
    <s v="SAN BERNARDO"/>
    <x v="5999"/>
    <x v="1"/>
    <x v="1"/>
    <x v="4"/>
    <x v="1"/>
    <n v="4"/>
    <n v="69173"/>
    <n v="0"/>
    <n v="69173"/>
    <n v="16.416369616912615"/>
    <n v="5000"/>
    <n v="84"/>
    <x v="7475"/>
    <x v="0"/>
    <x v="4"/>
    <x v="1"/>
  </r>
  <r>
    <x v="707"/>
    <s v="ZTAN"/>
    <x v="6"/>
    <s v="UA7248"/>
    <n v="99626232"/>
    <s v="CERRILLOS"/>
    <x v="6000"/>
    <x v="1"/>
    <x v="1"/>
    <x v="9"/>
    <x v="1"/>
    <n v="2"/>
    <n v="69173"/>
    <n v="0"/>
    <n v="69173"/>
    <n v="25.976566900747304"/>
    <n v="5000"/>
    <n v="53"/>
    <x v="7476"/>
    <x v="0"/>
    <x v="4"/>
    <x v="1"/>
  </r>
  <r>
    <x v="707"/>
    <s v="ZTAN"/>
    <x v="66"/>
    <s v="WD7700"/>
    <n v="73835526"/>
    <s v="SANTIAGO"/>
    <x v="5355"/>
    <x v="0"/>
    <x v="0"/>
    <x v="20"/>
    <x v="1"/>
    <n v="1"/>
    <n v="69173"/>
    <n v="0"/>
    <n v="69173"/>
    <n v="16.60258256528418"/>
    <n v="5000"/>
    <n v="83"/>
    <x v="7477"/>
    <x v="0"/>
    <x v="4"/>
    <x v="1"/>
  </r>
  <r>
    <x v="707"/>
    <s v="ZTAN"/>
    <x v="16"/>
    <s v="RH1133"/>
    <n v="65941082"/>
    <s v="SAN BERNARDO"/>
    <x v="3005"/>
    <x v="0"/>
    <x v="0"/>
    <x v="4"/>
    <x v="1"/>
    <n v="4"/>
    <n v="137535"/>
    <n v="0"/>
    <n v="137535"/>
    <n v="10.999984004094951"/>
    <n v="5000"/>
    <n v="100"/>
    <x v="7478"/>
    <x v="0"/>
    <x v="4"/>
    <x v="1"/>
  </r>
  <r>
    <x v="707"/>
    <s v="ZTAN"/>
    <x v="41"/>
    <s v="XR6339"/>
    <n v="78907355"/>
    <s v="MELIPILLA"/>
    <x v="6001"/>
    <x v="1"/>
    <x v="1"/>
    <x v="29"/>
    <x v="1"/>
    <n v="5"/>
    <n v="112500"/>
    <n v="0"/>
    <n v="112500"/>
    <n v="15.28675922063346"/>
    <n v="10000"/>
    <n v="74"/>
    <x v="7479"/>
    <x v="0"/>
    <x v="4"/>
    <x v="1"/>
  </r>
  <r>
    <x v="707"/>
    <s v="ZTAN"/>
    <x v="7"/>
    <s v="HLBX77"/>
    <n v="81417709"/>
    <s v="RENCA"/>
    <x v="6002"/>
    <x v="1"/>
    <x v="1"/>
    <x v="7"/>
    <x v="1"/>
    <n v="1"/>
    <n v="127267"/>
    <n v="0"/>
    <n v="127267"/>
    <n v="11.000035437423129"/>
    <n v="5000"/>
    <n v="100"/>
    <x v="7480"/>
    <x v="0"/>
    <x v="4"/>
    <x v="1"/>
  </r>
  <r>
    <x v="707"/>
    <s v="ZTAN"/>
    <x v="7"/>
    <s v="LWYB23"/>
    <n v="162870963"/>
    <s v="CORONEL"/>
    <x v="6003"/>
    <x v="0"/>
    <x v="0"/>
    <x v="16"/>
    <x v="0"/>
    <n v="0"/>
    <n v="528000"/>
    <n v="0"/>
    <n v="528000"/>
    <n v="56.212312199775177"/>
    <n v="14000"/>
    <n v="67"/>
    <x v="7481"/>
    <x v="0"/>
    <x v="4"/>
    <x v="0"/>
  </r>
  <r>
    <x v="707"/>
    <s v="ZTAN"/>
    <x v="7"/>
    <s v="RKYY81"/>
    <n v="70866846"/>
    <s v="CORONEL"/>
    <x v="6004"/>
    <x v="0"/>
    <x v="0"/>
    <x v="16"/>
    <x v="0"/>
    <n v="0"/>
    <n v="528000"/>
    <n v="0"/>
    <n v="528000"/>
    <n v="53.602972528476577"/>
    <n v="14000"/>
    <n v="82"/>
    <x v="7482"/>
    <x v="0"/>
    <x v="4"/>
    <x v="0"/>
  </r>
  <r>
    <x v="707"/>
    <s v="ZTAN"/>
    <x v="7"/>
    <s v="WG4022"/>
    <n v="154837728"/>
    <s v="RENCA"/>
    <x v="6005"/>
    <x v="1"/>
    <x v="0"/>
    <x v="7"/>
    <x v="1"/>
    <n v="1"/>
    <n v="202138"/>
    <n v="0"/>
    <n v="202138"/>
    <n v="10.999989116357026"/>
    <n v="5000"/>
    <n v="100"/>
    <x v="7483"/>
    <x v="0"/>
    <x v="4"/>
    <x v="1"/>
  </r>
  <r>
    <x v="707"/>
    <s v="ZTAN"/>
    <x v="8"/>
    <s v="SU9354"/>
    <n v="72564391"/>
    <s v="REÑACA"/>
    <x v="6006"/>
    <x v="2"/>
    <x v="1"/>
    <x v="6"/>
    <x v="2"/>
    <n v="0"/>
    <n v="227000"/>
    <n v="0"/>
    <n v="227000"/>
    <n v="31.954098711419299"/>
    <n v="14000"/>
    <n v="51"/>
    <x v="7484"/>
    <x v="0"/>
    <x v="4"/>
    <x v="0"/>
  </r>
  <r>
    <x v="708"/>
    <s v="ZPEP"/>
    <x v="50"/>
    <s v="KKPF51"/>
    <s v="72564391"/>
    <s v="QUILLOTA"/>
    <x v="6007"/>
    <x v="8"/>
    <x v="0"/>
    <x v="19"/>
    <x v="2"/>
    <n v="0"/>
    <n v="289000"/>
    <n v="0"/>
    <n v="289000"/>
    <n v="20.45234356257177"/>
    <n v="14000"/>
    <n v="100"/>
    <x v="7485"/>
    <x v="0"/>
    <x v="4"/>
    <x v="0"/>
  </r>
  <r>
    <x v="708"/>
    <s v="ZTAN"/>
    <x v="4"/>
    <s v="FYTP84"/>
    <s v="162861164"/>
    <s v="VICTORIA"/>
    <x v="6008"/>
    <x v="0"/>
    <x v="0"/>
    <x v="108"/>
    <x v="4"/>
    <n v="0"/>
    <n v="1000000"/>
    <n v="0"/>
    <n v="1000000"/>
    <n v="75.84146100990489"/>
    <n v="14000"/>
    <n v="100"/>
    <x v="7486"/>
    <x v="0"/>
    <x v="4"/>
    <x v="0"/>
  </r>
  <r>
    <x v="708"/>
    <s v="ZTAN"/>
    <x v="137"/>
    <s v="DJLF85"/>
    <s v="125108660"/>
    <s v="VITACURA"/>
    <x v="35"/>
    <x v="4"/>
    <x v="1"/>
    <x v="27"/>
    <x v="1"/>
    <n v="4"/>
    <n v="86053"/>
    <n v="0"/>
    <n v="86053"/>
    <n v="10.999999999999998"/>
    <n v="5000"/>
    <n v="100"/>
    <x v="7487"/>
    <x v="0"/>
    <x v="4"/>
    <x v="1"/>
  </r>
  <r>
    <x v="708"/>
    <s v="ZTAN"/>
    <x v="137"/>
    <s v="SU9354"/>
    <s v="72564391"/>
    <s v="VITACURA"/>
    <x v="756"/>
    <x v="2"/>
    <x v="1"/>
    <x v="27"/>
    <x v="1"/>
    <n v="4"/>
    <n v="100947"/>
    <n v="0"/>
    <n v="100947"/>
    <n v="11"/>
    <n v="5000"/>
    <n v="100"/>
    <x v="7488"/>
    <x v="0"/>
    <x v="4"/>
    <x v="1"/>
  </r>
  <r>
    <x v="708"/>
    <s v="ZTAN"/>
    <x v="137"/>
    <s v="WD7700"/>
    <s v="73835526"/>
    <s v="VITACURA"/>
    <x v="769"/>
    <x v="0"/>
    <x v="0"/>
    <x v="27"/>
    <x v="1"/>
    <n v="4"/>
    <n v="67100"/>
    <n v="0"/>
    <n v="67100"/>
    <n v="11"/>
    <n v="5000"/>
    <n v="100"/>
    <x v="7489"/>
    <x v="0"/>
    <x v="4"/>
    <x v="1"/>
  </r>
  <r>
    <x v="708"/>
    <s v="ZTAN"/>
    <x v="7"/>
    <s v="PBFY95"/>
    <s v="17510674K"/>
    <s v="CORONEL"/>
    <x v="419"/>
    <x v="0"/>
    <x v="0"/>
    <x v="16"/>
    <x v="0"/>
    <n v="0"/>
    <n v="528000"/>
    <n v="0"/>
    <n v="528000"/>
    <n v="64.046579330422091"/>
    <n v="14000"/>
    <n v="59"/>
    <x v="7490"/>
    <x v="0"/>
    <x v="4"/>
    <x v="0"/>
  </r>
  <r>
    <x v="708"/>
    <s v="ZTAN"/>
    <x v="7"/>
    <s v="PYZP23"/>
    <s v="121384531"/>
    <s v="CORONEL"/>
    <x v="5961"/>
    <x v="0"/>
    <x v="0"/>
    <x v="16"/>
    <x v="0"/>
    <n v="0"/>
    <n v="528000"/>
    <n v="0"/>
    <n v="528000"/>
    <n v="26.060175313906644"/>
    <n v="14000"/>
    <n v="100"/>
    <x v="7491"/>
    <x v="0"/>
    <x v="4"/>
    <x v="0"/>
  </r>
  <r>
    <x v="708"/>
    <s v="ZTAN"/>
    <x v="7"/>
    <s v="WG4022"/>
    <s v="154837728"/>
    <s v="RENCA"/>
    <x v="6009"/>
    <x v="1"/>
    <x v="0"/>
    <x v="7"/>
    <x v="1"/>
    <n v="1"/>
    <n v="196612"/>
    <n v="0"/>
    <n v="196612"/>
    <n v="10.999998881045014"/>
    <n v="5000"/>
    <n v="100"/>
    <x v="7492"/>
    <x v="0"/>
    <x v="4"/>
    <x v="1"/>
  </r>
  <r>
    <x v="708"/>
    <s v="ZTAN"/>
    <x v="7"/>
    <s v="XR6339"/>
    <s v="78907355"/>
    <s v="RENCA"/>
    <x v="6010"/>
    <x v="1"/>
    <x v="1"/>
    <x v="7"/>
    <x v="1"/>
    <n v="1"/>
    <n v="82989"/>
    <n v="0"/>
    <n v="82989"/>
    <n v="10.999977466939363"/>
    <n v="5000"/>
    <n v="100"/>
    <x v="7493"/>
    <x v="0"/>
    <x v="4"/>
    <x v="1"/>
  </r>
  <r>
    <x v="708"/>
    <s v="ZTAN"/>
    <x v="8"/>
    <s v="DFRV76"/>
    <s v="113693568"/>
    <s v="VILLARRICA"/>
    <x v="6011"/>
    <x v="5"/>
    <x v="0"/>
    <x v="88"/>
    <x v="4"/>
    <n v="0"/>
    <n v="1000000"/>
    <n v="0"/>
    <n v="1000000"/>
    <n v="113.06027016882159"/>
    <n v="14000"/>
    <n v="75"/>
    <x v="7494"/>
    <x v="0"/>
    <x v="4"/>
    <x v="0"/>
  </r>
  <r>
    <x v="708"/>
    <s v="ZTAN"/>
    <x v="8"/>
    <s v="HLBX77"/>
    <s v="81417709"/>
    <s v="QUILICURA"/>
    <x v="6012"/>
    <x v="1"/>
    <x v="1"/>
    <x v="8"/>
    <x v="1"/>
    <n v="1"/>
    <n v="69173"/>
    <n v="0"/>
    <n v="69173"/>
    <n v="25.400992934886386"/>
    <n v="5000"/>
    <n v="54"/>
    <x v="7495"/>
    <x v="0"/>
    <x v="4"/>
    <x v="1"/>
  </r>
  <r>
    <x v="708"/>
    <s v="ZTAN"/>
    <x v="8"/>
    <s v="RWTG52"/>
    <s v="276547747"/>
    <s v="MAIPU"/>
    <x v="6013"/>
    <x v="0"/>
    <x v="0"/>
    <x v="2"/>
    <x v="1"/>
    <n v="2"/>
    <n v="69173"/>
    <n v="0"/>
    <n v="69173"/>
    <n v="26.700608718140728"/>
    <n v="5000"/>
    <n v="52"/>
    <x v="7496"/>
    <x v="0"/>
    <x v="4"/>
    <x v="1"/>
  </r>
  <r>
    <x v="708"/>
    <s v="ZTAN"/>
    <x v="8"/>
    <s v="RX2274"/>
    <s v="100823236"/>
    <s v="TALCA"/>
    <x v="6014"/>
    <x v="0"/>
    <x v="0"/>
    <x v="12"/>
    <x v="3"/>
    <n v="0"/>
    <n v="402000"/>
    <n v="0"/>
    <n v="402000"/>
    <n v="54.165341726715639"/>
    <n v="14000"/>
    <n v="65"/>
    <x v="7497"/>
    <x v="0"/>
    <x v="4"/>
    <x v="0"/>
  </r>
  <r>
    <x v="708"/>
    <s v="ZTAN"/>
    <x v="8"/>
    <s v="RXYY82"/>
    <s v="101495566"/>
    <s v="VALDIVIA"/>
    <x v="6015"/>
    <x v="0"/>
    <x v="0"/>
    <x v="77"/>
    <x v="11"/>
    <n v="0"/>
    <n v="1100000"/>
    <n v="0"/>
    <n v="1100000"/>
    <n v="171.71482226735378"/>
    <n v="14000"/>
    <n v="46"/>
    <x v="7498"/>
    <x v="0"/>
    <x v="4"/>
    <x v="0"/>
  </r>
  <r>
    <x v="708"/>
    <s v="ZTAN"/>
    <x v="8"/>
    <s v="SV2718"/>
    <s v="107643206"/>
    <s v="PUDAHUEL"/>
    <x v="6016"/>
    <x v="1"/>
    <x v="1"/>
    <x v="10"/>
    <x v="1"/>
    <n v="1"/>
    <n v="69173"/>
    <n v="0"/>
    <n v="69173"/>
    <n v="24.38373548125562"/>
    <n v="5000"/>
    <n v="57"/>
    <x v="7499"/>
    <x v="0"/>
    <x v="4"/>
    <x v="1"/>
  </r>
  <r>
    <x v="708"/>
    <s v="ZTAN"/>
    <x v="8"/>
    <s v="UA7248"/>
    <s v="99626232"/>
    <s v="CERRILLOS"/>
    <x v="1508"/>
    <x v="1"/>
    <x v="1"/>
    <x v="9"/>
    <x v="1"/>
    <n v="2"/>
    <n v="69173"/>
    <n v="0"/>
    <n v="69173"/>
    <n v="23.847824588016273"/>
    <n v="5000"/>
    <n v="58"/>
    <x v="7500"/>
    <x v="0"/>
    <x v="4"/>
    <x v="1"/>
  </r>
  <r>
    <x v="709"/>
    <s v="ZPEP"/>
    <x v="91"/>
    <s v="SU9354"/>
    <s v="72564391"/>
    <s v="REQUINOA"/>
    <x v="6017"/>
    <x v="2"/>
    <x v="1"/>
    <x v="113"/>
    <x v="6"/>
    <n v="0"/>
    <n v="200000"/>
    <n v="0"/>
    <n v="200000"/>
    <n v="18.150137941048349"/>
    <n v="14000"/>
    <n v="79"/>
    <x v="7501"/>
    <x v="0"/>
    <x v="4"/>
    <x v="0"/>
  </r>
  <r>
    <x v="709"/>
    <s v="ZTAN"/>
    <x v="10"/>
    <s v="DJLF85"/>
    <s v="125108660"/>
    <s v="QUILICURA"/>
    <x v="3413"/>
    <x v="4"/>
    <x v="1"/>
    <x v="8"/>
    <x v="1"/>
    <n v="1"/>
    <n v="56386"/>
    <n v="0"/>
    <n v="56386"/>
    <n v="10.999999999999998"/>
    <n v="5000"/>
    <n v="100"/>
    <x v="7502"/>
    <x v="0"/>
    <x v="4"/>
    <x v="1"/>
  </r>
  <r>
    <x v="709"/>
    <s v="ZTAN"/>
    <x v="10"/>
    <s v="WG4022"/>
    <s v="154837728"/>
    <s v="QUILICURA"/>
    <x v="6018"/>
    <x v="1"/>
    <x v="0"/>
    <x v="8"/>
    <x v="1"/>
    <n v="1"/>
    <n v="122316"/>
    <n v="0"/>
    <n v="122316"/>
    <n v="10.999966725631237"/>
    <n v="5000"/>
    <n v="100"/>
    <x v="7503"/>
    <x v="0"/>
    <x v="4"/>
    <x v="1"/>
  </r>
  <r>
    <x v="709"/>
    <s v="ZTAN"/>
    <x v="6"/>
    <s v="FJCX67"/>
    <s v="116608979"/>
    <s v="LA SERENA"/>
    <x v="6019"/>
    <x v="0"/>
    <x v="0"/>
    <x v="63"/>
    <x v="8"/>
    <n v="0"/>
    <n v="850000"/>
    <n v="0"/>
    <n v="850000"/>
    <n v="133.07449040298087"/>
    <n v="14000"/>
    <n v="46"/>
    <x v="7504"/>
    <x v="0"/>
    <x v="4"/>
    <x v="0"/>
  </r>
  <r>
    <x v="709"/>
    <s v="ZTAN"/>
    <x v="6"/>
    <s v="RJ6819"/>
    <s v="94742285"/>
    <s v="OSORNO"/>
    <x v="6020"/>
    <x v="5"/>
    <x v="0"/>
    <x v="64"/>
    <x v="10"/>
    <n v="0"/>
    <n v="1131000"/>
    <n v="0"/>
    <n v="1131000"/>
    <n v="136.0925670114506"/>
    <n v="14000"/>
    <n v="59"/>
    <x v="7505"/>
    <x v="0"/>
    <x v="4"/>
    <x v="0"/>
  </r>
  <r>
    <x v="709"/>
    <s v="ZTAN"/>
    <x v="6"/>
    <s v="XR6339"/>
    <s v="78907355"/>
    <s v="VIÑA DEL MAR"/>
    <x v="6021"/>
    <x v="1"/>
    <x v="1"/>
    <x v="6"/>
    <x v="2"/>
    <n v="0"/>
    <n v="227000"/>
    <n v="0"/>
    <n v="227000"/>
    <n v="56.377905821577571"/>
    <n v="14000"/>
    <n v="29"/>
    <x v="7506"/>
    <x v="0"/>
    <x v="4"/>
    <x v="0"/>
  </r>
  <r>
    <x v="709"/>
    <s v="ZTAN"/>
    <x v="7"/>
    <s v="DJLF85"/>
    <s v="125108660"/>
    <s v="SAN MIGUEL"/>
    <x v="385"/>
    <x v="4"/>
    <x v="1"/>
    <x v="23"/>
    <x v="1"/>
    <n v="2"/>
    <n v="82544"/>
    <n v="0"/>
    <n v="82544"/>
    <n v="11.000000000000004"/>
    <n v="5000"/>
    <n v="100"/>
    <x v="7507"/>
    <x v="0"/>
    <x v="4"/>
    <x v="1"/>
  </r>
  <r>
    <x v="709"/>
    <s v="ZTAN"/>
    <x v="7"/>
    <s v="PKYS74"/>
    <s v="6270439K"/>
    <s v="CORONEL"/>
    <x v="6022"/>
    <x v="0"/>
    <x v="0"/>
    <x v="16"/>
    <x v="0"/>
    <n v="0"/>
    <n v="528000"/>
    <n v="0"/>
    <n v="528000"/>
    <n v="37.156408776794109"/>
    <n v="14000"/>
    <n v="100"/>
    <x v="7508"/>
    <x v="0"/>
    <x v="4"/>
    <x v="0"/>
  </r>
  <r>
    <x v="709"/>
    <s v="ZTAN"/>
    <x v="7"/>
    <s v="RX2274"/>
    <s v="100822328"/>
    <s v="CORONEL"/>
    <x v="6023"/>
    <x v="0"/>
    <x v="0"/>
    <x v="16"/>
    <x v="0"/>
    <n v="0"/>
    <n v="528000"/>
    <n v="0"/>
    <n v="528000"/>
    <n v="27.152113545202099"/>
    <n v="14000"/>
    <n v="100"/>
    <x v="7509"/>
    <x v="0"/>
    <x v="4"/>
    <x v="0"/>
  </r>
  <r>
    <x v="709"/>
    <s v="ZTAN"/>
    <x v="7"/>
    <s v="SV2718"/>
    <s v="107643206"/>
    <s v="SAN MIGUEL"/>
    <x v="385"/>
    <x v="1"/>
    <x v="1"/>
    <x v="23"/>
    <x v="1"/>
    <n v="2"/>
    <n v="82544"/>
    <n v="0"/>
    <n v="82544"/>
    <n v="11.000000000000004"/>
    <n v="5000"/>
    <n v="100"/>
    <x v="7510"/>
    <x v="0"/>
    <x v="4"/>
    <x v="1"/>
  </r>
  <r>
    <x v="709"/>
    <s v="ZTAN"/>
    <x v="8"/>
    <s v="RKLH77"/>
    <s v="94590507"/>
    <s v="TEMUCO"/>
    <x v="6024"/>
    <x v="0"/>
    <x v="0"/>
    <x v="14"/>
    <x v="4"/>
    <n v="0"/>
    <n v="900000"/>
    <n v="0"/>
    <n v="900000"/>
    <n v="129.19859546771329"/>
    <n v="14000"/>
    <n v="50"/>
    <x v="7511"/>
    <x v="0"/>
    <x v="4"/>
    <x v="0"/>
  </r>
  <r>
    <x v="709"/>
    <s v="ZTAN"/>
    <x v="8"/>
    <s v="RWTG52"/>
    <s v="276547741"/>
    <s v="TALAGANTE"/>
    <x v="6025"/>
    <x v="0"/>
    <x v="0"/>
    <x v="50"/>
    <x v="1"/>
    <n v="4"/>
    <n v="69173"/>
    <n v="0"/>
    <n v="69173"/>
    <n v="28.124593416601613"/>
    <n v="5000"/>
    <n v="49"/>
    <x v="7512"/>
    <x v="0"/>
    <x v="4"/>
    <x v="1"/>
  </r>
  <r>
    <x v="709"/>
    <s v="ZTAN"/>
    <x v="8"/>
    <s v="SV2718"/>
    <s v="107643206"/>
    <s v="ÑUÑOA"/>
    <x v="6026"/>
    <x v="1"/>
    <x v="1"/>
    <x v="15"/>
    <x v="1"/>
    <n v="4"/>
    <n v="69173"/>
    <n v="0"/>
    <n v="69173"/>
    <n v="26.725057179946837"/>
    <n v="5000"/>
    <n v="52"/>
    <x v="7513"/>
    <x v="0"/>
    <x v="4"/>
    <x v="1"/>
  </r>
  <r>
    <x v="709"/>
    <s v="ZTAN"/>
    <x v="8"/>
    <s v="UA7248"/>
    <s v="99626232"/>
    <s v="SAN MIGUEL"/>
    <x v="6027"/>
    <x v="1"/>
    <x v="1"/>
    <x v="23"/>
    <x v="1"/>
    <n v="2"/>
    <n v="69173"/>
    <n v="0"/>
    <n v="69173"/>
    <n v="27.248054076198279"/>
    <n v="5000"/>
    <n v="51"/>
    <x v="7514"/>
    <x v="0"/>
    <x v="4"/>
    <x v="1"/>
  </r>
  <r>
    <x v="709"/>
    <s v="ZTAN"/>
    <x v="45"/>
    <s v="RH1133"/>
    <s v="65941082"/>
    <s v="VITACURA"/>
    <x v="6028"/>
    <x v="0"/>
    <x v="0"/>
    <x v="27"/>
    <x v="1"/>
    <n v="4"/>
    <n v="290378"/>
    <n v="0"/>
    <n v="290378"/>
    <n v="11.000016667954645"/>
    <n v="5000"/>
    <n v="100"/>
    <x v="7515"/>
    <x v="0"/>
    <x v="4"/>
    <x v="1"/>
  </r>
  <r>
    <x v="710"/>
    <s v="ZPEP"/>
    <x v="103"/>
    <s v="WG4022"/>
    <n v="154837728"/>
    <s v="SANTIAGO"/>
    <x v="6029"/>
    <x v="1"/>
    <x v="0"/>
    <x v="20"/>
    <x v="1"/>
    <n v="1"/>
    <n v="113520"/>
    <n v="0"/>
    <n v="113520"/>
    <n v="11"/>
    <n v="5000"/>
    <n v="100"/>
    <x v="7516"/>
    <x v="0"/>
    <x v="4"/>
    <x v="1"/>
  </r>
  <r>
    <x v="710"/>
    <s v="ZTAN"/>
    <x v="4"/>
    <s v="SU9354"/>
    <n v="72564391"/>
    <s v="BUIN"/>
    <x v="414"/>
    <x v="2"/>
    <x v="1"/>
    <x v="56"/>
    <x v="1"/>
    <n v="5"/>
    <n v="112500"/>
    <n v="0"/>
    <n v="112500"/>
    <n v="11.532310972609483"/>
    <n v="10000"/>
    <n v="98"/>
    <x v="7517"/>
    <x v="0"/>
    <x v="4"/>
    <x v="1"/>
  </r>
  <r>
    <x v="710"/>
    <s v="ZTAN"/>
    <x v="111"/>
    <s v="UA7248"/>
    <n v="99626232"/>
    <s v="LO ESPEJO"/>
    <x v="6030"/>
    <x v="1"/>
    <x v="1"/>
    <x v="68"/>
    <x v="1"/>
    <n v="2"/>
    <n v="69173"/>
    <n v="0"/>
    <n v="69173"/>
    <n v="13.90691596300764"/>
    <n v="5000"/>
    <n v="99"/>
    <x v="7518"/>
    <x v="0"/>
    <x v="4"/>
    <x v="1"/>
  </r>
  <r>
    <x v="710"/>
    <s v="ZTAN"/>
    <x v="10"/>
    <s v="RWTG52"/>
    <n v="276547747"/>
    <s v="ÑUÑOA"/>
    <x v="6031"/>
    <x v="0"/>
    <x v="0"/>
    <x v="15"/>
    <x v="1"/>
    <n v="4"/>
    <n v="69173"/>
    <n v="0"/>
    <n v="69173"/>
    <n v="17.687142667198511"/>
    <n v="5000"/>
    <n v="78"/>
    <x v="7519"/>
    <x v="0"/>
    <x v="4"/>
    <x v="1"/>
  </r>
  <r>
    <x v="710"/>
    <s v="ZTAN"/>
    <x v="6"/>
    <s v="XR6339"/>
    <n v="78907355"/>
    <s v="LOS ANDES"/>
    <x v="248"/>
    <x v="1"/>
    <x v="1"/>
    <x v="38"/>
    <x v="2"/>
    <n v="0"/>
    <n v="227000"/>
    <n v="0"/>
    <n v="227000"/>
    <n v="75.626332622601282"/>
    <n v="14000"/>
    <n v="21"/>
    <x v="7520"/>
    <x v="0"/>
    <x v="4"/>
    <x v="0"/>
  </r>
  <r>
    <x v="710"/>
    <s v="ZTAN"/>
    <x v="66"/>
    <s v="SV2718"/>
    <n v="107643206"/>
    <s v="SANTIAGO"/>
    <x v="6032"/>
    <x v="1"/>
    <x v="1"/>
    <x v="20"/>
    <x v="1"/>
    <n v="1"/>
    <n v="69173"/>
    <n v="0"/>
    <n v="69173"/>
    <n v="20.211839644693786"/>
    <n v="5000"/>
    <n v="68"/>
    <x v="7521"/>
    <x v="0"/>
    <x v="4"/>
    <x v="1"/>
  </r>
  <r>
    <x v="710"/>
    <s v="ZTAN"/>
    <x v="116"/>
    <s v="WD7700"/>
    <n v="73835526"/>
    <s v="SANTIAGO"/>
    <x v="6033"/>
    <x v="0"/>
    <x v="0"/>
    <x v="20"/>
    <x v="1"/>
    <n v="1"/>
    <n v="69173"/>
    <n v="0"/>
    <n v="69173"/>
    <n v="23.660779947529186"/>
    <n v="5000"/>
    <n v="58"/>
    <x v="7522"/>
    <x v="0"/>
    <x v="4"/>
    <x v="1"/>
  </r>
  <r>
    <x v="710"/>
    <s v="ZTAN"/>
    <x v="7"/>
    <s v="DJLF85"/>
    <n v="125108660"/>
    <s v="RENCA"/>
    <x v="6034"/>
    <x v="4"/>
    <x v="1"/>
    <x v="7"/>
    <x v="1"/>
    <n v="1"/>
    <n v="99143"/>
    <n v="0"/>
    <n v="99143"/>
    <n v="10.999987795420179"/>
    <n v="5000"/>
    <n v="100"/>
    <x v="7523"/>
    <x v="0"/>
    <x v="4"/>
    <x v="1"/>
  </r>
  <r>
    <x v="710"/>
    <s v="ZTAN"/>
    <x v="7"/>
    <s v="SV2718"/>
    <n v="107643206"/>
    <s v="SANTIAGO"/>
    <x v="6035"/>
    <x v="1"/>
    <x v="1"/>
    <x v="20"/>
    <x v="1"/>
    <n v="1"/>
    <n v="69173"/>
    <n v="0"/>
    <n v="69173"/>
    <n v="26.317531578146401"/>
    <n v="5000"/>
    <n v="53"/>
    <x v="7524"/>
    <x v="0"/>
    <x v="4"/>
    <x v="1"/>
  </r>
  <r>
    <x v="710"/>
    <s v="ZTAN"/>
    <x v="7"/>
    <s v="WD7700"/>
    <n v="73835526"/>
    <s v="MELIPILLA"/>
    <x v="2341"/>
    <x v="0"/>
    <x v="0"/>
    <x v="29"/>
    <x v="1"/>
    <n v="5"/>
    <n v="180000"/>
    <n v="0"/>
    <n v="180000"/>
    <n v="23.143386134540226"/>
    <n v="10000"/>
    <n v="78"/>
    <x v="7525"/>
    <x v="0"/>
    <x v="4"/>
    <x v="1"/>
  </r>
  <r>
    <x v="710"/>
    <s v="ZTAN"/>
    <x v="7"/>
    <s v="WG4022"/>
    <n v="154837728"/>
    <s v="RENCA"/>
    <x v="6036"/>
    <x v="1"/>
    <x v="0"/>
    <x v="7"/>
    <x v="1"/>
    <n v="1"/>
    <n v="227289"/>
    <n v="0"/>
    <n v="227289"/>
    <n v="11.000019358647993"/>
    <n v="5000"/>
    <n v="100"/>
    <x v="7526"/>
    <x v="0"/>
    <x v="4"/>
    <x v="1"/>
  </r>
  <r>
    <x v="710"/>
    <s v="ZTAN"/>
    <x v="8"/>
    <s v="RKYY82"/>
    <n v="101495566"/>
    <s v="LOS ANGELES"/>
    <x v="6037"/>
    <x v="0"/>
    <x v="0"/>
    <x v="57"/>
    <x v="0"/>
    <n v="0"/>
    <n v="528000"/>
    <n v="0"/>
    <n v="528000"/>
    <n v="74.649338971620494"/>
    <n v="14000"/>
    <n v="51"/>
    <x v="7527"/>
    <x v="0"/>
    <x v="4"/>
    <x v="0"/>
  </r>
  <r>
    <x v="711"/>
    <s v="ZPEP"/>
    <x v="148"/>
    <s v="HLBX77"/>
    <n v="81417709"/>
    <s v="SAN JOAQUIN"/>
    <x v="6038"/>
    <x v="1"/>
    <x v="1"/>
    <x v="67"/>
    <x v="1"/>
    <n v="3"/>
    <n v="69173"/>
    <n v="0"/>
    <n v="69173"/>
    <n v="18.115086171903847"/>
    <n v="5000"/>
    <n v="76"/>
    <x v="7528"/>
    <x v="1"/>
    <x v="4"/>
    <x v="1"/>
  </r>
  <r>
    <x v="711"/>
    <s v="ZTAN"/>
    <x v="149"/>
    <s v="DJLF85"/>
    <n v="125108660"/>
    <s v="SANTIAGO"/>
    <x v="6039"/>
    <x v="4"/>
    <x v="1"/>
    <x v="20"/>
    <x v="1"/>
    <n v="1"/>
    <n v="69173"/>
    <n v="0"/>
    <n v="69173"/>
    <n v="16.387822790807867"/>
    <n v="5000"/>
    <n v="84"/>
    <x v="7529"/>
    <x v="1"/>
    <x v="4"/>
    <x v="1"/>
  </r>
  <r>
    <x v="711"/>
    <s v="ZTAN"/>
    <x v="7"/>
    <s v="SV2718"/>
    <n v="107643206"/>
    <s v="RENCA"/>
    <x v="6040"/>
    <x v="1"/>
    <x v="1"/>
    <x v="7"/>
    <x v="1"/>
    <n v="1"/>
    <n v="69173"/>
    <n v="0"/>
    <n v="69173"/>
    <n v="19.781800503317317"/>
    <n v="5000"/>
    <n v="70"/>
    <x v="7530"/>
    <x v="1"/>
    <x v="4"/>
    <x v="1"/>
  </r>
  <r>
    <x v="711"/>
    <s v="ZTAN"/>
    <x v="7"/>
    <s v="WG4022"/>
    <n v="154837728"/>
    <s v="RENCA"/>
    <x v="6041"/>
    <x v="1"/>
    <x v="0"/>
    <x v="7"/>
    <x v="1"/>
    <n v="1"/>
    <n v="210672"/>
    <n v="0"/>
    <n v="210672"/>
    <n v="11.000017230603431"/>
    <n v="5000"/>
    <n v="100"/>
    <x v="7531"/>
    <x v="1"/>
    <x v="4"/>
    <x v="1"/>
  </r>
  <r>
    <x v="711"/>
    <s v="ZTAN"/>
    <x v="7"/>
    <s v="XR6339"/>
    <n v="78907355"/>
    <s v="RENCA"/>
    <x v="6042"/>
    <x v="1"/>
    <x v="1"/>
    <x v="7"/>
    <x v="1"/>
    <n v="1"/>
    <n v="96888"/>
    <n v="0"/>
    <n v="96888"/>
    <n v="11"/>
    <n v="5000"/>
    <n v="100"/>
    <x v="7532"/>
    <x v="1"/>
    <x v="4"/>
    <x v="1"/>
  </r>
  <r>
    <x v="711"/>
    <s v="ZTAN"/>
    <x v="8"/>
    <s v="WD7700"/>
    <n v="73835526"/>
    <s v="INDEPENDENCIA"/>
    <x v="3022"/>
    <x v="0"/>
    <x v="0"/>
    <x v="120"/>
    <x v="1"/>
    <n v="1"/>
    <n v="69173"/>
    <n v="0"/>
    <n v="69173"/>
    <n v="25.055418719211822"/>
    <n v="5000"/>
    <n v="55"/>
    <x v="7533"/>
    <x v="1"/>
    <x v="4"/>
    <x v="1"/>
  </r>
  <r>
    <x v="712"/>
    <s v="ZPEP"/>
    <x v="95"/>
    <s v="DJLF85"/>
    <n v="125108660"/>
    <s v="SANTIAGO"/>
    <x v="6043"/>
    <x v="4"/>
    <x v="1"/>
    <x v="20"/>
    <x v="1"/>
    <n v="1"/>
    <n v="69173"/>
    <n v="0"/>
    <n v="69173"/>
    <n v="19.557798606104303"/>
    <n v="5000"/>
    <n v="71"/>
    <x v="7534"/>
    <x v="1"/>
    <x v="4"/>
    <x v="1"/>
  </r>
  <r>
    <x v="712"/>
    <s v="ZPEP"/>
    <x v="2"/>
    <s v="HXJC25"/>
    <n v="60688518"/>
    <s v="COQUIMBO"/>
    <x v="6044"/>
    <x v="0"/>
    <x v="0"/>
    <x v="42"/>
    <x v="8"/>
    <n v="0"/>
    <n v="850000"/>
    <n v="0"/>
    <n v="850000"/>
    <n v="42.772266864727428"/>
    <n v="14000"/>
    <n v="100"/>
    <x v="7535"/>
    <x v="1"/>
    <x v="4"/>
    <x v="0"/>
  </r>
  <r>
    <x v="712"/>
    <s v="ZTAN"/>
    <x v="116"/>
    <s v="XR6339"/>
    <n v="78907355"/>
    <s v="SANTIAGO"/>
    <x v="6045"/>
    <x v="1"/>
    <x v="1"/>
    <x v="20"/>
    <x v="1"/>
    <n v="1"/>
    <n v="59462"/>
    <n v="0"/>
    <n v="59462"/>
    <n v="10.999951902265403"/>
    <n v="5000"/>
    <n v="100"/>
    <x v="7536"/>
    <x v="1"/>
    <x v="4"/>
    <x v="1"/>
  </r>
  <r>
    <x v="712"/>
    <s v="ZTAN"/>
    <x v="7"/>
    <s v="WD7700"/>
    <n v="73835526"/>
    <s v="MELIPILLA"/>
    <x v="6046"/>
    <x v="0"/>
    <x v="0"/>
    <x v="29"/>
    <x v="1"/>
    <n v="5"/>
    <n v="180000"/>
    <n v="0"/>
    <n v="180000"/>
    <n v="23.220413323357164"/>
    <n v="10000"/>
    <n v="78"/>
    <x v="7537"/>
    <x v="1"/>
    <x v="4"/>
    <x v="1"/>
  </r>
  <r>
    <x v="712"/>
    <s v="ZTAN"/>
    <x v="8"/>
    <s v="HLBX77"/>
    <n v="154837728"/>
    <s v="PUDAHUEL"/>
    <x v="6047"/>
    <x v="1"/>
    <x v="1"/>
    <x v="10"/>
    <x v="1"/>
    <n v="1"/>
    <n v="80914"/>
    <n v="0"/>
    <n v="80914"/>
    <n v="10.999967372862923"/>
    <n v="5000"/>
    <n v="100"/>
    <x v="7538"/>
    <x v="1"/>
    <x v="4"/>
    <x v="1"/>
  </r>
  <r>
    <x v="712"/>
    <s v="ZTAN"/>
    <x v="8"/>
    <s v="SU9354"/>
    <n v="72564391"/>
    <s v="REÑACA"/>
    <x v="6048"/>
    <x v="2"/>
    <x v="1"/>
    <x v="6"/>
    <x v="2"/>
    <n v="0"/>
    <n v="227000"/>
    <n v="0"/>
    <n v="227000"/>
    <n v="45.156156753530936"/>
    <n v="14000"/>
    <n v="36"/>
    <x v="7539"/>
    <x v="1"/>
    <x v="4"/>
    <x v="0"/>
  </r>
  <r>
    <x v="712"/>
    <s v="ZTAN"/>
    <x v="8"/>
    <s v="SV2718"/>
    <n v="107643206"/>
    <s v="SAN BERNARDO"/>
    <x v="6049"/>
    <x v="1"/>
    <x v="1"/>
    <x v="4"/>
    <x v="1"/>
    <n v="4"/>
    <n v="69173"/>
    <n v="0"/>
    <n v="69173"/>
    <n v="22.219830909184356"/>
    <n v="5000"/>
    <n v="62"/>
    <x v="7540"/>
    <x v="1"/>
    <x v="4"/>
    <x v="1"/>
  </r>
  <r>
    <x v="712"/>
    <s v="ZTAN"/>
    <x v="8"/>
    <s v="UA7248"/>
    <n v="99626232"/>
    <s v="ÑUÑOA"/>
    <x v="5931"/>
    <x v="1"/>
    <x v="1"/>
    <x v="15"/>
    <x v="1"/>
    <n v="4"/>
    <n v="69173"/>
    <n v="0"/>
    <n v="69173"/>
    <n v="26.718657056555966"/>
    <n v="5000"/>
    <n v="52"/>
    <x v="7541"/>
    <x v="1"/>
    <x v="4"/>
    <x v="1"/>
  </r>
  <r>
    <x v="713"/>
    <s v="ZPEP"/>
    <x v="137"/>
    <s v="WD7700"/>
    <n v="73835526"/>
    <s v="LAS CONDES"/>
    <x v="6050"/>
    <x v="0"/>
    <x v="0"/>
    <x v="3"/>
    <x v="1"/>
    <n v="4"/>
    <n v="93872"/>
    <n v="0"/>
    <n v="93872"/>
    <n v="11.00002343621833"/>
    <n v="5000"/>
    <n v="100"/>
    <x v="7542"/>
    <x v="1"/>
    <x v="4"/>
    <x v="1"/>
  </r>
  <r>
    <x v="713"/>
    <s v="ZPEP"/>
    <x v="7"/>
    <s v="RH1133"/>
    <n v="65941082"/>
    <s v="PROVIDENCIA"/>
    <x v="6051"/>
    <x v="0"/>
    <x v="0"/>
    <x v="54"/>
    <x v="1"/>
    <n v="2"/>
    <n v="265193"/>
    <n v="0"/>
    <n v="265193"/>
    <n v="10.999988385829379"/>
    <n v="5000"/>
    <n v="100"/>
    <x v="7543"/>
    <x v="1"/>
    <x v="4"/>
    <x v="1"/>
  </r>
  <r>
    <x v="713"/>
    <s v="ZTAN"/>
    <x v="5"/>
    <s v="RWTG52"/>
    <n v="276547747"/>
    <s v="PAINE"/>
    <x v="6052"/>
    <x v="0"/>
    <x v="0"/>
    <x v="13"/>
    <x v="1"/>
    <n v="5"/>
    <n v="180000"/>
    <n v="0"/>
    <n v="180000"/>
    <n v="27.257033829007536"/>
    <n v="10000"/>
    <n v="66"/>
    <x v="7544"/>
    <x v="1"/>
    <x v="4"/>
    <x v="1"/>
  </r>
  <r>
    <x v="713"/>
    <s v="ZTAN"/>
    <x v="137"/>
    <s v="DJLF85"/>
    <n v="125108660"/>
    <s v="LAS CONDES"/>
    <x v="756"/>
    <x v="4"/>
    <x v="1"/>
    <x v="3"/>
    <x v="1"/>
    <n v="4"/>
    <n v="100947"/>
    <n v="0"/>
    <n v="100947"/>
    <n v="11"/>
    <n v="5000"/>
    <n v="100"/>
    <x v="7545"/>
    <x v="1"/>
    <x v="4"/>
    <x v="1"/>
  </r>
  <r>
    <x v="713"/>
    <s v="ZTAN"/>
    <x v="137"/>
    <s v="HLBX77"/>
    <n v="81417709"/>
    <s v="VITACURA"/>
    <x v="648"/>
    <x v="1"/>
    <x v="1"/>
    <x v="27"/>
    <x v="1"/>
    <n v="4"/>
    <n v="113061"/>
    <n v="0"/>
    <n v="113061"/>
    <n v="11.000035025451828"/>
    <n v="5000"/>
    <n v="100"/>
    <x v="7546"/>
    <x v="1"/>
    <x v="4"/>
    <x v="1"/>
  </r>
  <r>
    <x v="713"/>
    <s v="ZTAN"/>
    <x v="137"/>
    <s v="WD7700"/>
    <n v="73835526"/>
    <s v="VITACURA"/>
    <x v="6053"/>
    <x v="0"/>
    <x v="0"/>
    <x v="27"/>
    <x v="1"/>
    <n v="4"/>
    <n v="122488"/>
    <n v="0"/>
    <n v="122488"/>
    <n v="11.00001257267456"/>
    <n v="5000"/>
    <n v="100"/>
    <x v="7547"/>
    <x v="1"/>
    <x v="4"/>
    <x v="1"/>
  </r>
  <r>
    <x v="713"/>
    <s v="ZTAN"/>
    <x v="150"/>
    <s v="SV2718"/>
    <n v="107643206"/>
    <s v="SANTIAGO"/>
    <x v="1684"/>
    <x v="1"/>
    <x v="1"/>
    <x v="20"/>
    <x v="1"/>
    <n v="1"/>
    <n v="69173"/>
    <n v="0"/>
    <n v="69173"/>
    <n v="14.396645021645021"/>
    <n v="5000"/>
    <n v="96"/>
    <x v="7548"/>
    <x v="1"/>
    <x v="4"/>
    <x v="1"/>
  </r>
  <r>
    <x v="713"/>
    <s v="ZTAN"/>
    <x v="7"/>
    <s v="DJLF85"/>
    <n v="125108660"/>
    <s v="SAN MIGUEL"/>
    <x v="6054"/>
    <x v="4"/>
    <x v="1"/>
    <x v="23"/>
    <x v="1"/>
    <n v="2"/>
    <n v="111232"/>
    <n v="0"/>
    <n v="111232"/>
    <n v="11"/>
    <n v="5000"/>
    <n v="100"/>
    <x v="7549"/>
    <x v="1"/>
    <x v="4"/>
    <x v="1"/>
  </r>
  <r>
    <x v="713"/>
    <s v="ZTAN"/>
    <x v="7"/>
    <s v="WG4022"/>
    <n v="154837728"/>
    <s v="RENCA"/>
    <x v="6055"/>
    <x v="1"/>
    <x v="0"/>
    <x v="7"/>
    <x v="1"/>
    <n v="1"/>
    <n v="136300"/>
    <n v="0"/>
    <n v="136300"/>
    <n v="11.00000807043879"/>
    <n v="5000"/>
    <n v="100"/>
    <x v="7550"/>
    <x v="1"/>
    <x v="4"/>
    <x v="1"/>
  </r>
  <r>
    <x v="713"/>
    <s v="ZTAN"/>
    <x v="7"/>
    <s v="XR6339"/>
    <n v="78907355"/>
    <s v="RENCA"/>
    <x v="6056"/>
    <x v="1"/>
    <x v="1"/>
    <x v="7"/>
    <x v="1"/>
    <n v="1"/>
    <n v="94689"/>
    <n v="0"/>
    <n v="94689"/>
    <n v="10.999975604400966"/>
    <n v="5000"/>
    <n v="100"/>
    <x v="7551"/>
    <x v="1"/>
    <x v="4"/>
    <x v="1"/>
  </r>
  <r>
    <x v="713"/>
    <s v="ZTAN"/>
    <x v="8"/>
    <s v="GYXS96"/>
    <n v="165132386"/>
    <s v="OSORNO"/>
    <x v="6057"/>
    <x v="0"/>
    <x v="0"/>
    <x v="64"/>
    <x v="10"/>
    <n v="0"/>
    <n v="1131000"/>
    <n v="0"/>
    <n v="1131000"/>
    <n v="220.84279546754817"/>
    <n v="14000"/>
    <n v="37"/>
    <x v="7552"/>
    <x v="1"/>
    <x v="4"/>
    <x v="0"/>
  </r>
  <r>
    <x v="713"/>
    <s v="ZTAN"/>
    <x v="8"/>
    <s v="HYZP62"/>
    <n v="99199296"/>
    <s v="CONCEPCION"/>
    <x v="6058"/>
    <x v="0"/>
    <x v="0"/>
    <x v="81"/>
    <x v="0"/>
    <n v="0"/>
    <n v="478000"/>
    <n v="0"/>
    <n v="478000"/>
    <n v="104.1367110228055"/>
    <n v="14000"/>
    <n v="33"/>
    <x v="7553"/>
    <x v="1"/>
    <x v="4"/>
    <x v="0"/>
  </r>
  <r>
    <x v="713"/>
    <s v="ZTAN"/>
    <x v="8"/>
    <s v="PYCL28"/>
    <n v="160374632"/>
    <s v="CORONEL"/>
    <x v="6059"/>
    <x v="0"/>
    <x v="0"/>
    <x v="16"/>
    <x v="0"/>
    <n v="0"/>
    <n v="528000"/>
    <n v="0"/>
    <n v="528000"/>
    <n v="51.016661577883504"/>
    <n v="14000"/>
    <n v="74"/>
    <x v="7554"/>
    <x v="1"/>
    <x v="4"/>
    <x v="0"/>
  </r>
  <r>
    <x v="713"/>
    <s v="ZTAN"/>
    <x v="8"/>
    <s v="SV2718"/>
    <n v="107643206"/>
    <s v="LAS CONDES"/>
    <x v="5668"/>
    <x v="1"/>
    <x v="1"/>
    <x v="3"/>
    <x v="1"/>
    <n v="4"/>
    <n v="69173"/>
    <n v="0"/>
    <n v="69173"/>
    <n v="27.671413713097046"/>
    <n v="5000"/>
    <n v="50"/>
    <x v="7555"/>
    <x v="1"/>
    <x v="4"/>
    <x v="1"/>
  </r>
  <r>
    <x v="714"/>
    <s v="ZPEP"/>
    <x v="2"/>
    <s v="KXTC79"/>
    <n v="170846392"/>
    <s v="COQUIMBO"/>
    <x v="6060"/>
    <x v="0"/>
    <x v="0"/>
    <x v="42"/>
    <x v="8"/>
    <n v="0"/>
    <n v="850000"/>
    <n v="0"/>
    <n v="850000"/>
    <n v="35.5422641425805"/>
    <n v="14000"/>
    <n v="100"/>
    <x v="7556"/>
    <x v="1"/>
    <x v="4"/>
    <x v="0"/>
  </r>
  <r>
    <x v="714"/>
    <s v="ZPEP"/>
    <x v="103"/>
    <s v="SU9354"/>
    <n v="72564391"/>
    <s v="SANTIAGO"/>
    <x v="6061"/>
    <x v="2"/>
    <x v="1"/>
    <x v="20"/>
    <x v="1"/>
    <n v="1"/>
    <n v="63721"/>
    <n v="0"/>
    <n v="63721"/>
    <n v="11.000034525618005"/>
    <n v="5000"/>
    <n v="100"/>
    <x v="7557"/>
    <x v="1"/>
    <x v="4"/>
    <x v="1"/>
  </r>
  <r>
    <x v="714"/>
    <s v="ZTAN"/>
    <x v="114"/>
    <s v="DJLF85"/>
    <n v="125108660"/>
    <s v="SANTIAGO"/>
    <x v="5416"/>
    <x v="4"/>
    <x v="1"/>
    <x v="20"/>
    <x v="1"/>
    <n v="1"/>
    <n v="155870"/>
    <n v="0"/>
    <n v="155870"/>
    <n v="10.999999999999993"/>
    <n v="5000"/>
    <n v="100"/>
    <x v="7558"/>
    <x v="1"/>
    <x v="4"/>
    <x v="1"/>
  </r>
  <r>
    <x v="714"/>
    <s v="ZTAN"/>
    <x v="114"/>
    <s v="XR6339"/>
    <n v="81417709"/>
    <s v="SANTIAGO"/>
    <x v="6062"/>
    <x v="1"/>
    <x v="1"/>
    <x v="20"/>
    <x v="1"/>
    <n v="1"/>
    <n v="108680"/>
    <n v="0"/>
    <n v="108680"/>
    <n v="11.000000000000002"/>
    <n v="5000"/>
    <n v="100"/>
    <x v="7559"/>
    <x v="1"/>
    <x v="4"/>
    <x v="1"/>
  </r>
  <r>
    <x v="714"/>
    <s v="ZTAN"/>
    <x v="137"/>
    <s v="WD7700"/>
    <n v="73835526"/>
    <s v="VITACURA"/>
    <x v="6063"/>
    <x v="0"/>
    <x v="0"/>
    <x v="27"/>
    <x v="1"/>
    <n v="4"/>
    <n v="67100"/>
    <n v="0"/>
    <n v="67100"/>
    <n v="7.276078941661245"/>
    <n v="5000"/>
    <n v="100"/>
    <x v="7560"/>
    <x v="1"/>
    <x v="4"/>
    <x v="1"/>
  </r>
  <r>
    <x v="714"/>
    <s v="ZTAN"/>
    <x v="7"/>
    <s v="DFRV76"/>
    <n v="113693568"/>
    <s v="CHILLAN"/>
    <x v="6064"/>
    <x v="5"/>
    <x v="0"/>
    <x v="21"/>
    <x v="5"/>
    <n v="0"/>
    <n v="500000"/>
    <n v="0"/>
    <n v="500000"/>
    <n v="30.785333866945788"/>
    <n v="14000"/>
    <n v="87"/>
    <x v="7561"/>
    <x v="1"/>
    <x v="4"/>
    <x v="0"/>
  </r>
  <r>
    <x v="714"/>
    <s v="ZTAN"/>
    <x v="7"/>
    <s v="RX2274"/>
    <n v="100822328"/>
    <s v="CHILLAN"/>
    <x v="6065"/>
    <x v="0"/>
    <x v="0"/>
    <x v="21"/>
    <x v="5"/>
    <n v="0"/>
    <n v="500000"/>
    <n v="0"/>
    <n v="500000"/>
    <n v="31.962769765776823"/>
    <n v="14000"/>
    <n v="100"/>
    <x v="7562"/>
    <x v="1"/>
    <x v="4"/>
    <x v="0"/>
  </r>
  <r>
    <x v="714"/>
    <s v="ZTAN"/>
    <x v="7"/>
    <s v="SLXY60"/>
    <n v="151809588"/>
    <s v="CORONEL"/>
    <x v="419"/>
    <x v="0"/>
    <x v="0"/>
    <x v="16"/>
    <x v="0"/>
    <n v="0"/>
    <n v="528000"/>
    <n v="0"/>
    <n v="528000"/>
    <n v="64.046579330422091"/>
    <n v="14000"/>
    <n v="59"/>
    <x v="7563"/>
    <x v="1"/>
    <x v="4"/>
    <x v="0"/>
  </r>
  <r>
    <x v="714"/>
    <s v="ZTAN"/>
    <x v="7"/>
    <s v="ZY1079"/>
    <n v="171875617"/>
    <s v="CORONEL"/>
    <x v="6066"/>
    <x v="0"/>
    <x v="0"/>
    <x v="16"/>
    <x v="0"/>
    <n v="0"/>
    <n v="528000"/>
    <n v="0"/>
    <n v="528000"/>
    <n v="35.686405709824889"/>
    <n v="14000"/>
    <n v="100"/>
    <x v="7564"/>
    <x v="1"/>
    <x v="4"/>
    <x v="0"/>
  </r>
  <r>
    <x v="714"/>
    <s v="ZTAN"/>
    <x v="8"/>
    <s v="HLBX77"/>
    <n v="154837728"/>
    <s v="PUDAHUEL"/>
    <x v="6067"/>
    <x v="1"/>
    <x v="1"/>
    <x v="10"/>
    <x v="1"/>
    <n v="1"/>
    <n v="69173"/>
    <n v="0"/>
    <n v="69173"/>
    <n v="23.970794117239372"/>
    <n v="5000"/>
    <n v="58"/>
    <x v="7565"/>
    <x v="1"/>
    <x v="4"/>
    <x v="1"/>
  </r>
  <r>
    <x v="714"/>
    <s v="ZTAN"/>
    <x v="8"/>
    <s v="PYCP22"/>
    <n v="114163848"/>
    <s v="TEMUCO"/>
    <x v="6068"/>
    <x v="0"/>
    <x v="0"/>
    <x v="14"/>
    <x v="4"/>
    <n v="0"/>
    <n v="900000"/>
    <n v="0"/>
    <n v="900000"/>
    <n v="102.03133042052779"/>
    <n v="14000"/>
    <n v="63"/>
    <x v="7566"/>
    <x v="1"/>
    <x v="4"/>
    <x v="0"/>
  </r>
  <r>
    <x v="714"/>
    <s v="ZTAN"/>
    <x v="8"/>
    <s v="SV2718"/>
    <n v="107643206"/>
    <s v="PUENTE ALTO"/>
    <x v="6069"/>
    <x v="1"/>
    <x v="1"/>
    <x v="30"/>
    <x v="1"/>
    <n v="4"/>
    <n v="69173"/>
    <n v="0"/>
    <n v="69173"/>
    <n v="24.632767959204749"/>
    <n v="5000"/>
    <n v="56"/>
    <x v="7567"/>
    <x v="1"/>
    <x v="4"/>
    <x v="1"/>
  </r>
  <r>
    <x v="714"/>
    <s v="ZTAN"/>
    <x v="8"/>
    <s v="UA7248"/>
    <n v="99626232"/>
    <s v="CERRILLOS"/>
    <x v="6070"/>
    <x v="1"/>
    <x v="1"/>
    <x v="9"/>
    <x v="1"/>
    <n v="2"/>
    <n v="69173"/>
    <n v="0"/>
    <n v="69173"/>
    <n v="21.620210910591162"/>
    <n v="5000"/>
    <n v="64"/>
    <x v="7568"/>
    <x v="1"/>
    <x v="4"/>
    <x v="1"/>
  </r>
  <r>
    <x v="715"/>
    <s v="ZTAN"/>
    <x v="70"/>
    <s v="DJLF85"/>
    <n v="125108660"/>
    <s v="MAIPU"/>
    <x v="414"/>
    <x v="4"/>
    <x v="1"/>
    <x v="2"/>
    <x v="1"/>
    <n v="2"/>
    <n v="107307"/>
    <n v="0"/>
    <n v="107307"/>
    <n v="10.999979498113829"/>
    <n v="5000"/>
    <n v="100"/>
    <x v="7569"/>
    <x v="1"/>
    <x v="4"/>
    <x v="1"/>
  </r>
  <r>
    <x v="715"/>
    <s v="ZTAN"/>
    <x v="7"/>
    <s v="HLBX77"/>
    <n v="81417709"/>
    <s v="RENCA"/>
    <x v="6071"/>
    <x v="1"/>
    <x v="1"/>
    <x v="7"/>
    <x v="1"/>
    <n v="1"/>
    <n v="95180"/>
    <n v="0"/>
    <n v="95180"/>
    <n v="11.000009245647613"/>
    <n v="5000"/>
    <n v="100"/>
    <x v="7570"/>
    <x v="1"/>
    <x v="4"/>
    <x v="1"/>
  </r>
  <r>
    <x v="715"/>
    <s v="ZTAN"/>
    <x v="7"/>
    <s v="WG4022"/>
    <n v="154837728"/>
    <s v="RENCA"/>
    <x v="6072"/>
    <x v="1"/>
    <x v="0"/>
    <x v="7"/>
    <x v="1"/>
    <n v="1"/>
    <n v="152051"/>
    <n v="0"/>
    <n v="152051"/>
    <n v="10.999998553117237"/>
    <n v="5000"/>
    <n v="100"/>
    <x v="7571"/>
    <x v="1"/>
    <x v="4"/>
    <x v="1"/>
  </r>
  <r>
    <x v="715"/>
    <s v="ZTAN"/>
    <x v="8"/>
    <s v="RWTG52"/>
    <n v="276547847"/>
    <s v="LA REINA"/>
    <x v="1296"/>
    <x v="0"/>
    <x v="0"/>
    <x v="11"/>
    <x v="1"/>
    <n v="3"/>
    <n v="69173"/>
    <n v="0"/>
    <n v="69173"/>
    <n v="26.722166422004172"/>
    <n v="5000"/>
    <n v="52"/>
    <x v="7572"/>
    <x v="1"/>
    <x v="4"/>
    <x v="1"/>
  </r>
  <r>
    <x v="715"/>
    <s v="ZTAN"/>
    <x v="8"/>
    <s v="SV2718"/>
    <n v="107643206"/>
    <s v="CERRILLOS"/>
    <x v="6073"/>
    <x v="1"/>
    <x v="1"/>
    <x v="9"/>
    <x v="1"/>
    <n v="2"/>
    <n v="69173"/>
    <n v="0"/>
    <n v="69173"/>
    <n v="27.009519495833757"/>
    <n v="5000"/>
    <n v="51"/>
    <x v="7573"/>
    <x v="1"/>
    <x v="4"/>
    <x v="1"/>
  </r>
  <r>
    <x v="715"/>
    <s v="ZTAN"/>
    <x v="8"/>
    <s v="XR6339"/>
    <n v="78907355"/>
    <s v="QUILICURA"/>
    <x v="6074"/>
    <x v="1"/>
    <x v="1"/>
    <x v="8"/>
    <x v="1"/>
    <n v="1"/>
    <n v="69173"/>
    <n v="0"/>
    <n v="69173"/>
    <n v="26.449557982319291"/>
    <n v="5000"/>
    <n v="52"/>
    <x v="7574"/>
    <x v="1"/>
    <x v="4"/>
    <x v="1"/>
  </r>
  <r>
    <x v="716"/>
    <s v="ZPEP"/>
    <x v="148"/>
    <s v="DJLF85"/>
    <n v="125108660"/>
    <s v="VITACURA"/>
    <x v="6075"/>
    <x v="4"/>
    <x v="1"/>
    <x v="27"/>
    <x v="1"/>
    <n v="4"/>
    <n v="73943"/>
    <n v="0"/>
    <n v="73943"/>
    <n v="10.99993603218028"/>
    <n v="5000"/>
    <n v="100"/>
    <x v="7575"/>
    <x v="1"/>
    <x v="4"/>
    <x v="1"/>
  </r>
  <r>
    <x v="716"/>
    <s v="ZPEP"/>
    <x v="103"/>
    <s v="WD7700"/>
    <n v="73835526"/>
    <s v="SANTIAGO"/>
    <x v="6076"/>
    <x v="0"/>
    <x v="0"/>
    <x v="20"/>
    <x v="1"/>
    <n v="1"/>
    <n v="111606"/>
    <n v="0"/>
    <n v="111606"/>
    <n v="7.9254367277375373"/>
    <n v="5000"/>
    <n v="100"/>
    <x v="7576"/>
    <x v="1"/>
    <x v="4"/>
    <x v="1"/>
  </r>
  <r>
    <x v="716"/>
    <s v="ZTAN"/>
    <x v="10"/>
    <s v="SV2718"/>
    <n v="107643206"/>
    <s v="COLINA"/>
    <x v="5739"/>
    <x v="1"/>
    <x v="1"/>
    <x v="5"/>
    <x v="1"/>
    <n v="5"/>
    <n v="112500"/>
    <n v="0"/>
    <n v="112500"/>
    <n v="20.588558251894142"/>
    <n v="10000"/>
    <n v="55"/>
    <x v="7577"/>
    <x v="1"/>
    <x v="4"/>
    <x v="1"/>
  </r>
  <r>
    <x v="716"/>
    <s v="ZTAN"/>
    <x v="7"/>
    <s v="WG4022"/>
    <n v="154837728"/>
    <s v="RENCA"/>
    <x v="6077"/>
    <x v="1"/>
    <x v="0"/>
    <x v="7"/>
    <x v="1"/>
    <n v="1"/>
    <n v="200275"/>
    <n v="0"/>
    <n v="200275"/>
    <n v="11.000010984906739"/>
    <n v="5000"/>
    <n v="100"/>
    <x v="7578"/>
    <x v="1"/>
    <x v="4"/>
    <x v="1"/>
  </r>
  <r>
    <x v="716"/>
    <s v="ZTAN"/>
    <x v="7"/>
    <s v="XR6339"/>
    <n v="78907355"/>
    <s v="RENCA"/>
    <x v="6078"/>
    <x v="1"/>
    <x v="1"/>
    <x v="7"/>
    <x v="1"/>
    <n v="1"/>
    <n v="99762"/>
    <n v="0"/>
    <n v="99762"/>
    <n v="10.999954792591719"/>
    <n v="5000"/>
    <n v="100"/>
    <x v="7579"/>
    <x v="1"/>
    <x v="4"/>
    <x v="1"/>
  </r>
  <r>
    <x v="716"/>
    <s v="ZTAN"/>
    <x v="8"/>
    <s v="RWTG52"/>
    <n v="276547747"/>
    <s v="QUILIN"/>
    <x v="6079"/>
    <x v="0"/>
    <x v="0"/>
    <x v="34"/>
    <x v="1"/>
    <n v="4"/>
    <n v="69173"/>
    <n v="0"/>
    <n v="69173"/>
    <n v="23.570562097917339"/>
    <n v="5000"/>
    <n v="59"/>
    <x v="7580"/>
    <x v="1"/>
    <x v="4"/>
    <x v="1"/>
  </r>
  <r>
    <x v="716"/>
    <s v="ZTAN"/>
    <x v="8"/>
    <s v="SCWL85"/>
    <n v="256738929"/>
    <s v="LA FLORIDA"/>
    <x v="6080"/>
    <x v="0"/>
    <x v="0"/>
    <x v="33"/>
    <x v="1"/>
    <n v="3"/>
    <n v="69173"/>
    <n v="0"/>
    <n v="69173"/>
    <n v="25.316766094499137"/>
    <n v="5000"/>
    <n v="55"/>
    <x v="7581"/>
    <x v="1"/>
    <x v="4"/>
    <x v="1"/>
  </r>
  <r>
    <x v="716"/>
    <s v="ZTAN"/>
    <x v="8"/>
    <s v="SV2718"/>
    <n v="107643206"/>
    <s v="PUDAHUEL"/>
    <x v="6081"/>
    <x v="1"/>
    <x v="1"/>
    <x v="10"/>
    <x v="1"/>
    <n v="1"/>
    <n v="69173"/>
    <n v="0"/>
    <n v="69173"/>
    <n v="17.234909830224691"/>
    <n v="5000"/>
    <n v="80"/>
    <x v="7582"/>
    <x v="1"/>
    <x v="4"/>
    <x v="1"/>
  </r>
  <r>
    <x v="716"/>
    <s v="ZTAN"/>
    <x v="8"/>
    <s v="YU4848"/>
    <n v="156759201"/>
    <s v="TALCA"/>
    <x v="6082"/>
    <x v="0"/>
    <x v="0"/>
    <x v="12"/>
    <x v="3"/>
    <n v="0"/>
    <n v="402000"/>
    <n v="0"/>
    <n v="402000"/>
    <n v="87.317464144451748"/>
    <n v="14000"/>
    <n v="33"/>
    <x v="7583"/>
    <x v="1"/>
    <x v="4"/>
    <x v="0"/>
  </r>
  <r>
    <x v="717"/>
    <s v="ZPEP"/>
    <x v="5"/>
    <s v="DJLF85"/>
    <n v="125108660"/>
    <s v="BUIN"/>
    <x v="6083"/>
    <x v="4"/>
    <x v="1"/>
    <x v="56"/>
    <x v="1"/>
    <n v="5"/>
    <n v="112500"/>
    <n v="0"/>
    <n v="112500"/>
    <n v="10.327448982402027"/>
    <n v="10000"/>
    <n v="100"/>
    <x v="7584"/>
    <x v="1"/>
    <x v="4"/>
    <x v="1"/>
  </r>
  <r>
    <x v="717"/>
    <s v="ZPEP"/>
    <x v="103"/>
    <s v="XR6339"/>
    <n v="78907355"/>
    <s v="SANTIAGO"/>
    <x v="5861"/>
    <x v="1"/>
    <x v="1"/>
    <x v="20"/>
    <x v="1"/>
    <n v="1"/>
    <n v="108669"/>
    <n v="0"/>
    <n v="108669"/>
    <n v="11"/>
    <n v="5000"/>
    <n v="100"/>
    <x v="7585"/>
    <x v="1"/>
    <x v="4"/>
    <x v="1"/>
  </r>
  <r>
    <x v="717"/>
    <s v="ZPEP"/>
    <x v="7"/>
    <s v="WG4022"/>
    <n v="154837728"/>
    <s v="REQUINOA"/>
    <x v="6084"/>
    <x v="1"/>
    <x v="0"/>
    <x v="113"/>
    <x v="6"/>
    <n v="0"/>
    <n v="250000"/>
    <n v="0"/>
    <n v="250000"/>
    <n v="16.086480921433626"/>
    <n v="14000"/>
    <n v="100"/>
    <x v="7586"/>
    <x v="1"/>
    <x v="4"/>
    <x v="0"/>
  </r>
  <r>
    <x v="717"/>
    <s v="ZPEP"/>
    <x v="98"/>
    <s v="KKPF51"/>
    <n v="95707734"/>
    <s v="RANCAGUA"/>
    <x v="6085"/>
    <x v="8"/>
    <x v="0"/>
    <x v="28"/>
    <x v="6"/>
    <n v="0"/>
    <n v="289000"/>
    <n v="0"/>
    <n v="289000"/>
    <n v="21.269705756804097"/>
    <n v="14000"/>
    <n v="97"/>
    <x v="7587"/>
    <x v="1"/>
    <x v="4"/>
    <x v="0"/>
  </r>
  <r>
    <x v="717"/>
    <s v="ZTAN"/>
    <x v="11"/>
    <s v="WD7700"/>
    <n v="73835526"/>
    <s v="COLINA"/>
    <x v="2395"/>
    <x v="0"/>
    <x v="0"/>
    <x v="5"/>
    <x v="1"/>
    <n v="5"/>
    <n v="180000"/>
    <n v="0"/>
    <n v="180000"/>
    <n v="86.405529953917053"/>
    <n v="10000"/>
    <n v="21"/>
    <x v="7588"/>
    <x v="1"/>
    <x v="4"/>
    <x v="1"/>
  </r>
  <r>
    <x v="717"/>
    <s v="ZTAN"/>
    <x v="10"/>
    <s v="WG4022"/>
    <n v="154837728"/>
    <s v="QUILICURA"/>
    <x v="6086"/>
    <x v="1"/>
    <x v="0"/>
    <x v="8"/>
    <x v="1"/>
    <n v="1"/>
    <n v="163013"/>
    <n v="0"/>
    <n v="163013"/>
    <n v="11.000017544640983"/>
    <n v="5000"/>
    <n v="100"/>
    <x v="7589"/>
    <x v="1"/>
    <x v="4"/>
    <x v="1"/>
  </r>
  <r>
    <x v="717"/>
    <s v="ZTAN"/>
    <x v="66"/>
    <s v="HLBX77"/>
    <n v="154837728"/>
    <s v="SANTIAGO"/>
    <x v="5444"/>
    <x v="1"/>
    <x v="1"/>
    <x v="20"/>
    <x v="1"/>
    <n v="1"/>
    <n v="69173"/>
    <n v="0"/>
    <n v="69173"/>
    <n v="23.243615591397848"/>
    <n v="5000"/>
    <n v="60"/>
    <x v="7590"/>
    <x v="1"/>
    <x v="4"/>
    <x v="1"/>
  </r>
  <r>
    <x v="717"/>
    <s v="ZTAN"/>
    <x v="146"/>
    <s v="XR6339"/>
    <n v="78907355"/>
    <s v="LAS CONDES"/>
    <x v="1067"/>
    <x v="1"/>
    <x v="1"/>
    <x v="3"/>
    <x v="1"/>
    <n v="4"/>
    <n v="93522"/>
    <n v="0"/>
    <n v="93522"/>
    <n v="11"/>
    <n v="5000"/>
    <n v="100"/>
    <x v="7591"/>
    <x v="1"/>
    <x v="4"/>
    <x v="1"/>
  </r>
  <r>
    <x v="717"/>
    <s v="ZTAN"/>
    <x v="70"/>
    <s v="RH1133"/>
    <n v="65941082"/>
    <s v="VALPARAISO"/>
    <x v="6087"/>
    <x v="0"/>
    <x v="0"/>
    <x v="36"/>
    <x v="2"/>
    <n v="0"/>
    <n v="289000"/>
    <n v="0"/>
    <n v="289000"/>
    <n v="44.702657719947908"/>
    <n v="14000"/>
    <n v="46"/>
    <x v="7592"/>
    <x v="1"/>
    <x v="4"/>
    <x v="0"/>
  </r>
  <r>
    <x v="717"/>
    <s v="ZTAN"/>
    <x v="7"/>
    <s v="HLBX77"/>
    <n v="78907355"/>
    <s v="RENCA"/>
    <x v="6088"/>
    <x v="1"/>
    <x v="1"/>
    <x v="7"/>
    <x v="1"/>
    <n v="1"/>
    <n v="135483"/>
    <n v="0"/>
    <n v="135483"/>
    <n v="11.000032476495136"/>
    <n v="5000"/>
    <n v="100"/>
    <x v="7593"/>
    <x v="1"/>
    <x v="4"/>
    <x v="1"/>
  </r>
  <r>
    <x v="717"/>
    <s v="ZTAN"/>
    <x v="8"/>
    <s v="RWTG52"/>
    <n v="276547747"/>
    <s v="MAIPU"/>
    <x v="6089"/>
    <x v="0"/>
    <x v="0"/>
    <x v="2"/>
    <x v="1"/>
    <n v="2"/>
    <n v="69173"/>
    <n v="0"/>
    <n v="69173"/>
    <n v="26.514239717888763"/>
    <n v="5000"/>
    <n v="52"/>
    <x v="7594"/>
    <x v="1"/>
    <x v="4"/>
    <x v="1"/>
  </r>
  <r>
    <x v="717"/>
    <s v="ZTAN"/>
    <x v="8"/>
    <s v="SV2718"/>
    <n v="107643206"/>
    <s v="PUDAHUEL"/>
    <x v="6090"/>
    <x v="1"/>
    <x v="1"/>
    <x v="10"/>
    <x v="1"/>
    <n v="1"/>
    <n v="69740"/>
    <n v="0"/>
    <n v="69740"/>
    <n v="11"/>
    <n v="5000"/>
    <n v="100"/>
    <x v="7595"/>
    <x v="1"/>
    <x v="4"/>
    <x v="1"/>
  </r>
  <r>
    <x v="718"/>
    <s v="ZPEP"/>
    <x v="137"/>
    <s v="HLBX77"/>
    <n v="154837728"/>
    <s v="LAS CONDES"/>
    <x v="6091"/>
    <x v="1"/>
    <x v="1"/>
    <x v="3"/>
    <x v="1"/>
    <n v="4"/>
    <n v="82484"/>
    <n v="0"/>
    <n v="82484"/>
    <n v="11.000022671110205"/>
    <n v="5000"/>
    <n v="100"/>
    <x v="7596"/>
    <x v="1"/>
    <x v="4"/>
    <x v="1"/>
  </r>
  <r>
    <x v="718"/>
    <s v="ZTAN"/>
    <x v="4"/>
    <s v="HLBX77"/>
    <n v="78907355"/>
    <s v="BUIN"/>
    <x v="6092"/>
    <x v="1"/>
    <x v="1"/>
    <x v="56"/>
    <x v="1"/>
    <n v="5"/>
    <n v="112500"/>
    <n v="0"/>
    <n v="112500"/>
    <n v="30.349627711233417"/>
    <n v="10000"/>
    <n v="37"/>
    <x v="7597"/>
    <x v="1"/>
    <x v="4"/>
    <x v="1"/>
  </r>
  <r>
    <x v="718"/>
    <s v="ZTAN"/>
    <x v="34"/>
    <s v="WD7700"/>
    <n v="73835526"/>
    <s v="LAS CONDES"/>
    <x v="2337"/>
    <x v="0"/>
    <x v="0"/>
    <x v="3"/>
    <x v="1"/>
    <n v="4"/>
    <n v="69173"/>
    <n v="0"/>
    <n v="69173"/>
    <n v="21.594967532467535"/>
    <n v="5000"/>
    <n v="64"/>
    <x v="7598"/>
    <x v="1"/>
    <x v="4"/>
    <x v="1"/>
  </r>
  <r>
    <x v="718"/>
    <s v="ZTAN"/>
    <x v="7"/>
    <s v="DJLF85"/>
    <n v="125108660"/>
    <s v="RENCA"/>
    <x v="6093"/>
    <x v="4"/>
    <x v="1"/>
    <x v="7"/>
    <x v="1"/>
    <n v="1"/>
    <n v="108530"/>
    <n v="0"/>
    <n v="108530"/>
    <n v="10.99995945836374"/>
    <n v="5000"/>
    <n v="100"/>
    <x v="7599"/>
    <x v="1"/>
    <x v="4"/>
    <x v="1"/>
  </r>
  <r>
    <x v="718"/>
    <s v="ZTAN"/>
    <x v="7"/>
    <s v="RKLH77"/>
    <n v="94590507"/>
    <s v="CORONEL"/>
    <x v="6094"/>
    <x v="0"/>
    <x v="0"/>
    <x v="16"/>
    <x v="0"/>
    <n v="0"/>
    <n v="528000"/>
    <n v="0"/>
    <n v="528000"/>
    <n v="23.109891033362267"/>
    <n v="14000"/>
    <n v="100"/>
    <x v="7600"/>
    <x v="1"/>
    <x v="4"/>
    <x v="0"/>
  </r>
  <r>
    <x v="718"/>
    <s v="ZTAN"/>
    <x v="7"/>
    <s v="WG4022"/>
    <n v="154837728"/>
    <s v="RENCA"/>
    <x v="6095"/>
    <x v="1"/>
    <x v="0"/>
    <x v="7"/>
    <x v="1"/>
    <n v="1"/>
    <n v="240749"/>
    <n v="0"/>
    <n v="240749"/>
    <n v="11.000011422696899"/>
    <n v="5000"/>
    <n v="100"/>
    <x v="7601"/>
    <x v="1"/>
    <x v="4"/>
    <x v="1"/>
  </r>
  <r>
    <x v="718"/>
    <s v="ZTAN"/>
    <x v="8"/>
    <s v="RWTG52"/>
    <n v="276547747"/>
    <s v="ÑUÑOA"/>
    <x v="6096"/>
    <x v="0"/>
    <x v="0"/>
    <x v="15"/>
    <x v="1"/>
    <n v="4"/>
    <n v="69173"/>
    <n v="0"/>
    <n v="69173"/>
    <n v="18.522197825737695"/>
    <n v="5000"/>
    <n v="75"/>
    <x v="7602"/>
    <x v="1"/>
    <x v="4"/>
    <x v="1"/>
  </r>
  <r>
    <x v="718"/>
    <s v="ZTAN"/>
    <x v="8"/>
    <s v="SV2718"/>
    <n v="107643206"/>
    <s v="LAS CONDES"/>
    <x v="6097"/>
    <x v="1"/>
    <x v="1"/>
    <x v="3"/>
    <x v="1"/>
    <n v="4"/>
    <n v="69173"/>
    <n v="0"/>
    <n v="69173"/>
    <n v="23.809900799250993"/>
    <n v="5000"/>
    <n v="58"/>
    <x v="7603"/>
    <x v="1"/>
    <x v="4"/>
    <x v="1"/>
  </r>
  <r>
    <x v="718"/>
    <s v="ZTAN"/>
    <x v="8"/>
    <s v="WD7700"/>
    <n v="73835526"/>
    <s v="REÑACA"/>
    <x v="6098"/>
    <x v="0"/>
    <x v="0"/>
    <x v="6"/>
    <x v="2"/>
    <n v="0"/>
    <n v="300000"/>
    <n v="0"/>
    <n v="300000"/>
    <n v="67.363050917484756"/>
    <n v="14000"/>
    <n v="32"/>
    <x v="7604"/>
    <x v="1"/>
    <x v="4"/>
    <x v="0"/>
  </r>
  <r>
    <x v="719"/>
    <s v="ZPEP"/>
    <x v="95"/>
    <s v="DJLF85"/>
    <s v="125108660"/>
    <s v="SANTIAGO"/>
    <x v="2130"/>
    <x v="4"/>
    <x v="1"/>
    <x v="20"/>
    <x v="1"/>
    <n v="1"/>
    <n v="69173"/>
    <n v="0"/>
    <n v="69173"/>
    <n v="21.670739348370926"/>
    <n v="5000"/>
    <n v="64"/>
    <x v="7605"/>
    <x v="1"/>
    <x v="4"/>
    <x v="1"/>
  </r>
  <r>
    <x v="719"/>
    <s v="ZPEP"/>
    <x v="91"/>
    <s v="WD7700"/>
    <s v="73835526"/>
    <s v="REQUINOA"/>
    <x v="6099"/>
    <x v="0"/>
    <x v="0"/>
    <x v="113"/>
    <x v="6"/>
    <n v="0"/>
    <n v="350000"/>
    <n v="0"/>
    <n v="350000"/>
    <n v="35.860361800313107"/>
    <n v="14000"/>
    <n v="70"/>
    <x v="7606"/>
    <x v="1"/>
    <x v="4"/>
    <x v="0"/>
  </r>
  <r>
    <x v="719"/>
    <s v="ZPEP"/>
    <x v="137"/>
    <s v="DJLF85"/>
    <s v="125108660"/>
    <s v="LAS CONDES"/>
    <x v="6100"/>
    <x v="4"/>
    <x v="1"/>
    <x v="3"/>
    <x v="1"/>
    <n v="4"/>
    <n v="129413"/>
    <n v="0"/>
    <n v="129413"/>
    <n v="11.000016999864002"/>
    <n v="5000"/>
    <n v="100"/>
    <x v="7607"/>
    <x v="1"/>
    <x v="4"/>
    <x v="1"/>
  </r>
  <r>
    <x v="719"/>
    <s v="ZPEP"/>
    <x v="137"/>
    <s v="XR6339"/>
    <s v="78907355"/>
    <s v="LAS CONDES"/>
    <x v="6101"/>
    <x v="1"/>
    <x v="1"/>
    <x v="3"/>
    <x v="1"/>
    <n v="4"/>
    <n v="109978"/>
    <n v="0"/>
    <n v="109978"/>
    <n v="10.999955991374309"/>
    <n v="5000"/>
    <n v="100"/>
    <x v="7608"/>
    <x v="1"/>
    <x v="4"/>
    <x v="1"/>
  </r>
  <r>
    <x v="719"/>
    <s v="ZTAN"/>
    <x v="132"/>
    <s v="SV2718"/>
    <s v="1076463206"/>
    <s v="RENCA"/>
    <x v="613"/>
    <x v="1"/>
    <x v="1"/>
    <x v="7"/>
    <x v="1"/>
    <n v="1"/>
    <n v="69173"/>
    <n v="0"/>
    <n v="69173"/>
    <n v="40.680428134556571"/>
    <n v="5000"/>
    <n v="34"/>
    <x v="7609"/>
    <x v="1"/>
    <x v="4"/>
    <x v="1"/>
  </r>
  <r>
    <x v="719"/>
    <s v="ZTAN"/>
    <x v="10"/>
    <s v="HLBX77"/>
    <s v="78907355"/>
    <s v="SANTIAGO"/>
    <x v="6102"/>
    <x v="1"/>
    <x v="1"/>
    <x v="20"/>
    <x v="1"/>
    <n v="1"/>
    <n v="81073"/>
    <n v="0"/>
    <n v="81073"/>
    <n v="11.0000488450851"/>
    <n v="5000"/>
    <n v="100"/>
    <x v="7610"/>
    <x v="1"/>
    <x v="4"/>
    <x v="1"/>
  </r>
  <r>
    <x v="719"/>
    <s v="ZTAN"/>
    <x v="10"/>
    <s v="KKPF51"/>
    <s v="95707734"/>
    <s v="RENCA"/>
    <x v="6103"/>
    <x v="8"/>
    <x v="0"/>
    <x v="7"/>
    <x v="1"/>
    <n v="1"/>
    <n v="75904"/>
    <n v="0"/>
    <n v="75904"/>
    <n v="10.999942032345947"/>
    <n v="5000"/>
    <n v="100"/>
    <x v="7611"/>
    <x v="1"/>
    <x v="4"/>
    <x v="1"/>
  </r>
  <r>
    <x v="719"/>
    <s v="ZTAN"/>
    <x v="114"/>
    <s v="WD7700"/>
    <s v="73835526"/>
    <s v="SANTIAGO"/>
    <x v="6104"/>
    <x v="0"/>
    <x v="0"/>
    <x v="20"/>
    <x v="1"/>
    <n v="1"/>
    <n v="69173"/>
    <n v="0"/>
    <n v="69173"/>
    <n v="17.292817679558013"/>
    <n v="5000"/>
    <n v="80"/>
    <x v="7612"/>
    <x v="1"/>
    <x v="4"/>
    <x v="1"/>
  </r>
  <r>
    <x v="719"/>
    <s v="ZTAN"/>
    <x v="7"/>
    <s v="PBFY95"/>
    <s v="17510674K"/>
    <s v="SAN CARLOS"/>
    <x v="6105"/>
    <x v="0"/>
    <x v="0"/>
    <x v="32"/>
    <x v="5"/>
    <n v="0"/>
    <n v="440000"/>
    <n v="0"/>
    <n v="440000"/>
    <n v="39.385584875935407"/>
    <n v="14000"/>
    <n v="80"/>
    <x v="7613"/>
    <x v="1"/>
    <x v="4"/>
    <x v="0"/>
  </r>
  <r>
    <x v="719"/>
    <s v="ZTAN"/>
    <x v="7"/>
    <s v="RKYY81"/>
    <s v="70866846"/>
    <s v="CORONEL"/>
    <x v="6106"/>
    <x v="0"/>
    <x v="0"/>
    <x v="16"/>
    <x v="0"/>
    <n v="0"/>
    <n v="528000"/>
    <n v="0"/>
    <n v="528000"/>
    <n v="33.231164286568443"/>
    <n v="14000"/>
    <n v="100"/>
    <x v="7614"/>
    <x v="1"/>
    <x v="4"/>
    <x v="0"/>
  </r>
  <r>
    <x v="719"/>
    <s v="ZTAN"/>
    <x v="7"/>
    <s v="WG4022"/>
    <s v="154837728"/>
    <s v="RENCA"/>
    <x v="6107"/>
    <x v="1"/>
    <x v="0"/>
    <x v="7"/>
    <x v="1"/>
    <n v="1"/>
    <n v="162097"/>
    <n v="0"/>
    <n v="162097"/>
    <n v="11.000015607960602"/>
    <n v="5000"/>
    <n v="100"/>
    <x v="7615"/>
    <x v="1"/>
    <x v="4"/>
    <x v="1"/>
  </r>
  <r>
    <x v="719"/>
    <s v="ZTAN"/>
    <x v="8"/>
    <s v="DHZF61"/>
    <s v="168566727"/>
    <s v="LINARES"/>
    <x v="6108"/>
    <x v="0"/>
    <x v="0"/>
    <x v="59"/>
    <x v="3"/>
    <n v="0"/>
    <n v="420000"/>
    <n v="0"/>
    <n v="420000"/>
    <n v="79.158954951015673"/>
    <n v="14000"/>
    <n v="47"/>
    <x v="7616"/>
    <x v="1"/>
    <x v="4"/>
    <x v="0"/>
  </r>
  <r>
    <x v="719"/>
    <s v="ZTAN"/>
    <x v="8"/>
    <s v="HLBX77"/>
    <s v="154837728"/>
    <s v="PUDAHUEL"/>
    <x v="6109"/>
    <x v="1"/>
    <x v="1"/>
    <x v="10"/>
    <x v="1"/>
    <n v="1"/>
    <n v="69173"/>
    <n v="0"/>
    <n v="69173"/>
    <n v="24.372480762183951"/>
    <n v="5000"/>
    <n v="57"/>
    <x v="7617"/>
    <x v="1"/>
    <x v="4"/>
    <x v="1"/>
  </r>
  <r>
    <x v="719"/>
    <s v="ZTAN"/>
    <x v="8"/>
    <s v="LZPP69"/>
    <s v="180683275"/>
    <s v="VILLARRICA"/>
    <x v="6110"/>
    <x v="0"/>
    <x v="0"/>
    <x v="88"/>
    <x v="4"/>
    <n v="0"/>
    <n v="1000000"/>
    <n v="0"/>
    <n v="1000000"/>
    <n v="126.68619323191683"/>
    <n v="14000"/>
    <n v="56"/>
    <x v="7618"/>
    <x v="1"/>
    <x v="4"/>
    <x v="0"/>
  </r>
  <r>
    <x v="719"/>
    <s v="ZTAN"/>
    <x v="8"/>
    <s v="RWTG52"/>
    <s v="276547747"/>
    <s v="EL BOSQUE"/>
    <x v="6111"/>
    <x v="0"/>
    <x v="0"/>
    <x v="25"/>
    <x v="1"/>
    <n v="3"/>
    <n v="69173"/>
    <n v="0"/>
    <n v="69173"/>
    <n v="25.576055608962509"/>
    <n v="5000"/>
    <n v="54"/>
    <x v="7619"/>
    <x v="1"/>
    <x v="4"/>
    <x v="1"/>
  </r>
  <r>
    <x v="719"/>
    <s v="ZTAN"/>
    <x v="8"/>
    <s v="SCWL85"/>
    <s v="256738929"/>
    <s v="LA REINA"/>
    <x v="6112"/>
    <x v="0"/>
    <x v="0"/>
    <x v="11"/>
    <x v="1"/>
    <n v="3"/>
    <n v="69173"/>
    <n v="0"/>
    <n v="69173"/>
    <n v="25.130058853447643"/>
    <n v="5000"/>
    <n v="55"/>
    <x v="7620"/>
    <x v="1"/>
    <x v="4"/>
    <x v="1"/>
  </r>
  <r>
    <x v="719"/>
    <s v="ZTAN"/>
    <x v="8"/>
    <s v="SV2718"/>
    <s v="107643206"/>
    <s v="QUILIN"/>
    <x v="6113"/>
    <x v="1"/>
    <x v="1"/>
    <x v="34"/>
    <x v="1"/>
    <n v="4"/>
    <n v="69173"/>
    <n v="0"/>
    <n v="69173"/>
    <n v="22.822066863083435"/>
    <n v="5000"/>
    <n v="61"/>
    <x v="7621"/>
    <x v="1"/>
    <x v="4"/>
    <x v="1"/>
  </r>
  <r>
    <x v="719"/>
    <s v="ZTAN"/>
    <x v="8"/>
    <s v="XR6339"/>
    <s v="78907355"/>
    <s v="HUECHURABA"/>
    <x v="6114"/>
    <x v="1"/>
    <x v="1"/>
    <x v="24"/>
    <x v="1"/>
    <n v="1"/>
    <n v="69173"/>
    <n v="0"/>
    <n v="69173"/>
    <n v="27.171633055487902"/>
    <n v="5000"/>
    <n v="51"/>
    <x v="7622"/>
    <x v="1"/>
    <x v="4"/>
    <x v="1"/>
  </r>
  <r>
    <x v="720"/>
    <s v="ZPEP"/>
    <x v="137"/>
    <s v="WD7700"/>
    <n v="73835526"/>
    <s v="LAS CONDES"/>
    <x v="6115"/>
    <x v="0"/>
    <x v="0"/>
    <x v="3"/>
    <x v="1"/>
    <n v="4"/>
    <n v="155803"/>
    <n v="0"/>
    <n v="155803"/>
    <n v="11.000014826435393"/>
    <n v="5000"/>
    <n v="100"/>
    <x v="7623"/>
    <x v="1"/>
    <x v="4"/>
    <x v="1"/>
  </r>
  <r>
    <x v="720"/>
    <s v="ZTAN"/>
    <x v="10"/>
    <s v="SV2718"/>
    <n v="107643206"/>
    <s v="COLINA"/>
    <x v="6116"/>
    <x v="1"/>
    <x v="1"/>
    <x v="5"/>
    <x v="1"/>
    <n v="5"/>
    <n v="112500"/>
    <n v="0"/>
    <n v="112500"/>
    <n v="27.393057503506316"/>
    <n v="10000"/>
    <n v="65"/>
    <x v="7624"/>
    <x v="1"/>
    <x v="4"/>
    <x v="1"/>
  </r>
  <r>
    <x v="720"/>
    <s v="ZTAN"/>
    <x v="137"/>
    <s v="XR6339"/>
    <n v="78907355"/>
    <s v="VITACURA"/>
    <x v="5589"/>
    <x v="1"/>
    <x v="1"/>
    <x v="27"/>
    <x v="1"/>
    <n v="4"/>
    <n v="69173"/>
    <n v="0"/>
    <n v="69173"/>
    <n v="17.684520005113129"/>
    <n v="5000"/>
    <n v="78"/>
    <x v="7625"/>
    <x v="1"/>
    <x v="4"/>
    <x v="1"/>
  </r>
  <r>
    <x v="720"/>
    <s v="ZTAN"/>
    <x v="7"/>
    <s v="DKDL88"/>
    <n v="122975819"/>
    <s v="CHILLAN"/>
    <x v="6117"/>
    <x v="0"/>
    <x v="0"/>
    <x v="21"/>
    <x v="5"/>
    <n v="0"/>
    <n v="500000"/>
    <n v="0"/>
    <n v="500000"/>
    <n v="42.718977478555033"/>
    <n v="14000"/>
    <n v="84"/>
    <x v="7626"/>
    <x v="1"/>
    <x v="4"/>
    <x v="0"/>
  </r>
  <r>
    <x v="720"/>
    <s v="ZTAN"/>
    <x v="7"/>
    <s v="WG4022"/>
    <n v="154837728"/>
    <s v="RENCA"/>
    <x v="6118"/>
    <x v="1"/>
    <x v="0"/>
    <x v="7"/>
    <x v="1"/>
    <n v="1"/>
    <n v="151180"/>
    <n v="0"/>
    <n v="151180"/>
    <n v="11.000029104455901"/>
    <n v="5000"/>
    <n v="100"/>
    <x v="7627"/>
    <x v="1"/>
    <x v="4"/>
    <x v="1"/>
  </r>
  <r>
    <x v="720"/>
    <s v="ZTAN"/>
    <x v="7"/>
    <s v="YG5635"/>
    <n v="93321006"/>
    <s v="CHILLAN"/>
    <x v="6119"/>
    <x v="0"/>
    <x v="0"/>
    <x v="21"/>
    <x v="5"/>
    <n v="0"/>
    <n v="500000"/>
    <n v="0"/>
    <n v="500000"/>
    <n v="41.146167645945461"/>
    <n v="14000"/>
    <n v="87"/>
    <x v="7628"/>
    <x v="1"/>
    <x v="4"/>
    <x v="0"/>
  </r>
  <r>
    <x v="720"/>
    <s v="ZTAN"/>
    <x v="8"/>
    <s v="DJLF85"/>
    <n v="125108660"/>
    <s v="MELIPILLA"/>
    <x v="6120"/>
    <x v="4"/>
    <x v="1"/>
    <x v="29"/>
    <x v="1"/>
    <n v="5"/>
    <n v="112500"/>
    <n v="0"/>
    <n v="112500"/>
    <n v="23.439453287773979"/>
    <n v="10000"/>
    <n v="48"/>
    <x v="7629"/>
    <x v="1"/>
    <x v="4"/>
    <x v="1"/>
  </r>
  <r>
    <x v="720"/>
    <s v="ZTAN"/>
    <x v="8"/>
    <s v="RWTG52"/>
    <n v="276544777"/>
    <s v="SAN MIGUEL"/>
    <x v="6121"/>
    <x v="0"/>
    <x v="0"/>
    <x v="23"/>
    <x v="1"/>
    <n v="2"/>
    <n v="69173"/>
    <n v="0"/>
    <n v="69173"/>
    <n v="27.717761518179852"/>
    <n v="5000"/>
    <n v="50"/>
    <x v="7630"/>
    <x v="1"/>
    <x v="4"/>
    <x v="1"/>
  </r>
  <r>
    <x v="720"/>
    <s v="ZTAN"/>
    <x v="8"/>
    <s v="SCWL85"/>
    <n v="256738929"/>
    <s v="PUENTE ALTO"/>
    <x v="6122"/>
    <x v="0"/>
    <x v="0"/>
    <x v="30"/>
    <x v="1"/>
    <n v="4"/>
    <n v="69173"/>
    <n v="0"/>
    <n v="69173"/>
    <n v="25.88790503065097"/>
    <n v="5000"/>
    <n v="53"/>
    <x v="7631"/>
    <x v="1"/>
    <x v="4"/>
    <x v="1"/>
  </r>
  <r>
    <x v="720"/>
    <s v="ZTAN"/>
    <x v="8"/>
    <s v="SV2718"/>
    <n v="107643206"/>
    <s v="SANTIAGO"/>
    <x v="6123"/>
    <x v="1"/>
    <x v="1"/>
    <x v="20"/>
    <x v="1"/>
    <n v="1"/>
    <n v="69173"/>
    <n v="0"/>
    <n v="69173"/>
    <n v="29.560100509384295"/>
    <n v="5000"/>
    <n v="47"/>
    <x v="7632"/>
    <x v="1"/>
    <x v="4"/>
    <x v="1"/>
  </r>
  <r>
    <x v="720"/>
    <s v="ZTAN"/>
    <x v="8"/>
    <s v="VG8997"/>
    <n v="124860342"/>
    <s v="CHILLAN"/>
    <x v="6124"/>
    <x v="0"/>
    <x v="0"/>
    <x v="21"/>
    <x v="5"/>
    <n v="0"/>
    <n v="500000"/>
    <n v="0"/>
    <n v="500000"/>
    <n v="89.649434849962716"/>
    <n v="14000"/>
    <n v="40"/>
    <x v="7633"/>
    <x v="1"/>
    <x v="4"/>
    <x v="0"/>
  </r>
  <r>
    <x v="720"/>
    <s v="ZTAN"/>
    <x v="8"/>
    <s v="XR6339"/>
    <n v="78907355"/>
    <s v="SAN BERNARDO"/>
    <x v="6125"/>
    <x v="1"/>
    <x v="1"/>
    <x v="4"/>
    <x v="1"/>
    <n v="4"/>
    <n v="69173"/>
    <n v="0"/>
    <n v="69173"/>
    <n v="37.487670846836693"/>
    <n v="5000"/>
    <n v="37"/>
    <x v="7634"/>
    <x v="1"/>
    <x v="4"/>
    <x v="1"/>
  </r>
  <r>
    <x v="721"/>
    <s v="ZPEP"/>
    <x v="5"/>
    <s v="XR6639"/>
    <n v="78907355"/>
    <s v="BUIN"/>
    <x v="6126"/>
    <x v="0"/>
    <x v="0"/>
    <x v="56"/>
    <x v="1"/>
    <n v="5"/>
    <n v="180000"/>
    <n v="0"/>
    <n v="180000"/>
    <n v="47.789471448445781"/>
    <n v="10000"/>
    <n v="38"/>
    <x v="7635"/>
    <x v="1"/>
    <x v="4"/>
    <x v="1"/>
  </r>
  <r>
    <x v="721"/>
    <s v="ZPEP"/>
    <x v="91"/>
    <s v="DJLF85"/>
    <n v="125108660"/>
    <s v="REQUINOA"/>
    <x v="6127"/>
    <x v="4"/>
    <x v="1"/>
    <x v="113"/>
    <x v="6"/>
    <n v="0"/>
    <n v="250000"/>
    <n v="0"/>
    <n v="250000"/>
    <n v="23.961393402949167"/>
    <n v="14000"/>
    <n v="75"/>
    <x v="7636"/>
    <x v="1"/>
    <x v="4"/>
    <x v="0"/>
  </r>
  <r>
    <x v="721"/>
    <s v="ZPEP"/>
    <x v="7"/>
    <s v="KKPF51"/>
    <n v="95707734"/>
    <s v="REQUINOA"/>
    <x v="6128"/>
    <x v="8"/>
    <x v="0"/>
    <x v="113"/>
    <x v="6"/>
    <n v="0"/>
    <n v="320000"/>
    <n v="0"/>
    <n v="320000"/>
    <n v="29.148570262628617"/>
    <n v="14000"/>
    <n v="78"/>
    <x v="7637"/>
    <x v="1"/>
    <x v="4"/>
    <x v="0"/>
  </r>
  <r>
    <x v="721"/>
    <s v="ZTAN"/>
    <x v="151"/>
    <s v="XR6339"/>
    <n v="78907355"/>
    <s v="SANTIAGO"/>
    <x v="6129"/>
    <x v="1"/>
    <x v="1"/>
    <x v="20"/>
    <x v="1"/>
    <n v="1"/>
    <n v="58816"/>
    <n v="0"/>
    <n v="58816"/>
    <n v="11.000059847986115"/>
    <n v="5000"/>
    <n v="100"/>
    <x v="7638"/>
    <x v="1"/>
    <x v="4"/>
    <x v="1"/>
  </r>
  <r>
    <x v="721"/>
    <s v="ZTAN"/>
    <x v="16"/>
    <s v="FHTK12"/>
    <n v="104157505"/>
    <s v="TEMUCO"/>
    <x v="6130"/>
    <x v="0"/>
    <x v="0"/>
    <x v="14"/>
    <x v="4"/>
    <n v="0"/>
    <n v="900000"/>
    <n v="0"/>
    <n v="900000"/>
    <n v="53.097345132743364"/>
    <n v="14000"/>
    <n v="100"/>
    <x v="7639"/>
    <x v="1"/>
    <x v="4"/>
    <x v="0"/>
  </r>
  <r>
    <x v="721"/>
    <s v="ZTAN"/>
    <x v="116"/>
    <s v="WD7700"/>
    <n v="73835526"/>
    <s v="SANTIAGO"/>
    <x v="6033"/>
    <x v="0"/>
    <x v="0"/>
    <x v="20"/>
    <x v="1"/>
    <n v="1"/>
    <n v="69173"/>
    <n v="0"/>
    <n v="69173"/>
    <n v="23.660779947529186"/>
    <n v="5000"/>
    <n v="58"/>
    <x v="7640"/>
    <x v="1"/>
    <x v="4"/>
    <x v="1"/>
  </r>
  <r>
    <x v="721"/>
    <s v="ZTAN"/>
    <x v="137"/>
    <s v="WD7700"/>
    <n v="73835526"/>
    <s v="VITACURA"/>
    <x v="6131"/>
    <x v="0"/>
    <x v="0"/>
    <x v="27"/>
    <x v="1"/>
    <n v="4"/>
    <n v="103264"/>
    <n v="0"/>
    <n v="103264"/>
    <n v="6.6675275704434513"/>
    <n v="5000"/>
    <n v="100"/>
    <x v="7641"/>
    <x v="1"/>
    <x v="4"/>
    <x v="1"/>
  </r>
  <r>
    <x v="721"/>
    <s v="ZTAN"/>
    <x v="7"/>
    <s v="HLBX77"/>
    <n v="78907355"/>
    <s v="RENCA"/>
    <x v="6132"/>
    <x v="1"/>
    <x v="1"/>
    <x v="7"/>
    <x v="1"/>
    <n v="1"/>
    <n v="103057"/>
    <n v="0"/>
    <n v="103057"/>
    <n v="10.999974383168034"/>
    <n v="5000"/>
    <n v="100"/>
    <x v="7642"/>
    <x v="1"/>
    <x v="4"/>
    <x v="1"/>
  </r>
  <r>
    <x v="721"/>
    <s v="ZTAN"/>
    <x v="7"/>
    <s v="PYZP23"/>
    <n v="121384531"/>
    <s v="CORONEL"/>
    <x v="6133"/>
    <x v="0"/>
    <x v="0"/>
    <x v="16"/>
    <x v="0"/>
    <n v="0"/>
    <n v="528000"/>
    <n v="0"/>
    <n v="528000"/>
    <n v="22.416365305240419"/>
    <n v="14000"/>
    <n v="100"/>
    <x v="7643"/>
    <x v="1"/>
    <x v="4"/>
    <x v="0"/>
  </r>
  <r>
    <x v="721"/>
    <s v="ZTAN"/>
    <x v="7"/>
    <s v="WG4022"/>
    <n v="154837728"/>
    <s v="RENCA"/>
    <x v="6134"/>
    <x v="1"/>
    <x v="0"/>
    <x v="7"/>
    <x v="1"/>
    <n v="1"/>
    <n v="256262"/>
    <n v="0"/>
    <n v="256262"/>
    <n v="11.000021462451436"/>
    <n v="5000"/>
    <n v="100"/>
    <x v="7644"/>
    <x v="1"/>
    <x v="4"/>
    <x v="1"/>
  </r>
  <r>
    <x v="721"/>
    <s v="ZTAN"/>
    <x v="8"/>
    <s v="DJLF85"/>
    <n v="125108660"/>
    <s v="MELIPILLA"/>
    <x v="6135"/>
    <x v="4"/>
    <x v="1"/>
    <x v="29"/>
    <x v="1"/>
    <n v="5"/>
    <n v="112500"/>
    <n v="0"/>
    <n v="112500"/>
    <n v="11.500786142626108"/>
    <n v="10000"/>
    <n v="98"/>
    <x v="7645"/>
    <x v="1"/>
    <x v="4"/>
    <x v="1"/>
  </r>
  <r>
    <x v="721"/>
    <s v="ZTAN"/>
    <x v="8"/>
    <s v="RX2274"/>
    <n v="100822326"/>
    <s v="CORONEL"/>
    <x v="6136"/>
    <x v="0"/>
    <x v="0"/>
    <x v="16"/>
    <x v="0"/>
    <n v="0"/>
    <n v="528000"/>
    <n v="0"/>
    <n v="528000"/>
    <n v="80.791017507780737"/>
    <n v="14000"/>
    <n v="47"/>
    <x v="7646"/>
    <x v="1"/>
    <x v="4"/>
    <x v="0"/>
  </r>
  <r>
    <x v="722"/>
    <s v="ZPEP"/>
    <x v="7"/>
    <s v="KKPF51"/>
    <n v="95707734"/>
    <s v="REQUINOA"/>
    <x v="2885"/>
    <x v="8"/>
    <x v="0"/>
    <x v="113"/>
    <x v="6"/>
    <n v="0"/>
    <n v="320000"/>
    <n v="0"/>
    <n v="320000"/>
    <n v="19.943758600745895"/>
    <n v="14000"/>
    <n v="100"/>
    <x v="7647"/>
    <x v="2"/>
    <x v="4"/>
    <x v="0"/>
  </r>
  <r>
    <x v="722"/>
    <s v="ZTAN"/>
    <x v="4"/>
    <s v="HLBX77"/>
    <n v="78907355"/>
    <s v="LO ESPEJO"/>
    <x v="5416"/>
    <x v="1"/>
    <x v="1"/>
    <x v="68"/>
    <x v="1"/>
    <n v="2"/>
    <n v="155870"/>
    <n v="0"/>
    <n v="155870"/>
    <n v="10.999999999999993"/>
    <n v="5000"/>
    <n v="100"/>
    <x v="7648"/>
    <x v="2"/>
    <x v="4"/>
    <x v="1"/>
  </r>
  <r>
    <x v="722"/>
    <s v="ZTAN"/>
    <x v="4"/>
    <s v="RH1133"/>
    <n v="65941082"/>
    <s v="MELIPILLA"/>
    <x v="3181"/>
    <x v="0"/>
    <x v="0"/>
    <x v="29"/>
    <x v="1"/>
    <n v="5"/>
    <n v="180000"/>
    <n v="0"/>
    <n v="180000"/>
    <n v="22.865853658536576"/>
    <n v="10000"/>
    <n v="79"/>
    <x v="7649"/>
    <x v="2"/>
    <x v="4"/>
    <x v="1"/>
  </r>
  <r>
    <x v="722"/>
    <s v="ZTAN"/>
    <x v="137"/>
    <s v="WD7700"/>
    <n v="73835526"/>
    <s v="VITACURA"/>
    <x v="756"/>
    <x v="0"/>
    <x v="0"/>
    <x v="27"/>
    <x v="1"/>
    <n v="4"/>
    <n v="100947"/>
    <n v="0"/>
    <n v="100947"/>
    <n v="11"/>
    <n v="5000"/>
    <n v="100"/>
    <x v="7650"/>
    <x v="2"/>
    <x v="4"/>
    <x v="1"/>
  </r>
  <r>
    <x v="722"/>
    <s v="ZTAN"/>
    <x v="137"/>
    <s v="XR6339"/>
    <n v="78907355"/>
    <s v="VITACURA"/>
    <x v="836"/>
    <x v="1"/>
    <x v="1"/>
    <x v="27"/>
    <x v="1"/>
    <n v="4"/>
    <n v="100650"/>
    <n v="0"/>
    <n v="100650"/>
    <n v="11"/>
    <n v="5000"/>
    <n v="100"/>
    <x v="7651"/>
    <x v="2"/>
    <x v="4"/>
    <x v="1"/>
  </r>
  <r>
    <x v="722"/>
    <s v="ZTAN"/>
    <x v="8"/>
    <s v="DFRV76"/>
    <n v="113693568"/>
    <s v="ANGOL"/>
    <x v="6137"/>
    <x v="5"/>
    <x v="0"/>
    <x v="84"/>
    <x v="4"/>
    <n v="0"/>
    <n v="583000"/>
    <n v="0"/>
    <n v="583000"/>
    <n v="85.315366863394431"/>
    <n v="14000"/>
    <n v="55"/>
    <x v="7652"/>
    <x v="2"/>
    <x v="4"/>
    <x v="0"/>
  </r>
  <r>
    <x v="722"/>
    <s v="ZTAN"/>
    <x v="8"/>
    <s v="RKYY81"/>
    <n v="70866846"/>
    <s v="CORONEL"/>
    <x v="6138"/>
    <x v="0"/>
    <x v="0"/>
    <x v="16"/>
    <x v="0"/>
    <n v="0"/>
    <n v="528000"/>
    <n v="0"/>
    <n v="528000"/>
    <n v="83.076342123481666"/>
    <n v="14000"/>
    <n v="45"/>
    <x v="7653"/>
    <x v="2"/>
    <x v="4"/>
    <x v="0"/>
  </r>
  <r>
    <x v="722"/>
    <s v="ZTAN"/>
    <x v="8"/>
    <s v="SCWL85"/>
    <n v="256738929"/>
    <s v="MAIPU"/>
    <x v="6139"/>
    <x v="0"/>
    <x v="0"/>
    <x v="2"/>
    <x v="1"/>
    <n v="2"/>
    <n v="69173"/>
    <n v="0"/>
    <n v="69173"/>
    <n v="27.637803455274806"/>
    <n v="5000"/>
    <n v="50"/>
    <x v="7654"/>
    <x v="2"/>
    <x v="4"/>
    <x v="1"/>
  </r>
  <r>
    <x v="722"/>
    <s v="ZTAN"/>
    <x v="8"/>
    <s v="SV2718"/>
    <n v="107643206"/>
    <s v="PUDAHUEL"/>
    <x v="5540"/>
    <x v="1"/>
    <x v="1"/>
    <x v="10"/>
    <x v="1"/>
    <n v="1"/>
    <n v="69173"/>
    <n v="0"/>
    <n v="69173"/>
    <n v="27.608461384953102"/>
    <n v="5000"/>
    <n v="50"/>
    <x v="7655"/>
    <x v="2"/>
    <x v="4"/>
    <x v="1"/>
  </r>
  <r>
    <x v="722"/>
    <s v="ZTAN"/>
    <x v="8"/>
    <s v="XR6339"/>
    <n v="78907355"/>
    <s v="QUILICURA"/>
    <x v="4232"/>
    <x v="1"/>
    <x v="1"/>
    <x v="8"/>
    <x v="1"/>
    <n v="1"/>
    <n v="69173"/>
    <n v="0"/>
    <n v="69173"/>
    <n v="25.558856348977617"/>
    <n v="5000"/>
    <n v="54"/>
    <x v="7656"/>
    <x v="2"/>
    <x v="4"/>
    <x v="1"/>
  </r>
  <r>
    <x v="723"/>
    <s v="ZPEP"/>
    <x v="5"/>
    <s v="DJLF85"/>
    <n v="125108660"/>
    <s v="LAS CONDES"/>
    <x v="6140"/>
    <x v="4"/>
    <x v="1"/>
    <x v="3"/>
    <x v="1"/>
    <n v="4"/>
    <n v="144176"/>
    <n v="0"/>
    <n v="144176"/>
    <n v="10.999974059544027"/>
    <n v="5000"/>
    <n v="100"/>
    <x v="7657"/>
    <x v="2"/>
    <x v="4"/>
    <x v="1"/>
  </r>
  <r>
    <x v="723"/>
    <s v="ZPEP"/>
    <x v="7"/>
    <s v="KKPF51"/>
    <n v="95707734"/>
    <s v="REQUINOA"/>
    <x v="6141"/>
    <x v="8"/>
    <x v="0"/>
    <x v="113"/>
    <x v="6"/>
    <n v="0"/>
    <n v="320000"/>
    <n v="0"/>
    <n v="320000"/>
    <n v="21.051745189676225"/>
    <n v="14000"/>
    <n v="100"/>
    <x v="7658"/>
    <x v="2"/>
    <x v="4"/>
    <x v="0"/>
  </r>
  <r>
    <x v="723"/>
    <s v="ZTAN"/>
    <x v="10"/>
    <s v="KKPF51"/>
    <n v="95707734"/>
    <s v="QUILICURA"/>
    <x v="6142"/>
    <x v="8"/>
    <x v="0"/>
    <x v="8"/>
    <x v="1"/>
    <n v="1"/>
    <n v="117836"/>
    <n v="0"/>
    <n v="117836"/>
    <n v="11.000044808220816"/>
    <n v="5000"/>
    <n v="100"/>
    <x v="7659"/>
    <x v="2"/>
    <x v="4"/>
    <x v="1"/>
  </r>
  <r>
    <x v="723"/>
    <s v="ZTAN"/>
    <x v="7"/>
    <s v="PYZP23"/>
    <n v="121384531"/>
    <s v="CORONEL"/>
    <x v="6143"/>
    <x v="0"/>
    <x v="0"/>
    <x v="16"/>
    <x v="0"/>
    <n v="0"/>
    <n v="528000"/>
    <n v="0"/>
    <n v="528000"/>
    <n v="29.197726116481235"/>
    <n v="14000"/>
    <n v="100"/>
    <x v="7660"/>
    <x v="2"/>
    <x v="4"/>
    <x v="0"/>
  </r>
  <r>
    <x v="723"/>
    <s v="ZTAN"/>
    <x v="7"/>
    <s v="RH1133"/>
    <n v="65941082"/>
    <s v="RANCAGUA"/>
    <x v="6144"/>
    <x v="0"/>
    <x v="0"/>
    <x v="28"/>
    <x v="6"/>
    <n v="0"/>
    <n v="289000"/>
    <n v="0"/>
    <n v="289000"/>
    <n v="15.904988332672927"/>
    <n v="14000"/>
    <n v="100"/>
    <x v="7661"/>
    <x v="2"/>
    <x v="4"/>
    <x v="0"/>
  </r>
  <r>
    <x v="723"/>
    <s v="ZTAN"/>
    <x v="7"/>
    <s v="RKLH77"/>
    <n v="94590507"/>
    <s v="CORONEL"/>
    <x v="6145"/>
    <x v="0"/>
    <x v="0"/>
    <x v="16"/>
    <x v="0"/>
    <n v="0"/>
    <n v="528000"/>
    <n v="0"/>
    <n v="528000"/>
    <n v="35.912015561873439"/>
    <n v="14000"/>
    <n v="100"/>
    <x v="7662"/>
    <x v="2"/>
    <x v="4"/>
    <x v="0"/>
  </r>
  <r>
    <x v="723"/>
    <s v="ZTAN"/>
    <x v="7"/>
    <s v="WG4022"/>
    <n v="154837728"/>
    <s v="RENCA"/>
    <x v="6146"/>
    <x v="1"/>
    <x v="0"/>
    <x v="7"/>
    <x v="1"/>
    <n v="1"/>
    <n v="101638"/>
    <n v="0"/>
    <n v="101638"/>
    <n v="11.000045455627731"/>
    <n v="5000"/>
    <n v="100"/>
    <x v="7663"/>
    <x v="2"/>
    <x v="4"/>
    <x v="1"/>
  </r>
  <r>
    <x v="723"/>
    <s v="ZTAN"/>
    <x v="8"/>
    <s v="RJ6819"/>
    <n v="94742285"/>
    <s v="TALCAHUANO"/>
    <x v="6147"/>
    <x v="5"/>
    <x v="0"/>
    <x v="0"/>
    <x v="0"/>
    <n v="0"/>
    <n v="506000"/>
    <n v="0"/>
    <n v="506000"/>
    <n v="58.984120915116492"/>
    <n v="14000"/>
    <n v="61"/>
    <x v="7664"/>
    <x v="2"/>
    <x v="4"/>
    <x v="0"/>
  </r>
  <r>
    <x v="723"/>
    <s v="ZTAN"/>
    <x v="8"/>
    <s v="RWTG52"/>
    <n v="27657747"/>
    <s v="PUENTE ALTO"/>
    <x v="6148"/>
    <x v="0"/>
    <x v="0"/>
    <x v="30"/>
    <x v="1"/>
    <n v="4"/>
    <n v="69173"/>
    <n v="0"/>
    <n v="69173"/>
    <n v="26.8685181588658"/>
    <n v="5000"/>
    <n v="51"/>
    <x v="7665"/>
    <x v="2"/>
    <x v="4"/>
    <x v="1"/>
  </r>
  <r>
    <x v="723"/>
    <s v="ZTAN"/>
    <x v="8"/>
    <s v="SCWL85"/>
    <n v="256738929"/>
    <s v="PUENTE ALTO"/>
    <x v="6149"/>
    <x v="0"/>
    <x v="0"/>
    <x v="30"/>
    <x v="1"/>
    <n v="4"/>
    <n v="69173"/>
    <n v="0"/>
    <n v="69173"/>
    <n v="25.884998802538618"/>
    <n v="5000"/>
    <n v="53"/>
    <x v="7666"/>
    <x v="2"/>
    <x v="4"/>
    <x v="1"/>
  </r>
  <r>
    <x v="723"/>
    <s v="ZTAN"/>
    <x v="8"/>
    <s v="SV2718"/>
    <n v="107643206"/>
    <s v="TALAGANTE"/>
    <x v="6150"/>
    <x v="1"/>
    <x v="1"/>
    <x v="50"/>
    <x v="1"/>
    <n v="4"/>
    <n v="69173"/>
    <n v="0"/>
    <n v="69173"/>
    <n v="19.301417756980666"/>
    <n v="5000"/>
    <n v="72"/>
    <x v="7667"/>
    <x v="2"/>
    <x v="4"/>
    <x v="1"/>
  </r>
  <r>
    <x v="723"/>
    <s v="ZTAN"/>
    <x v="8"/>
    <s v="XR6339"/>
    <n v="78907355"/>
    <s v="CERRILLOS"/>
    <x v="6151"/>
    <x v="1"/>
    <x v="1"/>
    <x v="9"/>
    <x v="1"/>
    <n v="2"/>
    <n v="69173"/>
    <n v="0"/>
    <n v="69173"/>
    <n v="24.567067280372772"/>
    <n v="5000"/>
    <n v="56"/>
    <x v="7668"/>
    <x v="2"/>
    <x v="4"/>
    <x v="1"/>
  </r>
  <r>
    <x v="724"/>
    <s v="ZPEP"/>
    <x v="39"/>
    <s v="DJLF85"/>
    <n v="125108660"/>
    <s v="PADRE HURTADO"/>
    <x v="5747"/>
    <x v="4"/>
    <x v="1"/>
    <x v="26"/>
    <x v="1"/>
    <n v="5"/>
    <n v="112500"/>
    <n v="0"/>
    <n v="112500"/>
    <n v="28.842456095372388"/>
    <n v="10000"/>
    <n v="39"/>
    <x v="7669"/>
    <x v="2"/>
    <x v="4"/>
    <x v="1"/>
  </r>
  <r>
    <x v="724"/>
    <s v="ZTAN"/>
    <x v="4"/>
    <s v="DJLF85"/>
    <n v="125108660"/>
    <s v="SAN BERNARDO"/>
    <x v="414"/>
    <x v="4"/>
    <x v="1"/>
    <x v="4"/>
    <x v="1"/>
    <n v="4"/>
    <n v="107307"/>
    <n v="0"/>
    <n v="107307"/>
    <n v="10.999979498113829"/>
    <n v="5000"/>
    <n v="100"/>
    <x v="7670"/>
    <x v="2"/>
    <x v="4"/>
    <x v="1"/>
  </r>
  <r>
    <x v="724"/>
    <s v="ZTAN"/>
    <x v="4"/>
    <s v="XR6339"/>
    <n v="81417709"/>
    <s v="SAN BERNARDO"/>
    <x v="234"/>
    <x v="1"/>
    <x v="1"/>
    <x v="4"/>
    <x v="1"/>
    <n v="4"/>
    <n v="99053"/>
    <n v="0"/>
    <n v="99053"/>
    <n v="11.000022210376692"/>
    <n v="5000"/>
    <n v="100"/>
    <x v="7671"/>
    <x v="2"/>
    <x v="4"/>
    <x v="1"/>
  </r>
  <r>
    <x v="724"/>
    <s v="ZTAN"/>
    <x v="116"/>
    <s v="WD7700"/>
    <n v="73835526"/>
    <s v="SANTIAGO"/>
    <x v="6152"/>
    <x v="0"/>
    <x v="0"/>
    <x v="20"/>
    <x v="1"/>
    <n v="1"/>
    <n v="59191"/>
    <n v="0"/>
    <n v="59191"/>
    <n v="10.999959115558015"/>
    <n v="5000"/>
    <n v="100"/>
    <x v="7672"/>
    <x v="2"/>
    <x v="4"/>
    <x v="1"/>
  </r>
  <r>
    <x v="724"/>
    <s v="ZTAN"/>
    <x v="75"/>
    <s v="XR6339"/>
    <n v="78907355"/>
    <s v="QUILICURA"/>
    <x v="1801"/>
    <x v="1"/>
    <x v="1"/>
    <x v="8"/>
    <x v="1"/>
    <n v="1"/>
    <n v="85866"/>
    <n v="0"/>
    <n v="85866"/>
    <n v="10.999999999999996"/>
    <n v="5000"/>
    <n v="100"/>
    <x v="7673"/>
    <x v="2"/>
    <x v="4"/>
    <x v="1"/>
  </r>
  <r>
    <x v="724"/>
    <s v="ZTAN"/>
    <x v="7"/>
    <s v="PYCL28"/>
    <n v="16374632"/>
    <s v="CORONEL"/>
    <x v="419"/>
    <x v="0"/>
    <x v="0"/>
    <x v="16"/>
    <x v="0"/>
    <n v="0"/>
    <n v="528000"/>
    <n v="0"/>
    <n v="528000"/>
    <n v="64.046579330422091"/>
    <n v="14000"/>
    <n v="59"/>
    <x v="7674"/>
    <x v="2"/>
    <x v="4"/>
    <x v="0"/>
  </r>
  <r>
    <x v="724"/>
    <s v="ZTAN"/>
    <x v="7"/>
    <s v="RKYY82"/>
    <n v="101495566"/>
    <s v="CORONEL"/>
    <x v="6153"/>
    <x v="0"/>
    <x v="0"/>
    <x v="16"/>
    <x v="0"/>
    <n v="0"/>
    <n v="528000"/>
    <n v="0"/>
    <n v="528000"/>
    <n v="37.932615008383998"/>
    <n v="14000"/>
    <n v="99"/>
    <x v="7675"/>
    <x v="2"/>
    <x v="4"/>
    <x v="0"/>
  </r>
  <r>
    <x v="724"/>
    <s v="ZTAN"/>
    <x v="7"/>
    <s v="YG5635"/>
    <n v="968424431"/>
    <s v="CHILLAN"/>
    <x v="6154"/>
    <x v="0"/>
    <x v="0"/>
    <x v="21"/>
    <x v="5"/>
    <n v="0"/>
    <n v="500000"/>
    <n v="0"/>
    <n v="500000"/>
    <n v="41.006193575477639"/>
    <n v="14000"/>
    <n v="87"/>
    <x v="7676"/>
    <x v="2"/>
    <x v="4"/>
    <x v="0"/>
  </r>
  <r>
    <x v="724"/>
    <s v="ZTAN"/>
    <x v="8"/>
    <s v="GPPY98"/>
    <n v="104141730"/>
    <s v="CORONEL"/>
    <x v="6155"/>
    <x v="0"/>
    <x v="0"/>
    <x v="16"/>
    <x v="0"/>
    <n v="0"/>
    <n v="528000"/>
    <n v="0"/>
    <n v="528000"/>
    <n v="52.60955341663179"/>
    <n v="14000"/>
    <n v="80"/>
    <x v="7677"/>
    <x v="2"/>
    <x v="4"/>
    <x v="0"/>
  </r>
  <r>
    <x v="724"/>
    <s v="ZTAN"/>
    <x v="8"/>
    <s v="RWTG52"/>
    <n v="276547747"/>
    <s v="ÑUÑOA"/>
    <x v="6156"/>
    <x v="0"/>
    <x v="0"/>
    <x v="15"/>
    <x v="1"/>
    <n v="4"/>
    <n v="69173"/>
    <n v="0"/>
    <n v="69173"/>
    <n v="27.46813326450383"/>
    <n v="5000"/>
    <n v="50"/>
    <x v="7678"/>
    <x v="2"/>
    <x v="4"/>
    <x v="1"/>
  </r>
  <r>
    <x v="724"/>
    <s v="ZTAN"/>
    <x v="8"/>
    <s v="SCWL85"/>
    <n v="256738929"/>
    <s v="ÑUÑOA"/>
    <x v="6157"/>
    <x v="0"/>
    <x v="0"/>
    <x v="15"/>
    <x v="1"/>
    <n v="4"/>
    <n v="69173"/>
    <n v="0"/>
    <n v="69173"/>
    <n v="24.595718958896317"/>
    <n v="5000"/>
    <n v="56"/>
    <x v="7679"/>
    <x v="2"/>
    <x v="4"/>
    <x v="1"/>
  </r>
  <r>
    <x v="724"/>
    <s v="ZTAN"/>
    <x v="8"/>
    <s v="SV2718"/>
    <n v="107643206"/>
    <s v="SAN BERNARDO"/>
    <x v="6158"/>
    <x v="1"/>
    <x v="1"/>
    <x v="4"/>
    <x v="1"/>
    <n v="4"/>
    <n v="69173"/>
    <n v="0"/>
    <n v="69173"/>
    <n v="22.249276294628498"/>
    <n v="5000"/>
    <n v="62"/>
    <x v="7680"/>
    <x v="2"/>
    <x v="4"/>
    <x v="1"/>
  </r>
  <r>
    <x v="725"/>
    <s v="ZPEP"/>
    <x v="5"/>
    <s v="HLBX77"/>
    <n v="81417709"/>
    <s v="LAS CONDES"/>
    <x v="6159"/>
    <x v="1"/>
    <x v="1"/>
    <x v="3"/>
    <x v="1"/>
    <n v="4"/>
    <n v="107314"/>
    <n v="0"/>
    <n v="107314"/>
    <n v="8.7376016336287829"/>
    <n v="5000"/>
    <n v="100"/>
    <x v="7681"/>
    <x v="2"/>
    <x v="4"/>
    <x v="1"/>
  </r>
  <r>
    <x v="725"/>
    <s v="ZTAN"/>
    <x v="10"/>
    <s v="KKPF51"/>
    <n v="95707734"/>
    <s v="QUILICURA"/>
    <x v="6160"/>
    <x v="8"/>
    <x v="0"/>
    <x v="8"/>
    <x v="1"/>
    <n v="1"/>
    <n v="135521"/>
    <n v="0"/>
    <n v="135521"/>
    <n v="11.000018668725087"/>
    <n v="5000"/>
    <n v="100"/>
    <x v="7682"/>
    <x v="2"/>
    <x v="4"/>
    <x v="1"/>
  </r>
  <r>
    <x v="725"/>
    <s v="ZTAN"/>
    <x v="10"/>
    <s v="RH1133"/>
    <n v="65941082"/>
    <s v="QUILICURA"/>
    <x v="6161"/>
    <x v="0"/>
    <x v="0"/>
    <x v="8"/>
    <x v="1"/>
    <n v="1"/>
    <n v="130009"/>
    <n v="0"/>
    <n v="130009"/>
    <n v="11.000009307055839"/>
    <n v="5000"/>
    <n v="100"/>
    <x v="7683"/>
    <x v="2"/>
    <x v="4"/>
    <x v="1"/>
  </r>
  <r>
    <x v="725"/>
    <s v="ZTAN"/>
    <x v="7"/>
    <s v="DJLF85"/>
    <n v="125108660"/>
    <s v="RENCA"/>
    <x v="6162"/>
    <x v="4"/>
    <x v="1"/>
    <x v="7"/>
    <x v="1"/>
    <n v="1"/>
    <n v="151957"/>
    <n v="0"/>
    <n v="151957"/>
    <n v="10.999994208891088"/>
    <n v="5000"/>
    <n v="100"/>
    <x v="7684"/>
    <x v="2"/>
    <x v="4"/>
    <x v="1"/>
  </r>
  <r>
    <x v="725"/>
    <s v="ZTAN"/>
    <x v="7"/>
    <s v="WD7700"/>
    <n v="73835526"/>
    <s v="MELIPILLA"/>
    <x v="6163"/>
    <x v="0"/>
    <x v="0"/>
    <x v="29"/>
    <x v="1"/>
    <n v="5"/>
    <n v="180000"/>
    <n v="0"/>
    <n v="180000"/>
    <n v="46.718784065780049"/>
    <n v="10000"/>
    <n v="39"/>
    <x v="7685"/>
    <x v="2"/>
    <x v="4"/>
    <x v="1"/>
  </r>
  <r>
    <x v="725"/>
    <s v="ZTAN"/>
    <x v="7"/>
    <s v="WG4022"/>
    <n v="154837728"/>
    <s v="RENCA"/>
    <x v="6164"/>
    <x v="1"/>
    <x v="0"/>
    <x v="7"/>
    <x v="1"/>
    <n v="1"/>
    <n v="150899"/>
    <n v="0"/>
    <n v="150899"/>
    <n v="10.999984691768764"/>
    <n v="5000"/>
    <n v="100"/>
    <x v="7686"/>
    <x v="2"/>
    <x v="4"/>
    <x v="1"/>
  </r>
  <r>
    <x v="725"/>
    <s v="ZTAN"/>
    <x v="8"/>
    <s v="DFRV76"/>
    <n v="113693568"/>
    <s v="LOS ANGELES"/>
    <x v="6165"/>
    <x v="5"/>
    <x v="0"/>
    <x v="57"/>
    <x v="0"/>
    <n v="0"/>
    <n v="528000"/>
    <n v="0"/>
    <n v="528000"/>
    <n v="47.115849664745745"/>
    <n v="14000"/>
    <n v="80"/>
    <x v="7687"/>
    <x v="2"/>
    <x v="4"/>
    <x v="0"/>
  </r>
  <r>
    <x v="725"/>
    <s v="ZTAN"/>
    <x v="8"/>
    <s v="SV2718"/>
    <n v="107643206"/>
    <s v="QUILICURA"/>
    <x v="6166"/>
    <x v="1"/>
    <x v="1"/>
    <x v="8"/>
    <x v="1"/>
    <n v="1"/>
    <n v="69173"/>
    <n v="0"/>
    <n v="69173"/>
    <n v="22.451331052703324"/>
    <n v="5000"/>
    <n v="62"/>
    <x v="7688"/>
    <x v="2"/>
    <x v="4"/>
    <x v="1"/>
  </r>
  <r>
    <x v="726"/>
    <s v="ZPEP"/>
    <x v="5"/>
    <s v="DJLF85"/>
    <n v="125108660"/>
    <s v="LAS CONDES"/>
    <x v="6167"/>
    <x v="4"/>
    <x v="1"/>
    <x v="3"/>
    <x v="1"/>
    <n v="4"/>
    <n v="81629"/>
    <n v="0"/>
    <n v="81629"/>
    <n v="8.3075764437682231"/>
    <n v="5000"/>
    <n v="100"/>
    <x v="7689"/>
    <x v="2"/>
    <x v="4"/>
    <x v="1"/>
  </r>
  <r>
    <x v="726"/>
    <s v="ZPEP"/>
    <x v="50"/>
    <s v="KKPF51"/>
    <n v="95707734"/>
    <s v="QUILLOTA"/>
    <x v="6168"/>
    <x v="8"/>
    <x v="0"/>
    <x v="19"/>
    <x v="2"/>
    <n v="0"/>
    <n v="289000"/>
    <n v="0"/>
    <n v="289000"/>
    <n v="13.344655511642864"/>
    <n v="14000"/>
    <n v="100"/>
    <x v="7690"/>
    <x v="2"/>
    <x v="4"/>
    <x v="0"/>
  </r>
  <r>
    <x v="726"/>
    <s v="ZPEP"/>
    <x v="98"/>
    <s v="RH1133"/>
    <n v="65941082"/>
    <s v="RANCAGUA"/>
    <x v="6169"/>
    <x v="0"/>
    <x v="0"/>
    <x v="28"/>
    <x v="6"/>
    <n v="0"/>
    <n v="289000"/>
    <n v="0"/>
    <n v="289000"/>
    <n v="15.996014833674655"/>
    <n v="14000"/>
    <n v="100"/>
    <x v="7691"/>
    <x v="2"/>
    <x v="4"/>
    <x v="0"/>
  </r>
  <r>
    <x v="726"/>
    <s v="ZTAN"/>
    <x v="4"/>
    <s v="RX2274"/>
    <n v="100822326"/>
    <s v="COELEMU"/>
    <x v="4358"/>
    <x v="0"/>
    <x v="0"/>
    <x v="121"/>
    <x v="5"/>
    <n v="0"/>
    <n v="528000"/>
    <n v="0"/>
    <n v="528000"/>
    <n v="49.992425390092407"/>
    <n v="14000"/>
    <n v="75"/>
    <x v="7692"/>
    <x v="2"/>
    <x v="4"/>
    <x v="0"/>
  </r>
  <r>
    <x v="726"/>
    <s v="ZTAN"/>
    <x v="4"/>
    <s v="UK7193"/>
    <n v="81417709"/>
    <s v="CASABLANCA"/>
    <x v="6170"/>
    <x v="1"/>
    <x v="0"/>
    <x v="122"/>
    <x v="2"/>
    <n v="0"/>
    <n v="230000"/>
    <n v="0"/>
    <n v="230000"/>
    <n v="18.4221065278334"/>
    <n v="14000"/>
    <n v="100"/>
    <x v="7693"/>
    <x v="2"/>
    <x v="4"/>
    <x v="0"/>
  </r>
  <r>
    <x v="726"/>
    <s v="ZTAN"/>
    <x v="4"/>
    <s v="XR6339"/>
    <n v="78907355"/>
    <s v="MELIPILLA"/>
    <x v="385"/>
    <x v="1"/>
    <x v="1"/>
    <x v="29"/>
    <x v="1"/>
    <n v="5"/>
    <n v="112500"/>
    <n v="0"/>
    <n v="112500"/>
    <n v="14.99200426439233"/>
    <n v="10000"/>
    <n v="75"/>
    <x v="7694"/>
    <x v="2"/>
    <x v="4"/>
    <x v="1"/>
  </r>
  <r>
    <x v="726"/>
    <s v="ZTAN"/>
    <x v="132"/>
    <s v="SV2718"/>
    <n v="107643206"/>
    <s v="SANTIAGO"/>
    <x v="613"/>
    <x v="1"/>
    <x v="1"/>
    <x v="20"/>
    <x v="1"/>
    <n v="1"/>
    <n v="69173"/>
    <n v="0"/>
    <n v="69173"/>
    <n v="40.680428134556571"/>
    <n v="5000"/>
    <n v="34"/>
    <x v="7695"/>
    <x v="2"/>
    <x v="4"/>
    <x v="1"/>
  </r>
  <r>
    <x v="726"/>
    <s v="ZTAN"/>
    <x v="6"/>
    <s v="DKDL88"/>
    <n v="122975819"/>
    <s v="PUERTO MONTT"/>
    <x v="6171"/>
    <x v="0"/>
    <x v="0"/>
    <x v="53"/>
    <x v="10"/>
    <n v="0"/>
    <n v="1282000"/>
    <n v="0"/>
    <n v="1282000"/>
    <n v="208.26158434756613"/>
    <n v="14000"/>
    <n v="44"/>
    <x v="7696"/>
    <x v="2"/>
    <x v="4"/>
    <x v="0"/>
  </r>
  <r>
    <x v="726"/>
    <s v="ZTAN"/>
    <x v="6"/>
    <s v="HLBX77"/>
    <n v="78907355"/>
    <s v="LOS ANDES"/>
    <x v="6172"/>
    <x v="1"/>
    <x v="1"/>
    <x v="38"/>
    <x v="2"/>
    <n v="0"/>
    <n v="227000"/>
    <n v="0"/>
    <n v="227000"/>
    <n v="34.001785468206087"/>
    <n v="14000"/>
    <n v="48"/>
    <x v="7697"/>
    <x v="2"/>
    <x v="4"/>
    <x v="0"/>
  </r>
  <r>
    <x v="726"/>
    <s v="ZTAN"/>
    <x v="8"/>
    <s v="PYZP23"/>
    <n v="121384531"/>
    <s v="CORONEL"/>
    <x v="6173"/>
    <x v="0"/>
    <x v="0"/>
    <x v="16"/>
    <x v="0"/>
    <n v="0"/>
    <n v="528000"/>
    <n v="0"/>
    <n v="528000"/>
    <n v="77.620576509190983"/>
    <n v="14000"/>
    <n v="49"/>
    <x v="7698"/>
    <x v="2"/>
    <x v="4"/>
    <x v="0"/>
  </r>
  <r>
    <x v="726"/>
    <s v="ZTAN"/>
    <x v="8"/>
    <s v="SV2718"/>
    <n v="107643206"/>
    <s v="MAIPU"/>
    <x v="6174"/>
    <x v="1"/>
    <x v="1"/>
    <x v="2"/>
    <x v="1"/>
    <n v="2"/>
    <n v="69173"/>
    <n v="0"/>
    <n v="69173"/>
    <n v="27.033691969188322"/>
    <n v="5000"/>
    <n v="51"/>
    <x v="7699"/>
    <x v="2"/>
    <x v="4"/>
    <x v="1"/>
  </r>
  <r>
    <x v="726"/>
    <s v="ZTAN"/>
    <x v="8"/>
    <s v="WD7700"/>
    <n v="73825526"/>
    <s v="REÑACA"/>
    <x v="6175"/>
    <x v="0"/>
    <x v="0"/>
    <x v="6"/>
    <x v="2"/>
    <n v="0"/>
    <n v="300000"/>
    <n v="0"/>
    <n v="300000"/>
    <n v="64.217551941296591"/>
    <n v="14000"/>
    <n v="33"/>
    <x v="7700"/>
    <x v="2"/>
    <x v="4"/>
    <x v="0"/>
  </r>
  <r>
    <x v="726"/>
    <s v="ZTAN"/>
    <x v="8"/>
    <s v="XR6339"/>
    <n v="78907355"/>
    <s v="PUDAHUEL"/>
    <x v="6176"/>
    <x v="1"/>
    <x v="1"/>
    <x v="10"/>
    <x v="1"/>
    <n v="1"/>
    <n v="69173"/>
    <n v="0"/>
    <n v="69173"/>
    <n v="21.639825312210625"/>
    <n v="5000"/>
    <n v="65"/>
    <x v="7701"/>
    <x v="2"/>
    <x v="4"/>
    <x v="1"/>
  </r>
  <r>
    <x v="727"/>
    <s v="ZPEP"/>
    <x v="2"/>
    <s v="HLBX77"/>
    <n v="154837728"/>
    <s v="PADRE HURTADO"/>
    <x v="6177"/>
    <x v="1"/>
    <x v="1"/>
    <x v="26"/>
    <x v="1"/>
    <n v="5"/>
    <n v="112500"/>
    <n v="0"/>
    <n v="112500"/>
    <n v="16.848379560294735"/>
    <n v="10000"/>
    <n v="67"/>
    <x v="7702"/>
    <x v="2"/>
    <x v="4"/>
    <x v="1"/>
  </r>
  <r>
    <x v="727"/>
    <s v="ZPEP"/>
    <x v="137"/>
    <s v="XR6339"/>
    <n v="78907355"/>
    <s v="LAS CONDES"/>
    <x v="6178"/>
    <x v="1"/>
    <x v="1"/>
    <x v="3"/>
    <x v="1"/>
    <n v="4"/>
    <n v="72956"/>
    <n v="0"/>
    <n v="72956"/>
    <n v="10.999939690006633"/>
    <n v="5000"/>
    <n v="100"/>
    <x v="7703"/>
    <x v="2"/>
    <x v="4"/>
    <x v="1"/>
  </r>
  <r>
    <x v="727"/>
    <s v="ZPEP"/>
    <x v="7"/>
    <s v="LZPP69"/>
    <n v="180683275"/>
    <s v="TALCAHUANO"/>
    <x v="6179"/>
    <x v="0"/>
    <x v="0"/>
    <x v="0"/>
    <x v="0"/>
    <n v="0"/>
    <n v="506000"/>
    <n v="0"/>
    <n v="506000"/>
    <n v="72.509457755359406"/>
    <n v="14000"/>
    <n v="50"/>
    <x v="7704"/>
    <x v="2"/>
    <x v="4"/>
    <x v="0"/>
  </r>
  <r>
    <x v="727"/>
    <s v="ZPEP"/>
    <x v="98"/>
    <s v="DJLF85"/>
    <n v="125108660"/>
    <s v="RANCAGUA"/>
    <x v="6180"/>
    <x v="4"/>
    <x v="1"/>
    <x v="28"/>
    <x v="6"/>
    <n v="0"/>
    <n v="226400"/>
    <n v="0"/>
    <n v="226400"/>
    <n v="24.972424442973747"/>
    <n v="14000"/>
    <n v="65"/>
    <x v="7705"/>
    <x v="2"/>
    <x v="4"/>
    <x v="0"/>
  </r>
  <r>
    <x v="727"/>
    <s v="ZTAN"/>
    <x v="10"/>
    <s v="WD7700"/>
    <n v="73835526"/>
    <s v="LA FLORIDA"/>
    <x v="1238"/>
    <x v="0"/>
    <x v="0"/>
    <x v="33"/>
    <x v="1"/>
    <n v="3"/>
    <n v="69173"/>
    <n v="0"/>
    <n v="69173"/>
    <n v="27.120285423037707"/>
    <n v="5000"/>
    <n v="51"/>
    <x v="7706"/>
    <x v="2"/>
    <x v="4"/>
    <x v="1"/>
  </r>
  <r>
    <x v="727"/>
    <s v="ZTAN"/>
    <x v="66"/>
    <s v="XR6339"/>
    <n v="78907355"/>
    <s v="SANTIAGO"/>
    <x v="5385"/>
    <x v="1"/>
    <x v="1"/>
    <x v="20"/>
    <x v="1"/>
    <n v="1"/>
    <n v="69173"/>
    <n v="0"/>
    <n v="69173"/>
    <n v="15.495743727598565"/>
    <n v="5000"/>
    <n v="89"/>
    <x v="7707"/>
    <x v="2"/>
    <x v="4"/>
    <x v="1"/>
  </r>
  <r>
    <x v="727"/>
    <s v="ZTAN"/>
    <x v="152"/>
    <s v="LZPP69"/>
    <n v="180683275"/>
    <s v="LAS CONDES"/>
    <x v="6181"/>
    <x v="0"/>
    <x v="0"/>
    <x v="3"/>
    <x v="1"/>
    <n v="4"/>
    <n v="81996"/>
    <n v="0"/>
    <n v="81996"/>
    <n v="11.000032196786762"/>
    <n v="5000"/>
    <n v="100"/>
    <x v="7708"/>
    <x v="2"/>
    <x v="4"/>
    <x v="1"/>
  </r>
  <r>
    <x v="727"/>
    <s v="ZTAN"/>
    <x v="7"/>
    <s v="RKYY82"/>
    <n v="101495566"/>
    <s v="CORONEL"/>
    <x v="6182"/>
    <x v="0"/>
    <x v="0"/>
    <x v="16"/>
    <x v="0"/>
    <n v="0"/>
    <n v="528000"/>
    <n v="0"/>
    <n v="528000"/>
    <n v="27.017899358324893"/>
    <n v="14000"/>
    <n v="100"/>
    <x v="7709"/>
    <x v="2"/>
    <x v="4"/>
    <x v="0"/>
  </r>
  <r>
    <x v="727"/>
    <s v="ZTAN"/>
    <x v="135"/>
    <s v="PPPW97"/>
    <n v="116995093"/>
    <s v="SANTA BARBARA"/>
    <x v="6183"/>
    <x v="0"/>
    <x v="0"/>
    <x v="123"/>
    <x v="0"/>
    <n v="0"/>
    <n v="530000"/>
    <n v="0"/>
    <n v="530000"/>
    <n v="21.122093271178596"/>
    <n v="14000"/>
    <n v="100"/>
    <x v="7710"/>
    <x v="2"/>
    <x v="4"/>
    <x v="0"/>
  </r>
  <r>
    <x v="727"/>
    <s v="ZTAN"/>
    <x v="8"/>
    <s v="RJ6819"/>
    <n v="94742285"/>
    <s v="PUERTO MONTT"/>
    <x v="6184"/>
    <x v="5"/>
    <x v="0"/>
    <x v="53"/>
    <x v="10"/>
    <n v="0"/>
    <n v="1282000"/>
    <n v="0"/>
    <n v="1282000"/>
    <n v="95.537319172149012"/>
    <n v="14000"/>
    <n v="100"/>
    <x v="7711"/>
    <x v="2"/>
    <x v="4"/>
    <x v="0"/>
  </r>
  <r>
    <x v="727"/>
    <s v="ZTAN"/>
    <x v="8"/>
    <s v="RWTG52"/>
    <n v="276547747"/>
    <s v="LA REINA"/>
    <x v="6185"/>
    <x v="0"/>
    <x v="0"/>
    <x v="11"/>
    <x v="1"/>
    <n v="3"/>
    <n v="69173"/>
    <n v="0"/>
    <n v="69173"/>
    <n v="19.340435050047532"/>
    <n v="5000"/>
    <n v="72"/>
    <x v="7712"/>
    <x v="2"/>
    <x v="4"/>
    <x v="1"/>
  </r>
  <r>
    <x v="728"/>
    <s v="ZPEP"/>
    <x v="5"/>
    <s v="WD7700"/>
    <n v="73835528"/>
    <s v="LAS CONDES"/>
    <x v="6186"/>
    <x v="0"/>
    <x v="0"/>
    <x v="3"/>
    <x v="1"/>
    <n v="4"/>
    <n v="69173"/>
    <n v="0"/>
    <n v="69173"/>
    <n v="8.3233862932997056"/>
    <n v="5000"/>
    <n v="100"/>
    <x v="7713"/>
    <x v="2"/>
    <x v="4"/>
    <x v="1"/>
  </r>
  <r>
    <x v="728"/>
    <s v="ZPEP"/>
    <x v="2"/>
    <s v="HXJC25"/>
    <n v="60688508"/>
    <s v="COQUIMBO"/>
    <x v="6187"/>
    <x v="0"/>
    <x v="0"/>
    <x v="42"/>
    <x v="8"/>
    <n v="0"/>
    <n v="850000"/>
    <n v="0"/>
    <n v="850000"/>
    <n v="37.047368329294443"/>
    <n v="14000"/>
    <n v="100"/>
    <x v="7714"/>
    <x v="2"/>
    <x v="4"/>
    <x v="0"/>
  </r>
  <r>
    <x v="728"/>
    <s v="ZTAN"/>
    <x v="4"/>
    <s v="RH1133"/>
    <n v="65941082"/>
    <s v="VILLA ALEMANA"/>
    <x v="6188"/>
    <x v="0"/>
    <x v="0"/>
    <x v="96"/>
    <x v="2"/>
    <n v="0"/>
    <n v="289000"/>
    <n v="0"/>
    <n v="289000"/>
    <n v="45.363219689834892"/>
    <n v="14000"/>
    <n v="46"/>
    <x v="7715"/>
    <x v="2"/>
    <x v="4"/>
    <x v="0"/>
  </r>
  <r>
    <x v="728"/>
    <s v="ZTAN"/>
    <x v="4"/>
    <s v="XR6339"/>
    <n v="78907355"/>
    <s v="SAN BERNARDO"/>
    <x v="248"/>
    <x v="1"/>
    <x v="1"/>
    <x v="4"/>
    <x v="1"/>
    <n v="4"/>
    <n v="69173"/>
    <n v="0"/>
    <n v="69173"/>
    <n v="23.045375799573563"/>
    <n v="5000"/>
    <n v="60"/>
    <x v="7716"/>
    <x v="2"/>
    <x v="4"/>
    <x v="1"/>
  </r>
  <r>
    <x v="728"/>
    <s v="ZTAN"/>
    <x v="7"/>
    <s v="CFHP57"/>
    <n v="181082518"/>
    <s v="CORONEL"/>
    <x v="6189"/>
    <x v="0"/>
    <x v="0"/>
    <x v="16"/>
    <x v="0"/>
    <n v="0"/>
    <n v="528000"/>
    <n v="0"/>
    <n v="528000"/>
    <n v="22.502825638901239"/>
    <n v="14000"/>
    <n v="100"/>
    <x v="7717"/>
    <x v="2"/>
    <x v="4"/>
    <x v="0"/>
  </r>
  <r>
    <x v="728"/>
    <s v="ZTAN"/>
    <x v="7"/>
    <s v="DJLF85"/>
    <n v="125108660"/>
    <s v="RENCA"/>
    <x v="6190"/>
    <x v="4"/>
    <x v="1"/>
    <x v="7"/>
    <x v="1"/>
    <n v="1"/>
    <n v="83882"/>
    <n v="0"/>
    <n v="83882"/>
    <n v="11.000052454888797"/>
    <n v="5000"/>
    <n v="100"/>
    <x v="7718"/>
    <x v="2"/>
    <x v="4"/>
    <x v="1"/>
  </r>
  <r>
    <x v="728"/>
    <s v="ZTAN"/>
    <x v="7"/>
    <s v="WG4022"/>
    <n v="154837728"/>
    <s v="RENCA"/>
    <x v="6191"/>
    <x v="1"/>
    <x v="0"/>
    <x v="7"/>
    <x v="1"/>
    <n v="1"/>
    <n v="123614"/>
    <n v="0"/>
    <n v="123614"/>
    <n v="10.999957286557368"/>
    <n v="5000"/>
    <n v="100"/>
    <x v="7719"/>
    <x v="2"/>
    <x v="4"/>
    <x v="1"/>
  </r>
  <r>
    <x v="728"/>
    <s v="ZTAN"/>
    <x v="8"/>
    <s v="GPGJ41"/>
    <n v="180293914"/>
    <s v="TALCA"/>
    <x v="6192"/>
    <x v="0"/>
    <x v="0"/>
    <x v="12"/>
    <x v="3"/>
    <n v="0"/>
    <n v="402000"/>
    <n v="0"/>
    <n v="402000"/>
    <n v="89.333333333333329"/>
    <n v="14000"/>
    <n v="45"/>
    <x v="7720"/>
    <x v="2"/>
    <x v="4"/>
    <x v="0"/>
  </r>
  <r>
    <x v="728"/>
    <s v="ZTAN"/>
    <x v="8"/>
    <s v="SV2718"/>
    <n v="107643206"/>
    <s v="LAS CONDES"/>
    <x v="6193"/>
    <x v="1"/>
    <x v="1"/>
    <x v="3"/>
    <x v="1"/>
    <n v="4"/>
    <n v="56587"/>
    <n v="0"/>
    <n v="56587"/>
    <n v="10.999984448746961"/>
    <n v="5000"/>
    <n v="100"/>
    <x v="7721"/>
    <x v="2"/>
    <x v="4"/>
    <x v="1"/>
  </r>
  <r>
    <x v="728"/>
    <s v="ZTAN"/>
    <x v="8"/>
    <s v="YB5040"/>
    <n v="119629756"/>
    <s v="VILLARRICA"/>
    <x v="6194"/>
    <x v="0"/>
    <x v="0"/>
    <x v="88"/>
    <x v="4"/>
    <n v="0"/>
    <n v="1000000"/>
    <n v="0"/>
    <n v="1000000"/>
    <n v="99.30407702818647"/>
    <n v="14000"/>
    <n v="75"/>
    <x v="7722"/>
    <x v="2"/>
    <x v="4"/>
    <x v="0"/>
  </r>
  <r>
    <x v="729"/>
    <s v="ZPEP"/>
    <x v="139"/>
    <s v="HLBX77"/>
    <n v="154837728"/>
    <s v="PROVIDENCIA"/>
    <x v="6195"/>
    <x v="1"/>
    <x v="1"/>
    <x v="54"/>
    <x v="1"/>
    <n v="2"/>
    <n v="102482"/>
    <n v="0"/>
    <n v="102482"/>
    <n v="10.9999946332065"/>
    <n v="5000"/>
    <n v="100"/>
    <x v="7723"/>
    <x v="2"/>
    <x v="4"/>
    <x v="1"/>
  </r>
  <r>
    <x v="729"/>
    <s v="ZTAN"/>
    <x v="10"/>
    <s v="KKPF51"/>
    <n v="95707734"/>
    <s v="QUILICURA"/>
    <x v="6196"/>
    <x v="8"/>
    <x v="0"/>
    <x v="8"/>
    <x v="1"/>
    <n v="1"/>
    <n v="93509"/>
    <n v="0"/>
    <n v="93509"/>
    <n v="11.000010587226395"/>
    <n v="5000"/>
    <n v="100"/>
    <x v="7724"/>
    <x v="2"/>
    <x v="4"/>
    <x v="1"/>
  </r>
  <r>
    <x v="729"/>
    <s v="ZTAN"/>
    <x v="10"/>
    <s v="WD7700"/>
    <n v="73835526"/>
    <s v="TALAGANTE"/>
    <x v="6197"/>
    <x v="0"/>
    <x v="0"/>
    <x v="50"/>
    <x v="1"/>
    <n v="4"/>
    <n v="69173"/>
    <n v="0"/>
    <n v="69173"/>
    <n v="25.264799555867228"/>
    <n v="5000"/>
    <n v="55"/>
    <x v="7725"/>
    <x v="2"/>
    <x v="4"/>
    <x v="1"/>
  </r>
  <r>
    <x v="729"/>
    <s v="ZTAN"/>
    <x v="16"/>
    <s v="XR6339"/>
    <n v="78907355"/>
    <s v="SAN BERNARDO"/>
    <x v="471"/>
    <x v="1"/>
    <x v="1"/>
    <x v="4"/>
    <x v="1"/>
    <n v="4"/>
    <n v="69173"/>
    <n v="0"/>
    <n v="69173"/>
    <n v="30.727167732764752"/>
    <n v="5000"/>
    <n v="45"/>
    <x v="7726"/>
    <x v="2"/>
    <x v="4"/>
    <x v="1"/>
  </r>
  <r>
    <x v="729"/>
    <s v="ZTAN"/>
    <x v="7"/>
    <s v="DJLF85"/>
    <n v="125108660"/>
    <s v="MELIPILLA"/>
    <x v="372"/>
    <x v="4"/>
    <x v="1"/>
    <x v="29"/>
    <x v="1"/>
    <n v="5"/>
    <n v="112500"/>
    <n v="0"/>
    <n v="112500"/>
    <n v="21.417148949131899"/>
    <n v="10000"/>
    <n v="53"/>
    <x v="7727"/>
    <x v="2"/>
    <x v="4"/>
    <x v="1"/>
  </r>
  <r>
    <x v="729"/>
    <s v="ZTAN"/>
    <x v="7"/>
    <s v="DKDL81"/>
    <n v="122975819"/>
    <s v="CHILLAN"/>
    <x v="6198"/>
    <x v="0"/>
    <x v="0"/>
    <x v="21"/>
    <x v="5"/>
    <n v="0"/>
    <n v="500000"/>
    <n v="0"/>
    <n v="500000"/>
    <n v="26.054585398593471"/>
    <n v="14000"/>
    <n v="75"/>
    <x v="7728"/>
    <x v="2"/>
    <x v="4"/>
    <x v="0"/>
  </r>
  <r>
    <x v="729"/>
    <s v="ZTAN"/>
    <x v="7"/>
    <s v="RH1133"/>
    <n v="65941082"/>
    <s v="RANCAGUA"/>
    <x v="6199"/>
    <x v="0"/>
    <x v="0"/>
    <x v="28"/>
    <x v="6"/>
    <n v="0"/>
    <n v="289000"/>
    <n v="0"/>
    <n v="289000"/>
    <n v="15.106940410699687"/>
    <n v="14000"/>
    <n v="100"/>
    <x v="7729"/>
    <x v="2"/>
    <x v="4"/>
    <x v="0"/>
  </r>
  <r>
    <x v="729"/>
    <s v="ZTAN"/>
    <x v="7"/>
    <s v="WG4022"/>
    <n v="154837728"/>
    <s v="RENCA"/>
    <x v="6200"/>
    <x v="1"/>
    <x v="0"/>
    <x v="7"/>
    <x v="1"/>
    <n v="1"/>
    <n v="219156"/>
    <n v="0"/>
    <n v="219156"/>
    <n v="11.000018069350162"/>
    <n v="5000"/>
    <n v="100"/>
    <x v="7730"/>
    <x v="2"/>
    <x v="4"/>
    <x v="1"/>
  </r>
  <r>
    <x v="729"/>
    <s v="ZTAN"/>
    <x v="8"/>
    <s v="SV2718"/>
    <n v="107643206"/>
    <s v="PUDAHUEL"/>
    <x v="6201"/>
    <x v="1"/>
    <x v="1"/>
    <x v="10"/>
    <x v="1"/>
    <n v="1"/>
    <n v="69173"/>
    <n v="0"/>
    <n v="69173"/>
    <n v="19.88266945669233"/>
    <n v="5000"/>
    <n v="70"/>
    <x v="7731"/>
    <x v="2"/>
    <x v="4"/>
    <x v="1"/>
  </r>
  <r>
    <x v="730"/>
    <s v="ZPEP"/>
    <x v="5"/>
    <s v="DJLF85"/>
    <n v="125108660"/>
    <s v="BUIN"/>
    <x v="6202"/>
    <x v="4"/>
    <x v="1"/>
    <x v="56"/>
    <x v="1"/>
    <n v="5"/>
    <n v="112500"/>
    <n v="0"/>
    <n v="112500"/>
    <n v="11.563747599879942"/>
    <n v="10000"/>
    <n v="97"/>
    <x v="7732"/>
    <x v="2"/>
    <x v="4"/>
    <x v="1"/>
  </r>
  <r>
    <x v="730"/>
    <s v="ZPEP"/>
    <x v="103"/>
    <s v="HLBX77"/>
    <n v="78907355"/>
    <s v="SANTIAGO"/>
    <x v="6203"/>
    <x v="1"/>
    <x v="1"/>
    <x v="20"/>
    <x v="1"/>
    <n v="1"/>
    <n v="108979"/>
    <n v="0"/>
    <n v="108979"/>
    <n v="10.999979812661499"/>
    <n v="5000"/>
    <n v="100"/>
    <x v="7733"/>
    <x v="2"/>
    <x v="4"/>
    <x v="1"/>
  </r>
  <r>
    <x v="730"/>
    <s v="ZPEP"/>
    <x v="137"/>
    <s v="DJLF85"/>
    <n v="125108660"/>
    <s v="LAS CONDES"/>
    <x v="6101"/>
    <x v="4"/>
    <x v="1"/>
    <x v="3"/>
    <x v="1"/>
    <n v="4"/>
    <n v="109978"/>
    <n v="0"/>
    <n v="109978"/>
    <n v="10.999955991374309"/>
    <n v="5000"/>
    <n v="100"/>
    <x v="7734"/>
    <x v="2"/>
    <x v="4"/>
    <x v="1"/>
  </r>
  <r>
    <x v="730"/>
    <s v="ZTAN"/>
    <x v="10"/>
    <s v="WD7700"/>
    <n v="73835526"/>
    <s v="QUILICURA"/>
    <x v="6204"/>
    <x v="0"/>
    <x v="0"/>
    <x v="8"/>
    <x v="1"/>
    <n v="1"/>
    <n v="67872"/>
    <n v="0"/>
    <n v="67872"/>
    <n v="11.000038896884357"/>
    <n v="5000"/>
    <n v="100"/>
    <x v="7735"/>
    <x v="2"/>
    <x v="4"/>
    <x v="1"/>
  </r>
  <r>
    <x v="730"/>
    <s v="ZTAN"/>
    <x v="41"/>
    <s v="KKPF51"/>
    <n v="95707734"/>
    <s v="EL MANZANO"/>
    <x v="6205"/>
    <x v="8"/>
    <x v="0"/>
    <x v="61"/>
    <x v="6"/>
    <n v="0"/>
    <n v="290000"/>
    <n v="0"/>
    <n v="290000"/>
    <n v="18.243147181937019"/>
    <n v="14000"/>
    <n v="100"/>
    <x v="7736"/>
    <x v="2"/>
    <x v="4"/>
    <x v="0"/>
  </r>
  <r>
    <x v="730"/>
    <s v="ZTAN"/>
    <x v="41"/>
    <s v="RH1133"/>
    <n v="65941082"/>
    <s v="LITUECHE"/>
    <x v="6206"/>
    <x v="0"/>
    <x v="0"/>
    <x v="112"/>
    <x v="6"/>
    <n v="0"/>
    <n v="350000"/>
    <n v="0"/>
    <n v="350000"/>
    <n v="50.486546056712264"/>
    <n v="14000"/>
    <n v="50"/>
    <x v="7737"/>
    <x v="2"/>
    <x v="4"/>
    <x v="0"/>
  </r>
  <r>
    <x v="730"/>
    <s v="ZTAN"/>
    <x v="41"/>
    <s v="WG4022"/>
    <n v="154837728"/>
    <s v="LAS CABRAS"/>
    <x v="6207"/>
    <x v="1"/>
    <x v="0"/>
    <x v="61"/>
    <x v="6"/>
    <n v="0"/>
    <n v="290000"/>
    <n v="0"/>
    <n v="290000"/>
    <n v="53.930210588174013"/>
    <n v="14000"/>
    <n v="38"/>
    <x v="7738"/>
    <x v="2"/>
    <x v="4"/>
    <x v="0"/>
  </r>
  <r>
    <x v="730"/>
    <s v="ZTAN"/>
    <x v="75"/>
    <s v="XR6339"/>
    <n v="78907355"/>
    <s v="PADRE HURTADO"/>
    <x v="6208"/>
    <x v="1"/>
    <x v="1"/>
    <x v="26"/>
    <x v="1"/>
    <n v="5"/>
    <n v="112500"/>
    <n v="0"/>
    <n v="112500"/>
    <n v="11.415525114155251"/>
    <n v="10000"/>
    <n v="100"/>
    <x v="7739"/>
    <x v="2"/>
    <x v="4"/>
    <x v="1"/>
  </r>
  <r>
    <x v="730"/>
    <s v="ZTAN"/>
    <x v="70"/>
    <s v="PYZP22"/>
    <n v="114163848"/>
    <s v="VILLARRICA"/>
    <x v="6209"/>
    <x v="0"/>
    <x v="0"/>
    <x v="88"/>
    <x v="4"/>
    <n v="0"/>
    <n v="1000000"/>
    <n v="0"/>
    <n v="1000000"/>
    <n v="113.31187961745911"/>
    <n v="14000"/>
    <n v="63"/>
    <x v="7740"/>
    <x v="2"/>
    <x v="4"/>
    <x v="0"/>
  </r>
  <r>
    <x v="730"/>
    <s v="ZTAN"/>
    <x v="7"/>
    <s v="DKDL88"/>
    <n v="122975819"/>
    <s v="CHILLAN"/>
    <x v="6210"/>
    <x v="0"/>
    <x v="0"/>
    <x v="21"/>
    <x v="5"/>
    <n v="0"/>
    <n v="500000"/>
    <n v="0"/>
    <n v="500000"/>
    <n v="45.617191477248888"/>
    <n v="14000"/>
    <n v="74"/>
    <x v="7741"/>
    <x v="2"/>
    <x v="4"/>
    <x v="0"/>
  </r>
  <r>
    <x v="730"/>
    <s v="ZTAN"/>
    <x v="8"/>
    <s v="FSFS27"/>
    <n v="103576032"/>
    <s v="VILLARRICA"/>
    <x v="6211"/>
    <x v="0"/>
    <x v="0"/>
    <x v="88"/>
    <x v="4"/>
    <n v="0"/>
    <n v="1000000"/>
    <n v="0"/>
    <n v="1000000"/>
    <n v="134.54423141607802"/>
    <n v="14000"/>
    <n v="53"/>
    <x v="7742"/>
    <x v="2"/>
    <x v="4"/>
    <x v="0"/>
  </r>
  <r>
    <x v="730"/>
    <s v="ZTAN"/>
    <x v="8"/>
    <s v="GGZX13"/>
    <n v="137998513"/>
    <s v="VALDIVIA"/>
    <x v="6212"/>
    <x v="0"/>
    <x v="0"/>
    <x v="77"/>
    <x v="11"/>
    <n v="0"/>
    <n v="1100000"/>
    <n v="0"/>
    <n v="1100000"/>
    <n v="164.4178785011666"/>
    <n v="14000"/>
    <n v="48"/>
    <x v="7743"/>
    <x v="2"/>
    <x v="4"/>
    <x v="0"/>
  </r>
  <r>
    <x v="730"/>
    <s v="ZTAN"/>
    <x v="8"/>
    <s v="GHLW16"/>
    <n v="161391735"/>
    <s v="CORONEL"/>
    <x v="6213"/>
    <x v="0"/>
    <x v="0"/>
    <x v="16"/>
    <x v="0"/>
    <n v="0"/>
    <n v="528000"/>
    <n v="0"/>
    <n v="528000"/>
    <n v="88.068583409330017"/>
    <n v="14000"/>
    <n v="55"/>
    <x v="7744"/>
    <x v="2"/>
    <x v="4"/>
    <x v="0"/>
  </r>
  <r>
    <x v="730"/>
    <s v="ZTAN"/>
    <x v="8"/>
    <s v="HLBX77"/>
    <n v="98417709"/>
    <s v="ÑUÑOA"/>
    <x v="6214"/>
    <x v="1"/>
    <x v="1"/>
    <x v="15"/>
    <x v="1"/>
    <n v="4"/>
    <n v="69173"/>
    <n v="0"/>
    <n v="69173"/>
    <n v="25.267568179659705"/>
    <n v="5000"/>
    <n v="55"/>
    <x v="7745"/>
    <x v="2"/>
    <x v="4"/>
    <x v="1"/>
  </r>
  <r>
    <x v="730"/>
    <s v="ZTAN"/>
    <x v="8"/>
    <s v="RKLH77"/>
    <n v="94590507"/>
    <s v="TALCAHUANO"/>
    <x v="6215"/>
    <x v="0"/>
    <x v="0"/>
    <x v="0"/>
    <x v="0"/>
    <n v="0"/>
    <n v="506000"/>
    <n v="0"/>
    <n v="506000"/>
    <n v="63.665496949466458"/>
    <n v="14000"/>
    <n v="37"/>
    <x v="7746"/>
    <x v="2"/>
    <x v="4"/>
    <x v="0"/>
  </r>
  <r>
    <x v="730"/>
    <s v="ZTAN"/>
    <x v="8"/>
    <s v="RWTG52"/>
    <n v="276547747"/>
    <s v="EL BOSQUE"/>
    <x v="6216"/>
    <x v="0"/>
    <x v="0"/>
    <x v="25"/>
    <x v="1"/>
    <n v="3"/>
    <n v="69173"/>
    <n v="0"/>
    <n v="69173"/>
    <n v="16.982637559045067"/>
    <n v="5000"/>
    <n v="81"/>
    <x v="7747"/>
    <x v="2"/>
    <x v="4"/>
    <x v="1"/>
  </r>
  <r>
    <x v="730"/>
    <s v="ZTAN"/>
    <x v="8"/>
    <s v="SCWL85"/>
    <n v="256738929"/>
    <s v="ÑUÑOA"/>
    <x v="6217"/>
    <x v="0"/>
    <x v="0"/>
    <x v="15"/>
    <x v="1"/>
    <n v="4"/>
    <n v="69173"/>
    <n v="0"/>
    <n v="69173"/>
    <n v="24.161019909186169"/>
    <n v="5000"/>
    <n v="57"/>
    <x v="7748"/>
    <x v="2"/>
    <x v="4"/>
    <x v="1"/>
  </r>
  <r>
    <x v="730"/>
    <s v="ZTAN"/>
    <x v="8"/>
    <s v="SV2718"/>
    <n v="107643206"/>
    <s v="SAN BERNARDO"/>
    <x v="6218"/>
    <x v="1"/>
    <x v="1"/>
    <x v="4"/>
    <x v="1"/>
    <n v="4"/>
    <n v="69173"/>
    <n v="0"/>
    <n v="69173"/>
    <n v="14.775440979831767"/>
    <n v="5000"/>
    <n v="94"/>
    <x v="7749"/>
    <x v="2"/>
    <x v="4"/>
    <x v="1"/>
  </r>
  <r>
    <x v="730"/>
    <s v="ZTAN"/>
    <x v="8"/>
    <s v="XR6339"/>
    <n v="78907355"/>
    <s v="PUDAHUEL"/>
    <x v="6219"/>
    <x v="1"/>
    <x v="1"/>
    <x v="10"/>
    <x v="1"/>
    <n v="1"/>
    <n v="69173"/>
    <n v="0"/>
    <n v="69173"/>
    <n v="14.254479961753407"/>
    <n v="5000"/>
    <n v="97"/>
    <x v="7750"/>
    <x v="2"/>
    <x v="4"/>
    <x v="1"/>
  </r>
  <r>
    <x v="731"/>
    <s v="ZPEP"/>
    <x v="139"/>
    <s v="SU9354"/>
    <n v="72564391"/>
    <s v="PROVIDENCIA"/>
    <x v="6220"/>
    <x v="2"/>
    <x v="1"/>
    <x v="54"/>
    <x v="1"/>
    <n v="2"/>
    <n v="69173"/>
    <n v="0"/>
    <n v="69173"/>
    <n v="20.524407467628802"/>
    <n v="5000"/>
    <n v="67"/>
    <x v="7751"/>
    <x v="2"/>
    <x v="4"/>
    <x v="1"/>
  </r>
  <r>
    <x v="731"/>
    <s v="ZTAN"/>
    <x v="10"/>
    <s v="KKPF51"/>
    <n v="95707734"/>
    <s v="QUILICURA"/>
    <x v="6221"/>
    <x v="8"/>
    <x v="0"/>
    <x v="8"/>
    <x v="1"/>
    <n v="1"/>
    <n v="69034"/>
    <n v="0"/>
    <n v="69034"/>
    <n v="9.7881276026786406"/>
    <n v="5000"/>
    <n v="100"/>
    <x v="7752"/>
    <x v="2"/>
    <x v="4"/>
    <x v="1"/>
  </r>
  <r>
    <x v="731"/>
    <s v="ZTAN"/>
    <x v="41"/>
    <s v="RH1133"/>
    <n v="65941082"/>
    <s v="SAN VICENTE"/>
    <x v="6222"/>
    <x v="0"/>
    <x v="0"/>
    <x v="90"/>
    <x v="6"/>
    <n v="0"/>
    <n v="289000"/>
    <n v="0"/>
    <n v="289000"/>
    <n v="46.609896135733187"/>
    <n v="14000"/>
    <n v="44"/>
    <x v="7753"/>
    <x v="2"/>
    <x v="4"/>
    <x v="0"/>
  </r>
  <r>
    <x v="731"/>
    <s v="ZTAN"/>
    <x v="137"/>
    <s v="DJLF85"/>
    <n v="125108660"/>
    <s v="LAS CONDES"/>
    <x v="923"/>
    <x v="4"/>
    <x v="1"/>
    <x v="3"/>
    <x v="1"/>
    <n v="4"/>
    <n v="151420"/>
    <n v="0"/>
    <n v="151420"/>
    <n v="10.999963677309214"/>
    <n v="5000"/>
    <n v="100"/>
    <x v="7754"/>
    <x v="2"/>
    <x v="4"/>
    <x v="1"/>
  </r>
  <r>
    <x v="731"/>
    <s v="ZTAN"/>
    <x v="7"/>
    <s v="HLBX77"/>
    <n v="81417709"/>
    <s v="SAN MIGUEL"/>
    <x v="361"/>
    <x v="1"/>
    <x v="1"/>
    <x v="23"/>
    <x v="1"/>
    <n v="2"/>
    <n v="69173"/>
    <n v="0"/>
    <n v="69173"/>
    <n v="17.338329657108481"/>
    <n v="5000"/>
    <n v="80"/>
    <x v="7755"/>
    <x v="2"/>
    <x v="4"/>
    <x v="1"/>
  </r>
  <r>
    <x v="731"/>
    <s v="ZTAN"/>
    <x v="7"/>
    <s v="WG4022"/>
    <n v="154837728"/>
    <s v="RENCA"/>
    <x v="6223"/>
    <x v="1"/>
    <x v="0"/>
    <x v="7"/>
    <x v="1"/>
    <n v="1"/>
    <n v="176742"/>
    <n v="0"/>
    <n v="176742"/>
    <n v="10.999989419616156"/>
    <n v="5000"/>
    <n v="100"/>
    <x v="7756"/>
    <x v="2"/>
    <x v="4"/>
    <x v="1"/>
  </r>
  <r>
    <x v="731"/>
    <s v="ZTAN"/>
    <x v="8"/>
    <s v="RWTG52"/>
    <n v="276547747"/>
    <s v="SAN MIGUEL"/>
    <x v="6224"/>
    <x v="0"/>
    <x v="0"/>
    <x v="23"/>
    <x v="1"/>
    <n v="2"/>
    <n v="69173"/>
    <n v="0"/>
    <n v="69173"/>
    <n v="29.068926971533273"/>
    <n v="5000"/>
    <n v="48"/>
    <x v="7757"/>
    <x v="2"/>
    <x v="4"/>
    <x v="1"/>
  </r>
  <r>
    <x v="731"/>
    <s v="ZTAN"/>
    <x v="8"/>
    <s v="SV2718"/>
    <n v="107643206"/>
    <s v="PUENTE ALTO"/>
    <x v="6225"/>
    <x v="1"/>
    <x v="1"/>
    <x v="30"/>
    <x v="1"/>
    <n v="4"/>
    <n v="69173"/>
    <n v="0"/>
    <n v="69173"/>
    <n v="24.784306700107489"/>
    <n v="5000"/>
    <n v="56"/>
    <x v="7758"/>
    <x v="2"/>
    <x v="4"/>
    <x v="1"/>
  </r>
  <r>
    <x v="731"/>
    <s v="ZTAN"/>
    <x v="8"/>
    <s v="XR6339"/>
    <n v="78907355"/>
    <s v="TALAGANTE"/>
    <x v="6226"/>
    <x v="1"/>
    <x v="1"/>
    <x v="50"/>
    <x v="1"/>
    <n v="4"/>
    <n v="69173"/>
    <n v="0"/>
    <n v="69173"/>
    <n v="27.653603367700619"/>
    <n v="5000"/>
    <n v="50"/>
    <x v="7759"/>
    <x v="2"/>
    <x v="4"/>
    <x v="1"/>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3"/>
    <x v="5"/>
    <x v="0"/>
  </r>
  <r>
    <x v="732"/>
    <m/>
    <x v="153"/>
    <m/>
    <m/>
    <m/>
    <x v="6227"/>
    <x v="9"/>
    <x v="2"/>
    <x v="124"/>
    <x v="14"/>
    <m/>
    <m/>
    <m/>
    <m/>
    <m/>
    <m/>
    <m/>
    <x v="0"/>
    <x v="9"/>
    <x v="2"/>
    <x v="2"/>
  </r>
  <r>
    <x v="732"/>
    <m/>
    <x v="153"/>
    <m/>
    <m/>
    <m/>
    <x v="6227"/>
    <x v="9"/>
    <x v="2"/>
    <x v="124"/>
    <x v="14"/>
    <m/>
    <m/>
    <m/>
    <m/>
    <m/>
    <m/>
    <m/>
    <x v="0"/>
    <x v="9"/>
    <x v="2"/>
    <x v="2"/>
  </r>
  <r>
    <x v="732"/>
    <m/>
    <x v="153"/>
    <m/>
    <m/>
    <m/>
    <x v="6227"/>
    <x v="9"/>
    <x v="2"/>
    <x v="124"/>
    <x v="14"/>
    <m/>
    <m/>
    <m/>
    <m/>
    <m/>
    <m/>
    <m/>
    <x v="0"/>
    <x v="9"/>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88CCBE-D09B-4EA2-8BE1-2C8922C97983}" name="TablaDinámica1" cacheId="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olHeaderCaption="Transporte ">
  <location ref="A5:F13" firstHeaderRow="1" firstDataRow="2" firstDataCol="1" rowPageCount="3" colPageCount="1"/>
  <pivotFields count="24">
    <pivotField axis="axisPage" multipleItemSelectionAllowed="1" showAll="0">
      <items count="735">
        <item h="1" x="87"/>
        <item h="1" x="334"/>
        <item h="1" x="107"/>
        <item h="1" x="353"/>
        <item h="1" x="130"/>
        <item h="1" x="375"/>
        <item h="1" x="171"/>
        <item h="1" x="414"/>
        <item h="1" x="191"/>
        <item h="1" x="431"/>
        <item h="1" x="450"/>
        <item h="1" x="234"/>
        <item x="472"/>
        <item h="1" x="0"/>
        <item h="1" x="273"/>
        <item h="1" x="43"/>
        <item h="1" x="295"/>
        <item h="1" x="88"/>
        <item h="1" x="335"/>
        <item h="1" x="108"/>
        <item h="1" x="354"/>
        <item h="1" x="393"/>
        <item h="1" x="172"/>
        <item h="1" x="415"/>
        <item h="1" x="192"/>
        <item h="1" x="212"/>
        <item h="1" x="451"/>
        <item h="1" x="235"/>
        <item x="473"/>
        <item h="1" x="1"/>
        <item h="1" x="22"/>
        <item h="1" x="275"/>
        <item h="1" x="44"/>
        <item h="1" x="296"/>
        <item h="1" x="313"/>
        <item h="1" x="89"/>
        <item h="1" x="336"/>
        <item h="1" x="109"/>
        <item h="1" x="355"/>
        <item h="1" x="151"/>
        <item h="1" x="394"/>
        <item h="1" x="173"/>
        <item h="1" x="416"/>
        <item h="1" x="213"/>
        <item h="1" x="452"/>
        <item h="1" x="236"/>
        <item h="1" x="2"/>
        <item h="1" x="491"/>
        <item h="1" x="23"/>
        <item h="1" x="276"/>
        <item h="1" x="45"/>
        <item h="1" x="297"/>
        <item h="1" x="65"/>
        <item h="1" x="314"/>
        <item h="1" x="90"/>
        <item h="1" x="337"/>
        <item h="1" x="110"/>
        <item h="1" x="356"/>
        <item h="1" x="376"/>
        <item h="1" x="152"/>
        <item h="1" x="395"/>
        <item h="1" x="174"/>
        <item h="1" x="432"/>
        <item h="1" x="214"/>
        <item h="1" x="453"/>
        <item h="1" x="255"/>
        <item h="1" x="24"/>
        <item h="1" x="277"/>
        <item h="1" x="46"/>
        <item h="1" x="66"/>
        <item h="1" x="315"/>
        <item h="1" x="91"/>
        <item h="1" x="111"/>
        <item h="1" x="131"/>
        <item h="1" x="377"/>
        <item h="1" x="153"/>
        <item h="1" x="396"/>
        <item h="1" x="193"/>
        <item h="1" x="433"/>
        <item h="1" x="215"/>
        <item h="1" x="454"/>
        <item x="474"/>
        <item h="1" x="3"/>
        <item h="1" x="272"/>
        <item h="1" x="25"/>
        <item h="1" x="278"/>
        <item h="1" x="67"/>
        <item h="1" x="316"/>
        <item h="1" x="132"/>
        <item h="1" x="378"/>
        <item h="1" x="154"/>
        <item h="1" x="397"/>
        <item h="1" x="417"/>
        <item h="1" x="194"/>
        <item h="1" x="434"/>
        <item h="1" x="237"/>
        <item x="475"/>
        <item h="1" x="4"/>
        <item h="1" x="256"/>
        <item h="1" x="26"/>
        <item h="1" x="298"/>
        <item h="1" x="68"/>
        <item h="1" x="317"/>
        <item h="1" x="338"/>
        <item h="1" x="357"/>
        <item h="1" x="133"/>
        <item h="1" x="379"/>
        <item h="1" x="155"/>
        <item h="1" x="175"/>
        <item h="1" x="418"/>
        <item h="1" x="195"/>
        <item h="1" x="435"/>
        <item h="1" x="238"/>
        <item x="476"/>
        <item h="1" x="5"/>
        <item h="1" x="257"/>
        <item h="1" x="47"/>
        <item h="1" x="69"/>
        <item h="1" x="92"/>
        <item h="1" x="339"/>
        <item h="1" x="112"/>
        <item h="1" x="358"/>
        <item h="1" x="134"/>
        <item h="1" x="380"/>
        <item h="1" x="176"/>
        <item h="1" x="419"/>
        <item h="1" x="196"/>
        <item h="1" x="455"/>
        <item h="1" x="239"/>
        <item x="477"/>
        <item h="1" x="6"/>
        <item h="1" x="258"/>
        <item h="1" x="282"/>
        <item h="1" x="70"/>
        <item h="1" x="93"/>
        <item h="1" x="340"/>
        <item h="1" x="113"/>
        <item h="1" x="359"/>
        <item h="1" x="135"/>
        <item h="1" x="398"/>
        <item h="1" x="177"/>
        <item h="1" x="197"/>
        <item h="1" x="216"/>
        <item h="1" x="456"/>
        <item h="1" x="240"/>
        <item x="478"/>
        <item h="1" x="7"/>
        <item h="1" x="27"/>
        <item h="1" x="283"/>
        <item h="1" x="48"/>
        <item h="1" x="299"/>
        <item h="1" x="318"/>
        <item h="1" x="94"/>
        <item h="1" x="341"/>
        <item h="1" x="114"/>
        <item h="1" x="360"/>
        <item h="1" x="156"/>
        <item h="1" x="399"/>
        <item h="1" x="178"/>
        <item h="1" x="420"/>
        <item h="1" x="217"/>
        <item h="1" x="457"/>
        <item h="1" x="241"/>
        <item h="1" x="28"/>
        <item h="1" x="279"/>
        <item h="1" x="49"/>
        <item h="1" x="300"/>
        <item h="1" x="71"/>
        <item h="1" x="319"/>
        <item h="1" x="95"/>
        <item h="1" x="342"/>
        <item h="1" x="115"/>
        <item h="1" x="361"/>
        <item h="1" x="381"/>
        <item h="1" x="157"/>
        <item h="1" x="400"/>
        <item h="1" x="179"/>
        <item h="1" x="436"/>
        <item h="1" x="218"/>
        <item h="1" x="458"/>
        <item h="1" x="29"/>
        <item h="1" x="280"/>
        <item h="1" x="50"/>
        <item h="1" x="72"/>
        <item h="1" x="320"/>
        <item h="1" x="96"/>
        <item h="1" x="116"/>
        <item h="1" x="136"/>
        <item h="1" x="382"/>
        <item h="1" x="158"/>
        <item h="1" x="401"/>
        <item h="1" x="198"/>
        <item h="1" x="437"/>
        <item h="1" x="219"/>
        <item h="1" x="459"/>
        <item x="479"/>
        <item h="1" x="259"/>
        <item h="1" x="30"/>
        <item h="1" x="281"/>
        <item h="1" x="73"/>
        <item h="1" x="321"/>
        <item h="1" x="137"/>
        <item h="1" x="383"/>
        <item h="1" x="159"/>
        <item h="1" x="421"/>
        <item h="1" x="199"/>
        <item h="1" x="438"/>
        <item h="1" x="220"/>
        <item h="1" x="242"/>
        <item x="480"/>
        <item h="1" x="8"/>
        <item h="1" x="260"/>
        <item h="1" x="31"/>
        <item h="1" x="301"/>
        <item h="1" x="74"/>
        <item h="1" x="322"/>
        <item h="1" x="362"/>
        <item h="1" x="138"/>
        <item h="1" x="160"/>
        <item h="1" x="180"/>
        <item h="1" x="422"/>
        <item h="1" x="200"/>
        <item h="1" x="439"/>
        <item h="1" x="243"/>
        <item x="481"/>
        <item h="1" x="9"/>
        <item h="1" x="261"/>
        <item h="1" x="51"/>
        <item h="1" x="302"/>
        <item h="1" x="75"/>
        <item h="1" x="97"/>
        <item h="1" x="343"/>
        <item h="1" x="117"/>
        <item h="1" x="363"/>
        <item h="1" x="139"/>
        <item h="1" x="181"/>
        <item h="1" x="423"/>
        <item h="1" x="201"/>
        <item h="1" x="440"/>
        <item h="1" x="244"/>
        <item h="1" x="10"/>
        <item h="1" x="262"/>
        <item h="1" x="284"/>
        <item h="1" x="52"/>
        <item h="1" x="303"/>
        <item h="1" x="76"/>
        <item h="1" x="98"/>
        <item h="1" x="344"/>
        <item h="1" x="118"/>
        <item h="1" x="364"/>
        <item h="1" x="140"/>
        <item h="1" x="402"/>
        <item h="1" x="182"/>
        <item h="1" x="424"/>
        <item h="1" x="221"/>
        <item h="1" x="460"/>
        <item h="1" x="245"/>
        <item h="1" x="11"/>
        <item h="1" x="32"/>
        <item h="1" x="53"/>
        <item h="1" x="304"/>
        <item h="1" x="323"/>
        <item h="1" x="99"/>
        <item h="1" x="345"/>
        <item h="1" x="119"/>
        <item h="1" x="365"/>
        <item h="1" x="161"/>
        <item h="1" x="403"/>
        <item h="1" x="183"/>
        <item h="1" x="425"/>
        <item h="1" x="222"/>
        <item h="1" x="461"/>
        <item h="1" x="33"/>
        <item h="1" x="285"/>
        <item h="1" x="54"/>
        <item h="1" x="305"/>
        <item h="1" x="77"/>
        <item h="1" x="324"/>
        <item h="1" x="100"/>
        <item h="1" x="346"/>
        <item h="1" x="120"/>
        <item h="1" x="366"/>
        <item h="1" x="384"/>
        <item h="1" x="162"/>
        <item h="1" x="404"/>
        <item h="1" x="184"/>
        <item h="1" x="441"/>
        <item h="1" x="223"/>
        <item h="1" x="462"/>
        <item h="1" x="263"/>
        <item h="1" x="34"/>
        <item h="1" x="286"/>
        <item h="1" x="55"/>
        <item h="1" x="78"/>
        <item h="1" x="325"/>
        <item h="1" x="101"/>
        <item h="1" x="121"/>
        <item h="1" x="141"/>
        <item h="1" x="385"/>
        <item h="1" x="163"/>
        <item h="1" x="405"/>
        <item h="1" x="202"/>
        <item h="1" x="442"/>
        <item h="1" x="224"/>
        <item h="1" x="463"/>
        <item h="1" x="12"/>
        <item h="1" x="264"/>
        <item h="1" x="35"/>
        <item h="1" x="287"/>
        <item h="1" x="56"/>
        <item h="1" x="79"/>
        <item h="1" x="326"/>
        <item h="1" x="142"/>
        <item h="1" x="386"/>
        <item h="1" x="164"/>
        <item h="1" x="406"/>
        <item h="1" x="203"/>
        <item h="1" x="443"/>
        <item h="1" x="225"/>
        <item x="482"/>
        <item h="1" x="13"/>
        <item h="1" x="265"/>
        <item h="1" x="36"/>
        <item h="1" x="80"/>
        <item h="1" x="327"/>
        <item h="1" x="347"/>
        <item h="1" x="143"/>
        <item h="1" x="387"/>
        <item h="1" x="204"/>
        <item h="1" x="444"/>
        <item h="1" x="246"/>
        <item x="483"/>
        <item h="1" x="14"/>
        <item h="1" x="266"/>
        <item h="1" x="57"/>
        <item h="1" x="306"/>
        <item h="1" x="81"/>
        <item h="1" x="102"/>
        <item h="1" x="348"/>
        <item h="1" x="122"/>
        <item h="1" x="367"/>
        <item h="1" x="144"/>
        <item h="1" x="388"/>
        <item h="1" x="185"/>
        <item h="1" x="205"/>
        <item h="1" x="464"/>
        <item h="1" x="247"/>
        <item x="484"/>
        <item h="1" x="15"/>
        <item h="1" x="267"/>
        <item h="1" x="288"/>
        <item h="1" x="58"/>
        <item h="1" x="307"/>
        <item h="1" x="103"/>
        <item h="1" x="349"/>
        <item h="1" x="123"/>
        <item h="1" x="368"/>
        <item h="1" x="145"/>
        <item h="1" x="407"/>
        <item h="1" x="186"/>
        <item h="1" x="426"/>
        <item h="1" x="206"/>
        <item h="1" x="226"/>
        <item h="1" x="465"/>
        <item h="1" x="248"/>
        <item x="485"/>
        <item h="1" x="16"/>
        <item h="1" x="37"/>
        <item h="1" x="289"/>
        <item h="1" x="59"/>
        <item h="1" x="308"/>
        <item h="1" x="328"/>
        <item h="1" x="104"/>
        <item h="1" x="350"/>
        <item h="1" x="124"/>
        <item h="1" x="369"/>
        <item h="1" x="165"/>
        <item h="1" x="408"/>
        <item h="1" x="187"/>
        <item h="1" x="427"/>
        <item h="1" x="227"/>
        <item h="1" x="466"/>
        <item h="1" x="249"/>
        <item h="1" x="38"/>
        <item h="1" x="290"/>
        <item h="1" x="60"/>
        <item h="1" x="82"/>
        <item h="1" x="329"/>
        <item h="1" x="105"/>
        <item h="1" x="351"/>
        <item h="1" x="125"/>
        <item h="1" x="370"/>
        <item h="1" x="389"/>
        <item h="1" x="166"/>
        <item h="1" x="409"/>
        <item h="1" x="188"/>
        <item h="1" x="445"/>
        <item h="1" x="228"/>
        <item h="1" x="467"/>
        <item h="1" x="268"/>
        <item h="1" x="39"/>
        <item h="1" x="291"/>
        <item h="1" x="83"/>
        <item h="1" x="330"/>
        <item h="1" x="106"/>
        <item h="1" x="126"/>
        <item h="1" x="146"/>
        <item h="1" x="167"/>
        <item h="1" x="410"/>
        <item h="1" x="207"/>
        <item h="1" x="446"/>
        <item h="1" x="229"/>
        <item h="1" x="468"/>
        <item x="486"/>
        <item h="1" x="17"/>
        <item h="1" x="269"/>
        <item h="1" x="40"/>
        <item h="1" x="292"/>
        <item h="1" x="84"/>
        <item h="1" x="331"/>
        <item h="1" x="147"/>
        <item h="1" x="390"/>
        <item h="1" x="168"/>
        <item h="1" x="411"/>
        <item h="1" x="208"/>
        <item h="1" x="447"/>
        <item h="1" x="230"/>
        <item h="1" x="250"/>
        <item x="487"/>
        <item h="1" x="18"/>
        <item h="1" x="270"/>
        <item h="1" x="41"/>
        <item h="1" x="309"/>
        <item h="1" x="85"/>
        <item h="1" x="332"/>
        <item h="1" x="352"/>
        <item h="1" x="371"/>
        <item h="1" x="148"/>
        <item h="1" x="391"/>
        <item h="1" x="169"/>
        <item h="1" x="428"/>
        <item h="1" x="209"/>
        <item h="1" x="448"/>
        <item h="1" x="231"/>
        <item h="1" x="251"/>
        <item x="488"/>
        <item h="1" x="19"/>
        <item h="1" x="271"/>
        <item h="1" x="61"/>
        <item h="1" x="310"/>
        <item h="1" x="86"/>
        <item h="1" x="127"/>
        <item h="1" x="372"/>
        <item h="1" x="149"/>
        <item h="1" x="392"/>
        <item h="1" x="189"/>
        <item h="1" x="429"/>
        <item h="1" x="210"/>
        <item h="1" x="449"/>
        <item h="1" x="469"/>
        <item h="1" x="252"/>
        <item x="489"/>
        <item h="1" x="20"/>
        <item h="1" x="274"/>
        <item h="1" x="293"/>
        <item h="1" x="62"/>
        <item h="1" x="311"/>
        <item h="1" x="128"/>
        <item h="1" x="373"/>
        <item h="1" x="150"/>
        <item h="1" x="412"/>
        <item h="1" x="190"/>
        <item h="1" x="430"/>
        <item h="1" x="211"/>
        <item h="1" x="232"/>
        <item h="1" x="470"/>
        <item h="1" x="254"/>
        <item x="490"/>
        <item h="1" x="21"/>
        <item h="1" x="42"/>
        <item h="1" x="294"/>
        <item h="1" x="63"/>
        <item h="1" x="312"/>
        <item h="1" x="333"/>
        <item h="1" x="129"/>
        <item h="1" x="374"/>
        <item h="1" x="170"/>
        <item h="1" x="413"/>
        <item h="1" x="233"/>
        <item h="1" x="471"/>
        <item h="1" x="64"/>
        <item h="1" x="253"/>
        <item m="1" x="733"/>
        <item h="1" x="732"/>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t="default"/>
      </items>
    </pivotField>
    <pivotField showAll="0"/>
    <pivotField axis="axisRow" showAll="0">
      <items count="156">
        <item x="51"/>
        <item x="0"/>
        <item x="63"/>
        <item x="54"/>
        <item x="15"/>
        <item x="13"/>
        <item x="67"/>
        <item x="17"/>
        <item x="3"/>
        <item x="95"/>
        <item x="49"/>
        <item x="4"/>
        <item m="1" x="154"/>
        <item x="107"/>
        <item x="34"/>
        <item x="79"/>
        <item x="21"/>
        <item x="102"/>
        <item x="47"/>
        <item x="1"/>
        <item x="76"/>
        <item x="35"/>
        <item x="37"/>
        <item x="82"/>
        <item x="29"/>
        <item x="86"/>
        <item x="58"/>
        <item x="40"/>
        <item x="104"/>
        <item x="26"/>
        <item x="111"/>
        <item x="5"/>
        <item x="46"/>
        <item x="30"/>
        <item x="73"/>
        <item x="59"/>
        <item x="77"/>
        <item x="50"/>
        <item x="87"/>
        <item x="19"/>
        <item x="27"/>
        <item x="65"/>
        <item x="38"/>
        <item x="32"/>
        <item x="88"/>
        <item x="11"/>
        <item x="31"/>
        <item x="96"/>
        <item x="39"/>
        <item x="97"/>
        <item x="85"/>
        <item x="93"/>
        <item x="72"/>
        <item x="62"/>
        <item x="2"/>
        <item x="109"/>
        <item x="61"/>
        <item x="89"/>
        <item x="18"/>
        <item x="12"/>
        <item x="78"/>
        <item x="10"/>
        <item x="52"/>
        <item x="105"/>
        <item x="24"/>
        <item x="6"/>
        <item x="66"/>
        <item x="16"/>
        <item x="42"/>
        <item x="108"/>
        <item x="103"/>
        <item x="55"/>
        <item x="41"/>
        <item x="20"/>
        <item x="60"/>
        <item x="22"/>
        <item x="71"/>
        <item x="14"/>
        <item x="56"/>
        <item x="91"/>
        <item x="44"/>
        <item x="80"/>
        <item x="36"/>
        <item x="25"/>
        <item x="110"/>
        <item x="75"/>
        <item x="70"/>
        <item x="74"/>
        <item x="69"/>
        <item x="43"/>
        <item x="84"/>
        <item x="9"/>
        <item x="101"/>
        <item x="7"/>
        <item x="81"/>
        <item x="48"/>
        <item x="90"/>
        <item x="112"/>
        <item x="99"/>
        <item x="106"/>
        <item x="68"/>
        <item x="64"/>
        <item x="100"/>
        <item x="98"/>
        <item x="94"/>
        <item x="8"/>
        <item x="45"/>
        <item x="92"/>
        <item x="33"/>
        <item x="57"/>
        <item x="23"/>
        <item x="53"/>
        <item x="83"/>
        <item x="28"/>
        <item x="153"/>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showAll="0"/>
    <pivotField showAll="0"/>
    <pivotField showAll="0"/>
    <pivotField dataField="1" showAll="0"/>
    <pivotField axis="axisCol" showAll="0">
      <items count="11">
        <item x="5"/>
        <item x="4"/>
        <item x="2"/>
        <item x="1"/>
        <item x="8"/>
        <item x="0"/>
        <item x="7"/>
        <item x="6"/>
        <item x="3"/>
        <item x="9"/>
        <item t="default"/>
      </items>
    </pivotField>
    <pivotField axis="axisPage" multipleItemSelectionAllowed="1" showAll="0">
      <items count="4">
        <item x="1"/>
        <item h="1" x="0"/>
        <item x="2"/>
        <item t="default"/>
      </items>
    </pivotField>
    <pivotField showAll="0"/>
    <pivotField axis="axisPage" multipleItemSelectionAllowed="1" showAll="0">
      <items count="16">
        <item x="7"/>
        <item x="13"/>
        <item x="9"/>
        <item x="8"/>
        <item x="4"/>
        <item x="10"/>
        <item x="11"/>
        <item x="5"/>
        <item x="12"/>
        <item x="2"/>
        <item x="0"/>
        <item x="6"/>
        <item x="3"/>
        <item h="1" x="1"/>
        <item x="14"/>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7">
    <i>
      <x v="54"/>
    </i>
    <i>
      <x v="61"/>
    </i>
    <i>
      <x v="65"/>
    </i>
    <i>
      <x v="67"/>
    </i>
    <i>
      <x v="86"/>
    </i>
    <i>
      <x v="105"/>
    </i>
    <i t="grand">
      <x/>
    </i>
  </rowItems>
  <colFields count="1">
    <field x="7"/>
  </colFields>
  <colItems count="5">
    <i>
      <x v="1"/>
    </i>
    <i>
      <x v="2"/>
    </i>
    <i>
      <x v="3"/>
    </i>
    <i>
      <x v="8"/>
    </i>
    <i t="grand">
      <x/>
    </i>
  </colItems>
  <pageFields count="3">
    <pageField fld="10" hier="-1"/>
    <pageField fld="0" hier="-1"/>
    <pageField fld="8" hier="-1"/>
  </pageFields>
  <dataFields count="1">
    <dataField name="Promedio de pesototal" fld="6" subtotal="average" baseField="2" baseItem="0" numFmtId="3"/>
  </dataFields>
  <formats count="12">
    <format dxfId="461">
      <pivotArea outline="0" collapsedLevelsAreSubtotals="1" fieldPosition="0"/>
    </format>
    <format dxfId="460">
      <pivotArea collapsedLevelsAreSubtotals="1" fieldPosition="0">
        <references count="2">
          <reference field="2" count="1">
            <x v="2"/>
          </reference>
          <reference field="7" count="1" selected="0">
            <x v="5"/>
          </reference>
        </references>
      </pivotArea>
    </format>
    <format dxfId="459">
      <pivotArea collapsedLevelsAreSubtotals="1" fieldPosition="0">
        <references count="2">
          <reference field="2" count="1">
            <x v="11"/>
          </reference>
          <reference field="7" count="1" selected="0">
            <x v="5"/>
          </reference>
        </references>
      </pivotArea>
    </format>
    <format dxfId="458">
      <pivotArea collapsedLevelsAreSubtotals="1" fieldPosition="0">
        <references count="2">
          <reference field="2" count="1">
            <x v="84"/>
          </reference>
          <reference field="7" count="1" selected="0">
            <x v="4"/>
          </reference>
        </references>
      </pivotArea>
    </format>
    <format dxfId="457">
      <pivotArea collapsedLevelsAreSubtotals="1" fieldPosition="0">
        <references count="2">
          <reference field="2" count="1">
            <x v="105"/>
          </reference>
          <reference field="7" count="1" selected="0">
            <x v="5"/>
          </reference>
        </references>
      </pivotArea>
    </format>
    <format dxfId="456">
      <pivotArea collapsedLevelsAreSubtotals="1" fieldPosition="0">
        <references count="2">
          <reference field="2" count="1">
            <x v="30"/>
          </reference>
          <reference field="7" count="1" selected="0">
            <x v="5"/>
          </reference>
        </references>
      </pivotArea>
    </format>
    <format dxfId="455">
      <pivotArea collapsedLevelsAreSubtotals="1" fieldPosition="0">
        <references count="2">
          <reference field="2" count="1">
            <x v="11"/>
          </reference>
          <reference field="7" count="1" selected="0">
            <x v="0"/>
          </reference>
        </references>
      </pivotArea>
    </format>
    <format dxfId="454">
      <pivotArea collapsedLevelsAreSubtotals="1" fieldPosition="0">
        <references count="2">
          <reference field="2" count="1">
            <x v="11"/>
          </reference>
          <reference field="7" count="1" selected="0">
            <x v="3"/>
          </reference>
        </references>
      </pivotArea>
    </format>
    <format dxfId="453">
      <pivotArea collapsedLevelsAreSubtotals="1" fieldPosition="0">
        <references count="2">
          <reference field="2" count="1">
            <x v="65"/>
          </reference>
          <reference field="7" count="1" selected="0">
            <x v="4"/>
          </reference>
        </references>
      </pivotArea>
    </format>
    <format dxfId="452">
      <pivotArea collapsedLevelsAreSubtotals="1" fieldPosition="0">
        <references count="2">
          <reference field="2" count="1">
            <x v="105"/>
          </reference>
          <reference field="7" count="1" selected="0">
            <x v="0"/>
          </reference>
        </references>
      </pivotArea>
    </format>
    <format dxfId="451">
      <pivotArea collapsedLevelsAreSubtotals="1" fieldPosition="0">
        <references count="2">
          <reference field="2" count="1">
            <x v="72"/>
          </reference>
          <reference field="7" count="1" selected="0">
            <x v="4"/>
          </reference>
        </references>
      </pivotArea>
    </format>
    <format dxfId="450">
      <pivotArea collapsedLevelsAreSubtotals="1" fieldPosition="0">
        <references count="2">
          <reference field="2" count="1">
            <x v="65"/>
          </reference>
          <reference field="7"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AA9351-83A4-4BB9-8C2F-B567937BE32B}" name="TablaDinámica2" cacheId="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Transportistas">
  <location ref="B12:B21" firstHeaderRow="1" firstDataRow="1" firstDataCol="1" rowPageCount="3" colPageCount="1"/>
  <pivotFields count="24">
    <pivotField axis="axisPage" multipleItemSelectionAllowed="1" showAll="0">
      <items count="735">
        <item h="1" x="87"/>
        <item x="334"/>
        <item h="1" x="107"/>
        <item x="353"/>
        <item h="1" x="130"/>
        <item x="375"/>
        <item h="1" x="171"/>
        <item x="414"/>
        <item h="1" x="191"/>
        <item x="431"/>
        <item x="450"/>
        <item h="1" x="234"/>
        <item x="472"/>
        <item h="1" x="0"/>
        <item h="1" x="273"/>
        <item h="1" x="43"/>
        <item x="295"/>
        <item x="528"/>
        <item h="1" x="88"/>
        <item x="335"/>
        <item h="1" x="108"/>
        <item x="354"/>
        <item x="393"/>
        <item h="1" x="172"/>
        <item x="415"/>
        <item h="1" x="192"/>
        <item h="1" x="212"/>
        <item x="451"/>
        <item h="1" x="235"/>
        <item x="473"/>
        <item h="1" x="1"/>
        <item h="1" x="22"/>
        <item h="1" x="275"/>
        <item x="510"/>
        <item h="1" x="44"/>
        <item x="296"/>
        <item x="529"/>
        <item x="313"/>
        <item h="1" x="89"/>
        <item x="336"/>
        <item h="1" x="109"/>
        <item x="355"/>
        <item h="1" x="151"/>
        <item x="394"/>
        <item h="1" x="173"/>
        <item x="416"/>
        <item h="1" x="213"/>
        <item x="452"/>
        <item h="1" x="236"/>
        <item h="1" x="2"/>
        <item x="491"/>
        <item h="1" x="23"/>
        <item h="1" x="276"/>
        <item x="511"/>
        <item h="1" x="45"/>
        <item x="297"/>
        <item h="1" x="65"/>
        <item x="314"/>
        <item h="1" x="90"/>
        <item x="337"/>
        <item h="1" x="110"/>
        <item x="356"/>
        <item x="376"/>
        <item h="1" x="152"/>
        <item x="395"/>
        <item h="1" x="174"/>
        <item x="432"/>
        <item h="1" x="214"/>
        <item x="453"/>
        <item h="1" x="255"/>
        <item x="492"/>
        <item h="1" x="24"/>
        <item h="1" x="277"/>
        <item x="512"/>
        <item h="1" x="46"/>
        <item h="1" x="66"/>
        <item x="315"/>
        <item h="1" x="91"/>
        <item h="1" x="111"/>
        <item h="1" x="131"/>
        <item x="377"/>
        <item h="1" x="153"/>
        <item x="396"/>
        <item h="1" x="193"/>
        <item x="433"/>
        <item h="1" x="215"/>
        <item x="454"/>
        <item x="474"/>
        <item h="1" x="3"/>
        <item h="1" x="272"/>
        <item x="493"/>
        <item h="1" x="25"/>
        <item h="1" x="278"/>
        <item h="1" x="67"/>
        <item x="316"/>
        <item h="1" x="132"/>
        <item x="378"/>
        <item h="1" x="154"/>
        <item x="397"/>
        <item x="417"/>
        <item h="1" x="194"/>
        <item x="434"/>
        <item h="1" x="237"/>
        <item x="475"/>
        <item h="1" x="4"/>
        <item h="1" x="256"/>
        <item x="494"/>
        <item h="1" x="26"/>
        <item x="298"/>
        <item x="530"/>
        <item h="1" x="68"/>
        <item x="317"/>
        <item x="338"/>
        <item x="357"/>
        <item h="1" x="133"/>
        <item x="379"/>
        <item h="1" x="155"/>
        <item h="1" x="175"/>
        <item x="418"/>
        <item h="1" x="195"/>
        <item x="435"/>
        <item h="1" x="238"/>
        <item x="476"/>
        <item h="1" x="5"/>
        <item h="1" x="257"/>
        <item x="495"/>
        <item x="513"/>
        <item h="1" x="47"/>
        <item x="531"/>
        <item h="1" x="69"/>
        <item h="1" x="92"/>
        <item x="339"/>
        <item h="1" x="112"/>
        <item x="358"/>
        <item h="1" x="134"/>
        <item x="380"/>
        <item h="1" x="176"/>
        <item x="419"/>
        <item h="1" x="196"/>
        <item x="455"/>
        <item h="1" x="239"/>
        <item x="477"/>
        <item h="1" x="6"/>
        <item h="1" x="258"/>
        <item h="1" x="282"/>
        <item h="1" x="70"/>
        <item h="1" x="93"/>
        <item x="340"/>
        <item h="1" x="113"/>
        <item x="359"/>
        <item h="1" x="135"/>
        <item x="398"/>
        <item h="1" x="177"/>
        <item h="1" x="197"/>
        <item h="1" x="216"/>
        <item x="456"/>
        <item h="1" x="240"/>
        <item x="478"/>
        <item h="1" x="7"/>
        <item h="1" x="27"/>
        <item h="1" x="283"/>
        <item x="514"/>
        <item h="1" x="48"/>
        <item x="299"/>
        <item x="318"/>
        <item h="1" x="94"/>
        <item x="341"/>
        <item h="1" x="114"/>
        <item x="360"/>
        <item h="1" x="156"/>
        <item x="399"/>
        <item h="1" x="178"/>
        <item x="420"/>
        <item h="1" x="217"/>
        <item x="457"/>
        <item h="1" x="241"/>
        <item h="1" x="28"/>
        <item h="1" x="279"/>
        <item x="515"/>
        <item h="1" x="49"/>
        <item x="300"/>
        <item h="1" x="71"/>
        <item x="319"/>
        <item h="1" x="95"/>
        <item x="342"/>
        <item h="1" x="115"/>
        <item x="361"/>
        <item x="381"/>
        <item h="1" x="157"/>
        <item x="400"/>
        <item h="1" x="179"/>
        <item x="436"/>
        <item h="1" x="218"/>
        <item x="458"/>
        <item x="496"/>
        <item h="1" x="29"/>
        <item h="1" x="280"/>
        <item x="516"/>
        <item h="1" x="50"/>
        <item h="1" x="72"/>
        <item x="320"/>
        <item h="1" x="96"/>
        <item h="1" x="116"/>
        <item h="1" x="136"/>
        <item x="382"/>
        <item h="1" x="158"/>
        <item x="401"/>
        <item h="1" x="198"/>
        <item x="437"/>
        <item h="1" x="219"/>
        <item x="459"/>
        <item x="479"/>
        <item h="1" x="259"/>
        <item x="497"/>
        <item h="1" x="30"/>
        <item h="1" x="281"/>
        <item x="532"/>
        <item h="1" x="73"/>
        <item x="321"/>
        <item h="1" x="137"/>
        <item x="383"/>
        <item h="1" x="159"/>
        <item x="421"/>
        <item h="1" x="199"/>
        <item x="438"/>
        <item h="1" x="220"/>
        <item h="1" x="242"/>
        <item x="480"/>
        <item h="1" x="8"/>
        <item h="1" x="260"/>
        <item x="498"/>
        <item h="1" x="31"/>
        <item x="301"/>
        <item x="533"/>
        <item h="1" x="74"/>
        <item x="322"/>
        <item x="362"/>
        <item h="1" x="138"/>
        <item h="1" x="160"/>
        <item h="1" x="180"/>
        <item x="422"/>
        <item h="1" x="200"/>
        <item x="439"/>
        <item h="1" x="243"/>
        <item x="481"/>
        <item h="1" x="9"/>
        <item h="1" x="261"/>
        <item x="499"/>
        <item x="517"/>
        <item h="1" x="51"/>
        <item x="302"/>
        <item x="534"/>
        <item h="1" x="75"/>
        <item h="1" x="97"/>
        <item x="343"/>
        <item h="1" x="117"/>
        <item x="363"/>
        <item h="1" x="139"/>
        <item h="1" x="181"/>
        <item x="423"/>
        <item h="1" x="201"/>
        <item x="440"/>
        <item h="1" x="244"/>
        <item h="1" x="10"/>
        <item h="1" x="262"/>
        <item h="1" x="284"/>
        <item x="518"/>
        <item h="1" x="52"/>
        <item x="303"/>
        <item x="535"/>
        <item h="1" x="76"/>
        <item h="1" x="98"/>
        <item x="344"/>
        <item h="1" x="118"/>
        <item x="364"/>
        <item h="1" x="140"/>
        <item x="402"/>
        <item h="1" x="182"/>
        <item x="424"/>
        <item h="1" x="221"/>
        <item x="460"/>
        <item h="1" x="245"/>
        <item h="1" x="11"/>
        <item h="1" x="32"/>
        <item x="519"/>
        <item h="1" x="53"/>
        <item x="304"/>
        <item x="536"/>
        <item x="323"/>
        <item h="1" x="99"/>
        <item x="345"/>
        <item h="1" x="119"/>
        <item x="365"/>
        <item h="1" x="161"/>
        <item x="403"/>
        <item h="1" x="183"/>
        <item x="425"/>
        <item h="1" x="222"/>
        <item x="461"/>
        <item x="500"/>
        <item h="1" x="33"/>
        <item h="1" x="285"/>
        <item x="520"/>
        <item h="1" x="54"/>
        <item x="305"/>
        <item h="1" x="77"/>
        <item x="324"/>
        <item h="1" x="100"/>
        <item x="346"/>
        <item h="1" x="120"/>
        <item x="366"/>
        <item x="384"/>
        <item h="1" x="162"/>
        <item x="404"/>
        <item h="1" x="184"/>
        <item x="441"/>
        <item h="1" x="223"/>
        <item x="462"/>
        <item h="1" x="263"/>
        <item x="501"/>
        <item h="1" x="34"/>
        <item h="1" x="286"/>
        <item x="521"/>
        <item h="1" x="55"/>
        <item h="1" x="78"/>
        <item x="325"/>
        <item h="1" x="101"/>
        <item h="1" x="121"/>
        <item h="1" x="141"/>
        <item x="385"/>
        <item h="1" x="163"/>
        <item x="405"/>
        <item h="1" x="202"/>
        <item x="442"/>
        <item h="1" x="224"/>
        <item x="463"/>
        <item h="1" x="12"/>
        <item h="1" x="264"/>
        <item x="502"/>
        <item h="1" x="35"/>
        <item h="1" x="287"/>
        <item h="1" x="56"/>
        <item x="537"/>
        <item h="1" x="79"/>
        <item x="326"/>
        <item h="1" x="142"/>
        <item x="386"/>
        <item h="1" x="164"/>
        <item x="406"/>
        <item h="1" x="203"/>
        <item x="443"/>
        <item h="1" x="225"/>
        <item x="482"/>
        <item h="1" x="13"/>
        <item h="1" x="265"/>
        <item x="503"/>
        <item h="1" x="36"/>
        <item x="538"/>
        <item h="1" x="80"/>
        <item x="327"/>
        <item x="347"/>
        <item h="1" x="143"/>
        <item x="387"/>
        <item h="1" x="204"/>
        <item x="444"/>
        <item h="1" x="246"/>
        <item x="483"/>
        <item h="1" x="14"/>
        <item h="1" x="266"/>
        <item x="504"/>
        <item x="522"/>
        <item h="1" x="57"/>
        <item x="306"/>
        <item h="1" x="81"/>
        <item h="1" x="102"/>
        <item x="348"/>
        <item h="1" x="122"/>
        <item x="367"/>
        <item h="1" x="144"/>
        <item x="388"/>
        <item h="1" x="185"/>
        <item h="1" x="205"/>
        <item x="464"/>
        <item h="1" x="247"/>
        <item x="484"/>
        <item h="1" x="15"/>
        <item h="1" x="267"/>
        <item h="1" x="288"/>
        <item x="523"/>
        <item h="1" x="58"/>
        <item x="307"/>
        <item h="1" x="103"/>
        <item x="349"/>
        <item h="1" x="123"/>
        <item x="368"/>
        <item h="1" x="145"/>
        <item x="407"/>
        <item h="1" x="186"/>
        <item x="426"/>
        <item h="1" x="206"/>
        <item h="1" x="226"/>
        <item x="465"/>
        <item h="1" x="248"/>
        <item x="485"/>
        <item h="1" x="16"/>
        <item h="1" x="37"/>
        <item h="1" x="289"/>
        <item h="1" x="59"/>
        <item x="308"/>
        <item x="328"/>
        <item h="1" x="104"/>
        <item x="350"/>
        <item h="1" x="124"/>
        <item x="369"/>
        <item h="1" x="165"/>
        <item x="408"/>
        <item h="1" x="187"/>
        <item x="427"/>
        <item h="1" x="227"/>
        <item x="466"/>
        <item h="1" x="249"/>
        <item x="505"/>
        <item h="1" x="38"/>
        <item h="1" x="290"/>
        <item x="524"/>
        <item h="1" x="60"/>
        <item h="1" x="82"/>
        <item x="329"/>
        <item h="1" x="105"/>
        <item x="351"/>
        <item h="1" x="125"/>
        <item x="370"/>
        <item x="389"/>
        <item h="1" x="166"/>
        <item x="409"/>
        <item h="1" x="188"/>
        <item x="445"/>
        <item h="1" x="228"/>
        <item x="467"/>
        <item h="1" x="268"/>
        <item x="506"/>
        <item h="1" x="39"/>
        <item h="1" x="291"/>
        <item x="525"/>
        <item h="1" x="83"/>
        <item x="330"/>
        <item h="1" x="106"/>
        <item h="1" x="126"/>
        <item h="1" x="146"/>
        <item h="1" x="167"/>
        <item x="410"/>
        <item h="1" x="207"/>
        <item x="446"/>
        <item h="1" x="229"/>
        <item x="468"/>
        <item x="486"/>
        <item h="1" x="17"/>
        <item h="1" x="269"/>
        <item x="507"/>
        <item h="1" x="40"/>
        <item h="1" x="292"/>
        <item h="1" x="84"/>
        <item x="331"/>
        <item h="1" x="147"/>
        <item x="390"/>
        <item h="1" x="168"/>
        <item x="411"/>
        <item h="1" x="208"/>
        <item x="447"/>
        <item h="1" x="230"/>
        <item h="1" x="250"/>
        <item x="487"/>
        <item h="1" x="18"/>
        <item h="1" x="270"/>
        <item x="508"/>
        <item h="1" x="41"/>
        <item x="309"/>
        <item h="1" x="85"/>
        <item x="332"/>
        <item x="352"/>
        <item x="371"/>
        <item h="1" x="148"/>
        <item x="391"/>
        <item h="1" x="169"/>
        <item x="428"/>
        <item h="1" x="209"/>
        <item x="448"/>
        <item h="1" x="231"/>
        <item h="1" x="251"/>
        <item x="488"/>
        <item h="1" x="19"/>
        <item h="1" x="271"/>
        <item x="509"/>
        <item x="526"/>
        <item h="1" x="61"/>
        <item h="1" x="310"/>
        <item x="86"/>
        <item h="1" x="127"/>
        <item x="372"/>
        <item h="1" x="149"/>
        <item x="392"/>
        <item h="1" x="189"/>
        <item x="429"/>
        <item h="1" x="210"/>
        <item x="449"/>
        <item x="469"/>
        <item h="1" x="252"/>
        <item x="489"/>
        <item h="1" x="20"/>
        <item h="1" x="274"/>
        <item h="1" x="293"/>
        <item x="527"/>
        <item h="1" x="62"/>
        <item x="311"/>
        <item h="1" x="128"/>
        <item x="373"/>
        <item h="1" x="150"/>
        <item x="412"/>
        <item h="1" x="190"/>
        <item x="430"/>
        <item h="1" x="211"/>
        <item h="1" x="232"/>
        <item x="470"/>
        <item h="1" x="254"/>
        <item x="490"/>
        <item h="1" x="21"/>
        <item h="1" x="42"/>
        <item h="1" x="294"/>
        <item h="1" x="63"/>
        <item x="312"/>
        <item x="333"/>
        <item h="1" x="129"/>
        <item x="374"/>
        <item h="1" x="170"/>
        <item x="413"/>
        <item h="1" x="233"/>
        <item x="471"/>
        <item h="1" x="64"/>
        <item h="1" x="253"/>
        <item m="1" x="733"/>
        <item h="1" x="732"/>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t="default"/>
      </items>
    </pivotField>
    <pivotField showAll="0"/>
    <pivotField axis="axisPage" multipleItemSelectionAllowed="1" showAll="0">
      <items count="156">
        <item x="51"/>
        <item x="0"/>
        <item x="63"/>
        <item x="54"/>
        <item x="15"/>
        <item x="13"/>
        <item x="67"/>
        <item x="17"/>
        <item x="3"/>
        <item x="95"/>
        <item x="49"/>
        <item h="1" x="4"/>
        <item m="1" x="154"/>
        <item x="107"/>
        <item x="34"/>
        <item x="79"/>
        <item x="21"/>
        <item x="102"/>
        <item x="47"/>
        <item x="1"/>
        <item x="76"/>
        <item x="35"/>
        <item x="37"/>
        <item x="82"/>
        <item x="29"/>
        <item x="86"/>
        <item x="58"/>
        <item x="40"/>
        <item x="104"/>
        <item x="26"/>
        <item x="111"/>
        <item x="5"/>
        <item x="46"/>
        <item x="30"/>
        <item x="73"/>
        <item x="59"/>
        <item x="77"/>
        <item x="50"/>
        <item x="87"/>
        <item x="19"/>
        <item x="27"/>
        <item x="65"/>
        <item x="38"/>
        <item x="32"/>
        <item x="88"/>
        <item x="11"/>
        <item x="31"/>
        <item x="96"/>
        <item x="39"/>
        <item x="97"/>
        <item x="85"/>
        <item x="93"/>
        <item x="72"/>
        <item x="62"/>
        <item x="2"/>
        <item x="109"/>
        <item x="61"/>
        <item x="89"/>
        <item x="18"/>
        <item x="12"/>
        <item x="78"/>
        <item x="10"/>
        <item x="118"/>
        <item x="52"/>
        <item x="114"/>
        <item x="105"/>
        <item x="24"/>
        <item h="1" x="6"/>
        <item x="66"/>
        <item h="1" x="16"/>
        <item x="42"/>
        <item x="115"/>
        <item x="108"/>
        <item x="103"/>
        <item x="116"/>
        <item x="55"/>
        <item x="41"/>
        <item x="20"/>
        <item x="60"/>
        <item x="22"/>
        <item x="71"/>
        <item x="14"/>
        <item x="117"/>
        <item x="56"/>
        <item x="91"/>
        <item x="44"/>
        <item x="80"/>
        <item x="36"/>
        <item x="25"/>
        <item x="110"/>
        <item x="75"/>
        <item x="70"/>
        <item x="74"/>
        <item x="69"/>
        <item x="43"/>
        <item x="84"/>
        <item x="9"/>
        <item x="101"/>
        <item h="1" x="7"/>
        <item x="81"/>
        <item x="48"/>
        <item x="90"/>
        <item x="112"/>
        <item x="99"/>
        <item x="106"/>
        <item x="68"/>
        <item x="64"/>
        <item x="100"/>
        <item x="98"/>
        <item x="94"/>
        <item h="1" x="8"/>
        <item x="45"/>
        <item x="92"/>
        <item x="113"/>
        <item x="33"/>
        <item x="57"/>
        <item x="23"/>
        <item x="53"/>
        <item x="83"/>
        <item x="28"/>
        <item h="1" x="153"/>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t="default"/>
      </items>
    </pivotField>
    <pivotField showAll="0"/>
    <pivotField showAll="0"/>
    <pivotField showAll="0"/>
    <pivotField axis="axisRow" showAll="0">
      <items count="6232">
        <item x="171"/>
        <item x="3351"/>
        <item x="3352"/>
        <item x="316"/>
        <item x="998"/>
        <item x="305"/>
        <item x="303"/>
        <item x="1250"/>
        <item x="283"/>
        <item x="1391"/>
        <item x="68"/>
        <item x="317"/>
        <item x="2494"/>
        <item x="480"/>
        <item x="491"/>
        <item x="300"/>
        <item x="636"/>
        <item x="318"/>
        <item x="1400"/>
        <item x="1574"/>
        <item x="333"/>
        <item x="803"/>
        <item x="1326"/>
        <item x="3800"/>
        <item x="334"/>
        <item x="1181"/>
        <item x="1132"/>
        <item x="472"/>
        <item x="791"/>
        <item x="772"/>
        <item x="802"/>
        <item x="1141"/>
        <item x="637"/>
        <item x="1300"/>
        <item x="669"/>
        <item x="4034"/>
        <item x="422"/>
        <item x="1133"/>
        <item x="780"/>
        <item x="1139"/>
        <item x="285"/>
        <item x="4672"/>
        <item x="1419"/>
        <item x="3655"/>
        <item x="304"/>
        <item x="1143"/>
        <item x="436"/>
        <item x="1037"/>
        <item x="1420"/>
        <item x="3593"/>
        <item x="842"/>
        <item x="1100"/>
        <item x="774"/>
        <item x="362"/>
        <item x="1580"/>
        <item x="1074"/>
        <item x="550"/>
        <item x="897"/>
        <item x="1125"/>
        <item x="1183"/>
        <item x="1099"/>
        <item x="991"/>
        <item x="1161"/>
        <item x="1252"/>
        <item x="570"/>
        <item x="847"/>
        <item x="1019"/>
        <item x="1166"/>
        <item x="1148"/>
        <item x="993"/>
        <item x="323"/>
        <item x="804"/>
        <item x="1176"/>
        <item x="447"/>
        <item x="821"/>
        <item x="1223"/>
        <item x="3653"/>
        <item x="829"/>
        <item x="1154"/>
        <item x="1404"/>
        <item x="313"/>
        <item x="509"/>
        <item x="1082"/>
        <item x="3950"/>
        <item x="1452"/>
        <item x="29"/>
        <item x="792"/>
        <item x="291"/>
        <item x="571"/>
        <item x="435"/>
        <item x="1174"/>
        <item x="626"/>
        <item x="750"/>
        <item x="783"/>
        <item x="1271"/>
        <item x="1224"/>
        <item x="3799"/>
        <item x="926"/>
        <item x="254"/>
        <item x="716"/>
        <item x="1260"/>
        <item x="1352"/>
        <item x="723"/>
        <item x="1461"/>
        <item x="1167"/>
        <item x="1397"/>
        <item x="162"/>
        <item x="1041"/>
        <item x="3572"/>
        <item x="1261"/>
        <item x="1213"/>
        <item x="1211"/>
        <item x="4201"/>
        <item x="363"/>
        <item x="613"/>
        <item x="1134"/>
        <item x="1101"/>
        <item x="830"/>
        <item x="1330"/>
        <item x="3225"/>
        <item x="1521"/>
        <item x="3853"/>
        <item x="3191"/>
        <item x="515"/>
        <item x="364"/>
        <item x="286"/>
        <item x="914"/>
        <item x="251"/>
        <item x="580"/>
        <item x="549"/>
        <item x="1180"/>
        <item x="481"/>
        <item x="725"/>
        <item x="793"/>
        <item x="461"/>
        <item x="1212"/>
        <item x="49"/>
        <item x="4240"/>
        <item x="179"/>
        <item x="1375"/>
        <item x="1233"/>
        <item x="1170"/>
        <item x="1522"/>
        <item x="298"/>
        <item x="1006"/>
        <item x="1127"/>
        <item x="107"/>
        <item x="4134"/>
        <item x="1301"/>
        <item x="1253"/>
        <item x="122"/>
        <item x="1214"/>
        <item x="1023"/>
        <item x="269"/>
        <item x="314"/>
        <item x="4291"/>
        <item x="1422"/>
        <item x="1054"/>
        <item x="119"/>
        <item x="209"/>
        <item x="378"/>
        <item x="1089"/>
        <item x="1823"/>
        <item x="1142"/>
        <item x="123"/>
        <item x="4518"/>
        <item x="912"/>
        <item x="1232"/>
        <item x="148"/>
        <item x="996"/>
        <item x="388"/>
        <item x="226"/>
        <item x="1032"/>
        <item x="2059"/>
        <item x="335"/>
        <item x="3654"/>
        <item x="3977"/>
        <item x="75"/>
        <item x="134"/>
        <item x="131"/>
        <item x="627"/>
        <item x="1163"/>
        <item x="3777"/>
        <item x="121"/>
        <item x="1188"/>
        <item x="377"/>
        <item x="1314"/>
        <item x="825"/>
        <item x="82"/>
        <item x="193"/>
        <item x="463"/>
        <item x="668"/>
        <item x="864"/>
        <item x="2395"/>
        <item x="1168"/>
        <item x="1191"/>
        <item x="2498"/>
        <item x="719"/>
        <item x="1249"/>
        <item x="1173"/>
        <item x="207"/>
        <item x="108"/>
        <item x="4058"/>
        <item x="850"/>
        <item x="2398"/>
        <item x="136"/>
        <item x="1263"/>
        <item x="1059"/>
        <item x="1315"/>
        <item x="332"/>
        <item x="618"/>
        <item x="3088"/>
        <item x="3863"/>
        <item x="1374"/>
        <item x="150"/>
        <item x="45"/>
        <item x="808"/>
        <item x="1090"/>
        <item x="3877"/>
        <item x="781"/>
        <item x="682"/>
        <item x="1421"/>
        <item x="63"/>
        <item x="1114"/>
        <item x="93"/>
        <item x="3946"/>
        <item x="1185"/>
        <item x="582"/>
        <item x="28"/>
        <item x="1241"/>
        <item x="1353"/>
        <item x="471"/>
        <item x="790"/>
        <item x="2989"/>
        <item x="709"/>
        <item x="142"/>
        <item x="544"/>
        <item x="1385"/>
        <item x="135"/>
        <item x="4650"/>
        <item x="50"/>
        <item x="4115"/>
        <item x="3984"/>
        <item x="1362"/>
        <item x="1159"/>
        <item x="840"/>
        <item x="3135"/>
        <item x="758"/>
        <item x="1489"/>
        <item x="1527"/>
        <item x="746"/>
        <item x="2450"/>
        <item x="555"/>
        <item x="3959"/>
        <item x="529"/>
        <item x="1028"/>
        <item x="1230"/>
        <item x="1027"/>
        <item x="3769"/>
        <item x="2595"/>
        <item x="1203"/>
        <item x="1501"/>
        <item x="1146"/>
        <item x="1562"/>
        <item x="65"/>
        <item x="726"/>
        <item x="1443"/>
        <item x="2178"/>
        <item x="3965"/>
        <item x="873"/>
        <item x="4670"/>
        <item x="4560"/>
        <item x="695"/>
        <item x="405"/>
        <item x="1294"/>
        <item x="2851"/>
        <item x="1627"/>
        <item x="819"/>
        <item x="3356"/>
        <item x="2546"/>
        <item x="4145"/>
        <item x="296"/>
        <item x="782"/>
        <item x="47"/>
        <item x="46"/>
        <item x="1072"/>
        <item x="4276"/>
        <item x="73"/>
        <item x="4426"/>
        <item x="4466"/>
        <item x="4451"/>
        <item x="1243"/>
        <item x="1052"/>
        <item x="905"/>
        <item x="4476"/>
        <item x="4301"/>
        <item x="4169"/>
        <item x="4265"/>
        <item x="1024"/>
        <item x="762"/>
        <item x="4571"/>
        <item x="4341"/>
        <item x="990"/>
        <item x="505"/>
        <item x="608"/>
        <item x="469"/>
        <item x="1434"/>
        <item x="3182"/>
        <item x="4389"/>
        <item x="1681"/>
        <item x="4606"/>
        <item x="857"/>
        <item x="1547"/>
        <item x="4687"/>
        <item x="1238"/>
        <item x="3248"/>
        <item x="415"/>
        <item x="1306"/>
        <item x="4542"/>
        <item x="1079"/>
        <item x="4545"/>
        <item x="4292"/>
        <item x="4500"/>
        <item x="4574"/>
        <item x="4514"/>
        <item x="543"/>
        <item x="1296"/>
        <item x="1560"/>
        <item x="1394"/>
        <item x="95"/>
        <item x="4411"/>
        <item x="48"/>
        <item x="4605"/>
        <item x="1516"/>
        <item x="4475"/>
        <item x="427"/>
        <item x="4000"/>
        <item x="10"/>
        <item x="4569"/>
        <item x="4693"/>
        <item x="4590"/>
        <item x="3711"/>
        <item x="4468"/>
        <item x="4492"/>
        <item x="4441"/>
        <item x="4355"/>
        <item x="895"/>
        <item x="701"/>
        <item x="3904"/>
        <item x="759"/>
        <item x="4372"/>
        <item x="87"/>
        <item x="2421"/>
        <item x="4577"/>
        <item x="3988"/>
        <item x="4596"/>
        <item x="1126"/>
        <item x="1290"/>
        <item x="328"/>
        <item x="268"/>
        <item x="3713"/>
        <item x="3749"/>
        <item x="4387"/>
        <item x="4576"/>
        <item x="4388"/>
        <item x="4340"/>
        <item x="4637"/>
        <item x="1237"/>
        <item x="4495"/>
        <item x="809"/>
        <item x="1360"/>
        <item x="132"/>
        <item x="4232"/>
        <item x="425"/>
        <item x="4598"/>
        <item x="620"/>
        <item x="4700"/>
        <item x="79"/>
        <item x="3611"/>
        <item x="3267"/>
        <item x="1262"/>
        <item x="118"/>
        <item x="1441"/>
        <item x="376"/>
        <item x="403"/>
        <item x="651"/>
        <item x="1467"/>
        <item x="523"/>
        <item x="3577"/>
        <item x="11"/>
        <item x="4597"/>
        <item x="546"/>
        <item x="4663"/>
        <item x="3504"/>
        <item x="1219"/>
        <item x="3420"/>
        <item x="3179"/>
        <item x="583"/>
        <item x="4573"/>
        <item x="3022"/>
        <item x="499"/>
        <item x="3287"/>
        <item x="2588"/>
        <item x="174"/>
        <item x="3634"/>
        <item x="4352"/>
        <item x="1060"/>
        <item x="4414"/>
        <item x="1204"/>
        <item x="652"/>
        <item x="1401"/>
        <item x="755"/>
        <item x="927"/>
        <item x="1446"/>
        <item x="1194"/>
        <item x="4455"/>
        <item x="4689"/>
        <item x="3869"/>
        <item x="4692"/>
        <item x="177"/>
        <item x="2552"/>
        <item x="1196"/>
        <item x="1291"/>
        <item x="1189"/>
        <item x="4450"/>
        <item x="2385"/>
        <item x="1184"/>
        <item x="4557"/>
        <item x="882"/>
        <item x="513"/>
        <item x="238"/>
        <item x="110"/>
        <item x="1399"/>
        <item x="3165"/>
        <item x="43"/>
        <item x="4567"/>
        <item x="1162"/>
        <item x="3882"/>
        <item x="681"/>
        <item x="208"/>
        <item x="1605"/>
        <item x="1430"/>
        <item x="1508"/>
        <item x="1113"/>
        <item x="1251"/>
        <item x="883"/>
        <item x="4402"/>
        <item x="4494"/>
        <item x="4491"/>
        <item x="262"/>
        <item x="1383"/>
        <item x="4333"/>
        <item x="814"/>
        <item x="357"/>
        <item x="4527"/>
        <item x="1349"/>
        <item x="1407"/>
        <item x="1563"/>
        <item x="160"/>
        <item x="4604"/>
        <item x="2451"/>
        <item x="3264"/>
        <item x="83"/>
        <item x="4546"/>
        <item x="4342"/>
        <item x="1014"/>
        <item x="621"/>
        <item x="2104"/>
        <item x="2058"/>
        <item x="1348"/>
        <item x="347"/>
        <item x="1500"/>
        <item x="4561"/>
        <item x="188"/>
        <item x="4628"/>
        <item x="3195"/>
        <item x="1453"/>
        <item x="2155"/>
        <item x="3488"/>
        <item x="2309"/>
        <item x="690"/>
        <item x="248"/>
        <item x="995"/>
        <item x="2638"/>
        <item x="1992"/>
        <item x="3841"/>
        <item x="4266"/>
        <item x="3665"/>
        <item x="3411"/>
        <item x="3675"/>
        <item x="504"/>
        <item x="2252"/>
        <item x="1497"/>
        <item x="1363"/>
        <item x="4354"/>
        <item x="749"/>
        <item x="906"/>
        <item x="326"/>
        <item x="4250"/>
        <item x="567"/>
        <item x="925"/>
        <item x="3613"/>
        <item x="4664"/>
        <item x="293"/>
        <item x="312"/>
        <item x="1744"/>
        <item x="4638"/>
        <item x="4023"/>
        <item x="4493"/>
        <item x="3844"/>
        <item x="2186"/>
        <item x="959"/>
        <item x="896"/>
        <item x="3418"/>
        <item x="3764"/>
        <item x="453"/>
        <item x="4559"/>
        <item x="3791"/>
        <item x="441"/>
        <item x="2594"/>
        <item x="1403"/>
        <item x="117"/>
        <item x="1259"/>
        <item x="3433"/>
        <item x="4289"/>
        <item x="4649"/>
        <item x="4083"/>
        <item x="4669"/>
        <item x="1514"/>
        <item x="1623"/>
        <item x="282"/>
        <item x="130"/>
        <item x="2916"/>
        <item x="4063"/>
        <item x="1123"/>
        <item x="3174"/>
        <item x="140"/>
        <item x="3666"/>
        <item x="12"/>
        <item x="3625"/>
        <item x="4174"/>
        <item x="3879"/>
        <item x="2197"/>
        <item x="1038"/>
        <item x="4159"/>
        <item x="4464"/>
        <item x="3329"/>
        <item x="539"/>
        <item x="2130"/>
        <item x="894"/>
        <item x="19"/>
        <item x="178"/>
        <item x="404"/>
        <item x="3734"/>
        <item x="2357"/>
        <item x="1005"/>
        <item x="2377"/>
        <item x="2593"/>
        <item x="2039"/>
        <item x="2337"/>
        <item x="787"/>
        <item x="521"/>
        <item x="4380"/>
        <item x="584"/>
        <item x="1042"/>
        <item x="2735"/>
        <item x="3578"/>
        <item x="1192"/>
        <item x="4319"/>
        <item x="4506"/>
        <item x="2818"/>
        <item x="2061"/>
        <item x="1305"/>
        <item x="2423"/>
        <item x="2254"/>
        <item x="1551"/>
        <item x="3567"/>
        <item x="236"/>
        <item x="865"/>
        <item x="149"/>
        <item x="1883"/>
        <item x="3757"/>
        <item x="4255"/>
        <item x="4618"/>
        <item x="225"/>
        <item x="1509"/>
        <item x="524"/>
        <item x="2856"/>
        <item x="4439"/>
        <item x="4242"/>
        <item x="4347"/>
        <item x="2330"/>
        <item x="984"/>
        <item x="3901"/>
        <item x="1589"/>
        <item x="1197"/>
        <item x="4233"/>
        <item x="654"/>
        <item x="3970"/>
        <item x="1417"/>
        <item x="94"/>
        <item x="1785"/>
        <item x="4378"/>
        <item x="4087"/>
        <item x="1269"/>
        <item x="66"/>
        <item x="4111"/>
        <item x="3365"/>
        <item x="4667"/>
        <item x="2969"/>
        <item x="1047"/>
        <item x="3956"/>
        <item x="3809"/>
        <item x="4619"/>
        <item x="1025"/>
        <item x="3680"/>
        <item x="273"/>
        <item x="3108"/>
        <item x="1395"/>
        <item x="4413"/>
        <item x="1608"/>
        <item x="826"/>
        <item x="1206"/>
        <item x="144"/>
        <item x="3154"/>
        <item x="2240"/>
        <item x="696"/>
        <item x="2133"/>
        <item x="3476"/>
        <item x="176"/>
        <item x="884"/>
        <item x="1679"/>
        <item x="871"/>
        <item x="449"/>
        <item x="1468"/>
        <item x="2390"/>
        <item x="3432"/>
        <item x="4088"/>
        <item x="287"/>
        <item x="4361"/>
        <item x="2584"/>
        <item x="1634"/>
        <item x="42"/>
        <item x="3710"/>
        <item x="3538"/>
        <item x="96"/>
        <item x="4310"/>
        <item x="860"/>
        <item x="4151"/>
        <item x="4641"/>
        <item x="2148"/>
        <item x="3050"/>
        <item x="4131"/>
        <item x="2523"/>
        <item x="1381"/>
        <item x="1567"/>
        <item x="1745"/>
        <item x="3414"/>
        <item x="1533"/>
        <item x="2712"/>
        <item x="1487"/>
        <item x="81"/>
        <item x="1664"/>
        <item x="215"/>
        <item x="4520"/>
        <item x="4161"/>
        <item x="4584"/>
        <item x="4206"/>
        <item x="566"/>
        <item x="3790"/>
        <item x="722"/>
        <item x="987"/>
        <item x="2172"/>
        <item x="2161"/>
        <item x="3244"/>
        <item x="776"/>
        <item x="667"/>
        <item x="2042"/>
        <item x="4615"/>
        <item x="2452"/>
        <item x="3448"/>
        <item x="1195"/>
        <item x="4583"/>
        <item x="1972"/>
        <item x="988"/>
        <item x="980"/>
        <item x="915"/>
        <item x="3983"/>
        <item x="1720"/>
        <item x="3284"/>
        <item x="1086"/>
        <item x="4359"/>
        <item x="2241"/>
        <item x="595"/>
        <item x="2393"/>
        <item x="700"/>
        <item x="851"/>
        <item x="1080"/>
        <item x="503"/>
        <item x="3082"/>
        <item x="331"/>
        <item x="4685"/>
        <item x="27"/>
        <item x="4295"/>
        <item x="866"/>
        <item x="4"/>
        <item x="4668"/>
        <item x="3288"/>
        <item x="3512"/>
        <item x="3978"/>
        <item x="1941"/>
        <item x="3184"/>
        <item x="1239"/>
        <item x="473"/>
        <item x="2184"/>
        <item x="2826"/>
        <item x="284"/>
        <item x="3093"/>
        <item x="2902"/>
        <item x="4521"/>
        <item x="1875"/>
        <item x="2787"/>
        <item x="892"/>
        <item x="1889"/>
        <item x="982"/>
        <item x="1011"/>
        <item x="2262"/>
        <item x="2940"/>
        <item x="745"/>
        <item x="2361"/>
        <item x="4269"/>
        <item x="5"/>
        <item x="1561"/>
        <item x="4056"/>
        <item x="4257"/>
        <item x="4037"/>
        <item x="597"/>
        <item x="4195"/>
        <item x="380"/>
        <item x="1322"/>
        <item x="3057"/>
        <item x="4036"/>
        <item x="4173"/>
        <item x="4535"/>
        <item x="2734"/>
        <item x="218"/>
        <item x="1736"/>
        <item x="2010"/>
        <item x="816"/>
        <item x="3618"/>
        <item x="1098"/>
        <item x="3513"/>
        <item x="3551"/>
        <item x="817"/>
        <item x="3896"/>
        <item x="2419"/>
        <item x="1821"/>
        <item x="17"/>
        <item x="1658"/>
        <item x="311"/>
        <item x="4694"/>
        <item x="1492"/>
        <item x="4330"/>
        <item x="2399"/>
        <item x="360"/>
        <item x="4268"/>
        <item x="763"/>
        <item x="3502"/>
        <item x="390"/>
        <item x="3240"/>
        <item x="1267"/>
        <item x="1036"/>
        <item x="4203"/>
        <item x="3183"/>
        <item x="2230"/>
        <item x="1448"/>
        <item x="2392"/>
        <item x="4467"/>
        <item x="1433"/>
        <item x="3979"/>
        <item x="1626"/>
        <item x="2465"/>
        <item x="581"/>
        <item x="252"/>
        <item x="4252"/>
        <item x="510"/>
        <item x="3302"/>
        <item x="4085"/>
        <item x="3028"/>
        <item x="4568"/>
        <item x="3898"/>
        <item x="4196"/>
        <item x="3887"/>
        <item x="548"/>
        <item x="2868"/>
        <item x="1800"/>
        <item x="3206"/>
        <item x="1690"/>
        <item x="1387"/>
        <item x="4349"/>
        <item x="1046"/>
        <item x="4625"/>
        <item x="2268"/>
        <item x="2522"/>
        <item x="2174"/>
        <item x="1868"/>
        <item x="1440"/>
        <item x="2173"/>
        <item x="159"/>
        <item x="4581"/>
        <item x="961"/>
        <item x="3161"/>
        <item x="4296"/>
        <item x="1881"/>
        <item x="2062"/>
        <item x="1242"/>
        <item x="1869"/>
        <item x="650"/>
        <item x="2720"/>
        <item x="3678"/>
        <item x="4258"/>
        <item x="3334"/>
        <item x="3341"/>
        <item x="2300"/>
        <item x="4264"/>
        <item x="640"/>
        <item x="4112"/>
        <item x="2086"/>
        <item x="474"/>
        <item x="3552"/>
        <item x="3915"/>
        <item x="1625"/>
        <item x="1449"/>
        <item x="1284"/>
        <item x="4202"/>
        <item x="2933"/>
        <item x="911"/>
        <item x="3262"/>
        <item x="3534"/>
        <item x="349"/>
        <item x="3326"/>
        <item x="2158"/>
        <item x="3369"/>
        <item x="3592"/>
        <item x="4317"/>
        <item x="3856"/>
        <item x="470"/>
        <item x="4594"/>
        <item x="1035"/>
        <item x="408"/>
        <item x="2654"/>
        <item x="1712"/>
        <item x="97"/>
        <item x="2388"/>
        <item x="4554"/>
        <item x="2515"/>
        <item x="2771"/>
        <item x="3820"/>
        <item x="4367"/>
        <item x="4485"/>
        <item x="942"/>
        <item x="1088"/>
        <item x="2684"/>
        <item x="1058"/>
        <item x="2937"/>
        <item x="3506"/>
        <item x="1193"/>
        <item x="4279"/>
        <item x="1388"/>
        <item x="547"/>
        <item x="361"/>
        <item x="889"/>
        <item x="1549"/>
        <item x="2183"/>
        <item x="3857"/>
        <item x="458"/>
        <item x="139"/>
        <item x="488"/>
        <item x="2672"/>
        <item x="3541"/>
        <item x="3423"/>
        <item x="1474"/>
        <item x="2204"/>
        <item x="3817"/>
        <item x="3150"/>
        <item x="1318"/>
        <item x="928"/>
        <item x="3114"/>
        <item x="645"/>
        <item x="3597"/>
        <item x="675"/>
        <item x="1221"/>
        <item x="308"/>
        <item x="596"/>
        <item x="3814"/>
        <item x="4675"/>
        <item x="3838"/>
        <item x="1202"/>
        <item x="1117"/>
        <item x="3897"/>
        <item x="794"/>
        <item x="1828"/>
        <item x="2753"/>
        <item x="2273"/>
        <item x="1048"/>
        <item x="4185"/>
        <item x="893"/>
        <item x="3738"/>
        <item x="706"/>
        <item x="2371"/>
        <item x="2748"/>
        <item x="4662"/>
        <item x="992"/>
        <item x="4243"/>
        <item x="770"/>
        <item x="271"/>
        <item x="4089"/>
        <item x="2733"/>
        <item x="1175"/>
        <item x="697"/>
        <item x="1837"/>
        <item x="346"/>
        <item x="2738"/>
        <item x="2741"/>
        <item x="3663"/>
        <item x="4055"/>
        <item x="2830"/>
        <item x="4167"/>
        <item x="1003"/>
        <item x="1777"/>
        <item x="1273"/>
        <item x="3188"/>
        <item x="1333"/>
        <item x="4005"/>
        <item x="387"/>
        <item x="4046"/>
        <item x="4379"/>
        <item x="2293"/>
        <item x="2482"/>
        <item x="3787"/>
        <item x="3058"/>
        <item x="2244"/>
        <item x="1535"/>
        <item x="3813"/>
        <item x="3304"/>
        <item x="2574"/>
        <item x="4482"/>
        <item x="841"/>
        <item x="4138"/>
        <item x="1581"/>
        <item x="4676"/>
        <item x="3034"/>
        <item x="3947"/>
        <item x="2267"/>
        <item x="2948"/>
        <item x="4335"/>
        <item x="80"/>
        <item x="1852"/>
        <item x="2274"/>
        <item x="3709"/>
        <item x="396"/>
        <item x="1451"/>
        <item x="2762"/>
        <item x="2150"/>
        <item x="901"/>
        <item x="730"/>
        <item x="2418"/>
        <item x="1536"/>
        <item x="2109"/>
        <item x="1787"/>
        <item x="4288"/>
        <item x="2389"/>
        <item x="2416"/>
        <item x="3263"/>
        <item x="3756"/>
        <item x="1743"/>
        <item x="2905"/>
        <item x="1182"/>
        <item x="4350"/>
        <item x="2166"/>
        <item x="3126"/>
        <item x="1998"/>
        <item x="4103"/>
        <item x="2336"/>
        <item x="2049"/>
        <item x="4626"/>
        <item x="3286"/>
        <item x="4261"/>
        <item x="4443"/>
        <item x="2084"/>
        <item x="1039"/>
        <item x="578"/>
        <item x="1201"/>
        <item x="2930"/>
        <item x="739"/>
        <item x="2165"/>
        <item x="2319"/>
        <item x="443"/>
        <item x="557"/>
        <item x="598"/>
        <item x="343"/>
        <item x="3410"/>
        <item x="3075"/>
        <item x="3958"/>
        <item x="2621"/>
        <item x="1981"/>
        <item x="3610"/>
        <item x="1050"/>
        <item x="665"/>
        <item x="4575"/>
        <item x="61"/>
        <item x="4356"/>
        <item x="4421"/>
        <item x="818"/>
        <item x="537"/>
        <item x="507"/>
        <item x="858"/>
        <item x="330"/>
        <item x="3047"/>
        <item x="223"/>
        <item x="2195"/>
        <item x="4294"/>
        <item x="2401"/>
        <item x="1781"/>
        <item x="3060"/>
        <item x="1655"/>
        <item x="2822"/>
        <item x="1633"/>
        <item x="1160"/>
        <item x="2692"/>
        <item x="2763"/>
        <item x="4697"/>
        <item x="960"/>
        <item x="3374"/>
        <item x="4004"/>
        <item x="1164"/>
        <item x="1157"/>
        <item x="3640"/>
        <item x="1199"/>
        <item x="25"/>
        <item x="2750"/>
        <item x="103"/>
        <item x="1884"/>
        <item x="666"/>
        <item x="962"/>
        <item x="522"/>
        <item x="175"/>
        <item x="740"/>
        <item x="3570"/>
        <item x="3265"/>
        <item x="4244"/>
        <item x="717"/>
        <item x="1874"/>
        <item x="1070"/>
        <item x="867"/>
        <item x="603"/>
        <item x="3392"/>
        <item x="1919"/>
        <item x="109"/>
        <item x="4062"/>
        <item x="1902"/>
        <item x="3967"/>
        <item x="2490"/>
        <item x="2349"/>
        <item x="4251"/>
        <item x="3386"/>
        <item x="3889"/>
        <item x="4076"/>
        <item x="3866"/>
        <item x="2040"/>
        <item x="4119"/>
        <item x="2559"/>
        <item x="642"/>
        <item x="1615"/>
        <item x="1949"/>
        <item x="1892"/>
        <item x="3342"/>
        <item x="4363"/>
        <item x="1118"/>
        <item x="1338"/>
        <item x="3180"/>
        <item x="1049"/>
        <item x="2007"/>
        <item x="3847"/>
        <item x="4181"/>
        <item x="2994"/>
        <item x="4064"/>
        <item x="3149"/>
        <item x="3603"/>
        <item x="2193"/>
        <item x="1882"/>
        <item x="4578"/>
        <item x="2020"/>
        <item x="4278"/>
        <item x="3708"/>
        <item x="2261"/>
        <item x="3964"/>
        <item x="1698"/>
        <item x="4490"/>
        <item x="3669"/>
        <item x="439"/>
        <item x="3899"/>
        <item x="2310"/>
        <item x="736"/>
        <item x="4186"/>
        <item x="4107"/>
        <item x="1906"/>
        <item x="190"/>
        <item x="1938"/>
        <item x="3445"/>
        <item x="3645"/>
        <item x="1392"/>
        <item x="891"/>
        <item x="556"/>
        <item x="591"/>
        <item x="486"/>
        <item x="1732"/>
        <item x="55"/>
        <item x="3775"/>
        <item x="359"/>
        <item x="1415"/>
        <item x="1942"/>
        <item x="1435"/>
        <item x="52"/>
        <item x="20"/>
        <item x="1396"/>
        <item x="3144"/>
        <item x="1796"/>
        <item x="231"/>
        <item x="2872"/>
        <item x="379"/>
        <item x="934"/>
        <item x="976"/>
        <item x="1808"/>
        <item x="1478"/>
        <item x="4497"/>
        <item x="1891"/>
        <item x="2524"/>
        <item x="3113"/>
        <item x="3697"/>
        <item x="2118"/>
        <item x="3851"/>
        <item x="3595"/>
        <item x="1427"/>
        <item x="2400"/>
        <item x="329"/>
        <item x="4315"/>
        <item x="2196"/>
        <item x="1693"/>
        <item x="3816"/>
        <item x="751"/>
        <item x="3466"/>
        <item x="3612"/>
        <item x="3944"/>
        <item x="4178"/>
        <item x="1384"/>
        <item x="924"/>
        <item x="393"/>
        <item x="1063"/>
        <item x="4632"/>
        <item x="1332"/>
        <item x="1081"/>
        <item x="1520"/>
        <item x="3189"/>
        <item x="2417"/>
        <item x="2304"/>
        <item x="459"/>
        <item x="2970"/>
        <item x="2199"/>
        <item x="1402"/>
        <item x="3279"/>
        <item x="1564"/>
        <item x="3368"/>
        <item x="2747"/>
        <item x="3256"/>
        <item x="530"/>
        <item x="3155"/>
        <item x="2359"/>
        <item x="775"/>
        <item x="2875"/>
        <item x="114"/>
        <item x="1667"/>
        <item x="4256"/>
        <item x="2835"/>
        <item x="1431"/>
        <item x="3685"/>
        <item x="3960"/>
        <item x="2996"/>
        <item x="462"/>
        <item x="1641"/>
        <item x="4249"/>
        <item x="4307"/>
        <item x="2813"/>
        <item x="2855"/>
        <item x="685"/>
        <item x="3693"/>
        <item x="1307"/>
        <item x="944"/>
        <item x="1746"/>
        <item x="4398"/>
        <item x="2464"/>
        <item x="2247"/>
        <item x="2531"/>
        <item x="1247"/>
        <item x="2220"/>
        <item x="406"/>
        <item x="1473"/>
        <item x="951"/>
        <item x="4116"/>
        <item x="4499"/>
        <item x="2331"/>
        <item x="429"/>
        <item x="375"/>
        <item x="1450"/>
        <item x="2283"/>
        <item x="1675"/>
        <item x="3112"/>
        <item x="2023"/>
        <item x="2321"/>
        <item x="4678"/>
        <item x="994"/>
        <item x="4106"/>
        <item x="3357"/>
        <item x="3561"/>
        <item x="773"/>
        <item x="4095"/>
        <item x="3143"/>
        <item x="3667"/>
        <item x="2472"/>
        <item x="3676"/>
        <item x="3456"/>
        <item x="2892"/>
        <item x="4651"/>
        <item x="4022"/>
        <item x="2926"/>
        <item x="2292"/>
        <item x="3156"/>
        <item x="2238"/>
        <item x="572"/>
        <item x="1643"/>
        <item x="1001"/>
        <item x="1393"/>
        <item x="1356"/>
        <item x="908"/>
        <item x="844"/>
        <item x="4305"/>
        <item x="4639"/>
        <item x="1286"/>
        <item x="955"/>
        <item x="948"/>
        <item x="4533"/>
        <item x="1684"/>
        <item x="3091"/>
        <item x="2159"/>
        <item x="3222"/>
        <item x="128"/>
        <item x="761"/>
        <item x="1604"/>
        <item x="3698"/>
        <item x="2566"/>
        <item x="1155"/>
        <item x="4154"/>
        <item x="3825"/>
        <item x="3935"/>
        <item x="558"/>
        <item x="4216"/>
        <item x="4075"/>
        <item x="3712"/>
        <item x="2608"/>
        <item x="824"/>
        <item x="885"/>
        <item x="1426"/>
        <item x="496"/>
        <item x="244"/>
        <item x="2396"/>
        <item x="4459"/>
        <item x="2922"/>
        <item x="3766"/>
        <item x="1171"/>
        <item x="1809"/>
        <item x="3641"/>
        <item x="1601"/>
        <item x="986"/>
        <item x="610"/>
        <item x="1076"/>
        <item x="426"/>
        <item x="1502"/>
        <item x="2939"/>
        <item x="1877"/>
        <item x="1491"/>
        <item x="1586"/>
        <item x="3049"/>
        <item x="3508"/>
        <item x="909"/>
        <item x="3574"/>
        <item x="2301"/>
        <item x="1097"/>
        <item x="2481"/>
        <item x="4642"/>
        <item x="3257"/>
        <item x="1798"/>
        <item x="1661"/>
        <item x="3604"/>
        <item x="4204"/>
        <item x="2640"/>
        <item x="1109"/>
        <item x="1899"/>
        <item x="2557"/>
        <item x="2052"/>
        <item x="2759"/>
        <item x="3801"/>
        <item x="1309"/>
        <item x="1780"/>
        <item x="3234"/>
        <item x="2919"/>
        <item x="2719"/>
        <item x="2097"/>
        <item x="2346"/>
        <item x="4408"/>
        <item x="634"/>
        <item x="4477"/>
        <item x="2162"/>
        <item x="2971"/>
        <item x="731"/>
        <item x="3976"/>
        <item x="4073"/>
        <item x="4393"/>
        <item x="3270"/>
        <item x="2056"/>
        <item x="2829"/>
        <item x="1795"/>
        <item x="974"/>
        <item x="579"/>
        <item x="237"/>
        <item x="861"/>
        <item x="657"/>
        <item x="1389"/>
        <item x="1257"/>
        <item x="2187"/>
        <item x="1293"/>
        <item x="3815"/>
        <item x="3833"/>
        <item x="1951"/>
        <item x="3565"/>
        <item x="4108"/>
        <item x="3472"/>
        <item x="3435"/>
        <item x="4078"/>
        <item x="3100"/>
        <item x="907"/>
        <item x="1115"/>
        <item x="1886"/>
        <item x="2788"/>
        <item x="4137"/>
        <item x="3118"/>
        <item x="3306"/>
        <item x="1460"/>
        <item x="3918"/>
        <item x="2869"/>
        <item x="3808"/>
        <item x="2867"/>
        <item x="3116"/>
        <item x="1553"/>
        <item x="4636"/>
        <item x="1636"/>
        <item x="1660"/>
        <item x="2675"/>
        <item x="2983"/>
        <item x="764"/>
        <item x="1600"/>
        <item x="1657"/>
        <item x="2770"/>
        <item x="1895"/>
        <item x="1894"/>
        <item x="2907"/>
        <item x="3255"/>
        <item x="3661"/>
        <item x="4640"/>
        <item x="1616"/>
        <item x="2742"/>
        <item x="3891"/>
        <item x="4602"/>
        <item x="129"/>
        <item x="4362"/>
        <item x="3865"/>
        <item x="2834"/>
        <item x="4146"/>
        <item x="146"/>
        <item x="2529"/>
        <item x="22"/>
        <item x="2027"/>
        <item x="3507"/>
        <item x="1236"/>
        <item x="2167"/>
        <item x="3862"/>
        <item x="2064"/>
        <item x="2614"/>
        <item x="3012"/>
        <item x="1872"/>
        <item x="708"/>
        <item x="604"/>
        <item x="734"/>
        <item x="3412"/>
        <item x="3413"/>
        <item x="1666"/>
        <item x="1442"/>
        <item x="4334"/>
        <item x="4260"/>
        <item x="1477"/>
        <item x="551"/>
        <item x="106"/>
        <item x="3836"/>
        <item x="1087"/>
        <item x="4061"/>
        <item x="1786"/>
        <item x="3051"/>
        <item x="3421"/>
        <item x="3105"/>
        <item x="1793"/>
        <item x="2806"/>
        <item x="3068"/>
        <item x="2437"/>
        <item x="2171"/>
        <item x="2185"/>
        <item x="1138"/>
        <item x="3045"/>
        <item x="1991"/>
        <item x="2025"/>
        <item x="1689"/>
        <item x="1632"/>
        <item x="319"/>
        <item x="2461"/>
        <item x="2556"/>
        <item x="2489"/>
        <item x="4079"/>
        <item x="4066"/>
        <item x="3198"/>
        <item x="2053"/>
        <item x="1873"/>
        <item x="1340"/>
        <item x="2444"/>
        <item x="3517"/>
        <item x="1071"/>
        <item x="307"/>
        <item x="3921"/>
        <item x="3568"/>
        <item x="532"/>
        <item x="3122"/>
        <item x="1779"/>
        <item x="4222"/>
        <item x="1755"/>
        <item x="372"/>
        <item x="2429"/>
        <item x="3354"/>
        <item x="1940"/>
        <item x="1797"/>
        <item x="2859"/>
        <item x="321"/>
        <item x="3703"/>
        <item x="230"/>
        <item x="1436"/>
        <item x="2723"/>
        <item x="2964"/>
        <item x="2121"/>
        <item x="4027"/>
        <item x="2338"/>
        <item x="2074"/>
        <item x="3635"/>
        <item x="4228"/>
        <item x="1226"/>
        <item x="4220"/>
        <item x="4172"/>
        <item x="446"/>
        <item x="2264"/>
        <item x="2410"/>
        <item x="1703"/>
        <item x="450"/>
        <item x="2635"/>
        <item x="3311"/>
        <item x="4633"/>
        <item x="4348"/>
        <item x="691"/>
        <item x="8"/>
        <item x="526"/>
        <item x="2754"/>
        <item x="898"/>
        <item x="3748"/>
        <item x="3404"/>
        <item x="952"/>
        <item x="2779"/>
        <item x="2110"/>
        <item x="3324"/>
        <item x="3172"/>
        <item x="4199"/>
        <item x="940"/>
        <item x="2941"/>
        <item x="1235"/>
        <item x="2690"/>
        <item x="290"/>
        <item x="3955"/>
        <item x="2575"/>
        <item x="2466"/>
        <item x="4555"/>
        <item x="1483"/>
        <item x="4241"/>
        <item x="3390"/>
        <item x="2092"/>
        <item x="3724"/>
        <item x="4099"/>
        <item x="1439"/>
        <item x="4238"/>
        <item x="2182"/>
        <item x="3826"/>
        <item x="2659"/>
        <item x="3011"/>
        <item x="4302"/>
        <item x="4246"/>
        <item x="954"/>
        <item x="235"/>
        <item x="348"/>
        <item x="1476"/>
        <item x="145"/>
        <item x="3041"/>
        <item x="4531"/>
        <item x="2962"/>
        <item x="1644"/>
        <item x="2706"/>
        <item x="3207"/>
        <item x="1752"/>
        <item x="737"/>
        <item x="3861"/>
        <item x="1534"/>
        <item x="3892"/>
        <item x="3294"/>
        <item x="607"/>
        <item x="1325"/>
        <item x="827"/>
        <item x="374"/>
        <item x="3339"/>
        <item x="1958"/>
        <item x="1832"/>
        <item x="718"/>
        <item x="2540"/>
        <item x="3158"/>
        <item x="1840"/>
        <item x="2503"/>
        <item x="2882"/>
        <item x="4166"/>
        <item x="2095"/>
        <item x="2682"/>
        <item x="2558"/>
        <item x="3993"/>
        <item x="1582"/>
        <item x="3226"/>
        <item x="1484"/>
        <item x="26"/>
        <item x="4130"/>
        <item x="1970"/>
        <item x="1147"/>
        <item x="3040"/>
        <item x="1295"/>
        <item x="3295"/>
        <item x="2848"/>
        <item x="4236"/>
        <item x="2769"/>
        <item x="2840"/>
        <item x="2755"/>
        <item x="1111"/>
        <item x="1308"/>
        <item x="2814"/>
        <item x="39"/>
        <item x="3951"/>
        <item x="1685"/>
        <item x="1754"/>
        <item x="1704"/>
        <item x="3751"/>
        <item x="922"/>
        <item x="1137"/>
        <item x="2011"/>
        <item x="3664"/>
        <item x="760"/>
        <item x="2113"/>
        <item x="710"/>
        <item x="1179"/>
        <item x="1334"/>
        <item x="2294"/>
        <item x="3276"/>
        <item x="1959"/>
        <item x="2999"/>
        <item x="3002"/>
        <item x="1915"/>
        <item x="2680"/>
        <item x="3718"/>
        <item x="2724"/>
        <item x="2302"/>
        <item x="3148"/>
        <item x="798"/>
        <item x="355"/>
        <item x="1692"/>
        <item x="259"/>
        <item x="2119"/>
        <item x="14"/>
        <item x="3362"/>
        <item x="1412"/>
        <item x="1555"/>
        <item x="1110"/>
        <item x="1150"/>
        <item x="2670"/>
        <item x="3260"/>
        <item x="3906"/>
        <item x="3794"/>
        <item x="1209"/>
        <item x="1205"/>
        <item x="2883"/>
        <item x="3243"/>
        <item x="989"/>
        <item x="4150"/>
        <item x="2976"/>
        <item x="3649"/>
        <item x="4564"/>
        <item x="3213"/>
        <item x="3299"/>
        <item x="3323"/>
        <item x="862"/>
        <item x="13"/>
        <item x="1280"/>
        <item x="198"/>
        <item x="2732"/>
        <item x="4105"/>
        <item x="1327"/>
        <item x="2138"/>
        <item x="4118"/>
        <item x="2545"/>
        <item x="2702"/>
        <item x="4054"/>
        <item x="967"/>
        <item x="4197"/>
        <item x="2407"/>
        <item x="1861"/>
        <item x="1880"/>
        <item x="684"/>
        <item x="3251"/>
        <item x="3689"/>
        <item x="4643"/>
        <item x="2408"/>
        <item x="3822"/>
        <item x="2253"/>
        <item x="2526"/>
        <item x="2921"/>
        <item x="327"/>
        <item x="3030"/>
        <item x="2986"/>
        <item x="2963"/>
        <item x="2024"/>
        <item x="2796"/>
        <item x="2623"/>
        <item x="1975"/>
        <item x="2987"/>
        <item x="4318"/>
        <item x="1830"/>
        <item x="2884"/>
        <item x="1846"/>
        <item x="2889"/>
        <item x="2447"/>
        <item x="714"/>
        <item x="3029"/>
        <item x="3569"/>
        <item x="1329"/>
        <item x="2602"/>
        <item x="4100"/>
        <item x="2144"/>
        <item x="3859"/>
        <item x="3102"/>
        <item x="1411"/>
        <item x="4311"/>
        <item x="1705"/>
        <item x="2243"/>
        <item x="2722"/>
        <item x="1665"/>
        <item x="1651"/>
        <item x="3268"/>
        <item x="4221"/>
        <item x="2974"/>
        <item x="921"/>
        <item x="1983"/>
        <item x="1967"/>
        <item x="2893"/>
        <item x="4026"/>
        <item x="1638"/>
        <item x="2305"/>
        <item x="1963"/>
        <item x="1834"/>
        <item x="4287"/>
        <item x="3590"/>
        <item x="2642"/>
        <item x="3795"/>
        <item x="2949"/>
        <item x="3289"/>
        <item x="267"/>
        <item x="228"/>
        <item x="4357"/>
        <item x="1957"/>
        <item x="2764"/>
        <item x="402"/>
        <item x="1068"/>
        <item x="2008"/>
        <item x="3032"/>
        <item x="4187"/>
        <item x="1756"/>
        <item x="4515"/>
        <item x="3303"/>
        <item x="2683"/>
        <item x="1298"/>
        <item x="1645"/>
        <item x="2616"/>
        <item x="615"/>
        <item x="2979"/>
        <item x="2607"/>
        <item x="660"/>
        <item x="3530"/>
        <item x="2965"/>
        <item x="3087"/>
        <item x="2017"/>
        <item x="448"/>
        <item x="3033"/>
        <item x="3726"/>
        <item x="3214"/>
        <item x="3837"/>
        <item x="2485"/>
        <item x="3744"/>
        <item x="2096"/>
        <item x="3266"/>
        <item x="3477"/>
        <item x="2699"/>
        <item x="2619"/>
        <item x="62"/>
        <item x="617"/>
        <item x="4128"/>
        <item x="3300"/>
        <item x="4050"/>
        <item x="777"/>
        <item x="2471"/>
        <item x="2585"/>
        <item x="153"/>
        <item x="1904"/>
        <item x="4417"/>
        <item x="4620"/>
        <item x="3784"/>
        <item x="4190"/>
        <item x="936"/>
        <item x="7"/>
        <item x="1445"/>
        <item x="2460"/>
        <item x="2459"/>
        <item x="3776"/>
        <item x="822"/>
        <item x="4002"/>
        <item x="769"/>
        <item x="2147"/>
        <item x="594"/>
        <item x="715"/>
        <item x="2982"/>
        <item x="4283"/>
        <item x="4502"/>
        <item x="3750"/>
        <item x="3515"/>
        <item x="3245"/>
        <item x="3046"/>
        <item x="4370"/>
        <item x="502"/>
        <item x="1537"/>
        <item x="4339"/>
        <item x="1285"/>
        <item x="1759"/>
        <item x="1077"/>
        <item x="742"/>
        <item x="3547"/>
        <item x="294"/>
        <item x="4234"/>
        <item x="4483"/>
        <item x="4280"/>
        <item x="1002"/>
        <item x="2847"/>
        <item x="3909"/>
        <item x="508"/>
        <item x="2050"/>
        <item x="1061"/>
        <item x="3622"/>
        <item x="2344"/>
        <item x="2116"/>
        <item x="1701"/>
        <item x="3494"/>
        <item x="3933"/>
        <item x="3849"/>
        <item x="2374"/>
        <item x="4436"/>
        <item x="1709"/>
        <item x="972"/>
        <item x="3521"/>
        <item x="1662"/>
        <item x="3227"/>
        <item x="2201"/>
        <item x="18"/>
        <item x="3059"/>
        <item x="4336"/>
        <item x="2576"/>
        <item x="4271"/>
        <item x="147"/>
        <item x="3021"/>
        <item x="3454"/>
        <item x="1124"/>
        <item x="2101"/>
        <item x="1004"/>
        <item x="4281"/>
        <item x="3358"/>
        <item x="4192"/>
        <item x="2143"/>
        <item x="3850"/>
        <item x="3061"/>
        <item x="1165"/>
        <item x="299"/>
        <item x="1936"/>
        <item x="1055"/>
        <item x="1778"/>
        <item x="3111"/>
        <item x="3463"/>
        <item x="3103"/>
        <item x="2326"/>
        <item x="1040"/>
        <item x="2613"/>
        <item x="1145"/>
        <item x="3409"/>
        <item x="420"/>
        <item x="3044"/>
        <item x="1545"/>
        <item x="4194"/>
        <item x="2231"/>
        <item x="484"/>
        <item x="4586"/>
        <item x="712"/>
        <item x="3233"/>
        <item x="2993"/>
        <item x="735"/>
        <item x="1503"/>
        <item x="4478"/>
        <item x="3446"/>
        <item x="270"/>
        <item x="2673"/>
        <item x="2077"/>
        <item x="249"/>
        <item x="4368"/>
        <item x="158"/>
        <item x="2739"/>
        <item x="1650"/>
        <item x="3602"/>
        <item x="3382"/>
        <item x="1228"/>
        <item x="1347"/>
        <item x="4524"/>
        <item x="1925"/>
        <item x="4158"/>
        <item x="1764"/>
        <item x="3441"/>
        <item x="1112"/>
        <item x="2765"/>
        <item x="4376"/>
        <item x="4346"/>
        <item x="3458"/>
        <item x="3867"/>
        <item x="531"/>
        <item x="2435"/>
        <item x="2369"/>
        <item x="3138"/>
        <item x="23"/>
        <item x="917"/>
        <item x="3980"/>
        <item x="105"/>
        <item x="692"/>
        <item x="605"/>
        <item x="953"/>
        <item x="2539"/>
        <item x="1116"/>
        <item x="4470"/>
        <item x="1584"/>
        <item x="4235"/>
        <item x="195"/>
        <item x="4479"/>
        <item x="554"/>
        <item x="466"/>
        <item x="673"/>
        <item x="859"/>
        <item x="3325"/>
        <item x="920"/>
        <item x="4175"/>
        <item x="1833"/>
        <item x="977"/>
        <item x="4589"/>
        <item x="2651"/>
        <item x="653"/>
        <item x="1550"/>
        <item x="815"/>
        <item x="3672"/>
        <item x="3241"/>
        <item x="1515"/>
        <item x="456"/>
        <item x="890"/>
        <item x="4525"/>
        <item x="1849"/>
        <item x="3743"/>
        <item x="2224"/>
        <item x="2901"/>
        <item x="2548"/>
        <item x="3424"/>
        <item x="3994"/>
        <item x="3805"/>
        <item x="1064"/>
        <item x="2151"/>
        <item x="358"/>
        <item x="1186"/>
        <item x="3873"/>
        <item x="354"/>
        <item x="4505"/>
        <item x="4432"/>
        <item x="1279"/>
        <item x="3137"/>
        <item x="609"/>
        <item x="3771"/>
        <item x="1599"/>
        <item x="2246"/>
        <item x="3130"/>
        <item x="4699"/>
        <item x="2343"/>
        <item x="2384"/>
        <item x="1108"/>
        <item x="2486"/>
        <item x="698"/>
        <item x="1876"/>
        <item x="935"/>
        <item x="3855"/>
        <item x="863"/>
        <item x="3643"/>
        <item x="2360"/>
        <item x="2263"/>
        <item x="1794"/>
        <item x="4647"/>
        <item x="1546"/>
        <item x="2852"/>
        <item x="156"/>
        <item x="2456"/>
        <item x="2704"/>
        <item x="1722"/>
        <item x="3772"/>
        <item x="3199"/>
        <item x="4009"/>
        <item x="641"/>
        <item x="1978"/>
        <item x="1532"/>
        <item x="3200"/>
        <item x="868"/>
        <item x="1482"/>
        <item x="1826"/>
        <item x="260"/>
        <item x="3695"/>
        <item x="3076"/>
        <item x="2821"/>
        <item x="4096"/>
        <item x="3277"/>
        <item x="707"/>
        <item x="3371"/>
        <item x="2903"/>
        <item x="1437"/>
        <item x="2386"/>
        <item x="2606"/>
        <item x="4263"/>
        <item x="3380"/>
        <item x="2836"/>
        <item x="3449"/>
        <item x="1583"/>
        <item x="3107"/>
        <item x="3000"/>
        <item x="1372"/>
        <item x="3931"/>
        <item x="3307"/>
        <item x="1984"/>
        <item x="629"/>
        <item x="1542"/>
        <item x="3254"/>
        <item x="3025"/>
        <item x="3701"/>
        <item x="2436"/>
        <item x="2479"/>
        <item x="789"/>
        <item x="845"/>
        <item x="2269"/>
        <item x="2029"/>
        <item x="1688"/>
        <item x="3152"/>
        <item x="3019"/>
        <item x="939"/>
        <item x="3846"/>
        <item x="3017"/>
        <item x="1986"/>
        <item x="2567"/>
        <item x="4360"/>
        <item x="3529"/>
        <item x="1749"/>
        <item x="754"/>
        <item x="1624"/>
        <item x="3236"/>
        <item x="4237"/>
        <item x="3439"/>
        <item x="4139"/>
        <item x="1045"/>
        <item x="4623"/>
        <item x="1995"/>
        <item x="1993"/>
        <item x="368"/>
        <item x="1000"/>
        <item x="3092"/>
        <item x="3549"/>
        <item x="2291"/>
        <item x="2160"/>
        <item x="3531"/>
        <item x="1887"/>
        <item x="2946"/>
        <item x="4047"/>
        <item x="3876"/>
        <item x="4473"/>
        <item x="2956"/>
        <item x="485"/>
        <item x="4366"/>
        <item x="2242"/>
        <item x="3996"/>
        <item x="1458"/>
        <item x="2938"/>
        <item x="4247"/>
        <item x="1673"/>
        <item x="1227"/>
        <item x="2345"/>
        <item x="1153"/>
        <item x="4219"/>
        <item x="3077"/>
        <item x="3696"/>
        <item x="4645"/>
        <item x="399"/>
        <item x="565"/>
        <item x="568"/>
        <item x="880"/>
        <item x="4097"/>
        <item x="766"/>
        <item x="3482"/>
        <item x="4049"/>
        <item x="3555"/>
        <item x="3827"/>
        <item x="1593"/>
        <item x="1985"/>
        <item x="4513"/>
        <item x="853"/>
        <item x="3381"/>
        <item x="2445"/>
        <item x="3190"/>
        <item x="3146"/>
        <item x="1361"/>
        <item x="1843"/>
        <item x="3335"/>
        <item x="2627"/>
        <item x="3209"/>
        <item x="2175"/>
        <item x="904"/>
        <item x="2275"/>
        <item x="3347"/>
        <item x="1609"/>
        <item x="2411"/>
        <item x="1831"/>
        <item x="3986"/>
        <item x="600"/>
        <item x="2157"/>
        <item x="3298"/>
        <item x="1382"/>
        <item x="74"/>
        <item x="4591"/>
        <item x="3554"/>
        <item x="2908"/>
        <item x="635"/>
        <item x="2551"/>
        <item x="2710"/>
        <item x="4040"/>
        <item x="2853"/>
        <item x="4415"/>
        <item x="409"/>
        <item x="899"/>
        <item x="1447"/>
        <item x="2597"/>
        <item x="2995"/>
        <item x="1316"/>
        <item x="2127"/>
        <item x="217"/>
        <item x="220"/>
        <item x="1328"/>
        <item x="2802"/>
        <item x="38"/>
        <item x="1481"/>
        <item x="4248"/>
        <item x="4484"/>
        <item x="3864"/>
        <item x="279"/>
        <item x="1630"/>
        <item x="3522"/>
        <item x="3762"/>
        <item x="192"/>
        <item x="1857"/>
        <item x="1927"/>
        <item x="497"/>
        <item x="1999"/>
        <item x="204"/>
        <item x="3925"/>
        <item x="2935"/>
        <item x="741"/>
        <item x="1696"/>
        <item x="4504"/>
        <item x="1597"/>
        <item x="1229"/>
        <item x="1062"/>
        <item x="2028"/>
        <item x="4156"/>
        <item x="1152"/>
        <item x="350"/>
        <item x="2511"/>
        <item x="4440"/>
        <item x="1968"/>
        <item x="3682"/>
        <item x="242"/>
        <item x="2876"/>
        <item x="3055"/>
        <item x="1336"/>
        <item x="336"/>
        <item x="115"/>
        <item x="1158"/>
        <item x="3731"/>
        <item x="1842"/>
        <item x="2135"/>
        <item x="3688"/>
        <item x="2487"/>
        <item x="3948"/>
        <item x="3628"/>
        <item x="2322"/>
        <item x="78"/>
        <item x="3673"/>
        <item x="2235"/>
        <item x="2222"/>
        <item x="1710"/>
        <item x="392"/>
        <item x="4592"/>
        <item x="1955"/>
        <item x="127"/>
        <item x="919"/>
        <item x="2774"/>
        <item x="295"/>
        <item x="3465"/>
        <item x="4698"/>
        <item x="3038"/>
        <item x="1847"/>
        <item x="694"/>
        <item x="4405"/>
        <item x="1762"/>
        <item x="120"/>
        <item x="1841"/>
        <item x="1996"/>
        <item x="4407"/>
        <item x="1540"/>
        <item x="2917"/>
        <item x="2070"/>
        <item x="2988"/>
        <item x="233"/>
        <item x="3550"/>
        <item x="4322"/>
        <item x="423"/>
        <item x="2237"/>
        <item x="1910"/>
        <item x="2032"/>
        <item x="2957"/>
        <item x="197"/>
        <item x="1702"/>
        <item x="517"/>
        <item x="1187"/>
        <item x="4412"/>
        <item x="309"/>
        <item x="680"/>
        <item x="1928"/>
        <item x="2255"/>
        <item x="2033"/>
        <item x="969"/>
        <item x="2958"/>
        <item x="2954"/>
        <item x="4213"/>
        <item x="2439"/>
        <item x="3639"/>
        <item x="3765"/>
        <item x="1729"/>
        <item x="1674"/>
        <item x="1683"/>
        <item x="878"/>
        <item x="4371"/>
        <item x="468"/>
        <item x="2711"/>
        <item x="2474"/>
        <item x="2072"/>
        <item x="1935"/>
        <item x="2649"/>
        <item x="3952"/>
        <item x="1331"/>
        <item x="3924"/>
        <item x="2065"/>
        <item x="3310"/>
        <item x="1976"/>
        <item x="2910"/>
        <item x="3072"/>
        <item x="1682"/>
        <item x="947"/>
        <item x="4420"/>
        <item x="4532"/>
        <item x="3969"/>
        <item x="689"/>
        <item x="4423"/>
        <item x="2789"/>
        <item x="4529"/>
        <item x="1339"/>
        <item x="771"/>
        <item x="1565"/>
        <item x="3361"/>
        <item x="4507"/>
        <item x="3722"/>
        <item x="1282"/>
        <item x="3139"/>
        <item x="1807"/>
        <item x="4509"/>
        <item x="1256"/>
        <item x="3907"/>
        <item x="2036"/>
        <item x="2318"/>
        <item x="433"/>
        <item x="4041"/>
        <item x="1653"/>
        <item x="1276"/>
        <item x="395"/>
        <item x="263"/>
        <item x="3745"/>
        <item x="3470"/>
        <item x="1912"/>
        <item x="2631"/>
        <item x="3239"/>
        <item x="3430"/>
        <item x="2424"/>
        <item x="3962"/>
        <item x="51"/>
        <item x="3621"/>
        <item x="2641"/>
        <item x="1713"/>
        <item x="432"/>
        <item x="527"/>
        <item x="2140"/>
        <item x="1220"/>
        <item x="4308"/>
        <item x="4300"/>
        <item x="3781"/>
        <item x="2035"/>
        <item x="1346"/>
        <item x="937"/>
        <item x="1929"/>
        <item x="1215"/>
        <item x="4587"/>
        <item x="381"/>
        <item x="256"/>
        <item x="4209"/>
        <item x="670"/>
        <item x="4353"/>
        <item x="3792"/>
        <item x="3394"/>
        <item x="1896"/>
        <item x="4284"/>
        <item x="4684"/>
        <item x="1548"/>
        <item x="4031"/>
        <item x="2977"/>
        <item x="202"/>
        <item x="1757"/>
        <item x="3803"/>
        <item x="2414"/>
        <item x="676"/>
        <item x="2668"/>
        <item x="3760"/>
        <item x="4082"/>
        <item x="3221"/>
        <item x="587"/>
        <item x="538"/>
        <item x="3957"/>
        <item x="3160"/>
        <item x="3069"/>
        <item x="631"/>
        <item x="2658"/>
        <item x="879"/>
        <item x="4406"/>
        <item x="2334"/>
        <item x="3694"/>
        <item x="2530"/>
        <item x="1105"/>
        <item x="2729"/>
        <item x="1370"/>
        <item x="4286"/>
        <item x="4585"/>
        <item x="767"/>
        <item x="2191"/>
        <item x="2248"/>
        <item x="3966"/>
        <item x="3291"/>
        <item x="3596"/>
        <item x="619"/>
        <item x="1022"/>
        <item x="2972"/>
        <item x="2311"/>
        <item x="2315"/>
        <item x="385"/>
        <item x="1321"/>
        <item x="3525"/>
        <item x="3317"/>
        <item x="1244"/>
        <item x="3945"/>
        <item x="4437"/>
        <item x="4541"/>
        <item x="3269"/>
        <item x="3830"/>
        <item x="1677"/>
        <item x="161"/>
        <item x="3416"/>
        <item x="3903"/>
        <item x="4337"/>
        <item x="4129"/>
        <item x="3644"/>
        <item x="639"/>
        <item x="2713"/>
        <item x="219"/>
        <item x="2320"/>
        <item x="3171"/>
        <item x="2550"/>
        <item x="1511"/>
        <item x="90"/>
        <item x="2307"/>
        <item x="1053"/>
        <item x="3020"/>
        <item x="1556"/>
        <item x="3774"/>
        <item x="2189"/>
        <item x="569"/>
        <item x="3699"/>
        <item x="3620"/>
        <item x="3752"/>
        <item x="1845"/>
        <item x="3346"/>
        <item x="206"/>
        <item x="1405"/>
        <item x="4611"/>
        <item x="1908"/>
        <item x="4690"/>
        <item x="1921"/>
        <item x="4215"/>
        <item x="1948"/>
        <item x="1505"/>
        <item x="3208"/>
        <item x="3840"/>
        <item x="4456"/>
        <item x="3758"/>
        <item x="3062"/>
        <item x="2082"/>
        <item x="2626"/>
        <item x="2543"/>
        <item x="2709"/>
        <item x="495"/>
        <item x="724"/>
        <item x="498"/>
        <item x="3974"/>
        <item x="4489"/>
        <item x="2858"/>
        <item x="4648"/>
        <item x="4496"/>
        <item x="3662"/>
        <item x="1030"/>
        <item x="743"/>
        <item x="1865"/>
        <item x="2681"/>
        <item x="2688"/>
        <item x="4101"/>
        <item x="1121"/>
        <item x="411"/>
        <item x="1571"/>
        <item x="4326"/>
        <item x="2420"/>
        <item x="3939"/>
        <item x="3754"/>
        <item x="950"/>
        <item x="6"/>
        <item x="4123"/>
        <item x="3684"/>
        <item x="4551"/>
        <item x="3683"/>
        <item x="4270"/>
        <item x="3391"/>
        <item x="2912"/>
        <item x="1740"/>
        <item x="116"/>
        <item x="2044"/>
        <item x="143"/>
        <item x="1470"/>
        <item x="1932"/>
        <item x="4053"/>
        <item x="2473"/>
        <item x="3575"/>
        <item x="4635"/>
        <item x="2372"/>
        <item x="2373"/>
        <item x="2341"/>
        <item x="4445"/>
        <item x="658"/>
        <item x="2630"/>
        <item x="3043"/>
        <item x="4595"/>
        <item x="289"/>
        <item x="4081"/>
        <item x="2228"/>
        <item x="4275"/>
        <item x="3707"/>
        <item x="1801"/>
        <item x="3557"/>
        <item x="1814"/>
        <item x="35"/>
        <item x="1136"/>
        <item x="1292"/>
        <item x="4032"/>
        <item x="3450"/>
        <item x="4671"/>
        <item x="1577"/>
        <item x="832"/>
        <item x="2333"/>
        <item x="4312"/>
        <item x="931"/>
        <item x="3839"/>
        <item x="373"/>
        <item x="748"/>
        <item x="3085"/>
        <item x="1266"/>
        <item x="4539"/>
        <item x="4462"/>
        <item x="3181"/>
        <item x="1697"/>
        <item x="3786"/>
        <item x="3487"/>
        <item x="1708"/>
        <item x="3806"/>
        <item x="4369"/>
        <item x="1783"/>
        <item x="1818"/>
        <item x="2043"/>
        <item x="3350"/>
        <item x="4481"/>
        <item x="1687"/>
        <item x="2743"/>
        <item x="3573"/>
        <item x="4472"/>
        <item x="1021"/>
        <item x="4523"/>
        <item x="2687"/>
        <item x="2108"/>
        <item x="3129"/>
        <item x="1911"/>
        <item x="4012"/>
        <item x="1862"/>
        <item x="4448"/>
        <item x="1274"/>
        <item x="3700"/>
        <item x="4458"/>
        <item x="2694"/>
        <item x="3219"/>
        <item x="541"/>
        <item x="1096"/>
        <item x="3511"/>
        <item x="4168"/>
        <item x="2758"/>
        <item x="3473"/>
        <item x="2854"/>
        <item x="2666"/>
        <item x="828"/>
        <item x="4316"/>
        <item x="2212"/>
        <item x="4126"/>
        <item x="4614"/>
        <item x="1320"/>
        <item x="733"/>
        <item x="2786"/>
        <item x="37"/>
        <item x="1695"/>
        <item x="4452"/>
        <item x="4621"/>
        <item x="1663"/>
        <item x="2105"/>
        <item x="1866"/>
        <item x="949"/>
        <item x="2078"/>
        <item x="1775"/>
        <item x="2112"/>
        <item x="1304"/>
        <item x="210"/>
        <item x="3313"/>
        <item x="1742"/>
        <item x="3788"/>
        <item x="3617"/>
        <item x="194"/>
        <item x="2013"/>
        <item x="699"/>
        <item x="3588"/>
        <item x="9"/>
        <item x="2057"/>
        <item x="4661"/>
        <item x="3518"/>
        <item x="1760"/>
        <item x="1761"/>
        <item x="1344"/>
        <item x="2960"/>
        <item x="1493"/>
        <item x="1788"/>
        <item x="3280"/>
        <item x="1471"/>
        <item x="4419"/>
        <item x="2031"/>
        <item x="788"/>
        <item x="3196"/>
        <item x="141"/>
        <item x="1579"/>
        <item x="786"/>
        <item x="3690"/>
        <item x="4391"/>
        <item x="3981"/>
        <item x="2686"/>
        <item x="2918"/>
        <item x="1376"/>
        <item x="3883"/>
        <item x="2427"/>
        <item x="2564"/>
        <item x="2432"/>
        <item x="1258"/>
        <item x="3872"/>
        <item x="4077"/>
        <item x="3917"/>
        <item x="2085"/>
        <item x="437"/>
        <item x="520"/>
        <item x="4549"/>
        <item x="2860"/>
        <item x="4188"/>
        <item x="1820"/>
        <item x="3874"/>
        <item x="511"/>
        <item x="1922"/>
        <item x="3318"/>
        <item x="2496"/>
        <item x="386"/>
        <item x="1850"/>
        <item x="2239"/>
        <item x="2026"/>
        <item x="341"/>
        <item x="3843"/>
        <item x="4273"/>
        <item x="4142"/>
        <item x="1926"/>
        <item x="2805"/>
        <item x="3066"/>
        <item x="3943"/>
        <item x="4659"/>
        <item x="633"/>
        <item x="3097"/>
        <item x="2303"/>
        <item x="2966"/>
        <item x="54"/>
        <item x="979"/>
        <item x="4425"/>
        <item x="3475"/>
        <item x="4068"/>
        <item x="3370"/>
        <item x="2622"/>
        <item x="2202"/>
        <item x="2480"/>
        <item x="419"/>
        <item x="2730"/>
        <item x="2521"/>
        <item x="4688"/>
        <item x="2022"/>
        <item x="688"/>
        <item x="4556"/>
        <item x="2537"/>
        <item x="400"/>
        <item x="4447"/>
        <item x="3591"/>
        <item x="1954"/>
        <item x="2362"/>
        <item x="1851"/>
        <item x="1859"/>
        <item x="4155"/>
        <item x="2794"/>
        <item x="3619"/>
        <item x="4572"/>
        <item x="2899"/>
        <item x="1557"/>
        <item x="2422"/>
        <item x="2653"/>
        <item x="3228"/>
        <item x="4006"/>
        <item x="1034"/>
        <item x="1923"/>
        <item x="24"/>
        <item x="3157"/>
        <item x="3425"/>
        <item x="1966"/>
        <item x="2870"/>
        <item x="2060"/>
        <item x="1031"/>
        <item x="1671"/>
        <item x="590"/>
        <item x="941"/>
        <item x="3134"/>
        <item x="189"/>
        <item x="1523"/>
        <item x="3366"/>
        <item x="3359"/>
        <item x="3832"/>
        <item x="2560"/>
        <item x="3623"/>
        <item x="1246"/>
        <item x="534"/>
        <item x="2708"/>
        <item x="1594"/>
        <item x="4018"/>
        <item x="182"/>
        <item x="64"/>
        <item x="1051"/>
        <item x="545"/>
        <item x="3142"/>
        <item x="2751"/>
        <item x="391"/>
        <item x="4125"/>
        <item x="2145"/>
        <item x="2442"/>
        <item x="4383"/>
        <item x="3194"/>
        <item x="3819"/>
        <item x="1989"/>
        <item x="2368"/>
        <item x="3834"/>
        <item x="1120"/>
        <item x="3860"/>
        <item x="3564"/>
        <item x="2532"/>
        <item x="1343"/>
        <item x="1573"/>
        <item x="693"/>
        <item x="3204"/>
        <item x="3894"/>
        <item x="4375"/>
        <item x="126"/>
        <item x="4534"/>
        <item x="2430"/>
        <item x="4171"/>
        <item x="2909"/>
        <item x="3510"/>
        <item x="3732"/>
        <item x="1943"/>
        <item x="2328"/>
        <item x="2229"/>
        <item x="1620"/>
        <item x="3406"/>
        <item x="616"/>
        <item x="1245"/>
        <item x="2107"/>
        <item x="213"/>
        <item x="1669"/>
        <item x="1578"/>
        <item x="4416"/>
        <item x="3223"/>
        <item x="3084"/>
        <item x="1248"/>
        <item x="535"/>
        <item x="1618"/>
        <item x="3460"/>
        <item x="3961"/>
        <item x="3178"/>
        <item x="3492"/>
        <item x="1495"/>
        <item x="1067"/>
        <item x="4394"/>
        <item x="4679"/>
        <item x="1357"/>
        <item x="536"/>
        <item x="1961"/>
        <item x="2203"/>
        <item x="3556"/>
        <item x="679"/>
        <item x="3086"/>
        <item x="4565"/>
        <item x="1288"/>
        <item x="1612"/>
        <item x="3514"/>
        <item x="779"/>
        <item x="2920"/>
        <item x="266"/>
        <item x="678"/>
        <item x="677"/>
        <item x="2798"/>
        <item x="2226"/>
        <item x="1543"/>
        <item x="2478"/>
        <item x="3524"/>
        <item x="3120"/>
        <item x="1208"/>
        <item x="3687"/>
        <item x="4540"/>
        <item x="1678"/>
        <item x="1707"/>
        <item x="1637"/>
        <item x="4460"/>
        <item x="3250"/>
        <item x="4519"/>
        <item x="1706"/>
        <item x="3650"/>
        <item x="1914"/>
        <item x="2355"/>
        <item x="292"/>
        <item x="2831"/>
        <item x="1570"/>
        <item x="4320"/>
        <item x="1198"/>
        <item x="2433"/>
        <item x="1414"/>
        <item x="1668"/>
        <item x="2749"/>
        <item x="3104"/>
        <item x="4274"/>
        <item x="3464"/>
        <item x="2696"/>
        <item x="2874"/>
        <item x="4080"/>
        <item x="1813"/>
        <item x="1210"/>
        <item x="3415"/>
        <item x="133"/>
        <item x="3821"/>
        <item x="3657"/>
        <item x="280"/>
        <item x="4143"/>
        <item x="1275"/>
        <item x="1026"/>
        <item x="2510"/>
        <item x="71"/>
        <item x="3702"/>
        <item x="4343"/>
        <item x="1718"/>
        <item x="1804"/>
        <item x="1803"/>
        <item x="1367"/>
        <item x="3652"/>
        <item x="2573"/>
        <item x="2209"/>
        <item x="4622"/>
        <item x="3501"/>
        <item x="99"/>
        <item x="4069"/>
        <item x="661"/>
        <item x="727"/>
        <item x="3598"/>
        <item x="44"/>
        <item x="1971"/>
        <item x="4210"/>
        <item x="2582"/>
        <item x="2914"/>
        <item x="2931"/>
        <item x="1102"/>
        <item x="3804"/>
        <item x="4017"/>
        <item x="31"/>
        <item x="1264"/>
        <item x="3627"/>
        <item x="3395"/>
        <item x="2525"/>
        <item x="1572"/>
        <item x="2136"/>
        <item x="4226"/>
        <item x="3253"/>
        <item x="662"/>
        <item x="3297"/>
        <item x="4259"/>
        <item x="3125"/>
        <item x="4093"/>
        <item x="3835"/>
        <item x="3679"/>
        <item x="3938"/>
        <item x="424"/>
        <item x="203"/>
        <item x="1789"/>
        <item x="173"/>
        <item x="3336"/>
        <item x="2149"/>
        <item x="2139"/>
        <item x="2453"/>
        <item x="4401"/>
        <item x="2828"/>
        <item x="3852"/>
        <item x="4480"/>
        <item x="4207"/>
        <item x="2449"/>
        <item x="3376"/>
        <item x="1496"/>
        <item x="933"/>
        <item x="2076"/>
        <item x="2596"/>
        <item x="2785"/>
        <item x="1918"/>
        <item x="4011"/>
        <item x="4262"/>
        <item x="623"/>
        <item x="4498"/>
        <item x="744"/>
        <item x="975"/>
        <item x="1649"/>
        <item x="4109"/>
        <item x="3024"/>
        <item x="4381"/>
        <item x="663"/>
        <item x="3247"/>
        <item x="3480"/>
        <item x="4332"/>
        <item x="4512"/>
        <item x="3932"/>
        <item x="2891"/>
        <item x="353"/>
        <item x="4306"/>
        <item x="1848"/>
        <item x="2299"/>
        <item x="1073"/>
        <item x="753"/>
        <item x="325"/>
        <item x="3389"/>
        <item x="3004"/>
        <item x="1602"/>
        <item x="4442"/>
        <item x="3576"/>
        <item x="3238"/>
        <item x="4522"/>
        <item x="3940"/>
        <item x="3078"/>
        <item x="3429"/>
        <item x="4658"/>
        <item x="4631"/>
        <item x="3322"/>
        <item x="2657"/>
        <item x="241"/>
        <item x="1974"/>
        <item x="2505"/>
        <item x="2098"/>
        <item x="1937"/>
        <item x="2661"/>
        <item x="277"/>
        <item x="2259"/>
        <item x="3177"/>
        <item x="85"/>
        <item x="3818"/>
        <item x="351"/>
        <item x="752"/>
        <item x="628"/>
        <item x="2087"/>
        <item x="1725"/>
        <item x="4153"/>
        <item x="1177"/>
        <item x="2211"/>
        <item x="3281"/>
        <item x="2114"/>
        <item x="234"/>
        <item x="4191"/>
        <item x="91"/>
        <item x="1526"/>
        <item x="2347"/>
        <item x="3783"/>
        <item x="2862"/>
        <item x="1716"/>
        <item x="1700"/>
        <item x="963"/>
        <item x="3886"/>
        <item x="3258"/>
        <item x="3670"/>
        <item x="3733"/>
        <item x="1544"/>
        <item x="3479"/>
        <item x="2266"/>
        <item x="3990"/>
        <item x="3443"/>
        <item x="4429"/>
        <item x="3725"/>
        <item x="1335"/>
        <item x="3417"/>
        <item x="1095"/>
        <item x="2358"/>
        <item x="2678"/>
        <item x="3527"/>
        <item x="4314"/>
        <item x="713"/>
        <item x="3305"/>
        <item x="4344"/>
        <item x="2280"/>
        <item x="3246"/>
        <item x="3478"/>
        <item x="1009"/>
        <item x="69"/>
        <item x="154"/>
        <item x="1917"/>
        <item x="4424"/>
        <item x="1810"/>
        <item x="60"/>
        <item x="2679"/>
        <item x="1355"/>
        <item x="2071"/>
        <item x="1741"/>
        <item x="3636"/>
        <item x="1629"/>
        <item x="3493"/>
        <item x="3052"/>
        <item x="2615"/>
        <item x="2932"/>
        <item x="836"/>
        <item x="2942"/>
        <item x="3885"/>
        <item x="687"/>
        <item x="2137"/>
        <item x="416"/>
        <item x="874"/>
        <item x="1425"/>
        <item x="1903"/>
        <item x="1029"/>
        <item x="3355"/>
        <item x="756"/>
        <item x="3845"/>
        <item x="3616"/>
        <item x="3811"/>
        <item x="1945"/>
        <item x="3205"/>
        <item x="3007"/>
        <item x="2325"/>
        <item x="3027"/>
        <item x="2030"/>
        <item x="3405"/>
        <item x="3451"/>
        <item x="124"/>
        <item x="1699"/>
        <item x="1595"/>
        <item x="1324"/>
        <item x="3096"/>
        <item x="4454"/>
        <item x="1104"/>
        <item x="602"/>
        <item x="3500"/>
        <item x="2507"/>
        <item x="1933"/>
        <item x="852"/>
        <item x="265"/>
        <item x="2780"/>
        <item x="1044"/>
        <item x="2839"/>
        <item x="2365"/>
        <item x="664"/>
        <item x="2601"/>
        <item x="3452"/>
        <item x="253"/>
        <item x="3372"/>
        <item x="2784"/>
        <item x="1617"/>
        <item x="3580"/>
        <item x="3023"/>
        <item x="4428"/>
        <item x="428"/>
        <item x="1455"/>
        <item x="3237"/>
        <item x="2581"/>
        <item x="3548"/>
        <item x="659"/>
        <item x="1465"/>
        <item x="365"/>
        <item x="3537"/>
        <item x="1590"/>
        <item x="2152"/>
        <item x="1342"/>
        <item x="1454"/>
        <item x="1738"/>
        <item x="3585"/>
        <item x="4599"/>
        <item x="3910"/>
        <item x="479"/>
        <item x="1494"/>
        <item x="876"/>
        <item x="3544"/>
        <item x="4165"/>
        <item x="3330"/>
        <item x="3606"/>
        <item x="2846"/>
        <item x="4293"/>
        <item x="3383"/>
        <item x="1083"/>
        <item x="4282"/>
        <item x="4558"/>
        <item x="4179"/>
        <item x="490"/>
        <item x="2225"/>
        <item x="4536"/>
        <item x="3919"/>
        <item x="2541"/>
        <item x="1010"/>
        <item x="4299"/>
        <item x="981"/>
        <item x="3532"/>
        <item x="340"/>
        <item x="2952"/>
        <item x="1588"/>
        <item x="3999"/>
        <item x="3582"/>
        <item x="1646"/>
        <item x="1728"/>
        <item x="3474"/>
        <item x="2508"/>
        <item x="1893"/>
        <item x="494"/>
        <item x="2284"/>
        <item x="2886"/>
        <item x="3677"/>
        <item x="2863"/>
        <item x="315"/>
        <item x="3436"/>
        <item x="4461"/>
        <item x="3715"/>
        <item x="3121"/>
        <item x="2717"/>
        <item x="214"/>
        <item x="4084"/>
        <item x="632"/>
        <item x="3008"/>
        <item x="2014"/>
        <item x="2880"/>
        <item x="172"/>
        <item x="4538"/>
        <item x="3467"/>
        <item x="2812"/>
        <item x="492"/>
        <item x="1717"/>
        <item x="2019"/>
        <item x="4397"/>
        <item x="797"/>
        <item x="1200"/>
        <item x="398"/>
        <item x="1854"/>
        <item x="501"/>
        <item x="528"/>
        <item x="1424"/>
        <item x="59"/>
        <item x="338"/>
        <item x="4043"/>
        <item x="2227"/>
        <item x="1987"/>
        <item x="3971"/>
        <item x="3998"/>
        <item x="1317"/>
        <item x="4652"/>
        <item x="2797"/>
        <item x="4683"/>
        <item x="1216"/>
        <item x="2667"/>
        <item x="3309"/>
        <item x="211"/>
        <item x="902"/>
        <item x="1018"/>
        <item x="3140"/>
        <item x="674"/>
        <item x="4163"/>
        <item x="916"/>
        <item x="3249"/>
        <item x="839"/>
        <item x="1017"/>
        <item x="1351"/>
        <item x="3807"/>
        <item x="875"/>
        <item x="2106"/>
        <item x="968"/>
        <item x="4446"/>
        <item x="3312"/>
        <item x="2314"/>
        <item x="576"/>
        <item x="2208"/>
        <item x="799"/>
        <item x="3739"/>
        <item x="3275"/>
        <item x="656"/>
        <item x="843"/>
        <item x="2697"/>
        <item x="3176"/>
        <item x="4657"/>
        <item x="3462"/>
        <item x="2288"/>
        <item x="2289"/>
        <item x="2081"/>
        <item x="2080"/>
        <item x="1490"/>
        <item x="414"/>
        <item x="3274"/>
        <item x="778"/>
        <item x="3453"/>
        <item x="606"/>
        <item x="1715"/>
        <item x="3614"/>
        <item x="2563"/>
        <item x="261"/>
        <item x="1379"/>
        <item x="887"/>
        <item x="4225"/>
        <item x="2117"/>
        <item x="3823"/>
        <item x="76"/>
        <item x="3109"/>
        <item x="3691"/>
        <item x="3608"/>
        <item x="3730"/>
        <item x="1506"/>
        <item x="222"/>
        <item x="1302"/>
        <item x="212"/>
        <item x="3220"/>
        <item x="2286"/>
        <item x="3385"/>
        <item x="4580"/>
        <item x="1719"/>
        <item x="1592"/>
        <item x="3499"/>
        <item x="3064"/>
        <item x="3991"/>
        <item x="430"/>
        <item x="382"/>
        <item x="4438"/>
        <item x="413"/>
        <item x="3651"/>
        <item x="4309"/>
        <item x="4060"/>
        <item x="2006"/>
        <item x="15"/>
        <item x="3273"/>
        <item x="1748"/>
        <item x="3437"/>
        <item x="2647"/>
        <item x="3681"/>
        <item x="2370"/>
        <item x="3810"/>
        <item x="1585"/>
        <item x="2643"/>
        <item x="4044"/>
        <item x="2844"/>
        <item x="4025"/>
        <item x="3972"/>
        <item x="1727"/>
        <item x="2520"/>
        <item x="1724"/>
        <item x="4501"/>
        <item x="1"/>
        <item x="2513"/>
        <item x="3562"/>
        <item x="4090"/>
        <item x="2951"/>
        <item x="274"/>
        <item x="434"/>
        <item x="795"/>
        <item x="2387"/>
        <item x="2378"/>
        <item x="3997"/>
        <item x="166"/>
        <item x="3378"/>
        <item x="2367"/>
        <item x="3095"/>
        <item x="2923"/>
        <item x="3202"/>
        <item x="732"/>
        <item x="811"/>
        <item x="302"/>
        <item x="1541"/>
        <item x="614"/>
        <item x="1354"/>
        <item x="3900"/>
        <item x="4399"/>
        <item x="4122"/>
        <item x="2857"/>
        <item x="4696"/>
        <item x="2693"/>
        <item x="102"/>
        <item x="2366"/>
        <item x="3431"/>
        <item x="2998"/>
        <item x="3271"/>
        <item x="2001"/>
        <item x="3637"/>
        <item x="3145"/>
        <item x="3283"/>
        <item x="1091"/>
        <item x="1962"/>
        <item x="3609"/>
        <item x="1763"/>
        <item x="3742"/>
        <item x="1772"/>
        <item x="2350"/>
        <item x="2068"/>
        <item x="4701"/>
        <item x="4013"/>
        <item x="997"/>
        <item x="1140"/>
        <item x="1913"/>
        <item x="1825"/>
        <item x="2810"/>
        <item x="913"/>
        <item x="2992"/>
        <item x="672"/>
        <item x="4392"/>
        <item x="3605"/>
        <item x="1119"/>
        <item x="958"/>
        <item x="1444"/>
        <item x="2067"/>
        <item x="2516"/>
        <item x="3589"/>
        <item x="1178"/>
        <item x="2997"/>
        <item x="872"/>
        <item x="2200"/>
        <item x="2745"/>
        <item x="1464"/>
        <item x="2936"/>
        <item x="1277"/>
        <item x="199"/>
        <item x="201"/>
        <item x="3136"/>
        <item x="4646"/>
        <item x="3490"/>
        <item x="3779"/>
        <item x="3509"/>
        <item x="2176"/>
        <item x="2571"/>
        <item x="4682"/>
        <item x="720"/>
        <item x="870"/>
        <item x="705"/>
        <item x="4385"/>
        <item x="3440"/>
        <item x="3540"/>
        <item x="4465"/>
        <item x="4570"/>
        <item x="648"/>
        <item x="2906"/>
        <item x="2476"/>
        <item x="2495"/>
        <item x="3520"/>
        <item x="2833"/>
        <item x="1144"/>
        <item x="3629"/>
        <item x="3070"/>
        <item x="3301"/>
        <item x="2591"/>
        <item x="3367"/>
        <item x="2142"/>
        <item x="2090"/>
        <item x="1281"/>
        <item x="4486"/>
        <item x="4365"/>
        <item x="2351"/>
        <item x="1410"/>
        <item x="4120"/>
        <item x="168"/>
        <item x="1380"/>
        <item x="3026"/>
        <item x="2726"/>
        <item x="2491"/>
        <item x="1950"/>
        <item x="4503"/>
        <item x="4098"/>
        <item x="4313"/>
        <item x="2898"/>
        <item x="2725"/>
        <item x="3402"/>
        <item x="1539"/>
        <item x="3427"/>
        <item x="3201"/>
        <item x="2586"/>
        <item x="1222"/>
        <item x="1947"/>
        <item x="3373"/>
        <item x="3601"/>
        <item x="1836"/>
        <item x="4463"/>
        <item x="1457"/>
        <item x="2740"/>
        <item x="564"/>
        <item x="2089"/>
        <item x="1554"/>
        <item x="592"/>
        <item x="2894"/>
        <item x="4177"/>
        <item x="2947"/>
        <item x="1844"/>
        <item x="487"/>
        <item x="3141"/>
        <item x="2298"/>
        <item x="3398"/>
        <item x="4422"/>
        <item x="938"/>
        <item x="3384"/>
        <item x="3785"/>
        <item x="4351"/>
        <item x="3911"/>
        <item x="2440"/>
        <item x="1122"/>
        <item x="306"/>
        <item x="155"/>
        <item x="729"/>
        <item x="3686"/>
        <item x="371"/>
        <item x="3770"/>
        <item x="3995"/>
        <item x="3079"/>
        <item x="2624"/>
        <item x="561"/>
        <item x="2604"/>
        <item x="586"/>
        <item x="3320"/>
        <item x="1056"/>
        <item x="2251"/>
        <item x="4329"/>
        <item x="3259"/>
        <item x="4358"/>
        <item x="3778"/>
        <item x="796"/>
        <item x="3056"/>
        <item x="4290"/>
        <item x="552"/>
        <item x="2718"/>
        <item x="41"/>
        <item x="2128"/>
        <item x="4613"/>
        <item x="1973"/>
        <item x="181"/>
        <item x="247"/>
        <item x="1265"/>
        <item x="2589"/>
        <item x="3633"/>
        <item x="1518"/>
        <item x="438"/>
        <item x="888"/>
        <item x="1909"/>
        <item x="3491"/>
        <item x="2214"/>
        <item x="1753"/>
        <item x="2895"/>
        <item x="2438"/>
        <item x="4035"/>
        <item x="3989"/>
        <item x="3600"/>
        <item x="2223"/>
        <item x="3215"/>
        <item x="2811"/>
        <item x="4616"/>
        <item x="1345"/>
        <item x="1270"/>
        <item x="1964"/>
        <item x="2934"/>
        <item x="1172"/>
        <item x="4211"/>
        <item x="1303"/>
        <item x="649"/>
        <item x="3400"/>
        <item x="3035"/>
        <item x="4382"/>
        <item x="1897"/>
        <item x="2016"/>
        <item x="3224"/>
        <item x="4331"/>
        <item x="3812"/>
        <item x="2652"/>
        <item x="1486"/>
        <item x="4453"/>
        <item x="4528"/>
        <item x="483"/>
        <item x="703"/>
        <item x="4214"/>
        <item x="2663"/>
        <item x="32"/>
        <item x="184"/>
        <item x="1268"/>
        <item x="224"/>
        <item x="2838"/>
        <item x="3197"/>
        <item x="4396"/>
        <item x="2272"/>
        <item x="647"/>
        <item x="945"/>
        <item x="2493"/>
        <item x="16"/>
        <item x="3498"/>
        <item x="930"/>
        <item x="1377"/>
        <item x="1272"/>
        <item x="2332"/>
        <item x="4094"/>
        <item x="1900"/>
        <item x="1013"/>
        <item x="1092"/>
        <item x="1853"/>
        <item x="3457"/>
        <item x="4695"/>
        <item x="454"/>
        <item x="1456"/>
        <item x="1378"/>
        <item x="2018"/>
        <item x="3542"/>
        <item x="577"/>
        <item x="3579"/>
        <item x="512"/>
        <item x="3090"/>
        <item x="4566"/>
        <item x="1416"/>
        <item x="2285"/>
        <item x="205"/>
        <item x="2190"/>
        <item x="4016"/>
        <item x="3073"/>
        <item x="2646"/>
        <item x="1782"/>
        <item x="2538"/>
        <item x="2823"/>
        <item x="1255"/>
        <item x="3632"/>
        <item x="2514"/>
        <item x="3099"/>
        <item x="3447"/>
        <item x="3485"/>
        <item x="946"/>
        <item x="3868"/>
        <item x="3469"/>
        <item x="929"/>
        <item x="3705"/>
        <item x="4217"/>
        <item x="3586"/>
        <item x="4654"/>
        <item x="800"/>
        <item x="2215"/>
        <item x="383"/>
        <item x="4444"/>
        <item x="4141"/>
        <item x="3828"/>
        <item x="3344"/>
        <item x="3006"/>
        <item x="3018"/>
        <item x="1864"/>
        <item x="1519"/>
        <item x="3438"/>
        <item x="1901"/>
        <item x="4229"/>
        <item x="3768"/>
        <item x="3308"/>
        <item x="3973"/>
        <item x="3559"/>
        <item x="2845"/>
        <item x="3535"/>
        <item x="2795"/>
        <item x="4384"/>
        <item x="1792"/>
        <item x="2583"/>
        <item x="2716"/>
        <item x="2587"/>
        <item x="702"/>
        <item x="4007"/>
        <item x="2103"/>
        <item x="3039"/>
        <item x="3631"/>
        <item x="2927"/>
        <item x="3292"/>
        <item x="4653"/>
        <item x="4223"/>
        <item x="1858"/>
        <item x="1207"/>
        <item x="257"/>
        <item x="1507"/>
        <item x="3746"/>
        <item x="342"/>
        <item x="3016"/>
        <item x="3878"/>
        <item x="1711"/>
        <item x="3119"/>
        <item x="339"/>
        <item x="611"/>
        <item x="2249"/>
        <item x="442"/>
        <item x="1499"/>
        <item x="3523"/>
        <item x="196"/>
        <item x="1106"/>
        <item x="4218"/>
        <item x="3560"/>
        <item x="1771"/>
        <item x="1368"/>
        <item x="3128"/>
        <item x="1639"/>
        <item x="4176"/>
        <item x="3261"/>
        <item x="1190"/>
        <item x="2703"/>
        <item x="4508"/>
        <item x="1835"/>
        <item x="2198"/>
        <item x="3858"/>
        <item x="3884"/>
        <item x="869"/>
        <item x="3942"/>
        <item x="900"/>
        <item x="482"/>
        <item x="2120"/>
        <item x="2313"/>
        <item x="4345"/>
        <item x="2605"/>
        <item x="4104"/>
        <item x="1878"/>
        <item x="1773"/>
        <item x="3747"/>
        <item x="445"/>
        <item x="1129"/>
        <item x="2981"/>
        <item x="4530"/>
        <item x="2213"/>
        <item x="4629"/>
        <item x="4488"/>
        <item x="3505"/>
        <item x="245"/>
        <item x="4117"/>
        <item x="533"/>
        <item x="3927"/>
        <item x="1956"/>
        <item x="288"/>
        <item x="834"/>
        <item x="4057"/>
        <item x="3379"/>
        <item x="3471"/>
        <item x="3169"/>
        <item x="4563"/>
        <item x="4231"/>
        <item x="4224"/>
        <item x="957"/>
        <item x="3941"/>
        <item x="3949"/>
        <item x="4029"/>
        <item x="646"/>
        <item x="3648"/>
        <item x="221"/>
        <item x="2278"/>
        <item x="4469"/>
        <item x="3315"/>
        <item x="812"/>
        <item x="2674"/>
        <item x="1768"/>
        <item x="1413"/>
        <item x="3192"/>
        <item x="3761"/>
        <item x="489"/>
        <item x="2896"/>
        <item x="4024"/>
        <item x="2364"/>
        <item x="301"/>
        <item x="1217"/>
        <item x="1078"/>
        <item x="589"/>
        <item x="3736"/>
        <item x="3001"/>
        <item x="2340"/>
        <item x="264"/>
        <item x="3013"/>
        <item x="3704"/>
        <item x="3170"/>
        <item x="2776"/>
        <item x="407"/>
        <item x="2012"/>
        <item x="3083"/>
        <item x="258"/>
        <item x="3212"/>
        <item x="465"/>
        <item x="3908"/>
        <item x="1855"/>
        <item x="2612"/>
        <item x="3717"/>
        <item x="2953"/>
        <item x="1829"/>
        <item x="111"/>
        <item x="1234"/>
        <item x="985"/>
        <item x="4553"/>
        <item x="3533"/>
        <item x="2887"/>
        <item x="3916"/>
        <item x="3131"/>
        <item x="227"/>
        <item x="4001"/>
        <item x="467"/>
        <item x="2819"/>
        <item x="1135"/>
        <item x="2991"/>
        <item x="4254"/>
        <item x="1358"/>
        <item x="3516"/>
        <item x="1815"/>
        <item x="2005"/>
        <item x="965"/>
        <item x="2073"/>
        <item x="638"/>
        <item x="3187"/>
        <item x="4552"/>
        <item x="2772"/>
        <item x="3003"/>
        <item x="3646"/>
        <item x="630"/>
        <item x="4511"/>
        <item x="4327"/>
        <item x="4164"/>
        <item x="2402"/>
        <item x="2425"/>
        <item x="3528"/>
        <item x="167"/>
        <item x="2890"/>
        <item x="4014"/>
        <item x="4045"/>
        <item x="352"/>
        <item x="1939"/>
        <item x="3353"/>
        <item x="1656"/>
        <item x="3314"/>
        <item x="3888"/>
        <item x="2650"/>
        <item x="3543"/>
        <item x="1364"/>
        <item x="3928"/>
        <item x="3459"/>
        <item x="2279"/>
        <item x="183"/>
        <item x="1905"/>
        <item x="2296"/>
        <item x="3780"/>
        <item x="1747"/>
        <item x="3375"/>
        <item x="2265"/>
        <item x="2707"/>
        <item x="2115"/>
        <item x="2757"/>
        <item x="575"/>
        <item x="394"/>
        <item x="1366"/>
        <item x="2637"/>
        <item x="2132"/>
        <item x="4028"/>
        <item x="4162"/>
        <item x="4272"/>
        <item x="593"/>
        <item x="2379"/>
        <item x="3216"/>
        <item x="1614"/>
        <item x="138"/>
        <item x="3671"/>
        <item x="2803"/>
        <item x="2592"/>
        <item x="4474"/>
        <item x="3403"/>
        <item x="3934"/>
        <item x="4091"/>
        <item x="2866"/>
        <item x="2534"/>
        <item x="3332"/>
        <item x="4059"/>
        <item x="4132"/>
        <item x="3110"/>
        <item x="1390"/>
        <item x="1642"/>
        <item x="3674"/>
        <item x="2312"/>
        <item x="4612"/>
        <item x="4395"/>
        <item x="2441"/>
        <item x="2207"/>
        <item x="2316"/>
        <item x="1766"/>
        <item x="1613"/>
        <item x="2888"/>
        <item x="964"/>
        <item x="1610"/>
        <item x="1799"/>
        <item x="4323"/>
        <item x="1603"/>
        <item x="562"/>
        <item x="2164"/>
        <item x="1015"/>
        <item x="1479"/>
        <item x="3005"/>
        <item x="3393"/>
        <item x="2842"/>
        <item x="2219"/>
        <item x="4607"/>
        <item x="2990"/>
        <item x="1965"/>
        <item x="246"/>
        <item x="2470"/>
        <item x="2354"/>
        <item x="475"/>
        <item x="2824"/>
        <item x="1225"/>
        <item x="4674"/>
        <item x="1568"/>
        <item x="1538"/>
        <item x="4198"/>
        <item x="1714"/>
        <item x="3842"/>
        <item x="3428"/>
        <item x="3913"/>
        <item x="3147"/>
        <item x="337"/>
        <item x="3553"/>
        <item x="4665"/>
        <item x="3081"/>
        <item x="3719"/>
        <item x="1587"/>
        <item x="1085"/>
        <item x="4052"/>
        <item x="366"/>
        <item x="2950"/>
        <item x="3875"/>
        <item x="1033"/>
        <item x="820"/>
        <item x="3036"/>
        <item x="4517"/>
        <item x="3716"/>
        <item x="2037"/>
        <item x="4212"/>
        <item x="113"/>
        <item x="2570"/>
        <item x="3229"/>
        <item x="2768"/>
        <item x="1734"/>
        <item x="3333"/>
        <item x="599"/>
        <item x="3583"/>
        <item x="3242"/>
        <item x="1611"/>
        <item x="1107"/>
        <item x="1569"/>
        <item x="4298"/>
        <item x="1765"/>
        <item x="2233"/>
        <item x="3486"/>
        <item x="2793"/>
        <item x="1409"/>
        <item x="3272"/>
        <item x="3422"/>
        <item x="1297"/>
        <item x="3536"/>
        <item x="978"/>
        <item x="4431"/>
        <item x="1737"/>
        <item x="2123"/>
        <item x="4321"/>
        <item x="3796"/>
        <item x="671"/>
        <item x="452"/>
        <item x="2746"/>
        <item x="2342"/>
        <item x="2555"/>
        <item x="4160"/>
        <item x="3539"/>
        <item x="1131"/>
        <item x="3481"/>
        <item x="3581"/>
        <item x="3545"/>
        <item x="1480"/>
        <item x="2877"/>
        <item x="34"/>
        <item x="1640"/>
        <item x="3328"/>
        <item x="500"/>
        <item x="1510"/>
        <item x="324"/>
        <item x="838"/>
        <item x="1647"/>
        <item x="785"/>
        <item x="3193"/>
        <item x="1907"/>
        <item x="1513"/>
        <item x="2980"/>
        <item x="1130"/>
        <item x="1824"/>
        <item x="100"/>
        <item x="2542"/>
        <item x="2375"/>
        <item x="2232"/>
        <item x="36"/>
        <item x="971"/>
        <item x="1730"/>
        <item x="588"/>
        <item x="3953"/>
        <item x="4189"/>
        <item x="125"/>
        <item x="3010"/>
        <item x="1721"/>
        <item x="2561"/>
        <item x="3235"/>
        <item x="1817"/>
        <item x="3607"/>
        <item x="3167"/>
        <item x="3831"/>
        <item x="2961"/>
        <item x="1128"/>
        <item x="2192"/>
        <item x="1299"/>
        <item x="3599"/>
        <item x="476"/>
        <item x="1278"/>
        <item x="3067"/>
        <item x="2580"/>
        <item x="170"/>
        <item x="2000"/>
        <item x="2210"/>
        <item x="3624"/>
        <item x="2727"/>
        <item x="2766"/>
        <item x="3054"/>
        <item x="2324"/>
        <item x="644"/>
        <item x="2618"/>
        <item x="4086"/>
        <item x="2276"/>
        <item x="2426"/>
        <item x="1359"/>
        <item x="2205"/>
        <item x="4691"/>
        <item x="3468"/>
        <item x="2528"/>
        <item x="2015"/>
        <item x="1890"/>
        <item x="4510"/>
        <item x="3009"/>
        <item x="1350"/>
        <item x="2134"/>
        <item x="1622"/>
        <item x="281"/>
        <item x="2048"/>
        <item x="2467"/>
        <item x="3407"/>
        <item x="2553"/>
        <item x="2277"/>
        <item x="3343"/>
        <item x="3793"/>
        <item x="3037"/>
        <item x="1398"/>
        <item x="855"/>
        <item x="3048"/>
        <item x="3706"/>
        <item x="2562"/>
        <item x="2625"/>
        <item x="4630"/>
        <item x="1525"/>
        <item x="970"/>
        <item x="1960"/>
        <item x="3340"/>
        <item x="1856"/>
        <item x="1575"/>
        <item x="1680"/>
        <item x="1920"/>
        <item x="4113"/>
        <item x="923"/>
        <item x="2339"/>
        <item x="1867"/>
        <item x="3767"/>
        <item x="2715"/>
        <item x="1371"/>
        <item x="2744"/>
        <item x="2125"/>
        <item x="1418"/>
        <item x="2698"/>
        <item x="2639"/>
        <item x="1498"/>
        <item x="4325"/>
        <item x="2083"/>
        <item x="835"/>
        <item x="1423"/>
        <item x="4074"/>
        <item x="4409"/>
        <item x="1169"/>
        <item x="2353"/>
        <item x="4562"/>
        <item x="4617"/>
        <item x="1559"/>
        <item x="2648"/>
        <item x="3563"/>
        <item x="3377"/>
        <item x="1628"/>
        <item x="1337"/>
        <item x="2352"/>
        <item x="2075"/>
        <item x="3936"/>
        <item x="2645"/>
        <item x="2809"/>
        <item x="1979"/>
        <item x="2335"/>
        <item x="2260"/>
        <item x="2904"/>
        <item x="229"/>
        <item x="3434"/>
        <item x="1428"/>
        <item x="886"/>
        <item x="2221"/>
        <item x="2250"/>
        <item x="1619"/>
        <item x="2094"/>
        <item x="2194"/>
        <item x="2825"/>
        <item x="3397"/>
        <item x="2047"/>
        <item x="3321"/>
        <item x="2428"/>
        <item x="686"/>
        <item x="2376"/>
        <item x="4608"/>
        <item x="3293"/>
        <item x="1512"/>
        <item x="2443"/>
        <item x="3954"/>
        <item x="2257"/>
        <item x="3496"/>
        <item x="3164"/>
        <item x="2463"/>
        <item x="2391"/>
        <item x="4193"/>
        <item x="4610"/>
        <item x="276"/>
        <item x="3117"/>
        <item x="2629"/>
        <item x="185"/>
        <item x="2603"/>
        <item x="2815"/>
        <item x="3638"/>
        <item x="2973"/>
        <item x="345"/>
        <item x="1860"/>
        <item x="3115"/>
        <item x="1084"/>
        <item x="728"/>
        <item x="2572"/>
        <item x="1065"/>
        <item x="1767"/>
        <item x="2662"/>
        <item x="2069"/>
        <item x="2409"/>
        <item x="2415"/>
        <item x="2129"/>
        <item x="4135"/>
        <item x="4102"/>
        <item x="1676"/>
        <item x="1735"/>
        <item x="3338"/>
        <item x="1731"/>
        <item x="2568"/>
        <item x="1606"/>
        <item x="4386"/>
        <item x="2282"/>
        <item x="4430"/>
        <item x="1552"/>
        <item x="86"/>
        <item x="1631"/>
        <item x="4072"/>
        <item x="683"/>
        <item x="3217"/>
        <item x="2271"/>
        <item x="477"/>
        <item x="3399"/>
        <item x="3203"/>
        <item x="4230"/>
        <item x="2509"/>
        <item x="1093"/>
        <item x="983"/>
        <item x="2"/>
        <item x="4588"/>
        <item x="3848"/>
        <item x="4205"/>
        <item x="2737"/>
        <item x="1686"/>
        <item x="1007"/>
        <item x="2827"/>
        <item x="3497"/>
        <item x="856"/>
        <item x="1462"/>
        <item x="2695"/>
        <item x="1094"/>
        <item x="4200"/>
        <item x="4457"/>
        <item x="1531"/>
        <item x="1312"/>
        <item x="4277"/>
        <item x="4152"/>
        <item x="3914"/>
        <item x="3231"/>
        <item x="1694"/>
        <item x="2879"/>
        <item x="1596"/>
        <item x="1654"/>
        <item x="1016"/>
        <item x="3065"/>
        <item x="1472"/>
        <item x="1558"/>
        <item x="451"/>
        <item x="1475"/>
        <item x="2628"/>
        <item x="2412"/>
        <item x="2871"/>
        <item x="3316"/>
        <item x="2832"/>
        <item x="1463"/>
        <item x="169"/>
        <item x="2483"/>
        <item x="2236"/>
        <item x="3363"/>
        <item x="3080"/>
        <item x="3735"/>
        <item x="3519"/>
        <item x="1648"/>
        <item x="2767"/>
        <item x="2102"/>
        <item x="2731"/>
        <item x="1977"/>
        <item x="2457"/>
        <item x="4019"/>
        <item x="2689"/>
        <item x="4550"/>
        <item x="3902"/>
        <item x="2397"/>
        <item x="2773"/>
        <item x="272"/>
        <item x="2323"/>
        <item x="2873"/>
        <item x="3920"/>
        <item x="3982"/>
        <item x="1784"/>
        <item x="3660"/>
        <item x="457"/>
        <item x="2775"/>
        <item x="3175"/>
        <item x="3495"/>
        <item x="1776"/>
        <item x="2714"/>
        <item x="2955"/>
        <item x="1008"/>
        <item x="3331"/>
        <item x="0"/>
        <item x="3444"/>
        <item x="4609"/>
        <item x="3401"/>
        <item x="40"/>
        <item x="3905"/>
        <item x="3963"/>
        <item x="806"/>
        <item x="3870"/>
        <item x="2925"/>
        <item x="4067"/>
        <item x="4180"/>
        <item x="2636"/>
        <item x="2808"/>
        <item x="3168"/>
        <item x="4182"/>
        <item x="1827"/>
        <item x="2518"/>
        <item x="1469"/>
        <item x="3773"/>
        <item x="1969"/>
        <item x="2063"/>
        <item x="3419"/>
        <item x="2394"/>
        <item x="1980"/>
        <item x="1319"/>
        <item x="2034"/>
        <item x="1652"/>
        <item x="2913"/>
        <item x="2691"/>
        <item x="3442"/>
        <item x="464"/>
        <item x="2188"/>
        <item x="4227"/>
        <item x="3153"/>
        <item x="3926"/>
        <item x="1982"/>
        <item x="1838"/>
        <item x="2356"/>
        <item x="58"/>
        <item x="1819"/>
        <item x="1149"/>
        <item x="3163"/>
        <item x="540"/>
        <item x="837"/>
        <item x="2610"/>
        <item x="943"/>
        <item x="2093"/>
        <item x="1406"/>
        <item x="418"/>
        <item x="2512"/>
        <item x="1311"/>
        <item x="1517"/>
        <item x="2705"/>
        <item x="2009"/>
        <item x="30"/>
        <item x="4338"/>
        <item x="2281"/>
        <item x="807"/>
        <item x="3692"/>
        <item x="2611"/>
        <item x="2527"/>
        <item x="4239"/>
        <item x="232"/>
        <item x="2721"/>
        <item x="3871"/>
        <item x="518"/>
        <item x="848"/>
        <item x="137"/>
        <item x="3727"/>
        <item x="2177"/>
        <item x="563"/>
        <item x="4400"/>
        <item x="624"/>
        <item x="1323"/>
        <item x="4526"/>
        <item x="1438"/>
        <item x="2468"/>
        <item x="1791"/>
        <item x="559"/>
        <item x="1952"/>
        <item x="721"/>
        <item x="3127"/>
        <item x="1659"/>
        <item x="3015"/>
        <item x="2126"/>
        <item x="3426"/>
        <item x="2781"/>
        <item x="2079"/>
        <item x="3893"/>
        <item x="1988"/>
        <item x="1429"/>
        <item x="2978"/>
        <item x="2535"/>
        <item x="322"/>
        <item x="4434"/>
        <item x="3937"/>
        <item x="2454"/>
        <item x="3349"/>
        <item x="2046"/>
        <item x="2817"/>
        <item x="3668"/>
        <item x="3526"/>
        <item x="2728"/>
        <item x="4449"/>
        <item x="3387"/>
        <item x="1802"/>
        <item x="2051"/>
        <item x="738"/>
        <item x="4427"/>
        <item x="3587"/>
        <item x="2038"/>
        <item x="2488"/>
        <item x="4136"/>
        <item x="757"/>
        <item x="3123"/>
        <item x="4184"/>
        <item x="4285"/>
        <item x="1529"/>
        <item x="21"/>
        <item x="4373"/>
        <item x="3992"/>
        <item x="1758"/>
        <item x="4418"/>
        <item x="157"/>
        <item x="2380"/>
        <item x="4364"/>
        <item x="1621"/>
        <item x="801"/>
        <item x="854"/>
        <item x="2363"/>
        <item x="2655"/>
        <item x="1871"/>
        <item x="33"/>
        <item x="519"/>
        <item x="4149"/>
        <item x="1524"/>
        <item x="1591"/>
        <item x="4121"/>
        <item x="1635"/>
        <item x="4600"/>
        <item x="250"/>
        <item x="3987"/>
        <item x="655"/>
        <item x="3455"/>
        <item x="4324"/>
        <item x="2885"/>
        <item x="1598"/>
        <item x="3912"/>
        <item x="3489"/>
        <item x="849"/>
        <item x="460"/>
        <item x="2297"/>
        <item x="412"/>
        <item x="1386"/>
        <item x="1075"/>
        <item x="3881"/>
        <item x="3327"/>
        <item x="88"/>
        <item x="2756"/>
        <item x="1944"/>
        <item x="1466"/>
        <item x="2816"/>
        <item x="2915"/>
        <item x="3124"/>
        <item x="4183"/>
        <item x="1341"/>
        <item x="2900"/>
        <item x="2446"/>
        <item x="4660"/>
        <item x="4582"/>
        <item x="3789"/>
        <item x="2967"/>
        <item x="4070"/>
        <item x="2383"/>
        <item x="1566"/>
        <item x="2170"/>
        <item x="2577"/>
        <item x="956"/>
        <item x="3923"/>
        <item x="3782"/>
        <item x="4680"/>
        <item x="3319"/>
        <item x="1287"/>
        <item x="3360"/>
        <item x="2458"/>
        <item x="431"/>
        <item x="344"/>
        <item x="2928"/>
        <item x="810"/>
        <item x="2669"/>
        <item x="2448"/>
        <item x="421"/>
        <item x="3042"/>
        <item x="2656"/>
        <item x="1670"/>
        <item x="2504"/>
        <item x="1790"/>
        <item x="255"/>
        <item x="553"/>
        <item x="2549"/>
        <item x="2984"/>
        <item x="3133"/>
        <item x="2975"/>
        <item x="401"/>
        <item x="1839"/>
        <item x="2066"/>
        <item x="877"/>
        <item x="3230"/>
        <item x="2544"/>
        <item x="999"/>
        <item x="1672"/>
        <item x="3074"/>
        <item x="2897"/>
        <item x="3720"/>
        <item x="2861"/>
        <item x="3232"/>
        <item x="92"/>
        <item x="98"/>
        <item x="2169"/>
        <item x="3186"/>
        <item x="1283"/>
        <item x="151"/>
        <item x="4487"/>
        <item x="3132"/>
        <item x="1576"/>
        <item x="2677"/>
        <item x="1528"/>
        <item x="478"/>
        <item x="2308"/>
        <item x="1103"/>
        <item x="2329"/>
        <item x="1691"/>
        <item x="3278"/>
        <item x="560"/>
        <item x="4147"/>
        <item x="3094"/>
        <item x="1733"/>
        <item x="1931"/>
        <item x="711"/>
        <item x="2782"/>
        <item x="455"/>
        <item x="4157"/>
        <item x="2382"/>
        <item x="612"/>
        <item x="2929"/>
        <item x="356"/>
        <item x="3729"/>
        <item x="2617"/>
        <item x="2911"/>
        <item x="53"/>
        <item x="2864"/>
        <item x="1459"/>
        <item x="1310"/>
        <item x="1408"/>
        <item x="1898"/>
        <item x="2218"/>
        <item x="1012"/>
        <item x="152"/>
        <item x="1930"/>
        <item x="2598"/>
        <item x="4681"/>
        <item x="493"/>
        <item x="2462"/>
        <item x="389"/>
        <item x="2287"/>
        <item x="4624"/>
        <item x="444"/>
        <item x="2021"/>
        <item x="2671"/>
        <item x="3895"/>
        <item x="585"/>
        <item x="2565"/>
        <item x="2403"/>
        <item x="2865"/>
        <item x="384"/>
        <item x="4410"/>
        <item x="765"/>
        <item x="3642"/>
        <item x="1066"/>
        <item x="2554"/>
        <item x="3615"/>
        <item x="367"/>
        <item x="506"/>
        <item x="3740"/>
        <item x="4008"/>
        <item x="101"/>
        <item x="1916"/>
        <item x="2122"/>
        <item x="833"/>
        <item x="3053"/>
        <item x="1530"/>
        <item x="1870"/>
        <item x="704"/>
        <item x="369"/>
        <item x="622"/>
        <item x="4634"/>
        <item x="4114"/>
        <item x="4547"/>
        <item x="4374"/>
        <item x="56"/>
        <item x="2111"/>
        <item x="4673"/>
        <item x="2327"/>
        <item x="3968"/>
        <item x="3461"/>
        <item x="2156"/>
        <item x="4092"/>
        <item x="2849"/>
        <item x="542"/>
        <item x="3829"/>
        <item x="3798"/>
        <item x="1504"/>
        <item x="1313"/>
        <item x="1020"/>
        <item x="2945"/>
        <item x="2055"/>
        <item x="1151"/>
        <item x="2760"/>
        <item x="3571"/>
        <item x="165"/>
        <item x="89"/>
        <item x="164"/>
        <item x="2502"/>
        <item x="410"/>
        <item x="2620"/>
        <item x="1885"/>
        <item x="973"/>
        <item x="643"/>
        <item x="2752"/>
        <item x="1369"/>
        <item x="3546"/>
        <item x="3063"/>
        <item x="2506"/>
        <item x="625"/>
        <item x="2348"/>
        <item x="3071"/>
        <item x="4548"/>
        <item x="4003"/>
        <item x="2985"/>
        <item x="4677"/>
        <item x="320"/>
        <item x="3890"/>
        <item x="3714"/>
        <item x="3741"/>
        <item x="3396"/>
        <item x="3185"/>
        <item x="2492"/>
        <item x="2146"/>
        <item x="2820"/>
        <item x="1816"/>
        <item x="4377"/>
        <item x="397"/>
        <item x="2181"/>
        <item x="1751"/>
        <item x="3296"/>
        <item x="4516"/>
        <item x="2469"/>
        <item x="2217"/>
        <item x="1726"/>
        <item x="1805"/>
        <item x="2924"/>
        <item x="310"/>
        <item x="1485"/>
        <item x="805"/>
        <item x="1822"/>
        <item x="2179"/>
        <item x="3763"/>
        <item x="2599"/>
        <item x="4267"/>
        <item x="3014"/>
        <item x="2790"/>
        <item x="1806"/>
        <item x="2685"/>
        <item x="1739"/>
        <item x="3211"/>
        <item x="516"/>
        <item x="2701"/>
        <item x="4071"/>
        <item x="3162"/>
        <item x="2245"/>
        <item x="3922"/>
        <item x="1057"/>
        <item x="440"/>
        <item x="2547"/>
        <item x="3647"/>
        <item x="2475"/>
        <item x="1365"/>
        <item x="112"/>
        <item x="2761"/>
        <item x="514"/>
        <item x="2804"/>
        <item x="4390"/>
        <item x="2664"/>
        <item x="2405"/>
        <item x="2841"/>
        <item x="1888"/>
        <item x="1240"/>
        <item x="163"/>
        <item x="240"/>
        <item x="2317"/>
        <item x="3218"/>
        <item x="104"/>
        <item x="831"/>
        <item x="1750"/>
        <item x="4297"/>
        <item x="3484"/>
        <item x="3503"/>
        <item x="1043"/>
        <item x="239"/>
        <item x="3723"/>
        <item x="2777"/>
        <item x="1254"/>
        <item x="57"/>
        <item x="4015"/>
        <item x="3985"/>
        <item x="3"/>
        <item x="2431"/>
        <item x="1994"/>
        <item x="3290"/>
        <item x="2124"/>
        <item x="4603"/>
        <item x="966"/>
        <item x="191"/>
        <item x="3929"/>
        <item x="3975"/>
        <item x="2837"/>
        <item x="4627"/>
        <item x="4140"/>
        <item x="3483"/>
        <item x="4021"/>
        <item x="784"/>
        <item x="77"/>
        <item x="2234"/>
        <item x="3630"/>
        <item x="4245"/>
        <item x="1723"/>
        <item x="1953"/>
        <item x="4208"/>
        <item x="3388"/>
        <item x="2807"/>
        <item x="4579"/>
        <item x="3252"/>
        <item x="3364"/>
        <item x="4471"/>
        <item x="3584"/>
        <item x="4544"/>
        <item x="574"/>
        <item x="2600"/>
        <item x="3721"/>
        <item x="846"/>
        <item x="747"/>
        <item x="4144"/>
        <item x="2968"/>
        <item x="3797"/>
        <item x="932"/>
        <item x="1924"/>
        <item x="881"/>
        <item x="4065"/>
        <item x="3626"/>
        <item x="2045"/>
        <item x="1432"/>
        <item x="3802"/>
        <item x="2881"/>
        <item x="370"/>
        <item x="3151"/>
        <item x="67"/>
        <item x="1373"/>
        <item x="2519"/>
        <item x="3089"/>
        <item x="4030"/>
        <item x="200"/>
        <item x="278"/>
        <item x="297"/>
        <item x="2041"/>
        <item x="2632"/>
        <item x="4543"/>
        <item x="3173"/>
        <item x="2295"/>
        <item x="573"/>
        <item x="2054"/>
        <item x="1934"/>
        <item x="4537"/>
        <item x="2258"/>
        <item x="903"/>
        <item x="4124"/>
        <item x="2959"/>
        <item x="84"/>
        <item x="3345"/>
        <item x="2290"/>
        <item x="1990"/>
        <item x="1997"/>
        <item x="4328"/>
        <item x="3759"/>
        <item x="4435"/>
        <item x="2590"/>
        <item x="2131"/>
        <item x="823"/>
        <item x="3159"/>
        <item x="3728"/>
        <item x="3658"/>
        <item x="1946"/>
        <item x="3854"/>
        <item x="2676"/>
        <item x="525"/>
        <item x="2609"/>
        <item x="1811"/>
        <item x="243"/>
        <item x="1774"/>
        <item x="1812"/>
        <item x="4686"/>
        <item x="3282"/>
        <item x="2455"/>
        <item x="2406"/>
        <item x="3098"/>
        <item x="3659"/>
        <item x="187"/>
        <item x="2404"/>
        <item x="1770"/>
        <item x="2644"/>
        <item x="3930"/>
        <item x="275"/>
        <item x="417"/>
        <item x="918"/>
        <item x="3737"/>
        <item x="1879"/>
        <item x="4655"/>
        <item x="813"/>
        <item x="1289"/>
        <item x="2736"/>
        <item x="2783"/>
        <item x="2153"/>
        <item x="1218"/>
        <item x="2665"/>
        <item x="2004"/>
        <item x="4601"/>
        <item x="4033"/>
        <item x="4127"/>
        <item x="1863"/>
        <item x="2088"/>
        <item x="1069"/>
        <item x="4644"/>
        <item x="4110"/>
        <item x="1769"/>
        <item x="4304"/>
        <item x="2002"/>
        <item x="3656"/>
        <item x="2800"/>
        <item x="2413"/>
        <item x="2168"/>
        <item x="4593"/>
        <item x="2660"/>
        <item x="2801"/>
        <item x="3880"/>
        <item x="1156"/>
        <item x="4020"/>
        <item x="3101"/>
        <item x="2579"/>
        <item x="2633"/>
        <item x="2634"/>
        <item x="2306"/>
        <item x="3408"/>
        <item x="2434"/>
        <item x="4303"/>
        <item x="3824"/>
        <item x="2700"/>
        <item x="4148"/>
        <item x="3558"/>
        <item x="3031"/>
        <item x="2497"/>
        <item x="3753"/>
        <item x="2216"/>
        <item x="4404"/>
        <item x="2799"/>
        <item x="2206"/>
        <item x="72"/>
        <item x="4170"/>
        <item x="2381"/>
        <item x="1607"/>
        <item x="180"/>
        <item x="2533"/>
        <item x="4042"/>
        <item x="2099"/>
        <item x="2484"/>
        <item x="4656"/>
        <item x="2499"/>
        <item x="2843"/>
        <item x="3337"/>
        <item x="2517"/>
        <item x="4048"/>
        <item x="2944"/>
        <item x="216"/>
        <item x="3755"/>
        <item x="186"/>
        <item x="2501"/>
        <item x="910"/>
        <item x="601"/>
        <item x="2154"/>
        <item x="2578"/>
        <item x="2500"/>
        <item x="4039"/>
        <item x="4133"/>
        <item x="2850"/>
        <item x="2878"/>
        <item x="4403"/>
        <item x="4038"/>
        <item x="4010"/>
        <item x="4051"/>
        <item x="2163"/>
        <item x="2003"/>
        <item x="2100"/>
        <item x="2536"/>
        <item x="4666"/>
        <item x="2792"/>
        <item x="1231"/>
        <item x="2141"/>
        <item x="3594"/>
        <item x="3210"/>
        <item x="2569"/>
        <item x="70"/>
        <item x="768"/>
        <item x="2778"/>
        <item x="2270"/>
        <item x="2943"/>
        <item x="4433"/>
        <item x="2791"/>
        <item x="3285"/>
        <item x="3566"/>
        <item x="2256"/>
        <item x="3348"/>
        <item x="2091"/>
        <item x="1488"/>
        <item x="3106"/>
        <item x="2180"/>
        <item x="2477"/>
        <item x="3166"/>
        <item x="4253"/>
        <item x="6227"/>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m="1" x="6230"/>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2"/>
        <item m="1" x="6228"/>
        <item x="6134"/>
        <item x="6135"/>
        <item m="1" x="6229"/>
        <item x="6136"/>
        <item x="6131"/>
        <item x="6133"/>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t="default"/>
      </items>
    </pivotField>
    <pivotField axis="axisRow" showAll="0">
      <items count="11">
        <item sd="0" x="5"/>
        <item sd="0" x="4"/>
        <item sd="0" x="2"/>
        <item sd="0" x="1"/>
        <item sd="0" x="8"/>
        <item sd="0" x="0"/>
        <item sd="0" x="7"/>
        <item x="6"/>
        <item sd="0" x="3"/>
        <item x="9"/>
        <item t="default"/>
      </items>
    </pivotField>
    <pivotField showAll="0"/>
    <pivotField showAll="0"/>
    <pivotField axis="axisPage" multipleItemSelectionAllowed="1" showAll="0">
      <items count="16">
        <item h="1" x="7"/>
        <item h="1" x="13"/>
        <item h="1" x="9"/>
        <item h="1" x="8"/>
        <item h="1" x="4"/>
        <item h="1" x="10"/>
        <item h="1" x="11"/>
        <item h="1" x="5"/>
        <item h="1" x="12"/>
        <item h="1" x="2"/>
        <item h="1" x="0"/>
        <item h="1" x="6"/>
        <item h="1" x="3"/>
        <item x="1"/>
        <item h="1" x="14"/>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7"/>
    <field x="6"/>
  </rowFields>
  <rowItems count="9">
    <i>
      <x/>
    </i>
    <i>
      <x v="1"/>
    </i>
    <i>
      <x v="2"/>
    </i>
    <i>
      <x v="3"/>
    </i>
    <i>
      <x v="4"/>
    </i>
    <i>
      <x v="5"/>
    </i>
    <i>
      <x v="6"/>
    </i>
    <i>
      <x v="8"/>
    </i>
    <i t="grand">
      <x/>
    </i>
  </rowItems>
  <colItems count="1">
    <i/>
  </colItems>
  <pageFields count="3">
    <pageField fld="0" hier="-1"/>
    <pageField fld="10" hier="-1"/>
    <pageField fld="2" hier="-1"/>
  </pageFields>
  <formats count="19">
    <format dxfId="449">
      <pivotArea type="all" dataOnly="0" outline="0" fieldPosition="0"/>
    </format>
    <format dxfId="448">
      <pivotArea field="7" type="button" dataOnly="0" labelOnly="1" outline="0" axis="axisRow" fieldPosition="0"/>
    </format>
    <format dxfId="447">
      <pivotArea dataOnly="0" labelOnly="1" fieldPosition="0">
        <references count="1">
          <reference field="7" count="8">
            <x v="0"/>
            <x v="1"/>
            <x v="2"/>
            <x v="3"/>
            <x v="4"/>
            <x v="5"/>
            <x v="6"/>
            <x v="8"/>
          </reference>
        </references>
      </pivotArea>
    </format>
    <format dxfId="446">
      <pivotArea dataOnly="0" labelOnly="1" grandRow="1" outline="0" fieldPosition="0"/>
    </format>
    <format dxfId="445">
      <pivotArea type="all" dataOnly="0" outline="0" fieldPosition="0"/>
    </format>
    <format dxfId="444">
      <pivotArea field="7" type="button" dataOnly="0" labelOnly="1" outline="0" axis="axisRow" fieldPosition="0"/>
    </format>
    <format dxfId="443">
      <pivotArea dataOnly="0" labelOnly="1" fieldPosition="0">
        <references count="1">
          <reference field="7" count="8">
            <x v="0"/>
            <x v="1"/>
            <x v="2"/>
            <x v="3"/>
            <x v="4"/>
            <x v="5"/>
            <x v="6"/>
            <x v="8"/>
          </reference>
        </references>
      </pivotArea>
    </format>
    <format dxfId="442">
      <pivotArea dataOnly="0" labelOnly="1" grandRow="1" outline="0" fieldPosition="0"/>
    </format>
    <format dxfId="441">
      <pivotArea dataOnly="0" labelOnly="1" grandRow="1" outline="0" fieldPosition="0"/>
    </format>
    <format dxfId="440">
      <pivotArea field="7" type="button" dataOnly="0" labelOnly="1" outline="0" axis="axisRow" fieldPosition="0"/>
    </format>
    <format dxfId="439">
      <pivotArea field="7" type="button" dataOnly="0" labelOnly="1" outline="0" axis="axisRow" fieldPosition="0"/>
    </format>
    <format dxfId="438">
      <pivotArea field="7" type="button" dataOnly="0" labelOnly="1" outline="0" axis="axisRow" fieldPosition="0"/>
    </format>
    <format dxfId="437">
      <pivotArea field="7" type="button" dataOnly="0" labelOnly="1" outline="0" axis="axisRow" fieldPosition="0"/>
    </format>
    <format dxfId="436">
      <pivotArea dataOnly="0" labelOnly="1" grandRow="1" outline="0" fieldPosition="0"/>
    </format>
    <format dxfId="435">
      <pivotArea field="7" type="button" dataOnly="0" labelOnly="1" outline="0" axis="axisRow" fieldPosition="0"/>
    </format>
    <format dxfId="434">
      <pivotArea type="all" dataOnly="0" outline="0" fieldPosition="0"/>
    </format>
    <format dxfId="433">
      <pivotArea field="7" type="button" dataOnly="0" labelOnly="1" outline="0" axis="axisRow" fieldPosition="0"/>
    </format>
    <format dxfId="432">
      <pivotArea dataOnly="0" labelOnly="1" fieldPosition="0">
        <references count="1">
          <reference field="7" count="8">
            <x v="0"/>
            <x v="1"/>
            <x v="2"/>
            <x v="3"/>
            <x v="4"/>
            <x v="5"/>
            <x v="6"/>
            <x v="8"/>
          </reference>
        </references>
      </pivotArea>
    </format>
    <format dxfId="431">
      <pivotArea dataOnly="0" labelOnly="1" grandRow="1" outline="0" fieldPosition="0"/>
    </format>
  </formats>
  <pivotTableStyleInfo name="PivotStyleLight16" showRowHeaders="1" showColHeaders="1" showRowStripes="0" showColStripes="0" showLastColumn="1"/>
  <filters count="1">
    <filter fld="6" type="captionLessThan" evalOrder="-1" id="6" stringValue1="5000">
      <autoFilter ref="A1">
        <filterColumn colId="0">
          <customFilters>
            <customFilter operator="lessThan" val="5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395196-50E1-4C5C-9D52-725CAAE87C68}" name="TablaDinámica1" cacheId="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Transportista">
  <location ref="A4:C14" firstHeaderRow="0" firstDataRow="1" firstDataCol="1" rowPageCount="2" colPageCount="1"/>
  <pivotFields count="24">
    <pivotField showAll="0"/>
    <pivotField showAll="0"/>
    <pivotField showAll="0"/>
    <pivotField showAll="0"/>
    <pivotField showAll="0"/>
    <pivotField showAll="0"/>
    <pivotField dataField="1" showAll="0"/>
    <pivotField axis="axisRow" showAll="0">
      <items count="11">
        <item x="5"/>
        <item x="4"/>
        <item x="2"/>
        <item x="1"/>
        <item x="8"/>
        <item x="0"/>
        <item x="7"/>
        <item x="6"/>
        <item x="3"/>
        <item x="9"/>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x="3"/>
        <item x="4"/>
        <item x="5"/>
        <item x="6"/>
        <item x="7"/>
        <item x="8"/>
        <item x="10"/>
        <item x="11"/>
        <item x="12"/>
        <item x="0"/>
        <item x="1"/>
        <item x="2"/>
        <item x="9"/>
        <item t="default"/>
      </items>
    </pivotField>
    <pivotField axis="axisPage" multipleItemSelectionAllowed="1" showAll="0">
      <items count="7">
        <item h="1" x="5"/>
        <item h="1" x="0"/>
        <item x="1"/>
        <item h="1" x="3"/>
        <item h="1" x="2"/>
        <item h="1" x="4"/>
        <item t="default"/>
      </items>
    </pivotField>
    <pivotField showAll="0"/>
    <pivotField dragToRow="0" dragToCol="0" dragToPage="0" showAll="0" defaultSubtotal="0"/>
    <pivotField dataField="1" dragToRow="0" dragToCol="0" dragToPage="0" showAll="0" defaultSubtotal="0"/>
  </pivotFields>
  <rowFields count="1">
    <field x="7"/>
  </rowFields>
  <rowItems count="10">
    <i>
      <x/>
    </i>
    <i>
      <x v="1"/>
    </i>
    <i>
      <x v="2"/>
    </i>
    <i>
      <x v="3"/>
    </i>
    <i>
      <x v="4"/>
    </i>
    <i>
      <x v="5"/>
    </i>
    <i>
      <x v="6"/>
    </i>
    <i>
      <x v="7"/>
    </i>
    <i>
      <x v="8"/>
    </i>
    <i t="grand">
      <x/>
    </i>
  </rowItems>
  <colFields count="1">
    <field x="-2"/>
  </colFields>
  <colItems count="2">
    <i>
      <x/>
    </i>
    <i i="1">
      <x v="1"/>
    </i>
  </colItems>
  <pageFields count="2">
    <pageField fld="20" hier="-1"/>
    <pageField fld="19" hier="-1"/>
  </pageFields>
  <dataFields count="2">
    <dataField name="Kg transportados " fld="6" baseField="0" baseItem="0" numFmtId="172"/>
    <dataField name="% Ocupación" fld="23" baseField="0" baseItem="0" numFmtId="171"/>
  </dataFields>
  <formats count="8">
    <format dxfId="430">
      <pivotArea outline="0" collapsedLevelsAreSubtotals="1" fieldPosition="0">
        <references count="1">
          <reference field="4294967294" count="1" selected="0">
            <x v="0"/>
          </reference>
        </references>
      </pivotArea>
    </format>
    <format dxfId="429">
      <pivotArea outline="0" collapsedLevelsAreSubtotals="1" fieldPosition="0">
        <references count="1">
          <reference field="4294967294" count="1" selected="0">
            <x v="1"/>
          </reference>
        </references>
      </pivotArea>
    </format>
    <format dxfId="428">
      <pivotArea type="all" dataOnly="0" outline="0" fieldPosition="0"/>
    </format>
    <format dxfId="427">
      <pivotArea outline="0" collapsedLevelsAreSubtotals="1" fieldPosition="0"/>
    </format>
    <format dxfId="426">
      <pivotArea field="7" type="button" dataOnly="0" labelOnly="1" outline="0" axis="axisRow" fieldPosition="0"/>
    </format>
    <format dxfId="425">
      <pivotArea dataOnly="0" labelOnly="1" fieldPosition="0">
        <references count="1">
          <reference field="7" count="9">
            <x v="0"/>
            <x v="1"/>
            <x v="2"/>
            <x v="3"/>
            <x v="4"/>
            <x v="5"/>
            <x v="6"/>
            <x v="7"/>
            <x v="8"/>
          </reference>
        </references>
      </pivotArea>
    </format>
    <format dxfId="424">
      <pivotArea dataOnly="0" labelOnly="1" grandRow="1" outline="0" fieldPosition="0"/>
    </format>
    <format dxfId="42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21AAFB-E384-0F4F-8866-A2B5A2CD6240}" name="PivotTable1" cacheId="1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6:F56" firstHeaderRow="0" firstDataRow="1" firstDataCol="1" rowPageCount="4" colPageCount="1"/>
  <pivotFields count="24">
    <pivotField axis="axisRow" showAll="0">
      <items count="735">
        <item x="7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sd="0" x="68"/>
        <item sd="0" x="69"/>
        <item x="70"/>
        <item x="71"/>
        <item sd="0" x="72"/>
        <item x="73"/>
        <item sd="0" x="74"/>
        <item sd="0" x="75"/>
        <item x="76"/>
        <item sd="0" x="77"/>
        <item x="78"/>
        <item sd="0" x="79"/>
        <item sd="0" x="80"/>
        <item sd="0" x="81"/>
        <item x="82"/>
        <item x="83"/>
        <item x="84"/>
        <item sd="0" x="85"/>
        <item sd="0"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sd="0" x="281"/>
        <item x="282"/>
        <item x="283"/>
        <item sd="0" x="284"/>
        <item x="285"/>
        <item x="286"/>
        <item sd="0" x="287"/>
        <item sd="0" x="288"/>
        <item sd="0" x="289"/>
        <item sd="0" x="290"/>
        <item x="291"/>
        <item x="292"/>
        <item x="293"/>
        <item x="294"/>
        <item sd="0" x="295"/>
        <item sd="0" x="296"/>
        <item x="297"/>
        <item x="298"/>
        <item m="1" x="733"/>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t="default"/>
      </items>
    </pivotField>
    <pivotField showAll="0"/>
    <pivotField axis="axisPage" multipleItemSelectionAllowed="1" showAll="0">
      <items count="156">
        <item x="51"/>
        <item x="0"/>
        <item x="63"/>
        <item x="54"/>
        <item x="15"/>
        <item x="13"/>
        <item x="17"/>
        <item x="3"/>
        <item x="49"/>
        <item x="4"/>
        <item x="34"/>
        <item x="21"/>
        <item x="47"/>
        <item x="1"/>
        <item x="35"/>
        <item x="37"/>
        <item x="29"/>
        <item x="58"/>
        <item x="40"/>
        <item x="26"/>
        <item x="5"/>
        <item x="46"/>
        <item x="30"/>
        <item x="59"/>
        <item x="50"/>
        <item x="19"/>
        <item x="27"/>
        <item x="65"/>
        <item x="38"/>
        <item x="32"/>
        <item x="11"/>
        <item x="31"/>
        <item x="39"/>
        <item x="62"/>
        <item x="2"/>
        <item x="61"/>
        <item x="18"/>
        <item x="12"/>
        <item x="10"/>
        <item x="52"/>
        <item x="24"/>
        <item x="6"/>
        <item x="66"/>
        <item x="16"/>
        <item x="42"/>
        <item x="55"/>
        <item x="41"/>
        <item x="20"/>
        <item x="60"/>
        <item x="22"/>
        <item x="14"/>
        <item x="56"/>
        <item x="44"/>
        <item x="36"/>
        <item x="25"/>
        <item x="43"/>
        <item x="9"/>
        <item x="7"/>
        <item x="48"/>
        <item x="64"/>
        <item x="8"/>
        <item x="45"/>
        <item x="33"/>
        <item x="57"/>
        <item x="23"/>
        <item x="53"/>
        <item x="28"/>
        <item x="153"/>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m="1" x="154"/>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showAll="0"/>
    <pivotField showAll="0"/>
    <pivotField showAll="0"/>
    <pivotField dataField="1" showAll="0"/>
    <pivotField showAll="0">
      <items count="11">
        <item x="5"/>
        <item x="4"/>
        <item x="2"/>
        <item x="1"/>
        <item x="8"/>
        <item x="0"/>
        <item x="7"/>
        <item x="6"/>
        <item x="3"/>
        <item h="1" x="9"/>
        <item t="default"/>
      </items>
    </pivotField>
    <pivotField showAll="0"/>
    <pivotField axis="axisRow" showAll="0">
      <items count="126">
        <item x="49"/>
        <item x="74"/>
        <item x="56"/>
        <item x="39"/>
        <item x="37"/>
        <item x="71"/>
        <item x="40"/>
        <item x="72"/>
        <item x="9"/>
        <item x="82"/>
        <item x="21"/>
        <item x="79"/>
        <item x="5"/>
        <item x="81"/>
        <item x="60"/>
        <item x="42"/>
        <item x="16"/>
        <item x="73"/>
        <item x="25"/>
        <item x="46"/>
        <item x="44"/>
        <item x="24"/>
        <item x="1"/>
        <item x="76"/>
        <item x="33"/>
        <item x="22"/>
        <item x="31"/>
        <item x="11"/>
        <item x="63"/>
        <item x="17"/>
        <item x="61"/>
        <item x="3"/>
        <item x="59"/>
        <item x="41"/>
        <item x="68"/>
        <item x="38"/>
        <item x="57"/>
        <item x="43"/>
        <item x="2"/>
        <item x="29"/>
        <item x="51"/>
        <item x="15"/>
        <item x="64"/>
        <item x="26"/>
        <item x="52"/>
        <item x="13"/>
        <item x="78"/>
        <item x="80"/>
        <item x="34"/>
        <item x="54"/>
        <item x="48"/>
        <item x="10"/>
        <item x="30"/>
        <item x="53"/>
        <item x="8"/>
        <item x="18"/>
        <item x="19"/>
        <item x="58"/>
        <item x="62"/>
        <item x="69"/>
        <item x="28"/>
        <item sd="0" x="7"/>
        <item x="55"/>
        <item x="4"/>
        <item x="32"/>
        <item x="35"/>
        <item x="67"/>
        <item x="66"/>
        <item x="23"/>
        <item x="47"/>
        <item x="75"/>
        <item x="20"/>
        <item x="50"/>
        <item x="12"/>
        <item x="0"/>
        <item x="14"/>
        <item x="70"/>
        <item x="77"/>
        <item x="45"/>
        <item x="36"/>
        <item x="6"/>
        <item x="27"/>
        <item x="65"/>
        <item x="124"/>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axis="axisPage" multipleItemSelectionAllowed="1" showAll="0">
      <items count="16">
        <item h="1" x="7"/>
        <item h="1" x="9"/>
        <item h="1" x="8"/>
        <item x="4"/>
        <item x="10"/>
        <item x="11"/>
        <item x="5"/>
        <item h="1" x="2"/>
        <item x="0"/>
        <item x="6"/>
        <item x="3"/>
        <item h="1" x="1"/>
        <item h="1" x="14"/>
        <item h="1" x="12"/>
        <item h="1" x="13"/>
        <item t="default"/>
      </items>
    </pivotField>
    <pivotField showAll="0"/>
    <pivotField showAll="0"/>
    <pivotField showAll="0"/>
    <pivotField dataField="1" showAll="0"/>
    <pivotField showAll="0"/>
    <pivotField showAll="0"/>
    <pivotField dataField="1" showAll="0"/>
    <pivotField axis="axisRow" showAll="0">
      <items count="7793">
        <item x="11"/>
        <item x="6"/>
        <item x="4"/>
        <item x="2"/>
        <item x="5"/>
        <item x="8"/>
        <item x="10"/>
        <item x="7"/>
        <item x="1"/>
        <item x="3"/>
        <item x="9"/>
        <item x="14"/>
        <item x="13"/>
        <item x="12"/>
        <item x="15"/>
        <item x="16"/>
        <item x="17"/>
        <item x="28"/>
        <item x="27"/>
        <item x="29"/>
        <item x="30"/>
        <item x="19"/>
        <item x="25"/>
        <item x="31"/>
        <item x="23"/>
        <item x="18"/>
        <item x="22"/>
        <item x="20"/>
        <item x="21"/>
        <item x="26"/>
        <item x="24"/>
        <item x="35"/>
        <item x="33"/>
        <item x="34"/>
        <item x="32"/>
        <item x="36"/>
        <item x="46"/>
        <item x="44"/>
        <item x="39"/>
        <item x="38"/>
        <item x="37"/>
        <item x="43"/>
        <item x="42"/>
        <item x="40"/>
        <item x="41"/>
        <item x="51"/>
        <item x="52"/>
        <item x="49"/>
        <item x="47"/>
        <item x="48"/>
        <item x="50"/>
        <item x="45"/>
        <item x="55"/>
        <item x="58"/>
        <item x="59"/>
        <item x="54"/>
        <item x="61"/>
        <item x="63"/>
        <item x="62"/>
        <item x="57"/>
        <item x="60"/>
        <item x="53"/>
        <item x="68"/>
        <item x="67"/>
        <item x="64"/>
        <item x="65"/>
        <item x="66"/>
        <item x="69"/>
        <item x="56"/>
        <item x="76"/>
        <item x="73"/>
        <item x="72"/>
        <item x="71"/>
        <item x="78"/>
        <item x="74"/>
        <item x="75"/>
        <item x="83"/>
        <item x="79"/>
        <item x="80"/>
        <item x="82"/>
        <item x="81"/>
        <item x="70"/>
        <item x="77"/>
        <item x="88"/>
        <item x="89"/>
        <item x="91"/>
        <item x="85"/>
        <item x="87"/>
        <item x="86"/>
        <item x="84"/>
        <item x="90"/>
        <item x="92"/>
        <item x="93"/>
        <item x="94"/>
        <item x="95"/>
        <item x="96"/>
        <item x="102"/>
        <item x="101"/>
        <item x="97"/>
        <item x="106"/>
        <item x="99"/>
        <item x="98"/>
        <item x="100"/>
        <item x="103"/>
        <item x="108"/>
        <item x="105"/>
        <item x="109"/>
        <item x="104"/>
        <item x="107"/>
        <item x="112"/>
        <item x="117"/>
        <item x="110"/>
        <item x="111"/>
        <item x="113"/>
        <item x="116"/>
        <item x="119"/>
        <item x="124"/>
        <item x="115"/>
        <item x="114"/>
        <item x="118"/>
        <item x="121"/>
        <item x="122"/>
        <item x="120"/>
        <item x="123"/>
        <item x="126"/>
        <item x="128"/>
        <item x="129"/>
        <item x="127"/>
        <item x="125"/>
        <item x="131"/>
        <item x="133"/>
        <item x="134"/>
        <item x="130"/>
        <item x="132"/>
        <item x="136"/>
        <item x="135"/>
        <item x="138"/>
        <item x="143"/>
        <item x="140"/>
        <item x="146"/>
        <item x="144"/>
        <item x="137"/>
        <item x="145"/>
        <item x="142"/>
        <item x="139"/>
        <item x="150"/>
        <item x="147"/>
        <item x="149"/>
        <item x="141"/>
        <item x="148"/>
        <item x="161"/>
        <item x="154"/>
        <item x="162"/>
        <item x="160"/>
        <item x="155"/>
        <item x="159"/>
        <item x="158"/>
        <item x="157"/>
        <item x="166"/>
        <item x="156"/>
        <item x="165"/>
        <item x="151"/>
        <item x="152"/>
        <item x="163"/>
        <item x="164"/>
        <item x="167"/>
        <item x="153"/>
        <item x="178"/>
        <item x="172"/>
        <item x="171"/>
        <item x="169"/>
        <item x="175"/>
        <item x="176"/>
        <item x="177"/>
        <item x="174"/>
        <item x="170"/>
        <item x="168"/>
        <item x="179"/>
        <item x="182"/>
        <item x="181"/>
        <item x="183"/>
        <item x="180"/>
        <item x="173"/>
        <item x="192"/>
        <item x="187"/>
        <item x="186"/>
        <item x="184"/>
        <item x="190"/>
        <item x="189"/>
        <item x="193"/>
        <item x="185"/>
        <item x="191"/>
        <item x="195"/>
        <item x="197"/>
        <item x="188"/>
        <item x="194"/>
        <item x="196"/>
        <item x="201"/>
        <item x="210"/>
        <item x="200"/>
        <item x="208"/>
        <item x="207"/>
        <item x="202"/>
        <item x="209"/>
        <item x="215"/>
        <item x="199"/>
        <item x="203"/>
        <item x="205"/>
        <item x="204"/>
        <item x="198"/>
        <item x="214"/>
        <item x="213"/>
        <item x="211"/>
        <item x="212"/>
        <item x="206"/>
        <item x="218"/>
        <item x="216"/>
        <item x="223"/>
        <item x="221"/>
        <item x="222"/>
        <item x="219"/>
        <item x="217"/>
        <item x="220"/>
        <item x="226"/>
        <item x="224"/>
        <item x="227"/>
        <item x="225"/>
        <item x="235"/>
        <item x="237"/>
        <item x="239"/>
        <item x="234"/>
        <item x="236"/>
        <item x="230"/>
        <item x="233"/>
        <item x="231"/>
        <item x="228"/>
        <item x="238"/>
        <item x="229"/>
        <item x="243"/>
        <item x="244"/>
        <item x="242"/>
        <item x="241"/>
        <item x="240"/>
        <item x="232"/>
        <item x="246"/>
        <item x="251"/>
        <item x="248"/>
        <item x="257"/>
        <item x="252"/>
        <item x="249"/>
        <item x="256"/>
        <item x="245"/>
        <item x="247"/>
        <item x="250"/>
        <item x="254"/>
        <item x="255"/>
        <item x="261"/>
        <item x="262"/>
        <item x="259"/>
        <item x="258"/>
        <item x="260"/>
        <item x="253"/>
        <item x="271"/>
        <item x="266"/>
        <item x="265"/>
        <item x="267"/>
        <item x="263"/>
        <item x="272"/>
        <item x="268"/>
        <item x="270"/>
        <item x="278"/>
        <item x="269"/>
        <item x="276"/>
        <item x="275"/>
        <item x="274"/>
        <item x="277"/>
        <item x="273"/>
        <item x="264"/>
        <item x="280"/>
        <item x="282"/>
        <item x="279"/>
        <item x="289"/>
        <item x="288"/>
        <item x="285"/>
        <item x="284"/>
        <item x="292"/>
        <item x="287"/>
        <item x="295"/>
        <item x="283"/>
        <item x="281"/>
        <item x="286"/>
        <item x="291"/>
        <item x="294"/>
        <item x="296"/>
        <item x="298"/>
        <item x="293"/>
        <item x="297"/>
        <item x="290"/>
        <item x="306"/>
        <item x="304"/>
        <item x="300"/>
        <item x="299"/>
        <item x="308"/>
        <item x="305"/>
        <item x="301"/>
        <item x="302"/>
        <item x="309"/>
        <item x="303"/>
        <item x="312"/>
        <item x="310"/>
        <item x="307"/>
        <item x="313"/>
        <item x="311"/>
        <item x="323"/>
        <item x="318"/>
        <item x="321"/>
        <item x="322"/>
        <item x="324"/>
        <item x="325"/>
        <item x="319"/>
        <item x="317"/>
        <item x="314"/>
        <item x="326"/>
        <item x="330"/>
        <item x="328"/>
        <item x="329"/>
        <item x="320"/>
        <item x="327"/>
        <item x="316"/>
        <item x="315"/>
        <item x="341"/>
        <item x="340"/>
        <item x="332"/>
        <item x="333"/>
        <item x="335"/>
        <item x="337"/>
        <item x="334"/>
        <item x="331"/>
        <item x="336"/>
        <item x="344"/>
        <item x="343"/>
        <item x="342"/>
        <item x="345"/>
        <item x="338"/>
        <item x="339"/>
        <item x="355"/>
        <item x="356"/>
        <item x="353"/>
        <item x="348"/>
        <item x="346"/>
        <item x="352"/>
        <item x="354"/>
        <item x="350"/>
        <item x="349"/>
        <item x="347"/>
        <item x="358"/>
        <item x="357"/>
        <item x="361"/>
        <item x="359"/>
        <item x="360"/>
        <item x="351"/>
        <item x="362"/>
        <item x="373"/>
        <item x="372"/>
        <item x="367"/>
        <item x="374"/>
        <item x="365"/>
        <item x="370"/>
        <item x="371"/>
        <item x="364"/>
        <item x="363"/>
        <item x="369"/>
        <item x="368"/>
        <item x="366"/>
        <item x="375"/>
        <item x="379"/>
        <item x="378"/>
        <item x="376"/>
        <item x="377"/>
        <item x="383"/>
        <item x="387"/>
        <item x="386"/>
        <item x="385"/>
        <item x="382"/>
        <item x="381"/>
        <item x="380"/>
        <item x="384"/>
        <item x="390"/>
        <item x="389"/>
        <item x="388"/>
        <item x="405"/>
        <item x="393"/>
        <item x="404"/>
        <item x="407"/>
        <item x="406"/>
        <item x="401"/>
        <item x="400"/>
        <item x="394"/>
        <item x="395"/>
        <item x="403"/>
        <item x="396"/>
        <item x="392"/>
        <item x="402"/>
        <item x="399"/>
        <item x="391"/>
        <item x="397"/>
        <item x="398"/>
        <item x="410"/>
        <item x="412"/>
        <item x="411"/>
        <item x="408"/>
        <item x="409"/>
        <item x="427"/>
        <item x="428"/>
        <item x="419"/>
        <item x="420"/>
        <item x="418"/>
        <item x="423"/>
        <item x="415"/>
        <item x="414"/>
        <item x="429"/>
        <item x="424"/>
        <item x="417"/>
        <item x="413"/>
        <item x="431"/>
        <item x="416"/>
        <item x="426"/>
        <item x="432"/>
        <item x="433"/>
        <item x="430"/>
        <item x="422"/>
        <item x="434"/>
        <item x="425"/>
        <item x="421"/>
        <item x="442"/>
        <item x="445"/>
        <item x="444"/>
        <item x="443"/>
        <item x="437"/>
        <item x="439"/>
        <item x="438"/>
        <item x="436"/>
        <item x="440"/>
        <item x="447"/>
        <item x="446"/>
        <item x="435"/>
        <item x="441"/>
        <item x="448"/>
        <item x="449"/>
        <item x="455"/>
        <item x="460"/>
        <item x="462"/>
        <item x="461"/>
        <item x="452"/>
        <item x="454"/>
        <item x="458"/>
        <item x="456"/>
        <item x="459"/>
        <item x="457"/>
        <item x="451"/>
        <item x="467"/>
        <item x="466"/>
        <item x="465"/>
        <item x="464"/>
        <item x="463"/>
        <item x="453"/>
        <item x="450"/>
        <item x="480"/>
        <item x="479"/>
        <item x="477"/>
        <item x="473"/>
        <item x="472"/>
        <item x="470"/>
        <item x="469"/>
        <item x="468"/>
        <item x="475"/>
        <item x="474"/>
        <item x="478"/>
        <item x="476"/>
        <item x="481"/>
        <item x="483"/>
        <item x="482"/>
        <item x="471"/>
        <item x="488"/>
        <item x="489"/>
        <item x="484"/>
        <item x="487"/>
        <item x="490"/>
        <item x="493"/>
        <item x="492"/>
        <item x="491"/>
        <item x="494"/>
        <item x="495"/>
        <item x="486"/>
        <item x="485"/>
        <item x="503"/>
        <item x="496"/>
        <item x="502"/>
        <item x="498"/>
        <item x="497"/>
        <item x="501"/>
        <item x="506"/>
        <item x="505"/>
        <item x="507"/>
        <item x="504"/>
        <item x="500"/>
        <item x="499"/>
        <item x="515"/>
        <item x="512"/>
        <item x="511"/>
        <item x="508"/>
        <item x="509"/>
        <item x="516"/>
        <item x="510"/>
        <item x="513"/>
        <item x="514"/>
        <item x="518"/>
        <item x="527"/>
        <item x="521"/>
        <item x="526"/>
        <item x="524"/>
        <item x="525"/>
        <item x="523"/>
        <item x="519"/>
        <item x="517"/>
        <item x="522"/>
        <item x="520"/>
        <item x="528"/>
        <item x="537"/>
        <item x="536"/>
        <item x="530"/>
        <item x="531"/>
        <item x="529"/>
        <item x="532"/>
        <item x="533"/>
        <item x="535"/>
        <item x="543"/>
        <item x="541"/>
        <item x="542"/>
        <item x="540"/>
        <item x="538"/>
        <item x="534"/>
        <item x="539"/>
        <item x="547"/>
        <item x="546"/>
        <item x="551"/>
        <item x="550"/>
        <item x="552"/>
        <item x="545"/>
        <item x="555"/>
        <item x="553"/>
        <item x="549"/>
        <item x="554"/>
        <item x="548"/>
        <item x="559"/>
        <item x="556"/>
        <item x="560"/>
        <item x="544"/>
        <item x="557"/>
        <item x="558"/>
        <item x="565"/>
        <item x="562"/>
        <item x="568"/>
        <item x="566"/>
        <item x="570"/>
        <item x="564"/>
        <item x="571"/>
        <item x="572"/>
        <item x="573"/>
        <item x="575"/>
        <item x="567"/>
        <item x="569"/>
        <item x="574"/>
        <item x="576"/>
        <item x="561"/>
        <item x="563"/>
        <item x="578"/>
        <item x="581"/>
        <item x="584"/>
        <item x="582"/>
        <item x="583"/>
        <item x="579"/>
        <item x="577"/>
        <item x="580"/>
        <item x="589"/>
        <item x="591"/>
        <item x="590"/>
        <item x="585"/>
        <item x="587"/>
        <item x="588"/>
        <item x="586"/>
        <item x="593"/>
        <item x="604"/>
        <item x="594"/>
        <item x="596"/>
        <item x="603"/>
        <item x="592"/>
        <item x="597"/>
        <item x="602"/>
        <item x="600"/>
        <item x="598"/>
        <item x="601"/>
        <item x="599"/>
        <item x="595"/>
        <item x="607"/>
        <item x="606"/>
        <item x="608"/>
        <item x="610"/>
        <item x="611"/>
        <item x="609"/>
        <item x="605"/>
        <item x="616"/>
        <item x="613"/>
        <item x="614"/>
        <item x="615"/>
        <item x="612"/>
        <item x="618"/>
        <item x="617"/>
        <item x="619"/>
        <item x="622"/>
        <item x="624"/>
        <item x="623"/>
        <item x="620"/>
        <item x="621"/>
        <item x="625"/>
        <item x="628"/>
        <item x="629"/>
        <item x="626"/>
        <item x="627"/>
        <item x="630"/>
        <item x="631"/>
        <item x="638"/>
        <item x="640"/>
        <item x="641"/>
        <item x="634"/>
        <item x="632"/>
        <item x="636"/>
        <item x="633"/>
        <item x="637"/>
        <item x="639"/>
        <item x="644"/>
        <item x="635"/>
        <item x="645"/>
        <item x="646"/>
        <item x="642"/>
        <item x="647"/>
        <item x="643"/>
        <item x="656"/>
        <item x="653"/>
        <item x="652"/>
        <item x="650"/>
        <item x="648"/>
        <item x="659"/>
        <item x="657"/>
        <item x="658"/>
        <item x="649"/>
        <item x="654"/>
        <item x="655"/>
        <item x="651"/>
        <item x="665"/>
        <item x="663"/>
        <item x="669"/>
        <item x="666"/>
        <item x="668"/>
        <item x="662"/>
        <item x="660"/>
        <item x="661"/>
        <item x="667"/>
        <item x="671"/>
        <item x="670"/>
        <item x="664"/>
        <item x="672"/>
        <item x="673"/>
        <item x="675"/>
        <item x="674"/>
        <item x="688"/>
        <item x="678"/>
        <item x="685"/>
        <item x="687"/>
        <item x="682"/>
        <item x="676"/>
        <item x="680"/>
        <item x="681"/>
        <item x="677"/>
        <item x="686"/>
        <item x="683"/>
        <item x="684"/>
        <item x="692"/>
        <item x="690"/>
        <item x="693"/>
        <item x="689"/>
        <item x="691"/>
        <item x="679"/>
        <item x="694"/>
        <item x="699"/>
        <item x="696"/>
        <item x="697"/>
        <item x="698"/>
        <item x="695"/>
        <item x="700"/>
        <item x="707"/>
        <item x="705"/>
        <item x="704"/>
        <item x="703"/>
        <item x="706"/>
        <item x="709"/>
        <item x="708"/>
        <item x="701"/>
        <item x="702"/>
        <item x="711"/>
        <item x="710"/>
        <item x="716"/>
        <item x="715"/>
        <item x="714"/>
        <item x="713"/>
        <item x="712"/>
        <item x="718"/>
        <item x="727"/>
        <item x="726"/>
        <item x="724"/>
        <item x="725"/>
        <item x="721"/>
        <item x="722"/>
        <item x="723"/>
        <item x="719"/>
        <item x="717"/>
        <item x="720"/>
        <item x="732"/>
        <item x="729"/>
        <item x="728"/>
        <item x="731"/>
        <item x="730"/>
        <item x="740"/>
        <item x="741"/>
        <item x="738"/>
        <item x="743"/>
        <item x="737"/>
        <item x="739"/>
        <item x="742"/>
        <item x="736"/>
        <item x="733"/>
        <item x="734"/>
        <item x="746"/>
        <item x="744"/>
        <item x="745"/>
        <item x="735"/>
        <item x="753"/>
        <item x="748"/>
        <item x="759"/>
        <item x="756"/>
        <item x="760"/>
        <item x="754"/>
        <item x="755"/>
        <item x="752"/>
        <item x="750"/>
        <item x="751"/>
        <item x="757"/>
        <item x="758"/>
        <item x="761"/>
        <item x="747"/>
        <item x="749"/>
        <item x="766"/>
        <item x="763"/>
        <item x="767"/>
        <item x="765"/>
        <item x="764"/>
        <item x="762"/>
        <item x="772"/>
        <item x="770"/>
        <item x="769"/>
        <item x="771"/>
        <item x="774"/>
        <item x="768"/>
        <item x="776"/>
        <item x="773"/>
        <item x="784"/>
        <item x="778"/>
        <item x="783"/>
        <item x="781"/>
        <item x="777"/>
        <item x="779"/>
        <item x="780"/>
        <item x="782"/>
        <item x="775"/>
        <item x="790"/>
        <item x="797"/>
        <item x="789"/>
        <item x="788"/>
        <item x="791"/>
        <item x="794"/>
        <item x="786"/>
        <item x="792"/>
        <item x="793"/>
        <item x="785"/>
        <item x="796"/>
        <item x="787"/>
        <item x="795"/>
        <item x="798"/>
        <item x="802"/>
        <item x="800"/>
        <item x="803"/>
        <item x="799"/>
        <item x="801"/>
        <item x="817"/>
        <item x="807"/>
        <item x="805"/>
        <item x="806"/>
        <item x="804"/>
        <item x="810"/>
        <item x="809"/>
        <item x="808"/>
        <item x="812"/>
        <item x="813"/>
        <item x="811"/>
        <item x="814"/>
        <item x="822"/>
        <item x="816"/>
        <item x="815"/>
        <item x="821"/>
        <item x="819"/>
        <item x="820"/>
        <item x="818"/>
        <item x="823"/>
        <item x="826"/>
        <item x="828"/>
        <item x="827"/>
        <item x="824"/>
        <item x="825"/>
        <item x="829"/>
        <item x="831"/>
        <item x="830"/>
        <item x="832"/>
        <item x="836"/>
        <item x="838"/>
        <item x="835"/>
        <item x="834"/>
        <item x="837"/>
        <item x="840"/>
        <item x="839"/>
        <item x="833"/>
        <item x="842"/>
        <item x="843"/>
        <item x="845"/>
        <item x="844"/>
        <item x="841"/>
        <item x="846"/>
        <item x="850"/>
        <item x="853"/>
        <item x="854"/>
        <item x="852"/>
        <item x="851"/>
        <item x="847"/>
        <item x="849"/>
        <item x="848"/>
        <item x="858"/>
        <item x="857"/>
        <item x="855"/>
        <item x="859"/>
        <item x="856"/>
        <item x="862"/>
        <item x="865"/>
        <item x="866"/>
        <item x="860"/>
        <item x="863"/>
        <item x="861"/>
        <item x="864"/>
        <item x="868"/>
        <item x="870"/>
        <item x="867"/>
        <item x="869"/>
        <item x="872"/>
        <item x="873"/>
        <item x="876"/>
        <item x="874"/>
        <item x="875"/>
        <item x="877"/>
        <item x="880"/>
        <item x="878"/>
        <item x="879"/>
        <item x="871"/>
        <item x="883"/>
        <item x="881"/>
        <item x="889"/>
        <item x="888"/>
        <item x="887"/>
        <item x="882"/>
        <item x="890"/>
        <item x="886"/>
        <item x="885"/>
        <item x="884"/>
        <item x="891"/>
        <item x="893"/>
        <item x="892"/>
        <item x="897"/>
        <item x="899"/>
        <item x="898"/>
        <item x="896"/>
        <item x="894"/>
        <item x="895"/>
        <item x="900"/>
        <item x="901"/>
        <item x="902"/>
        <item x="903"/>
        <item x="907"/>
        <item x="904"/>
        <item x="906"/>
        <item x="905"/>
        <item x="915"/>
        <item x="910"/>
        <item x="909"/>
        <item x="914"/>
        <item x="911"/>
        <item x="912"/>
        <item x="913"/>
        <item x="908"/>
        <item x="923"/>
        <item x="918"/>
        <item x="916"/>
        <item x="917"/>
        <item x="930"/>
        <item x="920"/>
        <item x="919"/>
        <item x="925"/>
        <item x="924"/>
        <item x="922"/>
        <item x="929"/>
        <item x="921"/>
        <item x="928"/>
        <item x="926"/>
        <item x="927"/>
        <item x="934"/>
        <item x="947"/>
        <item x="935"/>
        <item x="931"/>
        <item x="938"/>
        <item x="939"/>
        <item x="936"/>
        <item x="937"/>
        <item x="940"/>
        <item x="933"/>
        <item x="944"/>
        <item x="941"/>
        <item x="942"/>
        <item x="943"/>
        <item x="945"/>
        <item x="946"/>
        <item x="932"/>
        <item x="951"/>
        <item x="955"/>
        <item x="949"/>
        <item x="950"/>
        <item x="954"/>
        <item x="952"/>
        <item x="953"/>
        <item x="948"/>
        <item x="960"/>
        <item x="956"/>
        <item x="957"/>
        <item x="961"/>
        <item x="958"/>
        <item x="959"/>
        <item x="966"/>
        <item x="969"/>
        <item x="965"/>
        <item x="967"/>
        <item x="964"/>
        <item x="963"/>
        <item x="968"/>
        <item x="962"/>
        <item x="972"/>
        <item x="975"/>
        <item x="971"/>
        <item x="976"/>
        <item x="970"/>
        <item x="973"/>
        <item x="974"/>
        <item x="977"/>
        <item x="978"/>
        <item x="979"/>
        <item x="982"/>
        <item x="981"/>
        <item x="980"/>
        <item x="984"/>
        <item x="983"/>
        <item x="993"/>
        <item x="994"/>
        <item x="990"/>
        <item x="989"/>
        <item x="986"/>
        <item x="997"/>
        <item x="998"/>
        <item x="996"/>
        <item x="991"/>
        <item x="1004"/>
        <item x="988"/>
        <item x="995"/>
        <item x="992"/>
        <item x="985"/>
        <item x="1000"/>
        <item x="1001"/>
        <item x="999"/>
        <item x="987"/>
        <item x="1003"/>
        <item x="1002"/>
        <item x="1007"/>
        <item x="1010"/>
        <item x="1009"/>
        <item x="1008"/>
        <item x="1006"/>
        <item x="1005"/>
        <item x="1015"/>
        <item x="1017"/>
        <item x="1014"/>
        <item x="1011"/>
        <item x="1016"/>
        <item x="1013"/>
        <item x="1012"/>
        <item x="1026"/>
        <item x="1025"/>
        <item x="1019"/>
        <item x="1022"/>
        <item x="1021"/>
        <item x="1020"/>
        <item x="1024"/>
        <item x="1023"/>
        <item x="1018"/>
        <item x="1028"/>
        <item x="1031"/>
        <item x="1027"/>
        <item x="1030"/>
        <item x="1029"/>
        <item x="1032"/>
        <item x="1041"/>
        <item x="1035"/>
        <item x="1034"/>
        <item x="1036"/>
        <item x="1038"/>
        <item x="1033"/>
        <item x="1039"/>
        <item x="1037"/>
        <item x="1040"/>
        <item x="1044"/>
        <item x="1046"/>
        <item x="1043"/>
        <item x="1045"/>
        <item x="1042"/>
        <item x="1047"/>
        <item x="1053"/>
        <item x="1051"/>
        <item x="1052"/>
        <item x="1050"/>
        <item x="1056"/>
        <item x="1059"/>
        <item x="1057"/>
        <item x="1055"/>
        <item x="1060"/>
        <item x="1058"/>
        <item x="1049"/>
        <item x="1054"/>
        <item x="1063"/>
        <item x="1065"/>
        <item x="1061"/>
        <item x="1062"/>
        <item x="1064"/>
        <item x="1066"/>
        <item x="1048"/>
        <item x="1070"/>
        <item x="1077"/>
        <item x="1072"/>
        <item x="1073"/>
        <item x="1069"/>
        <item x="1068"/>
        <item x="1067"/>
        <item x="1071"/>
        <item x="1078"/>
        <item x="1075"/>
        <item x="1079"/>
        <item x="1076"/>
        <item x="1074"/>
        <item x="1090"/>
        <item x="1084"/>
        <item x="1088"/>
        <item x="1085"/>
        <item x="1081"/>
        <item x="1091"/>
        <item x="1087"/>
        <item x="1086"/>
        <item x="1092"/>
        <item x="1082"/>
        <item x="1080"/>
        <item x="1083"/>
        <item x="1100"/>
        <item x="1098"/>
        <item x="1096"/>
        <item x="1089"/>
        <item x="1095"/>
        <item x="1097"/>
        <item x="1099"/>
        <item x="1094"/>
        <item x="1093"/>
        <item x="1101"/>
        <item x="1108"/>
        <item x="1116"/>
        <item x="1106"/>
        <item x="1107"/>
        <item x="1111"/>
        <item x="1104"/>
        <item x="1103"/>
        <item x="1105"/>
        <item x="1102"/>
        <item x="1114"/>
        <item x="1110"/>
        <item x="1109"/>
        <item x="1112"/>
        <item x="1115"/>
        <item x="1113"/>
        <item x="1122"/>
        <item x="1124"/>
        <item x="1123"/>
        <item x="1121"/>
        <item x="1120"/>
        <item x="1125"/>
        <item x="1126"/>
        <item x="1118"/>
        <item x="1117"/>
        <item x="1119"/>
        <item x="1128"/>
        <item x="1127"/>
        <item x="1132"/>
        <item x="1130"/>
        <item x="1129"/>
        <item x="1131"/>
        <item x="1134"/>
        <item x="1136"/>
        <item x="1141"/>
        <item x="1135"/>
        <item x="1140"/>
        <item x="1138"/>
        <item x="1137"/>
        <item x="1139"/>
        <item x="1133"/>
        <item x="1147"/>
        <item x="1144"/>
        <item x="1143"/>
        <item x="1145"/>
        <item x="1142"/>
        <item x="1146"/>
        <item x="1148"/>
        <item x="1149"/>
        <item x="1157"/>
        <item x="1150"/>
        <item x="1154"/>
        <item x="1153"/>
        <item x="1158"/>
        <item x="1152"/>
        <item x="1151"/>
        <item x="1156"/>
        <item x="1155"/>
        <item x="1159"/>
        <item x="1164"/>
        <item x="1165"/>
        <item x="1163"/>
        <item x="1162"/>
        <item x="1161"/>
        <item x="1160"/>
        <item x="1167"/>
        <item x="1176"/>
        <item x="1172"/>
        <item x="1166"/>
        <item x="1169"/>
        <item x="1174"/>
        <item x="1175"/>
        <item x="1170"/>
        <item x="1171"/>
        <item x="1173"/>
        <item x="1168"/>
        <item x="1181"/>
        <item x="1177"/>
        <item x="1178"/>
        <item x="1183"/>
        <item x="1179"/>
        <item x="1180"/>
        <item x="1182"/>
        <item x="1192"/>
        <item x="1191"/>
        <item x="1193"/>
        <item x="1187"/>
        <item x="1185"/>
        <item x="1194"/>
        <item x="1189"/>
        <item x="1188"/>
        <item x="1190"/>
        <item x="1184"/>
        <item x="1186"/>
        <item x="1205"/>
        <item x="1209"/>
        <item x="1200"/>
        <item x="1206"/>
        <item x="1204"/>
        <item x="1197"/>
        <item x="1196"/>
        <item x="1202"/>
        <item x="1198"/>
        <item x="1201"/>
        <item x="1199"/>
        <item x="1207"/>
        <item x="1203"/>
        <item x="1211"/>
        <item x="1210"/>
        <item x="1208"/>
        <item x="1195"/>
        <item x="1212"/>
        <item x="1219"/>
        <item x="1218"/>
        <item x="1214"/>
        <item x="1215"/>
        <item x="1216"/>
        <item x="1226"/>
        <item x="1213"/>
        <item x="1217"/>
        <item x="1227"/>
        <item x="1228"/>
        <item x="1225"/>
        <item x="1221"/>
        <item x="1222"/>
        <item x="1223"/>
        <item x="1220"/>
        <item x="1224"/>
        <item x="1232"/>
        <item x="1233"/>
        <item x="1234"/>
        <item x="1235"/>
        <item x="1230"/>
        <item x="1231"/>
        <item x="1229"/>
        <item x="1240"/>
        <item x="1243"/>
        <item x="1242"/>
        <item x="1241"/>
        <item x="1236"/>
        <item x="1238"/>
        <item x="1239"/>
        <item x="1237"/>
        <item x="1244"/>
        <item x="1248"/>
        <item x="1247"/>
        <item x="1246"/>
        <item x="1245"/>
        <item x="1250"/>
        <item x="1252"/>
        <item x="1251"/>
        <item x="1249"/>
        <item x="1256"/>
        <item x="1255"/>
        <item x="1253"/>
        <item x="1257"/>
        <item x="1258"/>
        <item x="1254"/>
        <item x="1263"/>
        <item x="1262"/>
        <item x="1261"/>
        <item x="1259"/>
        <item x="1260"/>
        <item x="1268"/>
        <item x="1265"/>
        <item x="1266"/>
        <item x="1269"/>
        <item x="1264"/>
        <item x="1267"/>
        <item x="1270"/>
        <item x="1273"/>
        <item x="1272"/>
        <item x="1271"/>
        <item x="1274"/>
        <item x="1275"/>
        <item x="1278"/>
        <item x="1277"/>
        <item x="1280"/>
        <item x="1281"/>
        <item x="1286"/>
        <item x="1282"/>
        <item x="1283"/>
        <item x="1285"/>
        <item x="1284"/>
        <item x="1279"/>
        <item x="1276"/>
        <item x="1294"/>
        <item x="1293"/>
        <item x="1292"/>
        <item x="1298"/>
        <item x="1288"/>
        <item x="1287"/>
        <item x="1289"/>
        <item x="1290"/>
        <item x="1291"/>
        <item x="1297"/>
        <item x="1296"/>
        <item x="1295"/>
        <item x="1300"/>
        <item x="1301"/>
        <item x="1303"/>
        <item x="1304"/>
        <item x="1308"/>
        <item x="1307"/>
        <item x="1302"/>
        <item x="1305"/>
        <item x="1306"/>
        <item x="1309"/>
        <item x="1310"/>
        <item x="1299"/>
        <item x="1316"/>
        <item x="1312"/>
        <item x="1311"/>
        <item x="1314"/>
        <item x="1313"/>
        <item x="1315"/>
        <item x="1320"/>
        <item x="1317"/>
        <item x="1318"/>
        <item x="1319"/>
        <item x="1322"/>
        <item x="1321"/>
        <item x="1323"/>
        <item x="1325"/>
        <item x="1326"/>
        <item x="1324"/>
        <item x="1327"/>
        <item x="1331"/>
        <item x="1328"/>
        <item x="1330"/>
        <item x="1329"/>
        <item x="1334"/>
        <item x="1332"/>
        <item x="1333"/>
        <item x="1335"/>
        <item x="1339"/>
        <item x="1338"/>
        <item x="1336"/>
        <item x="1342"/>
        <item x="1340"/>
        <item x="1337"/>
        <item x="1341"/>
        <item x="1343"/>
        <item x="1345"/>
        <item x="1344"/>
        <item x="1347"/>
        <item x="1348"/>
        <item x="1349"/>
        <item x="1346"/>
        <item x="1350"/>
        <item x="1359"/>
        <item x="1356"/>
        <item x="1355"/>
        <item x="1354"/>
        <item x="1352"/>
        <item x="1357"/>
        <item x="1351"/>
        <item x="1358"/>
        <item x="1361"/>
        <item x="1365"/>
        <item x="1360"/>
        <item x="1364"/>
        <item x="1366"/>
        <item x="1363"/>
        <item x="1362"/>
        <item x="1353"/>
        <item x="1369"/>
        <item x="1367"/>
        <item x="1368"/>
        <item x="1372"/>
        <item x="1370"/>
        <item x="1371"/>
        <item x="1376"/>
        <item x="1373"/>
        <item x="1374"/>
        <item x="1375"/>
        <item x="1379"/>
        <item x="1380"/>
        <item x="1377"/>
        <item x="1378"/>
        <item x="1382"/>
        <item x="1383"/>
        <item x="1385"/>
        <item x="1388"/>
        <item x="1387"/>
        <item x="1381"/>
        <item x="1384"/>
        <item x="1386"/>
        <item x="1389"/>
        <item x="1395"/>
        <item x="1403"/>
        <item x="1392"/>
        <item x="1391"/>
        <item x="1396"/>
        <item x="1393"/>
        <item x="1390"/>
        <item x="1397"/>
        <item x="1398"/>
        <item x="1401"/>
        <item x="1402"/>
        <item x="1399"/>
        <item x="1400"/>
        <item x="1394"/>
        <item x="1404"/>
        <item x="1406"/>
        <item x="1407"/>
        <item x="1405"/>
        <item x="1409"/>
        <item x="1408"/>
        <item x="1410"/>
        <item x="1412"/>
        <item x="1411"/>
        <item x="1414"/>
        <item x="1416"/>
        <item x="1413"/>
        <item x="1415"/>
        <item x="1419"/>
        <item x="1420"/>
        <item x="1418"/>
        <item x="1417"/>
        <item x="1422"/>
        <item x="1423"/>
        <item x="1424"/>
        <item x="1425"/>
        <item x="1426"/>
        <item x="1428"/>
        <item x="1429"/>
        <item x="1427"/>
        <item x="1430"/>
        <item x="1421"/>
        <item x="1432"/>
        <item x="1431"/>
        <item x="1440"/>
        <item x="1438"/>
        <item x="1433"/>
        <item x="1437"/>
        <item x="1442"/>
        <item x="1436"/>
        <item x="1441"/>
        <item x="1434"/>
        <item x="1435"/>
        <item x="1444"/>
        <item x="1439"/>
        <item x="1443"/>
        <item x="1445"/>
        <item x="1446"/>
        <item x="1447"/>
        <item x="1449"/>
        <item x="1448"/>
        <item x="1451"/>
        <item x="1450"/>
        <item x="1452"/>
        <item x="1456"/>
        <item x="1453"/>
        <item x="1454"/>
        <item x="1455"/>
        <item x="1458"/>
        <item x="1457"/>
        <item x="1461"/>
        <item x="1460"/>
        <item x="1459"/>
        <item x="1462"/>
        <item x="1463"/>
        <item x="1464"/>
        <item x="1468"/>
        <item x="1473"/>
        <item x="1466"/>
        <item x="1467"/>
        <item x="1465"/>
        <item x="1469"/>
        <item x="1474"/>
        <item x="1475"/>
        <item x="1470"/>
        <item x="1472"/>
        <item x="1471"/>
        <item x="1481"/>
        <item x="1483"/>
        <item x="1477"/>
        <item x="1479"/>
        <item x="1478"/>
        <item x="1482"/>
        <item x="1487"/>
        <item x="1486"/>
        <item x="1484"/>
        <item x="1485"/>
        <item x="1488"/>
        <item x="1476"/>
        <item x="1480"/>
        <item x="1490"/>
        <item x="1489"/>
        <item x="1493"/>
        <item x="1494"/>
        <item x="1491"/>
        <item x="1492"/>
        <item x="1497"/>
        <item x="1495"/>
        <item x="1499"/>
        <item x="1500"/>
        <item x="1496"/>
        <item x="1498"/>
        <item x="1501"/>
        <item x="1506"/>
        <item x="1502"/>
        <item x="1503"/>
        <item x="1508"/>
        <item x="1507"/>
        <item x="1509"/>
        <item x="1504"/>
        <item x="1510"/>
        <item x="1505"/>
        <item x="1511"/>
        <item x="1512"/>
        <item x="1513"/>
        <item x="1523"/>
        <item x="1522"/>
        <item x="1514"/>
        <item x="1521"/>
        <item x="1519"/>
        <item x="1518"/>
        <item x="1515"/>
        <item x="1520"/>
        <item x="1517"/>
        <item x="1516"/>
        <item x="1527"/>
        <item x="1528"/>
        <item x="1525"/>
        <item x="1526"/>
        <item x="1524"/>
        <item x="1534"/>
        <item x="1533"/>
        <item x="1539"/>
        <item x="1530"/>
        <item x="1538"/>
        <item x="1535"/>
        <item x="1531"/>
        <item x="1536"/>
        <item x="1532"/>
        <item x="1537"/>
        <item x="1529"/>
        <item x="1546"/>
        <item x="1545"/>
        <item x="1540"/>
        <item x="1543"/>
        <item x="1542"/>
        <item x="1544"/>
        <item x="1541"/>
        <item x="1549"/>
        <item x="1551"/>
        <item x="1548"/>
        <item x="1553"/>
        <item x="1556"/>
        <item x="1554"/>
        <item x="1555"/>
        <item x="1550"/>
        <item x="1560"/>
        <item x="1552"/>
        <item x="1547"/>
        <item x="1561"/>
        <item x="1559"/>
        <item x="1557"/>
        <item x="1558"/>
        <item x="1566"/>
        <item x="1568"/>
        <item x="1565"/>
        <item x="1564"/>
        <item x="1563"/>
        <item x="1562"/>
        <item x="1567"/>
        <item x="1573"/>
        <item x="1572"/>
        <item x="1570"/>
        <item x="1574"/>
        <item x="1569"/>
        <item x="1571"/>
        <item x="1576"/>
        <item x="1590"/>
        <item x="1579"/>
        <item x="1581"/>
        <item x="1589"/>
        <item x="1575"/>
        <item x="1577"/>
        <item x="1580"/>
        <item x="1583"/>
        <item x="1578"/>
        <item x="1582"/>
        <item x="1585"/>
        <item x="1587"/>
        <item x="1586"/>
        <item x="1584"/>
        <item x="1588"/>
        <item x="1595"/>
        <item x="1593"/>
        <item x="1594"/>
        <item x="1602"/>
        <item x="1591"/>
        <item x="1601"/>
        <item x="1596"/>
        <item x="1598"/>
        <item x="1599"/>
        <item x="1592"/>
        <item x="1604"/>
        <item x="1600"/>
        <item x="1603"/>
        <item x="1597"/>
        <item x="1619"/>
        <item x="1610"/>
        <item x="1608"/>
        <item x="1612"/>
        <item x="1618"/>
        <item x="1606"/>
        <item x="1605"/>
        <item x="1607"/>
        <item x="1617"/>
        <item x="1616"/>
        <item x="1615"/>
        <item x="1614"/>
        <item x="1613"/>
        <item x="1611"/>
        <item x="1609"/>
        <item x="1625"/>
        <item x="1624"/>
        <item x="1620"/>
        <item x="1626"/>
        <item x="1629"/>
        <item x="1623"/>
        <item x="1628"/>
        <item x="1622"/>
        <item x="1632"/>
        <item x="1631"/>
        <item x="1630"/>
        <item x="1621"/>
        <item x="1627"/>
        <item x="1638"/>
        <item x="1639"/>
        <item x="1640"/>
        <item x="1634"/>
        <item x="1633"/>
        <item x="1637"/>
        <item x="1635"/>
        <item x="1645"/>
        <item x="1636"/>
        <item x="1642"/>
        <item x="1641"/>
        <item x="1647"/>
        <item x="1646"/>
        <item x="1644"/>
        <item x="1648"/>
        <item x="1643"/>
        <item x="1649"/>
        <item x="1653"/>
        <item x="1652"/>
        <item x="1651"/>
        <item x="1661"/>
        <item x="1650"/>
        <item x="1655"/>
        <item x="1657"/>
        <item x="1656"/>
        <item x="1654"/>
        <item x="1658"/>
        <item x="1659"/>
        <item x="1662"/>
        <item x="1660"/>
        <item x="1669"/>
        <item x="1668"/>
        <item x="1665"/>
        <item x="1670"/>
        <item x="1675"/>
        <item x="1663"/>
        <item x="1667"/>
        <item x="1664"/>
        <item x="1674"/>
        <item x="1666"/>
        <item x="1671"/>
        <item x="1672"/>
        <item x="1673"/>
        <item x="1689"/>
        <item x="1681"/>
        <item x="1680"/>
        <item x="1676"/>
        <item x="1684"/>
        <item x="1683"/>
        <item x="1682"/>
        <item x="1685"/>
        <item x="1679"/>
        <item x="1678"/>
        <item x="1687"/>
        <item x="1677"/>
        <item x="1688"/>
        <item x="1690"/>
        <item x="1691"/>
        <item x="1686"/>
        <item x="1692"/>
        <item x="1693"/>
        <item x="1694"/>
        <item x="1695"/>
        <item x="1696"/>
        <item x="1697"/>
        <item x="1700"/>
        <item x="1698"/>
        <item x="1702"/>
        <item x="1701"/>
        <item x="1699"/>
        <item x="1705"/>
        <item x="1703"/>
        <item x="1706"/>
        <item x="1707"/>
        <item x="1709"/>
        <item x="1704"/>
        <item x="1711"/>
        <item x="1714"/>
        <item x="1710"/>
        <item x="1713"/>
        <item x="1708"/>
        <item x="1712"/>
        <item x="1715"/>
        <item x="1719"/>
        <item x="1720"/>
        <item x="1722"/>
        <item x="1717"/>
        <item x="1721"/>
        <item x="1724"/>
        <item x="1718"/>
        <item x="1716"/>
        <item x="1723"/>
        <item x="1727"/>
        <item x="1725"/>
        <item x="1729"/>
        <item x="1726"/>
        <item x="1728"/>
        <item x="1732"/>
        <item x="1735"/>
        <item x="1731"/>
        <item x="1734"/>
        <item x="1733"/>
        <item x="1737"/>
        <item x="1736"/>
        <item x="1738"/>
        <item x="1740"/>
        <item x="1739"/>
        <item x="1730"/>
        <item x="1744"/>
        <item x="1745"/>
        <item x="1746"/>
        <item x="1743"/>
        <item x="1742"/>
        <item x="1741"/>
        <item x="1748"/>
        <item x="1752"/>
        <item x="1750"/>
        <item x="1749"/>
        <item x="1747"/>
        <item x="1751"/>
        <item x="1755"/>
        <item x="1753"/>
        <item x="1764"/>
        <item x="1754"/>
        <item x="1760"/>
        <item x="1757"/>
        <item x="1763"/>
        <item x="1759"/>
        <item x="1762"/>
        <item x="1761"/>
        <item x="1758"/>
        <item x="1756"/>
        <item x="1766"/>
        <item x="1767"/>
        <item x="1770"/>
        <item x="1774"/>
        <item x="1772"/>
        <item x="1773"/>
        <item x="1771"/>
        <item x="1775"/>
        <item x="1765"/>
        <item x="1769"/>
        <item x="1778"/>
        <item x="1782"/>
        <item x="1777"/>
        <item x="1781"/>
        <item x="1776"/>
        <item x="1780"/>
        <item x="1779"/>
        <item x="1768"/>
        <item x="1791"/>
        <item x="1784"/>
        <item x="1783"/>
        <item x="1799"/>
        <item x="1793"/>
        <item x="1794"/>
        <item x="1789"/>
        <item x="1790"/>
        <item x="1786"/>
        <item x="1796"/>
        <item x="1787"/>
        <item x="1785"/>
        <item x="1788"/>
        <item x="1792"/>
        <item x="1798"/>
        <item x="1802"/>
        <item x="1800"/>
        <item x="1797"/>
        <item x="1801"/>
        <item x="1795"/>
        <item x="1805"/>
        <item x="1814"/>
        <item x="1813"/>
        <item x="1816"/>
        <item x="1815"/>
        <item x="1803"/>
        <item x="1812"/>
        <item x="1806"/>
        <item x="1807"/>
        <item x="1808"/>
        <item x="1804"/>
        <item x="1817"/>
        <item x="1810"/>
        <item x="1820"/>
        <item x="1818"/>
        <item x="1809"/>
        <item x="1811"/>
        <item x="1819"/>
        <item x="1821"/>
        <item x="1824"/>
        <item x="1825"/>
        <item x="1831"/>
        <item x="1823"/>
        <item x="1822"/>
        <item x="1826"/>
        <item x="1832"/>
        <item x="1830"/>
        <item x="1829"/>
        <item x="1828"/>
        <item x="1827"/>
        <item x="1835"/>
        <item x="1840"/>
        <item x="1841"/>
        <item x="1842"/>
        <item x="1834"/>
        <item x="1836"/>
        <item x="1837"/>
        <item x="1843"/>
        <item x="1833"/>
        <item x="1839"/>
        <item x="1838"/>
        <item x="1846"/>
        <item x="1847"/>
        <item x="1844"/>
        <item x="1845"/>
        <item x="1848"/>
        <item x="1856"/>
        <item x="1851"/>
        <item x="1857"/>
        <item x="1855"/>
        <item x="1850"/>
        <item x="1854"/>
        <item x="1852"/>
        <item x="1858"/>
        <item x="1849"/>
        <item x="1860"/>
        <item x="1861"/>
        <item x="1853"/>
        <item x="1863"/>
        <item x="1864"/>
        <item x="1862"/>
        <item x="1859"/>
        <item x="1866"/>
        <item x="1865"/>
        <item x="1871"/>
        <item x="1870"/>
        <item x="1877"/>
        <item x="1867"/>
        <item x="1869"/>
        <item x="1872"/>
        <item x="1868"/>
        <item x="1874"/>
        <item x="1875"/>
        <item x="1876"/>
        <item x="1881"/>
        <item x="1878"/>
        <item x="1873"/>
        <item x="1880"/>
        <item x="1879"/>
        <item x="1883"/>
        <item x="1882"/>
        <item x="1893"/>
        <item x="1886"/>
        <item x="1894"/>
        <item x="1895"/>
        <item x="1896"/>
        <item x="1892"/>
        <item x="1891"/>
        <item x="1887"/>
        <item x="1898"/>
        <item x="1885"/>
        <item x="1884"/>
        <item x="1888"/>
        <item x="1890"/>
        <item x="1889"/>
        <item x="1897"/>
        <item x="1909"/>
        <item x="1902"/>
        <item x="1908"/>
        <item x="1910"/>
        <item x="1900"/>
        <item x="1912"/>
        <item x="1913"/>
        <item x="1911"/>
        <item x="1914"/>
        <item x="1899"/>
        <item x="1901"/>
        <item x="1906"/>
        <item x="1905"/>
        <item x="1903"/>
        <item x="1907"/>
        <item x="1904"/>
        <item x="1926"/>
        <item x="1928"/>
        <item x="1916"/>
        <item x="1929"/>
        <item x="1925"/>
        <item x="1927"/>
        <item x="1917"/>
        <item x="1930"/>
        <item x="1915"/>
        <item x="1931"/>
        <item x="1918"/>
        <item x="1924"/>
        <item x="1920"/>
        <item x="1921"/>
        <item x="1923"/>
        <item x="1922"/>
        <item x="1919"/>
        <item x="1935"/>
        <item x="1937"/>
        <item x="1933"/>
        <item x="1932"/>
        <item x="1936"/>
        <item x="1934"/>
        <item x="1938"/>
        <item x="1939"/>
        <item x="1940"/>
        <item x="1941"/>
        <item x="1942"/>
        <item x="1953"/>
        <item x="1943"/>
        <item x="1944"/>
        <item x="1945"/>
        <item x="1946"/>
        <item x="1948"/>
        <item x="1949"/>
        <item x="1950"/>
        <item x="1952"/>
        <item x="1951"/>
        <item x="1947"/>
        <item x="1954"/>
        <item x="1959"/>
        <item x="1960"/>
        <item x="1957"/>
        <item x="1958"/>
        <item x="1955"/>
        <item x="1961"/>
        <item x="1963"/>
        <item x="1962"/>
        <item x="1956"/>
        <item x="1964"/>
        <item x="1968"/>
        <item x="1967"/>
        <item x="1966"/>
        <item x="1965"/>
        <item x="1970"/>
        <item x="1971"/>
        <item x="1972"/>
        <item x="1973"/>
        <item x="1969"/>
        <item x="1985"/>
        <item x="1984"/>
        <item x="1983"/>
        <item x="1976"/>
        <item x="1974"/>
        <item x="1975"/>
        <item x="1977"/>
        <item x="1980"/>
        <item x="1978"/>
        <item x="1981"/>
        <item x="1982"/>
        <item x="1979"/>
        <item x="1991"/>
        <item x="1990"/>
        <item x="1988"/>
        <item x="1989"/>
        <item x="1992"/>
        <item x="1987"/>
        <item x="1993"/>
        <item x="1986"/>
        <item x="2002"/>
        <item x="1999"/>
        <item x="2000"/>
        <item x="1998"/>
        <item x="1996"/>
        <item x="1997"/>
        <item x="1994"/>
        <item x="2001"/>
        <item x="1995"/>
        <item x="2003"/>
        <item x="2004"/>
        <item x="2006"/>
        <item x="2005"/>
        <item x="2011"/>
        <item x="2007"/>
        <item x="2008"/>
        <item x="2010"/>
        <item x="2009"/>
        <item x="2012"/>
        <item x="2014"/>
        <item x="2013"/>
        <item x="2016"/>
        <item x="2015"/>
        <item x="2022"/>
        <item x="2019"/>
        <item x="2018"/>
        <item x="2020"/>
        <item x="2017"/>
        <item x="2021"/>
        <item x="2027"/>
        <item x="2025"/>
        <item x="2023"/>
        <item x="2026"/>
        <item x="2024"/>
        <item x="2029"/>
        <item x="2028"/>
        <item x="2030"/>
        <item x="2033"/>
        <item x="2038"/>
        <item x="2036"/>
        <item x="2037"/>
        <item x="2034"/>
        <item x="2031"/>
        <item x="2039"/>
        <item x="2032"/>
        <item x="2035"/>
        <item x="2047"/>
        <item x="2050"/>
        <item x="2048"/>
        <item x="2051"/>
        <item x="2049"/>
        <item x="2040"/>
        <item x="2053"/>
        <item x="2052"/>
        <item x="2045"/>
        <item x="2044"/>
        <item x="2046"/>
        <item x="2042"/>
        <item x="2041"/>
        <item x="2043"/>
        <item x="2054"/>
        <item x="2056"/>
        <item x="2058"/>
        <item x="2059"/>
        <item x="2057"/>
        <item x="2055"/>
        <item x="2060"/>
        <item x="2061"/>
        <item x="2063"/>
        <item x="2062"/>
        <item x="2067"/>
        <item x="2064"/>
        <item x="2065"/>
        <item x="2066"/>
        <item x="2069"/>
        <item x="2068"/>
        <item x="2071"/>
        <item x="2075"/>
        <item x="2070"/>
        <item x="2072"/>
        <item x="2077"/>
        <item x="2076"/>
        <item x="2073"/>
        <item x="2074"/>
        <item x="2084"/>
        <item x="2086"/>
        <item x="2085"/>
        <item x="2080"/>
        <item x="2081"/>
        <item x="2079"/>
        <item x="2078"/>
        <item x="2082"/>
        <item x="2083"/>
        <item x="2095"/>
        <item x="2093"/>
        <item x="2094"/>
        <item x="2092"/>
        <item x="2087"/>
        <item x="2096"/>
        <item x="2089"/>
        <item x="2088"/>
        <item x="2090"/>
        <item x="2091"/>
        <item x="2097"/>
        <item x="2105"/>
        <item x="2101"/>
        <item x="2102"/>
        <item x="2099"/>
        <item x="2098"/>
        <item x="2103"/>
        <item x="2100"/>
        <item x="2104"/>
        <item x="2107"/>
        <item x="2108"/>
        <item x="2118"/>
        <item x="2110"/>
        <item x="2109"/>
        <item x="2116"/>
        <item x="2106"/>
        <item x="2117"/>
        <item x="2115"/>
        <item x="2114"/>
        <item x="2112"/>
        <item x="2113"/>
        <item x="2111"/>
        <item x="2122"/>
        <item x="2121"/>
        <item x="2124"/>
        <item x="2123"/>
        <item x="2119"/>
        <item x="2125"/>
        <item x="2126"/>
        <item x="2120"/>
        <item x="2127"/>
        <item x="2139"/>
        <item x="2130"/>
        <item x="2134"/>
        <item x="2131"/>
        <item x="2143"/>
        <item x="2129"/>
        <item x="2137"/>
        <item x="2133"/>
        <item x="2132"/>
        <item x="2136"/>
        <item x="2142"/>
        <item x="2135"/>
        <item x="2138"/>
        <item x="2128"/>
        <item x="2141"/>
        <item x="2140"/>
        <item x="2144"/>
        <item x="2147"/>
        <item x="2146"/>
        <item x="2150"/>
        <item x="2151"/>
        <item x="2152"/>
        <item x="2153"/>
        <item x="2148"/>
        <item x="2156"/>
        <item x="2149"/>
        <item x="2145"/>
        <item x="2154"/>
        <item x="2155"/>
        <item x="2160"/>
        <item x="2159"/>
        <item x="2167"/>
        <item x="2158"/>
        <item x="2166"/>
        <item x="2169"/>
        <item x="2168"/>
        <item x="2157"/>
        <item x="2170"/>
        <item x="2176"/>
        <item x="2172"/>
        <item x="2163"/>
        <item x="2179"/>
        <item x="2177"/>
        <item x="2171"/>
        <item x="2174"/>
        <item x="2161"/>
        <item x="2165"/>
        <item x="2162"/>
        <item x="2164"/>
        <item x="2173"/>
        <item x="2181"/>
        <item x="2182"/>
        <item x="2180"/>
        <item x="2183"/>
        <item x="2178"/>
        <item x="2184"/>
        <item x="2175"/>
        <item x="2187"/>
        <item x="2190"/>
        <item x="2186"/>
        <item x="2188"/>
        <item x="2191"/>
        <item x="2189"/>
        <item x="2185"/>
        <item x="2192"/>
        <item x="2193"/>
        <item x="2204"/>
        <item x="2203"/>
        <item x="2200"/>
        <item x="2202"/>
        <item x="2201"/>
        <item x="2194"/>
        <item x="2195"/>
        <item x="2196"/>
        <item x="2205"/>
        <item x="2208"/>
        <item x="2207"/>
        <item x="2199"/>
        <item x="2206"/>
        <item x="2198"/>
        <item x="2197"/>
        <item x="2213"/>
        <item x="2221"/>
        <item x="2211"/>
        <item x="2216"/>
        <item x="2212"/>
        <item x="2220"/>
        <item x="2218"/>
        <item x="2209"/>
        <item x="2217"/>
        <item x="2222"/>
        <item x="2223"/>
        <item x="2224"/>
        <item x="2219"/>
        <item x="2215"/>
        <item x="2214"/>
        <item x="2210"/>
        <item x="2227"/>
        <item x="2228"/>
        <item x="2229"/>
        <item x="2230"/>
        <item x="2231"/>
        <item x="2226"/>
        <item x="2232"/>
        <item x="2225"/>
        <item x="2240"/>
        <item x="2239"/>
        <item x="2234"/>
        <item x="2241"/>
        <item x="2238"/>
        <item x="2233"/>
        <item x="2237"/>
        <item x="2242"/>
        <item x="2235"/>
        <item x="2236"/>
        <item x="2245"/>
        <item x="2244"/>
        <item x="2248"/>
        <item x="2247"/>
        <item x="2246"/>
        <item x="2249"/>
        <item x="2243"/>
        <item x="2256"/>
        <item x="2253"/>
        <item x="2255"/>
        <item x="2261"/>
        <item x="2254"/>
        <item x="2251"/>
        <item x="2257"/>
        <item x="2258"/>
        <item x="2259"/>
        <item x="2250"/>
        <item x="2252"/>
        <item x="2260"/>
        <item x="2266"/>
        <item x="2264"/>
        <item x="2268"/>
        <item x="2262"/>
        <item x="2265"/>
        <item x="2273"/>
        <item x="2271"/>
        <item x="2272"/>
        <item x="2270"/>
        <item x="2269"/>
        <item x="2263"/>
        <item x="2267"/>
        <item x="2279"/>
        <item x="2276"/>
        <item x="2274"/>
        <item x="2284"/>
        <item x="2282"/>
        <item x="2280"/>
        <item x="2283"/>
        <item x="2281"/>
        <item x="2286"/>
        <item x="2288"/>
        <item x="2275"/>
        <item x="2285"/>
        <item x="2289"/>
        <item x="2287"/>
        <item x="2278"/>
        <item x="2277"/>
        <item x="0"/>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m="1" x="7780"/>
        <item x="3216"/>
        <item x="3217"/>
        <item x="3218"/>
        <item x="3219"/>
        <item m="1" x="7785"/>
        <item x="3220"/>
        <item x="3221"/>
        <item x="3222"/>
        <item x="3223"/>
        <item m="1" x="7784"/>
        <item m="1" x="7771"/>
        <item m="1" x="7782"/>
        <item m="1" x="7787"/>
        <item x="3225"/>
        <item x="3226"/>
        <item x="3227"/>
        <item x="3224"/>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m="1" x="7769"/>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m="1" x="7766"/>
        <item m="1" x="7767"/>
        <item x="4301"/>
        <item m="1" x="7774"/>
        <item m="1" x="7790"/>
        <item x="4303"/>
        <item x="4304"/>
        <item x="4305"/>
        <item x="4306"/>
        <item x="4300"/>
        <item x="4302"/>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m="1" x="7783"/>
        <item x="4643"/>
        <item x="4644"/>
        <item m="1" x="7781"/>
        <item m="1" x="7778"/>
        <item x="4645"/>
        <item x="4646"/>
        <item x="4647"/>
        <item x="4648"/>
        <item x="4649"/>
        <item x="4650"/>
        <item x="4642"/>
        <item x="4651"/>
        <item x="4652"/>
        <item x="4653"/>
        <item x="4654"/>
        <item x="4655"/>
        <item x="4656"/>
        <item x="4657"/>
        <item x="4658"/>
        <item x="4659"/>
        <item x="4660"/>
        <item x="4661"/>
        <item x="4662"/>
        <item x="4663"/>
        <item x="4664"/>
        <item x="4665"/>
        <item x="4666"/>
        <item x="4667"/>
        <item x="4668"/>
        <item x="4669"/>
        <item x="4670"/>
        <item m="1" x="7779"/>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m="1" x="7791"/>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m="1" x="7772"/>
        <item m="1" x="7777"/>
        <item m="1" x="7773"/>
        <item x="4832"/>
        <item x="4833"/>
        <item x="4834"/>
        <item x="4835"/>
        <item x="4836"/>
        <item x="4837"/>
        <item m="1" x="7788"/>
        <item m="1" x="7768"/>
        <item m="1" x="7776"/>
        <item m="1" x="7775"/>
        <item x="4831"/>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m="1" x="7770"/>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m="1" x="7765"/>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m="1" x="7786"/>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m="1" x="7789"/>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m="1" x="7760"/>
        <item m="1" x="7761"/>
        <item x="7642"/>
        <item m="1" x="7762"/>
        <item m="1" x="7763"/>
        <item x="7644"/>
        <item x="7645"/>
        <item m="1" x="7764"/>
        <item x="7646"/>
        <item x="7641"/>
        <item x="7643"/>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t="default"/>
      </items>
    </pivotField>
    <pivotField axis="axisPage" multipleItemSelectionAllowed="1" showAll="0">
      <items count="14">
        <item h="1" x="3"/>
        <item h="1" x="4"/>
        <item h="1" x="5"/>
        <item h="1" x="6"/>
        <item h="1" x="7"/>
        <item h="1" x="0"/>
        <item h="1" x="1"/>
        <item h="1" x="2"/>
        <item h="1" x="9"/>
        <item x="8"/>
        <item h="1" x="10"/>
        <item h="1" x="11"/>
        <item h="1" x="12"/>
        <item t="default"/>
      </items>
    </pivotField>
    <pivotField axis="axisPage" multipleItemSelectionAllowed="1" showAll="0">
      <items count="7">
        <item h="1" x="5"/>
        <item h="1" x="0"/>
        <item h="1" x="1"/>
        <item h="1" x="2"/>
        <item x="3"/>
        <item h="1" x="4"/>
        <item t="default"/>
      </items>
    </pivotField>
    <pivotField showAll="0"/>
    <pivotField dataField="1" dragToRow="0" dragToCol="0" dragToPage="0" showAll="0" defaultSubtotal="0"/>
    <pivotField dataField="1" dragToRow="0" dragToCol="0" dragToPage="0" showAll="0" defaultSubtotal="0"/>
  </pivotFields>
  <rowFields count="3">
    <field x="0"/>
    <field x="9"/>
    <field x="18"/>
  </rowFields>
  <rowItems count="50">
    <i>
      <x v="416"/>
    </i>
    <i r="1">
      <x v="30"/>
    </i>
    <i r="2">
      <x v="4850"/>
    </i>
    <i r="1">
      <x v="53"/>
    </i>
    <i r="2">
      <x v="4846"/>
    </i>
    <i>
      <x v="417"/>
    </i>
    <i r="1">
      <x v="70"/>
    </i>
    <i r="2">
      <x v="4864"/>
    </i>
    <i>
      <x v="419"/>
    </i>
    <i r="1">
      <x v="75"/>
    </i>
    <i r="2">
      <x v="4886"/>
    </i>
    <i>
      <x v="420"/>
    </i>
    <i r="1">
      <x v="85"/>
    </i>
    <i r="2">
      <x v="4893"/>
    </i>
    <i>
      <x v="421"/>
    </i>
    <i r="1">
      <x v="32"/>
    </i>
    <i r="2">
      <x v="4897"/>
    </i>
    <i>
      <x v="422"/>
    </i>
    <i r="1">
      <x v="60"/>
    </i>
    <i r="2">
      <x v="4906"/>
    </i>
    <i r="2">
      <x v="4907"/>
    </i>
    <i>
      <x v="423"/>
    </i>
    <i r="1">
      <x v="32"/>
    </i>
    <i r="2">
      <x v="4923"/>
    </i>
    <i>
      <x v="424"/>
    </i>
    <i r="1">
      <x v="103"/>
    </i>
    <i r="2">
      <x v="4933"/>
    </i>
    <i>
      <x v="426"/>
    </i>
    <i r="1">
      <x v="60"/>
    </i>
    <i r="2">
      <x v="4954"/>
    </i>
    <i>
      <x v="427"/>
    </i>
    <i r="1">
      <x v="36"/>
    </i>
    <i r="2">
      <x v="4961"/>
    </i>
    <i>
      <x v="429"/>
    </i>
    <i r="1">
      <x v="32"/>
    </i>
    <i r="2">
      <x v="4976"/>
    </i>
    <i>
      <x v="430"/>
    </i>
    <i r="1">
      <x v="36"/>
    </i>
    <i r="2">
      <x v="4990"/>
    </i>
    <i r="1">
      <x v="89"/>
    </i>
    <i r="2">
      <x v="4987"/>
    </i>
    <i>
      <x v="431"/>
    </i>
    <i r="1">
      <x v="9"/>
    </i>
    <i r="2">
      <x v="4997"/>
    </i>
    <i r="1">
      <x v="75"/>
    </i>
    <i r="2">
      <x v="5001"/>
    </i>
    <i>
      <x v="432"/>
    </i>
    <i r="1">
      <x v="30"/>
    </i>
    <i r="2">
      <x v="5009"/>
    </i>
    <i t="grand">
      <x/>
    </i>
  </rowItems>
  <colFields count="1">
    <field x="-2"/>
  </colFields>
  <colItems count="5">
    <i>
      <x/>
    </i>
    <i i="1">
      <x v="1"/>
    </i>
    <i i="2">
      <x v="2"/>
    </i>
    <i i="3">
      <x v="3"/>
    </i>
    <i i="4">
      <x v="4"/>
    </i>
  </colItems>
  <pageFields count="4">
    <pageField fld="20" hier="-1"/>
    <pageField fld="19" hier="-1"/>
    <pageField fld="2" hier="-1"/>
    <pageField fld="10" hier="-1"/>
  </pageFields>
  <dataFields count="5">
    <dataField name="kg" fld="6" baseField="0" baseItem="0"/>
    <dataField name="$" fld="14" baseField="0" baseItem="0" numFmtId="168"/>
    <dataField name="$/kg " fld="22" baseField="0" baseItem="0" numFmtId="169"/>
    <dataField name="ocupacion " fld="17" subtotal="average" baseField="0" baseItem="0"/>
    <dataField name="Suma de % Ocup." fld="23" baseField="0" baseItem="0"/>
  </dataFields>
  <formats count="413">
    <format dxfId="422">
      <pivotArea outline="0" collapsedLevelsAreSubtotals="1" fieldPosition="0"/>
    </format>
    <format dxfId="421">
      <pivotArea dataOnly="0" labelOnly="1" outline="0" fieldPosition="0">
        <references count="1">
          <reference field="4294967294" count="2">
            <x v="0"/>
            <x v="1"/>
          </reference>
        </references>
      </pivotArea>
    </format>
    <format dxfId="420">
      <pivotArea outline="0" collapsedLevelsAreSubtotals="1" fieldPosition="0">
        <references count="1">
          <reference field="4294967294" count="1" selected="0">
            <x v="1"/>
          </reference>
        </references>
      </pivotArea>
    </format>
    <format dxfId="419">
      <pivotArea dataOnly="0" labelOnly="1" outline="0" fieldPosition="0">
        <references count="1">
          <reference field="4294967294" count="1">
            <x v="1"/>
          </reference>
        </references>
      </pivotArea>
    </format>
    <format dxfId="418">
      <pivotArea outline="0" collapsedLevelsAreSubtotals="1" fieldPosition="0">
        <references count="1">
          <reference field="4294967294" count="1" selected="0">
            <x v="2"/>
          </reference>
        </references>
      </pivotArea>
    </format>
    <format dxfId="417">
      <pivotArea dataOnly="0" labelOnly="1" outline="0" fieldPosition="0">
        <references count="1">
          <reference field="4294967294" count="1">
            <x v="2"/>
          </reference>
        </references>
      </pivotArea>
    </format>
    <format dxfId="416">
      <pivotArea dataOnly="0" fieldPosition="0">
        <references count="1">
          <reference field="9" count="1">
            <x v="75"/>
          </reference>
        </references>
      </pivotArea>
    </format>
    <format dxfId="415">
      <pivotArea dataOnly="0" fieldPosition="0">
        <references count="1">
          <reference field="9" count="1">
            <x v="10"/>
          </reference>
        </references>
      </pivotArea>
    </format>
    <format dxfId="414">
      <pivotArea collapsedLevelsAreSubtotals="1" fieldPosition="0">
        <references count="2">
          <reference field="0" count="1">
            <x v="298"/>
          </reference>
          <reference field="9" count="1" selected="0">
            <x v="74"/>
          </reference>
        </references>
      </pivotArea>
    </format>
    <format dxfId="413">
      <pivotArea collapsedLevelsAreSubtotals="1" fieldPosition="0">
        <references count="3">
          <reference field="0" count="1" selected="0">
            <x v="298"/>
          </reference>
          <reference field="9" count="1" selected="0">
            <x v="74"/>
          </reference>
          <reference field="18" count="1">
            <x v="3681"/>
          </reference>
        </references>
      </pivotArea>
    </format>
    <format dxfId="412">
      <pivotArea dataOnly="0" labelOnly="1" fieldPosition="0">
        <references count="2">
          <reference field="0" count="1">
            <x v="298"/>
          </reference>
          <reference field="9" count="1" selected="0">
            <x v="74"/>
          </reference>
        </references>
      </pivotArea>
    </format>
    <format dxfId="411">
      <pivotArea dataOnly="0" labelOnly="1" fieldPosition="0">
        <references count="3">
          <reference field="0" count="1" selected="0">
            <x v="298"/>
          </reference>
          <reference field="9" count="1" selected="0">
            <x v="74"/>
          </reference>
          <reference field="18" count="1">
            <x v="3681"/>
          </reference>
        </references>
      </pivotArea>
    </format>
    <format dxfId="410">
      <pivotArea collapsedLevelsAreSubtotals="1" fieldPosition="0">
        <references count="2">
          <reference field="0" count="1">
            <x v="298"/>
          </reference>
          <reference field="9" count="1" selected="0">
            <x v="77"/>
          </reference>
        </references>
      </pivotArea>
    </format>
    <format dxfId="409">
      <pivotArea collapsedLevelsAreSubtotals="1" fieldPosition="0">
        <references count="3">
          <reference field="0" count="1" selected="0">
            <x v="298"/>
          </reference>
          <reference field="9" count="1" selected="0">
            <x v="77"/>
          </reference>
          <reference field="18" count="1">
            <x v="3680"/>
          </reference>
        </references>
      </pivotArea>
    </format>
    <format dxfId="408">
      <pivotArea dataOnly="0" labelOnly="1" fieldPosition="0">
        <references count="2">
          <reference field="0" count="1">
            <x v="298"/>
          </reference>
          <reference field="9" count="1" selected="0">
            <x v="77"/>
          </reference>
        </references>
      </pivotArea>
    </format>
    <format dxfId="407">
      <pivotArea dataOnly="0" labelOnly="1" fieldPosition="0">
        <references count="3">
          <reference field="0" count="1" selected="0">
            <x v="298"/>
          </reference>
          <reference field="9" count="1" selected="0">
            <x v="77"/>
          </reference>
          <reference field="18" count="1">
            <x v="3680"/>
          </reference>
        </references>
      </pivotArea>
    </format>
    <format dxfId="406">
      <pivotArea collapsedLevelsAreSubtotals="1" fieldPosition="0">
        <references count="2">
          <reference field="0" count="1">
            <x v="299"/>
          </reference>
          <reference field="9" count="1" selected="0">
            <x v="74"/>
          </reference>
        </references>
      </pivotArea>
    </format>
    <format dxfId="405">
      <pivotArea collapsedLevelsAreSubtotals="1" fieldPosition="0">
        <references count="3">
          <reference field="0" count="1" selected="0">
            <x v="299"/>
          </reference>
          <reference field="9" count="1" selected="0">
            <x v="74"/>
          </reference>
          <reference field="18" count="1">
            <x v="3691"/>
          </reference>
        </references>
      </pivotArea>
    </format>
    <format dxfId="404">
      <pivotArea dataOnly="0" labelOnly="1" fieldPosition="0">
        <references count="2">
          <reference field="0" count="1">
            <x v="299"/>
          </reference>
          <reference field="9" count="1" selected="0">
            <x v="74"/>
          </reference>
        </references>
      </pivotArea>
    </format>
    <format dxfId="403">
      <pivotArea dataOnly="0" labelOnly="1" fieldPosition="0">
        <references count="3">
          <reference field="0" count="1" selected="0">
            <x v="299"/>
          </reference>
          <reference field="9" count="1" selected="0">
            <x v="74"/>
          </reference>
          <reference field="18" count="1">
            <x v="3691"/>
          </reference>
        </references>
      </pivotArea>
    </format>
    <format dxfId="402">
      <pivotArea collapsedLevelsAreSubtotals="1" fieldPosition="0">
        <references count="2">
          <reference field="0" count="1" selected="0">
            <x v="298"/>
          </reference>
          <reference field="9" count="1">
            <x v="74"/>
          </reference>
        </references>
      </pivotArea>
    </format>
    <format dxfId="401">
      <pivotArea collapsedLevelsAreSubtotals="1" fieldPosition="0">
        <references count="3">
          <reference field="0" count="1" selected="0">
            <x v="298"/>
          </reference>
          <reference field="9" count="1" selected="0">
            <x v="74"/>
          </reference>
          <reference field="18" count="1">
            <x v="3681"/>
          </reference>
        </references>
      </pivotArea>
    </format>
    <format dxfId="400">
      <pivotArea dataOnly="0" labelOnly="1" fieldPosition="0">
        <references count="2">
          <reference field="0" count="1" selected="0">
            <x v="298"/>
          </reference>
          <reference field="9" count="1">
            <x v="74"/>
          </reference>
        </references>
      </pivotArea>
    </format>
    <format dxfId="399">
      <pivotArea dataOnly="0" labelOnly="1" fieldPosition="0">
        <references count="3">
          <reference field="0" count="1" selected="0">
            <x v="298"/>
          </reference>
          <reference field="9" count="1" selected="0">
            <x v="74"/>
          </reference>
          <reference field="18" count="1">
            <x v="3681"/>
          </reference>
        </references>
      </pivotArea>
    </format>
    <format dxfId="398">
      <pivotArea dataOnly="0" labelOnly="1" fieldPosition="0">
        <references count="2">
          <reference field="0" count="1" selected="0">
            <x v="298"/>
          </reference>
          <reference field="9" count="1">
            <x v="77"/>
          </reference>
        </references>
      </pivotArea>
    </format>
    <format dxfId="397">
      <pivotArea collapsedLevelsAreSubtotals="1" fieldPosition="0">
        <references count="1">
          <reference field="0" count="1">
            <x v="299"/>
          </reference>
        </references>
      </pivotArea>
    </format>
    <format dxfId="396">
      <pivotArea collapsedLevelsAreSubtotals="1" fieldPosition="0">
        <references count="2">
          <reference field="0" count="1" selected="0">
            <x v="299"/>
          </reference>
          <reference field="9" count="1">
            <x v="74"/>
          </reference>
        </references>
      </pivotArea>
    </format>
    <format dxfId="395">
      <pivotArea dataOnly="0" labelOnly="1" fieldPosition="0">
        <references count="1">
          <reference field="0" count="1">
            <x v="299"/>
          </reference>
        </references>
      </pivotArea>
    </format>
    <format dxfId="394">
      <pivotArea dataOnly="0" labelOnly="1" fieldPosition="0">
        <references count="2">
          <reference field="0" count="1" selected="0">
            <x v="299"/>
          </reference>
          <reference field="9" count="1">
            <x v="74"/>
          </reference>
        </references>
      </pivotArea>
    </format>
    <format dxfId="393">
      <pivotArea collapsedLevelsAreSubtotals="1" fieldPosition="0">
        <references count="1">
          <reference field="0" count="1">
            <x v="301"/>
          </reference>
        </references>
      </pivotArea>
    </format>
    <format dxfId="392">
      <pivotArea collapsedLevelsAreSubtotals="1" fieldPosition="0">
        <references count="2">
          <reference field="0" count="1" selected="0">
            <x v="301"/>
          </reference>
          <reference field="9" count="1">
            <x v="32"/>
          </reference>
        </references>
      </pivotArea>
    </format>
    <format dxfId="391">
      <pivotArea collapsedLevelsAreSubtotals="1" fieldPosition="0">
        <references count="3">
          <reference field="0" count="1" selected="0">
            <x v="301"/>
          </reference>
          <reference field="9" count="1" selected="0">
            <x v="32"/>
          </reference>
          <reference field="18" count="1">
            <x v="3701"/>
          </reference>
        </references>
      </pivotArea>
    </format>
    <format dxfId="390">
      <pivotArea dataOnly="0" labelOnly="1" fieldPosition="0">
        <references count="1">
          <reference field="0" count="1">
            <x v="301"/>
          </reference>
        </references>
      </pivotArea>
    </format>
    <format dxfId="389">
      <pivotArea dataOnly="0" labelOnly="1" fieldPosition="0">
        <references count="2">
          <reference field="0" count="1" selected="0">
            <x v="301"/>
          </reference>
          <reference field="9" count="1">
            <x v="32"/>
          </reference>
        </references>
      </pivotArea>
    </format>
    <format dxfId="388">
      <pivotArea dataOnly="0" labelOnly="1" fieldPosition="0">
        <references count="3">
          <reference field="0" count="1" selected="0">
            <x v="301"/>
          </reference>
          <reference field="9" count="1" selected="0">
            <x v="32"/>
          </reference>
          <reference field="18" count="1">
            <x v="3701"/>
          </reference>
        </references>
      </pivotArea>
    </format>
    <format dxfId="387">
      <pivotArea collapsedLevelsAreSubtotals="1" fieldPosition="0">
        <references count="1">
          <reference field="0" count="1">
            <x v="302"/>
          </reference>
        </references>
      </pivotArea>
    </format>
    <format dxfId="386">
      <pivotArea collapsedLevelsAreSubtotals="1" fieldPosition="0">
        <references count="2">
          <reference field="0" count="1" selected="0">
            <x v="302"/>
          </reference>
          <reference field="9" count="1">
            <x v="75"/>
          </reference>
        </references>
      </pivotArea>
    </format>
    <format dxfId="385">
      <pivotArea collapsedLevelsAreSubtotals="1" fieldPosition="0">
        <references count="3">
          <reference field="0" count="1" selected="0">
            <x v="302"/>
          </reference>
          <reference field="9" count="1" selected="0">
            <x v="75"/>
          </reference>
          <reference field="18" count="1">
            <x v="3710"/>
          </reference>
        </references>
      </pivotArea>
    </format>
    <format dxfId="384">
      <pivotArea dataOnly="0" labelOnly="1" fieldPosition="0">
        <references count="1">
          <reference field="0" count="1">
            <x v="302"/>
          </reference>
        </references>
      </pivotArea>
    </format>
    <format dxfId="383">
      <pivotArea dataOnly="0" labelOnly="1" fieldPosition="0">
        <references count="2">
          <reference field="0" count="1" selected="0">
            <x v="302"/>
          </reference>
          <reference field="9" count="1">
            <x v="75"/>
          </reference>
        </references>
      </pivotArea>
    </format>
    <format dxfId="382">
      <pivotArea dataOnly="0" labelOnly="1" fieldPosition="0">
        <references count="3">
          <reference field="0" count="1" selected="0">
            <x v="302"/>
          </reference>
          <reference field="9" count="1" selected="0">
            <x v="75"/>
          </reference>
          <reference field="18" count="1">
            <x v="3710"/>
          </reference>
        </references>
      </pivotArea>
    </format>
    <format dxfId="381">
      <pivotArea collapsedLevelsAreSubtotals="1" fieldPosition="0">
        <references count="1">
          <reference field="0" count="1">
            <x v="303"/>
          </reference>
        </references>
      </pivotArea>
    </format>
    <format dxfId="380">
      <pivotArea collapsedLevelsAreSubtotals="1" fieldPosition="0">
        <references count="2">
          <reference field="0" count="1" selected="0">
            <x v="303"/>
          </reference>
          <reference field="9" count="1">
            <x v="13"/>
          </reference>
        </references>
      </pivotArea>
    </format>
    <format dxfId="379">
      <pivotArea collapsedLevelsAreSubtotals="1" fieldPosition="0">
        <references count="3">
          <reference field="0" count="1" selected="0">
            <x v="303"/>
          </reference>
          <reference field="9" count="1" selected="0">
            <x v="13"/>
          </reference>
          <reference field="18" count="1">
            <x v="3718"/>
          </reference>
        </references>
      </pivotArea>
    </format>
    <format dxfId="378">
      <pivotArea dataOnly="0" labelOnly="1" fieldPosition="0">
        <references count="1">
          <reference field="0" count="1">
            <x v="303"/>
          </reference>
        </references>
      </pivotArea>
    </format>
    <format dxfId="377">
      <pivotArea dataOnly="0" labelOnly="1" fieldPosition="0">
        <references count="2">
          <reference field="0" count="1" selected="0">
            <x v="303"/>
          </reference>
          <reference field="9" count="1">
            <x v="13"/>
          </reference>
        </references>
      </pivotArea>
    </format>
    <format dxfId="376">
      <pivotArea dataOnly="0" labelOnly="1" fieldPosition="0">
        <references count="3">
          <reference field="0" count="1" selected="0">
            <x v="303"/>
          </reference>
          <reference field="9" count="1" selected="0">
            <x v="13"/>
          </reference>
          <reference field="18" count="1">
            <x v="3718"/>
          </reference>
        </references>
      </pivotArea>
    </format>
    <format dxfId="375">
      <pivotArea collapsedLevelsAreSubtotals="1" fieldPosition="0">
        <references count="2">
          <reference field="0" count="1" selected="0">
            <x v="286"/>
          </reference>
          <reference field="9" count="1">
            <x v="73"/>
          </reference>
        </references>
      </pivotArea>
    </format>
    <format dxfId="374">
      <pivotArea collapsedLevelsAreSubtotals="1" fieldPosition="0">
        <references count="3">
          <reference field="0" count="1" selected="0">
            <x v="286"/>
          </reference>
          <reference field="9" count="1" selected="0">
            <x v="73"/>
          </reference>
          <reference field="18" count="1">
            <x v="3555"/>
          </reference>
        </references>
      </pivotArea>
    </format>
    <format dxfId="373">
      <pivotArea dataOnly="0" labelOnly="1" fieldPosition="0">
        <references count="2">
          <reference field="0" count="1" selected="0">
            <x v="286"/>
          </reference>
          <reference field="9" count="1">
            <x v="73"/>
          </reference>
        </references>
      </pivotArea>
    </format>
    <format dxfId="372">
      <pivotArea dataOnly="0" labelOnly="1" fieldPosition="0">
        <references count="3">
          <reference field="0" count="1" selected="0">
            <x v="286"/>
          </reference>
          <reference field="9" count="1" selected="0">
            <x v="73"/>
          </reference>
          <reference field="18" count="1">
            <x v="3555"/>
          </reference>
        </references>
      </pivotArea>
    </format>
    <format dxfId="371">
      <pivotArea collapsedLevelsAreSubtotals="1" fieldPosition="0">
        <references count="2">
          <reference field="0" count="1" selected="0">
            <x v="293"/>
          </reference>
          <reference field="9" count="1">
            <x v="32"/>
          </reference>
        </references>
      </pivotArea>
    </format>
    <format dxfId="370">
      <pivotArea collapsedLevelsAreSubtotals="1" fieldPosition="0">
        <references count="3">
          <reference field="0" count="1" selected="0">
            <x v="293"/>
          </reference>
          <reference field="9" count="1" selected="0">
            <x v="32"/>
          </reference>
          <reference field="18" count="1">
            <x v="3637"/>
          </reference>
        </references>
      </pivotArea>
    </format>
    <format dxfId="369">
      <pivotArea dataOnly="0" labelOnly="1" fieldPosition="0">
        <references count="2">
          <reference field="0" count="1" selected="0">
            <x v="293"/>
          </reference>
          <reference field="9" count="1">
            <x v="32"/>
          </reference>
        </references>
      </pivotArea>
    </format>
    <format dxfId="368">
      <pivotArea dataOnly="0" labelOnly="1" fieldPosition="0">
        <references count="3">
          <reference field="0" count="1" selected="0">
            <x v="293"/>
          </reference>
          <reference field="9" count="1" selected="0">
            <x v="32"/>
          </reference>
          <reference field="18" count="1">
            <x v="3637"/>
          </reference>
        </references>
      </pivotArea>
    </format>
    <format dxfId="367">
      <pivotArea collapsedLevelsAreSubtotals="1" fieldPosition="0">
        <references count="2">
          <reference field="0" count="1" selected="0">
            <x v="293"/>
          </reference>
          <reference field="9" count="1">
            <x v="10"/>
          </reference>
        </references>
      </pivotArea>
    </format>
    <format dxfId="366">
      <pivotArea collapsedLevelsAreSubtotals="1" fieldPosition="0">
        <references count="3">
          <reference field="0" count="1" selected="0">
            <x v="293"/>
          </reference>
          <reference field="9" count="1" selected="0">
            <x v="10"/>
          </reference>
          <reference field="18" count="1">
            <x v="3638"/>
          </reference>
        </references>
      </pivotArea>
    </format>
    <format dxfId="365">
      <pivotArea dataOnly="0" labelOnly="1" fieldPosition="0">
        <references count="2">
          <reference field="0" count="1" selected="0">
            <x v="293"/>
          </reference>
          <reference field="9" count="1">
            <x v="10"/>
          </reference>
        </references>
      </pivotArea>
    </format>
    <format dxfId="364">
      <pivotArea dataOnly="0" labelOnly="1" fieldPosition="0">
        <references count="3">
          <reference field="0" count="1" selected="0">
            <x v="293"/>
          </reference>
          <reference field="9" count="1" selected="0">
            <x v="10"/>
          </reference>
          <reference field="18" count="1">
            <x v="3638"/>
          </reference>
        </references>
      </pivotArea>
    </format>
    <format dxfId="363">
      <pivotArea collapsedLevelsAreSubtotals="1" fieldPosition="0">
        <references count="2">
          <reference field="0" count="1" selected="0">
            <x v="295"/>
          </reference>
          <reference field="9" count="1">
            <x v="75"/>
          </reference>
        </references>
      </pivotArea>
    </format>
    <format dxfId="362">
      <pivotArea collapsedLevelsAreSubtotals="1" fieldPosition="0">
        <references count="3">
          <reference field="0" count="1" selected="0">
            <x v="295"/>
          </reference>
          <reference field="9" count="1" selected="0">
            <x v="75"/>
          </reference>
          <reference field="18" count="1">
            <x v="3660"/>
          </reference>
        </references>
      </pivotArea>
    </format>
    <format dxfId="361">
      <pivotArea collapsedLevelsAreSubtotals="1" fieldPosition="0">
        <references count="1">
          <reference field="0" count="1">
            <x v="298"/>
          </reference>
        </references>
      </pivotArea>
    </format>
    <format dxfId="360">
      <pivotArea dataOnly="0" labelOnly="1" fieldPosition="0">
        <references count="1">
          <reference field="0" count="1">
            <x v="298"/>
          </reference>
        </references>
      </pivotArea>
    </format>
    <format dxfId="359">
      <pivotArea dataOnly="0" labelOnly="1" fieldPosition="0">
        <references count="2">
          <reference field="0" count="1" selected="0">
            <x v="295"/>
          </reference>
          <reference field="9" count="1">
            <x v="75"/>
          </reference>
        </references>
      </pivotArea>
    </format>
    <format dxfId="358">
      <pivotArea dataOnly="0" labelOnly="1" fieldPosition="0">
        <references count="3">
          <reference field="0" count="1" selected="0">
            <x v="295"/>
          </reference>
          <reference field="9" count="1" selected="0">
            <x v="75"/>
          </reference>
          <reference field="18" count="1">
            <x v="3660"/>
          </reference>
        </references>
      </pivotArea>
    </format>
    <format dxfId="357">
      <pivotArea collapsedLevelsAreSubtotals="1" fieldPosition="0">
        <references count="1">
          <reference field="0" count="1">
            <x v="295"/>
          </reference>
        </references>
      </pivotArea>
    </format>
    <format dxfId="356">
      <pivotArea dataOnly="0" labelOnly="1" fieldPosition="0">
        <references count="1">
          <reference field="0" count="1">
            <x v="295"/>
          </reference>
        </references>
      </pivotArea>
    </format>
    <format dxfId="355">
      <pivotArea collapsedLevelsAreSubtotals="1" fieldPosition="0">
        <references count="2">
          <reference field="0" count="1" selected="0">
            <x v="284"/>
          </reference>
          <reference field="9" count="1">
            <x v="89"/>
          </reference>
        </references>
      </pivotArea>
    </format>
    <format dxfId="354">
      <pivotArea collapsedLevelsAreSubtotals="1" fieldPosition="0">
        <references count="3">
          <reference field="0" count="1" selected="0">
            <x v="284"/>
          </reference>
          <reference field="9" count="1" selected="0">
            <x v="89"/>
          </reference>
          <reference field="18" count="1">
            <x v="3535"/>
          </reference>
        </references>
      </pivotArea>
    </format>
    <format dxfId="353">
      <pivotArea dataOnly="0" labelOnly="1" fieldPosition="0">
        <references count="2">
          <reference field="0" count="1" selected="0">
            <x v="284"/>
          </reference>
          <reference field="9" count="1">
            <x v="89"/>
          </reference>
        </references>
      </pivotArea>
    </format>
    <format dxfId="352">
      <pivotArea dataOnly="0" labelOnly="1" fieldPosition="0">
        <references count="3">
          <reference field="0" count="1" selected="0">
            <x v="284"/>
          </reference>
          <reference field="9" count="1" selected="0">
            <x v="89"/>
          </reference>
          <reference field="18" count="1">
            <x v="3535"/>
          </reference>
        </references>
      </pivotArea>
    </format>
    <format dxfId="351">
      <pivotArea collapsedLevelsAreSubtotals="1" fieldPosition="0">
        <references count="2">
          <reference field="0" count="1" selected="0">
            <x v="283"/>
          </reference>
          <reference field="9" count="1">
            <x v="77"/>
          </reference>
        </references>
      </pivotArea>
    </format>
    <format dxfId="350">
      <pivotArea collapsedLevelsAreSubtotals="1" fieldPosition="0">
        <references count="3">
          <reference field="0" count="1" selected="0">
            <x v="283"/>
          </reference>
          <reference field="9" count="1" selected="0">
            <x v="77"/>
          </reference>
          <reference field="18" count="1">
            <x v="3530"/>
          </reference>
        </references>
      </pivotArea>
    </format>
    <format dxfId="349">
      <pivotArea collapsedLevelsAreSubtotals="1" fieldPosition="0">
        <references count="1">
          <reference field="0" count="1">
            <x v="284"/>
          </reference>
        </references>
      </pivotArea>
    </format>
    <format dxfId="348">
      <pivotArea collapsedLevelsAreSubtotals="1" fieldPosition="0">
        <references count="2">
          <reference field="0" count="1" selected="0">
            <x v="284"/>
          </reference>
          <reference field="9" count="1">
            <x v="42"/>
          </reference>
        </references>
      </pivotArea>
    </format>
    <format dxfId="347">
      <pivotArea collapsedLevelsAreSubtotals="1" fieldPosition="0">
        <references count="3">
          <reference field="0" count="1" selected="0">
            <x v="284"/>
          </reference>
          <reference field="9" count="1" selected="0">
            <x v="42"/>
          </reference>
          <reference field="18" count="1">
            <x v="3534"/>
          </reference>
        </references>
      </pivotArea>
    </format>
    <format dxfId="346">
      <pivotArea dataOnly="0" labelOnly="1" fieldPosition="0">
        <references count="1">
          <reference field="0" count="1">
            <x v="284"/>
          </reference>
        </references>
      </pivotArea>
    </format>
    <format dxfId="345">
      <pivotArea dataOnly="0" labelOnly="1" fieldPosition="0">
        <references count="2">
          <reference field="0" count="1" selected="0">
            <x v="283"/>
          </reference>
          <reference field="9" count="1">
            <x v="77"/>
          </reference>
        </references>
      </pivotArea>
    </format>
    <format dxfId="344">
      <pivotArea dataOnly="0" labelOnly="1" fieldPosition="0">
        <references count="2">
          <reference field="0" count="1" selected="0">
            <x v="284"/>
          </reference>
          <reference field="9" count="1">
            <x v="42"/>
          </reference>
        </references>
      </pivotArea>
    </format>
    <format dxfId="343">
      <pivotArea dataOnly="0" labelOnly="1" fieldPosition="0">
        <references count="3">
          <reference field="0" count="1" selected="0">
            <x v="283"/>
          </reference>
          <reference field="9" count="1" selected="0">
            <x v="77"/>
          </reference>
          <reference field="18" count="1">
            <x v="3530"/>
          </reference>
        </references>
      </pivotArea>
    </format>
    <format dxfId="342">
      <pivotArea dataOnly="0" labelOnly="1" fieldPosition="0">
        <references count="3">
          <reference field="0" count="1" selected="0">
            <x v="284"/>
          </reference>
          <reference field="9" count="1" selected="0">
            <x v="42"/>
          </reference>
          <reference field="18" count="1">
            <x v="3534"/>
          </reference>
        </references>
      </pivotArea>
    </format>
    <format dxfId="341">
      <pivotArea collapsedLevelsAreSubtotals="1" fieldPosition="0">
        <references count="2">
          <reference field="0" count="1" selected="0">
            <x v="281"/>
          </reference>
          <reference field="9" count="1">
            <x v="13"/>
          </reference>
        </references>
      </pivotArea>
    </format>
    <format dxfId="340">
      <pivotArea collapsedLevelsAreSubtotals="1" fieldPosition="0">
        <references count="3">
          <reference field="0" count="1" selected="0">
            <x v="281"/>
          </reference>
          <reference field="9" count="1" selected="0">
            <x v="13"/>
          </reference>
          <reference field="18" count="1">
            <x v="3516"/>
          </reference>
        </references>
      </pivotArea>
    </format>
    <format dxfId="339">
      <pivotArea collapsedLevelsAreSubtotals="1" fieldPosition="0">
        <references count="1">
          <reference field="0" count="1">
            <x v="283"/>
          </reference>
        </references>
      </pivotArea>
    </format>
    <format dxfId="338">
      <pivotArea dataOnly="0" labelOnly="1" fieldPosition="0">
        <references count="1">
          <reference field="0" count="1">
            <x v="283"/>
          </reference>
        </references>
      </pivotArea>
    </format>
    <format dxfId="337">
      <pivotArea dataOnly="0" labelOnly="1" fieldPosition="0">
        <references count="2">
          <reference field="0" count="1" selected="0">
            <x v="281"/>
          </reference>
          <reference field="9" count="1">
            <x v="13"/>
          </reference>
        </references>
      </pivotArea>
    </format>
    <format dxfId="336">
      <pivotArea dataOnly="0" labelOnly="1" fieldPosition="0">
        <references count="3">
          <reference field="0" count="1" selected="0">
            <x v="281"/>
          </reference>
          <reference field="9" count="1" selected="0">
            <x v="13"/>
          </reference>
          <reference field="18" count="1">
            <x v="3516"/>
          </reference>
        </references>
      </pivotArea>
    </format>
    <format dxfId="335">
      <pivotArea collapsedLevelsAreSubtotals="1" fieldPosition="0">
        <references count="3">
          <reference field="0" count="1" selected="0">
            <x v="284"/>
          </reference>
          <reference field="9" count="1" selected="0">
            <x v="89"/>
          </reference>
          <reference field="18" count="1">
            <x v="3535"/>
          </reference>
        </references>
      </pivotArea>
    </format>
    <format dxfId="334">
      <pivotArea collapsedLevelsAreSubtotals="1" fieldPosition="0">
        <references count="1">
          <reference field="0" count="1">
            <x v="286"/>
          </reference>
        </references>
      </pivotArea>
    </format>
    <format dxfId="333">
      <pivotArea dataOnly="0" labelOnly="1" fieldPosition="0">
        <references count="1">
          <reference field="0" count="1">
            <x v="286"/>
          </reference>
        </references>
      </pivotArea>
    </format>
    <format dxfId="332">
      <pivotArea dataOnly="0" labelOnly="1" fieldPosition="0">
        <references count="3">
          <reference field="0" count="1" selected="0">
            <x v="284"/>
          </reference>
          <reference field="9" count="1" selected="0">
            <x v="89"/>
          </reference>
          <reference field="18" count="1">
            <x v="3535"/>
          </reference>
        </references>
      </pivotArea>
    </format>
    <format dxfId="331">
      <pivotArea collapsedLevelsAreSubtotals="1" fieldPosition="0">
        <references count="1">
          <reference field="0" count="1">
            <x v="292"/>
          </reference>
        </references>
      </pivotArea>
    </format>
    <format dxfId="330">
      <pivotArea collapsedLevelsAreSubtotals="1" fieldPosition="0">
        <references count="2">
          <reference field="0" count="1" selected="0">
            <x v="292"/>
          </reference>
          <reference field="9" count="1">
            <x v="32"/>
          </reference>
        </references>
      </pivotArea>
    </format>
    <format dxfId="329">
      <pivotArea collapsedLevelsAreSubtotals="1" fieldPosition="0">
        <references count="3">
          <reference field="0" count="1" selected="0">
            <x v="292"/>
          </reference>
          <reference field="9" count="1" selected="0">
            <x v="32"/>
          </reference>
          <reference field="18" count="1">
            <x v="3630"/>
          </reference>
        </references>
      </pivotArea>
    </format>
    <format dxfId="328">
      <pivotArea collapsedLevelsAreSubtotals="1" fieldPosition="0">
        <references count="1">
          <reference field="0" count="1">
            <x v="293"/>
          </reference>
        </references>
      </pivotArea>
    </format>
    <format dxfId="327">
      <pivotArea dataOnly="0" labelOnly="1" fieldPosition="0">
        <references count="1">
          <reference field="0" count="2">
            <x v="292"/>
            <x v="293"/>
          </reference>
        </references>
      </pivotArea>
    </format>
    <format dxfId="326">
      <pivotArea dataOnly="0" labelOnly="1" fieldPosition="0">
        <references count="2">
          <reference field="0" count="1" selected="0">
            <x v="292"/>
          </reference>
          <reference field="9" count="1">
            <x v="32"/>
          </reference>
        </references>
      </pivotArea>
    </format>
    <format dxfId="325">
      <pivotArea dataOnly="0" labelOnly="1" fieldPosition="0">
        <references count="3">
          <reference field="0" count="1" selected="0">
            <x v="292"/>
          </reference>
          <reference field="9" count="1" selected="0">
            <x v="32"/>
          </reference>
          <reference field="18" count="1">
            <x v="3630"/>
          </reference>
        </references>
      </pivotArea>
    </format>
    <format dxfId="324">
      <pivotArea collapsedLevelsAreSubtotals="1" fieldPosition="0">
        <references count="2">
          <reference field="0" count="1" selected="0">
            <x v="307"/>
          </reference>
          <reference field="9" count="1">
            <x v="73"/>
          </reference>
        </references>
      </pivotArea>
    </format>
    <format dxfId="323">
      <pivotArea collapsedLevelsAreSubtotals="1" fieldPosition="0">
        <references count="3">
          <reference field="0" count="1" selected="0">
            <x v="307"/>
          </reference>
          <reference field="9" count="1" selected="0">
            <x v="73"/>
          </reference>
          <reference field="18" count="1">
            <x v="3761"/>
          </reference>
        </references>
      </pivotArea>
    </format>
    <format dxfId="322">
      <pivotArea dataOnly="0" labelOnly="1" fieldPosition="0">
        <references count="2">
          <reference field="0" count="1" selected="0">
            <x v="307"/>
          </reference>
          <reference field="9" count="1">
            <x v="73"/>
          </reference>
        </references>
      </pivotArea>
    </format>
    <format dxfId="321">
      <pivotArea dataOnly="0" labelOnly="1" fieldPosition="0">
        <references count="3">
          <reference field="0" count="1" selected="0">
            <x v="307"/>
          </reference>
          <reference field="9" count="1" selected="0">
            <x v="73"/>
          </reference>
          <reference field="18" count="1">
            <x v="3761"/>
          </reference>
        </references>
      </pivotArea>
    </format>
    <format dxfId="320">
      <pivotArea collapsedLevelsAreSubtotals="1" fieldPosition="0">
        <references count="2">
          <reference field="0" count="1" selected="0">
            <x v="307"/>
          </reference>
          <reference field="9" count="1">
            <x v="53"/>
          </reference>
        </references>
      </pivotArea>
    </format>
    <format dxfId="319">
      <pivotArea collapsedLevelsAreSubtotals="1" fieldPosition="0">
        <references count="3">
          <reference field="0" count="1" selected="0">
            <x v="307"/>
          </reference>
          <reference field="9" count="1" selected="0">
            <x v="53"/>
          </reference>
          <reference field="18" count="1">
            <x v="3763"/>
          </reference>
        </references>
      </pivotArea>
    </format>
    <format dxfId="318">
      <pivotArea dataOnly="0" labelOnly="1" fieldPosition="0">
        <references count="2">
          <reference field="0" count="1" selected="0">
            <x v="307"/>
          </reference>
          <reference field="9" count="1">
            <x v="53"/>
          </reference>
        </references>
      </pivotArea>
    </format>
    <format dxfId="317">
      <pivotArea dataOnly="0" labelOnly="1" fieldPosition="0">
        <references count="3">
          <reference field="0" count="1" selected="0">
            <x v="307"/>
          </reference>
          <reference field="9" count="1" selected="0">
            <x v="53"/>
          </reference>
          <reference field="18" count="1">
            <x v="3763"/>
          </reference>
        </references>
      </pivotArea>
    </format>
    <format dxfId="316">
      <pivotArea collapsedLevelsAreSubtotals="1" fieldPosition="0">
        <references count="2">
          <reference field="0" count="1" selected="0">
            <x v="307"/>
          </reference>
          <reference field="9" count="1">
            <x v="42"/>
          </reference>
        </references>
      </pivotArea>
    </format>
    <format dxfId="315">
      <pivotArea collapsedLevelsAreSubtotals="1" fieldPosition="0">
        <references count="3">
          <reference field="0" count="1" selected="0">
            <x v="307"/>
          </reference>
          <reference field="9" count="1" selected="0">
            <x v="42"/>
          </reference>
          <reference field="18" count="1">
            <x v="3762"/>
          </reference>
        </references>
      </pivotArea>
    </format>
    <format dxfId="314">
      <pivotArea dataOnly="0" labelOnly="1" fieldPosition="0">
        <references count="2">
          <reference field="0" count="1" selected="0">
            <x v="307"/>
          </reference>
          <reference field="9" count="1">
            <x v="42"/>
          </reference>
        </references>
      </pivotArea>
    </format>
    <format dxfId="313">
      <pivotArea dataOnly="0" labelOnly="1" fieldPosition="0">
        <references count="3">
          <reference field="0" count="1" selected="0">
            <x v="307"/>
          </reference>
          <reference field="9" count="1" selected="0">
            <x v="42"/>
          </reference>
          <reference field="18" count="1">
            <x v="3762"/>
          </reference>
        </references>
      </pivotArea>
    </format>
    <format dxfId="312">
      <pivotArea collapsedLevelsAreSubtotals="1" fieldPosition="0">
        <references count="2">
          <reference field="0" count="1" selected="0">
            <x v="307"/>
          </reference>
          <reference field="9" count="1">
            <x v="16"/>
          </reference>
        </references>
      </pivotArea>
    </format>
    <format dxfId="311">
      <pivotArea collapsedLevelsAreSubtotals="1" fieldPosition="0">
        <references count="3">
          <reference field="0" count="1" selected="0">
            <x v="307"/>
          </reference>
          <reference field="9" count="1" selected="0">
            <x v="16"/>
          </reference>
          <reference field="18" count="1">
            <x v="3764"/>
          </reference>
        </references>
      </pivotArea>
    </format>
    <format dxfId="310">
      <pivotArea dataOnly="0" labelOnly="1" fieldPosition="0">
        <references count="2">
          <reference field="0" count="1" selected="0">
            <x v="307"/>
          </reference>
          <reference field="9" count="1">
            <x v="16"/>
          </reference>
        </references>
      </pivotArea>
    </format>
    <format dxfId="309">
      <pivotArea dataOnly="0" labelOnly="1" fieldPosition="0">
        <references count="3">
          <reference field="0" count="1" selected="0">
            <x v="307"/>
          </reference>
          <reference field="9" count="1" selected="0">
            <x v="16"/>
          </reference>
          <reference field="18" count="1">
            <x v="3764"/>
          </reference>
        </references>
      </pivotArea>
    </format>
    <format dxfId="308">
      <pivotArea collapsedLevelsAreSubtotals="1" fieldPosition="0">
        <references count="3">
          <reference field="0" count="1" selected="0">
            <x v="306"/>
          </reference>
          <reference field="9" count="1" selected="0">
            <x v="10"/>
          </reference>
          <reference field="18" count="1">
            <x v="3751"/>
          </reference>
        </references>
      </pivotArea>
    </format>
    <format dxfId="307">
      <pivotArea collapsedLevelsAreSubtotals="1" fieldPosition="0">
        <references count="1">
          <reference field="0" count="1">
            <x v="307"/>
          </reference>
        </references>
      </pivotArea>
    </format>
    <format dxfId="306">
      <pivotArea dataOnly="0" labelOnly="1" fieldPosition="0">
        <references count="1">
          <reference field="0" count="1">
            <x v="307"/>
          </reference>
        </references>
      </pivotArea>
    </format>
    <format dxfId="305">
      <pivotArea dataOnly="0" labelOnly="1" fieldPosition="0">
        <references count="3">
          <reference field="0" count="1" selected="0">
            <x v="306"/>
          </reference>
          <reference field="9" count="1" selected="0">
            <x v="10"/>
          </reference>
          <reference field="18" count="1">
            <x v="3751"/>
          </reference>
        </references>
      </pivotArea>
    </format>
    <format dxfId="304">
      <pivotArea collapsedLevelsAreSubtotals="1" fieldPosition="0">
        <references count="1">
          <reference field="0" count="1">
            <x v="304"/>
          </reference>
        </references>
      </pivotArea>
    </format>
    <format dxfId="303">
      <pivotArea collapsedLevelsAreSubtotals="1" fieldPosition="0">
        <references count="2">
          <reference field="0" count="1" selected="0">
            <x v="304"/>
          </reference>
          <reference field="9" count="1">
            <x v="89"/>
          </reference>
        </references>
      </pivotArea>
    </format>
    <format dxfId="302">
      <pivotArea collapsedLevelsAreSubtotals="1" fieldPosition="0">
        <references count="3">
          <reference field="0" count="1" selected="0">
            <x v="304"/>
          </reference>
          <reference field="9" count="1" selected="0">
            <x v="89"/>
          </reference>
          <reference field="18" count="1">
            <x v="3728"/>
          </reference>
        </references>
      </pivotArea>
    </format>
    <format dxfId="301">
      <pivotArea collapsedLevelsAreSubtotals="1" fieldPosition="0">
        <references count="1">
          <reference field="0" count="1">
            <x v="306"/>
          </reference>
        </references>
      </pivotArea>
    </format>
    <format dxfId="300">
      <pivotArea collapsedLevelsAreSubtotals="1" fieldPosition="0">
        <references count="2">
          <reference field="0" count="1" selected="0">
            <x v="306"/>
          </reference>
          <reference field="9" count="1">
            <x v="10"/>
          </reference>
        </references>
      </pivotArea>
    </format>
    <format dxfId="299">
      <pivotArea dataOnly="0" labelOnly="1" fieldPosition="0">
        <references count="1">
          <reference field="0" count="2">
            <x v="304"/>
            <x v="306"/>
          </reference>
        </references>
      </pivotArea>
    </format>
    <format dxfId="298">
      <pivotArea dataOnly="0" labelOnly="1" fieldPosition="0">
        <references count="2">
          <reference field="0" count="1" selected="0">
            <x v="304"/>
          </reference>
          <reference field="9" count="1">
            <x v="89"/>
          </reference>
        </references>
      </pivotArea>
    </format>
    <format dxfId="297">
      <pivotArea dataOnly="0" labelOnly="1" fieldPosition="0">
        <references count="2">
          <reference field="0" count="1" selected="0">
            <x v="306"/>
          </reference>
          <reference field="9" count="1">
            <x v="10"/>
          </reference>
        </references>
      </pivotArea>
    </format>
    <format dxfId="296">
      <pivotArea dataOnly="0" labelOnly="1" fieldPosition="0">
        <references count="3">
          <reference field="0" count="1" selected="0">
            <x v="304"/>
          </reference>
          <reference field="9" count="1" selected="0">
            <x v="89"/>
          </reference>
          <reference field="18" count="1">
            <x v="3728"/>
          </reference>
        </references>
      </pivotArea>
    </format>
    <format dxfId="295">
      <pivotArea collapsedLevelsAreSubtotals="1" fieldPosition="0">
        <references count="1">
          <reference field="0" count="1">
            <x v="311"/>
          </reference>
        </references>
      </pivotArea>
    </format>
    <format dxfId="294">
      <pivotArea dataOnly="0" labelOnly="1" fieldPosition="0">
        <references count="1">
          <reference field="0" count="1">
            <x v="311"/>
          </reference>
        </references>
      </pivotArea>
    </format>
    <format dxfId="293">
      <pivotArea collapsedLevelsAreSubtotals="1" fieldPosition="0">
        <references count="2">
          <reference field="0" count="1" selected="0">
            <x v="311"/>
          </reference>
          <reference field="9" count="1">
            <x v="75"/>
          </reference>
        </references>
      </pivotArea>
    </format>
    <format dxfId="292">
      <pivotArea collapsedLevelsAreSubtotals="1" fieldPosition="0">
        <references count="3">
          <reference field="0" count="1" selected="0">
            <x v="311"/>
          </reference>
          <reference field="9" count="1" selected="0">
            <x v="75"/>
          </reference>
          <reference field="18" count="1">
            <x v="3798"/>
          </reference>
        </references>
      </pivotArea>
    </format>
    <format dxfId="291">
      <pivotArea dataOnly="0" labelOnly="1" fieldPosition="0">
        <references count="2">
          <reference field="0" count="1" selected="0">
            <x v="311"/>
          </reference>
          <reference field="9" count="1">
            <x v="75"/>
          </reference>
        </references>
      </pivotArea>
    </format>
    <format dxfId="290">
      <pivotArea dataOnly="0" labelOnly="1" fieldPosition="0">
        <references count="3">
          <reference field="0" count="1" selected="0">
            <x v="311"/>
          </reference>
          <reference field="9" count="1" selected="0">
            <x v="75"/>
          </reference>
          <reference field="18" count="1">
            <x v="3798"/>
          </reference>
        </references>
      </pivotArea>
    </format>
    <format dxfId="289">
      <pivotArea collapsedLevelsAreSubtotals="1" fieldPosition="0">
        <references count="2">
          <reference field="0" count="1" selected="0">
            <x v="311"/>
          </reference>
          <reference field="9" count="1">
            <x v="96"/>
          </reference>
        </references>
      </pivotArea>
    </format>
    <format dxfId="288">
      <pivotArea collapsedLevelsAreSubtotals="1" fieldPosition="0">
        <references count="3">
          <reference field="0" count="1" selected="0">
            <x v="311"/>
          </reference>
          <reference field="9" count="1" selected="0">
            <x v="96"/>
          </reference>
          <reference field="18" count="1">
            <x v="3797"/>
          </reference>
        </references>
      </pivotArea>
    </format>
    <format dxfId="287">
      <pivotArea dataOnly="0" labelOnly="1" fieldPosition="0">
        <references count="2">
          <reference field="0" count="1" selected="0">
            <x v="311"/>
          </reference>
          <reference field="9" count="1">
            <x v="96"/>
          </reference>
        </references>
      </pivotArea>
    </format>
    <format dxfId="286">
      <pivotArea dataOnly="0" labelOnly="1" fieldPosition="0">
        <references count="3">
          <reference field="0" count="1" selected="0">
            <x v="311"/>
          </reference>
          <reference field="9" count="1" selected="0">
            <x v="96"/>
          </reference>
          <reference field="18" count="1">
            <x v="3797"/>
          </reference>
        </references>
      </pivotArea>
    </format>
    <format dxfId="285">
      <pivotArea collapsedLevelsAreSubtotals="1" fieldPosition="0">
        <references count="1">
          <reference field="0" count="1">
            <x v="313"/>
          </reference>
        </references>
      </pivotArea>
    </format>
    <format dxfId="284">
      <pivotArea dataOnly="0" labelOnly="1" fieldPosition="0">
        <references count="1">
          <reference field="0" count="1">
            <x v="313"/>
          </reference>
        </references>
      </pivotArea>
    </format>
    <format dxfId="283">
      <pivotArea collapsedLevelsAreSubtotals="1" fieldPosition="0">
        <references count="3">
          <reference field="0" count="1" selected="0">
            <x v="313"/>
          </reference>
          <reference field="9" count="1" selected="0">
            <x v="10"/>
          </reference>
          <reference field="18" count="1">
            <x v="3817"/>
          </reference>
        </references>
      </pivotArea>
    </format>
    <format dxfId="282">
      <pivotArea dataOnly="0" labelOnly="1" fieldPosition="0">
        <references count="3">
          <reference field="0" count="1" selected="0">
            <x v="313"/>
          </reference>
          <reference field="9" count="1" selected="0">
            <x v="10"/>
          </reference>
          <reference field="18" count="1">
            <x v="3817"/>
          </reference>
        </references>
      </pivotArea>
    </format>
    <format dxfId="281">
      <pivotArea collapsedLevelsAreSubtotals="1" fieldPosition="0">
        <references count="2">
          <reference field="0" count="1" selected="0">
            <x v="313"/>
          </reference>
          <reference field="9" count="1">
            <x v="89"/>
          </reference>
        </references>
      </pivotArea>
    </format>
    <format dxfId="280">
      <pivotArea collapsedLevelsAreSubtotals="1" fieldPosition="0">
        <references count="3">
          <reference field="0" count="1" selected="0">
            <x v="313"/>
          </reference>
          <reference field="9" count="1" selected="0">
            <x v="89"/>
          </reference>
          <reference field="18" count="1">
            <x v="3821"/>
          </reference>
        </references>
      </pivotArea>
    </format>
    <format dxfId="279">
      <pivotArea dataOnly="0" labelOnly="1" fieldPosition="0">
        <references count="2">
          <reference field="0" count="1" selected="0">
            <x v="313"/>
          </reference>
          <reference field="9" count="1">
            <x v="89"/>
          </reference>
        </references>
      </pivotArea>
    </format>
    <format dxfId="278">
      <pivotArea dataOnly="0" labelOnly="1" fieldPosition="0">
        <references count="3">
          <reference field="0" count="1" selected="0">
            <x v="313"/>
          </reference>
          <reference field="9" count="1" selected="0">
            <x v="89"/>
          </reference>
          <reference field="18" count="1">
            <x v="3821"/>
          </reference>
        </references>
      </pivotArea>
    </format>
    <format dxfId="277">
      <pivotArea dataOnly="0" labelOnly="1" fieldPosition="0">
        <references count="3">
          <reference field="0" count="1" selected="0">
            <x v="329"/>
          </reference>
          <reference field="9" count="1" selected="0">
            <x v="89"/>
          </reference>
          <reference field="18" count="1">
            <x v="3966"/>
          </reference>
        </references>
      </pivotArea>
    </format>
    <format dxfId="276">
      <pivotArea collapsedLevelsAreSubtotals="1" fieldPosition="0">
        <references count="1">
          <reference field="0" count="1">
            <x v="318"/>
          </reference>
        </references>
      </pivotArea>
    </format>
    <format dxfId="275">
      <pivotArea collapsedLevelsAreSubtotals="1" fieldPosition="0">
        <references count="2">
          <reference field="0" count="1" selected="0">
            <x v="318"/>
          </reference>
          <reference field="9" count="1">
            <x v="13"/>
          </reference>
        </references>
      </pivotArea>
    </format>
    <format dxfId="274">
      <pivotArea collapsedLevelsAreSubtotals="1" fieldPosition="0">
        <references count="3">
          <reference field="0" count="1" selected="0">
            <x v="318"/>
          </reference>
          <reference field="9" count="1" selected="0">
            <x v="13"/>
          </reference>
          <reference field="18" count="1">
            <x v="3872"/>
          </reference>
        </references>
      </pivotArea>
    </format>
    <format dxfId="273">
      <pivotArea collapsedLevelsAreSubtotals="1" fieldPosition="0">
        <references count="2">
          <reference field="0" count="1" selected="0">
            <x v="318"/>
          </reference>
          <reference field="9" count="1">
            <x v="16"/>
          </reference>
        </references>
      </pivotArea>
    </format>
    <format dxfId="272">
      <pivotArea collapsedLevelsAreSubtotals="1" fieldPosition="0">
        <references count="3">
          <reference field="0" count="1" selected="0">
            <x v="318"/>
          </reference>
          <reference field="9" count="1" selected="0">
            <x v="16"/>
          </reference>
          <reference field="18" count="1">
            <x v="3870"/>
          </reference>
        </references>
      </pivotArea>
    </format>
    <format dxfId="271">
      <pivotArea collapsedLevelsAreSubtotals="1" fieldPosition="0">
        <references count="1">
          <reference field="0" count="1">
            <x v="320"/>
          </reference>
        </references>
      </pivotArea>
    </format>
    <format dxfId="270">
      <pivotArea collapsedLevelsAreSubtotals="1" fieldPosition="0">
        <references count="2">
          <reference field="0" count="1" selected="0">
            <x v="320"/>
          </reference>
          <reference field="9" count="1">
            <x v="85"/>
          </reference>
        </references>
      </pivotArea>
    </format>
    <format dxfId="269">
      <pivotArea collapsedLevelsAreSubtotals="1" fieldPosition="0">
        <references count="3">
          <reference field="0" count="1" selected="0">
            <x v="320"/>
          </reference>
          <reference field="9" count="1" selected="0">
            <x v="85"/>
          </reference>
          <reference field="18" count="1">
            <x v="3886"/>
          </reference>
        </references>
      </pivotArea>
    </format>
    <format dxfId="268">
      <pivotArea collapsedLevelsAreSubtotals="1" fieldPosition="0">
        <references count="1">
          <reference field="0" count="1">
            <x v="321"/>
          </reference>
        </references>
      </pivotArea>
    </format>
    <format dxfId="267">
      <pivotArea collapsedLevelsAreSubtotals="1" fieldPosition="0">
        <references count="2">
          <reference field="0" count="1" selected="0">
            <x v="321"/>
          </reference>
          <reference field="9" count="1">
            <x v="75"/>
          </reference>
        </references>
      </pivotArea>
    </format>
    <format dxfId="266">
      <pivotArea collapsedLevelsAreSubtotals="1" fieldPosition="0">
        <references count="3">
          <reference field="0" count="1" selected="0">
            <x v="321"/>
          </reference>
          <reference field="9" count="1" selected="0">
            <x v="75"/>
          </reference>
          <reference field="18" count="1">
            <x v="3895"/>
          </reference>
        </references>
      </pivotArea>
    </format>
    <format dxfId="265">
      <pivotArea collapsedLevelsAreSubtotals="1" fieldPosition="0">
        <references count="1">
          <reference field="0" count="1">
            <x v="326"/>
          </reference>
        </references>
      </pivotArea>
    </format>
    <format dxfId="264">
      <pivotArea collapsedLevelsAreSubtotals="1" fieldPosition="0">
        <references count="2">
          <reference field="0" count="1" selected="0">
            <x v="326"/>
          </reference>
          <reference field="9" count="1">
            <x v="10"/>
          </reference>
        </references>
      </pivotArea>
    </format>
    <format dxfId="263">
      <pivotArea collapsedLevelsAreSubtotals="1" fieldPosition="0">
        <references count="3">
          <reference field="0" count="1" selected="0">
            <x v="326"/>
          </reference>
          <reference field="9" count="1" selected="0">
            <x v="10"/>
          </reference>
          <reference field="18" count="1">
            <x v="3938"/>
          </reference>
        </references>
      </pivotArea>
    </format>
    <format dxfId="262">
      <pivotArea collapsedLevelsAreSubtotals="1" fieldPosition="0">
        <references count="2">
          <reference field="0" count="1" selected="0">
            <x v="326"/>
          </reference>
          <reference field="9" count="1">
            <x v="13"/>
          </reference>
        </references>
      </pivotArea>
    </format>
    <format dxfId="261">
      <pivotArea collapsedLevelsAreSubtotals="1" fieldPosition="0">
        <references count="3">
          <reference field="0" count="1" selected="0">
            <x v="326"/>
          </reference>
          <reference field="9" count="1" selected="0">
            <x v="13"/>
          </reference>
          <reference field="18" count="1">
            <x v="3936"/>
          </reference>
        </references>
      </pivotArea>
    </format>
    <format dxfId="260">
      <pivotArea collapsedLevelsAreSubtotals="1" fieldPosition="0">
        <references count="1">
          <reference field="0" count="1">
            <x v="329"/>
          </reference>
        </references>
      </pivotArea>
    </format>
    <format dxfId="259">
      <pivotArea collapsedLevelsAreSubtotals="1" fieldPosition="0">
        <references count="2">
          <reference field="0" count="1" selected="0">
            <x v="329"/>
          </reference>
          <reference field="9" count="1">
            <x v="89"/>
          </reference>
        </references>
      </pivotArea>
    </format>
    <format dxfId="258">
      <pivotArea collapsedLevelsAreSubtotals="1" fieldPosition="0">
        <references count="3">
          <reference field="0" count="1" selected="0">
            <x v="329"/>
          </reference>
          <reference field="9" count="1" selected="0">
            <x v="89"/>
          </reference>
          <reference field="18" count="1">
            <x v="3966"/>
          </reference>
        </references>
      </pivotArea>
    </format>
    <format dxfId="257">
      <pivotArea collapsedLevelsAreSubtotals="1" fieldPosition="0">
        <references count="1">
          <reference field="0" count="1">
            <x v="330"/>
          </reference>
        </references>
      </pivotArea>
    </format>
    <format dxfId="256">
      <pivotArea collapsedLevelsAreSubtotals="1" fieldPosition="0">
        <references count="2">
          <reference field="0" count="1" selected="0">
            <x v="330"/>
          </reference>
          <reference field="9" count="1">
            <x v="75"/>
          </reference>
        </references>
      </pivotArea>
    </format>
    <format dxfId="255">
      <pivotArea collapsedLevelsAreSubtotals="1" fieldPosition="0">
        <references count="3">
          <reference field="0" count="1" selected="0">
            <x v="330"/>
          </reference>
          <reference field="9" count="1" selected="0">
            <x v="75"/>
          </reference>
          <reference field="18" count="1">
            <x v="3975"/>
          </reference>
        </references>
      </pivotArea>
    </format>
    <format dxfId="254">
      <pivotArea collapsedLevelsAreSubtotals="1" fieldPosition="0">
        <references count="1">
          <reference field="0" count="1">
            <x v="332"/>
          </reference>
        </references>
      </pivotArea>
    </format>
    <format dxfId="253">
      <pivotArea collapsedLevelsAreSubtotals="1" fieldPosition="0">
        <references count="2">
          <reference field="0" count="1" selected="0">
            <x v="332"/>
          </reference>
          <reference field="9" count="1">
            <x v="36"/>
          </reference>
        </references>
      </pivotArea>
    </format>
    <format dxfId="252">
      <pivotArea collapsedLevelsAreSubtotals="1" fieldPosition="0">
        <references count="3">
          <reference field="0" count="1" selected="0">
            <x v="332"/>
          </reference>
          <reference field="9" count="1" selected="0">
            <x v="36"/>
          </reference>
          <reference field="18" count="1">
            <x v="3999"/>
          </reference>
        </references>
      </pivotArea>
    </format>
    <format dxfId="251">
      <pivotArea collapsedLevelsAreSubtotals="1" fieldPosition="0">
        <references count="1">
          <reference field="0" count="1">
            <x v="333"/>
          </reference>
        </references>
      </pivotArea>
    </format>
    <format dxfId="250">
      <pivotArea collapsedLevelsAreSubtotals="1" fieldPosition="0">
        <references count="2">
          <reference field="0" count="1" selected="0">
            <x v="333"/>
          </reference>
          <reference field="9" count="1">
            <x v="42"/>
          </reference>
        </references>
      </pivotArea>
    </format>
    <format dxfId="249">
      <pivotArea collapsedLevelsAreSubtotals="1" fieldPosition="0">
        <references count="3">
          <reference field="0" count="1" selected="0">
            <x v="333"/>
          </reference>
          <reference field="9" count="1" selected="0">
            <x v="42"/>
          </reference>
          <reference field="18" count="1">
            <x v="4011"/>
          </reference>
        </references>
      </pivotArea>
    </format>
    <format dxfId="248">
      <pivotArea collapsedLevelsAreSubtotals="1" fieldPosition="0">
        <references count="1">
          <reference field="0" count="1">
            <x v="334"/>
          </reference>
        </references>
      </pivotArea>
    </format>
    <format dxfId="247">
      <pivotArea collapsedLevelsAreSubtotals="1" fieldPosition="0">
        <references count="2">
          <reference field="0" count="1" selected="0">
            <x v="334"/>
          </reference>
          <reference field="9" count="1">
            <x v="16"/>
          </reference>
        </references>
      </pivotArea>
    </format>
    <format dxfId="246">
      <pivotArea collapsedLevelsAreSubtotals="1" fieldPosition="0">
        <references count="3">
          <reference field="0" count="1" selected="0">
            <x v="334"/>
          </reference>
          <reference field="9" count="1" selected="0">
            <x v="16"/>
          </reference>
          <reference field="18" count="1">
            <x v="4016"/>
          </reference>
        </references>
      </pivotArea>
    </format>
    <format dxfId="245">
      <pivotArea collapsedLevelsAreSubtotals="1" fieldPosition="0">
        <references count="1">
          <reference field="0" count="1">
            <x v="335"/>
          </reference>
        </references>
      </pivotArea>
    </format>
    <format dxfId="244">
      <pivotArea collapsedLevelsAreSubtotals="1" fieldPosition="0">
        <references count="2">
          <reference field="0" count="1" selected="0">
            <x v="335"/>
          </reference>
          <reference field="9" count="1">
            <x v="73"/>
          </reference>
        </references>
      </pivotArea>
    </format>
    <format dxfId="243">
      <pivotArea collapsedLevelsAreSubtotals="1" fieldPosition="0">
        <references count="3">
          <reference field="0" count="1" selected="0">
            <x v="335"/>
          </reference>
          <reference field="9" count="1" selected="0">
            <x v="73"/>
          </reference>
          <reference field="18" count="1">
            <x v="4025"/>
          </reference>
        </references>
      </pivotArea>
    </format>
    <format dxfId="242">
      <pivotArea collapsedLevelsAreSubtotals="1" fieldPosition="0">
        <references count="2">
          <reference field="0" count="1" selected="0">
            <x v="335"/>
          </reference>
          <reference field="9" count="1">
            <x v="85"/>
          </reference>
        </references>
      </pivotArea>
    </format>
    <format dxfId="241">
      <pivotArea collapsedLevelsAreSubtotals="1" fieldPosition="0">
        <references count="3">
          <reference field="0" count="1" selected="0">
            <x v="335"/>
          </reference>
          <reference field="9" count="1" selected="0">
            <x v="85"/>
          </reference>
          <reference field="18" count="1">
            <x v="4024"/>
          </reference>
        </references>
      </pivotArea>
    </format>
    <format dxfId="240">
      <pivotArea dataOnly="0" labelOnly="1" fieldPosition="0">
        <references count="1">
          <reference field="0" count="10">
            <x v="318"/>
            <x v="320"/>
            <x v="321"/>
            <x v="326"/>
            <x v="329"/>
            <x v="330"/>
            <x v="332"/>
            <x v="333"/>
            <x v="334"/>
            <x v="335"/>
          </reference>
        </references>
      </pivotArea>
    </format>
    <format dxfId="239">
      <pivotArea dataOnly="0" labelOnly="1" fieldPosition="0">
        <references count="2">
          <reference field="0" count="1" selected="0">
            <x v="318"/>
          </reference>
          <reference field="9" count="2">
            <x v="13"/>
            <x v="16"/>
          </reference>
        </references>
      </pivotArea>
    </format>
    <format dxfId="238">
      <pivotArea dataOnly="0" labelOnly="1" fieldPosition="0">
        <references count="2">
          <reference field="0" count="1" selected="0">
            <x v="320"/>
          </reference>
          <reference field="9" count="1">
            <x v="85"/>
          </reference>
        </references>
      </pivotArea>
    </format>
    <format dxfId="237">
      <pivotArea dataOnly="0" labelOnly="1" fieldPosition="0">
        <references count="2">
          <reference field="0" count="1" selected="0">
            <x v="321"/>
          </reference>
          <reference field="9" count="1">
            <x v="75"/>
          </reference>
        </references>
      </pivotArea>
    </format>
    <format dxfId="236">
      <pivotArea dataOnly="0" labelOnly="1" fieldPosition="0">
        <references count="2">
          <reference field="0" count="1" selected="0">
            <x v="326"/>
          </reference>
          <reference field="9" count="2">
            <x v="10"/>
            <x v="13"/>
          </reference>
        </references>
      </pivotArea>
    </format>
    <format dxfId="235">
      <pivotArea dataOnly="0" labelOnly="1" fieldPosition="0">
        <references count="2">
          <reference field="0" count="1" selected="0">
            <x v="329"/>
          </reference>
          <reference field="9" count="1">
            <x v="89"/>
          </reference>
        </references>
      </pivotArea>
    </format>
    <format dxfId="234">
      <pivotArea dataOnly="0" labelOnly="1" fieldPosition="0">
        <references count="2">
          <reference field="0" count="1" selected="0">
            <x v="330"/>
          </reference>
          <reference field="9" count="1">
            <x v="75"/>
          </reference>
        </references>
      </pivotArea>
    </format>
    <format dxfId="233">
      <pivotArea dataOnly="0" labelOnly="1" fieldPosition="0">
        <references count="2">
          <reference field="0" count="1" selected="0">
            <x v="332"/>
          </reference>
          <reference field="9" count="1">
            <x v="36"/>
          </reference>
        </references>
      </pivotArea>
    </format>
    <format dxfId="232">
      <pivotArea dataOnly="0" labelOnly="1" fieldPosition="0">
        <references count="2">
          <reference field="0" count="1" selected="0">
            <x v="333"/>
          </reference>
          <reference field="9" count="1">
            <x v="42"/>
          </reference>
        </references>
      </pivotArea>
    </format>
    <format dxfId="231">
      <pivotArea dataOnly="0" labelOnly="1" fieldPosition="0">
        <references count="2">
          <reference field="0" count="1" selected="0">
            <x v="334"/>
          </reference>
          <reference field="9" count="1">
            <x v="16"/>
          </reference>
        </references>
      </pivotArea>
    </format>
    <format dxfId="230">
      <pivotArea dataOnly="0" labelOnly="1" fieldPosition="0">
        <references count="2">
          <reference field="0" count="1" selected="0">
            <x v="335"/>
          </reference>
          <reference field="9" count="2">
            <x v="73"/>
            <x v="85"/>
          </reference>
        </references>
      </pivotArea>
    </format>
    <format dxfId="229">
      <pivotArea dataOnly="0" labelOnly="1" fieldPosition="0">
        <references count="3">
          <reference field="0" count="1" selected="0">
            <x v="318"/>
          </reference>
          <reference field="9" count="1" selected="0">
            <x v="13"/>
          </reference>
          <reference field="18" count="1">
            <x v="3872"/>
          </reference>
        </references>
      </pivotArea>
    </format>
    <format dxfId="228">
      <pivotArea dataOnly="0" labelOnly="1" fieldPosition="0">
        <references count="3">
          <reference field="0" count="1" selected="0">
            <x v="318"/>
          </reference>
          <reference field="9" count="1" selected="0">
            <x v="16"/>
          </reference>
          <reference field="18" count="1">
            <x v="3870"/>
          </reference>
        </references>
      </pivotArea>
    </format>
    <format dxfId="227">
      <pivotArea dataOnly="0" labelOnly="1" fieldPosition="0">
        <references count="3">
          <reference field="0" count="1" selected="0">
            <x v="320"/>
          </reference>
          <reference field="9" count="1" selected="0">
            <x v="85"/>
          </reference>
          <reference field="18" count="1">
            <x v="3886"/>
          </reference>
        </references>
      </pivotArea>
    </format>
    <format dxfId="226">
      <pivotArea dataOnly="0" labelOnly="1" fieldPosition="0">
        <references count="3">
          <reference field="0" count="1" selected="0">
            <x v="321"/>
          </reference>
          <reference field="9" count="1" selected="0">
            <x v="75"/>
          </reference>
          <reference field="18" count="1">
            <x v="3895"/>
          </reference>
        </references>
      </pivotArea>
    </format>
    <format dxfId="225">
      <pivotArea dataOnly="0" labelOnly="1" fieldPosition="0">
        <references count="3">
          <reference field="0" count="1" selected="0">
            <x v="326"/>
          </reference>
          <reference field="9" count="1" selected="0">
            <x v="10"/>
          </reference>
          <reference field="18" count="1">
            <x v="3938"/>
          </reference>
        </references>
      </pivotArea>
    </format>
    <format dxfId="224">
      <pivotArea dataOnly="0" labelOnly="1" fieldPosition="0">
        <references count="3">
          <reference field="0" count="1" selected="0">
            <x v="326"/>
          </reference>
          <reference field="9" count="1" selected="0">
            <x v="13"/>
          </reference>
          <reference field="18" count="1">
            <x v="3936"/>
          </reference>
        </references>
      </pivotArea>
    </format>
    <format dxfId="223">
      <pivotArea dataOnly="0" labelOnly="1" fieldPosition="0">
        <references count="3">
          <reference field="0" count="1" selected="0">
            <x v="329"/>
          </reference>
          <reference field="9" count="1" selected="0">
            <x v="89"/>
          </reference>
          <reference field="18" count="1">
            <x v="3966"/>
          </reference>
        </references>
      </pivotArea>
    </format>
    <format dxfId="222">
      <pivotArea dataOnly="0" labelOnly="1" fieldPosition="0">
        <references count="3">
          <reference field="0" count="1" selected="0">
            <x v="330"/>
          </reference>
          <reference field="9" count="1" selected="0">
            <x v="75"/>
          </reference>
          <reference field="18" count="1">
            <x v="3975"/>
          </reference>
        </references>
      </pivotArea>
    </format>
    <format dxfId="221">
      <pivotArea dataOnly="0" labelOnly="1" fieldPosition="0">
        <references count="3">
          <reference field="0" count="1" selected="0">
            <x v="332"/>
          </reference>
          <reference field="9" count="1" selected="0">
            <x v="36"/>
          </reference>
          <reference field="18" count="1">
            <x v="3999"/>
          </reference>
        </references>
      </pivotArea>
    </format>
    <format dxfId="220">
      <pivotArea dataOnly="0" labelOnly="1" fieldPosition="0">
        <references count="3">
          <reference field="0" count="1" selected="0">
            <x v="333"/>
          </reference>
          <reference field="9" count="1" selected="0">
            <x v="42"/>
          </reference>
          <reference field="18" count="1">
            <x v="4011"/>
          </reference>
        </references>
      </pivotArea>
    </format>
    <format dxfId="219">
      <pivotArea dataOnly="0" labelOnly="1" fieldPosition="0">
        <references count="3">
          <reference field="0" count="1" selected="0">
            <x v="334"/>
          </reference>
          <reference field="9" count="1" selected="0">
            <x v="16"/>
          </reference>
          <reference field="18" count="1">
            <x v="4016"/>
          </reference>
        </references>
      </pivotArea>
    </format>
    <format dxfId="218">
      <pivotArea dataOnly="0" labelOnly="1" fieldPosition="0">
        <references count="3">
          <reference field="0" count="1" selected="0">
            <x v="335"/>
          </reference>
          <reference field="9" count="1" selected="0">
            <x v="73"/>
          </reference>
          <reference field="18" count="1">
            <x v="4025"/>
          </reference>
        </references>
      </pivotArea>
    </format>
    <format dxfId="217">
      <pivotArea dataOnly="0" labelOnly="1" fieldPosition="0">
        <references count="3">
          <reference field="0" count="1" selected="0">
            <x v="335"/>
          </reference>
          <reference field="9" count="1" selected="0">
            <x v="85"/>
          </reference>
          <reference field="18" count="1">
            <x v="4024"/>
          </reference>
        </references>
      </pivotArea>
    </format>
    <format dxfId="216">
      <pivotArea dataOnly="0" labelOnly="1" fieldPosition="0">
        <references count="3">
          <reference field="0" count="1" selected="0">
            <x v="339"/>
          </reference>
          <reference field="9" count="1" selected="0">
            <x v="36"/>
          </reference>
          <reference field="18" count="1">
            <x v="4068"/>
          </reference>
        </references>
      </pivotArea>
    </format>
    <format dxfId="215">
      <pivotArea collapsedLevelsAreSubtotals="1" fieldPosition="0">
        <references count="1">
          <reference field="0" count="1">
            <x v="339"/>
          </reference>
        </references>
      </pivotArea>
    </format>
    <format dxfId="214">
      <pivotArea collapsedLevelsAreSubtotals="1" fieldPosition="0">
        <references count="2">
          <reference field="0" count="1" selected="0">
            <x v="339"/>
          </reference>
          <reference field="9" count="1">
            <x v="36"/>
          </reference>
        </references>
      </pivotArea>
    </format>
    <format dxfId="213">
      <pivotArea collapsedLevelsAreSubtotals="1" fieldPosition="0">
        <references count="3">
          <reference field="0" count="1" selected="0">
            <x v="339"/>
          </reference>
          <reference field="9" count="1" selected="0">
            <x v="36"/>
          </reference>
          <reference field="18" count="1">
            <x v="4068"/>
          </reference>
        </references>
      </pivotArea>
    </format>
    <format dxfId="212">
      <pivotArea dataOnly="0" labelOnly="1" fieldPosition="0">
        <references count="1">
          <reference field="0" count="1">
            <x v="339"/>
          </reference>
        </references>
      </pivotArea>
    </format>
    <format dxfId="211">
      <pivotArea dataOnly="0" labelOnly="1" fieldPosition="0">
        <references count="2">
          <reference field="0" count="1" selected="0">
            <x v="339"/>
          </reference>
          <reference field="9" count="1">
            <x v="36"/>
          </reference>
        </references>
      </pivotArea>
    </format>
    <format dxfId="210">
      <pivotArea dataOnly="0" labelOnly="1" fieldPosition="0">
        <references count="3">
          <reference field="0" count="1" selected="0">
            <x v="339"/>
          </reference>
          <reference field="9" count="1" selected="0">
            <x v="36"/>
          </reference>
          <reference field="18" count="1">
            <x v="4068"/>
          </reference>
        </references>
      </pivotArea>
    </format>
    <format dxfId="209">
      <pivotArea collapsedLevelsAreSubtotals="1" fieldPosition="0">
        <references count="2">
          <reference field="0" count="1" selected="0">
            <x v="341"/>
          </reference>
          <reference field="9" count="1">
            <x v="36"/>
          </reference>
        </references>
      </pivotArea>
    </format>
    <format dxfId="208">
      <pivotArea collapsedLevelsAreSubtotals="1" fieldPosition="0">
        <references count="3">
          <reference field="0" count="1" selected="0">
            <x v="341"/>
          </reference>
          <reference field="9" count="1" selected="0">
            <x v="36"/>
          </reference>
          <reference field="18" count="1">
            <x v="4093"/>
          </reference>
        </references>
      </pivotArea>
    </format>
    <format dxfId="207">
      <pivotArea collapsedLevelsAreSubtotals="1" fieldPosition="0">
        <references count="1">
          <reference field="0" count="1">
            <x v="343"/>
          </reference>
        </references>
      </pivotArea>
    </format>
    <format dxfId="206">
      <pivotArea dataOnly="0" labelOnly="1" fieldPosition="0">
        <references count="1">
          <reference field="0" count="1">
            <x v="343"/>
          </reference>
        </references>
      </pivotArea>
    </format>
    <format dxfId="205">
      <pivotArea dataOnly="0" labelOnly="1" fieldPosition="0">
        <references count="2">
          <reference field="0" count="1" selected="0">
            <x v="341"/>
          </reference>
          <reference field="9" count="1">
            <x v="36"/>
          </reference>
        </references>
      </pivotArea>
    </format>
    <format dxfId="204">
      <pivotArea dataOnly="0" labelOnly="1" fieldPosition="0">
        <references count="3">
          <reference field="0" count="1" selected="0">
            <x v="341"/>
          </reference>
          <reference field="9" count="1" selected="0">
            <x v="36"/>
          </reference>
          <reference field="18" count="1">
            <x v="4093"/>
          </reference>
        </references>
      </pivotArea>
    </format>
    <format dxfId="203">
      <pivotArea collapsedLevelsAreSubtotals="1" fieldPosition="0">
        <references count="2">
          <reference field="0" count="1" selected="0">
            <x v="348"/>
          </reference>
          <reference field="9" count="1">
            <x v="96"/>
          </reference>
        </references>
      </pivotArea>
    </format>
    <format dxfId="202">
      <pivotArea collapsedLevelsAreSubtotals="1" fieldPosition="0">
        <references count="3">
          <reference field="0" count="1" selected="0">
            <x v="348"/>
          </reference>
          <reference field="9" count="1" selected="0">
            <x v="96"/>
          </reference>
          <reference field="18" count="1">
            <x v="4169"/>
          </reference>
        </references>
      </pivotArea>
    </format>
    <format dxfId="201">
      <pivotArea dataOnly="0" labelOnly="1" fieldPosition="0">
        <references count="2">
          <reference field="0" count="1" selected="0">
            <x v="348"/>
          </reference>
          <reference field="9" count="1">
            <x v="96"/>
          </reference>
        </references>
      </pivotArea>
    </format>
    <format dxfId="200">
      <pivotArea dataOnly="0" labelOnly="1" fieldPosition="0">
        <references count="3">
          <reference field="0" count="1" selected="0">
            <x v="348"/>
          </reference>
          <reference field="9" count="1" selected="0">
            <x v="96"/>
          </reference>
          <reference field="18" count="1">
            <x v="4169"/>
          </reference>
        </references>
      </pivotArea>
    </format>
    <format dxfId="199">
      <pivotArea collapsedLevelsAreSubtotals="1" fieldPosition="0">
        <references count="2">
          <reference field="0" count="1" selected="0">
            <x v="339"/>
          </reference>
          <reference field="9" count="1">
            <x v="74"/>
          </reference>
        </references>
      </pivotArea>
    </format>
    <format dxfId="198">
      <pivotArea collapsedLevelsAreSubtotals="1" fieldPosition="0">
        <references count="3">
          <reference field="0" count="1" selected="0">
            <x v="339"/>
          </reference>
          <reference field="9" count="1" selected="0">
            <x v="74"/>
          </reference>
          <reference field="18" count="1">
            <x v="4070"/>
          </reference>
        </references>
      </pivotArea>
    </format>
    <format dxfId="197">
      <pivotArea collapsedLevelsAreSubtotals="1" fieldPosition="0">
        <references count="2">
          <reference field="0" count="1" selected="0">
            <x v="339"/>
          </reference>
          <reference field="9" count="1">
            <x v="89"/>
          </reference>
        </references>
      </pivotArea>
    </format>
    <format dxfId="196">
      <pivotArea collapsedLevelsAreSubtotals="1" fieldPosition="0">
        <references count="3">
          <reference field="0" count="1" selected="0">
            <x v="339"/>
          </reference>
          <reference field="9" count="1" selected="0">
            <x v="89"/>
          </reference>
          <reference field="18" count="1">
            <x v="4069"/>
          </reference>
        </references>
      </pivotArea>
    </format>
    <format dxfId="195">
      <pivotArea collapsedLevelsAreSubtotals="1" fieldPosition="0">
        <references count="1">
          <reference field="0" count="1">
            <x v="341"/>
          </reference>
        </references>
      </pivotArea>
    </format>
    <format dxfId="194">
      <pivotArea dataOnly="0" labelOnly="1" fieldPosition="0">
        <references count="1">
          <reference field="0" count="1">
            <x v="341"/>
          </reference>
        </references>
      </pivotArea>
    </format>
    <format dxfId="193">
      <pivotArea dataOnly="0" labelOnly="1" fieldPosition="0">
        <references count="2">
          <reference field="0" count="1" selected="0">
            <x v="339"/>
          </reference>
          <reference field="9" count="2">
            <x v="74"/>
            <x v="89"/>
          </reference>
        </references>
      </pivotArea>
    </format>
    <format dxfId="192">
      <pivotArea dataOnly="0" labelOnly="1" fieldPosition="0">
        <references count="3">
          <reference field="0" count="1" selected="0">
            <x v="339"/>
          </reference>
          <reference field="9" count="1" selected="0">
            <x v="74"/>
          </reference>
          <reference field="18" count="1">
            <x v="4070"/>
          </reference>
        </references>
      </pivotArea>
    </format>
    <format dxfId="191">
      <pivotArea dataOnly="0" labelOnly="1" fieldPosition="0">
        <references count="3">
          <reference field="0" count="1" selected="0">
            <x v="339"/>
          </reference>
          <reference field="9" count="1" selected="0">
            <x v="89"/>
          </reference>
          <reference field="18" count="1">
            <x v="4069"/>
          </reference>
        </references>
      </pivotArea>
    </format>
    <format dxfId="190">
      <pivotArea collapsedLevelsAreSubtotals="1" fieldPosition="0">
        <references count="2">
          <reference field="0" count="1" selected="0">
            <x v="343"/>
          </reference>
          <reference field="9" count="1">
            <x v="73"/>
          </reference>
        </references>
      </pivotArea>
    </format>
    <format dxfId="189">
      <pivotArea collapsedLevelsAreSubtotals="1" fieldPosition="0">
        <references count="3">
          <reference field="0" count="1" selected="0">
            <x v="343"/>
          </reference>
          <reference field="9" count="1" selected="0">
            <x v="73"/>
          </reference>
          <reference field="18" count="1">
            <x v="4120"/>
          </reference>
        </references>
      </pivotArea>
    </format>
    <format dxfId="188">
      <pivotArea collapsedLevelsAreSubtotals="1" fieldPosition="0">
        <references count="2">
          <reference field="0" count="1" selected="0">
            <x v="343"/>
          </reference>
          <reference field="9" count="1">
            <x v="89"/>
          </reference>
        </references>
      </pivotArea>
    </format>
    <format dxfId="187">
      <pivotArea collapsedLevelsAreSubtotals="1" fieldPosition="0">
        <references count="3">
          <reference field="0" count="1" selected="0">
            <x v="343"/>
          </reference>
          <reference field="9" count="1" selected="0">
            <x v="89"/>
          </reference>
          <reference field="18" count="1">
            <x v="4119"/>
          </reference>
        </references>
      </pivotArea>
    </format>
    <format dxfId="186">
      <pivotArea collapsedLevelsAreSubtotals="1" fieldPosition="0">
        <references count="1">
          <reference field="0" count="1">
            <x v="344"/>
          </reference>
        </references>
      </pivotArea>
    </format>
    <format dxfId="185">
      <pivotArea collapsedLevelsAreSubtotals="1" fieldPosition="0">
        <references count="2">
          <reference field="0" count="1" selected="0">
            <x v="344"/>
          </reference>
          <reference field="9" count="1">
            <x v="74"/>
          </reference>
        </references>
      </pivotArea>
    </format>
    <format dxfId="184">
      <pivotArea collapsedLevelsAreSubtotals="1" fieldPosition="0">
        <references count="3">
          <reference field="0" count="1" selected="0">
            <x v="344"/>
          </reference>
          <reference field="9" count="1" selected="0">
            <x v="74"/>
          </reference>
          <reference field="18" count="1">
            <x v="4131"/>
          </reference>
        </references>
      </pivotArea>
    </format>
    <format dxfId="183">
      <pivotArea collapsedLevelsAreSubtotals="1" fieldPosition="0">
        <references count="1">
          <reference field="0" count="1">
            <x v="346"/>
          </reference>
        </references>
      </pivotArea>
    </format>
    <format dxfId="182">
      <pivotArea collapsedLevelsAreSubtotals="1" fieldPosition="0">
        <references count="2">
          <reference field="0" count="1" selected="0">
            <x v="346"/>
          </reference>
          <reference field="9" count="1">
            <x v="32"/>
          </reference>
        </references>
      </pivotArea>
    </format>
    <format dxfId="181">
      <pivotArea collapsedLevelsAreSubtotals="1" fieldPosition="0">
        <references count="3">
          <reference field="0" count="1" selected="0">
            <x v="346"/>
          </reference>
          <reference field="9" count="1" selected="0">
            <x v="32"/>
          </reference>
          <reference field="18" count="1">
            <x v="4152"/>
          </reference>
        </references>
      </pivotArea>
    </format>
    <format dxfId="180">
      <pivotArea collapsedLevelsAreSubtotals="1" fieldPosition="0">
        <references count="2">
          <reference field="0" count="1" selected="0">
            <x v="346"/>
          </reference>
          <reference field="9" count="1">
            <x v="73"/>
          </reference>
        </references>
      </pivotArea>
    </format>
    <format dxfId="179">
      <pivotArea collapsedLevelsAreSubtotals="1" fieldPosition="0">
        <references count="3">
          <reference field="0" count="1" selected="0">
            <x v="346"/>
          </reference>
          <reference field="9" count="1" selected="0">
            <x v="73"/>
          </reference>
          <reference field="18" count="1">
            <x v="4153"/>
          </reference>
        </references>
      </pivotArea>
    </format>
    <format dxfId="178">
      <pivotArea collapsedLevelsAreSubtotals="1" fieldPosition="0">
        <references count="1">
          <reference field="0" count="1">
            <x v="348"/>
          </reference>
        </references>
      </pivotArea>
    </format>
    <format dxfId="177">
      <pivotArea collapsedLevelsAreSubtotals="1" fieldPosition="0">
        <references count="2">
          <reference field="0" count="1" selected="0">
            <x v="348"/>
          </reference>
          <reference field="9" count="1">
            <x v="75"/>
          </reference>
        </references>
      </pivotArea>
    </format>
    <format dxfId="176">
      <pivotArea collapsedLevelsAreSubtotals="1" fieldPosition="0">
        <references count="3">
          <reference field="0" count="1" selected="0">
            <x v="348"/>
          </reference>
          <reference field="9" count="1" selected="0">
            <x v="75"/>
          </reference>
          <reference field="18" count="1">
            <x v="4168"/>
          </reference>
        </references>
      </pivotArea>
    </format>
    <format dxfId="175">
      <pivotArea dataOnly="0" labelOnly="1" fieldPosition="0">
        <references count="1">
          <reference field="0" count="3">
            <x v="344"/>
            <x v="346"/>
            <x v="348"/>
          </reference>
        </references>
      </pivotArea>
    </format>
    <format dxfId="174">
      <pivotArea dataOnly="0" labelOnly="1" fieldPosition="0">
        <references count="2">
          <reference field="0" count="1" selected="0">
            <x v="343"/>
          </reference>
          <reference field="9" count="2">
            <x v="73"/>
            <x v="89"/>
          </reference>
        </references>
      </pivotArea>
    </format>
    <format dxfId="173">
      <pivotArea dataOnly="0" labelOnly="1" fieldPosition="0">
        <references count="2">
          <reference field="0" count="1" selected="0">
            <x v="344"/>
          </reference>
          <reference field="9" count="1">
            <x v="74"/>
          </reference>
        </references>
      </pivotArea>
    </format>
    <format dxfId="172">
      <pivotArea dataOnly="0" labelOnly="1" fieldPosition="0">
        <references count="2">
          <reference field="0" count="1" selected="0">
            <x v="346"/>
          </reference>
          <reference field="9" count="2">
            <x v="32"/>
            <x v="73"/>
          </reference>
        </references>
      </pivotArea>
    </format>
    <format dxfId="171">
      <pivotArea dataOnly="0" labelOnly="1" fieldPosition="0">
        <references count="2">
          <reference field="0" count="1" selected="0">
            <x v="348"/>
          </reference>
          <reference field="9" count="1">
            <x v="75"/>
          </reference>
        </references>
      </pivotArea>
    </format>
    <format dxfId="170">
      <pivotArea dataOnly="0" labelOnly="1" fieldPosition="0">
        <references count="3">
          <reference field="0" count="1" selected="0">
            <x v="343"/>
          </reference>
          <reference field="9" count="1" selected="0">
            <x v="73"/>
          </reference>
          <reference field="18" count="1">
            <x v="4120"/>
          </reference>
        </references>
      </pivotArea>
    </format>
    <format dxfId="169">
      <pivotArea dataOnly="0" labelOnly="1" fieldPosition="0">
        <references count="3">
          <reference field="0" count="1" selected="0">
            <x v="343"/>
          </reference>
          <reference field="9" count="1" selected="0">
            <x v="89"/>
          </reference>
          <reference field="18" count="1">
            <x v="4119"/>
          </reference>
        </references>
      </pivotArea>
    </format>
    <format dxfId="168">
      <pivotArea dataOnly="0" labelOnly="1" fieldPosition="0">
        <references count="3">
          <reference field="0" count="1" selected="0">
            <x v="344"/>
          </reference>
          <reference field="9" count="1" selected="0">
            <x v="74"/>
          </reference>
          <reference field="18" count="1">
            <x v="4131"/>
          </reference>
        </references>
      </pivotArea>
    </format>
    <format dxfId="167">
      <pivotArea dataOnly="0" labelOnly="1" fieldPosition="0">
        <references count="3">
          <reference field="0" count="1" selected="0">
            <x v="346"/>
          </reference>
          <reference field="9" count="1" selected="0">
            <x v="32"/>
          </reference>
          <reference field="18" count="1">
            <x v="4152"/>
          </reference>
        </references>
      </pivotArea>
    </format>
    <format dxfId="166">
      <pivotArea dataOnly="0" labelOnly="1" fieldPosition="0">
        <references count="3">
          <reference field="0" count="1" selected="0">
            <x v="346"/>
          </reference>
          <reference field="9" count="1" selected="0">
            <x v="73"/>
          </reference>
          <reference field="18" count="1">
            <x v="4153"/>
          </reference>
        </references>
      </pivotArea>
    </format>
    <format dxfId="165">
      <pivotArea dataOnly="0" labelOnly="1" fieldPosition="0">
        <references count="3">
          <reference field="0" count="1" selected="0">
            <x v="348"/>
          </reference>
          <reference field="9" count="1" selected="0">
            <x v="75"/>
          </reference>
          <reference field="18" count="1">
            <x v="4168"/>
          </reference>
        </references>
      </pivotArea>
    </format>
    <format dxfId="164">
      <pivotArea collapsedLevelsAreSubtotals="1" fieldPosition="0">
        <references count="1">
          <reference field="0" count="1">
            <x v="353"/>
          </reference>
        </references>
      </pivotArea>
    </format>
    <format dxfId="163">
      <pivotArea collapsedLevelsAreSubtotals="1" fieldPosition="0">
        <references count="2">
          <reference field="0" count="1" selected="0">
            <x v="353"/>
          </reference>
          <reference field="9" count="1">
            <x v="53"/>
          </reference>
        </references>
      </pivotArea>
    </format>
    <format dxfId="162">
      <pivotArea collapsedLevelsAreSubtotals="1" fieldPosition="0">
        <references count="3">
          <reference field="0" count="1" selected="0">
            <x v="353"/>
          </reference>
          <reference field="9" count="1" selected="0">
            <x v="53"/>
          </reference>
          <reference field="18" count="1">
            <x v="4224"/>
          </reference>
        </references>
      </pivotArea>
    </format>
    <format dxfId="161">
      <pivotArea collapsedLevelsAreSubtotals="1" fieldPosition="0">
        <references count="1">
          <reference field="0" count="1">
            <x v="354"/>
          </reference>
        </references>
      </pivotArea>
    </format>
    <format dxfId="160">
      <pivotArea collapsedLevelsAreSubtotals="1" fieldPosition="0">
        <references count="2">
          <reference field="0" count="1" selected="0">
            <x v="354"/>
          </reference>
          <reference field="9" count="1">
            <x v="42"/>
          </reference>
        </references>
      </pivotArea>
    </format>
    <format dxfId="159">
      <pivotArea collapsedLevelsAreSubtotals="1" fieldPosition="0">
        <references count="3">
          <reference field="0" count="1" selected="0">
            <x v="354"/>
          </reference>
          <reference field="9" count="1" selected="0">
            <x v="42"/>
          </reference>
          <reference field="18" count="1">
            <x v="4233"/>
          </reference>
        </references>
      </pivotArea>
    </format>
    <format dxfId="158">
      <pivotArea dataOnly="0" labelOnly="1" fieldPosition="0">
        <references count="1">
          <reference field="0" count="2">
            <x v="353"/>
            <x v="354"/>
          </reference>
        </references>
      </pivotArea>
    </format>
    <format dxfId="157">
      <pivotArea dataOnly="0" labelOnly="1" fieldPosition="0">
        <references count="2">
          <reference field="0" count="1" selected="0">
            <x v="353"/>
          </reference>
          <reference field="9" count="1">
            <x v="53"/>
          </reference>
        </references>
      </pivotArea>
    </format>
    <format dxfId="156">
      <pivotArea dataOnly="0" labelOnly="1" fieldPosition="0">
        <references count="2">
          <reference field="0" count="1" selected="0">
            <x v="354"/>
          </reference>
          <reference field="9" count="1">
            <x v="42"/>
          </reference>
        </references>
      </pivotArea>
    </format>
    <format dxfId="155">
      <pivotArea dataOnly="0" labelOnly="1" fieldPosition="0">
        <references count="3">
          <reference field="0" count="1" selected="0">
            <x v="353"/>
          </reference>
          <reference field="9" count="1" selected="0">
            <x v="53"/>
          </reference>
          <reference field="18" count="1">
            <x v="4224"/>
          </reference>
        </references>
      </pivotArea>
    </format>
    <format dxfId="154">
      <pivotArea dataOnly="0" labelOnly="1" fieldPosition="0">
        <references count="3">
          <reference field="0" count="1" selected="0">
            <x v="354"/>
          </reference>
          <reference field="9" count="1" selected="0">
            <x v="42"/>
          </reference>
          <reference field="18" count="1">
            <x v="4233"/>
          </reference>
        </references>
      </pivotArea>
    </format>
    <format dxfId="153">
      <pivotArea dataOnly="0" labelOnly="1" fieldPosition="0">
        <references count="3">
          <reference field="0" count="1" selected="0">
            <x v="356"/>
          </reference>
          <reference field="9" count="1" selected="0">
            <x v="16"/>
          </reference>
          <reference field="18" count="1">
            <x v="4249"/>
          </reference>
        </references>
      </pivotArea>
    </format>
    <format dxfId="152">
      <pivotArea dataOnly="0" labelOnly="1" fieldPosition="0">
        <references count="3">
          <reference field="0" count="1" selected="0">
            <x v="356"/>
          </reference>
          <reference field="9" count="1" selected="0">
            <x v="73"/>
          </reference>
          <reference field="18" count="1">
            <x v="4250"/>
          </reference>
        </references>
      </pivotArea>
    </format>
    <format dxfId="151">
      <pivotArea dataOnly="0" labelOnly="1" fieldPosition="0">
        <references count="3">
          <reference field="0" count="1" selected="0">
            <x v="359"/>
          </reference>
          <reference field="9" count="1" selected="0">
            <x v="75"/>
          </reference>
          <reference field="18" count="1">
            <x v="4272"/>
          </reference>
        </references>
      </pivotArea>
    </format>
    <format dxfId="150">
      <pivotArea dataOnly="0" labelOnly="1" fieldPosition="0">
        <references count="3">
          <reference field="0" count="1" selected="0">
            <x v="361"/>
          </reference>
          <reference field="9" count="1" selected="0">
            <x v="75"/>
          </reference>
          <reference field="18" count="1">
            <x v="4287"/>
          </reference>
        </references>
      </pivotArea>
    </format>
    <format dxfId="149">
      <pivotArea dataOnly="0" labelOnly="1" fieldPosition="0">
        <references count="3">
          <reference field="0" count="1" selected="0">
            <x v="362"/>
          </reference>
          <reference field="9" count="1" selected="0">
            <x v="89"/>
          </reference>
          <reference field="18" count="1">
            <x v="4293"/>
          </reference>
        </references>
      </pivotArea>
    </format>
    <format dxfId="148">
      <pivotArea dataOnly="0" labelOnly="1" fieldPosition="0">
        <references count="3">
          <reference field="0" count="1" selected="0">
            <x v="363"/>
          </reference>
          <reference field="9" count="1" selected="0">
            <x v="85"/>
          </reference>
          <reference field="18" count="1">
            <x v="4301"/>
          </reference>
        </references>
      </pivotArea>
    </format>
    <format dxfId="147">
      <pivotArea dataOnly="0" labelOnly="1" fieldPosition="0">
        <references count="3">
          <reference field="0" count="1" selected="0">
            <x v="364"/>
          </reference>
          <reference field="9" count="1" selected="0">
            <x v="77"/>
          </reference>
          <reference field="18" count="1">
            <x v="4313"/>
          </reference>
        </references>
      </pivotArea>
    </format>
    <format dxfId="146">
      <pivotArea dataOnly="0" labelOnly="1" fieldPosition="0">
        <references count="3">
          <reference field="0" count="1" selected="0">
            <x v="369"/>
          </reference>
          <reference field="9" count="1" selected="0">
            <x v="73"/>
          </reference>
          <reference field="18" count="1">
            <x v="4365"/>
          </reference>
        </references>
      </pivotArea>
    </format>
    <format dxfId="145">
      <pivotArea dataOnly="0" labelOnly="1" fieldPosition="0">
        <references count="3">
          <reference field="0" count="1" selected="0">
            <x v="371"/>
          </reference>
          <reference field="9" count="1" selected="0">
            <x v="74"/>
          </reference>
          <reference field="18" count="1">
            <x v="4388"/>
          </reference>
        </references>
      </pivotArea>
    </format>
    <format dxfId="144">
      <pivotArea dataOnly="0" labelOnly="1" fieldPosition="0">
        <references count="3">
          <reference field="0" count="1" selected="0">
            <x v="372"/>
          </reference>
          <reference field="9" count="1" selected="0">
            <x v="89"/>
          </reference>
          <reference field="18" count="1">
            <x v="4395"/>
          </reference>
        </references>
      </pivotArea>
    </format>
    <format dxfId="143">
      <pivotArea dataOnly="0" labelOnly="1" fieldPosition="0">
        <references count="3">
          <reference field="0" count="1" selected="0">
            <x v="374"/>
          </reference>
          <reference field="9" count="1" selected="0">
            <x v="16"/>
          </reference>
          <reference field="18" count="1">
            <x v="4418"/>
          </reference>
        </references>
      </pivotArea>
    </format>
    <format dxfId="142">
      <pivotArea collapsedLevelsAreSubtotals="1" fieldPosition="0">
        <references count="3">
          <reference field="0" count="1" selected="0">
            <x v="356"/>
          </reference>
          <reference field="9" count="1" selected="0">
            <x v="73"/>
          </reference>
          <reference field="18" count="1">
            <x v="4250"/>
          </reference>
        </references>
      </pivotArea>
    </format>
    <format dxfId="141">
      <pivotArea collapsedLevelsAreSubtotals="1" fieldPosition="0">
        <references count="1">
          <reference field="0" count="1">
            <x v="359"/>
          </reference>
        </references>
      </pivotArea>
    </format>
    <format dxfId="140">
      <pivotArea collapsedLevelsAreSubtotals="1" fieldPosition="0">
        <references count="2">
          <reference field="0" count="1" selected="0">
            <x v="359"/>
          </reference>
          <reference field="9" count="1">
            <x v="75"/>
          </reference>
        </references>
      </pivotArea>
    </format>
    <format dxfId="139">
      <pivotArea collapsedLevelsAreSubtotals="1" fieldPosition="0">
        <references count="3">
          <reference field="0" count="1" selected="0">
            <x v="359"/>
          </reference>
          <reference field="9" count="1" selected="0">
            <x v="75"/>
          </reference>
          <reference field="18" count="1">
            <x v="4272"/>
          </reference>
        </references>
      </pivotArea>
    </format>
    <format dxfId="138">
      <pivotArea collapsedLevelsAreSubtotals="1" fieldPosition="0">
        <references count="1">
          <reference field="0" count="1">
            <x v="361"/>
          </reference>
        </references>
      </pivotArea>
    </format>
    <format dxfId="137">
      <pivotArea collapsedLevelsAreSubtotals="1" fieldPosition="0">
        <references count="2">
          <reference field="0" count="1" selected="0">
            <x v="361"/>
          </reference>
          <reference field="9" count="1">
            <x v="75"/>
          </reference>
        </references>
      </pivotArea>
    </format>
    <format dxfId="136">
      <pivotArea dataOnly="0" labelOnly="1" fieldPosition="0">
        <references count="1">
          <reference field="0" count="2">
            <x v="359"/>
            <x v="361"/>
          </reference>
        </references>
      </pivotArea>
    </format>
    <format dxfId="135">
      <pivotArea dataOnly="0" labelOnly="1" fieldPosition="0">
        <references count="2">
          <reference field="0" count="1" selected="0">
            <x v="359"/>
          </reference>
          <reference field="9" count="1">
            <x v="75"/>
          </reference>
        </references>
      </pivotArea>
    </format>
    <format dxfId="134">
      <pivotArea dataOnly="0" labelOnly="1" fieldPosition="0">
        <references count="2">
          <reference field="0" count="1" selected="0">
            <x v="361"/>
          </reference>
          <reference field="9" count="1">
            <x v="75"/>
          </reference>
        </references>
      </pivotArea>
    </format>
    <format dxfId="133">
      <pivotArea dataOnly="0" labelOnly="1" fieldPosition="0">
        <references count="3">
          <reference field="0" count="1" selected="0">
            <x v="356"/>
          </reference>
          <reference field="9" count="1" selected="0">
            <x v="73"/>
          </reference>
          <reference field="18" count="1">
            <x v="4250"/>
          </reference>
        </references>
      </pivotArea>
    </format>
    <format dxfId="132">
      <pivotArea dataOnly="0" labelOnly="1" fieldPosition="0">
        <references count="3">
          <reference field="0" count="1" selected="0">
            <x v="359"/>
          </reference>
          <reference field="9" count="1" selected="0">
            <x v="75"/>
          </reference>
          <reference field="18" count="1">
            <x v="4272"/>
          </reference>
        </references>
      </pivotArea>
    </format>
    <format dxfId="131">
      <pivotArea collapsedLevelsAreSubtotals="1" fieldPosition="0">
        <references count="2">
          <reference field="0" count="1" selected="0">
            <x v="362"/>
          </reference>
          <reference field="9" count="1">
            <x v="89"/>
          </reference>
        </references>
      </pivotArea>
    </format>
    <format dxfId="130">
      <pivotArea collapsedLevelsAreSubtotals="1" fieldPosition="0">
        <references count="3">
          <reference field="0" count="1" selected="0">
            <x v="362"/>
          </reference>
          <reference field="9" count="1" selected="0">
            <x v="89"/>
          </reference>
          <reference field="18" count="1">
            <x v="4293"/>
          </reference>
        </references>
      </pivotArea>
    </format>
    <format dxfId="129">
      <pivotArea dataOnly="0" labelOnly="1" fieldPosition="0">
        <references count="2">
          <reference field="0" count="1" selected="0">
            <x v="362"/>
          </reference>
          <reference field="9" count="1">
            <x v="89"/>
          </reference>
        </references>
      </pivotArea>
    </format>
    <format dxfId="128">
      <pivotArea dataOnly="0" labelOnly="1" fieldPosition="0">
        <references count="3">
          <reference field="0" count="1" selected="0">
            <x v="362"/>
          </reference>
          <reference field="9" count="1" selected="0">
            <x v="89"/>
          </reference>
          <reference field="18" count="1">
            <x v="4293"/>
          </reference>
        </references>
      </pivotArea>
    </format>
    <format dxfId="127">
      <pivotArea collapsedLevelsAreSubtotals="1" fieldPosition="0">
        <references count="1">
          <reference field="0" count="1">
            <x v="363"/>
          </reference>
        </references>
      </pivotArea>
    </format>
    <format dxfId="126">
      <pivotArea collapsedLevelsAreSubtotals="1" fieldPosition="0">
        <references count="2">
          <reference field="0" count="1" selected="0">
            <x v="363"/>
          </reference>
          <reference field="9" count="1">
            <x v="85"/>
          </reference>
        </references>
      </pivotArea>
    </format>
    <format dxfId="125">
      <pivotArea collapsedLevelsAreSubtotals="1" fieldPosition="0">
        <references count="3">
          <reference field="0" count="1" selected="0">
            <x v="363"/>
          </reference>
          <reference field="9" count="1" selected="0">
            <x v="85"/>
          </reference>
          <reference field="18" count="1">
            <x v="4301"/>
          </reference>
        </references>
      </pivotArea>
    </format>
    <format dxfId="124">
      <pivotArea dataOnly="0" labelOnly="1" fieldPosition="0">
        <references count="1">
          <reference field="0" count="1">
            <x v="363"/>
          </reference>
        </references>
      </pivotArea>
    </format>
    <format dxfId="123">
      <pivotArea dataOnly="0" labelOnly="1" fieldPosition="0">
        <references count="2">
          <reference field="0" count="1" selected="0">
            <x v="363"/>
          </reference>
          <reference field="9" count="1">
            <x v="85"/>
          </reference>
        </references>
      </pivotArea>
    </format>
    <format dxfId="122">
      <pivotArea dataOnly="0" labelOnly="1" fieldPosition="0">
        <references count="3">
          <reference field="0" count="1" selected="0">
            <x v="363"/>
          </reference>
          <reference field="9" count="1" selected="0">
            <x v="85"/>
          </reference>
          <reference field="18" count="1">
            <x v="4301"/>
          </reference>
        </references>
      </pivotArea>
    </format>
    <format dxfId="121">
      <pivotArea collapsedLevelsAreSubtotals="1" fieldPosition="0">
        <references count="1">
          <reference field="0" count="1">
            <x v="364"/>
          </reference>
        </references>
      </pivotArea>
    </format>
    <format dxfId="120">
      <pivotArea collapsedLevelsAreSubtotals="1" fieldPosition="0">
        <references count="2">
          <reference field="0" count="1" selected="0">
            <x v="364"/>
          </reference>
          <reference field="9" count="1">
            <x v="77"/>
          </reference>
        </references>
      </pivotArea>
    </format>
    <format dxfId="119">
      <pivotArea collapsedLevelsAreSubtotals="1" fieldPosition="0">
        <references count="3">
          <reference field="0" count="1" selected="0">
            <x v="364"/>
          </reference>
          <reference field="9" count="1" selected="0">
            <x v="77"/>
          </reference>
          <reference field="18" count="1">
            <x v="4313"/>
          </reference>
        </references>
      </pivotArea>
    </format>
    <format dxfId="118">
      <pivotArea dataOnly="0" labelOnly="1" fieldPosition="0">
        <references count="1">
          <reference field="0" count="1">
            <x v="364"/>
          </reference>
        </references>
      </pivotArea>
    </format>
    <format dxfId="117">
      <pivotArea dataOnly="0" labelOnly="1" fieldPosition="0">
        <references count="2">
          <reference field="0" count="1" selected="0">
            <x v="364"/>
          </reference>
          <reference field="9" count="1">
            <x v="77"/>
          </reference>
        </references>
      </pivotArea>
    </format>
    <format dxfId="116">
      <pivotArea dataOnly="0" labelOnly="1" fieldPosition="0">
        <references count="3">
          <reference field="0" count="1" selected="0">
            <x v="364"/>
          </reference>
          <reference field="9" count="1" selected="0">
            <x v="77"/>
          </reference>
          <reference field="18" count="1">
            <x v="4313"/>
          </reference>
        </references>
      </pivotArea>
    </format>
    <format dxfId="115">
      <pivotArea collapsedLevelsAreSubtotals="1" fieldPosition="0">
        <references count="1">
          <reference field="0" count="1">
            <x v="369"/>
          </reference>
        </references>
      </pivotArea>
    </format>
    <format dxfId="114">
      <pivotArea collapsedLevelsAreSubtotals="1" fieldPosition="0">
        <references count="2">
          <reference field="0" count="1" selected="0">
            <x v="369"/>
          </reference>
          <reference field="9" count="1">
            <x v="73"/>
          </reference>
        </references>
      </pivotArea>
    </format>
    <format dxfId="113">
      <pivotArea collapsedLevelsAreSubtotals="1" fieldPosition="0">
        <references count="3">
          <reference field="0" count="1" selected="0">
            <x v="369"/>
          </reference>
          <reference field="9" count="1" selected="0">
            <x v="73"/>
          </reference>
          <reference field="18" count="1">
            <x v="4365"/>
          </reference>
        </references>
      </pivotArea>
    </format>
    <format dxfId="112">
      <pivotArea dataOnly="0" labelOnly="1" fieldPosition="0">
        <references count="1">
          <reference field="0" count="1">
            <x v="369"/>
          </reference>
        </references>
      </pivotArea>
    </format>
    <format dxfId="111">
      <pivotArea dataOnly="0" labelOnly="1" fieldPosition="0">
        <references count="2">
          <reference field="0" count="1" selected="0">
            <x v="369"/>
          </reference>
          <reference field="9" count="1">
            <x v="73"/>
          </reference>
        </references>
      </pivotArea>
    </format>
    <format dxfId="110">
      <pivotArea dataOnly="0" labelOnly="1" fieldPosition="0">
        <references count="3">
          <reference field="0" count="1" selected="0">
            <x v="369"/>
          </reference>
          <reference field="9" count="1" selected="0">
            <x v="73"/>
          </reference>
          <reference field="18" count="1">
            <x v="4365"/>
          </reference>
        </references>
      </pivotArea>
    </format>
    <format dxfId="109">
      <pivotArea collapsedLevelsAreSubtotals="1" fieldPosition="0">
        <references count="3">
          <reference field="0" count="1" selected="0">
            <x v="361"/>
          </reference>
          <reference field="9" count="1" selected="0">
            <x v="75"/>
          </reference>
          <reference field="18" count="1">
            <x v="4287"/>
          </reference>
        </references>
      </pivotArea>
    </format>
    <format dxfId="108">
      <pivotArea collapsedLevelsAreSubtotals="1" fieldPosition="0">
        <references count="1">
          <reference field="0" count="1">
            <x v="362"/>
          </reference>
        </references>
      </pivotArea>
    </format>
    <format dxfId="107">
      <pivotArea dataOnly="0" labelOnly="1" fieldPosition="0">
        <references count="1">
          <reference field="0" count="1">
            <x v="362"/>
          </reference>
        </references>
      </pivotArea>
    </format>
    <format dxfId="106">
      <pivotArea dataOnly="0" labelOnly="1" fieldPosition="0">
        <references count="3">
          <reference field="0" count="1" selected="0">
            <x v="361"/>
          </reference>
          <reference field="9" count="1" selected="0">
            <x v="75"/>
          </reference>
          <reference field="18" count="1">
            <x v="4287"/>
          </reference>
        </references>
      </pivotArea>
    </format>
    <format dxfId="105">
      <pivotArea collapsedLevelsAreSubtotals="1" fieldPosition="0">
        <references count="1">
          <reference field="0" count="1">
            <x v="371"/>
          </reference>
        </references>
      </pivotArea>
    </format>
    <format dxfId="104">
      <pivotArea collapsedLevelsAreSubtotals="1" fieldPosition="0">
        <references count="2">
          <reference field="0" count="1" selected="0">
            <x v="371"/>
          </reference>
          <reference field="9" count="1">
            <x v="74"/>
          </reference>
        </references>
      </pivotArea>
    </format>
    <format dxfId="103">
      <pivotArea collapsedLevelsAreSubtotals="1" fieldPosition="0">
        <references count="3">
          <reference field="0" count="1" selected="0">
            <x v="371"/>
          </reference>
          <reference field="9" count="1" selected="0">
            <x v="74"/>
          </reference>
          <reference field="18" count="1">
            <x v="4388"/>
          </reference>
        </references>
      </pivotArea>
    </format>
    <format dxfId="102">
      <pivotArea collapsedLevelsAreSubtotals="1" fieldPosition="0">
        <references count="1">
          <reference field="0" count="1">
            <x v="372"/>
          </reference>
        </references>
      </pivotArea>
    </format>
    <format dxfId="101">
      <pivotArea collapsedLevelsAreSubtotals="1" fieldPosition="0">
        <references count="2">
          <reference field="0" count="1" selected="0">
            <x v="372"/>
          </reference>
          <reference field="9" count="1">
            <x v="89"/>
          </reference>
        </references>
      </pivotArea>
    </format>
    <format dxfId="100">
      <pivotArea collapsedLevelsAreSubtotals="1" fieldPosition="0">
        <references count="3">
          <reference field="0" count="1" selected="0">
            <x v="372"/>
          </reference>
          <reference field="9" count="1" selected="0">
            <x v="89"/>
          </reference>
          <reference field="18" count="1">
            <x v="4395"/>
          </reference>
        </references>
      </pivotArea>
    </format>
    <format dxfId="99">
      <pivotArea dataOnly="0" labelOnly="1" fieldPosition="0">
        <references count="1">
          <reference field="0" count="2">
            <x v="371"/>
            <x v="372"/>
          </reference>
        </references>
      </pivotArea>
    </format>
    <format dxfId="98">
      <pivotArea dataOnly="0" labelOnly="1" fieldPosition="0">
        <references count="2">
          <reference field="0" count="1" selected="0">
            <x v="371"/>
          </reference>
          <reference field="9" count="1">
            <x v="74"/>
          </reference>
        </references>
      </pivotArea>
    </format>
    <format dxfId="97">
      <pivotArea dataOnly="0" labelOnly="1" fieldPosition="0">
        <references count="2">
          <reference field="0" count="1" selected="0">
            <x v="372"/>
          </reference>
          <reference field="9" count="1">
            <x v="89"/>
          </reference>
        </references>
      </pivotArea>
    </format>
    <format dxfId="96">
      <pivotArea dataOnly="0" labelOnly="1" fieldPosition="0">
        <references count="3">
          <reference field="0" count="1" selected="0">
            <x v="371"/>
          </reference>
          <reference field="9" count="1" selected="0">
            <x v="74"/>
          </reference>
          <reference field="18" count="1">
            <x v="4388"/>
          </reference>
        </references>
      </pivotArea>
    </format>
    <format dxfId="95">
      <pivotArea dataOnly="0" labelOnly="1" fieldPosition="0">
        <references count="3">
          <reference field="0" count="1" selected="0">
            <x v="372"/>
          </reference>
          <reference field="9" count="1" selected="0">
            <x v="89"/>
          </reference>
          <reference field="18" count="1">
            <x v="4395"/>
          </reference>
        </references>
      </pivotArea>
    </format>
    <format dxfId="94">
      <pivotArea collapsedLevelsAreSubtotals="1" fieldPosition="0">
        <references count="1">
          <reference field="0" count="1">
            <x v="374"/>
          </reference>
        </references>
      </pivotArea>
    </format>
    <format dxfId="93">
      <pivotArea collapsedLevelsAreSubtotals="1" fieldPosition="0">
        <references count="2">
          <reference field="0" count="1" selected="0">
            <x v="374"/>
          </reference>
          <reference field="9" count="1">
            <x v="16"/>
          </reference>
        </references>
      </pivotArea>
    </format>
    <format dxfId="92">
      <pivotArea collapsedLevelsAreSubtotals="1" fieldPosition="0">
        <references count="3">
          <reference field="0" count="1" selected="0">
            <x v="374"/>
          </reference>
          <reference field="9" count="1" selected="0">
            <x v="16"/>
          </reference>
          <reference field="18" count="1">
            <x v="4418"/>
          </reference>
        </references>
      </pivotArea>
    </format>
    <format dxfId="91">
      <pivotArea collapsedLevelsAreSubtotals="1" fieldPosition="0">
        <references count="1">
          <reference field="0" count="1">
            <x v="375"/>
          </reference>
        </references>
      </pivotArea>
    </format>
    <format dxfId="90">
      <pivotArea collapsedLevelsAreSubtotals="1" fieldPosition="0">
        <references count="2">
          <reference field="0" count="1" selected="0">
            <x v="375"/>
          </reference>
          <reference field="9" count="1">
            <x v="10"/>
          </reference>
        </references>
      </pivotArea>
    </format>
    <format dxfId="89">
      <pivotArea dataOnly="0" labelOnly="1" fieldPosition="0">
        <references count="1">
          <reference field="0" count="2">
            <x v="374"/>
            <x v="375"/>
          </reference>
        </references>
      </pivotArea>
    </format>
    <format dxfId="88">
      <pivotArea dataOnly="0" labelOnly="1" fieldPosition="0">
        <references count="2">
          <reference field="0" count="1" selected="0">
            <x v="374"/>
          </reference>
          <reference field="9" count="1">
            <x v="16"/>
          </reference>
        </references>
      </pivotArea>
    </format>
    <format dxfId="87">
      <pivotArea dataOnly="0" labelOnly="1" fieldPosition="0">
        <references count="2">
          <reference field="0" count="1" selected="0">
            <x v="375"/>
          </reference>
          <reference field="9" count="1">
            <x v="10"/>
          </reference>
        </references>
      </pivotArea>
    </format>
    <format dxfId="86">
      <pivotArea dataOnly="0" labelOnly="1" fieldPosition="0">
        <references count="3">
          <reference field="0" count="1" selected="0">
            <x v="374"/>
          </reference>
          <reference field="9" count="1" selected="0">
            <x v="16"/>
          </reference>
          <reference field="18" count="1">
            <x v="4418"/>
          </reference>
        </references>
      </pivotArea>
    </format>
    <format dxfId="85">
      <pivotArea collapsedLevelsAreSubtotals="1" fieldPosition="0">
        <references count="1">
          <reference field="0" count="1">
            <x v="356"/>
          </reference>
        </references>
      </pivotArea>
    </format>
    <format dxfId="84">
      <pivotArea collapsedLevelsAreSubtotals="1" fieldPosition="0">
        <references count="2">
          <reference field="0" count="1" selected="0">
            <x v="356"/>
          </reference>
          <reference field="9" count="1">
            <x v="16"/>
          </reference>
        </references>
      </pivotArea>
    </format>
    <format dxfId="83">
      <pivotArea collapsedLevelsAreSubtotals="1" fieldPosition="0">
        <references count="3">
          <reference field="0" count="1" selected="0">
            <x v="356"/>
          </reference>
          <reference field="9" count="1" selected="0">
            <x v="16"/>
          </reference>
          <reference field="18" count="1">
            <x v="4249"/>
          </reference>
        </references>
      </pivotArea>
    </format>
    <format dxfId="82">
      <pivotArea collapsedLevelsAreSubtotals="1" fieldPosition="0">
        <references count="2">
          <reference field="0" count="1" selected="0">
            <x v="356"/>
          </reference>
          <reference field="9" count="1">
            <x v="73"/>
          </reference>
        </references>
      </pivotArea>
    </format>
    <format dxfId="81">
      <pivotArea dataOnly="0" labelOnly="1" fieldPosition="0">
        <references count="1">
          <reference field="0" count="1">
            <x v="356"/>
          </reference>
        </references>
      </pivotArea>
    </format>
    <format dxfId="80">
      <pivotArea dataOnly="0" labelOnly="1" fieldPosition="0">
        <references count="2">
          <reference field="0" count="1" selected="0">
            <x v="356"/>
          </reference>
          <reference field="9" count="2">
            <x v="16"/>
            <x v="73"/>
          </reference>
        </references>
      </pivotArea>
    </format>
    <format dxfId="79">
      <pivotArea dataOnly="0" labelOnly="1" fieldPosition="0">
        <references count="3">
          <reference field="0" count="1" selected="0">
            <x v="356"/>
          </reference>
          <reference field="9" count="1" selected="0">
            <x v="16"/>
          </reference>
          <reference field="18" count="1">
            <x v="4249"/>
          </reference>
        </references>
      </pivotArea>
    </format>
    <format dxfId="78">
      <pivotArea collapsedLevelsAreSubtotals="1" fieldPosition="0">
        <references count="3">
          <reference field="0" count="1" selected="0">
            <x v="375"/>
          </reference>
          <reference field="9" count="1" selected="0">
            <x v="10"/>
          </reference>
          <reference field="18" count="1">
            <x v="4430"/>
          </reference>
        </references>
      </pivotArea>
    </format>
    <format dxfId="77">
      <pivotArea collapsedLevelsAreSubtotals="1" fieldPosition="0">
        <references count="2">
          <reference field="0" count="1" selected="0">
            <x v="375"/>
          </reference>
          <reference field="9" count="1">
            <x v="42"/>
          </reference>
        </references>
      </pivotArea>
    </format>
    <format dxfId="76">
      <pivotArea collapsedLevelsAreSubtotals="1" fieldPosition="0">
        <references count="3">
          <reference field="0" count="1" selected="0">
            <x v="375"/>
          </reference>
          <reference field="9" count="1" selected="0">
            <x v="42"/>
          </reference>
          <reference field="18" count="1">
            <x v="4429"/>
          </reference>
        </references>
      </pivotArea>
    </format>
    <format dxfId="75">
      <pivotArea collapsedLevelsAreSubtotals="1" fieldPosition="0">
        <references count="2">
          <reference field="0" count="1" selected="0">
            <x v="375"/>
          </reference>
          <reference field="9" count="1">
            <x v="98"/>
          </reference>
        </references>
      </pivotArea>
    </format>
    <format dxfId="74">
      <pivotArea collapsedLevelsAreSubtotals="1" fieldPosition="0">
        <references count="3">
          <reference field="0" count="1" selected="0">
            <x v="375"/>
          </reference>
          <reference field="9" count="1" selected="0">
            <x v="98"/>
          </reference>
          <reference field="18" count="1">
            <x v="4431"/>
          </reference>
        </references>
      </pivotArea>
    </format>
    <format dxfId="73">
      <pivotArea collapsedLevelsAreSubtotals="1" fieldPosition="0">
        <references count="1">
          <reference field="0" count="1">
            <x v="376"/>
          </reference>
        </references>
      </pivotArea>
    </format>
    <format dxfId="72">
      <pivotArea collapsedLevelsAreSubtotals="1" fieldPosition="0">
        <references count="2">
          <reference field="0" count="1" selected="0">
            <x v="376"/>
          </reference>
          <reference field="9" count="1">
            <x v="32"/>
          </reference>
        </references>
      </pivotArea>
    </format>
    <format dxfId="71">
      <pivotArea collapsedLevelsAreSubtotals="1" fieldPosition="0">
        <references count="3">
          <reference field="0" count="1" selected="0">
            <x v="376"/>
          </reference>
          <reference field="9" count="1" selected="0">
            <x v="32"/>
          </reference>
          <reference field="18" count="1">
            <x v="4448"/>
          </reference>
        </references>
      </pivotArea>
    </format>
    <format dxfId="70">
      <pivotArea dataOnly="0" labelOnly="1" fieldPosition="0">
        <references count="1">
          <reference field="0" count="1">
            <x v="376"/>
          </reference>
        </references>
      </pivotArea>
    </format>
    <format dxfId="69">
      <pivotArea dataOnly="0" labelOnly="1" fieldPosition="0">
        <references count="2">
          <reference field="0" count="1" selected="0">
            <x v="375"/>
          </reference>
          <reference field="9" count="2">
            <x v="42"/>
            <x v="98"/>
          </reference>
        </references>
      </pivotArea>
    </format>
    <format dxfId="68">
      <pivotArea dataOnly="0" labelOnly="1" fieldPosition="0">
        <references count="2">
          <reference field="0" count="1" selected="0">
            <x v="376"/>
          </reference>
          <reference field="9" count="1">
            <x v="32"/>
          </reference>
        </references>
      </pivotArea>
    </format>
    <format dxfId="67">
      <pivotArea dataOnly="0" labelOnly="1" fieldPosition="0">
        <references count="3">
          <reference field="0" count="1" selected="0">
            <x v="375"/>
          </reference>
          <reference field="9" count="1" selected="0">
            <x v="10"/>
          </reference>
          <reference field="18" count="1">
            <x v="4430"/>
          </reference>
        </references>
      </pivotArea>
    </format>
    <format dxfId="66">
      <pivotArea dataOnly="0" labelOnly="1" fieldPosition="0">
        <references count="3">
          <reference field="0" count="1" selected="0">
            <x v="375"/>
          </reference>
          <reference field="9" count="1" selected="0">
            <x v="42"/>
          </reference>
          <reference field="18" count="1">
            <x v="4429"/>
          </reference>
        </references>
      </pivotArea>
    </format>
    <format dxfId="65">
      <pivotArea dataOnly="0" labelOnly="1" fieldPosition="0">
        <references count="3">
          <reference field="0" count="1" selected="0">
            <x v="375"/>
          </reference>
          <reference field="9" count="1" selected="0">
            <x v="98"/>
          </reference>
          <reference field="18" count="1">
            <x v="4431"/>
          </reference>
        </references>
      </pivotArea>
    </format>
    <format dxfId="64">
      <pivotArea dataOnly="0" labelOnly="1" fieldPosition="0">
        <references count="3">
          <reference field="0" count="1" selected="0">
            <x v="376"/>
          </reference>
          <reference field="9" count="1" selected="0">
            <x v="32"/>
          </reference>
          <reference field="18" count="1">
            <x v="4448"/>
          </reference>
        </references>
      </pivotArea>
    </format>
    <format dxfId="63">
      <pivotArea collapsedLevelsAreSubtotals="1" fieldPosition="0">
        <references count="1">
          <reference field="0" count="1">
            <x v="377"/>
          </reference>
        </references>
      </pivotArea>
    </format>
    <format dxfId="62">
      <pivotArea collapsedLevelsAreSubtotals="1" fieldPosition="0">
        <references count="2">
          <reference field="0" count="1" selected="0">
            <x v="377"/>
          </reference>
          <reference field="9" count="1">
            <x v="10"/>
          </reference>
        </references>
      </pivotArea>
    </format>
    <format dxfId="61">
      <pivotArea collapsedLevelsAreSubtotals="1" fieldPosition="0">
        <references count="3">
          <reference field="0" count="1" selected="0">
            <x v="377"/>
          </reference>
          <reference field="9" count="1" selected="0">
            <x v="10"/>
          </reference>
          <reference field="18" count="1">
            <x v="4455"/>
          </reference>
        </references>
      </pivotArea>
    </format>
    <format dxfId="60">
      <pivotArea collapsedLevelsAreSubtotals="1" fieldPosition="0">
        <references count="1">
          <reference field="0" count="1">
            <x v="380"/>
          </reference>
        </references>
      </pivotArea>
    </format>
    <format dxfId="59">
      <pivotArea collapsedLevelsAreSubtotals="1" fieldPosition="0">
        <references count="2">
          <reference field="0" count="1" selected="0">
            <x v="380"/>
          </reference>
          <reference field="9" count="1">
            <x v="75"/>
          </reference>
        </references>
      </pivotArea>
    </format>
    <format dxfId="58">
      <pivotArea collapsedLevelsAreSubtotals="1" fieldPosition="0">
        <references count="3">
          <reference field="0" count="1" selected="0">
            <x v="380"/>
          </reference>
          <reference field="9" count="1" selected="0">
            <x v="75"/>
          </reference>
          <reference field="18" count="1">
            <x v="4484"/>
          </reference>
        </references>
      </pivotArea>
    </format>
    <format dxfId="57">
      <pivotArea collapsedLevelsAreSubtotals="1" fieldPosition="0">
        <references count="2">
          <reference field="0" count="1" selected="0">
            <x v="380"/>
          </reference>
          <reference field="9" count="1">
            <x v="99"/>
          </reference>
        </references>
      </pivotArea>
    </format>
    <format dxfId="56">
      <pivotArea collapsedLevelsAreSubtotals="1" fieldPosition="0">
        <references count="3">
          <reference field="0" count="1" selected="0">
            <x v="380"/>
          </reference>
          <reference field="9" count="1" selected="0">
            <x v="99"/>
          </reference>
          <reference field="18" count="1">
            <x v="4485"/>
          </reference>
        </references>
      </pivotArea>
    </format>
    <format dxfId="55">
      <pivotArea collapsedLevelsAreSubtotals="1" fieldPosition="0">
        <references count="1">
          <reference field="0" count="1">
            <x v="381"/>
          </reference>
        </references>
      </pivotArea>
    </format>
    <format dxfId="54">
      <pivotArea collapsedLevelsAreSubtotals="1" fieldPosition="0">
        <references count="2">
          <reference field="0" count="1" selected="0">
            <x v="381"/>
          </reference>
          <reference field="9" count="1">
            <x v="89"/>
          </reference>
        </references>
      </pivotArea>
    </format>
    <format dxfId="53">
      <pivotArea collapsedLevelsAreSubtotals="1" fieldPosition="0">
        <references count="3">
          <reference field="0" count="1" selected="0">
            <x v="381"/>
          </reference>
          <reference field="9" count="1" selected="0">
            <x v="89"/>
          </reference>
          <reference field="18" count="1">
            <x v="4498"/>
          </reference>
        </references>
      </pivotArea>
    </format>
    <format dxfId="52">
      <pivotArea dataOnly="0" labelOnly="1" fieldPosition="0">
        <references count="1">
          <reference field="0" count="3">
            <x v="377"/>
            <x v="380"/>
            <x v="381"/>
          </reference>
        </references>
      </pivotArea>
    </format>
    <format dxfId="51">
      <pivotArea dataOnly="0" labelOnly="1" fieldPosition="0">
        <references count="2">
          <reference field="0" count="1" selected="0">
            <x v="377"/>
          </reference>
          <reference field="9" count="1">
            <x v="10"/>
          </reference>
        </references>
      </pivotArea>
    </format>
    <format dxfId="50">
      <pivotArea dataOnly="0" labelOnly="1" fieldPosition="0">
        <references count="2">
          <reference field="0" count="1" selected="0">
            <x v="380"/>
          </reference>
          <reference field="9" count="2">
            <x v="75"/>
            <x v="99"/>
          </reference>
        </references>
      </pivotArea>
    </format>
    <format dxfId="49">
      <pivotArea dataOnly="0" labelOnly="1" fieldPosition="0">
        <references count="2">
          <reference field="0" count="1" selected="0">
            <x v="381"/>
          </reference>
          <reference field="9" count="1">
            <x v="89"/>
          </reference>
        </references>
      </pivotArea>
    </format>
    <format dxfId="48">
      <pivotArea dataOnly="0" labelOnly="1" fieldPosition="0">
        <references count="3">
          <reference field="0" count="1" selected="0">
            <x v="377"/>
          </reference>
          <reference field="9" count="1" selected="0">
            <x v="10"/>
          </reference>
          <reference field="18" count="1">
            <x v="4455"/>
          </reference>
        </references>
      </pivotArea>
    </format>
    <format dxfId="47">
      <pivotArea dataOnly="0" labelOnly="1" fieldPosition="0">
        <references count="3">
          <reference field="0" count="1" selected="0">
            <x v="380"/>
          </reference>
          <reference field="9" count="1" selected="0">
            <x v="75"/>
          </reference>
          <reference field="18" count="1">
            <x v="4484"/>
          </reference>
        </references>
      </pivotArea>
    </format>
    <format dxfId="46">
      <pivotArea dataOnly="0" labelOnly="1" fieldPosition="0">
        <references count="3">
          <reference field="0" count="1" selected="0">
            <x v="380"/>
          </reference>
          <reference field="9" count="1" selected="0">
            <x v="99"/>
          </reference>
          <reference field="18" count="1">
            <x v="4485"/>
          </reference>
        </references>
      </pivotArea>
    </format>
    <format dxfId="45">
      <pivotArea dataOnly="0" labelOnly="1" fieldPosition="0">
        <references count="3">
          <reference field="0" count="1" selected="0">
            <x v="381"/>
          </reference>
          <reference field="9" count="1" selected="0">
            <x v="89"/>
          </reference>
          <reference field="18" count="1">
            <x v="4498"/>
          </reference>
        </references>
      </pivotArea>
    </format>
    <format dxfId="44">
      <pivotArea collapsedLevelsAreSubtotals="1" fieldPosition="0">
        <references count="1">
          <reference field="0" count="1">
            <x v="383"/>
          </reference>
        </references>
      </pivotArea>
    </format>
    <format dxfId="43">
      <pivotArea collapsedLevelsAreSubtotals="1" fieldPosition="0">
        <references count="2">
          <reference field="0" count="1" selected="0">
            <x v="383"/>
          </reference>
          <reference field="9" count="1">
            <x v="36"/>
          </reference>
        </references>
      </pivotArea>
    </format>
    <format dxfId="42">
      <pivotArea collapsedLevelsAreSubtotals="1" fieldPosition="0">
        <references count="3">
          <reference field="0" count="1" selected="0">
            <x v="383"/>
          </reference>
          <reference field="9" count="1" selected="0">
            <x v="36"/>
          </reference>
          <reference field="18" count="1">
            <x v="4515"/>
          </reference>
        </references>
      </pivotArea>
    </format>
    <format dxfId="41">
      <pivotArea collapsedLevelsAreSubtotals="1" fieldPosition="0">
        <references count="2">
          <reference field="0" count="1" selected="0">
            <x v="383"/>
          </reference>
          <reference field="9" count="1">
            <x v="73"/>
          </reference>
        </references>
      </pivotArea>
    </format>
    <format dxfId="40">
      <pivotArea collapsedLevelsAreSubtotals="1" fieldPosition="0">
        <references count="3">
          <reference field="0" count="1" selected="0">
            <x v="383"/>
          </reference>
          <reference field="9" count="1" selected="0">
            <x v="73"/>
          </reference>
          <reference field="18" count="1">
            <x v="4516"/>
          </reference>
        </references>
      </pivotArea>
    </format>
    <format dxfId="39">
      <pivotArea collapsedLevelsAreSubtotals="1" fieldPosition="0">
        <references count="1">
          <reference field="0" count="1">
            <x v="384"/>
          </reference>
        </references>
      </pivotArea>
    </format>
    <format dxfId="38">
      <pivotArea collapsedLevelsAreSubtotals="1" fieldPosition="0">
        <references count="2">
          <reference field="0" count="1" selected="0">
            <x v="384"/>
          </reference>
          <reference field="9" count="1">
            <x v="74"/>
          </reference>
        </references>
      </pivotArea>
    </format>
    <format dxfId="37">
      <pivotArea collapsedLevelsAreSubtotals="1" fieldPosition="0">
        <references count="3">
          <reference field="0" count="1" selected="0">
            <x v="384"/>
          </reference>
          <reference field="9" count="1" selected="0">
            <x v="74"/>
          </reference>
          <reference field="18" count="1">
            <x v="4527"/>
          </reference>
        </references>
      </pivotArea>
    </format>
    <format dxfId="36">
      <pivotArea dataOnly="0" labelOnly="1" fieldPosition="0">
        <references count="1">
          <reference field="0" count="2">
            <x v="383"/>
            <x v="384"/>
          </reference>
        </references>
      </pivotArea>
    </format>
    <format dxfId="35">
      <pivotArea dataOnly="0" labelOnly="1" fieldPosition="0">
        <references count="2">
          <reference field="0" count="1" selected="0">
            <x v="383"/>
          </reference>
          <reference field="9" count="2">
            <x v="36"/>
            <x v="73"/>
          </reference>
        </references>
      </pivotArea>
    </format>
    <format dxfId="34">
      <pivotArea dataOnly="0" labelOnly="1" fieldPosition="0">
        <references count="2">
          <reference field="0" count="1" selected="0">
            <x v="384"/>
          </reference>
          <reference field="9" count="1">
            <x v="74"/>
          </reference>
        </references>
      </pivotArea>
    </format>
    <format dxfId="33">
      <pivotArea dataOnly="0" labelOnly="1" fieldPosition="0">
        <references count="3">
          <reference field="0" count="1" selected="0">
            <x v="383"/>
          </reference>
          <reference field="9" count="1" selected="0">
            <x v="36"/>
          </reference>
          <reference field="18" count="1">
            <x v="4515"/>
          </reference>
        </references>
      </pivotArea>
    </format>
    <format dxfId="32">
      <pivotArea dataOnly="0" labelOnly="1" fieldPosition="0">
        <references count="3">
          <reference field="0" count="1" selected="0">
            <x v="383"/>
          </reference>
          <reference field="9" count="1" selected="0">
            <x v="73"/>
          </reference>
          <reference field="18" count="1">
            <x v="4516"/>
          </reference>
        </references>
      </pivotArea>
    </format>
    <format dxfId="31">
      <pivotArea dataOnly="0" labelOnly="1" fieldPosition="0">
        <references count="3">
          <reference field="0" count="1" selected="0">
            <x v="384"/>
          </reference>
          <reference field="9" count="1" selected="0">
            <x v="74"/>
          </reference>
          <reference field="18" count="1">
            <x v="4527"/>
          </reference>
        </references>
      </pivotArea>
    </format>
    <format dxfId="30">
      <pivotArea collapsedLevelsAreSubtotals="1" fieldPosition="0">
        <references count="1">
          <reference field="0" count="1">
            <x v="388"/>
          </reference>
        </references>
      </pivotArea>
    </format>
    <format dxfId="29">
      <pivotArea collapsedLevelsAreSubtotals="1" fieldPosition="0">
        <references count="2">
          <reference field="0" count="1" selected="0">
            <x v="388"/>
          </reference>
          <reference field="9" count="1">
            <x v="73"/>
          </reference>
        </references>
      </pivotArea>
    </format>
    <format dxfId="28">
      <pivotArea collapsedLevelsAreSubtotals="1" fieldPosition="0">
        <references count="3">
          <reference field="0" count="1" selected="0">
            <x v="388"/>
          </reference>
          <reference field="9" count="1" selected="0">
            <x v="73"/>
          </reference>
          <reference field="18" count="1">
            <x v="4573"/>
          </reference>
        </references>
      </pivotArea>
    </format>
    <format dxfId="27">
      <pivotArea collapsedLevelsAreSubtotals="1" fieldPosition="0">
        <references count="1">
          <reference field="0" count="1">
            <x v="392"/>
          </reference>
        </references>
      </pivotArea>
    </format>
    <format dxfId="26">
      <pivotArea collapsedLevelsAreSubtotals="1" fieldPosition="0">
        <references count="2">
          <reference field="0" count="1" selected="0">
            <x v="392"/>
          </reference>
          <reference field="9" count="1">
            <x v="85"/>
          </reference>
        </references>
      </pivotArea>
    </format>
    <format dxfId="25">
      <pivotArea collapsedLevelsAreSubtotals="1" fieldPosition="0">
        <references count="3">
          <reference field="0" count="1" selected="0">
            <x v="392"/>
          </reference>
          <reference field="9" count="1" selected="0">
            <x v="85"/>
          </reference>
          <reference field="18" count="1">
            <x v="4613"/>
          </reference>
        </references>
      </pivotArea>
    </format>
    <format dxfId="24">
      <pivotArea collapsedLevelsAreSubtotals="1" fieldPosition="0">
        <references count="1">
          <reference field="0" count="1">
            <x v="393"/>
          </reference>
        </references>
      </pivotArea>
    </format>
    <format dxfId="23">
      <pivotArea collapsedLevelsAreSubtotals="1" fieldPosition="0">
        <references count="2">
          <reference field="0" count="1" selected="0">
            <x v="393"/>
          </reference>
          <reference field="9" count="1">
            <x v="42"/>
          </reference>
        </references>
      </pivotArea>
    </format>
    <format dxfId="22">
      <pivotArea collapsedLevelsAreSubtotals="1" fieldPosition="0">
        <references count="3">
          <reference field="0" count="1" selected="0">
            <x v="393"/>
          </reference>
          <reference field="9" count="1" selected="0">
            <x v="42"/>
          </reference>
          <reference field="18" count="1">
            <x v="4621"/>
          </reference>
        </references>
      </pivotArea>
    </format>
    <format dxfId="21">
      <pivotArea collapsedLevelsAreSubtotals="1" fieldPosition="0">
        <references count="1">
          <reference field="0" count="1">
            <x v="394"/>
          </reference>
        </references>
      </pivotArea>
    </format>
    <format dxfId="20">
      <pivotArea collapsedLevelsAreSubtotals="1" fieldPosition="0">
        <references count="2">
          <reference field="0" count="1" selected="0">
            <x v="394"/>
          </reference>
          <reference field="9" count="1">
            <x v="74"/>
          </reference>
        </references>
      </pivotArea>
    </format>
    <format dxfId="19">
      <pivotArea collapsedLevelsAreSubtotals="1" fieldPosition="0">
        <references count="3">
          <reference field="0" count="1" selected="0">
            <x v="394"/>
          </reference>
          <reference field="9" count="1" selected="0">
            <x v="74"/>
          </reference>
          <reference field="18" count="1">
            <x v="4628"/>
          </reference>
        </references>
      </pivotArea>
    </format>
    <format dxfId="18">
      <pivotArea dataOnly="0" labelOnly="1" fieldPosition="0">
        <references count="1">
          <reference field="0" count="4">
            <x v="388"/>
            <x v="392"/>
            <x v="393"/>
            <x v="394"/>
          </reference>
        </references>
      </pivotArea>
    </format>
    <format dxfId="17">
      <pivotArea dataOnly="0" labelOnly="1" fieldPosition="0">
        <references count="2">
          <reference field="0" count="1" selected="0">
            <x v="388"/>
          </reference>
          <reference field="9" count="1">
            <x v="73"/>
          </reference>
        </references>
      </pivotArea>
    </format>
    <format dxfId="16">
      <pivotArea dataOnly="0" labelOnly="1" fieldPosition="0">
        <references count="2">
          <reference field="0" count="1" selected="0">
            <x v="392"/>
          </reference>
          <reference field="9" count="1">
            <x v="85"/>
          </reference>
        </references>
      </pivotArea>
    </format>
    <format dxfId="15">
      <pivotArea dataOnly="0" labelOnly="1" fieldPosition="0">
        <references count="2">
          <reference field="0" count="1" selected="0">
            <x v="393"/>
          </reference>
          <reference field="9" count="1">
            <x v="42"/>
          </reference>
        </references>
      </pivotArea>
    </format>
    <format dxfId="14">
      <pivotArea dataOnly="0" labelOnly="1" fieldPosition="0">
        <references count="2">
          <reference field="0" count="1" selected="0">
            <x v="394"/>
          </reference>
          <reference field="9" count="1">
            <x v="74"/>
          </reference>
        </references>
      </pivotArea>
    </format>
    <format dxfId="13">
      <pivotArea dataOnly="0" labelOnly="1" fieldPosition="0">
        <references count="3">
          <reference field="0" count="1" selected="0">
            <x v="388"/>
          </reference>
          <reference field="9" count="1" selected="0">
            <x v="73"/>
          </reference>
          <reference field="18" count="1">
            <x v="4573"/>
          </reference>
        </references>
      </pivotArea>
    </format>
    <format dxfId="12">
      <pivotArea dataOnly="0" labelOnly="1" fieldPosition="0">
        <references count="3">
          <reference field="0" count="1" selected="0">
            <x v="392"/>
          </reference>
          <reference field="9" count="1" selected="0">
            <x v="85"/>
          </reference>
          <reference field="18" count="1">
            <x v="4613"/>
          </reference>
        </references>
      </pivotArea>
    </format>
    <format dxfId="11">
      <pivotArea dataOnly="0" labelOnly="1" fieldPosition="0">
        <references count="3">
          <reference field="0" count="1" selected="0">
            <x v="393"/>
          </reference>
          <reference field="9" count="1" selected="0">
            <x v="42"/>
          </reference>
          <reference field="18" count="1">
            <x v="4621"/>
          </reference>
        </references>
      </pivotArea>
    </format>
    <format dxfId="10">
      <pivotArea dataOnly="0" labelOnly="1" fieldPosition="0">
        <references count="3">
          <reference field="0" count="1" selected="0">
            <x v="394"/>
          </reference>
          <reference field="9" count="1" selected="0">
            <x v="74"/>
          </reference>
          <reference field="18" count="1">
            <x v="46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8CB1B-7ECB-7E44-99ED-BBEB9D4B0374}" name="PivotTable1" cacheId="1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E16" firstHeaderRow="0" firstDataRow="1" firstDataCol="1" rowPageCount="2" colPageCount="1"/>
  <pivotFields count="24">
    <pivotField axis="axisRow" showAll="0">
      <items count="735">
        <item x="7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m="1" x="733"/>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t="default"/>
      </items>
    </pivotField>
    <pivotField showAll="0"/>
    <pivotField multipleItemSelectionAllowed="1" showAll="0"/>
    <pivotField showAll="0"/>
    <pivotField showAll="0"/>
    <pivotField showAll="0"/>
    <pivotField dataField="1" showAll="0"/>
    <pivotField showAll="0">
      <items count="11">
        <item x="5"/>
        <item x="4"/>
        <item x="2"/>
        <item x="1"/>
        <item x="8"/>
        <item x="0"/>
        <item h="1" x="7"/>
        <item h="1" x="6"/>
        <item x="3"/>
        <item h="1" x="9"/>
        <item t="default"/>
      </items>
    </pivotField>
    <pivotField showAll="0"/>
    <pivotField showAll="0"/>
    <pivotField showAll="0"/>
    <pivotField showAll="0"/>
    <pivotField showAll="0"/>
    <pivotField showAll="0"/>
    <pivotField dataField="1" showAll="0"/>
    <pivotField showAll="0"/>
    <pivotField showAll="0"/>
    <pivotField dataField="1" showAll="0"/>
    <pivotField showAll="0"/>
    <pivotField axis="axisPage" multipleItemSelectionAllowed="1" showAll="0">
      <items count="14">
        <item h="1" x="3"/>
        <item h="1" x="4"/>
        <item h="1" x="5"/>
        <item h="1" x="6"/>
        <item h="1" x="7"/>
        <item h="1" x="0"/>
        <item h="1" x="1"/>
        <item x="2"/>
        <item h="1" x="9"/>
        <item h="1" x="8"/>
        <item h="1" x="10"/>
        <item h="1" x="11"/>
        <item h="1" x="12"/>
        <item t="default"/>
      </items>
    </pivotField>
    <pivotField axis="axisPage" multipleItemSelectionAllowed="1" showAll="0">
      <items count="7">
        <item h="1" x="5"/>
        <item h="1" x="0"/>
        <item h="1" x="1"/>
        <item h="1" x="2"/>
        <item h="1" x="3"/>
        <item x="4"/>
        <item t="default"/>
      </items>
    </pivotField>
    <pivotField showAll="0">
      <items count="4">
        <item x="1"/>
        <item h="1" x="0"/>
        <item h="1" x="2"/>
        <item t="default"/>
      </items>
    </pivotField>
    <pivotField dataField="1" dragToRow="0" dragToCol="0" dragToPage="0" showAll="0" defaultSubtotal="0"/>
    <pivotField dragToRow="0" dragToCol="0" dragToPage="0" showAll="0" defaultSubtotal="0"/>
  </pivotFields>
  <rowFields count="1">
    <field x="0"/>
  </rowFields>
  <rowItems count="11">
    <i>
      <x v="724"/>
    </i>
    <i>
      <x v="725"/>
    </i>
    <i>
      <x v="726"/>
    </i>
    <i>
      <x v="727"/>
    </i>
    <i>
      <x v="728"/>
    </i>
    <i>
      <x v="729"/>
    </i>
    <i>
      <x v="730"/>
    </i>
    <i>
      <x v="731"/>
    </i>
    <i>
      <x v="732"/>
    </i>
    <i>
      <x v="733"/>
    </i>
    <i t="grand">
      <x/>
    </i>
  </rowItems>
  <colFields count="1">
    <field x="-2"/>
  </colFields>
  <colItems count="4">
    <i>
      <x/>
    </i>
    <i i="1">
      <x v="1"/>
    </i>
    <i i="2">
      <x v="2"/>
    </i>
    <i i="3">
      <x v="3"/>
    </i>
  </colItems>
  <pageFields count="2">
    <pageField fld="20" hier="-1"/>
    <pageField fld="19" hier="-1"/>
  </pageFields>
  <dataFields count="4">
    <dataField name="kg" fld="6" baseField="0" baseItem="0"/>
    <dataField name="$" fld="14" baseField="0" baseItem="0" numFmtId="168"/>
    <dataField name="$/kg " fld="22" baseField="0" baseItem="0" numFmtId="169"/>
    <dataField name="ocupacion " fld="17" subtotal="average" baseField="0" baseItem="0"/>
  </dataFields>
  <formats count="6">
    <format dxfId="9">
      <pivotArea outline="0" collapsedLevelsAreSubtotals="1" fieldPosition="0"/>
    </format>
    <format dxfId="8">
      <pivotArea dataOnly="0" labelOnly="1" outline="0" fieldPosition="0">
        <references count="1">
          <reference field="4294967294" count="2">
            <x v="0"/>
            <x v="1"/>
          </reference>
        </references>
      </pivotArea>
    </format>
    <format dxfId="7">
      <pivotArea outline="0" collapsedLevelsAreSubtotals="1" fieldPosition="0">
        <references count="1">
          <reference field="4294967294" count="1" selected="0">
            <x v="1"/>
          </reference>
        </references>
      </pivotArea>
    </format>
    <format dxfId="6">
      <pivotArea dataOnly="0" labelOnly="1" outline="0" fieldPosition="0">
        <references count="1">
          <reference field="4294967294" count="1">
            <x v="1"/>
          </reference>
        </references>
      </pivotArea>
    </format>
    <format dxfId="5">
      <pivotArea outline="0" collapsedLevelsAreSubtotals="1" fieldPosition="0">
        <references count="1">
          <reference field="4294967294" count="1" selected="0">
            <x v="2"/>
          </reference>
        </references>
      </pivotArea>
    </format>
    <format dxfId="4">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54E15FAA-E210-0340-9375-C45BACCB69B3}" sourceName="Region2">
  <pivotTables>
    <pivotTable tabId="2" name="PivotTable1"/>
  </pivotTables>
  <data>
    <tabular pivotCacheId="899878231">
      <items count="3">
        <i x="1" s="1"/>
        <i x="0"/>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porte" xr10:uid="{0B9BD5BC-1DEE-5A4B-B663-6A547BC3F2E6}" sourceName="transporte">
  <pivotTables>
    <pivotTable tabId="2" name="PivotTable1"/>
  </pivotTables>
  <data>
    <tabular pivotCacheId="899878231">
      <items count="10">
        <i x="4" s="1"/>
        <i x="2" s="1"/>
        <i x="1" s="1"/>
        <i x="8" s="1"/>
        <i x="0" s="1"/>
        <i x="5" s="1" nd="1"/>
        <i x="7" nd="1"/>
        <i x="6" nd="1"/>
        <i x="3" s="1" nd="1"/>
        <i x="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porte1" xr10:uid="{457CC01E-434F-9644-A3C7-B8192197E8D6}" sourceName="transporte">
  <pivotTables>
    <pivotTable tabId="4" name="PivotTable1"/>
  </pivotTables>
  <data>
    <tabular pivotCacheId="899878231">
      <items count="10">
        <i x="5" s="1"/>
        <i x="2" s="1"/>
        <i x="1" s="1"/>
        <i x="8" s="1"/>
        <i x="0" s="1"/>
        <i x="4" s="1" nd="1"/>
        <i x="7" s="1" nd="1"/>
        <i x="6" s="1" nd="1"/>
        <i x="3" s="1"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porte 1" xr10:uid="{C2C06C29-FC57-404A-BC9C-590C13CF10C7}" cache="Slicer_transporte1" caption="transpor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2" xr10:uid="{1FA20C54-9DD0-A14D-BAEE-20F3E3CA8C8D}" cache="Slicer_Region2" caption="Region2" rowHeight="230716"/>
  <slicer name="transporte" xr10:uid="{116A806E-F93D-D54E-9C9B-254ACA6BC098}" cache="Slicer_transporte" caption="transpor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O4493" dT="2022-04-07T12:08:07.34" personId="{7A058970-50BC-4D0A-A1BF-9847FF064075}" id="{6CC7C1D7-558C-4F37-83F8-1DE4BDA49381}">
    <text>FLETE PAGADO 680000</text>
  </threadedComment>
  <threadedComment ref="M4670" dT="2022-05-06T14:01:17.56" personId="{7A058970-50BC-4D0A-A1BF-9847FF064075}" id="{35A5EE0C-01F5-4265-B3BB-65A705B6FD22}">
    <text>flete pagado</text>
  </threadedComment>
</ThreadedComment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4656-482D-4F39-BF9A-494AFBDB9EB9}">
  <dimension ref="A1:I13"/>
  <sheetViews>
    <sheetView workbookViewId="0">
      <selection activeCell="G20" sqref="G19:G20"/>
    </sheetView>
  </sheetViews>
  <sheetFormatPr baseColWidth="10" defaultRowHeight="15" x14ac:dyDescent="0.25"/>
  <cols>
    <col min="1" max="1" width="28.42578125" bestFit="1" customWidth="1"/>
    <col min="2" max="2" width="20.42578125" bestFit="1" customWidth="1"/>
    <col min="3" max="3" width="7.5703125" bestFit="1" customWidth="1"/>
    <col min="4" max="4" width="6.7109375" bestFit="1" customWidth="1"/>
    <col min="5" max="5" width="11.28515625" bestFit="1" customWidth="1"/>
    <col min="6" max="6" width="12.5703125" bestFit="1" customWidth="1"/>
    <col min="7" max="7" width="6.5703125" bestFit="1" customWidth="1"/>
    <col min="8" max="8" width="11.28515625" bestFit="1" customWidth="1"/>
    <col min="9" max="9" width="12.5703125" bestFit="1" customWidth="1"/>
    <col min="10" max="10" width="11.28515625" bestFit="1" customWidth="1"/>
    <col min="11" max="12" width="12.5703125" bestFit="1" customWidth="1"/>
  </cols>
  <sheetData>
    <row r="1" spans="1:9" x14ac:dyDescent="0.25">
      <c r="A1" s="4" t="s">
        <v>10</v>
      </c>
      <c r="B1" t="s">
        <v>2769</v>
      </c>
    </row>
    <row r="2" spans="1:9" x14ac:dyDescent="0.25">
      <c r="A2" s="4" t="s">
        <v>0</v>
      </c>
      <c r="B2" t="s">
        <v>2769</v>
      </c>
    </row>
    <row r="3" spans="1:9" x14ac:dyDescent="0.25">
      <c r="A3" s="4" t="s">
        <v>8</v>
      </c>
      <c r="B3" t="s">
        <v>2769</v>
      </c>
      <c r="C3" s="122"/>
      <c r="D3" s="122"/>
      <c r="E3" s="122"/>
      <c r="F3" s="122"/>
      <c r="G3" s="122"/>
      <c r="H3" s="122"/>
      <c r="I3" s="122"/>
    </row>
    <row r="5" spans="1:9" x14ac:dyDescent="0.25">
      <c r="A5" s="4" t="s">
        <v>6636</v>
      </c>
      <c r="B5" s="4" t="s">
        <v>6637</v>
      </c>
    </row>
    <row r="6" spans="1:9" x14ac:dyDescent="0.25">
      <c r="A6" s="4" t="s">
        <v>2666</v>
      </c>
      <c r="B6" t="s">
        <v>43</v>
      </c>
      <c r="C6" t="s">
        <v>32</v>
      </c>
      <c r="D6" t="s">
        <v>22</v>
      </c>
      <c r="E6" t="s">
        <v>65</v>
      </c>
      <c r="F6" t="s">
        <v>2667</v>
      </c>
    </row>
    <row r="7" spans="1:9" x14ac:dyDescent="0.25">
      <c r="A7" s="5" t="s">
        <v>19</v>
      </c>
      <c r="B7" s="121"/>
      <c r="C7" s="121">
        <v>6427.5399999999991</v>
      </c>
      <c r="D7" s="121"/>
      <c r="E7" s="121"/>
      <c r="F7" s="121">
        <v>6427.5399999999991</v>
      </c>
    </row>
    <row r="8" spans="1:9" x14ac:dyDescent="0.25">
      <c r="A8" s="5" t="s">
        <v>128</v>
      </c>
      <c r="B8" s="121"/>
      <c r="C8" s="121">
        <v>11540.200000000006</v>
      </c>
      <c r="D8" s="121">
        <v>7503.9999999999973</v>
      </c>
      <c r="E8" s="121"/>
      <c r="F8" s="121">
        <v>10194.800000000003</v>
      </c>
    </row>
    <row r="9" spans="1:9" x14ac:dyDescent="0.25">
      <c r="A9" s="5" t="s">
        <v>36</v>
      </c>
      <c r="B9" s="121"/>
      <c r="C9" s="121">
        <v>6119.83</v>
      </c>
      <c r="D9" s="121">
        <v>5300.0000000000009</v>
      </c>
      <c r="E9" s="121"/>
      <c r="F9" s="121">
        <v>5846.5533333333333</v>
      </c>
    </row>
    <row r="10" spans="1:9" x14ac:dyDescent="0.25">
      <c r="A10" s="5" t="s">
        <v>223</v>
      </c>
      <c r="B10" s="121">
        <v>6978.1999999999989</v>
      </c>
      <c r="C10" s="121"/>
      <c r="D10" s="121"/>
      <c r="E10" s="121"/>
      <c r="F10" s="121">
        <v>6978.1999999999989</v>
      </c>
    </row>
    <row r="11" spans="1:9" x14ac:dyDescent="0.25">
      <c r="A11" s="5" t="s">
        <v>2862</v>
      </c>
      <c r="B11" s="121"/>
      <c r="C11" s="121"/>
      <c r="D11" s="121"/>
      <c r="E11" s="121">
        <v>5251.6</v>
      </c>
      <c r="F11" s="121">
        <v>5251.6</v>
      </c>
    </row>
    <row r="12" spans="1:9" x14ac:dyDescent="0.25">
      <c r="A12" s="5" t="s">
        <v>44</v>
      </c>
      <c r="B12" s="121"/>
      <c r="C12" s="121"/>
      <c r="D12" s="121">
        <v>5995.4920000000002</v>
      </c>
      <c r="E12" s="121"/>
      <c r="F12" s="121">
        <v>5995.4920000000002</v>
      </c>
    </row>
    <row r="13" spans="1:9" x14ac:dyDescent="0.25">
      <c r="A13" s="5" t="s">
        <v>2667</v>
      </c>
      <c r="B13" s="121">
        <v>6978.1999999999989</v>
      </c>
      <c r="C13" s="121">
        <v>8349.5200000000023</v>
      </c>
      <c r="D13" s="121">
        <v>6111.6371428571438</v>
      </c>
      <c r="E13" s="121">
        <v>5251.6</v>
      </c>
      <c r="F13" s="121">
        <v>6915.804000000001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27EE6-99BD-4395-8134-B8E31F463059}">
  <dimension ref="A4:G578"/>
  <sheetViews>
    <sheetView workbookViewId="0">
      <selection activeCell="F2" sqref="F2"/>
    </sheetView>
  </sheetViews>
  <sheetFormatPr baseColWidth="10" defaultRowHeight="12" x14ac:dyDescent="0.2"/>
  <cols>
    <col min="1" max="1" width="75.7109375" style="123" bestFit="1" customWidth="1"/>
    <col min="2" max="2" width="18.140625" style="123" bestFit="1" customWidth="1"/>
    <col min="3" max="3" width="30.7109375" style="123" bestFit="1" customWidth="1"/>
    <col min="4" max="4" width="6.7109375" style="123" customWidth="1"/>
    <col min="5" max="5" width="19.28515625" style="123" bestFit="1" customWidth="1"/>
    <col min="6" max="6" width="5.7109375" style="123" customWidth="1"/>
    <col min="7" max="7" width="14.28515625" style="125" bestFit="1" customWidth="1"/>
    <col min="8" max="8" width="11" style="123" bestFit="1" customWidth="1"/>
    <col min="9" max="9" width="10" style="123" bestFit="1" customWidth="1"/>
    <col min="10" max="10" width="11.28515625" style="123" bestFit="1" customWidth="1"/>
    <col min="11" max="11" width="12.5703125" style="123" bestFit="1" customWidth="1"/>
    <col min="12" max="12" width="7" style="123" bestFit="1" customWidth="1"/>
    <col min="13" max="13" width="5" style="123" bestFit="1" customWidth="1"/>
    <col min="14" max="16" width="7" style="123" bestFit="1" customWidth="1"/>
    <col min="17" max="17" width="5" style="123" bestFit="1" customWidth="1"/>
    <col min="18" max="18" width="8" style="123" bestFit="1" customWidth="1"/>
    <col min="19" max="21" width="7" style="123" bestFit="1" customWidth="1"/>
    <col min="22" max="23" width="5" style="123" bestFit="1" customWidth="1"/>
    <col min="24" max="24" width="7" style="123" bestFit="1" customWidth="1"/>
    <col min="25" max="25" width="5" style="123" bestFit="1" customWidth="1"/>
    <col min="26" max="26" width="7" style="123" bestFit="1" customWidth="1"/>
    <col min="27" max="27" width="8" style="123" bestFit="1" customWidth="1"/>
    <col min="28" max="29" width="5" style="123" bestFit="1" customWidth="1"/>
    <col min="30" max="31" width="7" style="123" bestFit="1" customWidth="1"/>
    <col min="32" max="32" width="8" style="123" bestFit="1" customWidth="1"/>
    <col min="33" max="36" width="7" style="123" bestFit="1" customWidth="1"/>
    <col min="37" max="37" width="5" style="123" bestFit="1" customWidth="1"/>
    <col min="38" max="39" width="7" style="123" bestFit="1" customWidth="1"/>
    <col min="40" max="40" width="5" style="123" bestFit="1" customWidth="1"/>
    <col min="41" max="41" width="7" style="123" bestFit="1" customWidth="1"/>
    <col min="42" max="44" width="8" style="123" bestFit="1" customWidth="1"/>
    <col min="45" max="47" width="7" style="123" bestFit="1" customWidth="1"/>
    <col min="48" max="48" width="5" style="123" bestFit="1" customWidth="1"/>
    <col min="49" max="49" width="7" style="123" bestFit="1" customWidth="1"/>
    <col min="50" max="50" width="5" style="123" bestFit="1" customWidth="1"/>
    <col min="51" max="52" width="7" style="123" bestFit="1" customWidth="1"/>
    <col min="53" max="53" width="5" style="123" bestFit="1" customWidth="1"/>
    <col min="54" max="56" width="7" style="123" bestFit="1" customWidth="1"/>
    <col min="57" max="59" width="8" style="123" bestFit="1" customWidth="1"/>
    <col min="60" max="60" width="7" style="123" bestFit="1" customWidth="1"/>
    <col min="61" max="63" width="8" style="123" bestFit="1" customWidth="1"/>
    <col min="64" max="64" width="7" style="123" bestFit="1" customWidth="1"/>
    <col min="65" max="67" width="8" style="123" bestFit="1" customWidth="1"/>
    <col min="68" max="68" width="7" style="123" bestFit="1" customWidth="1"/>
    <col min="69" max="72" width="8" style="123" bestFit="1" customWidth="1"/>
    <col min="73" max="73" width="7" style="123" bestFit="1" customWidth="1"/>
    <col min="74" max="75" width="8" style="123" bestFit="1" customWidth="1"/>
    <col min="76" max="77" width="7" style="123" bestFit="1" customWidth="1"/>
    <col min="78" max="78" width="8" style="123" bestFit="1" customWidth="1"/>
    <col min="79" max="81" width="7" style="123" bestFit="1" customWidth="1"/>
    <col min="82" max="82" width="8" style="123" bestFit="1" customWidth="1"/>
    <col min="83" max="83" width="5" style="123" bestFit="1" customWidth="1"/>
    <col min="84" max="86" width="8" style="123" bestFit="1" customWidth="1"/>
    <col min="87" max="87" width="7" style="123" bestFit="1" customWidth="1"/>
    <col min="88" max="90" width="8" style="123" bestFit="1" customWidth="1"/>
    <col min="91" max="92" width="7" style="123" bestFit="1" customWidth="1"/>
    <col min="93" max="94" width="8" style="123" bestFit="1" customWidth="1"/>
    <col min="95" max="95" width="7" style="123" bestFit="1" customWidth="1"/>
    <col min="96" max="99" width="8" style="123" bestFit="1" customWidth="1"/>
    <col min="100" max="100" width="7" style="123" bestFit="1" customWidth="1"/>
    <col min="101" max="105" width="8" style="123" bestFit="1" customWidth="1"/>
    <col min="106" max="106" width="7" style="123" bestFit="1" customWidth="1"/>
    <col min="107" max="107" width="8" style="123" bestFit="1" customWidth="1"/>
    <col min="108" max="110" width="7" style="123" bestFit="1" customWidth="1"/>
    <col min="111" max="111" width="5" style="123" bestFit="1" customWidth="1"/>
    <col min="112" max="115" width="7" style="123" bestFit="1" customWidth="1"/>
    <col min="116" max="116" width="8" style="123" bestFit="1" customWidth="1"/>
    <col min="117" max="117" width="7" style="123" bestFit="1" customWidth="1"/>
    <col min="118" max="119" width="8" style="123" bestFit="1" customWidth="1"/>
    <col min="120" max="120" width="7" style="123" bestFit="1" customWidth="1"/>
    <col min="121" max="121" width="5" style="123" bestFit="1" customWidth="1"/>
    <col min="122" max="122" width="7" style="123" bestFit="1" customWidth="1"/>
    <col min="123" max="123" width="5" style="123" bestFit="1" customWidth="1"/>
    <col min="124" max="124" width="7" style="123" bestFit="1" customWidth="1"/>
    <col min="125" max="125" width="5" style="123" bestFit="1" customWidth="1"/>
    <col min="126" max="130" width="7" style="123" bestFit="1" customWidth="1"/>
    <col min="131" max="131" width="8" style="123" bestFit="1" customWidth="1"/>
    <col min="132" max="133" width="7" style="123" bestFit="1" customWidth="1"/>
    <col min="134" max="136" width="8" style="123" bestFit="1" customWidth="1"/>
    <col min="137" max="139" width="7" style="123" bestFit="1" customWidth="1"/>
    <col min="140" max="143" width="8" style="123" bestFit="1" customWidth="1"/>
    <col min="144" max="146" width="7" style="123" bestFit="1" customWidth="1"/>
    <col min="147" max="152" width="8" style="123" bestFit="1" customWidth="1"/>
    <col min="153" max="153" width="5" style="123" bestFit="1" customWidth="1"/>
    <col min="154" max="154" width="7" style="123" bestFit="1" customWidth="1"/>
    <col min="155" max="155" width="8" style="123" bestFit="1" customWidth="1"/>
    <col min="156" max="156" width="7" style="123" bestFit="1" customWidth="1"/>
    <col min="157" max="157" width="8" style="123" bestFit="1" customWidth="1"/>
    <col min="158" max="161" width="7" style="123" bestFit="1" customWidth="1"/>
    <col min="162" max="163" width="8" style="123" bestFit="1" customWidth="1"/>
    <col min="164" max="165" width="7" style="123" bestFit="1" customWidth="1"/>
    <col min="166" max="167" width="8" style="123" bestFit="1" customWidth="1"/>
    <col min="168" max="168" width="7" style="123" bestFit="1" customWidth="1"/>
    <col min="169" max="170" width="8" style="123" bestFit="1" customWidth="1"/>
    <col min="171" max="174" width="7" style="123" bestFit="1" customWidth="1"/>
    <col min="175" max="175" width="8" style="123" bestFit="1" customWidth="1"/>
    <col min="176" max="176" width="7" style="123" bestFit="1" customWidth="1"/>
    <col min="177" max="180" width="8" style="123" bestFit="1" customWidth="1"/>
    <col min="181" max="181" width="5" style="123" bestFit="1" customWidth="1"/>
    <col min="182" max="182" width="8" style="123" bestFit="1" customWidth="1"/>
    <col min="183" max="185" width="7" style="123" bestFit="1" customWidth="1"/>
    <col min="186" max="186" width="5" style="123" bestFit="1" customWidth="1"/>
    <col min="187" max="187" width="8" style="123" bestFit="1" customWidth="1"/>
    <col min="188" max="188" width="7" style="123" bestFit="1" customWidth="1"/>
    <col min="189" max="189" width="5" style="123" bestFit="1" customWidth="1"/>
    <col min="190" max="190" width="8" style="123" bestFit="1" customWidth="1"/>
    <col min="191" max="192" width="7" style="123" bestFit="1" customWidth="1"/>
    <col min="193" max="194" width="8" style="123" bestFit="1" customWidth="1"/>
    <col min="195" max="195" width="7" style="123" bestFit="1" customWidth="1"/>
    <col min="196" max="196" width="5" style="123" bestFit="1" customWidth="1"/>
    <col min="197" max="198" width="8" style="123" bestFit="1" customWidth="1"/>
    <col min="199" max="199" width="7" style="123" bestFit="1" customWidth="1"/>
    <col min="200" max="200" width="5" style="123" bestFit="1" customWidth="1"/>
    <col min="201" max="204" width="7" style="123" bestFit="1" customWidth="1"/>
    <col min="205" max="205" width="8" style="123" bestFit="1" customWidth="1"/>
    <col min="206" max="206" width="7" style="123" bestFit="1" customWidth="1"/>
    <col min="207" max="207" width="8" style="123" bestFit="1" customWidth="1"/>
    <col min="208" max="208" width="7" style="123" bestFit="1" customWidth="1"/>
    <col min="209" max="209" width="5" style="123" bestFit="1" customWidth="1"/>
    <col min="210" max="216" width="7" style="123" bestFit="1" customWidth="1"/>
    <col min="217" max="217" width="5" style="123" bestFit="1" customWidth="1"/>
    <col min="218" max="223" width="8" style="123" bestFit="1" customWidth="1"/>
    <col min="224" max="228" width="7" style="123" bestFit="1" customWidth="1"/>
    <col min="229" max="232" width="8" style="123" bestFit="1" customWidth="1"/>
    <col min="233" max="235" width="7" style="123" bestFit="1" customWidth="1"/>
    <col min="236" max="237" width="8" style="123" bestFit="1" customWidth="1"/>
    <col min="238" max="238" width="5" style="123" bestFit="1" customWidth="1"/>
    <col min="239" max="241" width="7" style="123" bestFit="1" customWidth="1"/>
    <col min="242" max="244" width="8" style="123" bestFit="1" customWidth="1"/>
    <col min="245" max="245" width="7" style="123" bestFit="1" customWidth="1"/>
    <col min="246" max="246" width="8" style="123" bestFit="1" customWidth="1"/>
    <col min="247" max="248" width="7" style="123" bestFit="1" customWidth="1"/>
    <col min="249" max="249" width="5" style="123" bestFit="1" customWidth="1"/>
    <col min="250" max="253" width="7" style="123" bestFit="1" customWidth="1"/>
    <col min="254" max="254" width="8" style="123" bestFit="1" customWidth="1"/>
    <col min="255" max="256" width="7" style="123" bestFit="1" customWidth="1"/>
    <col min="257" max="261" width="8" style="123" bestFit="1" customWidth="1"/>
    <col min="262" max="264" width="7" style="123" bestFit="1" customWidth="1"/>
    <col min="265" max="265" width="5" style="123" bestFit="1" customWidth="1"/>
    <col min="266" max="266" width="8" style="123" bestFit="1" customWidth="1"/>
    <col min="267" max="267" width="5" style="123" bestFit="1" customWidth="1"/>
    <col min="268" max="272" width="8" style="123" bestFit="1" customWidth="1"/>
    <col min="273" max="273" width="7" style="123" bestFit="1" customWidth="1"/>
    <col min="274" max="274" width="8" style="123" bestFit="1" customWidth="1"/>
    <col min="275" max="276" width="7" style="123" bestFit="1" customWidth="1"/>
    <col min="277" max="277" width="8" style="123" bestFit="1" customWidth="1"/>
    <col min="278" max="278" width="5" style="123" bestFit="1" customWidth="1"/>
    <col min="279" max="281" width="8" style="123" bestFit="1" customWidth="1"/>
    <col min="282" max="282" width="7" style="123" bestFit="1" customWidth="1"/>
    <col min="283" max="287" width="8" style="123" bestFit="1" customWidth="1"/>
    <col min="288" max="288" width="7" style="123" bestFit="1" customWidth="1"/>
    <col min="289" max="290" width="5" style="123" bestFit="1" customWidth="1"/>
    <col min="291" max="292" width="7" style="123" bestFit="1" customWidth="1"/>
    <col min="293" max="296" width="8" style="123" bestFit="1" customWidth="1"/>
    <col min="297" max="297" width="10" style="123" bestFit="1" customWidth="1"/>
    <col min="298" max="298" width="7" style="123" bestFit="1" customWidth="1"/>
    <col min="299" max="299" width="5" style="123" bestFit="1" customWidth="1"/>
    <col min="300" max="300" width="7" style="123" bestFit="1" customWidth="1"/>
    <col min="301" max="303" width="8" style="123" bestFit="1" customWidth="1"/>
    <col min="304" max="304" width="5" style="123" bestFit="1" customWidth="1"/>
    <col min="305" max="305" width="8" style="123" bestFit="1" customWidth="1"/>
    <col min="306" max="307" width="7" style="123" bestFit="1" customWidth="1"/>
    <col min="308" max="308" width="5" style="123" bestFit="1" customWidth="1"/>
    <col min="309" max="309" width="7" style="123" bestFit="1" customWidth="1"/>
    <col min="310" max="315" width="8" style="123" bestFit="1" customWidth="1"/>
    <col min="316" max="316" width="7" style="123" bestFit="1" customWidth="1"/>
    <col min="317" max="317" width="8" style="123" bestFit="1" customWidth="1"/>
    <col min="318" max="319" width="7" style="123" bestFit="1" customWidth="1"/>
    <col min="320" max="320" width="5" style="123" bestFit="1" customWidth="1"/>
    <col min="321" max="321" width="8" style="123" bestFit="1" customWidth="1"/>
    <col min="322" max="322" width="7" style="123" bestFit="1" customWidth="1"/>
    <col min="323" max="324" width="8" style="123" bestFit="1" customWidth="1"/>
    <col min="325" max="328" width="7" style="123" bestFit="1" customWidth="1"/>
    <col min="329" max="332" width="8" style="123" bestFit="1" customWidth="1"/>
    <col min="333" max="333" width="7" style="123" bestFit="1" customWidth="1"/>
    <col min="334" max="335" width="8" style="123" bestFit="1" customWidth="1"/>
    <col min="336" max="336" width="7" style="123" bestFit="1" customWidth="1"/>
    <col min="337" max="337" width="8" style="123" bestFit="1" customWidth="1"/>
    <col min="338" max="338" width="7" style="123" bestFit="1" customWidth="1"/>
    <col min="339" max="340" width="8" style="123" bestFit="1" customWidth="1"/>
    <col min="341" max="341" width="7" style="123" bestFit="1" customWidth="1"/>
    <col min="342" max="343" width="8" style="123" bestFit="1" customWidth="1"/>
    <col min="344" max="344" width="7" style="123" bestFit="1" customWidth="1"/>
    <col min="345" max="349" width="8" style="123" bestFit="1" customWidth="1"/>
    <col min="350" max="351" width="7" style="123" bestFit="1" customWidth="1"/>
    <col min="352" max="355" width="8" style="123" bestFit="1" customWidth="1"/>
    <col min="356" max="357" width="7" style="123" bestFit="1" customWidth="1"/>
    <col min="358" max="358" width="8" style="123" bestFit="1" customWidth="1"/>
    <col min="359" max="359" width="5" style="123" bestFit="1" customWidth="1"/>
    <col min="360" max="360" width="7" style="123" bestFit="1" customWidth="1"/>
    <col min="361" max="363" width="8" style="123" bestFit="1" customWidth="1"/>
    <col min="364" max="365" width="5" style="123" bestFit="1" customWidth="1"/>
    <col min="366" max="366" width="8" style="123" bestFit="1" customWidth="1"/>
    <col min="367" max="367" width="7" style="123" bestFit="1" customWidth="1"/>
    <col min="368" max="368" width="8" style="123" bestFit="1" customWidth="1"/>
    <col min="369" max="371" width="7" style="123" bestFit="1" customWidth="1"/>
    <col min="372" max="372" width="8" style="123" bestFit="1" customWidth="1"/>
    <col min="373" max="373" width="7" style="123" bestFit="1" customWidth="1"/>
    <col min="374" max="376" width="8" style="123" bestFit="1" customWidth="1"/>
    <col min="377" max="378" width="7" style="123" bestFit="1" customWidth="1"/>
    <col min="379" max="379" width="8" style="123" bestFit="1" customWidth="1"/>
    <col min="380" max="380" width="7" style="123" bestFit="1" customWidth="1"/>
    <col min="381" max="382" width="8" style="123" bestFit="1" customWidth="1"/>
    <col min="383" max="383" width="7" style="123" bestFit="1" customWidth="1"/>
    <col min="384" max="384" width="8" style="123" bestFit="1" customWidth="1"/>
    <col min="385" max="388" width="7" style="123" bestFit="1" customWidth="1"/>
    <col min="389" max="389" width="5" style="123" bestFit="1" customWidth="1"/>
    <col min="390" max="390" width="8" style="123" bestFit="1" customWidth="1"/>
    <col min="391" max="391" width="7" style="123" bestFit="1" customWidth="1"/>
    <col min="392" max="395" width="8" style="123" bestFit="1" customWidth="1"/>
    <col min="396" max="396" width="7" style="123" bestFit="1" customWidth="1"/>
    <col min="397" max="398" width="8" style="123" bestFit="1" customWidth="1"/>
    <col min="399" max="399" width="5" style="123" bestFit="1" customWidth="1"/>
    <col min="400" max="401" width="7" style="123" bestFit="1" customWidth="1"/>
    <col min="402" max="402" width="8" style="123" bestFit="1" customWidth="1"/>
    <col min="403" max="403" width="7" style="123" bestFit="1" customWidth="1"/>
    <col min="404" max="406" width="8" style="123" bestFit="1" customWidth="1"/>
    <col min="407" max="407" width="5" style="123" bestFit="1" customWidth="1"/>
    <col min="408" max="408" width="7" style="123" bestFit="1" customWidth="1"/>
    <col min="409" max="409" width="8" style="123" bestFit="1" customWidth="1"/>
    <col min="410" max="410" width="7" style="123" bestFit="1" customWidth="1"/>
    <col min="411" max="411" width="8" style="123" bestFit="1" customWidth="1"/>
    <col min="412" max="413" width="5" style="123" bestFit="1" customWidth="1"/>
    <col min="414" max="414" width="8" style="123" bestFit="1" customWidth="1"/>
    <col min="415" max="415" width="7" style="123" bestFit="1" customWidth="1"/>
    <col min="416" max="416" width="8" style="123" bestFit="1" customWidth="1"/>
    <col min="417" max="417" width="5" style="123" bestFit="1" customWidth="1"/>
    <col min="418" max="419" width="7" style="123" bestFit="1" customWidth="1"/>
    <col min="420" max="420" width="8" style="123" bestFit="1" customWidth="1"/>
    <col min="421" max="422" width="7" style="123" bestFit="1" customWidth="1"/>
    <col min="423" max="423" width="5" style="123" bestFit="1" customWidth="1"/>
    <col min="424" max="426" width="7" style="123" bestFit="1" customWidth="1"/>
    <col min="427" max="427" width="8" style="123" bestFit="1" customWidth="1"/>
    <col min="428" max="428" width="7" style="123" bestFit="1" customWidth="1"/>
    <col min="429" max="430" width="8" style="123" bestFit="1" customWidth="1"/>
    <col min="431" max="431" width="7" style="123" bestFit="1" customWidth="1"/>
    <col min="432" max="434" width="8" style="123" bestFit="1" customWidth="1"/>
    <col min="435" max="435" width="7" style="123" bestFit="1" customWidth="1"/>
    <col min="436" max="436" width="8" style="123" bestFit="1" customWidth="1"/>
    <col min="437" max="437" width="7" style="123" bestFit="1" customWidth="1"/>
    <col min="438" max="438" width="8" style="123" bestFit="1" customWidth="1"/>
    <col min="439" max="439" width="7" style="123" bestFit="1" customWidth="1"/>
    <col min="440" max="440" width="5" style="123" bestFit="1" customWidth="1"/>
    <col min="441" max="442" width="7" style="123" bestFit="1" customWidth="1"/>
    <col min="443" max="443" width="8" style="123" bestFit="1" customWidth="1"/>
    <col min="444" max="444" width="7" style="123" bestFit="1" customWidth="1"/>
    <col min="445" max="445" width="8" style="123" bestFit="1" customWidth="1"/>
    <col min="446" max="446" width="5" style="123" bestFit="1" customWidth="1"/>
    <col min="447" max="447" width="7" style="123" bestFit="1" customWidth="1"/>
    <col min="448" max="448" width="8" style="123" bestFit="1" customWidth="1"/>
    <col min="449" max="449" width="5" style="123" bestFit="1" customWidth="1"/>
    <col min="450" max="451" width="7" style="123" bestFit="1" customWidth="1"/>
    <col min="452" max="453" width="5" style="123" bestFit="1" customWidth="1"/>
    <col min="454" max="454" width="7" style="123" bestFit="1" customWidth="1"/>
    <col min="455" max="456" width="8" style="123" bestFit="1" customWidth="1"/>
    <col min="457" max="457" width="7" style="123" bestFit="1" customWidth="1"/>
    <col min="458" max="460" width="8" style="123" bestFit="1" customWidth="1"/>
    <col min="461" max="461" width="5" style="123" bestFit="1" customWidth="1"/>
    <col min="462" max="462" width="7" style="123" bestFit="1" customWidth="1"/>
    <col min="463" max="463" width="5" style="123" bestFit="1" customWidth="1"/>
    <col min="464" max="464" width="7" style="123" bestFit="1" customWidth="1"/>
    <col min="465" max="468" width="8" style="123" bestFit="1" customWidth="1"/>
    <col min="469" max="469" width="7" style="123" bestFit="1" customWidth="1"/>
    <col min="470" max="470" width="8" style="123" bestFit="1" customWidth="1"/>
    <col min="471" max="471" width="5" style="123" bestFit="1" customWidth="1"/>
    <col min="472" max="472" width="7" style="123" bestFit="1" customWidth="1"/>
    <col min="473" max="473" width="8" style="123" bestFit="1" customWidth="1"/>
    <col min="474" max="474" width="7" style="123" bestFit="1" customWidth="1"/>
    <col min="475" max="479" width="8" style="123" bestFit="1" customWidth="1"/>
    <col min="480" max="480" width="5" style="123" bestFit="1" customWidth="1"/>
    <col min="481" max="484" width="8" style="123" bestFit="1" customWidth="1"/>
    <col min="485" max="485" width="7" style="123" bestFit="1" customWidth="1"/>
    <col min="486" max="486" width="5" style="123" bestFit="1" customWidth="1"/>
    <col min="487" max="488" width="8" style="123" bestFit="1" customWidth="1"/>
    <col min="489" max="491" width="7" style="123" bestFit="1" customWidth="1"/>
    <col min="492" max="492" width="8" style="123" bestFit="1" customWidth="1"/>
    <col min="493" max="493" width="5" style="123" bestFit="1" customWidth="1"/>
    <col min="494" max="494" width="8" style="123" bestFit="1" customWidth="1"/>
    <col min="495" max="496" width="7" style="123" bestFit="1" customWidth="1"/>
    <col min="497" max="497" width="5" style="123" bestFit="1" customWidth="1"/>
    <col min="498" max="498" width="8" style="123" bestFit="1" customWidth="1"/>
    <col min="499" max="500" width="7" style="123" bestFit="1" customWidth="1"/>
    <col min="501" max="501" width="8" style="123" bestFit="1" customWidth="1"/>
    <col min="502" max="502" width="7" style="123" bestFit="1" customWidth="1"/>
    <col min="503" max="503" width="8" style="123" bestFit="1" customWidth="1"/>
    <col min="504" max="505" width="7" style="123" bestFit="1" customWidth="1"/>
    <col min="506" max="510" width="8" style="123" bestFit="1" customWidth="1"/>
    <col min="511" max="511" width="7" style="123" bestFit="1" customWidth="1"/>
    <col min="512" max="512" width="5" style="123" bestFit="1" customWidth="1"/>
    <col min="513" max="518" width="7" style="123" bestFit="1" customWidth="1"/>
    <col min="519" max="520" width="8" style="123" bestFit="1" customWidth="1"/>
    <col min="521" max="521" width="7" style="123" bestFit="1" customWidth="1"/>
    <col min="522" max="522" width="8" style="123" bestFit="1" customWidth="1"/>
    <col min="523" max="523" width="7" style="123" bestFit="1" customWidth="1"/>
    <col min="524" max="524" width="8" style="123" bestFit="1" customWidth="1"/>
    <col min="525" max="527" width="7" style="123" bestFit="1" customWidth="1"/>
    <col min="528" max="528" width="8" style="123" bestFit="1" customWidth="1"/>
    <col min="529" max="529" width="5" style="123" bestFit="1" customWidth="1"/>
    <col min="530" max="530" width="8" style="123" bestFit="1" customWidth="1"/>
    <col min="531" max="531" width="7" style="123" bestFit="1" customWidth="1"/>
    <col min="532" max="532" width="8" style="123" bestFit="1" customWidth="1"/>
    <col min="533" max="533" width="5" style="123" bestFit="1" customWidth="1"/>
    <col min="534" max="534" width="8" style="123" bestFit="1" customWidth="1"/>
    <col min="535" max="535" width="7" style="123" bestFit="1" customWidth="1"/>
    <col min="536" max="537" width="5" style="123" bestFit="1" customWidth="1"/>
    <col min="538" max="538" width="8" style="123" bestFit="1" customWidth="1"/>
    <col min="539" max="540" width="7" style="123" bestFit="1" customWidth="1"/>
    <col min="541" max="541" width="8" style="123" bestFit="1" customWidth="1"/>
    <col min="542" max="543" width="7" style="123" bestFit="1" customWidth="1"/>
    <col min="544" max="545" width="8" style="123" bestFit="1" customWidth="1"/>
    <col min="546" max="546" width="7" style="123" bestFit="1" customWidth="1"/>
    <col min="547" max="547" width="8" style="123" bestFit="1" customWidth="1"/>
    <col min="548" max="549" width="7" style="123" bestFit="1" customWidth="1"/>
    <col min="550" max="551" width="8" style="123" bestFit="1" customWidth="1"/>
    <col min="552" max="552" width="7" style="123" bestFit="1" customWidth="1"/>
    <col min="553" max="553" width="8" style="123" bestFit="1" customWidth="1"/>
    <col min="554" max="554" width="7" style="123" bestFit="1" customWidth="1"/>
    <col min="555" max="559" width="8" style="123" bestFit="1" customWidth="1"/>
    <col min="560" max="560" width="5" style="123" bestFit="1" customWidth="1"/>
    <col min="561" max="561" width="7" style="123" bestFit="1" customWidth="1"/>
    <col min="562" max="562" width="8" style="123" bestFit="1" customWidth="1"/>
    <col min="563" max="563" width="5" style="123" bestFit="1" customWidth="1"/>
    <col min="564" max="564" width="8" style="123" bestFit="1" customWidth="1"/>
    <col min="565" max="565" width="7" style="123" bestFit="1" customWidth="1"/>
    <col min="566" max="566" width="5" style="123" bestFit="1" customWidth="1"/>
    <col min="567" max="567" width="8" style="123" bestFit="1" customWidth="1"/>
    <col min="568" max="568" width="7" style="123" bestFit="1" customWidth="1"/>
    <col min="569" max="571" width="8" style="123" bestFit="1" customWidth="1"/>
    <col min="572" max="572" width="7" style="123" bestFit="1" customWidth="1"/>
    <col min="573" max="573" width="5" style="123" bestFit="1" customWidth="1"/>
    <col min="574" max="574" width="8" style="123" bestFit="1" customWidth="1"/>
    <col min="575" max="575" width="7" style="123" bestFit="1" customWidth="1"/>
    <col min="576" max="576" width="8" style="123" bestFit="1" customWidth="1"/>
    <col min="577" max="578" width="7" style="123" bestFit="1" customWidth="1"/>
    <col min="579" max="579" width="8" style="123" bestFit="1" customWidth="1"/>
    <col min="580" max="580" width="7" style="123" bestFit="1" customWidth="1"/>
    <col min="581" max="581" width="8" style="123" bestFit="1" customWidth="1"/>
    <col min="582" max="582" width="5" style="123" bestFit="1" customWidth="1"/>
    <col min="583" max="583" width="8" style="123" bestFit="1" customWidth="1"/>
    <col min="584" max="584" width="5" style="123" bestFit="1" customWidth="1"/>
    <col min="585" max="586" width="8" style="123" bestFit="1" customWidth="1"/>
    <col min="587" max="587" width="7" style="123" bestFit="1" customWidth="1"/>
    <col min="588" max="590" width="8" style="123" bestFit="1" customWidth="1"/>
    <col min="591" max="591" width="7" style="123" bestFit="1" customWidth="1"/>
    <col min="592" max="592" width="8" style="123" bestFit="1" customWidth="1"/>
    <col min="593" max="595" width="7" style="123" bestFit="1" customWidth="1"/>
    <col min="596" max="596" width="5" style="123" bestFit="1" customWidth="1"/>
    <col min="597" max="598" width="7" style="123" bestFit="1" customWidth="1"/>
    <col min="599" max="599" width="8" style="123" bestFit="1" customWidth="1"/>
    <col min="600" max="600" width="7" style="123" bestFit="1" customWidth="1"/>
    <col min="601" max="601" width="5" style="123" bestFit="1" customWidth="1"/>
    <col min="602" max="602" width="7" style="123" bestFit="1" customWidth="1"/>
    <col min="603" max="603" width="8" style="123" bestFit="1" customWidth="1"/>
    <col min="604" max="605" width="7" style="123" bestFit="1" customWidth="1"/>
    <col min="606" max="606" width="8" style="123" bestFit="1" customWidth="1"/>
    <col min="607" max="607" width="7" style="123" bestFit="1" customWidth="1"/>
    <col min="608" max="608" width="8" style="123" bestFit="1" customWidth="1"/>
    <col min="609" max="610" width="7" style="123" bestFit="1" customWidth="1"/>
    <col min="611" max="611" width="5" style="123" bestFit="1" customWidth="1"/>
    <col min="612" max="613" width="7" style="123" bestFit="1" customWidth="1"/>
    <col min="614" max="615" width="8" style="123" bestFit="1" customWidth="1"/>
    <col min="616" max="616" width="7" style="123" bestFit="1" customWidth="1"/>
    <col min="617" max="617" width="8" style="123" bestFit="1" customWidth="1"/>
    <col min="618" max="620" width="7" style="123" bestFit="1" customWidth="1"/>
    <col min="621" max="621" width="8" style="123" bestFit="1" customWidth="1"/>
    <col min="622" max="622" width="7" style="123" bestFit="1" customWidth="1"/>
    <col min="623" max="624" width="8" style="123" bestFit="1" customWidth="1"/>
    <col min="625" max="625" width="7" style="123" bestFit="1" customWidth="1"/>
    <col min="626" max="627" width="8" style="123" bestFit="1" customWidth="1"/>
    <col min="628" max="628" width="5" style="123" bestFit="1" customWidth="1"/>
    <col min="629" max="629" width="7" style="123" bestFit="1" customWidth="1"/>
    <col min="630" max="631" width="8" style="123" bestFit="1" customWidth="1"/>
    <col min="632" max="632" width="7" style="123" bestFit="1" customWidth="1"/>
    <col min="633" max="633" width="8" style="123" bestFit="1" customWidth="1"/>
    <col min="634" max="635" width="7" style="123" bestFit="1" customWidth="1"/>
    <col min="636" max="636" width="8" style="123" bestFit="1" customWidth="1"/>
    <col min="637" max="637" width="5" style="123" bestFit="1" customWidth="1"/>
    <col min="638" max="638" width="7" style="123" bestFit="1" customWidth="1"/>
    <col min="639" max="639" width="5" style="123" bestFit="1" customWidth="1"/>
    <col min="640" max="640" width="7" style="123" bestFit="1" customWidth="1"/>
    <col min="641" max="641" width="8" style="123" bestFit="1" customWidth="1"/>
    <col min="642" max="644" width="7" style="123" bestFit="1" customWidth="1"/>
    <col min="645" max="645" width="8" style="123" bestFit="1" customWidth="1"/>
    <col min="646" max="646" width="7" style="123" bestFit="1" customWidth="1"/>
    <col min="647" max="648" width="8" style="123" bestFit="1" customWidth="1"/>
    <col min="649" max="650" width="7" style="123" bestFit="1" customWidth="1"/>
    <col min="651" max="652" width="8" style="123" bestFit="1" customWidth="1"/>
    <col min="653" max="653" width="7" style="123" bestFit="1" customWidth="1"/>
    <col min="654" max="654" width="5" style="123" bestFit="1" customWidth="1"/>
    <col min="655" max="655" width="8" style="123" bestFit="1" customWidth="1"/>
    <col min="656" max="656" width="7" style="123" bestFit="1" customWidth="1"/>
    <col min="657" max="657" width="8" style="123" bestFit="1" customWidth="1"/>
    <col min="658" max="658" width="5" style="123" bestFit="1" customWidth="1"/>
    <col min="659" max="659" width="7" style="123" bestFit="1" customWidth="1"/>
    <col min="660" max="660" width="8" style="123" bestFit="1" customWidth="1"/>
    <col min="661" max="661" width="5" style="123" bestFit="1" customWidth="1"/>
    <col min="662" max="662" width="8" style="123" bestFit="1" customWidth="1"/>
    <col min="663" max="663" width="5" style="123" bestFit="1" customWidth="1"/>
    <col min="664" max="664" width="8" style="123" bestFit="1" customWidth="1"/>
    <col min="665" max="665" width="7" style="123" bestFit="1" customWidth="1"/>
    <col min="666" max="667" width="8" style="123" bestFit="1" customWidth="1"/>
    <col min="668" max="670" width="7" style="123" bestFit="1" customWidth="1"/>
    <col min="671" max="671" width="8" style="123" bestFit="1" customWidth="1"/>
    <col min="672" max="674" width="7" style="123" bestFit="1" customWidth="1"/>
    <col min="675" max="675" width="8" style="123" bestFit="1" customWidth="1"/>
    <col min="676" max="677" width="5" style="123" bestFit="1" customWidth="1"/>
    <col min="678" max="679" width="8" style="123" bestFit="1" customWidth="1"/>
    <col min="680" max="680" width="5" style="123" bestFit="1" customWidth="1"/>
    <col min="681" max="682" width="8" style="123" bestFit="1" customWidth="1"/>
    <col min="683" max="685" width="7" style="123" bestFit="1" customWidth="1"/>
    <col min="686" max="687" width="8" style="123" bestFit="1" customWidth="1"/>
    <col min="688" max="688" width="5" style="123" bestFit="1" customWidth="1"/>
    <col min="689" max="689" width="8" style="123" bestFit="1" customWidth="1"/>
    <col min="690" max="690" width="7" style="123" bestFit="1" customWidth="1"/>
    <col min="691" max="692" width="8" style="123" bestFit="1" customWidth="1"/>
    <col min="693" max="694" width="7" style="123" bestFit="1" customWidth="1"/>
    <col min="695" max="695" width="5" style="123" bestFit="1" customWidth="1"/>
    <col min="696" max="696" width="7" style="123" bestFit="1" customWidth="1"/>
    <col min="697" max="697" width="8" style="123" bestFit="1" customWidth="1"/>
    <col min="698" max="699" width="7" style="123" bestFit="1" customWidth="1"/>
    <col min="700" max="700" width="5" style="123" bestFit="1" customWidth="1"/>
    <col min="701" max="701" width="8" style="123" bestFit="1" customWidth="1"/>
    <col min="702" max="705" width="7" style="123" bestFit="1" customWidth="1"/>
    <col min="706" max="708" width="8" style="123" bestFit="1" customWidth="1"/>
    <col min="709" max="709" width="7" style="123" bestFit="1" customWidth="1"/>
    <col min="710" max="711" width="8" style="123" bestFit="1" customWidth="1"/>
    <col min="712" max="714" width="7" style="123" bestFit="1" customWidth="1"/>
    <col min="715" max="715" width="5" style="123" bestFit="1" customWidth="1"/>
    <col min="716" max="718" width="8" style="123" bestFit="1" customWidth="1"/>
    <col min="719" max="720" width="7" style="123" bestFit="1" customWidth="1"/>
    <col min="721" max="721" width="8" style="123" bestFit="1" customWidth="1"/>
    <col min="722" max="722" width="7" style="123" bestFit="1" customWidth="1"/>
    <col min="723" max="724" width="8" style="123" bestFit="1" customWidth="1"/>
    <col min="725" max="725" width="7" style="123" bestFit="1" customWidth="1"/>
    <col min="726" max="726" width="5" style="123" bestFit="1" customWidth="1"/>
    <col min="727" max="728" width="7" style="123" bestFit="1" customWidth="1"/>
    <col min="729" max="734" width="8" style="123" bestFit="1" customWidth="1"/>
    <col min="735" max="738" width="7" style="123" bestFit="1" customWidth="1"/>
    <col min="739" max="739" width="8" style="123" bestFit="1" customWidth="1"/>
    <col min="740" max="743" width="7" style="123" bestFit="1" customWidth="1"/>
    <col min="744" max="744" width="8" style="123" bestFit="1" customWidth="1"/>
    <col min="745" max="745" width="7" style="123" bestFit="1" customWidth="1"/>
    <col min="746" max="747" width="8" style="123" bestFit="1" customWidth="1"/>
    <col min="748" max="748" width="7" style="123" bestFit="1" customWidth="1"/>
    <col min="749" max="750" width="5" style="123" bestFit="1" customWidth="1"/>
    <col min="751" max="751" width="8" style="123" bestFit="1" customWidth="1"/>
    <col min="752" max="752" width="5" style="123" bestFit="1" customWidth="1"/>
    <col min="753" max="753" width="8" style="123" bestFit="1" customWidth="1"/>
    <col min="754" max="754" width="5" style="123" bestFit="1" customWidth="1"/>
    <col min="755" max="756" width="8" style="123" bestFit="1" customWidth="1"/>
    <col min="757" max="757" width="7" style="123" bestFit="1" customWidth="1"/>
    <col min="758" max="758" width="5" style="123" bestFit="1" customWidth="1"/>
    <col min="759" max="759" width="7" style="123" bestFit="1" customWidth="1"/>
    <col min="760" max="760" width="8" style="123" bestFit="1" customWidth="1"/>
    <col min="761" max="763" width="7" style="123" bestFit="1" customWidth="1"/>
    <col min="764" max="764" width="8" style="123" bestFit="1" customWidth="1"/>
    <col min="765" max="766" width="7" style="123" bestFit="1" customWidth="1"/>
    <col min="767" max="767" width="5" style="123" bestFit="1" customWidth="1"/>
    <col min="768" max="768" width="8" style="123" bestFit="1" customWidth="1"/>
    <col min="769" max="769" width="5" style="123" bestFit="1" customWidth="1"/>
    <col min="770" max="770" width="8" style="123" bestFit="1" customWidth="1"/>
    <col min="771" max="771" width="5" style="123" bestFit="1" customWidth="1"/>
    <col min="772" max="774" width="8" style="123" bestFit="1" customWidth="1"/>
    <col min="775" max="776" width="5" style="123" bestFit="1" customWidth="1"/>
    <col min="777" max="779" width="8" style="123" bestFit="1" customWidth="1"/>
    <col min="780" max="780" width="7" style="123" bestFit="1" customWidth="1"/>
    <col min="781" max="782" width="8" style="123" bestFit="1" customWidth="1"/>
    <col min="783" max="783" width="5" style="123" bestFit="1" customWidth="1"/>
    <col min="784" max="786" width="8" style="123" bestFit="1" customWidth="1"/>
    <col min="787" max="790" width="7" style="123" bestFit="1" customWidth="1"/>
    <col min="791" max="791" width="5" style="123" bestFit="1" customWidth="1"/>
    <col min="792" max="792" width="8" style="123" bestFit="1" customWidth="1"/>
    <col min="793" max="793" width="5" style="123" bestFit="1" customWidth="1"/>
    <col min="794" max="794" width="8" style="123" bestFit="1" customWidth="1"/>
    <col min="795" max="795" width="7" style="123" bestFit="1" customWidth="1"/>
    <col min="796" max="796" width="5" style="123" bestFit="1" customWidth="1"/>
    <col min="797" max="797" width="7" style="123" bestFit="1" customWidth="1"/>
    <col min="798" max="798" width="8" style="123" bestFit="1" customWidth="1"/>
    <col min="799" max="799" width="7" style="123" bestFit="1" customWidth="1"/>
    <col min="800" max="801" width="5" style="123" bestFit="1" customWidth="1"/>
    <col min="802" max="802" width="8" style="123" bestFit="1" customWidth="1"/>
    <col min="803" max="803" width="7" style="123" bestFit="1" customWidth="1"/>
    <col min="804" max="805" width="8" style="123" bestFit="1" customWidth="1"/>
    <col min="806" max="807" width="7" style="123" bestFit="1" customWidth="1"/>
    <col min="808" max="808" width="8" style="123" bestFit="1" customWidth="1"/>
    <col min="809" max="810" width="5" style="123" bestFit="1" customWidth="1"/>
    <col min="811" max="813" width="7" style="123" bestFit="1" customWidth="1"/>
    <col min="814" max="814" width="8" style="123" bestFit="1" customWidth="1"/>
    <col min="815" max="815" width="7" style="123" bestFit="1" customWidth="1"/>
    <col min="816" max="817" width="8" style="123" bestFit="1" customWidth="1"/>
    <col min="818" max="818" width="7" style="123" bestFit="1" customWidth="1"/>
    <col min="819" max="819" width="8" style="123" bestFit="1" customWidth="1"/>
    <col min="820" max="822" width="5" style="123" bestFit="1" customWidth="1"/>
    <col min="823" max="823" width="7" style="123" bestFit="1" customWidth="1"/>
    <col min="824" max="828" width="8" style="123" bestFit="1" customWidth="1"/>
    <col min="829" max="830" width="7" style="123" bestFit="1" customWidth="1"/>
    <col min="831" max="834" width="8" style="123" bestFit="1" customWidth="1"/>
    <col min="835" max="835" width="7" style="123" bestFit="1" customWidth="1"/>
    <col min="836" max="836" width="5" style="123" bestFit="1" customWidth="1"/>
    <col min="837" max="837" width="7" style="123" bestFit="1" customWidth="1"/>
    <col min="838" max="838" width="8" style="123" bestFit="1" customWidth="1"/>
    <col min="839" max="839" width="7" style="123" bestFit="1" customWidth="1"/>
    <col min="840" max="842" width="8" style="123" bestFit="1" customWidth="1"/>
    <col min="843" max="844" width="5" style="123" bestFit="1" customWidth="1"/>
    <col min="845" max="846" width="7" style="123" bestFit="1" customWidth="1"/>
    <col min="847" max="847" width="5" style="123" bestFit="1" customWidth="1"/>
    <col min="848" max="852" width="7" style="123" bestFit="1" customWidth="1"/>
    <col min="853" max="853" width="8" style="123" bestFit="1" customWidth="1"/>
    <col min="854" max="855" width="7" style="123" bestFit="1" customWidth="1"/>
    <col min="856" max="857" width="8" style="123" bestFit="1" customWidth="1"/>
    <col min="858" max="858" width="5" style="123" bestFit="1" customWidth="1"/>
    <col min="859" max="861" width="7" style="123" bestFit="1" customWidth="1"/>
    <col min="862" max="863" width="8" style="123" bestFit="1" customWidth="1"/>
    <col min="864" max="864" width="7" style="123" bestFit="1" customWidth="1"/>
    <col min="865" max="865" width="5" style="123" bestFit="1" customWidth="1"/>
    <col min="866" max="867" width="7" style="123" bestFit="1" customWidth="1"/>
    <col min="868" max="869" width="8" style="123" bestFit="1" customWidth="1"/>
    <col min="870" max="870" width="7" style="123" bestFit="1" customWidth="1"/>
    <col min="871" max="872" width="5" style="123" bestFit="1" customWidth="1"/>
    <col min="873" max="873" width="8" style="123" bestFit="1" customWidth="1"/>
    <col min="874" max="874" width="7" style="123" bestFit="1" customWidth="1"/>
    <col min="875" max="875" width="8" style="123" bestFit="1" customWidth="1"/>
    <col min="876" max="876" width="7" style="123" bestFit="1" customWidth="1"/>
    <col min="877" max="877" width="5" style="123" bestFit="1" customWidth="1"/>
    <col min="878" max="879" width="8" style="123" bestFit="1" customWidth="1"/>
    <col min="880" max="880" width="7" style="123" bestFit="1" customWidth="1"/>
    <col min="881" max="881" width="8" style="123" bestFit="1" customWidth="1"/>
    <col min="882" max="882" width="7" style="123" bestFit="1" customWidth="1"/>
    <col min="883" max="885" width="5" style="123" bestFit="1" customWidth="1"/>
    <col min="886" max="886" width="7" style="123" bestFit="1" customWidth="1"/>
    <col min="887" max="888" width="8" style="123" bestFit="1" customWidth="1"/>
    <col min="889" max="889" width="7" style="123" bestFit="1" customWidth="1"/>
    <col min="890" max="890" width="8" style="123" bestFit="1" customWidth="1"/>
    <col min="891" max="891" width="7" style="123" bestFit="1" customWidth="1"/>
    <col min="892" max="892" width="8" style="123" bestFit="1" customWidth="1"/>
    <col min="893" max="894" width="7" style="123" bestFit="1" customWidth="1"/>
    <col min="895" max="895" width="5" style="123" bestFit="1" customWidth="1"/>
    <col min="896" max="896" width="8" style="123" bestFit="1" customWidth="1"/>
    <col min="897" max="897" width="7" style="123" bestFit="1" customWidth="1"/>
    <col min="898" max="898" width="8" style="123" bestFit="1" customWidth="1"/>
    <col min="899" max="900" width="7" style="123" bestFit="1" customWidth="1"/>
    <col min="901" max="902" width="8" style="123" bestFit="1" customWidth="1"/>
    <col min="903" max="905" width="7" style="123" bestFit="1" customWidth="1"/>
    <col min="906" max="906" width="8" style="123" bestFit="1" customWidth="1"/>
    <col min="907" max="907" width="5" style="123" bestFit="1" customWidth="1"/>
    <col min="908" max="910" width="7" style="123" bestFit="1" customWidth="1"/>
    <col min="911" max="911" width="8" style="123" bestFit="1" customWidth="1"/>
    <col min="912" max="912" width="7" style="123" bestFit="1" customWidth="1"/>
    <col min="913" max="920" width="8" style="123" bestFit="1" customWidth="1"/>
    <col min="921" max="921" width="7" style="123" bestFit="1" customWidth="1"/>
    <col min="922" max="923" width="8" style="123" bestFit="1" customWidth="1"/>
    <col min="924" max="924" width="7" style="123" bestFit="1" customWidth="1"/>
    <col min="925" max="926" width="5" style="123" bestFit="1" customWidth="1"/>
    <col min="927" max="927" width="7" style="123" bestFit="1" customWidth="1"/>
    <col min="928" max="928" width="5" style="123" bestFit="1" customWidth="1"/>
    <col min="929" max="929" width="7" style="123" bestFit="1" customWidth="1"/>
    <col min="930" max="930" width="8" style="123" bestFit="1" customWidth="1"/>
    <col min="931" max="932" width="7" style="123" bestFit="1" customWidth="1"/>
    <col min="933" max="933" width="5" style="123" bestFit="1" customWidth="1"/>
    <col min="934" max="934" width="7" style="123" bestFit="1" customWidth="1"/>
    <col min="935" max="936" width="8" style="123" bestFit="1" customWidth="1"/>
    <col min="937" max="938" width="7" style="123" bestFit="1" customWidth="1"/>
    <col min="939" max="944" width="8" style="123" bestFit="1" customWidth="1"/>
    <col min="945" max="945" width="5" style="123" bestFit="1" customWidth="1"/>
    <col min="946" max="947" width="8" style="123" bestFit="1" customWidth="1"/>
    <col min="948" max="948" width="7" style="123" bestFit="1" customWidth="1"/>
    <col min="949" max="949" width="8" style="123" bestFit="1" customWidth="1"/>
    <col min="950" max="950" width="7" style="123" bestFit="1" customWidth="1"/>
    <col min="951" max="952" width="8" style="123" bestFit="1" customWidth="1"/>
    <col min="953" max="955" width="7" style="123" bestFit="1" customWidth="1"/>
    <col min="956" max="957" width="8" style="123" bestFit="1" customWidth="1"/>
    <col min="958" max="960" width="7" style="123" bestFit="1" customWidth="1"/>
    <col min="961" max="962" width="8" style="123" bestFit="1" customWidth="1"/>
    <col min="963" max="963" width="7" style="123" bestFit="1" customWidth="1"/>
    <col min="964" max="964" width="5" style="123" bestFit="1" customWidth="1"/>
    <col min="965" max="966" width="7" style="123" bestFit="1" customWidth="1"/>
    <col min="967" max="967" width="8" style="123" bestFit="1" customWidth="1"/>
    <col min="968" max="968" width="5" style="123" bestFit="1" customWidth="1"/>
    <col min="969" max="971" width="7" style="123" bestFit="1" customWidth="1"/>
    <col min="972" max="975" width="8" style="123" bestFit="1" customWidth="1"/>
    <col min="976" max="976" width="7" style="123" bestFit="1" customWidth="1"/>
    <col min="977" max="977" width="8" style="123" bestFit="1" customWidth="1"/>
    <col min="978" max="978" width="7" style="123" bestFit="1" customWidth="1"/>
    <col min="979" max="979" width="8" style="123" bestFit="1" customWidth="1"/>
    <col min="980" max="981" width="5" style="123" bestFit="1" customWidth="1"/>
    <col min="982" max="982" width="7" style="123" bestFit="1" customWidth="1"/>
    <col min="983" max="983" width="5" style="123" bestFit="1" customWidth="1"/>
    <col min="984" max="984" width="7" style="123" bestFit="1" customWidth="1"/>
    <col min="985" max="985" width="8" style="123" bestFit="1" customWidth="1"/>
    <col min="986" max="987" width="7" style="123" bestFit="1" customWidth="1"/>
    <col min="988" max="989" width="5" style="123" bestFit="1" customWidth="1"/>
    <col min="990" max="990" width="8" style="123" bestFit="1" customWidth="1"/>
    <col min="991" max="992" width="5" style="123" bestFit="1" customWidth="1"/>
    <col min="993" max="993" width="8" style="123" bestFit="1" customWidth="1"/>
    <col min="994" max="994" width="7" style="123" bestFit="1" customWidth="1"/>
    <col min="995" max="995" width="8" style="123" bestFit="1" customWidth="1"/>
    <col min="996" max="997" width="7" style="123" bestFit="1" customWidth="1"/>
    <col min="998" max="998" width="8" style="123" bestFit="1" customWidth="1"/>
    <col min="999" max="999" width="7" style="123" bestFit="1" customWidth="1"/>
    <col min="1000" max="1001" width="8" style="123" bestFit="1" customWidth="1"/>
    <col min="1002" max="1002" width="7" style="123" bestFit="1" customWidth="1"/>
    <col min="1003" max="1003" width="5" style="123" bestFit="1" customWidth="1"/>
    <col min="1004" max="1007" width="7" style="123" bestFit="1" customWidth="1"/>
    <col min="1008" max="1009" width="8" style="123" bestFit="1" customWidth="1"/>
    <col min="1010" max="1010" width="7" style="123" bestFit="1" customWidth="1"/>
    <col min="1011" max="1011" width="5" style="123" bestFit="1" customWidth="1"/>
    <col min="1012" max="1012" width="7" style="123" bestFit="1" customWidth="1"/>
    <col min="1013" max="1016" width="8" style="123" bestFit="1" customWidth="1"/>
    <col min="1017" max="1017" width="7" style="123" bestFit="1" customWidth="1"/>
    <col min="1018" max="1019" width="8" style="123" bestFit="1" customWidth="1"/>
    <col min="1020" max="1023" width="7" style="123" bestFit="1" customWidth="1"/>
    <col min="1024" max="1024" width="8" style="123" bestFit="1" customWidth="1"/>
    <col min="1025" max="1025" width="5" style="123" bestFit="1" customWidth="1"/>
    <col min="1026" max="1027" width="8" style="123" bestFit="1" customWidth="1"/>
    <col min="1028" max="1028" width="9" style="123" bestFit="1" customWidth="1"/>
    <col min="1029" max="1029" width="8" style="123" bestFit="1" customWidth="1"/>
    <col min="1030" max="1030" width="9" style="123" bestFit="1" customWidth="1"/>
    <col min="1031" max="1031" width="8" style="123" bestFit="1" customWidth="1"/>
    <col min="1032" max="1033" width="6" style="123" bestFit="1" customWidth="1"/>
    <col min="1034" max="1034" width="8" style="123" bestFit="1" customWidth="1"/>
    <col min="1035" max="1035" width="9" style="123" bestFit="1" customWidth="1"/>
    <col min="1036" max="1037" width="6" style="123" bestFit="1" customWidth="1"/>
    <col min="1038" max="1038" width="8" style="123" bestFit="1" customWidth="1"/>
    <col min="1039" max="1040" width="9" style="123" bestFit="1" customWidth="1"/>
    <col min="1041" max="1041" width="8" style="123" bestFit="1" customWidth="1"/>
    <col min="1042" max="1042" width="6" style="123" bestFit="1" customWidth="1"/>
    <col min="1043" max="1045" width="9" style="123" bestFit="1" customWidth="1"/>
    <col min="1046" max="1048" width="8" style="123" bestFit="1" customWidth="1"/>
    <col min="1049" max="1049" width="9" style="123" bestFit="1" customWidth="1"/>
    <col min="1050" max="1050" width="8" style="123" bestFit="1" customWidth="1"/>
    <col min="1051" max="1051" width="10" style="123" bestFit="1" customWidth="1"/>
    <col min="1052" max="1052" width="6" style="123" bestFit="1" customWidth="1"/>
    <col min="1053" max="1054" width="9" style="123" bestFit="1" customWidth="1"/>
    <col min="1055" max="1055" width="6" style="123" bestFit="1" customWidth="1"/>
    <col min="1056" max="1056" width="9" style="123" bestFit="1" customWidth="1"/>
    <col min="1057" max="1057" width="8" style="123" bestFit="1" customWidth="1"/>
    <col min="1058" max="1058" width="6" style="123" bestFit="1" customWidth="1"/>
    <col min="1059" max="1059" width="9" style="123" bestFit="1" customWidth="1"/>
    <col min="1060" max="1060" width="6" style="123" bestFit="1" customWidth="1"/>
    <col min="1061" max="1061" width="8" style="123" bestFit="1" customWidth="1"/>
    <col min="1062" max="1062" width="6" style="123" bestFit="1" customWidth="1"/>
    <col min="1063" max="1063" width="8" style="123" bestFit="1" customWidth="1"/>
    <col min="1064" max="1066" width="9" style="123" bestFit="1" customWidth="1"/>
    <col min="1067" max="1067" width="6" style="123" bestFit="1" customWidth="1"/>
    <col min="1068" max="1071" width="8" style="123" bestFit="1" customWidth="1"/>
    <col min="1072" max="1072" width="9" style="123" bestFit="1" customWidth="1"/>
    <col min="1073" max="1073" width="8" style="123" bestFit="1" customWidth="1"/>
    <col min="1074" max="1076" width="9" style="123" bestFit="1" customWidth="1"/>
    <col min="1077" max="1077" width="8" style="123" bestFit="1" customWidth="1"/>
    <col min="1078" max="1079" width="9" style="123" bestFit="1" customWidth="1"/>
    <col min="1080" max="1080" width="8" style="123" bestFit="1" customWidth="1"/>
    <col min="1081" max="1082" width="9" style="123" bestFit="1" customWidth="1"/>
    <col min="1083" max="1083" width="8" style="123" bestFit="1" customWidth="1"/>
    <col min="1084" max="1085" width="9" style="123" bestFit="1" customWidth="1"/>
    <col min="1086" max="1086" width="8" style="123" bestFit="1" customWidth="1"/>
    <col min="1087" max="1093" width="9" style="123" bestFit="1" customWidth="1"/>
    <col min="1094" max="1094" width="6" style="123" bestFit="1" customWidth="1"/>
    <col min="1095" max="1095" width="9" style="123" bestFit="1" customWidth="1"/>
    <col min="1096" max="1098" width="8" style="123" bestFit="1" customWidth="1"/>
    <col min="1099" max="1099" width="9" style="123" bestFit="1" customWidth="1"/>
    <col min="1100" max="1100" width="8" style="123" bestFit="1" customWidth="1"/>
    <col min="1101" max="1102" width="9" style="123" bestFit="1" customWidth="1"/>
    <col min="1103" max="1106" width="8" style="123" bestFit="1" customWidth="1"/>
    <col min="1107" max="1107" width="9" style="123" bestFit="1" customWidth="1"/>
    <col min="1108" max="1108" width="8" style="123" bestFit="1" customWidth="1"/>
    <col min="1109" max="1109" width="9" style="123" bestFit="1" customWidth="1"/>
    <col min="1110" max="1111" width="8" style="123" bestFit="1" customWidth="1"/>
    <col min="1112" max="1112" width="9" style="123" bestFit="1" customWidth="1"/>
    <col min="1113" max="1113" width="8" style="123" bestFit="1" customWidth="1"/>
    <col min="1114" max="1114" width="6" style="123" bestFit="1" customWidth="1"/>
    <col min="1115" max="1115" width="9" style="123" bestFit="1" customWidth="1"/>
    <col min="1116" max="1116" width="8" style="123" bestFit="1" customWidth="1"/>
    <col min="1117" max="1117" width="6" style="123" bestFit="1" customWidth="1"/>
    <col min="1118" max="1118" width="9" style="123" bestFit="1" customWidth="1"/>
    <col min="1119" max="1119" width="6" style="123" bestFit="1" customWidth="1"/>
    <col min="1120" max="1120" width="9" style="123" bestFit="1" customWidth="1"/>
    <col min="1121" max="1121" width="6" style="123" bestFit="1" customWidth="1"/>
    <col min="1122" max="1122" width="9" style="123" bestFit="1" customWidth="1"/>
    <col min="1123" max="1123" width="8" style="123" bestFit="1" customWidth="1"/>
    <col min="1124" max="1131" width="9" style="123" bestFit="1" customWidth="1"/>
    <col min="1132" max="1133" width="6" style="123" bestFit="1" customWidth="1"/>
    <col min="1134" max="1136" width="9" style="123" bestFit="1" customWidth="1"/>
    <col min="1137" max="1138" width="8" style="123" bestFit="1" customWidth="1"/>
    <col min="1139" max="1139" width="9" style="123" bestFit="1" customWidth="1"/>
    <col min="1140" max="1140" width="6" style="123" bestFit="1" customWidth="1"/>
    <col min="1141" max="1141" width="8" style="123" bestFit="1" customWidth="1"/>
    <col min="1142" max="1142" width="9" style="123" bestFit="1" customWidth="1"/>
    <col min="1143" max="1143" width="8" style="123" bestFit="1" customWidth="1"/>
    <col min="1144" max="1145" width="9" style="123" bestFit="1" customWidth="1"/>
    <col min="1146" max="1148" width="8" style="123" bestFit="1" customWidth="1"/>
    <col min="1149" max="1150" width="9" style="123" bestFit="1" customWidth="1"/>
    <col min="1151" max="1151" width="6" style="123" bestFit="1" customWidth="1"/>
    <col min="1152" max="1152" width="9" style="123" bestFit="1" customWidth="1"/>
    <col min="1153" max="1153" width="6" style="123" bestFit="1" customWidth="1"/>
    <col min="1154" max="1157" width="9" style="123" bestFit="1" customWidth="1"/>
    <col min="1158" max="1160" width="8" style="123" bestFit="1" customWidth="1"/>
    <col min="1161" max="1161" width="9" style="123" bestFit="1" customWidth="1"/>
    <col min="1162" max="1162" width="6" style="123" bestFit="1" customWidth="1"/>
    <col min="1163" max="1164" width="9" style="123" bestFit="1" customWidth="1"/>
    <col min="1165" max="1166" width="8" style="123" bestFit="1" customWidth="1"/>
    <col min="1167" max="1169" width="9" style="123" bestFit="1" customWidth="1"/>
    <col min="1170" max="1170" width="8" style="123" bestFit="1" customWidth="1"/>
    <col min="1171" max="1172" width="9" style="123" bestFit="1" customWidth="1"/>
    <col min="1173" max="1174" width="8" style="123" bestFit="1" customWidth="1"/>
    <col min="1175" max="1175" width="9" style="123" bestFit="1" customWidth="1"/>
    <col min="1176" max="1176" width="8" style="123" bestFit="1" customWidth="1"/>
    <col min="1177" max="1177" width="9" style="123" bestFit="1" customWidth="1"/>
    <col min="1178" max="1178" width="6" style="123" bestFit="1" customWidth="1"/>
    <col min="1179" max="1180" width="9" style="123" bestFit="1" customWidth="1"/>
    <col min="1181" max="1181" width="8" style="123" bestFit="1" customWidth="1"/>
    <col min="1182" max="1182" width="9" style="123" bestFit="1" customWidth="1"/>
    <col min="1183" max="1183" width="8" style="123" bestFit="1" customWidth="1"/>
    <col min="1184" max="1184" width="9" style="123" bestFit="1" customWidth="1"/>
    <col min="1185" max="1185" width="8" style="123" bestFit="1" customWidth="1"/>
    <col min="1186" max="1186" width="6" style="123" bestFit="1" customWidth="1"/>
    <col min="1187" max="1187" width="8" style="123" bestFit="1" customWidth="1"/>
    <col min="1188" max="1188" width="9" style="123" bestFit="1" customWidth="1"/>
    <col min="1189" max="1189" width="6" style="123" bestFit="1" customWidth="1"/>
    <col min="1190" max="1190" width="8" style="123" bestFit="1" customWidth="1"/>
    <col min="1191" max="1191" width="9" style="123" bestFit="1" customWidth="1"/>
    <col min="1192" max="1192" width="6" style="123" bestFit="1" customWidth="1"/>
    <col min="1193" max="1195" width="8" style="123" bestFit="1" customWidth="1"/>
    <col min="1196" max="1196" width="9" style="123" bestFit="1" customWidth="1"/>
    <col min="1197" max="1197" width="8" style="123" bestFit="1" customWidth="1"/>
    <col min="1198" max="1201" width="9" style="123" bestFit="1" customWidth="1"/>
    <col min="1202" max="1202" width="6" style="123" bestFit="1" customWidth="1"/>
    <col min="1203" max="1203" width="9" style="123" bestFit="1" customWidth="1"/>
    <col min="1204" max="1204" width="8" style="123" bestFit="1" customWidth="1"/>
    <col min="1205" max="1205" width="6" style="123" bestFit="1" customWidth="1"/>
    <col min="1206" max="1208" width="9" style="123" bestFit="1" customWidth="1"/>
    <col min="1209" max="1209" width="8" style="123" bestFit="1" customWidth="1"/>
    <col min="1210" max="1211" width="9" style="123" bestFit="1" customWidth="1"/>
    <col min="1212" max="1213" width="8" style="123" bestFit="1" customWidth="1"/>
    <col min="1214" max="1215" width="9" style="123" bestFit="1" customWidth="1"/>
    <col min="1216" max="1218" width="8" style="123" bestFit="1" customWidth="1"/>
    <col min="1219" max="1220" width="9" style="123" bestFit="1" customWidth="1"/>
    <col min="1221" max="1221" width="8" style="123" bestFit="1" customWidth="1"/>
    <col min="1222" max="1228" width="9" style="123" bestFit="1" customWidth="1"/>
    <col min="1229" max="1229" width="8" style="123" bestFit="1" customWidth="1"/>
    <col min="1230" max="1230" width="9" style="123" bestFit="1" customWidth="1"/>
    <col min="1231" max="1231" width="6" style="123" bestFit="1" customWidth="1"/>
    <col min="1232" max="1233" width="9" style="123" bestFit="1" customWidth="1"/>
    <col min="1234" max="1234" width="6" style="123" bestFit="1" customWidth="1"/>
    <col min="1235" max="1235" width="9" style="123" bestFit="1" customWidth="1"/>
    <col min="1236" max="1237" width="6" style="123" bestFit="1" customWidth="1"/>
    <col min="1238" max="1238" width="8" style="123" bestFit="1" customWidth="1"/>
    <col min="1239" max="1239" width="9" style="123" bestFit="1" customWidth="1"/>
    <col min="1240" max="1240" width="8" style="123" bestFit="1" customWidth="1"/>
    <col min="1241" max="1241" width="9" style="123" bestFit="1" customWidth="1"/>
    <col min="1242" max="1243" width="8" style="123" bestFit="1" customWidth="1"/>
    <col min="1244" max="1247" width="9" style="123" bestFit="1" customWidth="1"/>
    <col min="1248" max="1249" width="8" style="123" bestFit="1" customWidth="1"/>
    <col min="1250" max="1256" width="9" style="123" bestFit="1" customWidth="1"/>
    <col min="1257" max="1258" width="8" style="123" bestFit="1" customWidth="1"/>
    <col min="1259" max="1260" width="6" style="123" bestFit="1" customWidth="1"/>
    <col min="1261" max="1262" width="9" style="123" bestFit="1" customWidth="1"/>
    <col min="1263" max="1263" width="8" style="123" bestFit="1" customWidth="1"/>
    <col min="1264" max="1264" width="6" style="123" bestFit="1" customWidth="1"/>
    <col min="1265" max="1265" width="9" style="123" bestFit="1" customWidth="1"/>
    <col min="1266" max="1266" width="6" style="123" bestFit="1" customWidth="1"/>
    <col min="1267" max="1267" width="9" style="123" bestFit="1" customWidth="1"/>
    <col min="1268" max="1268" width="6" style="123" bestFit="1" customWidth="1"/>
    <col min="1269" max="1269" width="8" style="123" bestFit="1" customWidth="1"/>
    <col min="1270" max="1270" width="6" style="123" bestFit="1" customWidth="1"/>
    <col min="1271" max="1271" width="8" style="123" bestFit="1" customWidth="1"/>
    <col min="1272" max="1272" width="9" style="123" bestFit="1" customWidth="1"/>
    <col min="1273" max="1273" width="8" style="123" bestFit="1" customWidth="1"/>
    <col min="1274" max="1274" width="9" style="123" bestFit="1" customWidth="1"/>
    <col min="1275" max="1276" width="8" style="123" bestFit="1" customWidth="1"/>
    <col min="1277" max="1278" width="6" style="123" bestFit="1" customWidth="1"/>
    <col min="1279" max="1280" width="8" style="123" bestFit="1" customWidth="1"/>
    <col min="1281" max="1282" width="9" style="123" bestFit="1" customWidth="1"/>
    <col min="1283" max="1283" width="8" style="123" bestFit="1" customWidth="1"/>
    <col min="1284" max="1284" width="6" style="123" bestFit="1" customWidth="1"/>
    <col min="1285" max="1290" width="8" style="123" bestFit="1" customWidth="1"/>
    <col min="1291" max="1291" width="9" style="123" bestFit="1" customWidth="1"/>
    <col min="1292" max="1296" width="8" style="123" bestFit="1" customWidth="1"/>
    <col min="1297" max="1297" width="6" style="123" bestFit="1" customWidth="1"/>
    <col min="1298" max="1298" width="8" style="123" bestFit="1" customWidth="1"/>
    <col min="1299" max="1299" width="9" style="123" bestFit="1" customWidth="1"/>
    <col min="1300" max="1300" width="6" style="123" bestFit="1" customWidth="1"/>
    <col min="1301" max="1301" width="8" style="123" bestFit="1" customWidth="1"/>
    <col min="1302" max="1305" width="9" style="123" bestFit="1" customWidth="1"/>
    <col min="1306" max="1310" width="6" style="123" bestFit="1" customWidth="1"/>
    <col min="1311" max="1314" width="9" style="123" bestFit="1" customWidth="1"/>
    <col min="1315" max="1315" width="8" style="123" bestFit="1" customWidth="1"/>
    <col min="1316" max="1316" width="6" style="123" bestFit="1" customWidth="1"/>
    <col min="1317" max="1318" width="9" style="123" bestFit="1" customWidth="1"/>
    <col min="1319" max="1319" width="8" style="123" bestFit="1" customWidth="1"/>
    <col min="1320" max="1323" width="9" style="123" bestFit="1" customWidth="1"/>
    <col min="1324" max="1324" width="6" style="123" bestFit="1" customWidth="1"/>
    <col min="1325" max="1327" width="8" style="123" bestFit="1" customWidth="1"/>
    <col min="1328" max="1328" width="9" style="123" bestFit="1" customWidth="1"/>
    <col min="1329" max="1329" width="6" style="123" bestFit="1" customWidth="1"/>
    <col min="1330" max="1330" width="9" style="123" bestFit="1" customWidth="1"/>
    <col min="1331" max="1331" width="8" style="123" bestFit="1" customWidth="1"/>
    <col min="1332" max="1333" width="9" style="123" bestFit="1" customWidth="1"/>
    <col min="1334" max="1334" width="6" style="123" bestFit="1" customWidth="1"/>
    <col min="1335" max="1337" width="8" style="123" bestFit="1" customWidth="1"/>
    <col min="1338" max="1338" width="9" style="123" bestFit="1" customWidth="1"/>
    <col min="1339" max="1339" width="6" style="123" bestFit="1" customWidth="1"/>
    <col min="1340" max="1341" width="9" style="123" bestFit="1" customWidth="1"/>
    <col min="1342" max="1342" width="8" style="123" bestFit="1" customWidth="1"/>
    <col min="1343" max="1344" width="9" style="123" bestFit="1" customWidth="1"/>
    <col min="1345" max="1345" width="8" style="123" bestFit="1" customWidth="1"/>
    <col min="1346" max="1346" width="9" style="123" bestFit="1" customWidth="1"/>
    <col min="1347" max="1347" width="10" style="123" bestFit="1" customWidth="1"/>
    <col min="1348" max="1348" width="9" style="123" bestFit="1" customWidth="1"/>
    <col min="1349" max="1349" width="6" style="123" bestFit="1" customWidth="1"/>
    <col min="1350" max="1350" width="8" style="123" bestFit="1" customWidth="1"/>
    <col min="1351" max="1351" width="6" style="123" bestFit="1" customWidth="1"/>
    <col min="1352" max="1352" width="9" style="123" bestFit="1" customWidth="1"/>
    <col min="1353" max="1353" width="8" style="123" bestFit="1" customWidth="1"/>
    <col min="1354" max="1355" width="9" style="123" bestFit="1" customWidth="1"/>
    <col min="1356" max="1357" width="6" style="123" bestFit="1" customWidth="1"/>
    <col min="1358" max="1360" width="9" style="123" bestFit="1" customWidth="1"/>
    <col min="1361" max="1361" width="8" style="123" bestFit="1" customWidth="1"/>
    <col min="1362" max="1363" width="9" style="123" bestFit="1" customWidth="1"/>
    <col min="1364" max="1364" width="6" style="123" bestFit="1" customWidth="1"/>
    <col min="1365" max="1366" width="8" style="123" bestFit="1" customWidth="1"/>
    <col min="1367" max="1367" width="9" style="123" bestFit="1" customWidth="1"/>
    <col min="1368" max="1369" width="8" style="123" bestFit="1" customWidth="1"/>
    <col min="1370" max="1372" width="6" style="123" bestFit="1" customWidth="1"/>
    <col min="1373" max="1373" width="9" style="123" bestFit="1" customWidth="1"/>
    <col min="1374" max="1374" width="8" style="123" bestFit="1" customWidth="1"/>
    <col min="1375" max="1375" width="6" style="123" bestFit="1" customWidth="1"/>
    <col min="1376" max="1378" width="8" style="123" bestFit="1" customWidth="1"/>
    <col min="1379" max="1385" width="9" style="123" bestFit="1" customWidth="1"/>
    <col min="1386" max="1386" width="6" style="123" bestFit="1" customWidth="1"/>
    <col min="1387" max="1387" width="8" style="123" bestFit="1" customWidth="1"/>
    <col min="1388" max="1388" width="6" style="123" bestFit="1" customWidth="1"/>
    <col min="1389" max="1389" width="9" style="123" bestFit="1" customWidth="1"/>
    <col min="1390" max="1391" width="8" style="123" bestFit="1" customWidth="1"/>
    <col min="1392" max="1393" width="9" style="123" bestFit="1" customWidth="1"/>
    <col min="1394" max="1394" width="6" style="123" bestFit="1" customWidth="1"/>
    <col min="1395" max="1395" width="8" style="123" bestFit="1" customWidth="1"/>
    <col min="1396" max="1396" width="9" style="123" bestFit="1" customWidth="1"/>
    <col min="1397" max="1397" width="8" style="123" bestFit="1" customWidth="1"/>
    <col min="1398" max="1398" width="6" style="123" bestFit="1" customWidth="1"/>
    <col min="1399" max="1399" width="8" style="123" bestFit="1" customWidth="1"/>
    <col min="1400" max="1400" width="6" style="123" bestFit="1" customWidth="1"/>
    <col min="1401" max="1401" width="9" style="123" bestFit="1" customWidth="1"/>
    <col min="1402" max="1402" width="8" style="123" bestFit="1" customWidth="1"/>
    <col min="1403" max="1405" width="9" style="123" bestFit="1" customWidth="1"/>
    <col min="1406" max="1406" width="8" style="123" bestFit="1" customWidth="1"/>
    <col min="1407" max="1409" width="9" style="123" bestFit="1" customWidth="1"/>
    <col min="1410" max="1410" width="8" style="123" bestFit="1" customWidth="1"/>
    <col min="1411" max="1411" width="9" style="123" bestFit="1" customWidth="1"/>
    <col min="1412" max="1412" width="8" style="123" bestFit="1" customWidth="1"/>
    <col min="1413" max="1414" width="6" style="123" bestFit="1" customWidth="1"/>
    <col min="1415" max="1415" width="9" style="123" bestFit="1" customWidth="1"/>
    <col min="1416" max="1416" width="8" style="123" bestFit="1" customWidth="1"/>
    <col min="1417" max="1417" width="12.5703125" style="123" bestFit="1" customWidth="1"/>
    <col min="1418" max="1419" width="7" style="123" bestFit="1" customWidth="1"/>
    <col min="1420" max="1421" width="8" style="123" bestFit="1" customWidth="1"/>
    <col min="1422" max="1423" width="7" style="123" bestFit="1" customWidth="1"/>
    <col min="1424" max="1424" width="8" style="123" bestFit="1" customWidth="1"/>
    <col min="1425" max="1426" width="5" style="123" bestFit="1" customWidth="1"/>
    <col min="1427" max="1427" width="7" style="123" bestFit="1" customWidth="1"/>
    <col min="1428" max="1428" width="8" style="123" bestFit="1" customWidth="1"/>
    <col min="1429" max="1431" width="7" style="123" bestFit="1" customWidth="1"/>
    <col min="1432" max="1432" width="8" style="123" bestFit="1" customWidth="1"/>
    <col min="1433" max="1433" width="7" style="123" bestFit="1" customWidth="1"/>
    <col min="1434" max="1435" width="5" style="123" bestFit="1" customWidth="1"/>
    <col min="1436" max="1437" width="7" style="123" bestFit="1" customWidth="1"/>
    <col min="1438" max="1438" width="8" style="123" bestFit="1" customWidth="1"/>
    <col min="1439" max="1440" width="7" style="123" bestFit="1" customWidth="1"/>
    <col min="1441" max="1441" width="5" style="123" bestFit="1" customWidth="1"/>
    <col min="1442" max="1442" width="8" style="123" bestFit="1" customWidth="1"/>
    <col min="1443" max="1444" width="7" style="123" bestFit="1" customWidth="1"/>
    <col min="1445" max="1445" width="8" style="123" bestFit="1" customWidth="1"/>
    <col min="1446" max="1446" width="5" style="123" bestFit="1" customWidth="1"/>
    <col min="1447" max="1449" width="8" style="123" bestFit="1" customWidth="1"/>
    <col min="1450" max="1457" width="7" style="123" bestFit="1" customWidth="1"/>
    <col min="1458" max="1458" width="8" style="123" bestFit="1" customWidth="1"/>
    <col min="1459" max="1459" width="5" style="123" bestFit="1" customWidth="1"/>
    <col min="1460" max="1462" width="8" style="123" bestFit="1" customWidth="1"/>
    <col min="1463" max="1463" width="7" style="123" bestFit="1" customWidth="1"/>
    <col min="1464" max="1464" width="5" style="123" bestFit="1" customWidth="1"/>
    <col min="1465" max="1465" width="8" style="123" bestFit="1" customWidth="1"/>
    <col min="1466" max="1466" width="7" style="123" bestFit="1" customWidth="1"/>
    <col min="1467" max="1467" width="8" style="123" bestFit="1" customWidth="1"/>
    <col min="1468" max="1468" width="5" style="123" bestFit="1" customWidth="1"/>
    <col min="1469" max="1470" width="7" style="123" bestFit="1" customWidth="1"/>
    <col min="1471" max="1473" width="8" style="123" bestFit="1" customWidth="1"/>
    <col min="1474" max="1474" width="5" style="123" bestFit="1" customWidth="1"/>
    <col min="1475" max="1475" width="7" style="123" bestFit="1" customWidth="1"/>
    <col min="1476" max="1477" width="5" style="123" bestFit="1" customWidth="1"/>
    <col min="1478" max="1480" width="7" style="123" bestFit="1" customWidth="1"/>
    <col min="1481" max="1481" width="8" style="123" bestFit="1" customWidth="1"/>
    <col min="1482" max="1482" width="5" style="123" bestFit="1" customWidth="1"/>
    <col min="1483" max="1483" width="8" style="123" bestFit="1" customWidth="1"/>
    <col min="1484" max="1487" width="7" style="123" bestFit="1" customWidth="1"/>
    <col min="1488" max="1489" width="8" style="123" bestFit="1" customWidth="1"/>
    <col min="1490" max="1493" width="7" style="123" bestFit="1" customWidth="1"/>
    <col min="1494" max="1495" width="8" style="123" bestFit="1" customWidth="1"/>
    <col min="1496" max="1496" width="7" style="123" bestFit="1" customWidth="1"/>
    <col min="1497" max="1497" width="8" style="123" bestFit="1" customWidth="1"/>
    <col min="1498" max="1498" width="7" style="123" bestFit="1" customWidth="1"/>
    <col min="1499" max="1499" width="5" style="123" bestFit="1" customWidth="1"/>
    <col min="1500" max="1500" width="8" style="123" bestFit="1" customWidth="1"/>
    <col min="1501" max="1501" width="7" style="123" bestFit="1" customWidth="1"/>
    <col min="1502" max="1502" width="8" style="123" bestFit="1" customWidth="1"/>
    <col min="1503" max="1507" width="7" style="123" bestFit="1" customWidth="1"/>
    <col min="1508" max="1509" width="8" style="123" bestFit="1" customWidth="1"/>
    <col min="1510" max="1510" width="5" style="123" bestFit="1" customWidth="1"/>
    <col min="1511" max="1512" width="8" style="123" bestFit="1" customWidth="1"/>
    <col min="1513" max="1515" width="7" style="123" bestFit="1" customWidth="1"/>
    <col min="1516" max="1516" width="8" style="123" bestFit="1" customWidth="1"/>
    <col min="1517" max="1517" width="7" style="123" bestFit="1" customWidth="1"/>
    <col min="1518" max="1518" width="8" style="123" bestFit="1" customWidth="1"/>
    <col min="1519" max="1519" width="7" style="123" bestFit="1" customWidth="1"/>
    <col min="1520" max="1520" width="5" style="123" bestFit="1" customWidth="1"/>
    <col min="1521" max="1521" width="8" style="123" bestFit="1" customWidth="1"/>
    <col min="1522" max="1522" width="7" style="123" bestFit="1" customWidth="1"/>
    <col min="1523" max="1523" width="5" style="123" bestFit="1" customWidth="1"/>
    <col min="1524" max="1524" width="7" style="123" bestFit="1" customWidth="1"/>
    <col min="1525" max="1525" width="8" style="123" bestFit="1" customWidth="1"/>
    <col min="1526" max="1527" width="7" style="123" bestFit="1" customWidth="1"/>
    <col min="1528" max="1528" width="8" style="123" bestFit="1" customWidth="1"/>
    <col min="1529" max="1535" width="7" style="123" bestFit="1" customWidth="1"/>
    <col min="1536" max="1536" width="5" style="123" bestFit="1" customWidth="1"/>
    <col min="1537" max="1538" width="7" style="123" bestFit="1" customWidth="1"/>
    <col min="1539" max="1539" width="5" style="123" bestFit="1" customWidth="1"/>
    <col min="1540" max="1540" width="8" style="123" bestFit="1" customWidth="1"/>
    <col min="1541" max="1541" width="5" style="123" bestFit="1" customWidth="1"/>
    <col min="1542" max="1542" width="7" style="123" bestFit="1" customWidth="1"/>
    <col min="1543" max="1543" width="8" style="123" bestFit="1" customWidth="1"/>
    <col min="1544" max="1544" width="7" style="123" bestFit="1" customWidth="1"/>
    <col min="1545" max="1545" width="8" style="123" bestFit="1" customWidth="1"/>
    <col min="1546" max="1546" width="7" style="123" bestFit="1" customWidth="1"/>
    <col min="1547" max="1547" width="8" style="123" bestFit="1" customWidth="1"/>
    <col min="1548" max="1550" width="7" style="123" bestFit="1" customWidth="1"/>
    <col min="1551" max="1551" width="8" style="123" bestFit="1" customWidth="1"/>
    <col min="1552" max="1554" width="7" style="123" bestFit="1" customWidth="1"/>
    <col min="1555" max="1556" width="8" style="123" bestFit="1" customWidth="1"/>
    <col min="1557" max="1558" width="7" style="123" bestFit="1" customWidth="1"/>
    <col min="1559" max="1560" width="8" style="123" bestFit="1" customWidth="1"/>
    <col min="1561" max="1562" width="7" style="123" bestFit="1" customWidth="1"/>
    <col min="1563" max="1563" width="8" style="123" bestFit="1" customWidth="1"/>
    <col min="1564" max="1564" width="5" style="123" bestFit="1" customWidth="1"/>
    <col min="1565" max="1565" width="7" style="123" bestFit="1" customWidth="1"/>
    <col min="1566" max="1566" width="8" style="123" bestFit="1" customWidth="1"/>
    <col min="1567" max="1567" width="7" style="123" bestFit="1" customWidth="1"/>
    <col min="1568" max="1569" width="8" style="123" bestFit="1" customWidth="1"/>
    <col min="1570" max="1570" width="7" style="123" bestFit="1" customWidth="1"/>
    <col min="1571" max="1571" width="8" style="123" bestFit="1" customWidth="1"/>
    <col min="1572" max="1580" width="7" style="123" bestFit="1" customWidth="1"/>
    <col min="1581" max="1581" width="8" style="123" bestFit="1" customWidth="1"/>
    <col min="1582" max="1582" width="7" style="123" bestFit="1" customWidth="1"/>
    <col min="1583" max="1583" width="8" style="123" bestFit="1" customWidth="1"/>
    <col min="1584" max="1585" width="5" style="123" bestFit="1" customWidth="1"/>
    <col min="1586" max="1587" width="7" style="123" bestFit="1" customWidth="1"/>
    <col min="1588" max="1588" width="5" style="123" bestFit="1" customWidth="1"/>
    <col min="1589" max="1589" width="8" style="123" bestFit="1" customWidth="1"/>
    <col min="1590" max="1590" width="5" style="123" bestFit="1" customWidth="1"/>
    <col min="1591" max="1593" width="8" style="123" bestFit="1" customWidth="1"/>
    <col min="1594" max="1594" width="5" style="123" bestFit="1" customWidth="1"/>
    <col min="1595" max="1596" width="7" style="123" bestFit="1" customWidth="1"/>
    <col min="1597" max="1598" width="5" style="123" bestFit="1" customWidth="1"/>
    <col min="1599" max="1600" width="8" style="123" bestFit="1" customWidth="1"/>
    <col min="1601" max="1601" width="7" style="123" bestFit="1" customWidth="1"/>
    <col min="1602" max="1603" width="8" style="123" bestFit="1" customWidth="1"/>
    <col min="1604" max="1604" width="7" style="123" bestFit="1" customWidth="1"/>
    <col min="1605" max="1605" width="8" style="123" bestFit="1" customWidth="1"/>
    <col min="1606" max="1607" width="5" style="123" bestFit="1" customWidth="1"/>
    <col min="1608" max="1608" width="7" style="123" bestFit="1" customWidth="1"/>
    <col min="1609" max="1610" width="8" style="123" bestFit="1" customWidth="1"/>
    <col min="1611" max="1612" width="7" style="123" bestFit="1" customWidth="1"/>
    <col min="1613" max="1613" width="8" style="123" bestFit="1" customWidth="1"/>
    <col min="1614" max="1614" width="7" style="123" bestFit="1" customWidth="1"/>
    <col min="1615" max="1616" width="8" style="123" bestFit="1" customWidth="1"/>
    <col min="1617" max="1617" width="7" style="123" bestFit="1" customWidth="1"/>
    <col min="1618" max="1618" width="5" style="123" bestFit="1" customWidth="1"/>
    <col min="1619" max="1619" width="7" style="123" bestFit="1" customWidth="1"/>
    <col min="1620" max="1620" width="5" style="123" bestFit="1" customWidth="1"/>
    <col min="1621" max="1621" width="8" style="123" bestFit="1" customWidth="1"/>
    <col min="1622" max="1623" width="7" style="123" bestFit="1" customWidth="1"/>
    <col min="1624" max="1624" width="8" style="123" bestFit="1" customWidth="1"/>
    <col min="1625" max="1626" width="7" style="123" bestFit="1" customWidth="1"/>
    <col min="1627" max="1632" width="8" style="123" bestFit="1" customWidth="1"/>
    <col min="1633" max="1634" width="7" style="123" bestFit="1" customWidth="1"/>
    <col min="1635" max="1635" width="8" style="123" bestFit="1" customWidth="1"/>
    <col min="1636" max="1637" width="7" style="123" bestFit="1" customWidth="1"/>
    <col min="1638" max="1639" width="8" style="123" bestFit="1" customWidth="1"/>
    <col min="1640" max="1642" width="7" style="123" bestFit="1" customWidth="1"/>
    <col min="1643" max="1643" width="5" style="123" bestFit="1" customWidth="1"/>
    <col min="1644" max="1644" width="8" style="123" bestFit="1" customWidth="1"/>
    <col min="1645" max="1645" width="7" style="123" bestFit="1" customWidth="1"/>
    <col min="1646" max="1647" width="8" style="123" bestFit="1" customWidth="1"/>
    <col min="1648" max="1650" width="7" style="123" bestFit="1" customWidth="1"/>
    <col min="1651" max="1651" width="8" style="123" bestFit="1" customWidth="1"/>
    <col min="1652" max="1652" width="7" style="123" bestFit="1" customWidth="1"/>
    <col min="1653" max="1654" width="8" style="123" bestFit="1" customWidth="1"/>
    <col min="1655" max="1655" width="7" style="123" bestFit="1" customWidth="1"/>
    <col min="1656" max="1656" width="8" style="123" bestFit="1" customWidth="1"/>
    <col min="1657" max="1657" width="7" style="123" bestFit="1" customWidth="1"/>
    <col min="1658" max="1658" width="5" style="123" bestFit="1" customWidth="1"/>
    <col min="1659" max="1659" width="7" style="123" bestFit="1" customWidth="1"/>
    <col min="1660" max="1662" width="8" style="123" bestFit="1" customWidth="1"/>
    <col min="1663" max="1663" width="5" style="123" bestFit="1" customWidth="1"/>
    <col min="1664" max="1664" width="7" style="123" bestFit="1" customWidth="1"/>
    <col min="1665" max="1665" width="5" style="123" bestFit="1" customWidth="1"/>
    <col min="1666" max="1666" width="7" style="123" bestFit="1" customWidth="1"/>
    <col min="1667" max="1670" width="8" style="123" bestFit="1" customWidth="1"/>
    <col min="1671" max="1672" width="5" style="123" bestFit="1" customWidth="1"/>
    <col min="1673" max="1673" width="7" style="123" bestFit="1" customWidth="1"/>
    <col min="1674" max="1674" width="5" style="123" bestFit="1" customWidth="1"/>
    <col min="1675" max="1675" width="7" style="123" bestFit="1" customWidth="1"/>
    <col min="1676" max="1677" width="8" style="123" bestFit="1" customWidth="1"/>
    <col min="1678" max="1678" width="5" style="123" bestFit="1" customWidth="1"/>
    <col min="1679" max="1680" width="7" style="123" bestFit="1" customWidth="1"/>
    <col min="1681" max="1681" width="8" style="123" bestFit="1" customWidth="1"/>
    <col min="1682" max="1684" width="7" style="123" bestFit="1" customWidth="1"/>
    <col min="1685" max="1686" width="8" style="123" bestFit="1" customWidth="1"/>
    <col min="1687" max="1687" width="5" style="123" bestFit="1" customWidth="1"/>
    <col min="1688" max="1690" width="7" style="123" bestFit="1" customWidth="1"/>
    <col min="1691" max="1691" width="8" style="123" bestFit="1" customWidth="1"/>
    <col min="1692" max="1693" width="7" style="123" bestFit="1" customWidth="1"/>
    <col min="1694" max="1694" width="8" style="123" bestFit="1" customWidth="1"/>
    <col min="1695" max="1695" width="5" style="123" bestFit="1" customWidth="1"/>
    <col min="1696" max="1696" width="7" style="123" bestFit="1" customWidth="1"/>
    <col min="1697" max="1697" width="8" style="123" bestFit="1" customWidth="1"/>
    <col min="1698" max="1700" width="7" style="123" bestFit="1" customWidth="1"/>
    <col min="1701" max="1701" width="5" style="123" bestFit="1" customWidth="1"/>
    <col min="1702" max="1703" width="7" style="123" bestFit="1" customWidth="1"/>
    <col min="1704" max="1705" width="8" style="123" bestFit="1" customWidth="1"/>
    <col min="1706" max="1706" width="5" style="123" bestFit="1" customWidth="1"/>
    <col min="1707" max="1708" width="7" style="123" bestFit="1" customWidth="1"/>
    <col min="1709" max="1711" width="8" style="123" bestFit="1" customWidth="1"/>
    <col min="1712" max="1712" width="7" style="123" bestFit="1" customWidth="1"/>
    <col min="1713" max="1713" width="8" style="123" bestFit="1" customWidth="1"/>
    <col min="1714" max="1716" width="7" style="123" bestFit="1" customWidth="1"/>
    <col min="1717" max="1718" width="8" style="123" bestFit="1" customWidth="1"/>
    <col min="1719" max="1719" width="7" style="123" bestFit="1" customWidth="1"/>
    <col min="1720" max="1721" width="8" style="123" bestFit="1" customWidth="1"/>
    <col min="1722" max="1723" width="5" style="123" bestFit="1" customWidth="1"/>
    <col min="1724" max="1726" width="8" style="123" bestFit="1" customWidth="1"/>
    <col min="1727" max="1727" width="7" style="123" bestFit="1" customWidth="1"/>
    <col min="1728" max="1728" width="8" style="123" bestFit="1" customWidth="1"/>
    <col min="1729" max="1730" width="7" style="123" bestFit="1" customWidth="1"/>
    <col min="1731" max="1731" width="8" style="123" bestFit="1" customWidth="1"/>
    <col min="1732" max="1732" width="7" style="123" bestFit="1" customWidth="1"/>
    <col min="1733" max="1733" width="8" style="123" bestFit="1" customWidth="1"/>
    <col min="1734" max="1734" width="7" style="123" bestFit="1" customWidth="1"/>
    <col min="1735" max="1735" width="8" style="123" bestFit="1" customWidth="1"/>
    <col min="1736" max="1736" width="7" style="123" bestFit="1" customWidth="1"/>
    <col min="1737" max="1737" width="8" style="123" bestFit="1" customWidth="1"/>
    <col min="1738" max="1738" width="7" style="123" bestFit="1" customWidth="1"/>
    <col min="1739" max="1741" width="8" style="123" bestFit="1" customWidth="1"/>
    <col min="1742" max="1742" width="5" style="123" bestFit="1" customWidth="1"/>
    <col min="1743" max="1743" width="8" style="123" bestFit="1" customWidth="1"/>
    <col min="1744" max="1744" width="7" style="123" bestFit="1" customWidth="1"/>
    <col min="1745" max="1745" width="5" style="123" bestFit="1" customWidth="1"/>
    <col min="1746" max="1746" width="7" style="123" bestFit="1" customWidth="1"/>
    <col min="1747" max="1748" width="8" style="123" bestFit="1" customWidth="1"/>
    <col min="1749" max="1749" width="5" style="123" bestFit="1" customWidth="1"/>
    <col min="1750" max="1751" width="8" style="123" bestFit="1" customWidth="1"/>
    <col min="1752" max="1754" width="7" style="123" bestFit="1" customWidth="1"/>
    <col min="1755" max="1755" width="8" style="123" bestFit="1" customWidth="1"/>
    <col min="1756" max="1757" width="7" style="123" bestFit="1" customWidth="1"/>
    <col min="1758" max="1759" width="8" style="123" bestFit="1" customWidth="1"/>
    <col min="1760" max="1760" width="7" style="123" bestFit="1" customWidth="1"/>
    <col min="1761" max="1761" width="5" style="123" bestFit="1" customWidth="1"/>
    <col min="1762" max="1762" width="7" style="123" bestFit="1" customWidth="1"/>
    <col min="1763" max="1767" width="8" style="123" bestFit="1" customWidth="1"/>
    <col min="1768" max="1768" width="7" style="123" bestFit="1" customWidth="1"/>
    <col min="1769" max="1769" width="8" style="123" bestFit="1" customWidth="1"/>
    <col min="1770" max="1770" width="5" style="123" bestFit="1" customWidth="1"/>
    <col min="1771" max="1771" width="7" style="123" bestFit="1" customWidth="1"/>
    <col min="1772" max="1773" width="8" style="123" bestFit="1" customWidth="1"/>
    <col min="1774" max="1779" width="7" style="123" bestFit="1" customWidth="1"/>
    <col min="1780" max="1780" width="5" style="123" bestFit="1" customWidth="1"/>
    <col min="1781" max="1781" width="8" style="123" bestFit="1" customWidth="1"/>
    <col min="1782" max="1782" width="5" style="123" bestFit="1" customWidth="1"/>
    <col min="1783" max="1784" width="7" style="123" bestFit="1" customWidth="1"/>
    <col min="1785" max="1785" width="5" style="123" bestFit="1" customWidth="1"/>
    <col min="1786" max="1786" width="7" style="123" bestFit="1" customWidth="1"/>
    <col min="1787" max="1787" width="8" style="123" bestFit="1" customWidth="1"/>
    <col min="1788" max="1795" width="7" style="123" bestFit="1" customWidth="1"/>
    <col min="1796" max="1796" width="5" style="123" bestFit="1" customWidth="1"/>
    <col min="1797" max="1799" width="7" style="123" bestFit="1" customWidth="1"/>
    <col min="1800" max="1800" width="5" style="123" bestFit="1" customWidth="1"/>
    <col min="1801" max="1801" width="7" style="123" bestFit="1" customWidth="1"/>
    <col min="1802" max="1802" width="8" style="123" bestFit="1" customWidth="1"/>
    <col min="1803" max="1805" width="7" style="123" bestFit="1" customWidth="1"/>
    <col min="1806" max="1806" width="8" style="123" bestFit="1" customWidth="1"/>
    <col min="1807" max="1807" width="7" style="123" bestFit="1" customWidth="1"/>
    <col min="1808" max="1808" width="8" style="123" bestFit="1" customWidth="1"/>
    <col min="1809" max="1809" width="5" style="123" bestFit="1" customWidth="1"/>
    <col min="1810" max="1810" width="7" style="123" bestFit="1" customWidth="1"/>
    <col min="1811" max="1811" width="8" style="123" bestFit="1" customWidth="1"/>
    <col min="1812" max="1812" width="7" style="123" bestFit="1" customWidth="1"/>
    <col min="1813" max="1813" width="8" style="123" bestFit="1" customWidth="1"/>
    <col min="1814" max="1814" width="7" style="123" bestFit="1" customWidth="1"/>
    <col min="1815" max="1815" width="8" style="123" bestFit="1" customWidth="1"/>
    <col min="1816" max="1816" width="5" style="123" bestFit="1" customWidth="1"/>
    <col min="1817" max="1817" width="7" style="123" bestFit="1" customWidth="1"/>
    <col min="1818" max="1818" width="5" style="123" bestFit="1" customWidth="1"/>
    <col min="1819" max="1819" width="7" style="123" bestFit="1" customWidth="1"/>
    <col min="1820" max="1820" width="5" style="123" bestFit="1" customWidth="1"/>
    <col min="1821" max="1821" width="7" style="123" bestFit="1" customWidth="1"/>
    <col min="1822" max="1822" width="8" style="123" bestFit="1" customWidth="1"/>
    <col min="1823" max="1825" width="7" style="123" bestFit="1" customWidth="1"/>
    <col min="1826" max="1826" width="8" style="123" bestFit="1" customWidth="1"/>
    <col min="1827" max="1827" width="5" style="123" bestFit="1" customWidth="1"/>
    <col min="1828" max="1828" width="8" style="123" bestFit="1" customWidth="1"/>
    <col min="1829" max="1829" width="7" style="123" bestFit="1" customWidth="1"/>
    <col min="1830" max="1830" width="8" style="123" bestFit="1" customWidth="1"/>
    <col min="1831" max="1831" width="7" style="123" bestFit="1" customWidth="1"/>
    <col min="1832" max="1832" width="5" style="123" bestFit="1" customWidth="1"/>
    <col min="1833" max="1834" width="8" style="123" bestFit="1" customWidth="1"/>
    <col min="1835" max="1841" width="7" style="123" bestFit="1" customWidth="1"/>
    <col min="1842" max="1843" width="8" style="123" bestFit="1" customWidth="1"/>
    <col min="1844" max="1846" width="7" style="123" bestFit="1" customWidth="1"/>
    <col min="1847" max="1849" width="8" style="123" bestFit="1" customWidth="1"/>
    <col min="1850" max="1850" width="7" style="123" bestFit="1" customWidth="1"/>
    <col min="1851" max="1852" width="8" style="123" bestFit="1" customWidth="1"/>
    <col min="1853" max="1853" width="7" style="123" bestFit="1" customWidth="1"/>
    <col min="1854" max="1854" width="8" style="123" bestFit="1" customWidth="1"/>
    <col min="1855" max="1857" width="5" style="123" bestFit="1" customWidth="1"/>
    <col min="1858" max="1858" width="7" style="123" bestFit="1" customWidth="1"/>
    <col min="1859" max="1860" width="8" style="123" bestFit="1" customWidth="1"/>
    <col min="1861" max="1861" width="5" style="123" bestFit="1" customWidth="1"/>
    <col min="1862" max="1863" width="8" style="123" bestFit="1" customWidth="1"/>
    <col min="1864" max="1864" width="5" style="123" bestFit="1" customWidth="1"/>
    <col min="1865" max="1865" width="7" style="123" bestFit="1" customWidth="1"/>
    <col min="1866" max="1866" width="8" style="123" bestFit="1" customWidth="1"/>
    <col min="1867" max="1869" width="7" style="123" bestFit="1" customWidth="1"/>
    <col min="1870" max="1872" width="8" style="123" bestFit="1" customWidth="1"/>
    <col min="1873" max="1874" width="7" style="123" bestFit="1" customWidth="1"/>
    <col min="1875" max="1875" width="5" style="123" bestFit="1" customWidth="1"/>
    <col min="1876" max="1877" width="7" style="123" bestFit="1" customWidth="1"/>
    <col min="1878" max="1879" width="8" style="123" bestFit="1" customWidth="1"/>
    <col min="1880" max="1887" width="7" style="123" bestFit="1" customWidth="1"/>
    <col min="1888" max="1888" width="8" style="123" bestFit="1" customWidth="1"/>
    <col min="1889" max="1889" width="7" style="123" bestFit="1" customWidth="1"/>
    <col min="1890" max="1890" width="8" style="123" bestFit="1" customWidth="1"/>
    <col min="1891" max="1893" width="7" style="123" bestFit="1" customWidth="1"/>
    <col min="1894" max="1894" width="8" style="123" bestFit="1" customWidth="1"/>
    <col min="1895" max="1895" width="7" style="123" bestFit="1" customWidth="1"/>
    <col min="1896" max="1896" width="5" style="123" bestFit="1" customWidth="1"/>
    <col min="1897" max="1897" width="8" style="123" bestFit="1" customWidth="1"/>
    <col min="1898" max="1898" width="5" style="123" bestFit="1" customWidth="1"/>
    <col min="1899" max="1899" width="8" style="123" bestFit="1" customWidth="1"/>
    <col min="1900" max="1900" width="5" style="123" bestFit="1" customWidth="1"/>
    <col min="1901" max="1903" width="7" style="123" bestFit="1" customWidth="1"/>
    <col min="1904" max="1904" width="8" style="123" bestFit="1" customWidth="1"/>
    <col min="1905" max="1907" width="7" style="123" bestFit="1" customWidth="1"/>
    <col min="1908" max="1908" width="8" style="123" bestFit="1" customWidth="1"/>
    <col min="1909" max="1909" width="5" style="123" bestFit="1" customWidth="1"/>
    <col min="1910" max="1910" width="7" style="123" bestFit="1" customWidth="1"/>
    <col min="1911" max="1911" width="5" style="123" bestFit="1" customWidth="1"/>
    <col min="1912" max="1914" width="8" style="123" bestFit="1" customWidth="1"/>
    <col min="1915" max="1915" width="5" style="123" bestFit="1" customWidth="1"/>
    <col min="1916" max="1916" width="7" style="123" bestFit="1" customWidth="1"/>
    <col min="1917" max="1917" width="8" style="123" bestFit="1" customWidth="1"/>
    <col min="1918" max="1918" width="7" style="123" bestFit="1" customWidth="1"/>
    <col min="1919" max="1919" width="8" style="123" bestFit="1" customWidth="1"/>
    <col min="1920" max="1920" width="7" style="123" bestFit="1" customWidth="1"/>
    <col min="1921" max="1921" width="5" style="123" bestFit="1" customWidth="1"/>
    <col min="1922" max="1923" width="7" style="123" bestFit="1" customWidth="1"/>
    <col min="1924" max="1925" width="8" style="123" bestFit="1" customWidth="1"/>
    <col min="1926" max="1928" width="7" style="123" bestFit="1" customWidth="1"/>
    <col min="1929" max="1930" width="8" style="123" bestFit="1" customWidth="1"/>
    <col min="1931" max="1932" width="5" style="123" bestFit="1" customWidth="1"/>
    <col min="1933" max="1934" width="8" style="123" bestFit="1" customWidth="1"/>
    <col min="1935" max="1935" width="5" style="123" bestFit="1" customWidth="1"/>
    <col min="1936" max="1937" width="8" style="123" bestFit="1" customWidth="1"/>
    <col min="1938" max="1938" width="7" style="123" bestFit="1" customWidth="1"/>
    <col min="1939" max="1939" width="5" style="123" bestFit="1" customWidth="1"/>
    <col min="1940" max="1944" width="8" style="123" bestFit="1" customWidth="1"/>
    <col min="1945" max="1947" width="7" style="123" bestFit="1" customWidth="1"/>
    <col min="1948" max="1948" width="8" style="123" bestFit="1" customWidth="1"/>
    <col min="1949" max="1949" width="7" style="123" bestFit="1" customWidth="1"/>
    <col min="1950" max="1950" width="8" style="123" bestFit="1" customWidth="1"/>
    <col min="1951" max="1954" width="7" style="123" bestFit="1" customWidth="1"/>
    <col min="1955" max="1955" width="8" style="123" bestFit="1" customWidth="1"/>
    <col min="1956" max="1960" width="7" style="123" bestFit="1" customWidth="1"/>
    <col min="1961" max="1961" width="8" style="123" bestFit="1" customWidth="1"/>
    <col min="1962" max="1963" width="7" style="123" bestFit="1" customWidth="1"/>
    <col min="1964" max="1964" width="5" style="123" bestFit="1" customWidth="1"/>
    <col min="1965" max="1967" width="8" style="123" bestFit="1" customWidth="1"/>
    <col min="1968" max="1969" width="7" style="123" bestFit="1" customWidth="1"/>
    <col min="1970" max="1971" width="5" style="123" bestFit="1" customWidth="1"/>
    <col min="1972" max="1972" width="8" style="123" bestFit="1" customWidth="1"/>
    <col min="1973" max="1973" width="5" style="123" bestFit="1" customWidth="1"/>
    <col min="1974" max="1976" width="7" style="123" bestFit="1" customWidth="1"/>
    <col min="1977" max="1977" width="8" style="123" bestFit="1" customWidth="1"/>
    <col min="1978" max="1979" width="7" style="123" bestFit="1" customWidth="1"/>
    <col min="1980" max="1981" width="8" style="123" bestFit="1" customWidth="1"/>
    <col min="1982" max="1982" width="5" style="123" bestFit="1" customWidth="1"/>
    <col min="1983" max="1983" width="8" style="123" bestFit="1" customWidth="1"/>
    <col min="1984" max="1985" width="7" style="123" bestFit="1" customWidth="1"/>
    <col min="1986" max="1987" width="8" style="123" bestFit="1" customWidth="1"/>
    <col min="1988" max="1989" width="7" style="123" bestFit="1" customWidth="1"/>
    <col min="1990" max="1990" width="5" style="123" bestFit="1" customWidth="1"/>
    <col min="1991" max="1991" width="8" style="123" bestFit="1" customWidth="1"/>
    <col min="1992" max="1994" width="7" style="123" bestFit="1" customWidth="1"/>
    <col min="1995" max="1995" width="5" style="123" bestFit="1" customWidth="1"/>
    <col min="1996" max="1996" width="8" style="123" bestFit="1" customWidth="1"/>
    <col min="1997" max="1997" width="5" style="123" bestFit="1" customWidth="1"/>
    <col min="1998" max="1998" width="8" style="123" bestFit="1" customWidth="1"/>
    <col min="1999" max="2000" width="5" style="123" bestFit="1" customWidth="1"/>
    <col min="2001" max="2002" width="8" style="123" bestFit="1" customWidth="1"/>
    <col min="2003" max="2003" width="7" style="123" bestFit="1" customWidth="1"/>
    <col min="2004" max="2005" width="8" style="123" bestFit="1" customWidth="1"/>
    <col min="2006" max="2008" width="7" style="123" bestFit="1" customWidth="1"/>
    <col min="2009" max="2013" width="8" style="123" bestFit="1" customWidth="1"/>
    <col min="2014" max="2014" width="7" style="123" bestFit="1" customWidth="1"/>
    <col min="2015" max="2015" width="8" style="123" bestFit="1" customWidth="1"/>
    <col min="2016" max="2017" width="7" style="123" bestFit="1" customWidth="1"/>
    <col min="2018" max="2019" width="5" style="123" bestFit="1" customWidth="1"/>
    <col min="2020" max="2021" width="7" style="123" bestFit="1" customWidth="1"/>
    <col min="2022" max="2022" width="8" style="123" bestFit="1" customWidth="1"/>
    <col min="2023" max="2024" width="7" style="123" bestFit="1" customWidth="1"/>
    <col min="2025" max="2025" width="8" style="123" bestFit="1" customWidth="1"/>
    <col min="2026" max="2026" width="7" style="123" bestFit="1" customWidth="1"/>
    <col min="2027" max="2027" width="8" style="123" bestFit="1" customWidth="1"/>
    <col min="2028" max="2028" width="7" style="123" bestFit="1" customWidth="1"/>
    <col min="2029" max="2029" width="8" style="123" bestFit="1" customWidth="1"/>
    <col min="2030" max="2031" width="5" style="123" bestFit="1" customWidth="1"/>
    <col min="2032" max="2034" width="8" style="123" bestFit="1" customWidth="1"/>
    <col min="2035" max="2035" width="5" style="123" bestFit="1" customWidth="1"/>
    <col min="2036" max="2036" width="8" style="123" bestFit="1" customWidth="1"/>
    <col min="2037" max="2037" width="7" style="123" bestFit="1" customWidth="1"/>
    <col min="2038" max="2038" width="8" style="123" bestFit="1" customWidth="1"/>
    <col min="2039" max="2039" width="5" style="123" bestFit="1" customWidth="1"/>
    <col min="2040" max="2041" width="7" style="123" bestFit="1" customWidth="1"/>
    <col min="2042" max="2042" width="5" style="123" bestFit="1" customWidth="1"/>
    <col min="2043" max="2046" width="8" style="123" bestFit="1" customWidth="1"/>
    <col min="2047" max="2049" width="7" style="123" bestFit="1" customWidth="1"/>
    <col min="2050" max="2050" width="8" style="123" bestFit="1" customWidth="1"/>
    <col min="2051" max="2054" width="7" style="123" bestFit="1" customWidth="1"/>
    <col min="2055" max="2057" width="8" style="123" bestFit="1" customWidth="1"/>
    <col min="2058" max="2058" width="5" style="123" bestFit="1" customWidth="1"/>
    <col min="2059" max="2061" width="8" style="123" bestFit="1" customWidth="1"/>
    <col min="2062" max="2062" width="5" style="123" bestFit="1" customWidth="1"/>
    <col min="2063" max="2063" width="7" style="123" bestFit="1" customWidth="1"/>
    <col min="2064" max="2064" width="8" style="123" bestFit="1" customWidth="1"/>
    <col min="2065" max="2067" width="7" style="123" bestFit="1" customWidth="1"/>
    <col min="2068" max="2068" width="8" style="123" bestFit="1" customWidth="1"/>
    <col min="2069" max="2069" width="7" style="123" bestFit="1" customWidth="1"/>
    <col min="2070" max="2070" width="8" style="123" bestFit="1" customWidth="1"/>
    <col min="2071" max="2074" width="7" style="123" bestFit="1" customWidth="1"/>
    <col min="2075" max="2075" width="8" style="123" bestFit="1" customWidth="1"/>
    <col min="2076" max="2077" width="7" style="123" bestFit="1" customWidth="1"/>
    <col min="2078" max="2079" width="8" style="123" bestFit="1" customWidth="1"/>
    <col min="2080" max="2081" width="7" style="123" bestFit="1" customWidth="1"/>
    <col min="2082" max="2083" width="5" style="123" bestFit="1" customWidth="1"/>
    <col min="2084" max="2084" width="7" style="123" bestFit="1" customWidth="1"/>
    <col min="2085" max="2085" width="8" style="123" bestFit="1" customWidth="1"/>
    <col min="2086" max="2087" width="7" style="123" bestFit="1" customWidth="1"/>
    <col min="2088" max="2088" width="8" style="123" bestFit="1" customWidth="1"/>
    <col min="2089" max="2090" width="7" style="123" bestFit="1" customWidth="1"/>
    <col min="2091" max="2091" width="8" style="123" bestFit="1" customWidth="1"/>
    <col min="2092" max="2092" width="7" style="123" bestFit="1" customWidth="1"/>
    <col min="2093" max="2093" width="8" style="123" bestFit="1" customWidth="1"/>
    <col min="2094" max="2095" width="5" style="123" bestFit="1" customWidth="1"/>
    <col min="2096" max="2098" width="8" style="123" bestFit="1" customWidth="1"/>
    <col min="2099" max="2102" width="7" style="123" bestFit="1" customWidth="1"/>
    <col min="2103" max="2103" width="5" style="123" bestFit="1" customWidth="1"/>
    <col min="2104" max="2105" width="8" style="123" bestFit="1" customWidth="1"/>
    <col min="2106" max="2106" width="7" style="123" bestFit="1" customWidth="1"/>
    <col min="2107" max="2110" width="8" style="123" bestFit="1" customWidth="1"/>
    <col min="2111" max="2112" width="7" style="123" bestFit="1" customWidth="1"/>
    <col min="2113" max="2113" width="8" style="123" bestFit="1" customWidth="1"/>
    <col min="2114" max="2114" width="7" style="123" bestFit="1" customWidth="1"/>
    <col min="2115" max="2115" width="8" style="123" bestFit="1" customWidth="1"/>
    <col min="2116" max="2118" width="7" style="123" bestFit="1" customWidth="1"/>
    <col min="2119" max="2119" width="8" style="123" bestFit="1" customWidth="1"/>
    <col min="2120" max="2120" width="5" style="123" bestFit="1" customWidth="1"/>
    <col min="2121" max="2122" width="7" style="123" bestFit="1" customWidth="1"/>
    <col min="2123" max="2123" width="8" style="123" bestFit="1" customWidth="1"/>
    <col min="2124" max="2126" width="7" style="123" bestFit="1" customWidth="1"/>
    <col min="2127" max="2130" width="8" style="123" bestFit="1" customWidth="1"/>
    <col min="2131" max="2131" width="7" style="123" bestFit="1" customWidth="1"/>
    <col min="2132" max="2132" width="8" style="123" bestFit="1" customWidth="1"/>
    <col min="2133" max="2134" width="7" style="123" bestFit="1" customWidth="1"/>
    <col min="2135" max="2135" width="8" style="123" bestFit="1" customWidth="1"/>
    <col min="2136" max="2136" width="7" style="123" bestFit="1" customWidth="1"/>
    <col min="2137" max="2139" width="8" style="123" bestFit="1" customWidth="1"/>
    <col min="2140" max="2141" width="7" style="123" bestFit="1" customWidth="1"/>
    <col min="2142" max="2142" width="8" style="123" bestFit="1" customWidth="1"/>
    <col min="2143" max="2146" width="7" style="123" bestFit="1" customWidth="1"/>
    <col min="2147" max="2148" width="8" style="123" bestFit="1" customWidth="1"/>
    <col min="2149" max="2149" width="7" style="123" bestFit="1" customWidth="1"/>
    <col min="2150" max="2150" width="8" style="123" bestFit="1" customWidth="1"/>
    <col min="2151" max="2152" width="7" style="123" bestFit="1" customWidth="1"/>
    <col min="2153" max="2153" width="8" style="123" bestFit="1" customWidth="1"/>
    <col min="2154" max="2154" width="7" style="123" bestFit="1" customWidth="1"/>
    <col min="2155" max="2155" width="8" style="123" bestFit="1" customWidth="1"/>
    <col min="2156" max="2160" width="7" style="123" bestFit="1" customWidth="1"/>
    <col min="2161" max="2161" width="8" style="123" bestFit="1" customWidth="1"/>
    <col min="2162" max="2162" width="5" style="123" bestFit="1" customWidth="1"/>
    <col min="2163" max="2163" width="7" style="123" bestFit="1" customWidth="1"/>
    <col min="2164" max="2164" width="8" style="123" bestFit="1" customWidth="1"/>
    <col min="2165" max="2165" width="5" style="123" bestFit="1" customWidth="1"/>
    <col min="2166" max="2166" width="7" style="123" bestFit="1" customWidth="1"/>
    <col min="2167" max="2167" width="8" style="123" bestFit="1" customWidth="1"/>
    <col min="2168" max="2168" width="5" style="123" bestFit="1" customWidth="1"/>
    <col min="2169" max="2169" width="8" style="123" bestFit="1" customWidth="1"/>
    <col min="2170" max="2170" width="7" style="123" bestFit="1" customWidth="1"/>
    <col min="2171" max="2171" width="5" style="123" bestFit="1" customWidth="1"/>
    <col min="2172" max="2172" width="8" style="123" bestFit="1" customWidth="1"/>
    <col min="2173" max="2175" width="5" style="123" bestFit="1" customWidth="1"/>
    <col min="2176" max="2176" width="8" style="123" bestFit="1" customWidth="1"/>
    <col min="2177" max="2177" width="7" style="123" bestFit="1" customWidth="1"/>
    <col min="2178" max="2178" width="8" style="123" bestFit="1" customWidth="1"/>
    <col min="2179" max="2179" width="7" style="123" bestFit="1" customWidth="1"/>
    <col min="2180" max="2180" width="5" style="123" bestFit="1" customWidth="1"/>
    <col min="2181" max="2182" width="7" style="123" bestFit="1" customWidth="1"/>
    <col min="2183" max="2185" width="8" style="123" bestFit="1" customWidth="1"/>
    <col min="2186" max="2186" width="7" style="123" bestFit="1" customWidth="1"/>
    <col min="2187" max="2190" width="8" style="123" bestFit="1" customWidth="1"/>
    <col min="2191" max="2191" width="7" style="123" bestFit="1" customWidth="1"/>
    <col min="2192" max="2192" width="8" style="123" bestFit="1" customWidth="1"/>
    <col min="2193" max="2193" width="7" style="123" bestFit="1" customWidth="1"/>
    <col min="2194" max="2194" width="5" style="123" bestFit="1" customWidth="1"/>
    <col min="2195" max="2196" width="7" style="123" bestFit="1" customWidth="1"/>
    <col min="2197" max="2197" width="8" style="123" bestFit="1" customWidth="1"/>
    <col min="2198" max="2198" width="7" style="123" bestFit="1" customWidth="1"/>
    <col min="2199" max="2200" width="8" style="123" bestFit="1" customWidth="1"/>
    <col min="2201" max="2201" width="7" style="123" bestFit="1" customWidth="1"/>
    <col min="2202" max="2203" width="5" style="123" bestFit="1" customWidth="1"/>
    <col min="2204" max="2206" width="7" style="123" bestFit="1" customWidth="1"/>
    <col min="2207" max="2207" width="8" style="123" bestFit="1" customWidth="1"/>
    <col min="2208" max="2212" width="7" style="123" bestFit="1" customWidth="1"/>
    <col min="2213" max="2213" width="8" style="123" bestFit="1" customWidth="1"/>
    <col min="2214" max="2214" width="7" style="123" bestFit="1" customWidth="1"/>
    <col min="2215" max="2215" width="8" style="123" bestFit="1" customWidth="1"/>
    <col min="2216" max="2216" width="5" style="123" bestFit="1" customWidth="1"/>
    <col min="2217" max="2217" width="7" style="123" bestFit="1" customWidth="1"/>
    <col min="2218" max="2218" width="8" style="123" bestFit="1" customWidth="1"/>
    <col min="2219" max="2219" width="7" style="123" bestFit="1" customWidth="1"/>
    <col min="2220" max="2220" width="5" style="123" bestFit="1" customWidth="1"/>
    <col min="2221" max="2223" width="7" style="123" bestFit="1" customWidth="1"/>
    <col min="2224" max="2226" width="8" style="123" bestFit="1" customWidth="1"/>
    <col min="2227" max="2228" width="7" style="123" bestFit="1" customWidth="1"/>
    <col min="2229" max="2229" width="8" style="123" bestFit="1" customWidth="1"/>
    <col min="2230" max="2231" width="7" style="123" bestFit="1" customWidth="1"/>
    <col min="2232" max="2235" width="8" style="123" bestFit="1" customWidth="1"/>
    <col min="2236" max="2236" width="7" style="123" bestFit="1" customWidth="1"/>
    <col min="2237" max="2237" width="8" style="123" bestFit="1" customWidth="1"/>
    <col min="2238" max="2238" width="5" style="123" bestFit="1" customWidth="1"/>
    <col min="2239" max="2241" width="8" style="123" bestFit="1" customWidth="1"/>
    <col min="2242" max="2242" width="5" style="123" bestFit="1" customWidth="1"/>
    <col min="2243" max="2244" width="7" style="123" bestFit="1" customWidth="1"/>
    <col min="2245" max="2245" width="8" style="123" bestFit="1" customWidth="1"/>
    <col min="2246" max="2246" width="7" style="123" bestFit="1" customWidth="1"/>
    <col min="2247" max="2247" width="5" style="123" bestFit="1" customWidth="1"/>
    <col min="2248" max="2248" width="8" style="123" bestFit="1" customWidth="1"/>
    <col min="2249" max="2249" width="5" style="123" bestFit="1" customWidth="1"/>
    <col min="2250" max="2250" width="8" style="123" bestFit="1" customWidth="1"/>
    <col min="2251" max="2252" width="7" style="123" bestFit="1" customWidth="1"/>
    <col min="2253" max="2253" width="8" style="123" bestFit="1" customWidth="1"/>
    <col min="2254" max="2254" width="7" style="123" bestFit="1" customWidth="1"/>
    <col min="2255" max="2255" width="5" style="123" bestFit="1" customWidth="1"/>
    <col min="2256" max="2256" width="7" style="123" bestFit="1" customWidth="1"/>
    <col min="2257" max="2258" width="8" style="123" bestFit="1" customWidth="1"/>
    <col min="2259" max="2260" width="7" style="123" bestFit="1" customWidth="1"/>
    <col min="2261" max="2261" width="8" style="123" bestFit="1" customWidth="1"/>
    <col min="2262" max="2265" width="7" style="123" bestFit="1" customWidth="1"/>
    <col min="2266" max="2266" width="8" style="123" bestFit="1" customWidth="1"/>
    <col min="2267" max="2268" width="7" style="123" bestFit="1" customWidth="1"/>
    <col min="2269" max="2270" width="5" style="123" bestFit="1" customWidth="1"/>
    <col min="2271" max="2274" width="7" style="123" bestFit="1" customWidth="1"/>
    <col min="2275" max="2275" width="8" style="123" bestFit="1" customWidth="1"/>
    <col min="2276" max="2276" width="5" style="123" bestFit="1" customWidth="1"/>
    <col min="2277" max="2280" width="7" style="123" bestFit="1" customWidth="1"/>
    <col min="2281" max="2283" width="8" style="123" bestFit="1" customWidth="1"/>
    <col min="2284" max="2284" width="7" style="123" bestFit="1" customWidth="1"/>
    <col min="2285" max="2285" width="5" style="123" bestFit="1" customWidth="1"/>
    <col min="2286" max="2287" width="8" style="123" bestFit="1" customWidth="1"/>
    <col min="2288" max="2288" width="7" style="123" bestFit="1" customWidth="1"/>
    <col min="2289" max="2289" width="8" style="123" bestFit="1" customWidth="1"/>
    <col min="2290" max="2290" width="7" style="123" bestFit="1" customWidth="1"/>
    <col min="2291" max="2291" width="5" style="123" bestFit="1" customWidth="1"/>
    <col min="2292" max="2292" width="8" style="123" bestFit="1" customWidth="1"/>
    <col min="2293" max="2293" width="7" style="123" bestFit="1" customWidth="1"/>
    <col min="2294" max="2295" width="5" style="123" bestFit="1" customWidth="1"/>
    <col min="2296" max="2296" width="7" style="123" bestFit="1" customWidth="1"/>
    <col min="2297" max="2297" width="8" style="123" bestFit="1" customWidth="1"/>
    <col min="2298" max="2298" width="7" style="123" bestFit="1" customWidth="1"/>
    <col min="2299" max="2299" width="8" style="123" bestFit="1" customWidth="1"/>
    <col min="2300" max="2300" width="5" style="123" bestFit="1" customWidth="1"/>
    <col min="2301" max="2301" width="8" style="123" bestFit="1" customWidth="1"/>
    <col min="2302" max="2302" width="7" style="123" bestFit="1" customWidth="1"/>
    <col min="2303" max="2303" width="8" style="123" bestFit="1" customWidth="1"/>
    <col min="2304" max="2306" width="5" style="123" bestFit="1" customWidth="1"/>
    <col min="2307" max="2307" width="8" style="123" bestFit="1" customWidth="1"/>
    <col min="2308" max="2308" width="7" style="123" bestFit="1" customWidth="1"/>
    <col min="2309" max="2310" width="8" style="123" bestFit="1" customWidth="1"/>
    <col min="2311" max="2311" width="7" style="123" bestFit="1" customWidth="1"/>
    <col min="2312" max="2313" width="8" style="123" bestFit="1" customWidth="1"/>
    <col min="2314" max="2314" width="5" style="123" bestFit="1" customWidth="1"/>
    <col min="2315" max="2318" width="7" style="123" bestFit="1" customWidth="1"/>
    <col min="2319" max="2319" width="8" style="123" bestFit="1" customWidth="1"/>
    <col min="2320" max="2320" width="5" style="123" bestFit="1" customWidth="1"/>
    <col min="2321" max="2324" width="7" style="123" bestFit="1" customWidth="1"/>
    <col min="2325" max="2327" width="5" style="123" bestFit="1" customWidth="1"/>
    <col min="2328" max="2328" width="7" style="123" bestFit="1" customWidth="1"/>
    <col min="2329" max="2330" width="8" style="123" bestFit="1" customWidth="1"/>
    <col min="2331" max="2333" width="7" style="123" bestFit="1" customWidth="1"/>
    <col min="2334" max="2334" width="8" style="123" bestFit="1" customWidth="1"/>
    <col min="2335" max="2335" width="7" style="123" bestFit="1" customWidth="1"/>
    <col min="2336" max="2336" width="8" style="123" bestFit="1" customWidth="1"/>
    <col min="2337" max="2339" width="7" style="123" bestFit="1" customWidth="1"/>
    <col min="2340" max="2340" width="5" style="123" bestFit="1" customWidth="1"/>
    <col min="2341" max="2341" width="8" style="123" bestFit="1" customWidth="1"/>
    <col min="2342" max="2342" width="7" style="123" bestFit="1" customWidth="1"/>
    <col min="2343" max="2343" width="5" style="123" bestFit="1" customWidth="1"/>
    <col min="2344" max="2344" width="7" style="123" bestFit="1" customWidth="1"/>
    <col min="2345" max="2345" width="5" style="123" bestFit="1" customWidth="1"/>
    <col min="2346" max="2347" width="8" style="123" bestFit="1" customWidth="1"/>
    <col min="2348" max="2348" width="7" style="123" bestFit="1" customWidth="1"/>
    <col min="2349" max="2349" width="5" style="123" bestFit="1" customWidth="1"/>
    <col min="2350" max="2350" width="8" style="123" bestFit="1" customWidth="1"/>
    <col min="2351" max="2351" width="7" style="123" bestFit="1" customWidth="1"/>
    <col min="2352" max="2352" width="8" style="123" bestFit="1" customWidth="1"/>
    <col min="2353" max="2353" width="7" style="123" bestFit="1" customWidth="1"/>
    <col min="2354" max="2354" width="5" style="123" bestFit="1" customWidth="1"/>
    <col min="2355" max="2355" width="7" style="123" bestFit="1" customWidth="1"/>
    <col min="2356" max="2359" width="8" style="123" bestFit="1" customWidth="1"/>
    <col min="2360" max="2360" width="7" style="123" bestFit="1" customWidth="1"/>
    <col min="2361" max="2361" width="5" style="123" bestFit="1" customWidth="1"/>
    <col min="2362" max="2363" width="7" style="123" bestFit="1" customWidth="1"/>
    <col min="2364" max="2364" width="5" style="123" bestFit="1" customWidth="1"/>
    <col min="2365" max="2365" width="7" style="123" bestFit="1" customWidth="1"/>
    <col min="2366" max="2366" width="8" style="123" bestFit="1" customWidth="1"/>
    <col min="2367" max="2367" width="7" style="123" bestFit="1" customWidth="1"/>
    <col min="2368" max="2368" width="8" style="123" bestFit="1" customWidth="1"/>
    <col min="2369" max="2369" width="7" style="123" bestFit="1" customWidth="1"/>
    <col min="2370" max="2371" width="8" style="123" bestFit="1" customWidth="1"/>
    <col min="2372" max="2372" width="7" style="123" bestFit="1" customWidth="1"/>
    <col min="2373" max="2375" width="8" style="123" bestFit="1" customWidth="1"/>
    <col min="2376" max="2379" width="7" style="123" bestFit="1" customWidth="1"/>
    <col min="2380" max="2380" width="8" style="123" bestFit="1" customWidth="1"/>
    <col min="2381" max="2381" width="7" style="123" bestFit="1" customWidth="1"/>
    <col min="2382" max="2383" width="5" style="123" bestFit="1" customWidth="1"/>
    <col min="2384" max="2387" width="8" style="123" bestFit="1" customWidth="1"/>
    <col min="2388" max="2388" width="7" style="123" bestFit="1" customWidth="1"/>
    <col min="2389" max="2390" width="8" style="123" bestFit="1" customWidth="1"/>
    <col min="2391" max="2393" width="5" style="123" bestFit="1" customWidth="1"/>
    <col min="2394" max="2394" width="7" style="123" bestFit="1" customWidth="1"/>
    <col min="2395" max="2396" width="8" style="123" bestFit="1" customWidth="1"/>
    <col min="2397" max="2398" width="7" style="123" bestFit="1" customWidth="1"/>
    <col min="2399" max="2399" width="8" style="123" bestFit="1" customWidth="1"/>
    <col min="2400" max="2400" width="7" style="123" bestFit="1" customWidth="1"/>
    <col min="2401" max="2401" width="5" style="123" bestFit="1" customWidth="1"/>
    <col min="2402" max="2403" width="7" style="123" bestFit="1" customWidth="1"/>
    <col min="2404" max="2404" width="8" style="123" bestFit="1" customWidth="1"/>
    <col min="2405" max="2405" width="5" style="123" bestFit="1" customWidth="1"/>
    <col min="2406" max="2406" width="7" style="123" bestFit="1" customWidth="1"/>
    <col min="2407" max="2409" width="8" style="123" bestFit="1" customWidth="1"/>
    <col min="2410" max="2412" width="7" style="123" bestFit="1" customWidth="1"/>
    <col min="2413" max="2413" width="8" style="123" bestFit="1" customWidth="1"/>
    <col min="2414" max="2414" width="5" style="123" bestFit="1" customWidth="1"/>
    <col min="2415" max="2415" width="8" style="123" bestFit="1" customWidth="1"/>
    <col min="2416" max="2416" width="5" style="123" bestFit="1" customWidth="1"/>
    <col min="2417" max="2418" width="7" style="123" bestFit="1" customWidth="1"/>
    <col min="2419" max="2419" width="5" style="123" bestFit="1" customWidth="1"/>
    <col min="2420" max="2420" width="8" style="123" bestFit="1" customWidth="1"/>
    <col min="2421" max="2424" width="7" style="123" bestFit="1" customWidth="1"/>
    <col min="2425" max="2427" width="8" style="123" bestFit="1" customWidth="1"/>
    <col min="2428" max="2428" width="7" style="123" bestFit="1" customWidth="1"/>
    <col min="2429" max="2429" width="8" style="123" bestFit="1" customWidth="1"/>
    <col min="2430" max="2434" width="5" style="123" bestFit="1" customWidth="1"/>
    <col min="2435" max="2435" width="8" style="123" bestFit="1" customWidth="1"/>
    <col min="2436" max="2437" width="5" style="123" bestFit="1" customWidth="1"/>
    <col min="2438" max="2439" width="8" style="123" bestFit="1" customWidth="1"/>
    <col min="2440" max="2440" width="7" style="123" bestFit="1" customWidth="1"/>
    <col min="2441" max="2444" width="8" style="123" bestFit="1" customWidth="1"/>
    <col min="2445" max="2446" width="7" style="123" bestFit="1" customWidth="1"/>
    <col min="2447" max="2447" width="8" style="123" bestFit="1" customWidth="1"/>
    <col min="2448" max="2450" width="7" style="123" bestFit="1" customWidth="1"/>
    <col min="2451" max="2453" width="8" style="123" bestFit="1" customWidth="1"/>
    <col min="2454" max="2456" width="5" style="123" bestFit="1" customWidth="1"/>
    <col min="2457" max="2457" width="8" style="123" bestFit="1" customWidth="1"/>
    <col min="2458" max="2464" width="7" style="123" bestFit="1" customWidth="1"/>
    <col min="2465" max="2465" width="8" style="123" bestFit="1" customWidth="1"/>
    <col min="2466" max="2466" width="7" style="123" bestFit="1" customWidth="1"/>
    <col min="2467" max="2467" width="8" style="123" bestFit="1" customWidth="1"/>
    <col min="2468" max="2468" width="7" style="123" bestFit="1" customWidth="1"/>
    <col min="2469" max="2470" width="8" style="123" bestFit="1" customWidth="1"/>
    <col min="2471" max="2472" width="7" style="123" bestFit="1" customWidth="1"/>
    <col min="2473" max="2473" width="8" style="123" bestFit="1" customWidth="1"/>
    <col min="2474" max="2475" width="7" style="123" bestFit="1" customWidth="1"/>
    <col min="2476" max="2476" width="5" style="123" bestFit="1" customWidth="1"/>
    <col min="2477" max="2479" width="8" style="123" bestFit="1" customWidth="1"/>
    <col min="2480" max="2480" width="5" style="123" bestFit="1" customWidth="1"/>
    <col min="2481" max="2483" width="8" style="123" bestFit="1" customWidth="1"/>
    <col min="2484" max="2484" width="5" style="123" bestFit="1" customWidth="1"/>
    <col min="2485" max="2485" width="8" style="123" bestFit="1" customWidth="1"/>
    <col min="2486" max="2486" width="7" style="123" bestFit="1" customWidth="1"/>
    <col min="2487" max="2487" width="5" style="123" bestFit="1" customWidth="1"/>
    <col min="2488" max="2489" width="7" style="123" bestFit="1" customWidth="1"/>
    <col min="2490" max="2490" width="5" style="123" bestFit="1" customWidth="1"/>
    <col min="2491" max="2491" width="8" style="123" bestFit="1" customWidth="1"/>
    <col min="2492" max="2492" width="7" style="123" bestFit="1" customWidth="1"/>
    <col min="2493" max="2493" width="8" style="123" bestFit="1" customWidth="1"/>
    <col min="2494" max="2495" width="7" style="123" bestFit="1" customWidth="1"/>
    <col min="2496" max="2498" width="8" style="123" bestFit="1" customWidth="1"/>
    <col min="2499" max="2502" width="7" style="123" bestFit="1" customWidth="1"/>
    <col min="2503" max="2503" width="8" style="123" bestFit="1" customWidth="1"/>
    <col min="2504" max="2505" width="7" style="123" bestFit="1" customWidth="1"/>
    <col min="2506" max="2507" width="8" style="123" bestFit="1" customWidth="1"/>
    <col min="2508" max="2508" width="7" style="123" bestFit="1" customWidth="1"/>
    <col min="2509" max="2513" width="5" style="123" bestFit="1" customWidth="1"/>
    <col min="2514" max="2514" width="8" style="123" bestFit="1" customWidth="1"/>
    <col min="2515" max="2515" width="7" style="123" bestFit="1" customWidth="1"/>
    <col min="2516" max="2517" width="8" style="123" bestFit="1" customWidth="1"/>
    <col min="2518" max="2518" width="7" style="123" bestFit="1" customWidth="1"/>
    <col min="2519" max="2520" width="8" style="123" bestFit="1" customWidth="1"/>
    <col min="2521" max="2522" width="7" style="123" bestFit="1" customWidth="1"/>
    <col min="2523" max="2523" width="5" style="123" bestFit="1" customWidth="1"/>
    <col min="2524" max="2525" width="7" style="123" bestFit="1" customWidth="1"/>
    <col min="2526" max="2526" width="5" style="123" bestFit="1" customWidth="1"/>
    <col min="2527" max="2527" width="7" style="123" bestFit="1" customWidth="1"/>
    <col min="2528" max="2529" width="5" style="123" bestFit="1" customWidth="1"/>
    <col min="2530" max="2530" width="7" style="123" bestFit="1" customWidth="1"/>
    <col min="2531" max="2531" width="5" style="123" bestFit="1" customWidth="1"/>
    <col min="2532" max="2532" width="7" style="123" bestFit="1" customWidth="1"/>
    <col min="2533" max="2534" width="8" style="123" bestFit="1" customWidth="1"/>
    <col min="2535" max="2536" width="7" style="123" bestFit="1" customWidth="1"/>
    <col min="2537" max="2539" width="8" style="123" bestFit="1" customWidth="1"/>
    <col min="2540" max="2540" width="5" style="123" bestFit="1" customWidth="1"/>
    <col min="2541" max="2544" width="8" style="123" bestFit="1" customWidth="1"/>
    <col min="2545" max="2545" width="5" style="123" bestFit="1" customWidth="1"/>
    <col min="2546" max="2547" width="7" style="123" bestFit="1" customWidth="1"/>
    <col min="2548" max="2548" width="5" style="123" bestFit="1" customWidth="1"/>
    <col min="2549" max="2549" width="7" style="123" bestFit="1" customWidth="1"/>
    <col min="2550" max="2551" width="8" style="123" bestFit="1" customWidth="1"/>
    <col min="2552" max="2552" width="7" style="123" bestFit="1" customWidth="1"/>
    <col min="2553" max="2553" width="8" style="123" bestFit="1" customWidth="1"/>
    <col min="2554" max="2555" width="7" style="123" bestFit="1" customWidth="1"/>
    <col min="2556" max="2556" width="8" style="123" bestFit="1" customWidth="1"/>
    <col min="2557" max="2558" width="7" style="123" bestFit="1" customWidth="1"/>
    <col min="2559" max="2559" width="8" style="123" bestFit="1" customWidth="1"/>
    <col min="2560" max="2560" width="7" style="123" bestFit="1" customWidth="1"/>
    <col min="2561" max="2561" width="5" style="123" bestFit="1" customWidth="1"/>
    <col min="2562" max="2562" width="7" style="123" bestFit="1" customWidth="1"/>
    <col min="2563" max="2563" width="5" style="123" bestFit="1" customWidth="1"/>
    <col min="2564" max="2564" width="7" style="123" bestFit="1" customWidth="1"/>
    <col min="2565" max="2566" width="8" style="123" bestFit="1" customWidth="1"/>
    <col min="2567" max="2567" width="7" style="123" bestFit="1" customWidth="1"/>
    <col min="2568" max="2568" width="8" style="123" bestFit="1" customWidth="1"/>
    <col min="2569" max="2569" width="7" style="123" bestFit="1" customWidth="1"/>
    <col min="2570" max="2570" width="5" style="123" bestFit="1" customWidth="1"/>
    <col min="2571" max="2571" width="7" style="123" bestFit="1" customWidth="1"/>
    <col min="2572" max="2575" width="8" style="123" bestFit="1" customWidth="1"/>
    <col min="2576" max="2576" width="7" style="123" bestFit="1" customWidth="1"/>
    <col min="2577" max="2578" width="8" style="123" bestFit="1" customWidth="1"/>
    <col min="2579" max="2579" width="5" style="123" bestFit="1" customWidth="1"/>
    <col min="2580" max="2580" width="7" style="123" bestFit="1" customWidth="1"/>
    <col min="2581" max="2581" width="5" style="123" bestFit="1" customWidth="1"/>
    <col min="2582" max="2585" width="7" style="123" bestFit="1" customWidth="1"/>
    <col min="2586" max="2586" width="8" style="123" bestFit="1" customWidth="1"/>
    <col min="2587" max="2587" width="7" style="123" bestFit="1" customWidth="1"/>
    <col min="2588" max="2588" width="8" style="123" bestFit="1" customWidth="1"/>
    <col min="2589" max="2589" width="7" style="123" bestFit="1" customWidth="1"/>
    <col min="2590" max="2590" width="8" style="123" bestFit="1" customWidth="1"/>
    <col min="2591" max="2591" width="7" style="123" bestFit="1" customWidth="1"/>
    <col min="2592" max="2593" width="5" style="123" bestFit="1" customWidth="1"/>
    <col min="2594" max="2597" width="7" style="123" bestFit="1" customWidth="1"/>
    <col min="2598" max="2598" width="8" style="123" bestFit="1" customWidth="1"/>
    <col min="2599" max="2602" width="7" style="123" bestFit="1" customWidth="1"/>
    <col min="2603" max="2603" width="8" style="123" bestFit="1" customWidth="1"/>
    <col min="2604" max="2604" width="7" style="123" bestFit="1" customWidth="1"/>
    <col min="2605" max="2607" width="8" style="123" bestFit="1" customWidth="1"/>
    <col min="2608" max="2608" width="7" style="123" bestFit="1" customWidth="1"/>
    <col min="2609" max="2609" width="5" style="123" bestFit="1" customWidth="1"/>
    <col min="2610" max="2611" width="7" style="123" bestFit="1" customWidth="1"/>
    <col min="2612" max="2612" width="8" style="123" bestFit="1" customWidth="1"/>
    <col min="2613" max="2614" width="7" style="123" bestFit="1" customWidth="1"/>
    <col min="2615" max="2615" width="5" style="123" bestFit="1" customWidth="1"/>
    <col min="2616" max="2617" width="8" style="123" bestFit="1" customWidth="1"/>
    <col min="2618" max="2620" width="7" style="123" bestFit="1" customWidth="1"/>
    <col min="2621" max="2621" width="5" style="123" bestFit="1" customWidth="1"/>
    <col min="2622" max="2623" width="7" style="123" bestFit="1" customWidth="1"/>
    <col min="2624" max="2624" width="8" style="123" bestFit="1" customWidth="1"/>
    <col min="2625" max="2625" width="5" style="123" bestFit="1" customWidth="1"/>
    <col min="2626" max="2626" width="8" style="123" bestFit="1" customWidth="1"/>
    <col min="2627" max="2627" width="5" style="123" bestFit="1" customWidth="1"/>
    <col min="2628" max="2632" width="7" style="123" bestFit="1" customWidth="1"/>
    <col min="2633" max="2635" width="8" style="123" bestFit="1" customWidth="1"/>
    <col min="2636" max="2637" width="7" style="123" bestFit="1" customWidth="1"/>
    <col min="2638" max="2638" width="5" style="123" bestFit="1" customWidth="1"/>
    <col min="2639" max="2640" width="7" style="123" bestFit="1" customWidth="1"/>
    <col min="2641" max="2641" width="8" style="123" bestFit="1" customWidth="1"/>
    <col min="2642" max="2642" width="5" style="123" bestFit="1" customWidth="1"/>
    <col min="2643" max="2644" width="8" style="123" bestFit="1" customWidth="1"/>
    <col min="2645" max="2647" width="7" style="123" bestFit="1" customWidth="1"/>
    <col min="2648" max="2649" width="8" style="123" bestFit="1" customWidth="1"/>
    <col min="2650" max="2651" width="7" style="123" bestFit="1" customWidth="1"/>
    <col min="2652" max="2654" width="8" style="123" bestFit="1" customWidth="1"/>
    <col min="2655" max="2655" width="7" style="123" bestFit="1" customWidth="1"/>
    <col min="2656" max="2657" width="8" style="123" bestFit="1" customWidth="1"/>
    <col min="2658" max="2658" width="5" style="123" bestFit="1" customWidth="1"/>
    <col min="2659" max="2659" width="8" style="123" bestFit="1" customWidth="1"/>
    <col min="2660" max="2660" width="5" style="123" bestFit="1" customWidth="1"/>
    <col min="2661" max="2661" width="8" style="123" bestFit="1" customWidth="1"/>
    <col min="2662" max="2666" width="7" style="123" bestFit="1" customWidth="1"/>
    <col min="2667" max="2667" width="8" style="123" bestFit="1" customWidth="1"/>
    <col min="2668" max="2668" width="7" style="123" bestFit="1" customWidth="1"/>
    <col min="2669" max="2669" width="5" style="123" bestFit="1" customWidth="1"/>
    <col min="2670" max="2673" width="7" style="123" bestFit="1" customWidth="1"/>
    <col min="2674" max="2674" width="5" style="123" bestFit="1" customWidth="1"/>
    <col min="2675" max="2675" width="8" style="123" bestFit="1" customWidth="1"/>
    <col min="2676" max="2676" width="7" style="123" bestFit="1" customWidth="1"/>
    <col min="2677" max="2677" width="8" style="123" bestFit="1" customWidth="1"/>
    <col min="2678" max="2679" width="7" style="123" bestFit="1" customWidth="1"/>
    <col min="2680" max="2681" width="8" style="123" bestFit="1" customWidth="1"/>
    <col min="2682" max="2682" width="5" style="123" bestFit="1" customWidth="1"/>
    <col min="2683" max="2683" width="7" style="123" bestFit="1" customWidth="1"/>
    <col min="2684" max="2684" width="5" style="123" bestFit="1" customWidth="1"/>
    <col min="2685" max="2687" width="7" style="123" bestFit="1" customWidth="1"/>
    <col min="2688" max="2688" width="8" style="123" bestFit="1" customWidth="1"/>
    <col min="2689" max="2692" width="7" style="123" bestFit="1" customWidth="1"/>
    <col min="2693" max="2693" width="5" style="123" bestFit="1" customWidth="1"/>
    <col min="2694" max="2694" width="8" style="123" bestFit="1" customWidth="1"/>
    <col min="2695" max="2695" width="7" style="123" bestFit="1" customWidth="1"/>
    <col min="2696" max="2698" width="5" style="123" bestFit="1" customWidth="1"/>
    <col min="2699" max="2700" width="7" style="123" bestFit="1" customWidth="1"/>
    <col min="2701" max="2701" width="8" style="123" bestFit="1" customWidth="1"/>
    <col min="2702" max="2702" width="7" style="123" bestFit="1" customWidth="1"/>
    <col min="2703" max="2703" width="8" style="123" bestFit="1" customWidth="1"/>
    <col min="2704" max="2704" width="7" style="123" bestFit="1" customWidth="1"/>
    <col min="2705" max="2705" width="8" style="123" bestFit="1" customWidth="1"/>
    <col min="2706" max="2706" width="7" style="123" bestFit="1" customWidth="1"/>
    <col min="2707" max="2709" width="8" style="123" bestFit="1" customWidth="1"/>
    <col min="2710" max="2710" width="7" style="123" bestFit="1" customWidth="1"/>
    <col min="2711" max="2711" width="8" style="123" bestFit="1" customWidth="1"/>
    <col min="2712" max="2712" width="5" style="123" bestFit="1" customWidth="1"/>
    <col min="2713" max="2719" width="7" style="123" bestFit="1" customWidth="1"/>
    <col min="2720" max="2720" width="5" style="123" bestFit="1" customWidth="1"/>
    <col min="2721" max="2721" width="7" style="123" bestFit="1" customWidth="1"/>
    <col min="2722" max="2723" width="8" style="123" bestFit="1" customWidth="1"/>
    <col min="2724" max="2724" width="7" style="123" bestFit="1" customWidth="1"/>
    <col min="2725" max="2726" width="8" style="123" bestFit="1" customWidth="1"/>
    <col min="2727" max="2727" width="7" style="123" bestFit="1" customWidth="1"/>
    <col min="2728" max="2728" width="8" style="123" bestFit="1" customWidth="1"/>
    <col min="2729" max="2730" width="7" style="123" bestFit="1" customWidth="1"/>
    <col min="2731" max="2731" width="8" style="123" bestFit="1" customWidth="1"/>
    <col min="2732" max="2735" width="7" style="123" bestFit="1" customWidth="1"/>
    <col min="2736" max="2737" width="8" style="123" bestFit="1" customWidth="1"/>
    <col min="2738" max="2738" width="7" style="123" bestFit="1" customWidth="1"/>
    <col min="2739" max="2739" width="5" style="123" bestFit="1" customWidth="1"/>
    <col min="2740" max="2741" width="8" style="123" bestFit="1" customWidth="1"/>
    <col min="2742" max="2744" width="7" style="123" bestFit="1" customWidth="1"/>
    <col min="2745" max="2746" width="8" style="123" bestFit="1" customWidth="1"/>
    <col min="2747" max="2747" width="7" style="123" bestFit="1" customWidth="1"/>
    <col min="2748" max="2749" width="5" style="123" bestFit="1" customWidth="1"/>
    <col min="2750" max="2750" width="8" style="123" bestFit="1" customWidth="1"/>
    <col min="2751" max="2751" width="5" style="123" bestFit="1" customWidth="1"/>
    <col min="2752" max="2752" width="8" style="123" bestFit="1" customWidth="1"/>
    <col min="2753" max="2756" width="7" style="123" bestFit="1" customWidth="1"/>
    <col min="2757" max="2757" width="5" style="123" bestFit="1" customWidth="1"/>
    <col min="2758" max="2758" width="7" style="123" bestFit="1" customWidth="1"/>
    <col min="2759" max="2759" width="8" style="123" bestFit="1" customWidth="1"/>
    <col min="2760" max="2760" width="5" style="123" bestFit="1" customWidth="1"/>
    <col min="2761" max="2764" width="8" style="123" bestFit="1" customWidth="1"/>
    <col min="2765" max="2767" width="7" style="123" bestFit="1" customWidth="1"/>
    <col min="2768" max="2769" width="8" style="123" bestFit="1" customWidth="1"/>
    <col min="2770" max="2773" width="7" style="123" bestFit="1" customWidth="1"/>
    <col min="2774" max="2777" width="8" style="123" bestFit="1" customWidth="1"/>
    <col min="2778" max="2778" width="7" style="123" bestFit="1" customWidth="1"/>
    <col min="2779" max="2779" width="8" style="123" bestFit="1" customWidth="1"/>
    <col min="2780" max="2782" width="7" style="123" bestFit="1" customWidth="1"/>
    <col min="2783" max="2785" width="8" style="123" bestFit="1" customWidth="1"/>
    <col min="2786" max="2786" width="7" style="123" bestFit="1" customWidth="1"/>
    <col min="2787" max="2788" width="8" style="123" bestFit="1" customWidth="1"/>
    <col min="2789" max="2790" width="5" style="123" bestFit="1" customWidth="1"/>
    <col min="2791" max="2792" width="8" style="123" bestFit="1" customWidth="1"/>
    <col min="2793" max="2793" width="7" style="123" bestFit="1" customWidth="1"/>
    <col min="2794" max="2794" width="5" style="123" bestFit="1" customWidth="1"/>
    <col min="2795" max="2795" width="7" style="123" bestFit="1" customWidth="1"/>
    <col min="2796" max="2796" width="5" style="123" bestFit="1" customWidth="1"/>
    <col min="2797" max="2800" width="7" style="123" bestFit="1" customWidth="1"/>
    <col min="2801" max="2801" width="8" style="123" bestFit="1" customWidth="1"/>
    <col min="2802" max="2803" width="7" style="123" bestFit="1" customWidth="1"/>
    <col min="2804" max="2804" width="8" style="123" bestFit="1" customWidth="1"/>
    <col min="2805" max="2806" width="7" style="123" bestFit="1" customWidth="1"/>
    <col min="2807" max="2809" width="8" style="123" bestFit="1" customWidth="1"/>
    <col min="2810" max="2811" width="7" style="123" bestFit="1" customWidth="1"/>
    <col min="2812" max="2813" width="8" style="123" bestFit="1" customWidth="1"/>
    <col min="2814" max="2814" width="7" style="123" bestFit="1" customWidth="1"/>
    <col min="2815" max="2819" width="8" style="123" bestFit="1" customWidth="1"/>
    <col min="2820" max="2820" width="7" style="123" bestFit="1" customWidth="1"/>
    <col min="2821" max="2822" width="8" style="123" bestFit="1" customWidth="1"/>
    <col min="2823" max="2823" width="7" style="123" bestFit="1" customWidth="1"/>
    <col min="2824" max="2824" width="8" style="123" bestFit="1" customWidth="1"/>
    <col min="2825" max="2825" width="7" style="123" bestFit="1" customWidth="1"/>
    <col min="2826" max="2827" width="8" style="123" bestFit="1" customWidth="1"/>
    <col min="2828" max="2828" width="5" style="123" bestFit="1" customWidth="1"/>
    <col min="2829" max="2830" width="8" style="123" bestFit="1" customWidth="1"/>
    <col min="2831" max="2832" width="5" style="123" bestFit="1" customWidth="1"/>
    <col min="2833" max="2833" width="7" style="123" bestFit="1" customWidth="1"/>
    <col min="2834" max="2835" width="8" style="123" bestFit="1" customWidth="1"/>
    <col min="2836" max="2836" width="7" style="123" bestFit="1" customWidth="1"/>
    <col min="2837" max="2837" width="8" style="123" bestFit="1" customWidth="1"/>
    <col min="2838" max="2838" width="7" style="123" bestFit="1" customWidth="1"/>
    <col min="2839" max="2839" width="5" style="123" bestFit="1" customWidth="1"/>
    <col min="2840" max="2841" width="8" style="123" bestFit="1" customWidth="1"/>
    <col min="2842" max="2842" width="7" style="123" bestFit="1" customWidth="1"/>
    <col min="2843" max="2843" width="8" style="123" bestFit="1" customWidth="1"/>
    <col min="2844" max="2844" width="5" style="123" bestFit="1" customWidth="1"/>
    <col min="2845" max="2847" width="7" style="123" bestFit="1" customWidth="1"/>
    <col min="2848" max="2848" width="8" style="123" bestFit="1" customWidth="1"/>
    <col min="2849" max="2850" width="7" style="123" bestFit="1" customWidth="1"/>
    <col min="2851" max="2851" width="5" style="123" bestFit="1" customWidth="1"/>
    <col min="2852" max="2852" width="8" style="123" bestFit="1" customWidth="1"/>
    <col min="2853" max="2853" width="5" style="123" bestFit="1" customWidth="1"/>
    <col min="2854" max="2854" width="8" style="123" bestFit="1" customWidth="1"/>
    <col min="2855" max="2855" width="7" style="123" bestFit="1" customWidth="1"/>
    <col min="2856" max="2857" width="8" style="123" bestFit="1" customWidth="1"/>
    <col min="2858" max="2858" width="7" style="123" bestFit="1" customWidth="1"/>
    <col min="2859" max="2859" width="8" style="123" bestFit="1" customWidth="1"/>
    <col min="2860" max="2860" width="7" style="123" bestFit="1" customWidth="1"/>
    <col min="2861" max="2861" width="5" style="123" bestFit="1" customWidth="1"/>
    <col min="2862" max="2867" width="8" style="123" bestFit="1" customWidth="1"/>
    <col min="2868" max="2868" width="7" style="123" bestFit="1" customWidth="1"/>
    <col min="2869" max="2871" width="8" style="123" bestFit="1" customWidth="1"/>
    <col min="2872" max="2872" width="7" style="123" bestFit="1" customWidth="1"/>
    <col min="2873" max="2876" width="8" style="123" bestFit="1" customWidth="1"/>
    <col min="2877" max="2878" width="7" style="123" bestFit="1" customWidth="1"/>
    <col min="2879" max="2883" width="8" style="123" bestFit="1" customWidth="1"/>
    <col min="2884" max="2884" width="5" style="123" bestFit="1" customWidth="1"/>
    <col min="2885" max="2887" width="7" style="123" bestFit="1" customWidth="1"/>
    <col min="2888" max="2888" width="8" style="123" bestFit="1" customWidth="1"/>
    <col min="2889" max="2889" width="7" style="123" bestFit="1" customWidth="1"/>
    <col min="2890" max="2890" width="8" style="123" bestFit="1" customWidth="1"/>
    <col min="2891" max="2894" width="7" style="123" bestFit="1" customWidth="1"/>
    <col min="2895" max="2895" width="8" style="123" bestFit="1" customWidth="1"/>
    <col min="2896" max="2897" width="7" style="123" bestFit="1" customWidth="1"/>
    <col min="2898" max="2898" width="8" style="123" bestFit="1" customWidth="1"/>
    <col min="2899" max="2899" width="5" style="123" bestFit="1" customWidth="1"/>
    <col min="2900" max="2900" width="8" style="123" bestFit="1" customWidth="1"/>
    <col min="2901" max="2901" width="7" style="123" bestFit="1" customWidth="1"/>
    <col min="2902" max="2902" width="8" style="123" bestFit="1" customWidth="1"/>
    <col min="2903" max="2903" width="7" style="123" bestFit="1" customWidth="1"/>
    <col min="2904" max="2905" width="8" style="123" bestFit="1" customWidth="1"/>
    <col min="2906" max="2907" width="5" style="123" bestFit="1" customWidth="1"/>
    <col min="2908" max="2908" width="8" style="123" bestFit="1" customWidth="1"/>
    <col min="2909" max="2909" width="5" style="123" bestFit="1" customWidth="1"/>
    <col min="2910" max="2910" width="8" style="123" bestFit="1" customWidth="1"/>
    <col min="2911" max="2911" width="5" style="123" bestFit="1" customWidth="1"/>
    <col min="2912" max="2914" width="8" style="123" bestFit="1" customWidth="1"/>
    <col min="2915" max="2915" width="7" style="123" bestFit="1" customWidth="1"/>
    <col min="2916" max="2916" width="5" style="123" bestFit="1" customWidth="1"/>
    <col min="2917" max="2917" width="8" style="123" bestFit="1" customWidth="1"/>
    <col min="2918" max="2918" width="7" style="123" bestFit="1" customWidth="1"/>
    <col min="2919" max="2920" width="8" style="123" bestFit="1" customWidth="1"/>
    <col min="2921" max="2922" width="7" style="123" bestFit="1" customWidth="1"/>
    <col min="2923" max="2924" width="8" style="123" bestFit="1" customWidth="1"/>
    <col min="2925" max="2926" width="7" style="123" bestFit="1" customWidth="1"/>
    <col min="2927" max="2927" width="8" style="123" bestFit="1" customWidth="1"/>
    <col min="2928" max="2929" width="7" style="123" bestFit="1" customWidth="1"/>
    <col min="2930" max="2932" width="8" style="123" bestFit="1" customWidth="1"/>
    <col min="2933" max="2933" width="7" style="123" bestFit="1" customWidth="1"/>
    <col min="2934" max="2935" width="8" style="123" bestFit="1" customWidth="1"/>
    <col min="2936" max="2936" width="5" style="123" bestFit="1" customWidth="1"/>
    <col min="2937" max="2937" width="8" style="123" bestFit="1" customWidth="1"/>
    <col min="2938" max="2938" width="7" style="123" bestFit="1" customWidth="1"/>
    <col min="2939" max="2939" width="8" style="123" bestFit="1" customWidth="1"/>
    <col min="2940" max="2940" width="7" style="123" bestFit="1" customWidth="1"/>
    <col min="2941" max="2941" width="5" style="123" bestFit="1" customWidth="1"/>
    <col min="2942" max="2945" width="8" style="123" bestFit="1" customWidth="1"/>
    <col min="2946" max="2946" width="7" style="123" bestFit="1" customWidth="1"/>
    <col min="2947" max="2947" width="5" style="123" bestFit="1" customWidth="1"/>
    <col min="2948" max="2949" width="8" style="123" bestFit="1" customWidth="1"/>
    <col min="2950" max="2950" width="7" style="123" bestFit="1" customWidth="1"/>
    <col min="2951" max="2952" width="5" style="123" bestFit="1" customWidth="1"/>
    <col min="2953" max="2955" width="7" style="123" bestFit="1" customWidth="1"/>
    <col min="2956" max="2958" width="8" style="123" bestFit="1" customWidth="1"/>
    <col min="2959" max="2960" width="7" style="123" bestFit="1" customWidth="1"/>
    <col min="2961" max="2963" width="8" style="123" bestFit="1" customWidth="1"/>
    <col min="2964" max="2964" width="7" style="123" bestFit="1" customWidth="1"/>
    <col min="2965" max="2966" width="8" style="123" bestFit="1" customWidth="1"/>
    <col min="2967" max="2970" width="5" style="123" bestFit="1" customWidth="1"/>
    <col min="2971" max="2973" width="7" style="123" bestFit="1" customWidth="1"/>
    <col min="2974" max="2974" width="8" style="123" bestFit="1" customWidth="1"/>
    <col min="2975" max="2976" width="7" style="123" bestFit="1" customWidth="1"/>
    <col min="2977" max="2977" width="8" style="123" bestFit="1" customWidth="1"/>
    <col min="2978" max="2978" width="5" style="123" bestFit="1" customWidth="1"/>
    <col min="2979" max="2979" width="7" style="123" bestFit="1" customWidth="1"/>
    <col min="2980" max="2982" width="8" style="123" bestFit="1" customWidth="1"/>
    <col min="2983" max="2983" width="7" style="123" bestFit="1" customWidth="1"/>
    <col min="2984" max="2987" width="8" style="123" bestFit="1" customWidth="1"/>
    <col min="2988" max="2988" width="5" style="123" bestFit="1" customWidth="1"/>
    <col min="2989" max="2989" width="8" style="123" bestFit="1" customWidth="1"/>
    <col min="2990" max="2990" width="7" style="123" bestFit="1" customWidth="1"/>
    <col min="2991" max="2993" width="8" style="123" bestFit="1" customWidth="1"/>
    <col min="2994" max="2995" width="7" style="123" bestFit="1" customWidth="1"/>
    <col min="2996" max="2998" width="8" style="123" bestFit="1" customWidth="1"/>
    <col min="2999" max="2999" width="7" style="123" bestFit="1" customWidth="1"/>
    <col min="3000" max="3002" width="8" style="123" bestFit="1" customWidth="1"/>
    <col min="3003" max="3003" width="5" style="123" bestFit="1" customWidth="1"/>
    <col min="3004" max="3004" width="7" style="123" bestFit="1" customWidth="1"/>
    <col min="3005" max="3008" width="8" style="123" bestFit="1" customWidth="1"/>
    <col min="3009" max="3009" width="7" style="123" bestFit="1" customWidth="1"/>
    <col min="3010" max="3011" width="8" style="123" bestFit="1" customWidth="1"/>
    <col min="3012" max="3012" width="7" style="123" bestFit="1" customWidth="1"/>
    <col min="3013" max="3013" width="8" style="123" bestFit="1" customWidth="1"/>
    <col min="3014" max="3014" width="7" style="123" bestFit="1" customWidth="1"/>
    <col min="3015" max="3016" width="8" style="123" bestFit="1" customWidth="1"/>
    <col min="3017" max="3017" width="7" style="123" bestFit="1" customWidth="1"/>
    <col min="3018" max="3019" width="5" style="123" bestFit="1" customWidth="1"/>
    <col min="3020" max="3021" width="7" style="123" bestFit="1" customWidth="1"/>
    <col min="3022" max="3022" width="8" style="123" bestFit="1" customWidth="1"/>
    <col min="3023" max="3023" width="5" style="123" bestFit="1" customWidth="1"/>
    <col min="3024" max="3024" width="8" style="123" bestFit="1" customWidth="1"/>
    <col min="3025" max="3025" width="7" style="123" bestFit="1" customWidth="1"/>
    <col min="3026" max="3026" width="5" style="123" bestFit="1" customWidth="1"/>
    <col min="3027" max="3029" width="8" style="123" bestFit="1" customWidth="1"/>
    <col min="3030" max="3030" width="7" style="123" bestFit="1" customWidth="1"/>
    <col min="3031" max="3031" width="8" style="123" bestFit="1" customWidth="1"/>
    <col min="3032" max="3032" width="7" style="123" bestFit="1" customWidth="1"/>
    <col min="3033" max="3033" width="8" style="123" bestFit="1" customWidth="1"/>
    <col min="3034" max="3035" width="7" style="123" bestFit="1" customWidth="1"/>
    <col min="3036" max="3036" width="8" style="123" bestFit="1" customWidth="1"/>
    <col min="3037" max="3040" width="7" style="123" bestFit="1" customWidth="1"/>
    <col min="3041" max="3042" width="5" style="123" bestFit="1" customWidth="1"/>
    <col min="3043" max="3043" width="8" style="123" bestFit="1" customWidth="1"/>
    <col min="3044" max="3044" width="5" style="123" bestFit="1" customWidth="1"/>
    <col min="3045" max="3045" width="7" style="123" bestFit="1" customWidth="1"/>
    <col min="3046" max="3046" width="5" style="123" bestFit="1" customWidth="1"/>
    <col min="3047" max="3047" width="7" style="123" bestFit="1" customWidth="1"/>
    <col min="3048" max="3048" width="8" style="123" bestFit="1" customWidth="1"/>
    <col min="3049" max="3050" width="7" style="123" bestFit="1" customWidth="1"/>
    <col min="3051" max="3051" width="8" style="123" bestFit="1" customWidth="1"/>
    <col min="3052" max="3052" width="7" style="123" bestFit="1" customWidth="1"/>
    <col min="3053" max="3053" width="8" style="123" bestFit="1" customWidth="1"/>
    <col min="3054" max="3054" width="7" style="123" bestFit="1" customWidth="1"/>
    <col min="3055" max="3055" width="5" style="123" bestFit="1" customWidth="1"/>
    <col min="3056" max="3059" width="7" style="123" bestFit="1" customWidth="1"/>
    <col min="3060" max="3060" width="8" style="123" bestFit="1" customWidth="1"/>
    <col min="3061" max="3061" width="7" style="123" bestFit="1" customWidth="1"/>
    <col min="3062" max="3062" width="8" style="123" bestFit="1" customWidth="1"/>
    <col min="3063" max="3064" width="7" style="123" bestFit="1" customWidth="1"/>
    <col min="3065" max="3065" width="5" style="123" bestFit="1" customWidth="1"/>
    <col min="3066" max="3070" width="8" style="123" bestFit="1" customWidth="1"/>
    <col min="3071" max="3071" width="7" style="123" bestFit="1" customWidth="1"/>
    <col min="3072" max="3072" width="8" style="123" bestFit="1" customWidth="1"/>
    <col min="3073" max="3073" width="7" style="123" bestFit="1" customWidth="1"/>
    <col min="3074" max="3074" width="8" style="123" bestFit="1" customWidth="1"/>
    <col min="3075" max="3076" width="7" style="123" bestFit="1" customWidth="1"/>
    <col min="3077" max="3078" width="8" style="123" bestFit="1" customWidth="1"/>
    <col min="3079" max="3083" width="7" style="123" bestFit="1" customWidth="1"/>
    <col min="3084" max="3086" width="8" style="123" bestFit="1" customWidth="1"/>
    <col min="3087" max="3087" width="7" style="123" bestFit="1" customWidth="1"/>
    <col min="3088" max="3088" width="8" style="123" bestFit="1" customWidth="1"/>
    <col min="3089" max="3089" width="5" style="123" bestFit="1" customWidth="1"/>
    <col min="3090" max="3090" width="7" style="123" bestFit="1" customWidth="1"/>
    <col min="3091" max="3091" width="8" style="123" bestFit="1" customWidth="1"/>
    <col min="3092" max="3092" width="7" style="123" bestFit="1" customWidth="1"/>
    <col min="3093" max="3093" width="8" style="123" bestFit="1" customWidth="1"/>
    <col min="3094" max="3094" width="7" style="123" bestFit="1" customWidth="1"/>
    <col min="3095" max="3095" width="8" style="123" bestFit="1" customWidth="1"/>
    <col min="3096" max="3096" width="7" style="123" bestFit="1" customWidth="1"/>
    <col min="3097" max="3098" width="8" style="123" bestFit="1" customWidth="1"/>
    <col min="3099" max="3099" width="7" style="123" bestFit="1" customWidth="1"/>
    <col min="3100" max="3100" width="8" style="123" bestFit="1" customWidth="1"/>
    <col min="3101" max="3101" width="5" style="123" bestFit="1" customWidth="1"/>
    <col min="3102" max="3104" width="7" style="123" bestFit="1" customWidth="1"/>
    <col min="3105" max="3105" width="8" style="123" bestFit="1" customWidth="1"/>
    <col min="3106" max="3107" width="7" style="123" bestFit="1" customWidth="1"/>
    <col min="3108" max="3109" width="5" style="123" bestFit="1" customWidth="1"/>
    <col min="3110" max="3117" width="7" style="123" bestFit="1" customWidth="1"/>
    <col min="3118" max="3118" width="5" style="123" bestFit="1" customWidth="1"/>
    <col min="3119" max="3119" width="7" style="123" bestFit="1" customWidth="1"/>
    <col min="3120" max="3120" width="5" style="123" bestFit="1" customWidth="1"/>
    <col min="3121" max="3122" width="7" style="123" bestFit="1" customWidth="1"/>
    <col min="3123" max="3123" width="8" style="123" bestFit="1" customWidth="1"/>
    <col min="3124" max="3125" width="7" style="123" bestFit="1" customWidth="1"/>
    <col min="3126" max="3127" width="8" style="123" bestFit="1" customWidth="1"/>
    <col min="3128" max="3128" width="7" style="123" bestFit="1" customWidth="1"/>
    <col min="3129" max="3129" width="8" style="123" bestFit="1" customWidth="1"/>
    <col min="3130" max="3130" width="7" style="123" bestFit="1" customWidth="1"/>
    <col min="3131" max="3131" width="8" style="123" bestFit="1" customWidth="1"/>
    <col min="3132" max="3132" width="7" style="123" bestFit="1" customWidth="1"/>
    <col min="3133" max="3135" width="8" style="123" bestFit="1" customWidth="1"/>
    <col min="3136" max="3136" width="7" style="123" bestFit="1" customWidth="1"/>
    <col min="3137" max="3137" width="5" style="123" bestFit="1" customWidth="1"/>
    <col min="3138" max="3138" width="8" style="123" bestFit="1" customWidth="1"/>
    <col min="3139" max="3139" width="7" style="123" bestFit="1" customWidth="1"/>
    <col min="3140" max="3140" width="8" style="123" bestFit="1" customWidth="1"/>
    <col min="3141" max="3141" width="5" style="123" bestFit="1" customWidth="1"/>
    <col min="3142" max="3143" width="7" style="123" bestFit="1" customWidth="1"/>
    <col min="3144" max="3145" width="8" style="123" bestFit="1" customWidth="1"/>
    <col min="3146" max="3146" width="7" style="123" bestFit="1" customWidth="1"/>
    <col min="3147" max="3150" width="8" style="123" bestFit="1" customWidth="1"/>
    <col min="3151" max="3151" width="5" style="123" bestFit="1" customWidth="1"/>
    <col min="3152" max="3155" width="8" style="123" bestFit="1" customWidth="1"/>
    <col min="3156" max="3156" width="5" style="123" bestFit="1" customWidth="1"/>
    <col min="3157" max="3158" width="7" style="123" bestFit="1" customWidth="1"/>
    <col min="3159" max="3159" width="8" style="123" bestFit="1" customWidth="1"/>
    <col min="3160" max="3160" width="5" style="123" bestFit="1" customWidth="1"/>
    <col min="3161" max="3161" width="8" style="123" bestFit="1" customWidth="1"/>
    <col min="3162" max="3163" width="7" style="123" bestFit="1" customWidth="1"/>
    <col min="3164" max="3164" width="8" style="123" bestFit="1" customWidth="1"/>
    <col min="3165" max="3165" width="7" style="123" bestFit="1" customWidth="1"/>
    <col min="3166" max="3169" width="8" style="123" bestFit="1" customWidth="1"/>
    <col min="3170" max="3172" width="5" style="123" bestFit="1" customWidth="1"/>
    <col min="3173" max="3173" width="7" style="123" bestFit="1" customWidth="1"/>
    <col min="3174" max="3174" width="8" style="123" bestFit="1" customWidth="1"/>
    <col min="3175" max="3175" width="5" style="123" bestFit="1" customWidth="1"/>
    <col min="3176" max="3177" width="7" style="123" bestFit="1" customWidth="1"/>
    <col min="3178" max="3179" width="8" style="123" bestFit="1" customWidth="1"/>
    <col min="3180" max="3184" width="7" style="123" bestFit="1" customWidth="1"/>
    <col min="3185" max="3185" width="8" style="123" bestFit="1" customWidth="1"/>
    <col min="3186" max="3187" width="7" style="123" bestFit="1" customWidth="1"/>
    <col min="3188" max="3189" width="8" style="123" bestFit="1" customWidth="1"/>
    <col min="3190" max="3190" width="5" style="123" bestFit="1" customWidth="1"/>
    <col min="3191" max="3193" width="8" style="123" bestFit="1" customWidth="1"/>
    <col min="3194" max="3194" width="6" style="123" bestFit="1" customWidth="1"/>
    <col min="3195" max="3198" width="8" style="123" bestFit="1" customWidth="1"/>
    <col min="3199" max="3199" width="9" style="123" bestFit="1" customWidth="1"/>
    <col min="3200" max="3200" width="6" style="123" bestFit="1" customWidth="1"/>
    <col min="3201" max="3201" width="8" style="123" bestFit="1" customWidth="1"/>
    <col min="3202" max="3203" width="9" style="123" bestFit="1" customWidth="1"/>
    <col min="3204" max="3204" width="8" style="123" bestFit="1" customWidth="1"/>
    <col min="3205" max="3205" width="9" style="123" bestFit="1" customWidth="1"/>
    <col min="3206" max="3206" width="8" style="123" bestFit="1" customWidth="1"/>
    <col min="3207" max="3207" width="6" style="123" bestFit="1" customWidth="1"/>
    <col min="3208" max="3208" width="9" style="123" bestFit="1" customWidth="1"/>
    <col min="3209" max="3209" width="6" style="123" bestFit="1" customWidth="1"/>
    <col min="3210" max="3210" width="8" style="123" bestFit="1" customWidth="1"/>
    <col min="3211" max="3211" width="9" style="123" bestFit="1" customWidth="1"/>
    <col min="3212" max="3212" width="6" style="123" bestFit="1" customWidth="1"/>
    <col min="3213" max="3213" width="9" style="123" bestFit="1" customWidth="1"/>
    <col min="3214" max="3217" width="6" style="123" bestFit="1" customWidth="1"/>
    <col min="3218" max="3218" width="8" style="123" bestFit="1" customWidth="1"/>
    <col min="3219" max="3219" width="9" style="123" bestFit="1" customWidth="1"/>
    <col min="3220" max="3220" width="6" style="123" bestFit="1" customWidth="1"/>
    <col min="3221" max="3222" width="8" style="123" bestFit="1" customWidth="1"/>
    <col min="3223" max="3223" width="6" style="123" bestFit="1" customWidth="1"/>
    <col min="3224" max="3224" width="8" style="123" bestFit="1" customWidth="1"/>
    <col min="3225" max="3226" width="9" style="123" bestFit="1" customWidth="1"/>
    <col min="3227" max="3227" width="8" style="123" bestFit="1" customWidth="1"/>
    <col min="3228" max="3229" width="9" style="123" bestFit="1" customWidth="1"/>
    <col min="3230" max="3230" width="8" style="123" bestFit="1" customWidth="1"/>
    <col min="3231" max="3232" width="9" style="123" bestFit="1" customWidth="1"/>
    <col min="3233" max="3234" width="8" style="123" bestFit="1" customWidth="1"/>
    <col min="3235" max="3235" width="9" style="123" bestFit="1" customWidth="1"/>
    <col min="3236" max="3236" width="8" style="123" bestFit="1" customWidth="1"/>
    <col min="3237" max="3237" width="9" style="123" bestFit="1" customWidth="1"/>
    <col min="3238" max="3238" width="6" style="123" bestFit="1" customWidth="1"/>
    <col min="3239" max="3240" width="8" style="123" bestFit="1" customWidth="1"/>
    <col min="3241" max="3242" width="6" style="123" bestFit="1" customWidth="1"/>
    <col min="3243" max="3245" width="9" style="123" bestFit="1" customWidth="1"/>
    <col min="3246" max="3247" width="8" style="123" bestFit="1" customWidth="1"/>
    <col min="3248" max="3248" width="6" style="123" bestFit="1" customWidth="1"/>
    <col min="3249" max="3257" width="9" style="123" bestFit="1" customWidth="1"/>
    <col min="3258" max="3260" width="8" style="123" bestFit="1" customWidth="1"/>
    <col min="3261" max="3261" width="9" style="123" bestFit="1" customWidth="1"/>
    <col min="3262" max="3262" width="8" style="123" bestFit="1" customWidth="1"/>
    <col min="3263" max="3266" width="9" style="123" bestFit="1" customWidth="1"/>
    <col min="3267" max="3267" width="8" style="123" bestFit="1" customWidth="1"/>
    <col min="3268" max="3268" width="10" style="123" bestFit="1" customWidth="1"/>
    <col min="3269" max="3269" width="8" style="123" bestFit="1" customWidth="1"/>
    <col min="3270" max="3270" width="6" style="123" bestFit="1" customWidth="1"/>
    <col min="3271" max="3272" width="9" style="123" bestFit="1" customWidth="1"/>
    <col min="3273" max="3273" width="6" style="123" bestFit="1" customWidth="1"/>
    <col min="3274" max="3274" width="8" style="123" bestFit="1" customWidth="1"/>
    <col min="3275" max="3279" width="9" style="123" bestFit="1" customWidth="1"/>
    <col min="3280" max="3280" width="6" style="123" bestFit="1" customWidth="1"/>
    <col min="3281" max="3282" width="9" style="123" bestFit="1" customWidth="1"/>
    <col min="3283" max="3283" width="8" style="123" bestFit="1" customWidth="1"/>
    <col min="3284" max="3284" width="9" style="123" bestFit="1" customWidth="1"/>
    <col min="3285" max="3285" width="6" style="123" bestFit="1" customWidth="1"/>
    <col min="3286" max="3286" width="9" style="123" bestFit="1" customWidth="1"/>
    <col min="3287" max="3288" width="8" style="123" bestFit="1" customWidth="1"/>
    <col min="3289" max="3291" width="9" style="123" bestFit="1" customWidth="1"/>
    <col min="3292" max="3292" width="6" style="123" bestFit="1" customWidth="1"/>
    <col min="3293" max="3293" width="9" style="123" bestFit="1" customWidth="1"/>
    <col min="3294" max="3294" width="6" style="123" bestFit="1" customWidth="1"/>
    <col min="3295" max="3296" width="9" style="123" bestFit="1" customWidth="1"/>
    <col min="3297" max="3297" width="8" style="123" bestFit="1" customWidth="1"/>
    <col min="3298" max="3298" width="6" style="123" bestFit="1" customWidth="1"/>
    <col min="3299" max="3299" width="9" style="123" bestFit="1" customWidth="1"/>
    <col min="3300" max="3300" width="6" style="123" bestFit="1" customWidth="1"/>
    <col min="3301" max="3302" width="8" style="123" bestFit="1" customWidth="1"/>
    <col min="3303" max="3304" width="9" style="123" bestFit="1" customWidth="1"/>
    <col min="3305" max="3307" width="6" style="123" bestFit="1" customWidth="1"/>
    <col min="3308" max="3308" width="9" style="123" bestFit="1" customWidth="1"/>
    <col min="3309" max="3309" width="8" style="123" bestFit="1" customWidth="1"/>
    <col min="3310" max="3310" width="6" style="123" bestFit="1" customWidth="1"/>
    <col min="3311" max="3311" width="8" style="123" bestFit="1" customWidth="1"/>
    <col min="3312" max="3314" width="9" style="123" bestFit="1" customWidth="1"/>
    <col min="3315" max="3315" width="6" style="123" bestFit="1" customWidth="1"/>
    <col min="3316" max="3316" width="9" style="123" bestFit="1" customWidth="1"/>
    <col min="3317" max="3317" width="8" style="123" bestFit="1" customWidth="1"/>
    <col min="3318" max="3318" width="6" style="123" bestFit="1" customWidth="1"/>
    <col min="3319" max="3320" width="9" style="123" bestFit="1" customWidth="1"/>
    <col min="3321" max="3321" width="6" style="123" bestFit="1" customWidth="1"/>
    <col min="3322" max="3322" width="9" style="123" bestFit="1" customWidth="1"/>
    <col min="3323" max="3323" width="6" style="123" bestFit="1" customWidth="1"/>
    <col min="3324" max="3327" width="8" style="123" bestFit="1" customWidth="1"/>
    <col min="3328" max="3330" width="9" style="123" bestFit="1" customWidth="1"/>
    <col min="3331" max="3334" width="8" style="123" bestFit="1" customWidth="1"/>
    <col min="3335" max="3335" width="10" style="123" bestFit="1" customWidth="1"/>
    <col min="3336" max="3337" width="9" style="123" bestFit="1" customWidth="1"/>
    <col min="3338" max="3338" width="8" style="123" bestFit="1" customWidth="1"/>
    <col min="3339" max="3341" width="9" style="123" bestFit="1" customWidth="1"/>
    <col min="3342" max="3342" width="6" style="123" bestFit="1" customWidth="1"/>
    <col min="3343" max="3343" width="9" style="123" bestFit="1" customWidth="1"/>
    <col min="3344" max="3345" width="8" style="123" bestFit="1" customWidth="1"/>
    <col min="3346" max="3349" width="9" style="123" bestFit="1" customWidth="1"/>
    <col min="3350" max="3350" width="8" style="123" bestFit="1" customWidth="1"/>
    <col min="3351" max="3351" width="6" style="123" bestFit="1" customWidth="1"/>
    <col min="3352" max="3352" width="8" style="123" bestFit="1" customWidth="1"/>
    <col min="3353" max="3353" width="6" style="123" bestFit="1" customWidth="1"/>
    <col min="3354" max="3358" width="9" style="123" bestFit="1" customWidth="1"/>
    <col min="3359" max="3359" width="8" style="123" bestFit="1" customWidth="1"/>
    <col min="3360" max="3360" width="9" style="123" bestFit="1" customWidth="1"/>
    <col min="3361" max="3362" width="6" style="123" bestFit="1" customWidth="1"/>
    <col min="3363" max="3363" width="9" style="123" bestFit="1" customWidth="1"/>
    <col min="3364" max="3364" width="8" style="123" bestFit="1" customWidth="1"/>
    <col min="3365" max="3365" width="9" style="123" bestFit="1" customWidth="1"/>
    <col min="3366" max="3370" width="8" style="123" bestFit="1" customWidth="1"/>
    <col min="3371" max="3375" width="9" style="123" bestFit="1" customWidth="1"/>
    <col min="3376" max="3377" width="8" style="123" bestFit="1" customWidth="1"/>
    <col min="3378" max="3378" width="9" style="123" bestFit="1" customWidth="1"/>
    <col min="3379" max="3379" width="8" style="123" bestFit="1" customWidth="1"/>
    <col min="3380" max="3381" width="9" style="123" bestFit="1" customWidth="1"/>
    <col min="3382" max="3382" width="6" style="123" bestFit="1" customWidth="1"/>
    <col min="3383" max="3384" width="8" style="123" bestFit="1" customWidth="1"/>
    <col min="3385" max="3392" width="9" style="123" bestFit="1" customWidth="1"/>
    <col min="3393" max="3395" width="8" style="123" bestFit="1" customWidth="1"/>
    <col min="3396" max="3400" width="9" style="123" bestFit="1" customWidth="1"/>
    <col min="3401" max="3401" width="6" style="123" bestFit="1" customWidth="1"/>
    <col min="3402" max="3403" width="9" style="123" bestFit="1" customWidth="1"/>
    <col min="3404" max="3404" width="8" style="123" bestFit="1" customWidth="1"/>
    <col min="3405" max="3406" width="9" style="123" bestFit="1" customWidth="1"/>
    <col min="3407" max="3411" width="8" style="123" bestFit="1" customWidth="1"/>
    <col min="3412" max="3416" width="9" style="123" bestFit="1" customWidth="1"/>
    <col min="3417" max="3417" width="8" style="123" bestFit="1" customWidth="1"/>
    <col min="3418" max="3418" width="9" style="123" bestFit="1" customWidth="1"/>
    <col min="3419" max="3420" width="8" style="123" bestFit="1" customWidth="1"/>
    <col min="3421" max="3425" width="9" style="123" bestFit="1" customWidth="1"/>
    <col min="3426" max="3426" width="8" style="123" bestFit="1" customWidth="1"/>
    <col min="3427" max="3427" width="9" style="123" bestFit="1" customWidth="1"/>
    <col min="3428" max="3428" width="6" style="123" bestFit="1" customWidth="1"/>
    <col min="3429" max="3429" width="9" style="123" bestFit="1" customWidth="1"/>
    <col min="3430" max="3430" width="8" style="123" bestFit="1" customWidth="1"/>
    <col min="3431" max="3432" width="9" style="123" bestFit="1" customWidth="1"/>
    <col min="3433" max="3433" width="8" style="123" bestFit="1" customWidth="1"/>
    <col min="3434" max="3434" width="9" style="123" bestFit="1" customWidth="1"/>
    <col min="3435" max="3435" width="8" style="123" bestFit="1" customWidth="1"/>
    <col min="3436" max="3436" width="6" style="123" bestFit="1" customWidth="1"/>
    <col min="3437" max="3437" width="8" style="123" bestFit="1" customWidth="1"/>
    <col min="3438" max="3439" width="9" style="123" bestFit="1" customWidth="1"/>
    <col min="3440" max="3440" width="6" style="123" bestFit="1" customWidth="1"/>
    <col min="3441" max="3441" width="9" style="123" bestFit="1" customWidth="1"/>
    <col min="3442" max="3442" width="6" style="123" bestFit="1" customWidth="1"/>
    <col min="3443" max="3443" width="8" style="123" bestFit="1" customWidth="1"/>
    <col min="3444" max="3448" width="9" style="123" bestFit="1" customWidth="1"/>
    <col min="3449" max="3449" width="8" style="123" bestFit="1" customWidth="1"/>
    <col min="3450" max="3450" width="9" style="123" bestFit="1" customWidth="1"/>
    <col min="3451" max="3453" width="8" style="123" bestFit="1" customWidth="1"/>
    <col min="3454" max="3454" width="9" style="123" bestFit="1" customWidth="1"/>
    <col min="3455" max="3456" width="8" style="123" bestFit="1" customWidth="1"/>
    <col min="3457" max="3457" width="9" style="123" bestFit="1" customWidth="1"/>
    <col min="3458" max="3460" width="8" style="123" bestFit="1" customWidth="1"/>
    <col min="3461" max="3463" width="9" style="123" bestFit="1" customWidth="1"/>
    <col min="3464" max="3466" width="8" style="123" bestFit="1" customWidth="1"/>
    <col min="3467" max="3468" width="6" style="123" bestFit="1" customWidth="1"/>
    <col min="3469" max="3471" width="8" style="123" bestFit="1" customWidth="1"/>
    <col min="3472" max="3472" width="9" style="123" bestFit="1" customWidth="1"/>
    <col min="3473" max="3473" width="6" style="123" bestFit="1" customWidth="1"/>
    <col min="3474" max="3474" width="8" style="123" bestFit="1" customWidth="1"/>
    <col min="3475" max="3477" width="9" style="123" bestFit="1" customWidth="1"/>
    <col min="3478" max="3481" width="8" style="123" bestFit="1" customWidth="1"/>
    <col min="3482" max="3482" width="6" style="123" bestFit="1" customWidth="1"/>
    <col min="3483" max="3483" width="8" style="123" bestFit="1" customWidth="1"/>
    <col min="3484" max="3485" width="9" style="123" bestFit="1" customWidth="1"/>
    <col min="3486" max="3487" width="8" style="123" bestFit="1" customWidth="1"/>
    <col min="3488" max="3488" width="9" style="123" bestFit="1" customWidth="1"/>
    <col min="3489" max="3489" width="8" style="123" bestFit="1" customWidth="1"/>
    <col min="3490" max="3492" width="9" style="123" bestFit="1" customWidth="1"/>
    <col min="3493" max="3493" width="6" style="123" bestFit="1" customWidth="1"/>
    <col min="3494" max="3494" width="8" style="123" bestFit="1" customWidth="1"/>
    <col min="3495" max="3498" width="9" style="123" bestFit="1" customWidth="1"/>
    <col min="3499" max="3499" width="6" style="123" bestFit="1" customWidth="1"/>
    <col min="3500" max="3502" width="8" style="123" bestFit="1" customWidth="1"/>
    <col min="3503" max="3503" width="6" style="123" bestFit="1" customWidth="1"/>
    <col min="3504" max="3504" width="8" style="123" bestFit="1" customWidth="1"/>
    <col min="3505" max="3505" width="9" style="123" bestFit="1" customWidth="1"/>
    <col min="3506" max="3506" width="6" style="123" bestFit="1" customWidth="1"/>
    <col min="3507" max="3508" width="8" style="123" bestFit="1" customWidth="1"/>
    <col min="3509" max="3511" width="9" style="123" bestFit="1" customWidth="1"/>
    <col min="3512" max="3512" width="8" style="123" bestFit="1" customWidth="1"/>
    <col min="3513" max="3514" width="6" style="123" bestFit="1" customWidth="1"/>
    <col min="3515" max="3515" width="9" style="123" bestFit="1" customWidth="1"/>
    <col min="3516" max="3516" width="8" style="123" bestFit="1" customWidth="1"/>
    <col min="3517" max="3518" width="9" style="123" bestFit="1" customWidth="1"/>
    <col min="3519" max="3519" width="6" style="123" bestFit="1" customWidth="1"/>
    <col min="3520" max="3520" width="9" style="123" bestFit="1" customWidth="1"/>
    <col min="3521" max="3521" width="8" style="123" bestFit="1" customWidth="1"/>
    <col min="3522" max="3522" width="9" style="123" bestFit="1" customWidth="1"/>
    <col min="3523" max="3525" width="8" style="123" bestFit="1" customWidth="1"/>
    <col min="3526" max="3528" width="9" style="123" bestFit="1" customWidth="1"/>
    <col min="3529" max="3529" width="6" style="123" bestFit="1" customWidth="1"/>
    <col min="3530" max="3531" width="9" style="123" bestFit="1" customWidth="1"/>
    <col min="3532" max="3533" width="8" style="123" bestFit="1" customWidth="1"/>
    <col min="3534" max="3534" width="6" style="123" bestFit="1" customWidth="1"/>
    <col min="3535" max="3536" width="9" style="123" bestFit="1" customWidth="1"/>
    <col min="3537" max="3537" width="8" style="123" bestFit="1" customWidth="1"/>
    <col min="3538" max="3538" width="9" style="123" bestFit="1" customWidth="1"/>
    <col min="3539" max="3539" width="6" style="123" bestFit="1" customWidth="1"/>
    <col min="3540" max="3540" width="8" style="123" bestFit="1" customWidth="1"/>
    <col min="3541" max="3542" width="9" style="123" bestFit="1" customWidth="1"/>
    <col min="3543" max="3543" width="8" style="123" bestFit="1" customWidth="1"/>
    <col min="3544" max="3548" width="9" style="123" bestFit="1" customWidth="1"/>
    <col min="3549" max="3549" width="8" style="123" bestFit="1" customWidth="1"/>
    <col min="3550" max="3550" width="9" style="123" bestFit="1" customWidth="1"/>
    <col min="3551" max="3551" width="8" style="123" bestFit="1" customWidth="1"/>
    <col min="3552" max="3555" width="9" style="123" bestFit="1" customWidth="1"/>
    <col min="3556" max="3557" width="6" style="123" bestFit="1" customWidth="1"/>
    <col min="3558" max="3558" width="9" style="123" bestFit="1" customWidth="1"/>
    <col min="3559" max="3559" width="6" style="123" bestFit="1" customWidth="1"/>
    <col min="3560" max="3560" width="9" style="123" bestFit="1" customWidth="1"/>
    <col min="3561" max="3562" width="8" style="123" bestFit="1" customWidth="1"/>
    <col min="3563" max="3563" width="9" style="123" bestFit="1" customWidth="1"/>
    <col min="3564" max="3564" width="8" style="123" bestFit="1" customWidth="1"/>
    <col min="3565" max="3565" width="9" style="123" bestFit="1" customWidth="1"/>
    <col min="3566" max="3568" width="8" style="123" bestFit="1" customWidth="1"/>
    <col min="3569" max="3569" width="9" style="123" bestFit="1" customWidth="1"/>
    <col min="3570" max="3570" width="6" style="123" bestFit="1" customWidth="1"/>
    <col min="3571" max="3571" width="9" style="123" bestFit="1" customWidth="1"/>
    <col min="3572" max="3572" width="8" style="123" bestFit="1" customWidth="1"/>
    <col min="3573" max="3573" width="6" style="123" bestFit="1" customWidth="1"/>
    <col min="3574" max="3575" width="8" style="123" bestFit="1" customWidth="1"/>
    <col min="3576" max="3576" width="9" style="123" bestFit="1" customWidth="1"/>
    <col min="3577" max="3577" width="6" style="123" bestFit="1" customWidth="1"/>
    <col min="3578" max="3578" width="8" style="123" bestFit="1" customWidth="1"/>
    <col min="3579" max="3579" width="9" style="123" bestFit="1" customWidth="1"/>
    <col min="3580" max="3582" width="8" style="123" bestFit="1" customWidth="1"/>
    <col min="3583" max="3584" width="9" style="123" bestFit="1" customWidth="1"/>
    <col min="3585" max="3585" width="8" style="123" bestFit="1" customWidth="1"/>
    <col min="3586" max="3586" width="9" style="123" bestFit="1" customWidth="1"/>
    <col min="3587" max="3587" width="6" style="123" bestFit="1" customWidth="1"/>
    <col min="3588" max="3588" width="8" style="123" bestFit="1" customWidth="1"/>
    <col min="3589" max="3590" width="9" style="123" bestFit="1" customWidth="1"/>
    <col min="3591" max="3591" width="8" style="123" bestFit="1" customWidth="1"/>
    <col min="3592" max="3592" width="9" style="123" bestFit="1" customWidth="1"/>
    <col min="3593" max="3593" width="6" style="123" bestFit="1" customWidth="1"/>
    <col min="3594" max="3594" width="9" style="123" bestFit="1" customWidth="1"/>
    <col min="3595" max="3595" width="8" style="123" bestFit="1" customWidth="1"/>
    <col min="3596" max="3596" width="9" style="123" bestFit="1" customWidth="1"/>
    <col min="3597" max="3598" width="8" style="123" bestFit="1" customWidth="1"/>
    <col min="3599" max="3600" width="9" style="123" bestFit="1" customWidth="1"/>
    <col min="3601" max="3601" width="6" style="123" bestFit="1" customWidth="1"/>
    <col min="3602" max="3602" width="9" style="123" bestFit="1" customWidth="1"/>
    <col min="3603" max="3603" width="6" style="123" bestFit="1" customWidth="1"/>
    <col min="3604" max="3604" width="8" style="123" bestFit="1" customWidth="1"/>
    <col min="3605" max="3605" width="9" style="123" bestFit="1" customWidth="1"/>
    <col min="3606" max="3606" width="8" style="123" bestFit="1" customWidth="1"/>
    <col min="3607" max="3607" width="9" style="123" bestFit="1" customWidth="1"/>
    <col min="3608" max="3608" width="8" style="123" bestFit="1" customWidth="1"/>
    <col min="3609" max="3610" width="6" style="123" bestFit="1" customWidth="1"/>
    <col min="3611" max="3611" width="9" style="123" bestFit="1" customWidth="1"/>
    <col min="3612" max="3612" width="6" style="123" bestFit="1" customWidth="1"/>
    <col min="3613" max="3613" width="8" style="123" bestFit="1" customWidth="1"/>
    <col min="3614" max="3615" width="9" style="123" bestFit="1" customWidth="1"/>
    <col min="3616" max="3616" width="8" style="123" bestFit="1" customWidth="1"/>
    <col min="3617" max="3617" width="6" style="123" bestFit="1" customWidth="1"/>
    <col min="3618" max="3618" width="9" style="123" bestFit="1" customWidth="1"/>
    <col min="3619" max="3620" width="8" style="123" bestFit="1" customWidth="1"/>
    <col min="3621" max="3622" width="9" style="123" bestFit="1" customWidth="1"/>
    <col min="3623" max="3623" width="8" style="123" bestFit="1" customWidth="1"/>
    <col min="3624" max="3624" width="9" style="123" bestFit="1" customWidth="1"/>
    <col min="3625" max="3625" width="6" style="123" bestFit="1" customWidth="1"/>
    <col min="3626" max="3627" width="9" style="123" bestFit="1" customWidth="1"/>
    <col min="3628" max="3628" width="8" style="123" bestFit="1" customWidth="1"/>
    <col min="3629" max="3631" width="9" style="123" bestFit="1" customWidth="1"/>
    <col min="3632" max="3632" width="8" style="123" bestFit="1" customWidth="1"/>
    <col min="3633" max="3634" width="9" style="123" bestFit="1" customWidth="1"/>
    <col min="3635" max="3638" width="8" style="123" bestFit="1" customWidth="1"/>
    <col min="3639" max="3639" width="9" style="123" bestFit="1" customWidth="1"/>
    <col min="3640" max="3641" width="8" style="123" bestFit="1" customWidth="1"/>
    <col min="3642" max="3644" width="9" style="123" bestFit="1" customWidth="1"/>
    <col min="3645" max="3645" width="6" style="123" bestFit="1" customWidth="1"/>
    <col min="3646" max="3646" width="8" style="123" bestFit="1" customWidth="1"/>
    <col min="3647" max="3648" width="9" style="123" bestFit="1" customWidth="1"/>
    <col min="3649" max="3652" width="8" style="123" bestFit="1" customWidth="1"/>
    <col min="3653" max="3653" width="9" style="123" bestFit="1" customWidth="1"/>
    <col min="3654" max="3654" width="8" style="123" bestFit="1" customWidth="1"/>
    <col min="3655" max="3656" width="9" style="123" bestFit="1" customWidth="1"/>
    <col min="3657" max="3657" width="8" style="123" bestFit="1" customWidth="1"/>
    <col min="3658" max="3658" width="9" style="123" bestFit="1" customWidth="1"/>
    <col min="3659" max="3659" width="8" style="123" bestFit="1" customWidth="1"/>
    <col min="3660" max="3660" width="9" style="123" bestFit="1" customWidth="1"/>
    <col min="3661" max="3661" width="6" style="123" bestFit="1" customWidth="1"/>
    <col min="3662" max="3662" width="9" style="123" bestFit="1" customWidth="1"/>
    <col min="3663" max="3664" width="8" style="123" bestFit="1" customWidth="1"/>
    <col min="3665" max="3665" width="9" style="123" bestFit="1" customWidth="1"/>
    <col min="3666" max="3666" width="8" style="123" bestFit="1" customWidth="1"/>
    <col min="3667" max="3667" width="6" style="123" bestFit="1" customWidth="1"/>
    <col min="3668" max="3670" width="8" style="123" bestFit="1" customWidth="1"/>
    <col min="3671" max="3672" width="9" style="123" bestFit="1" customWidth="1"/>
    <col min="3673" max="3673" width="6" style="123" bestFit="1" customWidth="1"/>
    <col min="3674" max="3674" width="8" style="123" bestFit="1" customWidth="1"/>
    <col min="3675" max="3675" width="9" style="123" bestFit="1" customWidth="1"/>
    <col min="3676" max="3676" width="8" style="123" bestFit="1" customWidth="1"/>
    <col min="3677" max="3677" width="9" style="123" bestFit="1" customWidth="1"/>
    <col min="3678" max="3682" width="8" style="123" bestFit="1" customWidth="1"/>
    <col min="3683" max="3683" width="9" style="123" bestFit="1" customWidth="1"/>
    <col min="3684" max="3685" width="8" style="123" bestFit="1" customWidth="1"/>
    <col min="3686" max="3686" width="9" style="123" bestFit="1" customWidth="1"/>
    <col min="3687" max="3687" width="6" style="123" bestFit="1" customWidth="1"/>
    <col min="3688" max="3689" width="9" style="123" bestFit="1" customWidth="1"/>
    <col min="3690" max="3692" width="8" style="123" bestFit="1" customWidth="1"/>
    <col min="3693" max="3693" width="9" style="123" bestFit="1" customWidth="1"/>
    <col min="3694" max="3695" width="8" style="123" bestFit="1" customWidth="1"/>
    <col min="3696" max="3697" width="9" style="123" bestFit="1" customWidth="1"/>
    <col min="3698" max="3698" width="8" style="123" bestFit="1" customWidth="1"/>
    <col min="3699" max="3699" width="9" style="123" bestFit="1" customWidth="1"/>
    <col min="3700" max="3700" width="6" style="123" bestFit="1" customWidth="1"/>
    <col min="3701" max="3701" width="8" style="123" bestFit="1" customWidth="1"/>
    <col min="3702" max="3702" width="9" style="123" bestFit="1" customWidth="1"/>
    <col min="3703" max="3704" width="8" style="123" bestFit="1" customWidth="1"/>
    <col min="3705" max="3706" width="9" style="123" bestFit="1" customWidth="1"/>
    <col min="3707" max="3707" width="8" style="123" bestFit="1" customWidth="1"/>
    <col min="3708" max="3708" width="9" style="123" bestFit="1" customWidth="1"/>
    <col min="3709" max="3712" width="8" style="123" bestFit="1" customWidth="1"/>
    <col min="3713" max="3713" width="6" style="123" bestFit="1" customWidth="1"/>
    <col min="3714" max="3714" width="9" style="123" bestFit="1" customWidth="1"/>
    <col min="3715" max="3715" width="8" style="123" bestFit="1" customWidth="1"/>
    <col min="3716" max="3716" width="9" style="123" bestFit="1" customWidth="1"/>
    <col min="3717" max="3718" width="8" style="123" bestFit="1" customWidth="1"/>
    <col min="3719" max="3719" width="9" style="123" bestFit="1" customWidth="1"/>
    <col min="3720" max="3722" width="8" style="123" bestFit="1" customWidth="1"/>
    <col min="3723" max="3723" width="9" style="123" bestFit="1" customWidth="1"/>
    <col min="3724" max="3726" width="8" style="123" bestFit="1" customWidth="1"/>
    <col min="3727" max="3731" width="9" style="123" bestFit="1" customWidth="1"/>
    <col min="3732" max="3732" width="6" style="123" bestFit="1" customWidth="1"/>
    <col min="3733" max="3733" width="8" style="123" bestFit="1" customWidth="1"/>
    <col min="3734" max="3737" width="9" style="123" bestFit="1" customWidth="1"/>
    <col min="3738" max="3738" width="6" style="123" bestFit="1" customWidth="1"/>
    <col min="3739" max="3742" width="9" style="123" bestFit="1" customWidth="1"/>
    <col min="3743" max="3745" width="8" style="123" bestFit="1" customWidth="1"/>
    <col min="3746" max="3746" width="9" style="123" bestFit="1" customWidth="1"/>
    <col min="3747" max="3747" width="6" style="123" bestFit="1" customWidth="1"/>
    <col min="3748" max="3748" width="9" style="123" bestFit="1" customWidth="1"/>
    <col min="3749" max="3753" width="8" style="123" bestFit="1" customWidth="1"/>
    <col min="3754" max="3754" width="9" style="123" bestFit="1" customWidth="1"/>
    <col min="3755" max="3755" width="8" style="123" bestFit="1" customWidth="1"/>
    <col min="3756" max="3756" width="9" style="123" bestFit="1" customWidth="1"/>
    <col min="3757" max="3757" width="6" style="123" bestFit="1" customWidth="1"/>
    <col min="3758" max="3759" width="9" style="123" bestFit="1" customWidth="1"/>
    <col min="3760" max="3763" width="8" style="123" bestFit="1" customWidth="1"/>
    <col min="3764" max="3764" width="9" style="123" bestFit="1" customWidth="1"/>
    <col min="3765" max="3765" width="8" style="123" bestFit="1" customWidth="1"/>
    <col min="3766" max="3770" width="9" style="123" bestFit="1" customWidth="1"/>
    <col min="3771" max="3771" width="8" style="123" bestFit="1" customWidth="1"/>
    <col min="3772" max="3772" width="6" style="123" bestFit="1" customWidth="1"/>
    <col min="3773" max="3776" width="9" style="123" bestFit="1" customWidth="1"/>
    <col min="3777" max="3777" width="8" style="123" bestFit="1" customWidth="1"/>
    <col min="3778" max="3779" width="9" style="123" bestFit="1" customWidth="1"/>
    <col min="3780" max="3780" width="8" style="123" bestFit="1" customWidth="1"/>
    <col min="3781" max="3781" width="6" style="123" bestFit="1" customWidth="1"/>
    <col min="3782" max="3782" width="8" style="123" bestFit="1" customWidth="1"/>
    <col min="3783" max="3783" width="9" style="123" bestFit="1" customWidth="1"/>
    <col min="3784" max="3784" width="6" style="123" bestFit="1" customWidth="1"/>
    <col min="3785" max="3785" width="9" style="123" bestFit="1" customWidth="1"/>
    <col min="3786" max="3787" width="8" style="123" bestFit="1" customWidth="1"/>
    <col min="3788" max="3788" width="6" style="123" bestFit="1" customWidth="1"/>
    <col min="3789" max="3792" width="9" style="123" bestFit="1" customWidth="1"/>
    <col min="3793" max="3794" width="8" style="123" bestFit="1" customWidth="1"/>
    <col min="3795" max="3795" width="6" style="123" bestFit="1" customWidth="1"/>
    <col min="3796" max="3800" width="8" style="123" bestFit="1" customWidth="1"/>
    <col min="3801" max="3801" width="6" style="123" bestFit="1" customWidth="1"/>
    <col min="3802" max="3802" width="9" style="123" bestFit="1" customWidth="1"/>
    <col min="3803" max="3803" width="6" style="123" bestFit="1" customWidth="1"/>
    <col min="3804" max="3807" width="8" style="123" bestFit="1" customWidth="1"/>
    <col min="3808" max="3808" width="9" style="123" bestFit="1" customWidth="1"/>
    <col min="3809" max="3809" width="6" style="123" bestFit="1" customWidth="1"/>
    <col min="3810" max="3812" width="8" style="123" bestFit="1" customWidth="1"/>
    <col min="3813" max="3813" width="9" style="123" bestFit="1" customWidth="1"/>
    <col min="3814" max="3814" width="8" style="123" bestFit="1" customWidth="1"/>
    <col min="3815" max="3817" width="9" style="123" bestFit="1" customWidth="1"/>
    <col min="3818" max="3820" width="8" style="123" bestFit="1" customWidth="1"/>
    <col min="3821" max="3821" width="9" style="123" bestFit="1" customWidth="1"/>
    <col min="3822" max="3822" width="8" style="123" bestFit="1" customWidth="1"/>
    <col min="3823" max="3824" width="6" style="123" bestFit="1" customWidth="1"/>
    <col min="3825" max="3825" width="8" style="123" bestFit="1" customWidth="1"/>
    <col min="3826" max="3826" width="9" style="123" bestFit="1" customWidth="1"/>
    <col min="3827" max="3827" width="8" style="123" bestFit="1" customWidth="1"/>
    <col min="3828" max="3828" width="6" style="123" bestFit="1" customWidth="1"/>
    <col min="3829" max="3830" width="8" style="123" bestFit="1" customWidth="1"/>
    <col min="3831" max="3831" width="9" style="123" bestFit="1" customWidth="1"/>
    <col min="3832" max="3835" width="8" style="123" bestFit="1" customWidth="1"/>
    <col min="3836" max="3836" width="6" style="123" bestFit="1" customWidth="1"/>
    <col min="3837" max="3839" width="9" style="123" bestFit="1" customWidth="1"/>
    <col min="3840" max="3840" width="6" style="123" bestFit="1" customWidth="1"/>
    <col min="3841" max="3842" width="8" style="123" bestFit="1" customWidth="1"/>
    <col min="3843" max="3843" width="6" style="123" bestFit="1" customWidth="1"/>
    <col min="3844" max="3844" width="9" style="123" bestFit="1" customWidth="1"/>
    <col min="3845" max="3846" width="8" style="123" bestFit="1" customWidth="1"/>
    <col min="3847" max="3848" width="9" style="123" bestFit="1" customWidth="1"/>
    <col min="3849" max="3851" width="8" style="123" bestFit="1" customWidth="1"/>
    <col min="3852" max="3855" width="9" style="123" bestFit="1" customWidth="1"/>
    <col min="3856" max="3856" width="8" style="123" bestFit="1" customWidth="1"/>
    <col min="3857" max="3857" width="9" style="123" bestFit="1" customWidth="1"/>
    <col min="3858" max="3861" width="8" style="123" bestFit="1" customWidth="1"/>
    <col min="3862" max="3863" width="6" style="123" bestFit="1" customWidth="1"/>
    <col min="3864" max="3865" width="8" style="123" bestFit="1" customWidth="1"/>
    <col min="3866" max="3866" width="6" style="123" bestFit="1" customWidth="1"/>
    <col min="3867" max="3868" width="9" style="123" bestFit="1" customWidth="1"/>
    <col min="3869" max="3870" width="8" style="123" bestFit="1" customWidth="1"/>
    <col min="3871" max="3871" width="9" style="123" bestFit="1" customWidth="1"/>
    <col min="3872" max="3872" width="8" style="123" bestFit="1" customWidth="1"/>
    <col min="3873" max="3873" width="9" style="123" bestFit="1" customWidth="1"/>
    <col min="3874" max="3874" width="8" style="123" bestFit="1" customWidth="1"/>
    <col min="3875" max="3875" width="9" style="123" bestFit="1" customWidth="1"/>
    <col min="3876" max="3876" width="6" style="123" bestFit="1" customWidth="1"/>
    <col min="3877" max="3877" width="9" style="123" bestFit="1" customWidth="1"/>
    <col min="3878" max="3878" width="8" style="123" bestFit="1" customWidth="1"/>
    <col min="3879" max="3880" width="9" style="123" bestFit="1" customWidth="1"/>
    <col min="3881" max="3881" width="8" style="123" bestFit="1" customWidth="1"/>
    <col min="3882" max="3882" width="9" style="123" bestFit="1" customWidth="1"/>
    <col min="3883" max="3888" width="8" style="123" bestFit="1" customWidth="1"/>
    <col min="3889" max="3889" width="9" style="123" bestFit="1" customWidth="1"/>
    <col min="3890" max="3890" width="8" style="123" bestFit="1" customWidth="1"/>
    <col min="3891" max="3891" width="6" style="123" bestFit="1" customWidth="1"/>
    <col min="3892" max="3894" width="8" style="123" bestFit="1" customWidth="1"/>
    <col min="3895" max="3895" width="6" style="123" bestFit="1" customWidth="1"/>
    <col min="3896" max="3897" width="8" style="123" bestFit="1" customWidth="1"/>
    <col min="3898" max="3898" width="9" style="123" bestFit="1" customWidth="1"/>
    <col min="3899" max="3899" width="8" style="123" bestFit="1" customWidth="1"/>
    <col min="3900" max="3901" width="6" style="123" bestFit="1" customWidth="1"/>
    <col min="3902" max="3904" width="9" style="123" bestFit="1" customWidth="1"/>
    <col min="3905" max="3905" width="8" style="123" bestFit="1" customWidth="1"/>
    <col min="3906" max="3906" width="9" style="123" bestFit="1" customWidth="1"/>
    <col min="3907" max="3907" width="8" style="123" bestFit="1" customWidth="1"/>
    <col min="3908" max="3912" width="9" style="123" bestFit="1" customWidth="1"/>
    <col min="3913" max="3913" width="8" style="123" bestFit="1" customWidth="1"/>
    <col min="3914" max="3914" width="6" style="123" bestFit="1" customWidth="1"/>
    <col min="3915" max="3915" width="8" style="123" bestFit="1" customWidth="1"/>
    <col min="3916" max="3916" width="6" style="123" bestFit="1" customWidth="1"/>
    <col min="3917" max="3919" width="9" style="123" bestFit="1" customWidth="1"/>
    <col min="3920" max="3921" width="6" style="123" bestFit="1" customWidth="1"/>
    <col min="3922" max="3922" width="8" style="123" bestFit="1" customWidth="1"/>
    <col min="3923" max="3924" width="9" style="123" bestFit="1" customWidth="1"/>
    <col min="3925" max="3926" width="8" style="123" bestFit="1" customWidth="1"/>
    <col min="3927" max="3928" width="6" style="123" bestFit="1" customWidth="1"/>
    <col min="3929" max="3929" width="8" style="123" bestFit="1" customWidth="1"/>
    <col min="3930" max="3930" width="6" style="123" bestFit="1" customWidth="1"/>
    <col min="3931" max="3931" width="8" style="123" bestFit="1" customWidth="1"/>
    <col min="3932" max="3933" width="9" style="123" bestFit="1" customWidth="1"/>
    <col min="3934" max="3934" width="8" style="123" bestFit="1" customWidth="1"/>
    <col min="3935" max="3936" width="6" style="123" bestFit="1" customWidth="1"/>
    <col min="3937" max="3937" width="9" style="123" bestFit="1" customWidth="1"/>
    <col min="3938" max="3938" width="6" style="123" bestFit="1" customWidth="1"/>
    <col min="3939" max="3939" width="9" style="123" bestFit="1" customWidth="1"/>
    <col min="3940" max="3940" width="6" style="123" bestFit="1" customWidth="1"/>
    <col min="3941" max="3941" width="8" style="123" bestFit="1" customWidth="1"/>
    <col min="3942" max="3942" width="6" style="123" bestFit="1" customWidth="1"/>
    <col min="3943" max="3943" width="9" style="123" bestFit="1" customWidth="1"/>
    <col min="3944" max="3944" width="8" style="123" bestFit="1" customWidth="1"/>
    <col min="3945" max="3946" width="9" style="123" bestFit="1" customWidth="1"/>
    <col min="3947" max="3947" width="8" style="123" bestFit="1" customWidth="1"/>
    <col min="3948" max="3948" width="9" style="123" bestFit="1" customWidth="1"/>
    <col min="3949" max="3949" width="6" style="123" bestFit="1" customWidth="1"/>
    <col min="3950" max="3950" width="9" style="123" bestFit="1" customWidth="1"/>
    <col min="3951" max="3951" width="8" style="123" bestFit="1" customWidth="1"/>
    <col min="3952" max="3953" width="9" style="123" bestFit="1" customWidth="1"/>
    <col min="3954" max="3955" width="8" style="123" bestFit="1" customWidth="1"/>
    <col min="3956" max="3956" width="9" style="123" bestFit="1" customWidth="1"/>
    <col min="3957" max="3959" width="8" style="123" bestFit="1" customWidth="1"/>
    <col min="3960" max="3963" width="9" style="123" bestFit="1" customWidth="1"/>
    <col min="3964" max="3964" width="6" style="123" bestFit="1" customWidth="1"/>
    <col min="3965" max="3965" width="9" style="123" bestFit="1" customWidth="1"/>
    <col min="3966" max="3966" width="8" style="123" bestFit="1" customWidth="1"/>
    <col min="3967" max="3967" width="9" style="123" bestFit="1" customWidth="1"/>
    <col min="3968" max="3970" width="8" style="123" bestFit="1" customWidth="1"/>
    <col min="3971" max="3971" width="9" style="123" bestFit="1" customWidth="1"/>
    <col min="3972" max="3972" width="8" style="123" bestFit="1" customWidth="1"/>
    <col min="3973" max="3973" width="9" style="123" bestFit="1" customWidth="1"/>
    <col min="3974" max="3974" width="6" style="123" bestFit="1" customWidth="1"/>
    <col min="3975" max="3975" width="9" style="123" bestFit="1" customWidth="1"/>
    <col min="3976" max="3976" width="8" style="123" bestFit="1" customWidth="1"/>
    <col min="3977" max="3977" width="6" style="123" bestFit="1" customWidth="1"/>
    <col min="3978" max="3978" width="9" style="123" bestFit="1" customWidth="1"/>
    <col min="3979" max="3981" width="8" style="123" bestFit="1" customWidth="1"/>
    <col min="3982" max="3982" width="9" style="123" bestFit="1" customWidth="1"/>
    <col min="3983" max="3983" width="6" style="123" bestFit="1" customWidth="1"/>
    <col min="3984" max="3984" width="9" style="123" bestFit="1" customWidth="1"/>
    <col min="3985" max="3985" width="8" style="123" bestFit="1" customWidth="1"/>
    <col min="3986" max="3986" width="9" style="123" bestFit="1" customWidth="1"/>
    <col min="3987" max="3987" width="6" style="123" bestFit="1" customWidth="1"/>
    <col min="3988" max="3992" width="9" style="123" bestFit="1" customWidth="1"/>
    <col min="3993" max="3994" width="8" style="123" bestFit="1" customWidth="1"/>
    <col min="3995" max="3997" width="9" style="123" bestFit="1" customWidth="1"/>
    <col min="3998" max="3998" width="8" style="123" bestFit="1" customWidth="1"/>
    <col min="3999" max="4000" width="9" style="123" bestFit="1" customWidth="1"/>
    <col min="4001" max="4002" width="8" style="123" bestFit="1" customWidth="1"/>
    <col min="4003" max="4003" width="6" style="123" bestFit="1" customWidth="1"/>
    <col min="4004" max="4004" width="8" style="123" bestFit="1" customWidth="1"/>
    <col min="4005" max="4005" width="9" style="123" bestFit="1" customWidth="1"/>
    <col min="4006" max="4009" width="8" style="123" bestFit="1" customWidth="1"/>
    <col min="4010" max="4011" width="9" style="123" bestFit="1" customWidth="1"/>
    <col min="4012" max="4012" width="8" style="123" bestFit="1" customWidth="1"/>
    <col min="4013" max="4013" width="6" style="123" bestFit="1" customWidth="1"/>
    <col min="4014" max="4015" width="9" style="123" bestFit="1" customWidth="1"/>
    <col min="4016" max="4022" width="8" style="123" bestFit="1" customWidth="1"/>
    <col min="4023" max="4023" width="6" style="123" bestFit="1" customWidth="1"/>
    <col min="4024" max="4024" width="9" style="123" bestFit="1" customWidth="1"/>
    <col min="4025" max="4028" width="8" style="123" bestFit="1" customWidth="1"/>
    <col min="4029" max="4030" width="9" style="123" bestFit="1" customWidth="1"/>
    <col min="4031" max="4031" width="8" style="123" bestFit="1" customWidth="1"/>
    <col min="4032" max="4033" width="9" style="123" bestFit="1" customWidth="1"/>
    <col min="4034" max="4034" width="8" style="123" bestFit="1" customWidth="1"/>
    <col min="4035" max="4035" width="9" style="123" bestFit="1" customWidth="1"/>
    <col min="4036" max="4036" width="8" style="123" bestFit="1" customWidth="1"/>
    <col min="4037" max="4037" width="6" style="123" bestFit="1" customWidth="1"/>
    <col min="4038" max="4039" width="9" style="123" bestFit="1" customWidth="1"/>
    <col min="4040" max="4041" width="8" style="123" bestFit="1" customWidth="1"/>
    <col min="4042" max="4042" width="6" style="123" bestFit="1" customWidth="1"/>
    <col min="4043" max="4044" width="8" style="123" bestFit="1" customWidth="1"/>
    <col min="4045" max="4045" width="6" style="123" bestFit="1" customWidth="1"/>
    <col min="4046" max="4048" width="8" style="123" bestFit="1" customWidth="1"/>
    <col min="4049" max="4049" width="6" style="123" bestFit="1" customWidth="1"/>
    <col min="4050" max="4051" width="8" style="123" bestFit="1" customWidth="1"/>
    <col min="4052" max="4053" width="9" style="123" bestFit="1" customWidth="1"/>
    <col min="4054" max="4055" width="8" style="123" bestFit="1" customWidth="1"/>
    <col min="4056" max="4056" width="9" style="123" bestFit="1" customWidth="1"/>
    <col min="4057" max="4057" width="6" style="123" bestFit="1" customWidth="1"/>
    <col min="4058" max="4058" width="8" style="123" bestFit="1" customWidth="1"/>
    <col min="4059" max="4061" width="9" style="123" bestFit="1" customWidth="1"/>
    <col min="4062" max="4062" width="6" style="123" bestFit="1" customWidth="1"/>
    <col min="4063" max="4065" width="8" style="123" bestFit="1" customWidth="1"/>
    <col min="4066" max="4067" width="9" style="123" bestFit="1" customWidth="1"/>
    <col min="4068" max="4068" width="8" style="123" bestFit="1" customWidth="1"/>
    <col min="4069" max="4069" width="6" style="123" bestFit="1" customWidth="1"/>
    <col min="4070" max="4070" width="8" style="123" bestFit="1" customWidth="1"/>
    <col min="4071" max="4072" width="9" style="123" bestFit="1" customWidth="1"/>
    <col min="4073" max="4075" width="8" style="123" bestFit="1" customWidth="1"/>
    <col min="4076" max="4077" width="9" style="123" bestFit="1" customWidth="1"/>
    <col min="4078" max="4078" width="6" style="123" bestFit="1" customWidth="1"/>
    <col min="4079" max="4080" width="8" style="123" bestFit="1" customWidth="1"/>
    <col min="4081" max="4081" width="6" style="123" bestFit="1" customWidth="1"/>
    <col min="4082" max="4082" width="9" style="123" bestFit="1" customWidth="1"/>
    <col min="4083" max="4083" width="6" style="123" bestFit="1" customWidth="1"/>
    <col min="4084" max="4086" width="8" style="123" bestFit="1" customWidth="1"/>
    <col min="4087" max="4087" width="9" style="123" bestFit="1" customWidth="1"/>
    <col min="4088" max="4088" width="6" style="123" bestFit="1" customWidth="1"/>
    <col min="4089" max="4091" width="8" style="123" bestFit="1" customWidth="1"/>
    <col min="4092" max="4092" width="9" style="123" bestFit="1" customWidth="1"/>
    <col min="4093" max="4093" width="8" style="123" bestFit="1" customWidth="1"/>
    <col min="4094" max="4094" width="6" style="123" bestFit="1" customWidth="1"/>
    <col min="4095" max="4095" width="8" style="123" bestFit="1" customWidth="1"/>
    <col min="4096" max="4096" width="6" style="123" bestFit="1" customWidth="1"/>
    <col min="4097" max="4097" width="9" style="123" bestFit="1" customWidth="1"/>
    <col min="4098" max="4098" width="6" style="123" bestFit="1" customWidth="1"/>
    <col min="4099" max="4100" width="8" style="123" bestFit="1" customWidth="1"/>
    <col min="4101" max="4101" width="9" style="123" bestFit="1" customWidth="1"/>
    <col min="4102" max="4102" width="8" style="123" bestFit="1" customWidth="1"/>
    <col min="4103" max="4104" width="9" style="123" bestFit="1" customWidth="1"/>
    <col min="4105" max="4105" width="8" style="123" bestFit="1" customWidth="1"/>
    <col min="4106" max="4106" width="10" style="123" bestFit="1" customWidth="1"/>
    <col min="4107" max="4107" width="8" style="123" bestFit="1" customWidth="1"/>
    <col min="4108" max="4108" width="9" style="123" bestFit="1" customWidth="1"/>
    <col min="4109" max="4109" width="8" style="123" bestFit="1" customWidth="1"/>
    <col min="4110" max="4110" width="9" style="123" bestFit="1" customWidth="1"/>
    <col min="4111" max="4113" width="8" style="123" bestFit="1" customWidth="1"/>
    <col min="4114" max="4114" width="6" style="123" bestFit="1" customWidth="1"/>
    <col min="4115" max="4115" width="9" style="123" bestFit="1" customWidth="1"/>
    <col min="4116" max="4116" width="8" style="123" bestFit="1" customWidth="1"/>
    <col min="4117" max="4118" width="6" style="123" bestFit="1" customWidth="1"/>
    <col min="4119" max="4119" width="9" style="123" bestFit="1" customWidth="1"/>
    <col min="4120" max="4120" width="6" style="123" bestFit="1" customWidth="1"/>
    <col min="4121" max="4121" width="9" style="123" bestFit="1" customWidth="1"/>
    <col min="4122" max="4123" width="6" style="123" bestFit="1" customWidth="1"/>
    <col min="4124" max="4124" width="9" style="123" bestFit="1" customWidth="1"/>
    <col min="4125" max="4126" width="8" style="123" bestFit="1" customWidth="1"/>
    <col min="4127" max="4127" width="9" style="123" bestFit="1" customWidth="1"/>
    <col min="4128" max="4128" width="6" style="123" bestFit="1" customWidth="1"/>
    <col min="4129" max="4129" width="8" style="123" bestFit="1" customWidth="1"/>
    <col min="4130" max="4130" width="9" style="123" bestFit="1" customWidth="1"/>
    <col min="4131" max="4131" width="6" style="123" bestFit="1" customWidth="1"/>
    <col min="4132" max="4132" width="9" style="123" bestFit="1" customWidth="1"/>
    <col min="4133" max="4135" width="8" style="123" bestFit="1" customWidth="1"/>
    <col min="4136" max="4137" width="9" style="123" bestFit="1" customWidth="1"/>
    <col min="4138" max="4138" width="8" style="123" bestFit="1" customWidth="1"/>
    <col min="4139" max="4139" width="9" style="123" bestFit="1" customWidth="1"/>
    <col min="4140" max="4141" width="6" style="123" bestFit="1" customWidth="1"/>
    <col min="4142" max="4142" width="9" style="123" bestFit="1" customWidth="1"/>
    <col min="4143" max="4145" width="8" style="123" bestFit="1" customWidth="1"/>
    <col min="4146" max="4146" width="9" style="123" bestFit="1" customWidth="1"/>
    <col min="4147" max="4148" width="6" style="123" bestFit="1" customWidth="1"/>
    <col min="4149" max="4150" width="8" style="123" bestFit="1" customWidth="1"/>
    <col min="4151" max="4151" width="9" style="123" bestFit="1" customWidth="1"/>
    <col min="4152" max="4152" width="6" style="123" bestFit="1" customWidth="1"/>
    <col min="4153" max="4157" width="8" style="123" bestFit="1" customWidth="1"/>
    <col min="4158" max="4159" width="9" style="123" bestFit="1" customWidth="1"/>
    <col min="4160" max="4160" width="8" style="123" bestFit="1" customWidth="1"/>
    <col min="4161" max="4163" width="9" style="123" bestFit="1" customWidth="1"/>
    <col min="4164" max="4165" width="8" style="123" bestFit="1" customWidth="1"/>
    <col min="4166" max="4166" width="9" style="123" bestFit="1" customWidth="1"/>
    <col min="4167" max="4168" width="8" style="123" bestFit="1" customWidth="1"/>
    <col min="4169" max="4169" width="9" style="123" bestFit="1" customWidth="1"/>
    <col min="4170" max="4171" width="8" style="123" bestFit="1" customWidth="1"/>
    <col min="4172" max="4173" width="6" style="123" bestFit="1" customWidth="1"/>
    <col min="4174" max="4174" width="8" style="123" bestFit="1" customWidth="1"/>
    <col min="4175" max="4175" width="6" style="123" bestFit="1" customWidth="1"/>
    <col min="4176" max="4177" width="8" style="123" bestFit="1" customWidth="1"/>
    <col min="4178" max="4178" width="9" style="123" bestFit="1" customWidth="1"/>
    <col min="4179" max="4179" width="6" style="123" bestFit="1" customWidth="1"/>
    <col min="4180" max="4183" width="8" style="123" bestFit="1" customWidth="1"/>
    <col min="4184" max="4186" width="9" style="123" bestFit="1" customWidth="1"/>
    <col min="4187" max="4187" width="8" style="123" bestFit="1" customWidth="1"/>
    <col min="4188" max="4188" width="6" style="123" bestFit="1" customWidth="1"/>
    <col min="4189" max="4189" width="9" style="123" bestFit="1" customWidth="1"/>
    <col min="4190" max="4190" width="6" style="123" bestFit="1" customWidth="1"/>
    <col min="4191" max="4191" width="8" style="123" bestFit="1" customWidth="1"/>
    <col min="4192" max="4192" width="6" style="123" bestFit="1" customWidth="1"/>
    <col min="4193" max="4193" width="8" style="123" bestFit="1" customWidth="1"/>
    <col min="4194" max="4194" width="9" style="123" bestFit="1" customWidth="1"/>
    <col min="4195" max="4195" width="6" style="123" bestFit="1" customWidth="1"/>
    <col min="4196" max="4196" width="8" style="123" bestFit="1" customWidth="1"/>
    <col min="4197" max="4198" width="6" style="123" bestFit="1" customWidth="1"/>
    <col min="4199" max="4200" width="9" style="123" bestFit="1" customWidth="1"/>
    <col min="4201" max="4201" width="8" style="123" bestFit="1" customWidth="1"/>
    <col min="4202" max="4202" width="9" style="123" bestFit="1" customWidth="1"/>
    <col min="4203" max="4203" width="8" style="123" bestFit="1" customWidth="1"/>
    <col min="4204" max="4205" width="6" style="123" bestFit="1" customWidth="1"/>
    <col min="4206" max="4206" width="8" style="123" bestFit="1" customWidth="1"/>
    <col min="4207" max="4207" width="9" style="123" bestFit="1" customWidth="1"/>
    <col min="4208" max="4208" width="6" style="123" bestFit="1" customWidth="1"/>
    <col min="4209" max="4209" width="9" style="123" bestFit="1" customWidth="1"/>
    <col min="4210" max="4210" width="8" style="123" bestFit="1" customWidth="1"/>
    <col min="4211" max="4211" width="9" style="123" bestFit="1" customWidth="1"/>
    <col min="4212" max="4212" width="8" style="123" bestFit="1" customWidth="1"/>
    <col min="4213" max="4217" width="9" style="123" bestFit="1" customWidth="1"/>
    <col min="4218" max="4221" width="8" style="123" bestFit="1" customWidth="1"/>
    <col min="4222" max="4223" width="6" style="123" bestFit="1" customWidth="1"/>
    <col min="4224" max="4225" width="8" style="123" bestFit="1" customWidth="1"/>
    <col min="4226" max="4226" width="6" style="123" bestFit="1" customWidth="1"/>
    <col min="4227" max="4227" width="9" style="123" bestFit="1" customWidth="1"/>
    <col min="4228" max="4230" width="8" style="123" bestFit="1" customWidth="1"/>
    <col min="4231" max="4232" width="9" style="123" bestFit="1" customWidth="1"/>
    <col min="4233" max="4233" width="6" style="123" bestFit="1" customWidth="1"/>
    <col min="4234" max="4235" width="9" style="123" bestFit="1" customWidth="1"/>
    <col min="4236" max="4236" width="6" style="123" bestFit="1" customWidth="1"/>
    <col min="4237" max="4237" width="8" style="123" bestFit="1" customWidth="1"/>
    <col min="4238" max="4238" width="9" style="123" bestFit="1" customWidth="1"/>
    <col min="4239" max="4239" width="8" style="123" bestFit="1" customWidth="1"/>
    <col min="4240" max="4240" width="9" style="123" bestFit="1" customWidth="1"/>
    <col min="4241" max="4241" width="6" style="123" bestFit="1" customWidth="1"/>
    <col min="4242" max="4243" width="9" style="123" bestFit="1" customWidth="1"/>
    <col min="4244" max="4245" width="8" style="123" bestFit="1" customWidth="1"/>
    <col min="4246" max="4247" width="9" style="123" bestFit="1" customWidth="1"/>
    <col min="4248" max="4248" width="8" style="123" bestFit="1" customWidth="1"/>
    <col min="4249" max="4252" width="9" style="123" bestFit="1" customWidth="1"/>
    <col min="4253" max="4254" width="6" style="123" bestFit="1" customWidth="1"/>
    <col min="4255" max="4255" width="9" style="123" bestFit="1" customWidth="1"/>
    <col min="4256" max="4258" width="8" style="123" bestFit="1" customWidth="1"/>
    <col min="4259" max="4259" width="6" style="123" bestFit="1" customWidth="1"/>
    <col min="4260" max="4262" width="8" style="123" bestFit="1" customWidth="1"/>
    <col min="4263" max="4263" width="6" style="123" bestFit="1" customWidth="1"/>
    <col min="4264" max="4267" width="8" style="123" bestFit="1" customWidth="1"/>
    <col min="4268" max="4268" width="6" style="123" bestFit="1" customWidth="1"/>
    <col min="4269" max="4269" width="9" style="123" bestFit="1" customWidth="1"/>
    <col min="4270" max="4270" width="8" style="123" bestFit="1" customWidth="1"/>
    <col min="4271" max="4271" width="9" style="123" bestFit="1" customWidth="1"/>
    <col min="4272" max="4273" width="8" style="123" bestFit="1" customWidth="1"/>
    <col min="4274" max="4274" width="6" style="123" bestFit="1" customWidth="1"/>
    <col min="4275" max="4276" width="8" style="123" bestFit="1" customWidth="1"/>
    <col min="4277" max="4278" width="9" style="123" bestFit="1" customWidth="1"/>
    <col min="4279" max="4279" width="8" style="123" bestFit="1" customWidth="1"/>
    <col min="4280" max="4282" width="9" style="123" bestFit="1" customWidth="1"/>
    <col min="4283" max="4283" width="6" style="123" bestFit="1" customWidth="1"/>
    <col min="4284" max="4284" width="8" style="123" bestFit="1" customWidth="1"/>
    <col min="4285" max="4286" width="9" style="123" bestFit="1" customWidth="1"/>
    <col min="4287" max="4287" width="8" style="123" bestFit="1" customWidth="1"/>
    <col min="4288" max="4289" width="9" style="123" bestFit="1" customWidth="1"/>
    <col min="4290" max="4290" width="8" style="123" bestFit="1" customWidth="1"/>
    <col min="4291" max="4292" width="9" style="123" bestFit="1" customWidth="1"/>
    <col min="4293" max="4293" width="8" style="123" bestFit="1" customWidth="1"/>
    <col min="4294" max="4294" width="9" style="123" bestFit="1" customWidth="1"/>
    <col min="4295" max="4295" width="8" style="123" bestFit="1" customWidth="1"/>
    <col min="4296" max="4296" width="6" style="123" bestFit="1" customWidth="1"/>
    <col min="4297" max="4298" width="9" style="123" bestFit="1" customWidth="1"/>
    <col min="4299" max="4303" width="8" style="123" bestFit="1" customWidth="1"/>
    <col min="4304" max="4305" width="9" style="123" bestFit="1" customWidth="1"/>
    <col min="4306" max="4307" width="6" style="123" bestFit="1" customWidth="1"/>
    <col min="4308" max="4309" width="8" style="123" bestFit="1" customWidth="1"/>
    <col min="4310" max="4310" width="6" style="123" bestFit="1" customWidth="1"/>
    <col min="4311" max="4311" width="8" style="123" bestFit="1" customWidth="1"/>
    <col min="4312" max="4313" width="9" style="123" bestFit="1" customWidth="1"/>
    <col min="4314" max="4314" width="6" style="123" bestFit="1" customWidth="1"/>
    <col min="4315" max="4315" width="9" style="123" bestFit="1" customWidth="1"/>
    <col min="4316" max="4316" width="8" style="123" bestFit="1" customWidth="1"/>
    <col min="4317" max="4317" width="9" style="123" bestFit="1" customWidth="1"/>
    <col min="4318" max="4318" width="8" style="123" bestFit="1" customWidth="1"/>
    <col min="4319" max="4319" width="6" style="123" bestFit="1" customWidth="1"/>
    <col min="4320" max="4320" width="8" style="123" bestFit="1" customWidth="1"/>
    <col min="4321" max="4321" width="6" style="123" bestFit="1" customWidth="1"/>
    <col min="4322" max="4322" width="8" style="123" bestFit="1" customWidth="1"/>
    <col min="4323" max="4324" width="6" style="123" bestFit="1" customWidth="1"/>
    <col min="4325" max="4327" width="9" style="123" bestFit="1" customWidth="1"/>
    <col min="4328" max="4328" width="8" style="123" bestFit="1" customWidth="1"/>
    <col min="4329" max="4332" width="9" style="123" bestFit="1" customWidth="1"/>
    <col min="4333" max="4333" width="8" style="123" bestFit="1" customWidth="1"/>
    <col min="4334" max="4334" width="9" style="123" bestFit="1" customWidth="1"/>
    <col min="4335" max="4339" width="8" style="123" bestFit="1" customWidth="1"/>
    <col min="4340" max="4340" width="9" style="123" bestFit="1" customWidth="1"/>
    <col min="4341" max="4342" width="8" style="123" bestFit="1" customWidth="1"/>
    <col min="4343" max="4343" width="9" style="123" bestFit="1" customWidth="1"/>
    <col min="4344" max="4344" width="8" style="123" bestFit="1" customWidth="1"/>
    <col min="4345" max="4346" width="9" style="123" bestFit="1" customWidth="1"/>
    <col min="4347" max="4347" width="8" style="123" bestFit="1" customWidth="1"/>
    <col min="4348" max="4348" width="9" style="123" bestFit="1" customWidth="1"/>
    <col min="4349" max="4349" width="6" style="123" bestFit="1" customWidth="1"/>
    <col min="4350" max="4351" width="9" style="123" bestFit="1" customWidth="1"/>
    <col min="4352" max="4352" width="8" style="123" bestFit="1" customWidth="1"/>
    <col min="4353" max="4354" width="9" style="123" bestFit="1" customWidth="1"/>
    <col min="4355" max="4356" width="8" style="123" bestFit="1" customWidth="1"/>
    <col min="4357" max="4359" width="9" style="123" bestFit="1" customWidth="1"/>
    <col min="4360" max="4362" width="8" style="123" bestFit="1" customWidth="1"/>
    <col min="4363" max="4363" width="9" style="123" bestFit="1" customWidth="1"/>
    <col min="4364" max="4364" width="6" style="123" bestFit="1" customWidth="1"/>
    <col min="4365" max="4365" width="8" style="123" bestFit="1" customWidth="1"/>
    <col min="4366" max="4368" width="9" style="123" bestFit="1" customWidth="1"/>
    <col min="4369" max="4369" width="8" style="123" bestFit="1" customWidth="1"/>
    <col min="4370" max="4370" width="9" style="123" bestFit="1" customWidth="1"/>
    <col min="4371" max="4371" width="8" style="123" bestFit="1" customWidth="1"/>
    <col min="4372" max="4373" width="9" style="123" bestFit="1" customWidth="1"/>
    <col min="4374" max="4374" width="10" style="123" bestFit="1" customWidth="1"/>
    <col min="4375" max="4375" width="8" style="123" bestFit="1" customWidth="1"/>
    <col min="4376" max="4378" width="9" style="123" bestFit="1" customWidth="1"/>
    <col min="4379" max="4379" width="6" style="123" bestFit="1" customWidth="1"/>
    <col min="4380" max="4380" width="8" style="123" bestFit="1" customWidth="1"/>
    <col min="4381" max="4382" width="9" style="123" bestFit="1" customWidth="1"/>
    <col min="4383" max="4383" width="6" style="123" bestFit="1" customWidth="1"/>
    <col min="4384" max="4384" width="8" style="123" bestFit="1" customWidth="1"/>
    <col min="4385" max="4385" width="6" style="123" bestFit="1" customWidth="1"/>
    <col min="4386" max="4386" width="9" style="123" bestFit="1" customWidth="1"/>
    <col min="4387" max="4387" width="6" style="123" bestFit="1" customWidth="1"/>
    <col min="4388" max="4388" width="8" style="123" bestFit="1" customWidth="1"/>
    <col min="4389" max="4389" width="9" style="123" bestFit="1" customWidth="1"/>
    <col min="4390" max="4390" width="6" style="123" bestFit="1" customWidth="1"/>
    <col min="4391" max="4391" width="8" style="123" bestFit="1" customWidth="1"/>
    <col min="4392" max="4392" width="6" style="123" bestFit="1" customWidth="1"/>
    <col min="4393" max="4393" width="9" style="123" bestFit="1" customWidth="1"/>
    <col min="4394" max="4396" width="8" style="123" bestFit="1" customWidth="1"/>
    <col min="4397" max="4397" width="9" style="123" bestFit="1" customWidth="1"/>
    <col min="4398" max="4398" width="8" style="123" bestFit="1" customWidth="1"/>
    <col min="4399" max="4399" width="9" style="123" bestFit="1" customWidth="1"/>
    <col min="4400" max="4400" width="6" style="123" bestFit="1" customWidth="1"/>
    <col min="4401" max="4401" width="8" style="123" bestFit="1" customWidth="1"/>
    <col min="4402" max="4403" width="9" style="123" bestFit="1" customWidth="1"/>
    <col min="4404" max="4404" width="8" style="123" bestFit="1" customWidth="1"/>
    <col min="4405" max="4405" width="9" style="123" bestFit="1" customWidth="1"/>
    <col min="4406" max="4406" width="8" style="123" bestFit="1" customWidth="1"/>
    <col min="4407" max="4408" width="9" style="123" bestFit="1" customWidth="1"/>
    <col min="4409" max="4409" width="8" style="123" bestFit="1" customWidth="1"/>
    <col min="4410" max="4410" width="9" style="123" bestFit="1" customWidth="1"/>
    <col min="4411" max="4411" width="6" style="123" bestFit="1" customWidth="1"/>
    <col min="4412" max="4412" width="9" style="123" bestFit="1" customWidth="1"/>
    <col min="4413" max="4413" width="6" style="123" bestFit="1" customWidth="1"/>
    <col min="4414" max="4415" width="9" style="123" bestFit="1" customWidth="1"/>
    <col min="4416" max="4418" width="8" style="123" bestFit="1" customWidth="1"/>
    <col min="4419" max="4420" width="9" style="123" bestFit="1" customWidth="1"/>
    <col min="4421" max="4421" width="6" style="123" bestFit="1" customWidth="1"/>
    <col min="4422" max="4422" width="8" style="123" bestFit="1" customWidth="1"/>
    <col min="4423" max="4423" width="6" style="123" bestFit="1" customWidth="1"/>
    <col min="4424" max="4424" width="8" style="123" bestFit="1" customWidth="1"/>
    <col min="4425" max="4426" width="9" style="123" bestFit="1" customWidth="1"/>
    <col min="4427" max="4427" width="8" style="123" bestFit="1" customWidth="1"/>
    <col min="4428" max="4429" width="6" style="123" bestFit="1" customWidth="1"/>
    <col min="4430" max="4431" width="9" style="123" bestFit="1" customWidth="1"/>
    <col min="4432" max="4432" width="8" style="123" bestFit="1" customWidth="1"/>
    <col min="4433" max="4433" width="6" style="123" bestFit="1" customWidth="1"/>
    <col min="4434" max="4434" width="9" style="123" bestFit="1" customWidth="1"/>
    <col min="4435" max="4435" width="8" style="123" bestFit="1" customWidth="1"/>
    <col min="4436" max="4440" width="9" style="123" bestFit="1" customWidth="1"/>
    <col min="4441" max="4441" width="6" style="123" bestFit="1" customWidth="1"/>
    <col min="4442" max="4442" width="9" style="123" bestFit="1" customWidth="1"/>
    <col min="4443" max="4445" width="8" style="123" bestFit="1" customWidth="1"/>
    <col min="4446" max="4452" width="9" style="123" bestFit="1" customWidth="1"/>
    <col min="4453" max="4454" width="6" style="123" bestFit="1" customWidth="1"/>
    <col min="4455" max="4457" width="9" style="123" bestFit="1" customWidth="1"/>
    <col min="4458" max="4460" width="8" style="123" bestFit="1" customWidth="1"/>
    <col min="4461" max="4462" width="9" style="123" bestFit="1" customWidth="1"/>
    <col min="4463" max="4463" width="8" style="123" bestFit="1" customWidth="1"/>
    <col min="4464" max="4464" width="9" style="123" bestFit="1" customWidth="1"/>
    <col min="4465" max="4465" width="8" style="123" bestFit="1" customWidth="1"/>
    <col min="4466" max="4466" width="9" style="123" bestFit="1" customWidth="1"/>
    <col min="4467" max="4467" width="8" style="123" bestFit="1" customWidth="1"/>
    <col min="4468" max="4468" width="9" style="123" bestFit="1" customWidth="1"/>
    <col min="4469" max="4469" width="8" style="123" bestFit="1" customWidth="1"/>
    <col min="4470" max="4470" width="6" style="123" bestFit="1" customWidth="1"/>
    <col min="4471" max="4471" width="8" style="123" bestFit="1" customWidth="1"/>
    <col min="4472" max="4472" width="6" style="123" bestFit="1" customWidth="1"/>
    <col min="4473" max="4473" width="8" style="123" bestFit="1" customWidth="1"/>
    <col min="4474" max="4474" width="9" style="123" bestFit="1" customWidth="1"/>
    <col min="4475" max="4480" width="8" style="123" bestFit="1" customWidth="1"/>
    <col min="4481" max="4481" width="6" style="123" bestFit="1" customWidth="1"/>
    <col min="4482" max="4485" width="9" style="123" bestFit="1" customWidth="1"/>
    <col min="4486" max="4490" width="8" style="123" bestFit="1" customWidth="1"/>
    <col min="4491" max="4491" width="9" style="123" bestFit="1" customWidth="1"/>
    <col min="4492" max="4492" width="8" style="123" bestFit="1" customWidth="1"/>
    <col min="4493" max="4494" width="6" style="123" bestFit="1" customWidth="1"/>
    <col min="4495" max="4497" width="9" style="123" bestFit="1" customWidth="1"/>
    <col min="4498" max="4498" width="6" style="123" bestFit="1" customWidth="1"/>
    <col min="4499" max="4500" width="9" style="123" bestFit="1" customWidth="1"/>
    <col min="4501" max="4502" width="8" style="123" bestFit="1" customWidth="1"/>
    <col min="4503" max="4503" width="6" style="123" bestFit="1" customWidth="1"/>
    <col min="4504" max="4504" width="9" style="123" bestFit="1" customWidth="1"/>
    <col min="4505" max="4507" width="8" style="123" bestFit="1" customWidth="1"/>
    <col min="4508" max="4508" width="6" style="123" bestFit="1" customWidth="1"/>
    <col min="4509" max="4509" width="9" style="123" bestFit="1" customWidth="1"/>
    <col min="4510" max="4512" width="8" style="123" bestFit="1" customWidth="1"/>
    <col min="4513" max="4514" width="9" style="123" bestFit="1" customWidth="1"/>
    <col min="4515" max="4515" width="8" style="123" bestFit="1" customWidth="1"/>
    <col min="4516" max="4516" width="9" style="123" bestFit="1" customWidth="1"/>
    <col min="4517" max="4520" width="8" style="123" bestFit="1" customWidth="1"/>
    <col min="4521" max="4521" width="9" style="123" bestFit="1" customWidth="1"/>
    <col min="4522" max="4522" width="8" style="123" bestFit="1" customWidth="1"/>
    <col min="4523" max="4523" width="9" style="123" bestFit="1" customWidth="1"/>
    <col min="4524" max="4524" width="8" style="123" bestFit="1" customWidth="1"/>
    <col min="4525" max="4525" width="6" style="123" bestFit="1" customWidth="1"/>
    <col min="4526" max="4529" width="8" style="123" bestFit="1" customWidth="1"/>
    <col min="4530" max="4530" width="6" style="123" bestFit="1" customWidth="1"/>
    <col min="4531" max="4532" width="9" style="123" bestFit="1" customWidth="1"/>
    <col min="4533" max="4533" width="6" style="123" bestFit="1" customWidth="1"/>
    <col min="4534" max="4534" width="9" style="123" bestFit="1" customWidth="1"/>
    <col min="4535" max="4535" width="8" style="123" bestFit="1" customWidth="1"/>
    <col min="4536" max="4539" width="9" style="123" bestFit="1" customWidth="1"/>
    <col min="4540" max="4540" width="8" style="123" bestFit="1" customWidth="1"/>
    <col min="4541" max="4542" width="6" style="123" bestFit="1" customWidth="1"/>
    <col min="4543" max="4548" width="9" style="123" bestFit="1" customWidth="1"/>
    <col min="4549" max="4549" width="6" style="123" bestFit="1" customWidth="1"/>
    <col min="4550" max="4551" width="9" style="123" bestFit="1" customWidth="1"/>
    <col min="4552" max="4554" width="8" style="123" bestFit="1" customWidth="1"/>
    <col min="4555" max="4555" width="6" style="123" bestFit="1" customWidth="1"/>
    <col min="4556" max="4556" width="8" style="123" bestFit="1" customWidth="1"/>
    <col min="4557" max="4557" width="6" style="123" bestFit="1" customWidth="1"/>
    <col min="4558" max="4558" width="8" style="123" bestFit="1" customWidth="1"/>
    <col min="4559" max="4560" width="9" style="123" bestFit="1" customWidth="1"/>
    <col min="4561" max="4561" width="8" style="123" bestFit="1" customWidth="1"/>
    <col min="4562" max="4562" width="9" style="123" bestFit="1" customWidth="1"/>
    <col min="4563" max="4563" width="6" style="123" bestFit="1" customWidth="1"/>
    <col min="4564" max="4564" width="9" style="123" bestFit="1" customWidth="1"/>
    <col min="4565" max="4565" width="6" style="123" bestFit="1" customWidth="1"/>
    <col min="4566" max="4567" width="9" style="123" bestFit="1" customWidth="1"/>
    <col min="4568" max="4570" width="8" style="123" bestFit="1" customWidth="1"/>
    <col min="4571" max="4572" width="9" style="123" bestFit="1" customWidth="1"/>
    <col min="4573" max="4573" width="6" style="123" bestFit="1" customWidth="1"/>
    <col min="4574" max="4574" width="9" style="123" bestFit="1" customWidth="1"/>
    <col min="4575" max="4575" width="6" style="123" bestFit="1" customWidth="1"/>
    <col min="4576" max="4576" width="9" style="123" bestFit="1" customWidth="1"/>
    <col min="4577" max="4579" width="8" style="123" bestFit="1" customWidth="1"/>
    <col min="4580" max="4582" width="9" style="123" bestFit="1" customWidth="1"/>
    <col min="4583" max="4585" width="8" style="123" bestFit="1" customWidth="1"/>
    <col min="4586" max="4590" width="9" style="123" bestFit="1" customWidth="1"/>
    <col min="4591" max="4593" width="8" style="123" bestFit="1" customWidth="1"/>
    <col min="4594" max="4595" width="9" style="123" bestFit="1" customWidth="1"/>
    <col min="4596" max="4596" width="6" style="123" bestFit="1" customWidth="1"/>
    <col min="4597" max="4597" width="8" style="123" bestFit="1" customWidth="1"/>
    <col min="4598" max="4598" width="6" style="123" bestFit="1" customWidth="1"/>
    <col min="4599" max="4600" width="9" style="123" bestFit="1" customWidth="1"/>
    <col min="4601" max="4601" width="8" style="123" bestFit="1" customWidth="1"/>
    <col min="4602" max="4604" width="6" style="123" bestFit="1" customWidth="1"/>
    <col min="4605" max="4608" width="9" style="123" bestFit="1" customWidth="1"/>
    <col min="4609" max="4609" width="8" style="123" bestFit="1" customWidth="1"/>
    <col min="4610" max="4610" width="6" style="123" bestFit="1" customWidth="1"/>
    <col min="4611" max="4611" width="8" style="123" bestFit="1" customWidth="1"/>
    <col min="4612" max="4614" width="9" style="123" bestFit="1" customWidth="1"/>
    <col min="4615" max="4615" width="8" style="123" bestFit="1" customWidth="1"/>
    <col min="4616" max="4618" width="9" style="123" bestFit="1" customWidth="1"/>
    <col min="4619" max="4619" width="8" style="123" bestFit="1" customWidth="1"/>
    <col min="4620" max="4622" width="9" style="123" bestFit="1" customWidth="1"/>
    <col min="4623" max="4624" width="8" style="123" bestFit="1" customWidth="1"/>
    <col min="4625" max="4625" width="6" style="123" bestFit="1" customWidth="1"/>
    <col min="4626" max="4626" width="8" style="123" bestFit="1" customWidth="1"/>
    <col min="4627" max="4627" width="9" style="123" bestFit="1" customWidth="1"/>
    <col min="4628" max="4628" width="8" style="123" bestFit="1" customWidth="1"/>
    <col min="4629" max="4629" width="9" style="123" bestFit="1" customWidth="1"/>
    <col min="4630" max="4630" width="8" style="123" bestFit="1" customWidth="1"/>
    <col min="4631" max="4631" width="9" style="123" bestFit="1" customWidth="1"/>
    <col min="4632" max="4632" width="8" style="123" bestFit="1" customWidth="1"/>
    <col min="4633" max="4633" width="6" style="123" bestFit="1" customWidth="1"/>
    <col min="4634" max="4639" width="9" style="123" bestFit="1" customWidth="1"/>
    <col min="4640" max="4640" width="6" style="123" bestFit="1" customWidth="1"/>
    <col min="4641" max="4642" width="9" style="123" bestFit="1" customWidth="1"/>
    <col min="4643" max="4643" width="8" style="123" bestFit="1" customWidth="1"/>
    <col min="4644" max="4644" width="6" style="123" bestFit="1" customWidth="1"/>
    <col min="4645" max="4648" width="8" style="123" bestFit="1" customWidth="1"/>
    <col min="4649" max="4651" width="9" style="123" bestFit="1" customWidth="1"/>
    <col min="4652" max="4652" width="8" style="123" bestFit="1" customWidth="1"/>
    <col min="4653" max="4653" width="9" style="123" bestFit="1" customWidth="1"/>
    <col min="4654" max="4654" width="8" style="123" bestFit="1" customWidth="1"/>
    <col min="4655" max="4661" width="9" style="123" bestFit="1" customWidth="1"/>
    <col min="4662" max="4662" width="8" style="123" bestFit="1" customWidth="1"/>
    <col min="4663" max="4664" width="9" style="123" bestFit="1" customWidth="1"/>
    <col min="4665" max="4665" width="8" style="123" bestFit="1" customWidth="1"/>
    <col min="4666" max="4667" width="9" style="123" bestFit="1" customWidth="1"/>
    <col min="4668" max="4668" width="8" style="123" bestFit="1" customWidth="1"/>
    <col min="4669" max="4670" width="9" style="123" bestFit="1" customWidth="1"/>
    <col min="4671" max="4671" width="6" style="123" bestFit="1" customWidth="1"/>
    <col min="4672" max="4673" width="9" style="123" bestFit="1" customWidth="1"/>
    <col min="4674" max="4674" width="8" style="123" bestFit="1" customWidth="1"/>
    <col min="4675" max="4679" width="9" style="123" bestFit="1" customWidth="1"/>
    <col min="4680" max="4680" width="8" style="123" bestFit="1" customWidth="1"/>
    <col min="4681" max="4684" width="9" style="123" bestFit="1" customWidth="1"/>
    <col min="4685" max="4685" width="8" style="123" bestFit="1" customWidth="1"/>
    <col min="4686" max="4688" width="9" style="123" bestFit="1" customWidth="1"/>
    <col min="4689" max="4689" width="6" style="123" bestFit="1" customWidth="1"/>
    <col min="4690" max="4693" width="8" style="123" bestFit="1" customWidth="1"/>
    <col min="4694" max="4694" width="9" style="123" bestFit="1" customWidth="1"/>
    <col min="4695" max="4696" width="6" style="123" bestFit="1" customWidth="1"/>
    <col min="4697" max="4697" width="8" style="123" bestFit="1" customWidth="1"/>
    <col min="4698" max="4699" width="9" style="123" bestFit="1" customWidth="1"/>
    <col min="4700" max="4700" width="6" style="123" bestFit="1" customWidth="1"/>
    <col min="4701" max="4701" width="9" style="123" bestFit="1" customWidth="1"/>
    <col min="4702" max="4702" width="6" style="123" bestFit="1" customWidth="1"/>
    <col min="4703" max="4704" width="8" style="123" bestFit="1" customWidth="1"/>
    <col min="4705" max="4705" width="9" style="123" bestFit="1" customWidth="1"/>
    <col min="4706" max="4706" width="11" style="123" bestFit="1" customWidth="1"/>
    <col min="4707" max="4707" width="12.5703125" style="123" bestFit="1" customWidth="1"/>
    <col min="4708" max="16384" width="11.42578125" style="123"/>
  </cols>
  <sheetData>
    <row r="4" spans="1:7" x14ac:dyDescent="0.2">
      <c r="B4" s="124" t="s">
        <v>7260</v>
      </c>
    </row>
    <row r="5" spans="1:7" x14ac:dyDescent="0.2">
      <c r="B5" s="126">
        <v>69163</v>
      </c>
    </row>
    <row r="6" spans="1:7" x14ac:dyDescent="0.2">
      <c r="B6" s="127" t="s">
        <v>7261</v>
      </c>
    </row>
    <row r="7" spans="1:7" x14ac:dyDescent="0.2">
      <c r="B7" s="128">
        <v>43214</v>
      </c>
    </row>
    <row r="8" spans="1:7" x14ac:dyDescent="0.2">
      <c r="B8" s="152" t="s">
        <v>0</v>
      </c>
      <c r="C8" s="153" t="s">
        <v>2769</v>
      </c>
    </row>
    <row r="9" spans="1:7" x14ac:dyDescent="0.2">
      <c r="B9" s="152" t="s">
        <v>10</v>
      </c>
      <c r="C9" s="153" t="s">
        <v>23</v>
      </c>
    </row>
    <row r="10" spans="1:7" x14ac:dyDescent="0.2">
      <c r="B10" s="152" t="s">
        <v>2</v>
      </c>
      <c r="C10" s="153" t="s">
        <v>2769</v>
      </c>
    </row>
    <row r="12" spans="1:7" s="125" customFormat="1" x14ac:dyDescent="0.2">
      <c r="A12" s="129" t="s">
        <v>7301</v>
      </c>
      <c r="B12" s="130" t="s">
        <v>7262</v>
      </c>
      <c r="C12" s="131" t="s">
        <v>7259</v>
      </c>
      <c r="D12" s="131" t="s">
        <v>7264</v>
      </c>
      <c r="E12" s="131" t="s">
        <v>7265</v>
      </c>
      <c r="F12" s="131" t="s">
        <v>7264</v>
      </c>
      <c r="G12" s="130" t="s">
        <v>7263</v>
      </c>
    </row>
    <row r="13" spans="1:7" x14ac:dyDescent="0.2">
      <c r="A13" s="132">
        <v>1</v>
      </c>
      <c r="B13" s="133" t="s">
        <v>85</v>
      </c>
      <c r="C13" s="125">
        <v>1</v>
      </c>
      <c r="D13" s="134">
        <f>C13*1/G13</f>
        <v>1.5151515151515152E-2</v>
      </c>
      <c r="E13" s="125">
        <v>65</v>
      </c>
      <c r="F13" s="134">
        <f>E13*1/G13</f>
        <v>0.98484848484848486</v>
      </c>
      <c r="G13" s="125">
        <f>SUM(C13+E13)</f>
        <v>66</v>
      </c>
    </row>
    <row r="14" spans="1:7" x14ac:dyDescent="0.2">
      <c r="A14" s="132">
        <v>28</v>
      </c>
      <c r="B14" s="133" t="s">
        <v>43</v>
      </c>
      <c r="C14" s="125">
        <v>89</v>
      </c>
      <c r="D14" s="134">
        <f t="shared" ref="D14:D21" si="0">C14*1/G14</f>
        <v>0.86407766990291257</v>
      </c>
      <c r="E14" s="125">
        <v>14</v>
      </c>
      <c r="F14" s="134">
        <f t="shared" ref="F14:F21" si="1">E14*1/G14</f>
        <v>0.13592233009708737</v>
      </c>
      <c r="G14" s="125">
        <f t="shared" ref="G14:G21" si="2">SUM(C14+E14)</f>
        <v>103</v>
      </c>
    </row>
    <row r="15" spans="1:7" x14ac:dyDescent="0.2">
      <c r="A15" s="132">
        <v>11</v>
      </c>
      <c r="B15" s="133" t="s">
        <v>32</v>
      </c>
      <c r="C15" s="125">
        <v>33</v>
      </c>
      <c r="D15" s="134">
        <f t="shared" si="0"/>
        <v>0.16923076923076924</v>
      </c>
      <c r="E15" s="125">
        <v>162</v>
      </c>
      <c r="F15" s="134">
        <f t="shared" si="1"/>
        <v>0.83076923076923082</v>
      </c>
      <c r="G15" s="125">
        <f t="shared" si="2"/>
        <v>195</v>
      </c>
    </row>
    <row r="16" spans="1:7" x14ac:dyDescent="0.2">
      <c r="A16" s="132">
        <v>55</v>
      </c>
      <c r="B16" s="133" t="s">
        <v>22</v>
      </c>
      <c r="C16" s="125">
        <v>333</v>
      </c>
      <c r="D16" s="134">
        <f t="shared" si="0"/>
        <v>0.96802325581395354</v>
      </c>
      <c r="E16" s="125">
        <v>11</v>
      </c>
      <c r="F16" s="134">
        <f t="shared" si="1"/>
        <v>3.1976744186046513E-2</v>
      </c>
      <c r="G16" s="125">
        <f t="shared" si="2"/>
        <v>344</v>
      </c>
    </row>
    <row r="17" spans="1:7" x14ac:dyDescent="0.2">
      <c r="A17" s="132">
        <v>2</v>
      </c>
      <c r="B17" s="133" t="s">
        <v>788</v>
      </c>
      <c r="C17" s="125">
        <v>2</v>
      </c>
      <c r="D17" s="134">
        <f t="shared" si="0"/>
        <v>8.6956521739130432E-2</v>
      </c>
      <c r="E17" s="125">
        <v>21</v>
      </c>
      <c r="F17" s="134">
        <f t="shared" si="1"/>
        <v>0.91304347826086951</v>
      </c>
      <c r="G17" s="125">
        <f t="shared" si="2"/>
        <v>23</v>
      </c>
    </row>
    <row r="18" spans="1:7" x14ac:dyDescent="0.2">
      <c r="A18" s="132">
        <v>4</v>
      </c>
      <c r="B18" s="133" t="s">
        <v>24</v>
      </c>
      <c r="C18" s="125">
        <v>12</v>
      </c>
      <c r="D18" s="134">
        <f t="shared" si="0"/>
        <v>1</v>
      </c>
      <c r="E18" s="125">
        <v>0</v>
      </c>
      <c r="F18" s="134">
        <f t="shared" si="1"/>
        <v>0</v>
      </c>
      <c r="G18" s="125">
        <f t="shared" si="2"/>
        <v>12</v>
      </c>
    </row>
    <row r="19" spans="1:7" x14ac:dyDescent="0.2">
      <c r="A19" s="132">
        <v>1</v>
      </c>
      <c r="B19" s="133" t="s">
        <v>190</v>
      </c>
      <c r="C19" s="125">
        <v>1</v>
      </c>
      <c r="D19" s="134">
        <f t="shared" si="0"/>
        <v>1</v>
      </c>
      <c r="E19" s="125">
        <v>0</v>
      </c>
      <c r="F19" s="134">
        <f t="shared" si="1"/>
        <v>0</v>
      </c>
      <c r="G19" s="125">
        <f t="shared" si="2"/>
        <v>1</v>
      </c>
    </row>
    <row r="20" spans="1:7" x14ac:dyDescent="0.2">
      <c r="A20" s="132">
        <v>14</v>
      </c>
      <c r="B20" s="133" t="s">
        <v>65</v>
      </c>
      <c r="C20" s="125">
        <v>34</v>
      </c>
      <c r="D20" s="134">
        <f t="shared" si="0"/>
        <v>1</v>
      </c>
      <c r="E20" s="125">
        <v>0</v>
      </c>
      <c r="F20" s="134">
        <f t="shared" si="1"/>
        <v>0</v>
      </c>
      <c r="G20" s="125">
        <f t="shared" si="2"/>
        <v>34</v>
      </c>
    </row>
    <row r="21" spans="1:7" x14ac:dyDescent="0.2">
      <c r="A21" s="132">
        <f>SUM(A13:A20)</f>
        <v>116</v>
      </c>
      <c r="B21" s="135" t="s">
        <v>2667</v>
      </c>
      <c r="C21" s="136">
        <f>SUM(C13:C20)</f>
        <v>505</v>
      </c>
      <c r="D21" s="137">
        <f t="shared" si="0"/>
        <v>0.64910025706940877</v>
      </c>
      <c r="E21" s="136">
        <f>SUM(E13:E20)</f>
        <v>273</v>
      </c>
      <c r="F21" s="137">
        <f t="shared" si="1"/>
        <v>0.35089974293059129</v>
      </c>
      <c r="G21" s="136">
        <f t="shared" si="2"/>
        <v>778</v>
      </c>
    </row>
    <row r="22" spans="1:7" ht="15" x14ac:dyDescent="0.25">
      <c r="A22" s="132"/>
      <c r="B22"/>
      <c r="C22" s="138">
        <f>B5*C21</f>
        <v>34927315</v>
      </c>
      <c r="D22" s="139"/>
    </row>
    <row r="23" spans="1:7" ht="15" x14ac:dyDescent="0.25">
      <c r="A23" s="132"/>
      <c r="B23"/>
      <c r="C23" s="140">
        <f>B7*C21</f>
        <v>21823070</v>
      </c>
      <c r="D23" s="141"/>
    </row>
    <row r="24" spans="1:7" ht="15" x14ac:dyDescent="0.25">
      <c r="A24" s="142">
        <f>B5*A21</f>
        <v>8022908</v>
      </c>
      <c r="B24"/>
      <c r="C24" s="143">
        <f>C22-C23</f>
        <v>13104245</v>
      </c>
      <c r="D24" s="144"/>
    </row>
    <row r="25" spans="1:7" ht="15" customHeight="1" x14ac:dyDescent="0.25">
      <c r="A25" s="142">
        <f>A21*B7</f>
        <v>5012824</v>
      </c>
      <c r="B25"/>
      <c r="D25" s="145"/>
    </row>
    <row r="26" spans="1:7" ht="15" x14ac:dyDescent="0.25">
      <c r="A26" s="142">
        <f>A24-A25</f>
        <v>3010084</v>
      </c>
      <c r="B26"/>
      <c r="C26" s="136">
        <v>430</v>
      </c>
      <c r="D26" s="146"/>
    </row>
    <row r="27" spans="1:7" ht="15" x14ac:dyDescent="0.25">
      <c r="A27" s="132"/>
      <c r="B27"/>
      <c r="C27" s="138">
        <f>C26*B5</f>
        <v>29740090</v>
      </c>
      <c r="D27" s="139"/>
    </row>
    <row r="28" spans="1:7" ht="15" x14ac:dyDescent="0.25">
      <c r="A28" s="123" t="s">
        <v>7302</v>
      </c>
      <c r="B28"/>
      <c r="C28" s="140">
        <f>B7*C26</f>
        <v>18582020</v>
      </c>
      <c r="D28" s="141"/>
    </row>
    <row r="29" spans="1:7" ht="15" x14ac:dyDescent="0.25">
      <c r="B29"/>
      <c r="C29" s="143">
        <f>C27-C28</f>
        <v>11158070</v>
      </c>
      <c r="D29" s="144"/>
    </row>
    <row r="30" spans="1:7" ht="15" x14ac:dyDescent="0.25">
      <c r="B30"/>
    </row>
    <row r="31" spans="1:7" ht="15" x14ac:dyDescent="0.25">
      <c r="B31"/>
    </row>
    <row r="32" spans="1:7" ht="15" x14ac:dyDescent="0.25">
      <c r="B32"/>
    </row>
    <row r="33" spans="2:2" ht="15" x14ac:dyDescent="0.25">
      <c r="B33"/>
    </row>
    <row r="34" spans="2:2" ht="15" x14ac:dyDescent="0.25">
      <c r="B34"/>
    </row>
    <row r="35" spans="2:2" ht="15" x14ac:dyDescent="0.25">
      <c r="B35"/>
    </row>
    <row r="36" spans="2:2" ht="15" x14ac:dyDescent="0.25">
      <c r="B36"/>
    </row>
    <row r="37" spans="2:2" ht="15" x14ac:dyDescent="0.25">
      <c r="B37"/>
    </row>
    <row r="38" spans="2:2" ht="15" x14ac:dyDescent="0.25">
      <c r="B38"/>
    </row>
    <row r="39" spans="2:2" ht="15" x14ac:dyDescent="0.25">
      <c r="B39"/>
    </row>
    <row r="40" spans="2:2" ht="15" x14ac:dyDescent="0.25">
      <c r="B40"/>
    </row>
    <row r="41" spans="2:2" ht="15" x14ac:dyDescent="0.25">
      <c r="B41"/>
    </row>
    <row r="42" spans="2:2" ht="15" x14ac:dyDescent="0.25">
      <c r="B42"/>
    </row>
    <row r="43" spans="2:2" ht="15" x14ac:dyDescent="0.25">
      <c r="B43"/>
    </row>
    <row r="44" spans="2:2" ht="15" x14ac:dyDescent="0.25">
      <c r="B44"/>
    </row>
    <row r="45" spans="2:2" ht="15" x14ac:dyDescent="0.25">
      <c r="B45"/>
    </row>
    <row r="46" spans="2:2" ht="15" x14ac:dyDescent="0.25">
      <c r="B46"/>
    </row>
    <row r="47" spans="2:2" ht="15" x14ac:dyDescent="0.25">
      <c r="B47"/>
    </row>
    <row r="48" spans="2:2" ht="15" x14ac:dyDescent="0.25">
      <c r="B48"/>
    </row>
    <row r="49" spans="2:2" ht="15" x14ac:dyDescent="0.25">
      <c r="B49"/>
    </row>
    <row r="50" spans="2:2" ht="15" x14ac:dyDescent="0.25">
      <c r="B50"/>
    </row>
    <row r="51" spans="2:2" ht="15" x14ac:dyDescent="0.25">
      <c r="B51"/>
    </row>
    <row r="52" spans="2:2" ht="15" x14ac:dyDescent="0.25">
      <c r="B52"/>
    </row>
    <row r="53" spans="2:2" ht="15" x14ac:dyDescent="0.25">
      <c r="B53"/>
    </row>
    <row r="54" spans="2:2" ht="15" x14ac:dyDescent="0.25">
      <c r="B54"/>
    </row>
    <row r="55" spans="2:2" ht="15" x14ac:dyDescent="0.25">
      <c r="B55"/>
    </row>
    <row r="56" spans="2:2" ht="15" x14ac:dyDescent="0.25">
      <c r="B56"/>
    </row>
    <row r="57" spans="2:2" ht="15" x14ac:dyDescent="0.25">
      <c r="B57"/>
    </row>
    <row r="58" spans="2:2" ht="15" x14ac:dyDescent="0.25">
      <c r="B58"/>
    </row>
    <row r="59" spans="2:2" ht="15" x14ac:dyDescent="0.25">
      <c r="B59"/>
    </row>
    <row r="60" spans="2:2" ht="15" x14ac:dyDescent="0.25">
      <c r="B60"/>
    </row>
    <row r="61" spans="2:2" ht="15" x14ac:dyDescent="0.25">
      <c r="B61"/>
    </row>
    <row r="62" spans="2:2" ht="15" x14ac:dyDescent="0.25">
      <c r="B62"/>
    </row>
    <row r="63" spans="2:2" ht="15" x14ac:dyDescent="0.25">
      <c r="B63"/>
    </row>
    <row r="64" spans="2:2" ht="15" x14ac:dyDescent="0.25">
      <c r="B64"/>
    </row>
    <row r="65" spans="2:2" ht="15" x14ac:dyDescent="0.25">
      <c r="B65"/>
    </row>
    <row r="66" spans="2:2" ht="15" x14ac:dyDescent="0.25">
      <c r="B66"/>
    </row>
    <row r="67" spans="2:2" ht="15" x14ac:dyDescent="0.25">
      <c r="B67"/>
    </row>
    <row r="68" spans="2:2" ht="15" x14ac:dyDescent="0.25">
      <c r="B68"/>
    </row>
    <row r="69" spans="2:2" ht="15" x14ac:dyDescent="0.25">
      <c r="B69"/>
    </row>
    <row r="70" spans="2:2" ht="15" x14ac:dyDescent="0.25">
      <c r="B70"/>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row r="216" spans="2:2" ht="15" x14ac:dyDescent="0.25">
      <c r="B216"/>
    </row>
    <row r="217" spans="2:2" ht="15" x14ac:dyDescent="0.25">
      <c r="B217"/>
    </row>
    <row r="218" spans="2:2" ht="15" x14ac:dyDescent="0.25">
      <c r="B218"/>
    </row>
    <row r="219" spans="2:2" ht="15" x14ac:dyDescent="0.25">
      <c r="B219"/>
    </row>
    <row r="220" spans="2:2" ht="15" x14ac:dyDescent="0.25">
      <c r="B220"/>
    </row>
    <row r="221" spans="2:2" ht="15" x14ac:dyDescent="0.25">
      <c r="B221"/>
    </row>
    <row r="222" spans="2:2" ht="15" x14ac:dyDescent="0.25">
      <c r="B222"/>
    </row>
    <row r="223" spans="2:2" ht="15" x14ac:dyDescent="0.25">
      <c r="B223"/>
    </row>
    <row r="224" spans="2:2" ht="15" x14ac:dyDescent="0.25">
      <c r="B224"/>
    </row>
    <row r="225" spans="2:2" ht="15" x14ac:dyDescent="0.25">
      <c r="B225"/>
    </row>
    <row r="226" spans="2:2" ht="15" x14ac:dyDescent="0.25">
      <c r="B226"/>
    </row>
    <row r="227" spans="2:2" ht="15" x14ac:dyDescent="0.25">
      <c r="B227"/>
    </row>
    <row r="228" spans="2:2" ht="15" x14ac:dyDescent="0.25">
      <c r="B228"/>
    </row>
    <row r="229" spans="2:2" ht="15" x14ac:dyDescent="0.25">
      <c r="B229"/>
    </row>
    <row r="230" spans="2:2" ht="15" x14ac:dyDescent="0.25">
      <c r="B230"/>
    </row>
    <row r="231" spans="2:2" ht="15" x14ac:dyDescent="0.25">
      <c r="B231"/>
    </row>
    <row r="232" spans="2:2" ht="15" x14ac:dyDescent="0.25">
      <c r="B232"/>
    </row>
    <row r="233" spans="2:2" ht="15" x14ac:dyDescent="0.25">
      <c r="B233"/>
    </row>
    <row r="234" spans="2:2" ht="15" x14ac:dyDescent="0.25">
      <c r="B234"/>
    </row>
    <row r="235" spans="2:2" ht="15" x14ac:dyDescent="0.25">
      <c r="B235"/>
    </row>
    <row r="236" spans="2:2" ht="15" x14ac:dyDescent="0.25">
      <c r="B236"/>
    </row>
    <row r="237" spans="2:2" ht="15" x14ac:dyDescent="0.25">
      <c r="B237"/>
    </row>
    <row r="238" spans="2:2" ht="15" x14ac:dyDescent="0.25">
      <c r="B238"/>
    </row>
    <row r="239" spans="2:2" ht="15" x14ac:dyDescent="0.25">
      <c r="B239"/>
    </row>
    <row r="240" spans="2:2" ht="15" x14ac:dyDescent="0.25">
      <c r="B240"/>
    </row>
    <row r="241" spans="2:2" ht="15" x14ac:dyDescent="0.25">
      <c r="B241"/>
    </row>
    <row r="242" spans="2:2" ht="15" x14ac:dyDescent="0.25">
      <c r="B242"/>
    </row>
    <row r="243" spans="2:2" ht="15" x14ac:dyDescent="0.25">
      <c r="B243"/>
    </row>
    <row r="244" spans="2:2" ht="15" x14ac:dyDescent="0.25">
      <c r="B244"/>
    </row>
    <row r="245" spans="2:2" ht="15" x14ac:dyDescent="0.25">
      <c r="B245"/>
    </row>
    <row r="246" spans="2:2" ht="15" x14ac:dyDescent="0.25">
      <c r="B246"/>
    </row>
    <row r="247" spans="2:2" ht="15" x14ac:dyDescent="0.25">
      <c r="B247"/>
    </row>
    <row r="248" spans="2:2" ht="15" x14ac:dyDescent="0.25">
      <c r="B248"/>
    </row>
    <row r="249" spans="2:2" ht="15" x14ac:dyDescent="0.25">
      <c r="B249"/>
    </row>
    <row r="250" spans="2:2" ht="15" x14ac:dyDescent="0.25">
      <c r="B250"/>
    </row>
    <row r="251" spans="2:2" ht="15" x14ac:dyDescent="0.25">
      <c r="B251"/>
    </row>
    <row r="252" spans="2:2" ht="15" x14ac:dyDescent="0.25">
      <c r="B252"/>
    </row>
    <row r="253" spans="2:2" ht="15" x14ac:dyDescent="0.25">
      <c r="B253"/>
    </row>
    <row r="254" spans="2:2" ht="15" x14ac:dyDescent="0.25">
      <c r="B254"/>
    </row>
    <row r="255" spans="2:2" ht="15" x14ac:dyDescent="0.25">
      <c r="B255"/>
    </row>
    <row r="256" spans="2:2" ht="15" x14ac:dyDescent="0.25">
      <c r="B256"/>
    </row>
    <row r="257" spans="2:2" ht="15" x14ac:dyDescent="0.25">
      <c r="B257"/>
    </row>
    <row r="258" spans="2:2" ht="15" x14ac:dyDescent="0.25">
      <c r="B258"/>
    </row>
    <row r="259" spans="2:2" ht="15" x14ac:dyDescent="0.25">
      <c r="B259"/>
    </row>
    <row r="260" spans="2:2" ht="15" x14ac:dyDescent="0.25">
      <c r="B260"/>
    </row>
    <row r="261" spans="2:2" ht="15" x14ac:dyDescent="0.25">
      <c r="B261"/>
    </row>
    <row r="262" spans="2:2" ht="15" x14ac:dyDescent="0.25">
      <c r="B262"/>
    </row>
    <row r="263" spans="2:2" ht="15" x14ac:dyDescent="0.25">
      <c r="B263"/>
    </row>
    <row r="264" spans="2:2" ht="15" x14ac:dyDescent="0.25">
      <c r="B264"/>
    </row>
    <row r="265" spans="2:2" ht="15" x14ac:dyDescent="0.25">
      <c r="B265"/>
    </row>
    <row r="266" spans="2:2" ht="15" x14ac:dyDescent="0.25">
      <c r="B266"/>
    </row>
    <row r="267" spans="2:2" ht="15" x14ac:dyDescent="0.25">
      <c r="B267"/>
    </row>
    <row r="268" spans="2:2" ht="15" x14ac:dyDescent="0.25">
      <c r="B268"/>
    </row>
    <row r="269" spans="2:2" ht="15" x14ac:dyDescent="0.25">
      <c r="B269"/>
    </row>
    <row r="270" spans="2:2" ht="15" x14ac:dyDescent="0.25">
      <c r="B270"/>
    </row>
    <row r="271" spans="2:2" ht="15" x14ac:dyDescent="0.25">
      <c r="B271"/>
    </row>
    <row r="272" spans="2:2" ht="15" x14ac:dyDescent="0.25">
      <c r="B272"/>
    </row>
    <row r="273" spans="2:2" ht="15" x14ac:dyDescent="0.25">
      <c r="B273"/>
    </row>
    <row r="274" spans="2:2" ht="15" x14ac:dyDescent="0.25">
      <c r="B274"/>
    </row>
    <row r="275" spans="2:2" ht="15" x14ac:dyDescent="0.25">
      <c r="B275"/>
    </row>
    <row r="276" spans="2:2" ht="15" x14ac:dyDescent="0.25">
      <c r="B276"/>
    </row>
    <row r="277" spans="2:2" ht="15" x14ac:dyDescent="0.25">
      <c r="B277"/>
    </row>
    <row r="278" spans="2:2" ht="15" x14ac:dyDescent="0.25">
      <c r="B278"/>
    </row>
    <row r="279" spans="2:2" ht="15" x14ac:dyDescent="0.25">
      <c r="B279"/>
    </row>
    <row r="280" spans="2:2" ht="15" x14ac:dyDescent="0.25">
      <c r="B280"/>
    </row>
    <row r="281" spans="2:2" ht="15" x14ac:dyDescent="0.25">
      <c r="B281"/>
    </row>
    <row r="282" spans="2:2" ht="15" x14ac:dyDescent="0.25">
      <c r="B282"/>
    </row>
    <row r="283" spans="2:2" ht="15" x14ac:dyDescent="0.25">
      <c r="B283"/>
    </row>
    <row r="284" spans="2:2" ht="15" x14ac:dyDescent="0.25">
      <c r="B284"/>
    </row>
    <row r="285" spans="2:2" ht="15" x14ac:dyDescent="0.25">
      <c r="B285"/>
    </row>
    <row r="286" spans="2:2" ht="15" x14ac:dyDescent="0.25">
      <c r="B286"/>
    </row>
    <row r="287" spans="2:2" ht="15" x14ac:dyDescent="0.25">
      <c r="B287"/>
    </row>
    <row r="288" spans="2:2" ht="15" x14ac:dyDescent="0.25">
      <c r="B288"/>
    </row>
    <row r="289" spans="2:2" ht="15" x14ac:dyDescent="0.25">
      <c r="B289"/>
    </row>
    <row r="290" spans="2:2" ht="15" x14ac:dyDescent="0.25">
      <c r="B290"/>
    </row>
    <row r="291" spans="2:2" ht="15" x14ac:dyDescent="0.25">
      <c r="B291"/>
    </row>
    <row r="292" spans="2:2" ht="15" x14ac:dyDescent="0.25">
      <c r="B292"/>
    </row>
    <row r="293" spans="2:2" ht="15" x14ac:dyDescent="0.25">
      <c r="B293"/>
    </row>
    <row r="294" spans="2:2" ht="15" x14ac:dyDescent="0.25">
      <c r="B294"/>
    </row>
    <row r="295" spans="2:2" ht="15" x14ac:dyDescent="0.25">
      <c r="B295"/>
    </row>
    <row r="296" spans="2:2" ht="15" x14ac:dyDescent="0.25">
      <c r="B296"/>
    </row>
    <row r="297" spans="2:2" ht="15" x14ac:dyDescent="0.25">
      <c r="B297"/>
    </row>
    <row r="298" spans="2:2" ht="15" x14ac:dyDescent="0.25">
      <c r="B298"/>
    </row>
    <row r="299" spans="2:2" ht="15" x14ac:dyDescent="0.25">
      <c r="B299"/>
    </row>
    <row r="300" spans="2:2" ht="15" x14ac:dyDescent="0.25">
      <c r="B300"/>
    </row>
    <row r="301" spans="2:2" ht="15" x14ac:dyDescent="0.25">
      <c r="B301"/>
    </row>
    <row r="302" spans="2:2" ht="15" x14ac:dyDescent="0.25">
      <c r="B302"/>
    </row>
    <row r="303" spans="2:2" ht="15" x14ac:dyDescent="0.25">
      <c r="B303"/>
    </row>
    <row r="304" spans="2:2" ht="15" x14ac:dyDescent="0.25">
      <c r="B304"/>
    </row>
    <row r="305" spans="2:2" ht="15" x14ac:dyDescent="0.25">
      <c r="B305"/>
    </row>
    <row r="306" spans="2:2" ht="15" x14ac:dyDescent="0.25">
      <c r="B306"/>
    </row>
    <row r="307" spans="2:2" ht="15" x14ac:dyDescent="0.25">
      <c r="B307"/>
    </row>
    <row r="308" spans="2:2" ht="15" x14ac:dyDescent="0.25">
      <c r="B308"/>
    </row>
    <row r="309" spans="2:2" ht="15" x14ac:dyDescent="0.25">
      <c r="B309"/>
    </row>
    <row r="310" spans="2:2" ht="15" x14ac:dyDescent="0.25">
      <c r="B310"/>
    </row>
    <row r="311" spans="2:2" ht="15" x14ac:dyDescent="0.25">
      <c r="B311"/>
    </row>
    <row r="312" spans="2:2" ht="15" x14ac:dyDescent="0.25">
      <c r="B312"/>
    </row>
    <row r="313" spans="2:2" ht="15" x14ac:dyDescent="0.25">
      <c r="B313"/>
    </row>
    <row r="314" spans="2:2" ht="15" x14ac:dyDescent="0.25">
      <c r="B314"/>
    </row>
    <row r="315" spans="2:2" ht="15" x14ac:dyDescent="0.25">
      <c r="B315"/>
    </row>
    <row r="316" spans="2:2" ht="15" x14ac:dyDescent="0.25">
      <c r="B316"/>
    </row>
    <row r="317" spans="2:2" ht="15" x14ac:dyDescent="0.25">
      <c r="B317"/>
    </row>
    <row r="318" spans="2:2" ht="15" x14ac:dyDescent="0.25">
      <c r="B318"/>
    </row>
    <row r="319" spans="2:2" ht="15" x14ac:dyDescent="0.25">
      <c r="B319"/>
    </row>
    <row r="320" spans="2:2" ht="15" x14ac:dyDescent="0.25">
      <c r="B320"/>
    </row>
    <row r="321" spans="2:2" ht="15" x14ac:dyDescent="0.25">
      <c r="B321"/>
    </row>
    <row r="322" spans="2:2" ht="15" x14ac:dyDescent="0.25">
      <c r="B322"/>
    </row>
    <row r="323" spans="2:2" ht="15" x14ac:dyDescent="0.25">
      <c r="B323"/>
    </row>
    <row r="324" spans="2:2" ht="15" x14ac:dyDescent="0.25">
      <c r="B324"/>
    </row>
    <row r="325" spans="2:2" ht="15" x14ac:dyDescent="0.25">
      <c r="B325"/>
    </row>
    <row r="326" spans="2:2" ht="15" x14ac:dyDescent="0.25">
      <c r="B326"/>
    </row>
    <row r="327" spans="2:2" ht="15" x14ac:dyDescent="0.25">
      <c r="B327"/>
    </row>
    <row r="328" spans="2:2" ht="15" x14ac:dyDescent="0.25">
      <c r="B328"/>
    </row>
    <row r="329" spans="2:2" ht="15" x14ac:dyDescent="0.25">
      <c r="B329"/>
    </row>
    <row r="330" spans="2:2" ht="15" x14ac:dyDescent="0.25">
      <c r="B330"/>
    </row>
    <row r="331" spans="2:2" ht="15" x14ac:dyDescent="0.25">
      <c r="B331"/>
    </row>
    <row r="332" spans="2:2" ht="15" x14ac:dyDescent="0.25">
      <c r="B332"/>
    </row>
    <row r="333" spans="2:2" ht="15" x14ac:dyDescent="0.25">
      <c r="B333"/>
    </row>
    <row r="334" spans="2:2" ht="15" x14ac:dyDescent="0.25">
      <c r="B334"/>
    </row>
    <row r="335" spans="2:2" ht="15" x14ac:dyDescent="0.25">
      <c r="B335"/>
    </row>
    <row r="336" spans="2:2" ht="15" x14ac:dyDescent="0.25">
      <c r="B336"/>
    </row>
    <row r="337" spans="2:2" ht="15" x14ac:dyDescent="0.25">
      <c r="B337"/>
    </row>
    <row r="338" spans="2:2" ht="15" x14ac:dyDescent="0.25">
      <c r="B338"/>
    </row>
    <row r="339" spans="2:2" ht="15" x14ac:dyDescent="0.25">
      <c r="B339"/>
    </row>
    <row r="340" spans="2:2" ht="15" x14ac:dyDescent="0.25">
      <c r="B340"/>
    </row>
    <row r="341" spans="2:2" ht="15" x14ac:dyDescent="0.25">
      <c r="B341"/>
    </row>
    <row r="342" spans="2:2" ht="15" x14ac:dyDescent="0.25">
      <c r="B342"/>
    </row>
    <row r="343" spans="2:2" ht="15" x14ac:dyDescent="0.25">
      <c r="B343"/>
    </row>
    <row r="344" spans="2:2" ht="15" x14ac:dyDescent="0.25">
      <c r="B344"/>
    </row>
    <row r="345" spans="2:2" ht="15" x14ac:dyDescent="0.25">
      <c r="B345"/>
    </row>
    <row r="346" spans="2:2" ht="15" x14ac:dyDescent="0.25">
      <c r="B346"/>
    </row>
    <row r="347" spans="2:2" ht="15" x14ac:dyDescent="0.25">
      <c r="B347"/>
    </row>
    <row r="348" spans="2:2" ht="15" x14ac:dyDescent="0.25">
      <c r="B348"/>
    </row>
    <row r="349" spans="2:2" ht="15" x14ac:dyDescent="0.25">
      <c r="B349"/>
    </row>
    <row r="350" spans="2:2" ht="15" x14ac:dyDescent="0.25">
      <c r="B350"/>
    </row>
    <row r="351" spans="2:2" ht="15" x14ac:dyDescent="0.25">
      <c r="B351"/>
    </row>
    <row r="352" spans="2:2" ht="15" x14ac:dyDescent="0.25">
      <c r="B352"/>
    </row>
    <row r="353" spans="2:2" ht="15" x14ac:dyDescent="0.25">
      <c r="B353"/>
    </row>
    <row r="354" spans="2:2" ht="15" x14ac:dyDescent="0.25">
      <c r="B354"/>
    </row>
    <row r="355" spans="2:2" ht="15" x14ac:dyDescent="0.25">
      <c r="B355"/>
    </row>
    <row r="356" spans="2:2" ht="15" x14ac:dyDescent="0.25">
      <c r="B356"/>
    </row>
    <row r="357" spans="2:2" ht="15" x14ac:dyDescent="0.25">
      <c r="B357"/>
    </row>
    <row r="358" spans="2:2" ht="15" x14ac:dyDescent="0.25">
      <c r="B358"/>
    </row>
    <row r="359" spans="2:2" ht="15" x14ac:dyDescent="0.25">
      <c r="B359"/>
    </row>
    <row r="360" spans="2:2" ht="15" x14ac:dyDescent="0.25">
      <c r="B360"/>
    </row>
    <row r="361" spans="2:2" ht="15" x14ac:dyDescent="0.25">
      <c r="B361"/>
    </row>
    <row r="362" spans="2:2" ht="15" x14ac:dyDescent="0.25">
      <c r="B362"/>
    </row>
    <row r="363" spans="2:2" ht="15" x14ac:dyDescent="0.25">
      <c r="B363"/>
    </row>
    <row r="364" spans="2:2" ht="15" x14ac:dyDescent="0.25">
      <c r="B364"/>
    </row>
    <row r="365" spans="2:2" ht="15" x14ac:dyDescent="0.25">
      <c r="B365"/>
    </row>
    <row r="366" spans="2:2" ht="15" x14ac:dyDescent="0.25">
      <c r="B366"/>
    </row>
    <row r="367" spans="2:2" ht="15" x14ac:dyDescent="0.25">
      <c r="B367"/>
    </row>
    <row r="368" spans="2:2" ht="15" x14ac:dyDescent="0.25">
      <c r="B368"/>
    </row>
    <row r="369" spans="2:2" ht="15" x14ac:dyDescent="0.25">
      <c r="B369"/>
    </row>
    <row r="370" spans="2:2" ht="15" x14ac:dyDescent="0.25">
      <c r="B370"/>
    </row>
    <row r="371" spans="2:2" ht="15" x14ac:dyDescent="0.25">
      <c r="B371"/>
    </row>
    <row r="372" spans="2:2" ht="15" x14ac:dyDescent="0.25">
      <c r="B372"/>
    </row>
    <row r="373" spans="2:2" ht="15" x14ac:dyDescent="0.25">
      <c r="B373"/>
    </row>
    <row r="374" spans="2:2" ht="15" x14ac:dyDescent="0.25">
      <c r="B374"/>
    </row>
    <row r="375" spans="2:2" ht="15" x14ac:dyDescent="0.25">
      <c r="B375"/>
    </row>
    <row r="376" spans="2:2" ht="15" x14ac:dyDescent="0.25">
      <c r="B376"/>
    </row>
    <row r="377" spans="2:2" ht="15" x14ac:dyDescent="0.25">
      <c r="B377"/>
    </row>
    <row r="378" spans="2:2" ht="15" x14ac:dyDescent="0.25">
      <c r="B378"/>
    </row>
    <row r="379" spans="2:2" ht="15" x14ac:dyDescent="0.25">
      <c r="B379"/>
    </row>
    <row r="380" spans="2:2" ht="15" x14ac:dyDescent="0.25">
      <c r="B380"/>
    </row>
    <row r="381" spans="2:2" ht="15" x14ac:dyDescent="0.25">
      <c r="B381"/>
    </row>
    <row r="382" spans="2:2" ht="15" x14ac:dyDescent="0.25">
      <c r="B382"/>
    </row>
    <row r="383" spans="2:2" ht="15" x14ac:dyDescent="0.25">
      <c r="B383"/>
    </row>
    <row r="384" spans="2:2" ht="15" x14ac:dyDescent="0.25">
      <c r="B384"/>
    </row>
    <row r="385" spans="2:2" ht="15" x14ac:dyDescent="0.25">
      <c r="B385"/>
    </row>
    <row r="386" spans="2:2" ht="15" x14ac:dyDescent="0.25">
      <c r="B386"/>
    </row>
    <row r="387" spans="2:2" ht="15" x14ac:dyDescent="0.25">
      <c r="B387"/>
    </row>
    <row r="388" spans="2:2" ht="15" x14ac:dyDescent="0.25">
      <c r="B388"/>
    </row>
    <row r="389" spans="2:2" ht="15" x14ac:dyDescent="0.25">
      <c r="B389"/>
    </row>
    <row r="390" spans="2:2" ht="15" x14ac:dyDescent="0.25">
      <c r="B390"/>
    </row>
    <row r="391" spans="2:2" ht="15" x14ac:dyDescent="0.25">
      <c r="B391"/>
    </row>
    <row r="392" spans="2:2" ht="15" x14ac:dyDescent="0.25">
      <c r="B392"/>
    </row>
    <row r="393" spans="2:2" ht="15" x14ac:dyDescent="0.25">
      <c r="B393"/>
    </row>
    <row r="394" spans="2:2" ht="15" x14ac:dyDescent="0.25">
      <c r="B394"/>
    </row>
    <row r="395" spans="2:2" ht="15" x14ac:dyDescent="0.25">
      <c r="B395"/>
    </row>
    <row r="396" spans="2:2" ht="15" x14ac:dyDescent="0.25">
      <c r="B396"/>
    </row>
    <row r="397" spans="2:2" ht="15" x14ac:dyDescent="0.25">
      <c r="B397"/>
    </row>
    <row r="398" spans="2:2" ht="15" x14ac:dyDescent="0.25">
      <c r="B398"/>
    </row>
    <row r="399" spans="2:2" ht="15" x14ac:dyDescent="0.25">
      <c r="B399"/>
    </row>
    <row r="400" spans="2:2" ht="15" x14ac:dyDescent="0.25">
      <c r="B400"/>
    </row>
    <row r="401" spans="2:2" ht="15" x14ac:dyDescent="0.25">
      <c r="B401"/>
    </row>
    <row r="402" spans="2:2" ht="15" x14ac:dyDescent="0.25">
      <c r="B402"/>
    </row>
    <row r="403" spans="2:2" ht="15" x14ac:dyDescent="0.25">
      <c r="B403"/>
    </row>
    <row r="404" spans="2:2" ht="15" x14ac:dyDescent="0.25">
      <c r="B404"/>
    </row>
    <row r="405" spans="2:2" ht="15" x14ac:dyDescent="0.25">
      <c r="B405"/>
    </row>
    <row r="406" spans="2:2" ht="15" x14ac:dyDescent="0.25">
      <c r="B406"/>
    </row>
    <row r="407" spans="2:2" ht="15" x14ac:dyDescent="0.25">
      <c r="B407"/>
    </row>
    <row r="408" spans="2:2" ht="15" x14ac:dyDescent="0.25">
      <c r="B408"/>
    </row>
    <row r="409" spans="2:2" ht="15" x14ac:dyDescent="0.25">
      <c r="B409"/>
    </row>
    <row r="410" spans="2:2" ht="15" x14ac:dyDescent="0.25">
      <c r="B410"/>
    </row>
    <row r="411" spans="2:2" ht="15" x14ac:dyDescent="0.25">
      <c r="B411"/>
    </row>
    <row r="412" spans="2:2" ht="15" x14ac:dyDescent="0.25">
      <c r="B412"/>
    </row>
    <row r="413" spans="2:2" ht="15" x14ac:dyDescent="0.25">
      <c r="B413"/>
    </row>
    <row r="414" spans="2:2" ht="15" x14ac:dyDescent="0.25">
      <c r="B414"/>
    </row>
    <row r="415" spans="2:2" ht="15" x14ac:dyDescent="0.25">
      <c r="B415"/>
    </row>
    <row r="416" spans="2:2" ht="15" x14ac:dyDescent="0.25">
      <c r="B416"/>
    </row>
    <row r="417" spans="2:2" ht="15" x14ac:dyDescent="0.25">
      <c r="B417"/>
    </row>
    <row r="418" spans="2:2" ht="15" x14ac:dyDescent="0.25">
      <c r="B418"/>
    </row>
    <row r="419" spans="2:2" ht="15" x14ac:dyDescent="0.25">
      <c r="B419"/>
    </row>
    <row r="420" spans="2:2" ht="15" x14ac:dyDescent="0.25">
      <c r="B420"/>
    </row>
    <row r="421" spans="2:2" ht="15" x14ac:dyDescent="0.25">
      <c r="B421"/>
    </row>
    <row r="422" spans="2:2" ht="15" x14ac:dyDescent="0.25">
      <c r="B422"/>
    </row>
    <row r="423" spans="2:2" ht="15" x14ac:dyDescent="0.25">
      <c r="B423"/>
    </row>
    <row r="424" spans="2:2" ht="15" x14ac:dyDescent="0.25">
      <c r="B424"/>
    </row>
    <row r="425" spans="2:2" ht="15" x14ac:dyDescent="0.25">
      <c r="B425"/>
    </row>
    <row r="426" spans="2:2" ht="15" x14ac:dyDescent="0.25">
      <c r="B426"/>
    </row>
    <row r="427" spans="2:2" ht="15" x14ac:dyDescent="0.25">
      <c r="B427"/>
    </row>
    <row r="428" spans="2:2" ht="15" x14ac:dyDescent="0.25">
      <c r="B428"/>
    </row>
    <row r="429" spans="2:2" ht="15" x14ac:dyDescent="0.25">
      <c r="B429"/>
    </row>
    <row r="430" spans="2:2" ht="15" x14ac:dyDescent="0.25">
      <c r="B430"/>
    </row>
    <row r="431" spans="2:2" ht="15" x14ac:dyDescent="0.25">
      <c r="B431"/>
    </row>
    <row r="432" spans="2:2" ht="15" x14ac:dyDescent="0.25">
      <c r="B432"/>
    </row>
    <row r="433" spans="2:2" ht="15" x14ac:dyDescent="0.25">
      <c r="B433"/>
    </row>
    <row r="434" spans="2:2" ht="15" x14ac:dyDescent="0.25">
      <c r="B434"/>
    </row>
    <row r="435" spans="2:2" ht="15" x14ac:dyDescent="0.25">
      <c r="B435"/>
    </row>
    <row r="436" spans="2:2" ht="15" x14ac:dyDescent="0.25">
      <c r="B436"/>
    </row>
    <row r="437" spans="2:2" ht="15" x14ac:dyDescent="0.25">
      <c r="B437"/>
    </row>
    <row r="438" spans="2:2" ht="15" x14ac:dyDescent="0.25">
      <c r="B438"/>
    </row>
    <row r="439" spans="2:2" ht="15" x14ac:dyDescent="0.25">
      <c r="B439"/>
    </row>
    <row r="440" spans="2:2" ht="15" x14ac:dyDescent="0.25">
      <c r="B440"/>
    </row>
    <row r="441" spans="2:2" ht="15" x14ac:dyDescent="0.25">
      <c r="B441"/>
    </row>
    <row r="442" spans="2:2" ht="15" x14ac:dyDescent="0.25">
      <c r="B442"/>
    </row>
    <row r="443" spans="2:2" ht="15" x14ac:dyDescent="0.25">
      <c r="B443"/>
    </row>
    <row r="444" spans="2:2" ht="15" x14ac:dyDescent="0.25">
      <c r="B444"/>
    </row>
    <row r="445" spans="2:2" ht="15" x14ac:dyDescent="0.25">
      <c r="B445"/>
    </row>
    <row r="446" spans="2:2" ht="15" x14ac:dyDescent="0.25">
      <c r="B446"/>
    </row>
    <row r="447" spans="2:2" ht="15" x14ac:dyDescent="0.25">
      <c r="B447"/>
    </row>
    <row r="448" spans="2:2" ht="15" x14ac:dyDescent="0.25">
      <c r="B448"/>
    </row>
    <row r="449" spans="2:2" ht="15" x14ac:dyDescent="0.25">
      <c r="B449"/>
    </row>
    <row r="450" spans="2:2" ht="15" x14ac:dyDescent="0.25">
      <c r="B450"/>
    </row>
    <row r="451" spans="2:2" ht="15" x14ac:dyDescent="0.25">
      <c r="B451"/>
    </row>
    <row r="452" spans="2:2" ht="15" x14ac:dyDescent="0.25">
      <c r="B452"/>
    </row>
    <row r="453" spans="2:2" ht="15" x14ac:dyDescent="0.25">
      <c r="B453"/>
    </row>
    <row r="454" spans="2:2" ht="15" x14ac:dyDescent="0.25">
      <c r="B454"/>
    </row>
    <row r="455" spans="2:2" ht="15" x14ac:dyDescent="0.25">
      <c r="B455"/>
    </row>
    <row r="456" spans="2:2" ht="15" x14ac:dyDescent="0.25">
      <c r="B456"/>
    </row>
    <row r="457" spans="2:2" ht="15" x14ac:dyDescent="0.25">
      <c r="B457"/>
    </row>
    <row r="458" spans="2:2" ht="15" x14ac:dyDescent="0.25">
      <c r="B458"/>
    </row>
    <row r="459" spans="2:2" ht="15" x14ac:dyDescent="0.25">
      <c r="B459"/>
    </row>
    <row r="460" spans="2:2" ht="15" x14ac:dyDescent="0.25">
      <c r="B460"/>
    </row>
    <row r="461" spans="2:2" ht="15" x14ac:dyDescent="0.25">
      <c r="B461"/>
    </row>
    <row r="462" spans="2:2" ht="15" x14ac:dyDescent="0.25">
      <c r="B462"/>
    </row>
    <row r="463" spans="2:2" ht="15" x14ac:dyDescent="0.25">
      <c r="B463"/>
    </row>
    <row r="464" spans="2:2" ht="15" x14ac:dyDescent="0.25">
      <c r="B464"/>
    </row>
    <row r="465" spans="2:2" ht="15" x14ac:dyDescent="0.25">
      <c r="B465"/>
    </row>
    <row r="466" spans="2:2" ht="15" x14ac:dyDescent="0.25">
      <c r="B466"/>
    </row>
    <row r="467" spans="2:2" ht="15" x14ac:dyDescent="0.25">
      <c r="B467"/>
    </row>
    <row r="468" spans="2:2" ht="15" x14ac:dyDescent="0.25">
      <c r="B468"/>
    </row>
    <row r="469" spans="2:2" ht="15" x14ac:dyDescent="0.25">
      <c r="B469"/>
    </row>
    <row r="470" spans="2:2" ht="15" x14ac:dyDescent="0.25">
      <c r="B470"/>
    </row>
    <row r="471" spans="2:2" ht="15" x14ac:dyDescent="0.25">
      <c r="B471"/>
    </row>
    <row r="472" spans="2:2" ht="15" x14ac:dyDescent="0.25">
      <c r="B472"/>
    </row>
    <row r="473" spans="2:2" ht="15" x14ac:dyDescent="0.25">
      <c r="B473"/>
    </row>
    <row r="474" spans="2:2" ht="15" x14ac:dyDescent="0.25">
      <c r="B474"/>
    </row>
    <row r="475" spans="2:2" ht="15" x14ac:dyDescent="0.25">
      <c r="B475"/>
    </row>
    <row r="476" spans="2:2" ht="15" x14ac:dyDescent="0.25">
      <c r="B476"/>
    </row>
    <row r="477" spans="2:2" ht="15" x14ac:dyDescent="0.25">
      <c r="B477"/>
    </row>
    <row r="478" spans="2:2" ht="15" x14ac:dyDescent="0.25">
      <c r="B478"/>
    </row>
    <row r="479" spans="2:2" ht="15" x14ac:dyDescent="0.25">
      <c r="B479"/>
    </row>
    <row r="480" spans="2:2" ht="15" x14ac:dyDescent="0.25">
      <c r="B480"/>
    </row>
    <row r="481" spans="2:2" ht="15" x14ac:dyDescent="0.25">
      <c r="B481"/>
    </row>
    <row r="482" spans="2:2" ht="15" x14ac:dyDescent="0.25">
      <c r="B482"/>
    </row>
    <row r="483" spans="2:2" ht="15" x14ac:dyDescent="0.25">
      <c r="B483"/>
    </row>
    <row r="484" spans="2:2" ht="15" x14ac:dyDescent="0.25">
      <c r="B484"/>
    </row>
    <row r="485" spans="2:2" ht="15" x14ac:dyDescent="0.25">
      <c r="B485"/>
    </row>
    <row r="486" spans="2:2" ht="15" x14ac:dyDescent="0.25">
      <c r="B486"/>
    </row>
    <row r="487" spans="2:2" ht="15" x14ac:dyDescent="0.25">
      <c r="B487"/>
    </row>
    <row r="488" spans="2:2" ht="15" x14ac:dyDescent="0.25">
      <c r="B488"/>
    </row>
    <row r="489" spans="2:2" ht="15" x14ac:dyDescent="0.25">
      <c r="B489"/>
    </row>
    <row r="490" spans="2:2" ht="15" x14ac:dyDescent="0.25">
      <c r="B490"/>
    </row>
    <row r="491" spans="2:2" ht="15" x14ac:dyDescent="0.25">
      <c r="B491"/>
    </row>
    <row r="492" spans="2:2" ht="15" x14ac:dyDescent="0.25">
      <c r="B492"/>
    </row>
    <row r="493" spans="2:2" ht="15" x14ac:dyDescent="0.25">
      <c r="B493"/>
    </row>
    <row r="494" spans="2:2" ht="15" x14ac:dyDescent="0.25">
      <c r="B494"/>
    </row>
    <row r="495" spans="2:2" ht="15" x14ac:dyDescent="0.25">
      <c r="B495"/>
    </row>
    <row r="496" spans="2:2" ht="15" x14ac:dyDescent="0.25">
      <c r="B496"/>
    </row>
    <row r="497" spans="2:2" ht="15" x14ac:dyDescent="0.25">
      <c r="B497"/>
    </row>
    <row r="498" spans="2:2" ht="15" x14ac:dyDescent="0.25">
      <c r="B498"/>
    </row>
    <row r="499" spans="2:2" ht="15" x14ac:dyDescent="0.25">
      <c r="B499"/>
    </row>
    <row r="500" spans="2:2" ht="15" x14ac:dyDescent="0.25">
      <c r="B500"/>
    </row>
    <row r="501" spans="2:2" ht="15" x14ac:dyDescent="0.25">
      <c r="B501"/>
    </row>
    <row r="502" spans="2:2" ht="15" x14ac:dyDescent="0.25">
      <c r="B502"/>
    </row>
    <row r="503" spans="2:2" ht="15" x14ac:dyDescent="0.25">
      <c r="B503"/>
    </row>
    <row r="504" spans="2:2" ht="15" x14ac:dyDescent="0.25">
      <c r="B504"/>
    </row>
    <row r="505" spans="2:2" ht="15" x14ac:dyDescent="0.25">
      <c r="B505"/>
    </row>
    <row r="506" spans="2:2" ht="15" x14ac:dyDescent="0.25">
      <c r="B506"/>
    </row>
    <row r="507" spans="2:2" ht="15" x14ac:dyDescent="0.25">
      <c r="B507"/>
    </row>
    <row r="508" spans="2:2" ht="15" x14ac:dyDescent="0.25">
      <c r="B508"/>
    </row>
    <row r="509" spans="2:2" ht="15" x14ac:dyDescent="0.25">
      <c r="B509"/>
    </row>
    <row r="510" spans="2:2" ht="15" x14ac:dyDescent="0.25">
      <c r="B510"/>
    </row>
    <row r="511" spans="2:2" ht="15" x14ac:dyDescent="0.25">
      <c r="B511"/>
    </row>
    <row r="512" spans="2:2" ht="15" x14ac:dyDescent="0.25">
      <c r="B512"/>
    </row>
    <row r="513" spans="2:2" ht="15" x14ac:dyDescent="0.25">
      <c r="B513"/>
    </row>
    <row r="514" spans="2:2" ht="15" x14ac:dyDescent="0.25">
      <c r="B514"/>
    </row>
    <row r="515" spans="2:2" ht="15" x14ac:dyDescent="0.25">
      <c r="B515"/>
    </row>
    <row r="516" spans="2:2" ht="15" x14ac:dyDescent="0.25">
      <c r="B516"/>
    </row>
    <row r="517" spans="2:2" ht="15" x14ac:dyDescent="0.25">
      <c r="B517"/>
    </row>
    <row r="518" spans="2:2" ht="15" x14ac:dyDescent="0.25">
      <c r="B518"/>
    </row>
    <row r="519" spans="2:2" ht="15" x14ac:dyDescent="0.25">
      <c r="B519"/>
    </row>
    <row r="520" spans="2:2" ht="15" x14ac:dyDescent="0.25">
      <c r="B520"/>
    </row>
    <row r="521" spans="2:2" ht="15" x14ac:dyDescent="0.25">
      <c r="B521"/>
    </row>
    <row r="522" spans="2:2" ht="15" x14ac:dyDescent="0.25">
      <c r="B522"/>
    </row>
    <row r="523" spans="2:2" ht="15" x14ac:dyDescent="0.25">
      <c r="B523"/>
    </row>
    <row r="524" spans="2:2" ht="15" x14ac:dyDescent="0.25">
      <c r="B524"/>
    </row>
    <row r="525" spans="2:2" ht="15" x14ac:dyDescent="0.25">
      <c r="B525"/>
    </row>
    <row r="526" spans="2:2" ht="15" x14ac:dyDescent="0.25">
      <c r="B526"/>
    </row>
    <row r="527" spans="2:2" ht="15" x14ac:dyDescent="0.25">
      <c r="B527"/>
    </row>
    <row r="528" spans="2:2" ht="15" x14ac:dyDescent="0.25">
      <c r="B528"/>
    </row>
    <row r="529" spans="2:2" ht="15" x14ac:dyDescent="0.25">
      <c r="B529"/>
    </row>
    <row r="530" spans="2:2" ht="15" x14ac:dyDescent="0.25">
      <c r="B530"/>
    </row>
    <row r="531" spans="2:2" ht="15" x14ac:dyDescent="0.25">
      <c r="B531"/>
    </row>
    <row r="532" spans="2:2" ht="15" x14ac:dyDescent="0.25">
      <c r="B532"/>
    </row>
    <row r="533" spans="2:2" ht="15" x14ac:dyDescent="0.25">
      <c r="B533"/>
    </row>
    <row r="534" spans="2:2" ht="15" x14ac:dyDescent="0.25">
      <c r="B534"/>
    </row>
    <row r="535" spans="2:2" ht="15" x14ac:dyDescent="0.25">
      <c r="B535"/>
    </row>
    <row r="536" spans="2:2" ht="15" x14ac:dyDescent="0.25">
      <c r="B536"/>
    </row>
    <row r="537" spans="2:2" ht="15" x14ac:dyDescent="0.25">
      <c r="B537"/>
    </row>
    <row r="538" spans="2:2" ht="15" x14ac:dyDescent="0.25">
      <c r="B538"/>
    </row>
    <row r="539" spans="2:2" ht="15" x14ac:dyDescent="0.25">
      <c r="B539"/>
    </row>
    <row r="540" spans="2:2" ht="15" x14ac:dyDescent="0.25">
      <c r="B540"/>
    </row>
    <row r="541" spans="2:2" ht="15" x14ac:dyDescent="0.25">
      <c r="B541"/>
    </row>
    <row r="542" spans="2:2" ht="15" x14ac:dyDescent="0.25">
      <c r="B542"/>
    </row>
    <row r="543" spans="2:2" ht="15" x14ac:dyDescent="0.25">
      <c r="B543"/>
    </row>
    <row r="544" spans="2:2" ht="15" x14ac:dyDescent="0.25">
      <c r="B544"/>
    </row>
    <row r="545" spans="2:2" ht="15" x14ac:dyDescent="0.25">
      <c r="B545"/>
    </row>
    <row r="546" spans="2:2" ht="15" x14ac:dyDescent="0.25">
      <c r="B546"/>
    </row>
    <row r="547" spans="2:2" ht="15" x14ac:dyDescent="0.25">
      <c r="B547"/>
    </row>
    <row r="548" spans="2:2" ht="15" x14ac:dyDescent="0.25">
      <c r="B548"/>
    </row>
    <row r="549" spans="2:2" ht="15" x14ac:dyDescent="0.25">
      <c r="B549"/>
    </row>
    <row r="550" spans="2:2" ht="15" x14ac:dyDescent="0.25">
      <c r="B550"/>
    </row>
    <row r="551" spans="2:2" ht="15" x14ac:dyDescent="0.25">
      <c r="B551"/>
    </row>
    <row r="552" spans="2:2" ht="15" x14ac:dyDescent="0.25">
      <c r="B552"/>
    </row>
    <row r="553" spans="2:2" ht="15" x14ac:dyDescent="0.25">
      <c r="B553"/>
    </row>
    <row r="554" spans="2:2" ht="15" x14ac:dyDescent="0.25">
      <c r="B554"/>
    </row>
    <row r="555" spans="2:2" ht="15" x14ac:dyDescent="0.25">
      <c r="B555"/>
    </row>
    <row r="556" spans="2:2" ht="15" x14ac:dyDescent="0.25">
      <c r="B556"/>
    </row>
    <row r="557" spans="2:2" ht="15" x14ac:dyDescent="0.25">
      <c r="B557"/>
    </row>
    <row r="558" spans="2:2" ht="15" x14ac:dyDescent="0.25">
      <c r="B558"/>
    </row>
    <row r="559" spans="2:2" ht="15" x14ac:dyDescent="0.25">
      <c r="B559"/>
    </row>
    <row r="560" spans="2:2" ht="15" x14ac:dyDescent="0.25">
      <c r="B560"/>
    </row>
    <row r="561" spans="2:2" ht="15" x14ac:dyDescent="0.25">
      <c r="B561"/>
    </row>
    <row r="562" spans="2:2" ht="15" x14ac:dyDescent="0.25">
      <c r="B562"/>
    </row>
    <row r="563" spans="2:2" ht="15" x14ac:dyDescent="0.25">
      <c r="B563"/>
    </row>
    <row r="564" spans="2:2" ht="15" x14ac:dyDescent="0.25">
      <c r="B564"/>
    </row>
    <row r="565" spans="2:2" ht="15" x14ac:dyDescent="0.25">
      <c r="B565"/>
    </row>
    <row r="566" spans="2:2" ht="15" x14ac:dyDescent="0.25">
      <c r="B566"/>
    </row>
    <row r="567" spans="2:2" ht="15" x14ac:dyDescent="0.25">
      <c r="B567"/>
    </row>
    <row r="568" spans="2:2" ht="15" x14ac:dyDescent="0.25">
      <c r="B568"/>
    </row>
    <row r="569" spans="2:2" ht="15" x14ac:dyDescent="0.25">
      <c r="B569"/>
    </row>
    <row r="570" spans="2:2" ht="15" x14ac:dyDescent="0.25">
      <c r="B570"/>
    </row>
    <row r="571" spans="2:2" ht="15" x14ac:dyDescent="0.25">
      <c r="B571"/>
    </row>
    <row r="572" spans="2:2" ht="15" x14ac:dyDescent="0.25">
      <c r="B572"/>
    </row>
    <row r="573" spans="2:2" ht="15" x14ac:dyDescent="0.25">
      <c r="B573"/>
    </row>
    <row r="574" spans="2:2" ht="15" x14ac:dyDescent="0.25">
      <c r="B574"/>
    </row>
    <row r="575" spans="2:2" ht="15" x14ac:dyDescent="0.25">
      <c r="B575"/>
    </row>
    <row r="576" spans="2:2" ht="15" x14ac:dyDescent="0.25">
      <c r="B576"/>
    </row>
    <row r="577" spans="2:2" ht="15" x14ac:dyDescent="0.25">
      <c r="B577"/>
    </row>
    <row r="578" spans="2:2" ht="15" x14ac:dyDescent="0.25">
      <c r="B578"/>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7D9F-F224-4F02-921C-37B6D2CA4AC0}">
  <dimension ref="A1:Y27"/>
  <sheetViews>
    <sheetView workbookViewId="0">
      <selection activeCell="H10" sqref="H10"/>
    </sheetView>
  </sheetViews>
  <sheetFormatPr baseColWidth="10" defaultRowHeight="10.5" customHeight="1" x14ac:dyDescent="0.2"/>
  <cols>
    <col min="1" max="1" width="11.85546875" style="22" bestFit="1" customWidth="1"/>
    <col min="2" max="2" width="12.28515625" style="22" bestFit="1" customWidth="1"/>
    <col min="3" max="3" width="9.42578125" style="22" bestFit="1" customWidth="1"/>
    <col min="4" max="4" width="12.28515625" style="22" bestFit="1" customWidth="1"/>
    <col min="5" max="5" width="9.42578125" style="22" bestFit="1" customWidth="1"/>
    <col min="6" max="6" width="12.28515625" style="22" bestFit="1" customWidth="1"/>
    <col min="7" max="7" width="9.42578125" style="22" bestFit="1" customWidth="1"/>
    <col min="8" max="8" width="12.28515625" style="22" bestFit="1" customWidth="1"/>
    <col min="9" max="9" width="9.42578125" style="22" bestFit="1" customWidth="1"/>
    <col min="10" max="10" width="12.28515625" style="22" bestFit="1" customWidth="1"/>
    <col min="11" max="11" width="9.42578125" style="22" bestFit="1" customWidth="1"/>
    <col min="12" max="12" width="12.28515625" style="22" bestFit="1" customWidth="1"/>
    <col min="13" max="13" width="9.42578125" style="22" bestFit="1" customWidth="1"/>
    <col min="14" max="14" width="12.28515625" style="22" bestFit="1" customWidth="1"/>
    <col min="15" max="15" width="9.42578125" style="22" bestFit="1" customWidth="1"/>
    <col min="16" max="16" width="12.28515625" style="22" bestFit="1" customWidth="1"/>
    <col min="17" max="17" width="9.42578125" style="22" bestFit="1" customWidth="1"/>
    <col min="18" max="18" width="12.28515625" style="22" bestFit="1" customWidth="1"/>
    <col min="19" max="19" width="9.42578125" style="22" bestFit="1" customWidth="1"/>
    <col min="20" max="20" width="12.28515625" style="22" bestFit="1" customWidth="1"/>
    <col min="21" max="21" width="9.42578125" style="22" bestFit="1" customWidth="1"/>
    <col min="22" max="22" width="12.28515625" style="22" bestFit="1" customWidth="1"/>
    <col min="23" max="23" width="9.42578125" style="22" bestFit="1" customWidth="1"/>
    <col min="24" max="24" width="12.28515625" style="22" bestFit="1" customWidth="1"/>
    <col min="25" max="25" width="9.42578125" style="22" bestFit="1" customWidth="1"/>
    <col min="26" max="16384" width="11.42578125" style="22"/>
  </cols>
  <sheetData>
    <row r="1" spans="1:25" ht="10.5" customHeight="1" x14ac:dyDescent="0.2">
      <c r="A1" s="98" t="s">
        <v>2540</v>
      </c>
      <c r="B1" s="99">
        <v>2021</v>
      </c>
    </row>
    <row r="2" spans="1:25" ht="10.5" customHeight="1" x14ac:dyDescent="0.2">
      <c r="A2" s="98" t="s">
        <v>2539</v>
      </c>
      <c r="B2" s="22" t="s">
        <v>2668</v>
      </c>
    </row>
    <row r="4" spans="1:25" ht="10.5" customHeight="1" x14ac:dyDescent="0.2">
      <c r="A4" s="98" t="s">
        <v>6530</v>
      </c>
      <c r="B4" s="22" t="s">
        <v>6531</v>
      </c>
      <c r="C4" s="22" t="s">
        <v>6532</v>
      </c>
    </row>
    <row r="5" spans="1:25" ht="10.5" customHeight="1" x14ac:dyDescent="0.2">
      <c r="A5" s="99" t="s">
        <v>85</v>
      </c>
      <c r="B5" s="100">
        <v>2603597.984000002</v>
      </c>
      <c r="C5" s="101">
        <v>0.627853959454725</v>
      </c>
    </row>
    <row r="6" spans="1:25" ht="10.5" customHeight="1" x14ac:dyDescent="0.2">
      <c r="A6" s="99" t="s">
        <v>43</v>
      </c>
      <c r="B6" s="100">
        <v>3475058.15</v>
      </c>
      <c r="C6" s="101">
        <v>1.0513387023823391</v>
      </c>
    </row>
    <row r="7" spans="1:25" ht="10.5" customHeight="1" x14ac:dyDescent="0.2">
      <c r="A7" s="99" t="s">
        <v>32</v>
      </c>
      <c r="B7" s="100">
        <v>1865289.0100000014</v>
      </c>
      <c r="C7" s="101">
        <v>0.90772606298204894</v>
      </c>
    </row>
    <row r="8" spans="1:25" ht="10.5" customHeight="1" x14ac:dyDescent="0.2">
      <c r="A8" s="99" t="s">
        <v>22</v>
      </c>
      <c r="B8" s="100">
        <v>9936433.8900000025</v>
      </c>
      <c r="C8" s="101">
        <v>0.98991122569687784</v>
      </c>
    </row>
    <row r="9" spans="1:25" ht="10.5" customHeight="1" x14ac:dyDescent="0.2">
      <c r="A9" s="99" t="s">
        <v>788</v>
      </c>
      <c r="B9" s="100">
        <v>1424851.56</v>
      </c>
      <c r="C9" s="101">
        <v>0.85679588695129283</v>
      </c>
    </row>
    <row r="10" spans="1:25" ht="10.5" customHeight="1" x14ac:dyDescent="0.2">
      <c r="A10" s="99" t="s">
        <v>24</v>
      </c>
      <c r="B10" s="100">
        <v>3834201.0399999996</v>
      </c>
      <c r="C10" s="101">
        <v>0.75277313640009136</v>
      </c>
    </row>
    <row r="11" spans="1:25" ht="10.5" customHeight="1" x14ac:dyDescent="0.2">
      <c r="A11" s="99" t="s">
        <v>190</v>
      </c>
      <c r="B11" s="100">
        <v>292862.32</v>
      </c>
      <c r="C11" s="101">
        <v>0.52417027613313383</v>
      </c>
    </row>
    <row r="12" spans="1:25" ht="10.5" customHeight="1" x14ac:dyDescent="0.2">
      <c r="A12" s="99" t="s">
        <v>174</v>
      </c>
      <c r="B12" s="100">
        <v>525880.24999999977</v>
      </c>
      <c r="C12" s="101">
        <v>0.67507092426187387</v>
      </c>
    </row>
    <row r="13" spans="1:25" ht="10.5" customHeight="1" x14ac:dyDescent="0.2">
      <c r="A13" s="99" t="s">
        <v>65</v>
      </c>
      <c r="B13" s="100">
        <v>1539313.3999999997</v>
      </c>
      <c r="C13" s="101">
        <v>1.003337520116439</v>
      </c>
    </row>
    <row r="14" spans="1:25" ht="10.5" customHeight="1" x14ac:dyDescent="0.2">
      <c r="A14" s="99" t="s">
        <v>2667</v>
      </c>
      <c r="B14" s="100">
        <v>25497487.604000002</v>
      </c>
      <c r="C14" s="101">
        <v>0.87400574549152699</v>
      </c>
    </row>
    <row r="15" spans="1:25" ht="10.5" customHeight="1" thickBot="1" x14ac:dyDescent="0.25"/>
    <row r="16" spans="1:25" ht="10.5" customHeight="1" x14ac:dyDescent="0.2">
      <c r="A16" s="104"/>
      <c r="B16" s="150">
        <v>44197</v>
      </c>
      <c r="C16" s="151"/>
      <c r="D16" s="148">
        <v>44228</v>
      </c>
      <c r="E16" s="151"/>
      <c r="F16" s="148">
        <v>44256</v>
      </c>
      <c r="G16" s="149"/>
      <c r="H16" s="148">
        <v>44287</v>
      </c>
      <c r="I16" s="149"/>
      <c r="J16" s="148">
        <v>44317</v>
      </c>
      <c r="K16" s="149"/>
      <c r="L16" s="148">
        <v>44348</v>
      </c>
      <c r="M16" s="149"/>
      <c r="N16" s="148">
        <v>44378</v>
      </c>
      <c r="O16" s="149"/>
      <c r="P16" s="148">
        <v>44409</v>
      </c>
      <c r="Q16" s="149"/>
      <c r="R16" s="148">
        <v>44440</v>
      </c>
      <c r="S16" s="149"/>
      <c r="T16" s="148">
        <v>44470</v>
      </c>
      <c r="U16" s="149"/>
      <c r="V16" s="148">
        <v>44501</v>
      </c>
      <c r="W16" s="149"/>
      <c r="X16" s="148">
        <v>44531</v>
      </c>
      <c r="Y16" s="149"/>
    </row>
    <row r="17" spans="1:25" ht="10.5" customHeight="1" x14ac:dyDescent="0.2">
      <c r="A17" s="105" t="s">
        <v>6530</v>
      </c>
      <c r="B17" s="102" t="s">
        <v>6531</v>
      </c>
      <c r="C17" s="112" t="s">
        <v>6532</v>
      </c>
      <c r="D17" s="105" t="s">
        <v>6531</v>
      </c>
      <c r="E17" s="112" t="s">
        <v>6532</v>
      </c>
      <c r="F17" s="105" t="s">
        <v>6531</v>
      </c>
      <c r="G17" s="106" t="s">
        <v>6532</v>
      </c>
      <c r="H17" s="105" t="s">
        <v>6531</v>
      </c>
      <c r="I17" s="106" t="s">
        <v>6532</v>
      </c>
      <c r="J17" s="105" t="s">
        <v>6531</v>
      </c>
      <c r="K17" s="106" t="s">
        <v>6532</v>
      </c>
      <c r="L17" s="105" t="s">
        <v>6531</v>
      </c>
      <c r="M17" s="106" t="s">
        <v>6532</v>
      </c>
      <c r="N17" s="105" t="s">
        <v>6531</v>
      </c>
      <c r="O17" s="106" t="s">
        <v>6532</v>
      </c>
      <c r="P17" s="105" t="s">
        <v>6531</v>
      </c>
      <c r="Q17" s="106" t="s">
        <v>6532</v>
      </c>
      <c r="R17" s="105" t="s">
        <v>6531</v>
      </c>
      <c r="S17" s="106" t="s">
        <v>6532</v>
      </c>
      <c r="T17" s="105" t="s">
        <v>6531</v>
      </c>
      <c r="U17" s="106" t="s">
        <v>6532</v>
      </c>
      <c r="V17" s="105" t="s">
        <v>6531</v>
      </c>
      <c r="W17" s="106" t="s">
        <v>6532</v>
      </c>
      <c r="X17" s="105" t="s">
        <v>6531</v>
      </c>
      <c r="Y17" s="106" t="s">
        <v>6532</v>
      </c>
    </row>
    <row r="18" spans="1:25" ht="10.5" customHeight="1" x14ac:dyDescent="0.2">
      <c r="A18" s="107" t="s">
        <v>85</v>
      </c>
      <c r="B18" s="103">
        <v>247707.58999999994</v>
      </c>
      <c r="C18" s="113">
        <v>0.53616361471861462</v>
      </c>
      <c r="D18" s="115">
        <v>225673.34000000003</v>
      </c>
      <c r="E18" s="113">
        <v>0.68422974886377774</v>
      </c>
      <c r="F18" s="115">
        <v>224083.84999999995</v>
      </c>
      <c r="G18" s="108">
        <v>0.56020962499999982</v>
      </c>
      <c r="H18" s="115">
        <v>201001.41999999998</v>
      </c>
      <c r="I18" s="108">
        <v>0.53600378666666659</v>
      </c>
      <c r="J18" s="115">
        <v>237696.73999999993</v>
      </c>
      <c r="K18" s="108">
        <v>0.59424184999999985</v>
      </c>
      <c r="L18" s="115">
        <v>245725.13399999996</v>
      </c>
      <c r="M18" s="108">
        <v>0.64664508947368415</v>
      </c>
      <c r="N18" s="115">
        <v>412123.99</v>
      </c>
      <c r="O18" s="108">
        <v>0.74256574774774775</v>
      </c>
      <c r="P18" s="115">
        <v>297974.93999999994</v>
      </c>
      <c r="Q18" s="108">
        <v>0.56757131428571417</v>
      </c>
      <c r="R18" s="115">
        <v>103455.4</v>
      </c>
      <c r="S18" s="108">
        <v>0.64659624999999998</v>
      </c>
      <c r="T18" s="115">
        <v>167457.88999999998</v>
      </c>
      <c r="U18" s="108">
        <v>0.64406880769230768</v>
      </c>
      <c r="V18" s="115">
        <v>130761.74999999999</v>
      </c>
      <c r="W18" s="108">
        <v>0.93401249999999991</v>
      </c>
      <c r="X18" s="115">
        <v>109935.93999999999</v>
      </c>
      <c r="Y18" s="108">
        <v>0.68709962499999988</v>
      </c>
    </row>
    <row r="19" spans="1:25" ht="10.5" customHeight="1" x14ac:dyDescent="0.2">
      <c r="A19" s="107" t="s">
        <v>43</v>
      </c>
      <c r="B19" s="103">
        <v>373354.41999999987</v>
      </c>
      <c r="C19" s="113">
        <v>1.0388790200956082</v>
      </c>
      <c r="D19" s="115">
        <v>206466.52</v>
      </c>
      <c r="E19" s="113">
        <v>0.83357834686519672</v>
      </c>
      <c r="F19" s="115">
        <v>267659.26</v>
      </c>
      <c r="G19" s="108">
        <v>0.8195699741261846</v>
      </c>
      <c r="H19" s="115">
        <v>365365.03999999992</v>
      </c>
      <c r="I19" s="108">
        <v>1.3960629855069138</v>
      </c>
      <c r="J19" s="115">
        <v>287903.66999999993</v>
      </c>
      <c r="K19" s="108">
        <v>1.1290339999999996</v>
      </c>
      <c r="L19" s="115">
        <v>395045.55000000005</v>
      </c>
      <c r="M19" s="108">
        <v>1.1792404477611942</v>
      </c>
      <c r="N19" s="115">
        <v>310397.69999999995</v>
      </c>
      <c r="O19" s="108">
        <v>0.86221583333333318</v>
      </c>
      <c r="P19" s="115">
        <v>294010.04999999993</v>
      </c>
      <c r="Q19" s="108">
        <v>0.90464630769230747</v>
      </c>
      <c r="R19" s="115">
        <v>286249.75</v>
      </c>
      <c r="S19" s="108">
        <v>1.2180840425531916</v>
      </c>
      <c r="T19" s="115">
        <v>243835.51000000004</v>
      </c>
      <c r="U19" s="108">
        <v>1.2191775500000002</v>
      </c>
      <c r="V19" s="115">
        <v>212584.99000000002</v>
      </c>
      <c r="W19" s="108">
        <v>1.1810277222222223</v>
      </c>
      <c r="X19" s="115">
        <v>232185.69</v>
      </c>
      <c r="Y19" s="108">
        <v>1.0553895</v>
      </c>
    </row>
    <row r="20" spans="1:25" ht="10.5" customHeight="1" x14ac:dyDescent="0.2">
      <c r="A20" s="107" t="s">
        <v>32</v>
      </c>
      <c r="B20" s="103">
        <v>126310.16000000002</v>
      </c>
      <c r="C20" s="113">
        <v>0.84445472535700927</v>
      </c>
      <c r="D20" s="115">
        <v>83208.39</v>
      </c>
      <c r="E20" s="113">
        <v>0.50865226853153689</v>
      </c>
      <c r="F20" s="115">
        <v>201106.47</v>
      </c>
      <c r="G20" s="108">
        <v>0.93650709459302139</v>
      </c>
      <c r="H20" s="115">
        <v>152802.38</v>
      </c>
      <c r="I20" s="108">
        <v>0.64473578059071734</v>
      </c>
      <c r="J20" s="115">
        <v>135026.93000000002</v>
      </c>
      <c r="K20" s="108">
        <v>1.1252244166666669</v>
      </c>
      <c r="L20" s="115">
        <v>171688.52999999997</v>
      </c>
      <c r="M20" s="108">
        <v>1.2717668888888887</v>
      </c>
      <c r="N20" s="115">
        <v>213660.63999999996</v>
      </c>
      <c r="O20" s="108">
        <v>0.90919421276595724</v>
      </c>
      <c r="P20" s="115">
        <v>159496.28000000003</v>
      </c>
      <c r="Q20" s="108">
        <v>0.8621420540540542</v>
      </c>
      <c r="R20" s="115">
        <v>90909.199999999983</v>
      </c>
      <c r="S20" s="108">
        <v>0.90909199999999979</v>
      </c>
      <c r="T20" s="115">
        <v>196333.80000000002</v>
      </c>
      <c r="U20" s="108">
        <v>0.89242636363636374</v>
      </c>
      <c r="V20" s="115">
        <v>190657.19999999998</v>
      </c>
      <c r="W20" s="108">
        <v>1.4122755555555555</v>
      </c>
      <c r="X20" s="115">
        <v>144089.03</v>
      </c>
      <c r="Y20" s="108">
        <v>0.90055643750000003</v>
      </c>
    </row>
    <row r="21" spans="1:25" ht="10.5" customHeight="1" x14ac:dyDescent="0.2">
      <c r="A21" s="107" t="s">
        <v>22</v>
      </c>
      <c r="B21" s="103">
        <v>1041963.0699999996</v>
      </c>
      <c r="C21" s="113">
        <v>0.79060937504742279</v>
      </c>
      <c r="D21" s="115">
        <v>603781.07999999973</v>
      </c>
      <c r="E21" s="113">
        <v>0.60868341623435118</v>
      </c>
      <c r="F21" s="115">
        <v>845262.41000000038</v>
      </c>
      <c r="G21" s="108">
        <v>0.56497608119227116</v>
      </c>
      <c r="H21" s="115">
        <v>953145.14999999979</v>
      </c>
      <c r="I21" s="108">
        <v>0.90027301604093191</v>
      </c>
      <c r="J21" s="115">
        <v>713716.5700000003</v>
      </c>
      <c r="K21" s="108">
        <v>1.1895276166666671</v>
      </c>
      <c r="L21" s="115">
        <v>1083323.0999999999</v>
      </c>
      <c r="M21" s="108">
        <v>1.2596780232558138</v>
      </c>
      <c r="N21" s="115">
        <v>900824.6999999996</v>
      </c>
      <c r="O21" s="108">
        <v>1.2173306756756752</v>
      </c>
      <c r="P21" s="115">
        <v>884762.25</v>
      </c>
      <c r="Q21" s="108">
        <v>1.1565519607843138</v>
      </c>
      <c r="R21" s="115">
        <v>1036103.7999999995</v>
      </c>
      <c r="S21" s="108">
        <v>1.5866826952526791</v>
      </c>
      <c r="T21" s="115">
        <v>787315.21</v>
      </c>
      <c r="U21" s="108">
        <v>1.1578164852941175</v>
      </c>
      <c r="V21" s="115">
        <v>657002.14999999991</v>
      </c>
      <c r="W21" s="108">
        <v>1.443960769230769</v>
      </c>
      <c r="X21" s="115">
        <v>429234.39999999997</v>
      </c>
      <c r="Y21" s="108">
        <v>1.0219866666666666</v>
      </c>
    </row>
    <row r="22" spans="1:25" ht="10.5" customHeight="1" x14ac:dyDescent="0.2">
      <c r="A22" s="107" t="s">
        <v>788</v>
      </c>
      <c r="B22" s="103">
        <v>111588.55999999997</v>
      </c>
      <c r="C22" s="113">
        <v>0.75397675675675657</v>
      </c>
      <c r="D22" s="115">
        <v>29195.100000000006</v>
      </c>
      <c r="E22" s="113">
        <v>0.38926800000000006</v>
      </c>
      <c r="F22" s="115">
        <v>110516.44000000002</v>
      </c>
      <c r="G22" s="108">
        <v>0.55816383838383843</v>
      </c>
      <c r="H22" s="115">
        <v>133012.79999999999</v>
      </c>
      <c r="I22" s="108">
        <v>0.84721528662420376</v>
      </c>
      <c r="J22" s="115">
        <v>37621.80000000001</v>
      </c>
      <c r="K22" s="108">
        <v>0.50162400000000018</v>
      </c>
      <c r="L22" s="115">
        <v>167398.59999999998</v>
      </c>
      <c r="M22" s="108">
        <v>0.85845435897435884</v>
      </c>
      <c r="N22" s="115">
        <v>161409.63999999998</v>
      </c>
      <c r="O22" s="108">
        <v>0.76861733333333326</v>
      </c>
      <c r="P22" s="115">
        <v>109806.17999999996</v>
      </c>
      <c r="Q22" s="108">
        <v>0.66549199999999975</v>
      </c>
      <c r="R22" s="115">
        <v>177072.56999999995</v>
      </c>
      <c r="S22" s="108">
        <v>1.1067035624999997</v>
      </c>
      <c r="T22" s="115">
        <v>169337.97000000003</v>
      </c>
      <c r="U22" s="108">
        <v>1.472504086956522</v>
      </c>
      <c r="V22" s="115">
        <v>83386.199999999983</v>
      </c>
      <c r="W22" s="108">
        <v>1.282864615384615</v>
      </c>
      <c r="X22" s="115">
        <v>134505.70000000001</v>
      </c>
      <c r="Y22" s="108">
        <v>1.3450570000000002</v>
      </c>
    </row>
    <row r="23" spans="1:25" ht="10.5" customHeight="1" x14ac:dyDescent="0.2">
      <c r="A23" s="107" t="s">
        <v>24</v>
      </c>
      <c r="B23" s="103">
        <v>113971.07999999999</v>
      </c>
      <c r="C23" s="113">
        <v>0.37990359999999995</v>
      </c>
      <c r="D23" s="115">
        <v>71233.890000000014</v>
      </c>
      <c r="E23" s="113">
        <v>0.50228026878953058</v>
      </c>
      <c r="F23" s="115">
        <v>153053.33000000002</v>
      </c>
      <c r="G23" s="108">
        <v>0.58730455904191436</v>
      </c>
      <c r="H23" s="115">
        <v>283111.75999999995</v>
      </c>
      <c r="I23" s="108">
        <v>0.63193037670950036</v>
      </c>
      <c r="J23" s="115">
        <v>207829.48999999993</v>
      </c>
      <c r="K23" s="108">
        <v>0.49483211904761887</v>
      </c>
      <c r="L23" s="115">
        <v>275105.08</v>
      </c>
      <c r="M23" s="108">
        <v>0.82120919402985082</v>
      </c>
      <c r="N23" s="115">
        <v>367102.4599999999</v>
      </c>
      <c r="O23" s="108">
        <v>0.65554010714285693</v>
      </c>
      <c r="P23" s="115">
        <v>560162.49000000011</v>
      </c>
      <c r="Q23" s="108">
        <v>0.74193707284768229</v>
      </c>
      <c r="R23" s="115">
        <v>383526.55</v>
      </c>
      <c r="S23" s="108">
        <v>1.0421917119565216</v>
      </c>
      <c r="T23" s="115">
        <v>497854.80999999994</v>
      </c>
      <c r="U23" s="108">
        <v>0.96670836893203871</v>
      </c>
      <c r="V23" s="115">
        <v>545505.66999999993</v>
      </c>
      <c r="W23" s="108">
        <v>1.0009278348623851</v>
      </c>
      <c r="X23" s="115">
        <v>375744.43</v>
      </c>
      <c r="Y23" s="108">
        <v>0.84436950561797752</v>
      </c>
    </row>
    <row r="24" spans="1:25" ht="10.5" customHeight="1" x14ac:dyDescent="0.2">
      <c r="A24" s="107" t="s">
        <v>190</v>
      </c>
      <c r="B24" s="103">
        <v>54674.570000000007</v>
      </c>
      <c r="C24" s="113">
        <v>0.4387866360630478</v>
      </c>
      <c r="D24" s="115">
        <v>30844.549999999996</v>
      </c>
      <c r="E24" s="113">
        <v>0.31678974179898522</v>
      </c>
      <c r="F24" s="115">
        <v>53552.380000000005</v>
      </c>
      <c r="G24" s="108">
        <v>0.35487949212407977</v>
      </c>
      <c r="H24" s="115">
        <v>82366.7</v>
      </c>
      <c r="I24" s="108">
        <v>0.77819695208941542</v>
      </c>
      <c r="J24" s="115">
        <v>53506.599999999991</v>
      </c>
      <c r="K24" s="108">
        <v>0.89177666666666655</v>
      </c>
      <c r="L24" s="115">
        <v>17917.52</v>
      </c>
      <c r="M24" s="108">
        <v>0.89587600000000001</v>
      </c>
      <c r="N24" s="117" t="s">
        <v>6533</v>
      </c>
      <c r="O24" s="118" t="s">
        <v>6533</v>
      </c>
      <c r="P24" s="119" t="s">
        <v>6533</v>
      </c>
      <c r="Q24" s="120" t="s">
        <v>6533</v>
      </c>
      <c r="R24" s="119" t="s">
        <v>6533</v>
      </c>
      <c r="S24" s="120" t="s">
        <v>6533</v>
      </c>
      <c r="T24" s="119" t="s">
        <v>6533</v>
      </c>
      <c r="U24" s="120" t="s">
        <v>6533</v>
      </c>
      <c r="V24" s="119" t="s">
        <v>6533</v>
      </c>
      <c r="W24" s="120" t="s">
        <v>6533</v>
      </c>
      <c r="X24" s="119" t="s">
        <v>6533</v>
      </c>
      <c r="Y24" s="120" t="s">
        <v>6533</v>
      </c>
    </row>
    <row r="25" spans="1:25" ht="10.5" customHeight="1" x14ac:dyDescent="0.2">
      <c r="A25" s="107" t="s">
        <v>174</v>
      </c>
      <c r="B25" s="103">
        <v>11076.4</v>
      </c>
      <c r="C25" s="113">
        <v>0.92303333333333326</v>
      </c>
      <c r="D25" s="115">
        <v>18760</v>
      </c>
      <c r="E25" s="113">
        <v>1.5633333333333332</v>
      </c>
      <c r="F25" s="115">
        <v>31776.419999999991</v>
      </c>
      <c r="G25" s="108">
        <v>0.42368559999999988</v>
      </c>
      <c r="H25" s="115">
        <v>47696.800000000003</v>
      </c>
      <c r="I25" s="108">
        <v>0.59621000000000002</v>
      </c>
      <c r="J25" s="115">
        <v>33022.599999999991</v>
      </c>
      <c r="K25" s="108">
        <v>0.55037666666666651</v>
      </c>
      <c r="L25" s="115">
        <v>11052.000000000009</v>
      </c>
      <c r="M25" s="108">
        <v>0.44208000000000036</v>
      </c>
      <c r="N25" s="115">
        <v>81532.420000000027</v>
      </c>
      <c r="O25" s="108">
        <v>0.65225936000000018</v>
      </c>
      <c r="P25" s="115">
        <v>93063.790000000008</v>
      </c>
      <c r="Q25" s="108">
        <v>0.53179308571428574</v>
      </c>
      <c r="R25" s="115">
        <v>48367.200000000004</v>
      </c>
      <c r="S25" s="108">
        <v>0.69096000000000002</v>
      </c>
      <c r="T25" s="115">
        <v>120671.57999999999</v>
      </c>
      <c r="U25" s="108">
        <v>1.2067157999999998</v>
      </c>
      <c r="V25" s="115">
        <v>28861.040000000001</v>
      </c>
      <c r="W25" s="108">
        <v>0.64135644444444451</v>
      </c>
      <c r="X25" s="119" t="s">
        <v>6533</v>
      </c>
      <c r="Y25" s="120" t="s">
        <v>6533</v>
      </c>
    </row>
    <row r="26" spans="1:25" ht="10.5" customHeight="1" x14ac:dyDescent="0.2">
      <c r="A26" s="107" t="s">
        <v>65</v>
      </c>
      <c r="B26" s="103">
        <v>41978.26</v>
      </c>
      <c r="C26" s="113">
        <v>0.53020259175992124</v>
      </c>
      <c r="D26" s="115">
        <v>102126.65999999999</v>
      </c>
      <c r="E26" s="113">
        <v>0.87080833574924532</v>
      </c>
      <c r="F26" s="115">
        <v>148394.54</v>
      </c>
      <c r="G26" s="108">
        <v>0.86917671176711775</v>
      </c>
      <c r="H26" s="115">
        <v>130101.18999999999</v>
      </c>
      <c r="I26" s="108">
        <v>0.94956747998335889</v>
      </c>
      <c r="J26" s="115">
        <v>105483.14000000001</v>
      </c>
      <c r="K26" s="108">
        <v>1.0046013333333335</v>
      </c>
      <c r="L26" s="115">
        <v>141956.35000000003</v>
      </c>
      <c r="M26" s="108">
        <v>1.0919719230769234</v>
      </c>
      <c r="N26" s="115">
        <v>150816.22999999998</v>
      </c>
      <c r="O26" s="108">
        <v>0.97300793548387088</v>
      </c>
      <c r="P26" s="115">
        <v>171199.53000000003</v>
      </c>
      <c r="Q26" s="108">
        <v>1.0699970625000002</v>
      </c>
      <c r="R26" s="115">
        <v>126279.41999999998</v>
      </c>
      <c r="S26" s="108">
        <v>0.87089255172413782</v>
      </c>
      <c r="T26" s="115">
        <v>129606.70999999998</v>
      </c>
      <c r="U26" s="108">
        <v>0.96004970370370357</v>
      </c>
      <c r="V26" s="115">
        <v>226918.74000000002</v>
      </c>
      <c r="W26" s="108">
        <v>1.7455287692307693</v>
      </c>
      <c r="X26" s="115">
        <v>64452.63</v>
      </c>
      <c r="Y26" s="108">
        <v>0.92075185714285712</v>
      </c>
    </row>
    <row r="27" spans="1:25" ht="10.5" customHeight="1" thickBot="1" x14ac:dyDescent="0.25">
      <c r="A27" s="109" t="s">
        <v>2667</v>
      </c>
      <c r="B27" s="110">
        <v>2122624.1099999994</v>
      </c>
      <c r="C27" s="114">
        <v>0.71888538131718549</v>
      </c>
      <c r="D27" s="116">
        <v>1371289.5299999998</v>
      </c>
      <c r="E27" s="114">
        <v>0.63004198474159245</v>
      </c>
      <c r="F27" s="116">
        <v>2035405.1</v>
      </c>
      <c r="G27" s="111">
        <v>0.61816343296387544</v>
      </c>
      <c r="H27" s="116">
        <v>2348603.2399999998</v>
      </c>
      <c r="I27" s="111">
        <v>0.82110237894210569</v>
      </c>
      <c r="J27" s="116">
        <v>1811807.5400000005</v>
      </c>
      <c r="K27" s="111">
        <v>0.86482460143198159</v>
      </c>
      <c r="L27" s="116">
        <v>2509211.8640000001</v>
      </c>
      <c r="M27" s="111">
        <v>1.0390111238095241</v>
      </c>
      <c r="N27" s="116">
        <v>2597867.7799999989</v>
      </c>
      <c r="O27" s="111">
        <v>0.88362849659863951</v>
      </c>
      <c r="P27" s="116">
        <v>2570475.5099999998</v>
      </c>
      <c r="Q27" s="111">
        <v>0.84139951227495902</v>
      </c>
      <c r="R27" s="116">
        <v>2251963.8899999992</v>
      </c>
      <c r="S27" s="111">
        <v>1.1908851877313593</v>
      </c>
      <c r="T27" s="116">
        <v>2312413.48</v>
      </c>
      <c r="U27" s="111">
        <v>1.0392869573033705</v>
      </c>
      <c r="V27" s="116">
        <v>2075677.7399999998</v>
      </c>
      <c r="W27" s="111">
        <v>1.2245886371681414</v>
      </c>
      <c r="X27" s="116">
        <v>1490147.8199999998</v>
      </c>
      <c r="Y27" s="111">
        <v>0.9461255999999999</v>
      </c>
    </row>
  </sheetData>
  <mergeCells count="12">
    <mergeCell ref="X16:Y16"/>
    <mergeCell ref="B16:C16"/>
    <mergeCell ref="D16:E16"/>
    <mergeCell ref="F16:G16"/>
    <mergeCell ref="H16:I16"/>
    <mergeCell ref="J16:K16"/>
    <mergeCell ref="L16:M16"/>
    <mergeCell ref="N16:O16"/>
    <mergeCell ref="P16:Q16"/>
    <mergeCell ref="R16:S16"/>
    <mergeCell ref="T16:U16"/>
    <mergeCell ref="V16:W16"/>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5A45F-260C-BF41-92CD-270820E68BDD}">
  <dimension ref="A1:BT819"/>
  <sheetViews>
    <sheetView zoomScaleNormal="100" workbookViewId="0">
      <selection activeCell="B14" sqref="B14"/>
    </sheetView>
  </sheetViews>
  <sheetFormatPr baseColWidth="10" defaultColWidth="9" defaultRowHeight="15" x14ac:dyDescent="0.25"/>
  <cols>
    <col min="1" max="1" width="31.85546875" bestFit="1" customWidth="1"/>
    <col min="2" max="2" width="20.42578125" style="3" bestFit="1" customWidth="1"/>
    <col min="3" max="3" width="11.5703125" style="1" bestFit="1" customWidth="1"/>
    <col min="4" max="4" width="7" style="2" bestFit="1" customWidth="1"/>
    <col min="5" max="5" width="10.42578125" style="9" bestFit="1" customWidth="1"/>
    <col min="6" max="6" width="16.28515625" bestFit="1" customWidth="1"/>
    <col min="7" max="12" width="9" style="56"/>
    <col min="13" max="13" width="12" style="56" bestFit="1" customWidth="1"/>
    <col min="14" max="14" width="9" style="56"/>
    <col min="15" max="15" width="11.5703125" style="56" bestFit="1" customWidth="1"/>
    <col min="16" max="16" width="9" style="56"/>
    <col min="17" max="17" width="10.42578125" style="56" bestFit="1" customWidth="1"/>
    <col min="18" max="18" width="4.42578125" style="56" customWidth="1"/>
    <col min="19" max="19" width="13.28515625" style="56" bestFit="1" customWidth="1"/>
    <col min="20" max="20" width="10.5703125" style="56" bestFit="1" customWidth="1"/>
    <col min="21" max="21" width="12.5703125" style="56" bestFit="1" customWidth="1"/>
    <col min="22" max="22" width="9" style="56"/>
    <col min="23" max="23" width="10.42578125" style="56" bestFit="1" customWidth="1"/>
    <col min="24" max="72" width="9" style="56"/>
  </cols>
  <sheetData>
    <row r="1" spans="1:23" x14ac:dyDescent="0.25">
      <c r="A1" s="4" t="s">
        <v>2540</v>
      </c>
      <c r="B1" s="5">
        <v>2022</v>
      </c>
      <c r="C1"/>
      <c r="D1"/>
      <c r="E1"/>
    </row>
    <row r="2" spans="1:23" x14ac:dyDescent="0.25">
      <c r="A2" s="4" t="s">
        <v>2539</v>
      </c>
      <c r="B2" s="5">
        <v>6</v>
      </c>
      <c r="C2"/>
      <c r="D2"/>
      <c r="E2"/>
      <c r="M2" s="73" t="s">
        <v>4552</v>
      </c>
      <c r="N2" s="74" t="s">
        <v>68</v>
      </c>
      <c r="O2" s="75" t="s">
        <v>69</v>
      </c>
      <c r="P2" s="76" t="s">
        <v>70</v>
      </c>
      <c r="Q2" s="77" t="s">
        <v>73</v>
      </c>
      <c r="R2" s="71"/>
      <c r="S2" s="73" t="s">
        <v>4553</v>
      </c>
      <c r="T2" s="74" t="s">
        <v>68</v>
      </c>
      <c r="U2" s="75" t="s">
        <v>69</v>
      </c>
      <c r="V2" s="76" t="s">
        <v>70</v>
      </c>
      <c r="W2" s="77" t="s">
        <v>73</v>
      </c>
    </row>
    <row r="3" spans="1:23" x14ac:dyDescent="0.25">
      <c r="A3" s="4" t="s">
        <v>2</v>
      </c>
      <c r="B3" t="s">
        <v>2668</v>
      </c>
      <c r="C3"/>
      <c r="D3"/>
      <c r="E3"/>
      <c r="M3" s="78" t="s">
        <v>132</v>
      </c>
      <c r="N3" s="79">
        <v>249506.14999999994</v>
      </c>
      <c r="O3" s="80">
        <v>6300000</v>
      </c>
      <c r="P3" s="81">
        <v>25.249878610206608</v>
      </c>
      <c r="Q3" s="79">
        <v>64.555555555555557</v>
      </c>
      <c r="R3" s="70"/>
      <c r="S3" s="90" t="s">
        <v>132</v>
      </c>
      <c r="T3" s="87">
        <v>551980.1599999998</v>
      </c>
      <c r="U3" s="88">
        <v>13300000</v>
      </c>
      <c r="V3" s="89">
        <v>24.095068924216417</v>
      </c>
      <c r="W3" s="87">
        <v>60.736842105263158</v>
      </c>
    </row>
    <row r="4" spans="1:23" x14ac:dyDescent="0.25">
      <c r="A4" s="4" t="s">
        <v>10</v>
      </c>
      <c r="B4" t="s">
        <v>2769</v>
      </c>
      <c r="C4"/>
      <c r="D4"/>
      <c r="E4"/>
      <c r="M4" s="78" t="s">
        <v>173</v>
      </c>
      <c r="N4" s="82">
        <v>29686.39999999998</v>
      </c>
      <c r="O4" s="83">
        <v>311223.99999999988</v>
      </c>
      <c r="P4" s="84">
        <v>10.48372318637491</v>
      </c>
      <c r="Q4" s="82">
        <v>100</v>
      </c>
      <c r="R4" s="70"/>
      <c r="S4" s="85" t="s">
        <v>2140</v>
      </c>
      <c r="T4" s="82">
        <v>677.62</v>
      </c>
      <c r="U4" s="83">
        <v>68075</v>
      </c>
      <c r="V4" s="84">
        <v>100.46191080546619</v>
      </c>
      <c r="W4" s="82">
        <v>8</v>
      </c>
    </row>
    <row r="5" spans="1:23" x14ac:dyDescent="0.25">
      <c r="B5"/>
      <c r="C5"/>
      <c r="D5"/>
      <c r="E5"/>
      <c r="M5" s="78" t="s">
        <v>170</v>
      </c>
      <c r="N5" s="82">
        <v>31145.19999999999</v>
      </c>
      <c r="O5" s="83">
        <v>460000</v>
      </c>
      <c r="P5" s="84">
        <v>14.769531099495271</v>
      </c>
      <c r="Q5" s="82">
        <v>79.5</v>
      </c>
      <c r="R5" s="70"/>
      <c r="S5" s="78" t="s">
        <v>173</v>
      </c>
      <c r="T5" s="82">
        <v>407778.34</v>
      </c>
      <c r="U5" s="83">
        <v>4863176</v>
      </c>
      <c r="V5" s="84">
        <v>11.926028243677679</v>
      </c>
      <c r="W5" s="82">
        <v>77.724999999999994</v>
      </c>
    </row>
    <row r="6" spans="1:23" x14ac:dyDescent="0.25">
      <c r="A6" s="4" t="s">
        <v>2666</v>
      </c>
      <c r="B6" s="7" t="s">
        <v>68</v>
      </c>
      <c r="C6" s="6" t="s">
        <v>69</v>
      </c>
      <c r="D6" s="8" t="s">
        <v>70</v>
      </c>
      <c r="E6" t="s">
        <v>73</v>
      </c>
      <c r="F6" t="s">
        <v>3513</v>
      </c>
      <c r="M6" s="78" t="s">
        <v>39</v>
      </c>
      <c r="N6" s="82">
        <v>38145.939999999988</v>
      </c>
      <c r="O6" s="83">
        <v>389377</v>
      </c>
      <c r="P6" s="84">
        <v>10.207560752205874</v>
      </c>
      <c r="Q6" s="82">
        <v>100</v>
      </c>
      <c r="R6" s="70"/>
      <c r="S6" s="85" t="s">
        <v>182</v>
      </c>
      <c r="T6" s="82">
        <v>3654</v>
      </c>
      <c r="U6" s="83">
        <v>55000</v>
      </c>
      <c r="V6" s="84">
        <v>15.0519978106185</v>
      </c>
      <c r="W6" s="82">
        <v>73</v>
      </c>
    </row>
    <row r="7" spans="1:23" s="56" customFormat="1" x14ac:dyDescent="0.25">
      <c r="A7" s="5" t="s">
        <v>5864</v>
      </c>
      <c r="B7" s="7">
        <v>33654.070000000007</v>
      </c>
      <c r="C7" s="6">
        <v>1360000</v>
      </c>
      <c r="D7" s="8">
        <v>40.4111597794858</v>
      </c>
      <c r="E7" s="7">
        <v>79</v>
      </c>
      <c r="F7" s="7">
        <v>0.84135175000000018</v>
      </c>
      <c r="M7" s="85" t="s">
        <v>195</v>
      </c>
      <c r="N7" s="82">
        <v>10106</v>
      </c>
      <c r="O7" s="83">
        <v>350000</v>
      </c>
      <c r="P7" s="84">
        <v>34.632891351672271</v>
      </c>
      <c r="Q7" s="82">
        <v>40</v>
      </c>
      <c r="R7" s="70"/>
      <c r="S7" s="85" t="s">
        <v>34</v>
      </c>
      <c r="T7" s="82">
        <v>18354</v>
      </c>
      <c r="U7" s="83">
        <v>198936</v>
      </c>
      <c r="V7" s="84">
        <v>10.83883622098725</v>
      </c>
      <c r="W7" s="82">
        <v>97.5</v>
      </c>
    </row>
    <row r="8" spans="1:23" s="56" customFormat="1" x14ac:dyDescent="0.25">
      <c r="A8" s="92" t="s">
        <v>910</v>
      </c>
      <c r="B8" s="7">
        <v>11699.68</v>
      </c>
      <c r="C8" s="6">
        <v>260000</v>
      </c>
      <c r="D8" s="8">
        <v>22.222830026120374</v>
      </c>
      <c r="E8" s="7">
        <v>58</v>
      </c>
      <c r="F8" s="7">
        <v>0.58498400000000006</v>
      </c>
      <c r="M8" s="78" t="s">
        <v>134</v>
      </c>
      <c r="N8" s="82">
        <v>12756.8</v>
      </c>
      <c r="O8" s="83">
        <v>134322</v>
      </c>
      <c r="P8" s="84">
        <v>10.529443120531795</v>
      </c>
      <c r="Q8" s="82">
        <v>100</v>
      </c>
      <c r="R8" s="70"/>
      <c r="S8" s="90" t="s">
        <v>170</v>
      </c>
      <c r="T8" s="82">
        <v>391009.37999999995</v>
      </c>
      <c r="U8" s="83">
        <v>6621186.5600000005</v>
      </c>
      <c r="V8" s="84">
        <v>16.933574739306771</v>
      </c>
      <c r="W8" s="82">
        <v>57.103448275862071</v>
      </c>
    </row>
    <row r="9" spans="1:23" s="56" customFormat="1" x14ac:dyDescent="0.25">
      <c r="A9" s="93" t="s">
        <v>5867</v>
      </c>
      <c r="B9" s="7">
        <v>11699.68</v>
      </c>
      <c r="C9" s="6">
        <v>260000</v>
      </c>
      <c r="D9" s="8">
        <v>22.222830026120374</v>
      </c>
      <c r="E9" s="7">
        <v>58</v>
      </c>
      <c r="F9" s="7">
        <v>0.58498400000000006</v>
      </c>
      <c r="M9" s="86"/>
      <c r="N9" s="74">
        <v>371346.48999999993</v>
      </c>
      <c r="O9" s="75">
        <v>7944923</v>
      </c>
      <c r="P9" s="76">
        <v>21.394905334907033</v>
      </c>
      <c r="Q9" s="74">
        <v>73.607142857142861</v>
      </c>
      <c r="R9" s="72"/>
      <c r="S9" s="78" t="s">
        <v>39</v>
      </c>
      <c r="T9" s="82">
        <v>1708739.9500000004</v>
      </c>
      <c r="U9" s="83">
        <v>19761946.359999999</v>
      </c>
      <c r="V9" s="84">
        <v>11.56521585393962</v>
      </c>
      <c r="W9" s="82">
        <v>90.615763546798036</v>
      </c>
    </row>
    <row r="10" spans="1:23" s="56" customFormat="1" x14ac:dyDescent="0.25">
      <c r="A10" s="92" t="s">
        <v>691</v>
      </c>
      <c r="B10" s="7">
        <v>21954.39000000001</v>
      </c>
      <c r="C10" s="6">
        <v>1100000</v>
      </c>
      <c r="D10" s="8">
        <v>50.103874441512588</v>
      </c>
      <c r="E10" s="7">
        <v>100</v>
      </c>
      <c r="F10" s="7">
        <v>1.0977195000000006</v>
      </c>
      <c r="S10" s="78" t="s">
        <v>134</v>
      </c>
      <c r="T10" s="82">
        <v>964641.68999999925</v>
      </c>
      <c r="U10" s="83">
        <v>10824210.74</v>
      </c>
      <c r="V10" s="84">
        <v>11.220965102596809</v>
      </c>
      <c r="W10" s="82">
        <v>94.929078014184398</v>
      </c>
    </row>
    <row r="11" spans="1:23" s="56" customFormat="1" x14ac:dyDescent="0.25">
      <c r="A11" s="93" t="s">
        <v>5866</v>
      </c>
      <c r="B11" s="7">
        <v>21954.39000000001</v>
      </c>
      <c r="C11" s="6">
        <v>1100000</v>
      </c>
      <c r="D11" s="8">
        <v>50.103874441512588</v>
      </c>
      <c r="E11" s="7">
        <v>100</v>
      </c>
      <c r="F11" s="7">
        <v>1.0977195000000006</v>
      </c>
      <c r="S11" s="85" t="s">
        <v>129</v>
      </c>
      <c r="T11" s="82">
        <v>194583.1</v>
      </c>
      <c r="U11" s="83">
        <v>2226322.2000000002</v>
      </c>
      <c r="V11" s="84">
        <v>11.441498259612475</v>
      </c>
      <c r="W11" s="82">
        <v>94.230769230769226</v>
      </c>
    </row>
    <row r="12" spans="1:23" s="56" customFormat="1" x14ac:dyDescent="0.25">
      <c r="A12" s="5" t="s">
        <v>5877</v>
      </c>
      <c r="B12" s="7">
        <v>11154</v>
      </c>
      <c r="C12" s="6">
        <v>260000</v>
      </c>
      <c r="D12" s="8">
        <v>23.310023310023311</v>
      </c>
      <c r="E12" s="7">
        <v>56</v>
      </c>
      <c r="F12" s="7">
        <v>0.55769999999999997</v>
      </c>
      <c r="S12" s="85" t="s">
        <v>66</v>
      </c>
      <c r="T12" s="82">
        <v>23931.19999999999</v>
      </c>
      <c r="U12" s="83">
        <v>380000</v>
      </c>
      <c r="V12" s="84">
        <v>15.878852711105175</v>
      </c>
      <c r="W12" s="82">
        <v>100</v>
      </c>
    </row>
    <row r="13" spans="1:23" s="56" customFormat="1" x14ac:dyDescent="0.25">
      <c r="A13" s="92" t="s">
        <v>2066</v>
      </c>
      <c r="B13" s="7">
        <v>11154</v>
      </c>
      <c r="C13" s="6">
        <v>260000</v>
      </c>
      <c r="D13" s="8">
        <v>23.310023310023311</v>
      </c>
      <c r="E13" s="7">
        <v>56</v>
      </c>
      <c r="F13" s="7">
        <v>0.55769999999999997</v>
      </c>
      <c r="S13" s="85" t="s">
        <v>1784</v>
      </c>
      <c r="T13" s="82">
        <v>57573.599999999991</v>
      </c>
      <c r="U13" s="83">
        <v>783567.8</v>
      </c>
      <c r="V13" s="84">
        <v>13.609845484736063</v>
      </c>
      <c r="W13" s="82">
        <v>73.142857142857139</v>
      </c>
    </row>
    <row r="14" spans="1:23" s="56" customFormat="1" x14ac:dyDescent="0.25">
      <c r="A14" s="93" t="s">
        <v>5880</v>
      </c>
      <c r="B14" s="7">
        <v>11154</v>
      </c>
      <c r="C14" s="6">
        <v>260000</v>
      </c>
      <c r="D14" s="8">
        <v>23.310023310023311</v>
      </c>
      <c r="E14" s="7">
        <v>56</v>
      </c>
      <c r="F14" s="7">
        <v>0.55769999999999997</v>
      </c>
      <c r="S14" s="86"/>
      <c r="T14" s="74">
        <v>4322923.0400000056</v>
      </c>
      <c r="U14" s="75">
        <v>59082420.660000004</v>
      </c>
      <c r="V14" s="76">
        <v>13.667238605293313</v>
      </c>
      <c r="W14" s="74">
        <v>86.280163599182004</v>
      </c>
    </row>
    <row r="15" spans="1:23" s="56" customFormat="1" x14ac:dyDescent="0.25">
      <c r="A15" s="5" t="s">
        <v>5900</v>
      </c>
      <c r="B15" s="7">
        <v>10222.48</v>
      </c>
      <c r="C15" s="6">
        <v>700000</v>
      </c>
      <c r="D15" s="8">
        <v>68.476534070010416</v>
      </c>
      <c r="E15" s="7">
        <v>51</v>
      </c>
      <c r="F15" s="7">
        <v>0.51112400000000002</v>
      </c>
    </row>
    <row r="16" spans="1:23" s="56" customFormat="1" x14ac:dyDescent="0.25">
      <c r="A16" s="94" t="s">
        <v>92</v>
      </c>
      <c r="B16" s="95">
        <v>10222.48</v>
      </c>
      <c r="C16" s="96">
        <v>700000</v>
      </c>
      <c r="D16" s="97">
        <v>68.476534070010416</v>
      </c>
      <c r="E16" s="95">
        <v>51</v>
      </c>
      <c r="F16" s="95">
        <v>0.51112400000000002</v>
      </c>
      <c r="S16" s="91" t="s">
        <v>4554</v>
      </c>
    </row>
    <row r="17" spans="1:19" s="56" customFormat="1" x14ac:dyDescent="0.25">
      <c r="A17" s="93" t="s">
        <v>5906</v>
      </c>
      <c r="B17" s="7">
        <v>10222.48</v>
      </c>
      <c r="C17" s="6">
        <v>700000</v>
      </c>
      <c r="D17" s="8">
        <v>68.476534070010416</v>
      </c>
      <c r="E17" s="7">
        <v>51</v>
      </c>
      <c r="F17" s="7">
        <v>0.51112400000000002</v>
      </c>
      <c r="S17" s="91" t="s">
        <v>4555</v>
      </c>
    </row>
    <row r="18" spans="1:19" s="56" customFormat="1" x14ac:dyDescent="0.25">
      <c r="A18" s="5" t="s">
        <v>5907</v>
      </c>
      <c r="B18" s="7">
        <v>7872.560000000004</v>
      </c>
      <c r="C18" s="6">
        <v>530000</v>
      </c>
      <c r="D18" s="8">
        <v>67.322446573922548</v>
      </c>
      <c r="E18" s="7">
        <v>68</v>
      </c>
      <c r="F18" s="7">
        <v>0.56232571428571454</v>
      </c>
    </row>
    <row r="19" spans="1:19" s="56" customFormat="1" x14ac:dyDescent="0.25">
      <c r="A19" s="92" t="s">
        <v>3139</v>
      </c>
      <c r="B19" s="7">
        <v>7872.560000000004</v>
      </c>
      <c r="C19" s="6">
        <v>530000</v>
      </c>
      <c r="D19" s="8">
        <v>67.322446573922548</v>
      </c>
      <c r="E19" s="7">
        <v>68</v>
      </c>
      <c r="F19" s="7">
        <v>0.56232571428571454</v>
      </c>
    </row>
    <row r="20" spans="1:19" s="56" customFormat="1" x14ac:dyDescent="0.25">
      <c r="A20" s="93" t="s">
        <v>5913</v>
      </c>
      <c r="B20" s="7">
        <v>7872.560000000004</v>
      </c>
      <c r="C20" s="6">
        <v>530000</v>
      </c>
      <c r="D20" s="8">
        <v>67.322446573922548</v>
      </c>
      <c r="E20" s="7">
        <v>68</v>
      </c>
      <c r="F20" s="7">
        <v>0.56232571428571454</v>
      </c>
      <c r="H20" s="57"/>
    </row>
    <row r="21" spans="1:19" s="56" customFormat="1" x14ac:dyDescent="0.25">
      <c r="A21" s="5" t="s">
        <v>5916</v>
      </c>
      <c r="B21" s="7">
        <v>8282.4</v>
      </c>
      <c r="C21" s="6">
        <v>280000</v>
      </c>
      <c r="D21" s="8">
        <v>33.806626098715348</v>
      </c>
      <c r="E21" s="7">
        <v>41</v>
      </c>
      <c r="F21" s="7">
        <v>0.41411999999999999</v>
      </c>
    </row>
    <row r="22" spans="1:19" s="56" customFormat="1" x14ac:dyDescent="0.25">
      <c r="A22" s="92" t="s">
        <v>876</v>
      </c>
      <c r="B22" s="7">
        <v>8282.4</v>
      </c>
      <c r="C22" s="6">
        <v>280000</v>
      </c>
      <c r="D22" s="8">
        <v>33.806626098715348</v>
      </c>
      <c r="E22" s="7">
        <v>41</v>
      </c>
      <c r="F22" s="7">
        <v>0.41411999999999999</v>
      </c>
    </row>
    <row r="23" spans="1:19" s="56" customFormat="1" x14ac:dyDescent="0.25">
      <c r="A23" s="93" t="s">
        <v>5919</v>
      </c>
      <c r="B23" s="7">
        <v>8282.4</v>
      </c>
      <c r="C23" s="6">
        <v>280000</v>
      </c>
      <c r="D23" s="8">
        <v>33.806626098715348</v>
      </c>
      <c r="E23" s="7">
        <v>41</v>
      </c>
      <c r="F23" s="7">
        <v>0.41411999999999999</v>
      </c>
    </row>
    <row r="24" spans="1:19" s="56" customFormat="1" x14ac:dyDescent="0.25">
      <c r="A24" s="5" t="s">
        <v>5926</v>
      </c>
      <c r="B24" s="7">
        <v>39050.25</v>
      </c>
      <c r="C24" s="6">
        <v>500000</v>
      </c>
      <c r="D24" s="8">
        <v>12.804015339210377</v>
      </c>
      <c r="E24" s="7">
        <v>95.5</v>
      </c>
      <c r="F24" s="7">
        <v>0.97625625000000005</v>
      </c>
    </row>
    <row r="25" spans="1:19" s="56" customFormat="1" x14ac:dyDescent="0.25">
      <c r="A25" s="92" t="s">
        <v>170</v>
      </c>
      <c r="B25" s="7">
        <v>39050.25</v>
      </c>
      <c r="C25" s="6">
        <v>500000</v>
      </c>
      <c r="D25" s="8">
        <v>12.804015339210377</v>
      </c>
      <c r="E25" s="7">
        <v>95.5</v>
      </c>
      <c r="F25" s="7">
        <v>0.97625625000000005</v>
      </c>
    </row>
    <row r="26" spans="1:19" s="56" customFormat="1" x14ac:dyDescent="0.25">
      <c r="A26" s="93" t="s">
        <v>5929</v>
      </c>
      <c r="B26" s="7">
        <v>20855.849999999999</v>
      </c>
      <c r="C26" s="6">
        <v>250000</v>
      </c>
      <c r="D26" s="8">
        <v>11.987044402409877</v>
      </c>
      <c r="E26" s="7">
        <v>100</v>
      </c>
      <c r="F26" s="7">
        <v>1.0427925</v>
      </c>
    </row>
    <row r="27" spans="1:19" s="56" customFormat="1" x14ac:dyDescent="0.25">
      <c r="A27" s="93" t="s">
        <v>5930</v>
      </c>
      <c r="B27" s="7">
        <v>18194.400000000001</v>
      </c>
      <c r="C27" s="6">
        <v>250000</v>
      </c>
      <c r="D27" s="8">
        <v>13.74049157982676</v>
      </c>
      <c r="E27" s="7">
        <v>91</v>
      </c>
      <c r="F27" s="7">
        <v>0.90972000000000008</v>
      </c>
    </row>
    <row r="28" spans="1:19" s="56" customFormat="1" x14ac:dyDescent="0.25">
      <c r="A28" s="5" t="s">
        <v>5939</v>
      </c>
      <c r="B28" s="7">
        <v>10800.61</v>
      </c>
      <c r="C28" s="6">
        <v>350000</v>
      </c>
      <c r="D28" s="8">
        <v>32.405577092404961</v>
      </c>
      <c r="E28" s="7">
        <v>65</v>
      </c>
      <c r="F28" s="7">
        <v>0.54003050000000008</v>
      </c>
    </row>
    <row r="29" spans="1:19" s="56" customFormat="1" x14ac:dyDescent="0.25">
      <c r="A29" s="92" t="s">
        <v>876</v>
      </c>
      <c r="B29" s="7">
        <v>10800.61</v>
      </c>
      <c r="C29" s="6">
        <v>350000</v>
      </c>
      <c r="D29" s="8">
        <v>32.405577092404961</v>
      </c>
      <c r="E29" s="7">
        <v>65</v>
      </c>
      <c r="F29" s="7">
        <v>0.54003050000000008</v>
      </c>
    </row>
    <row r="30" spans="1:19" s="56" customFormat="1" x14ac:dyDescent="0.25">
      <c r="A30" s="93" t="s">
        <v>5951</v>
      </c>
      <c r="B30" s="7">
        <v>10800.61</v>
      </c>
      <c r="C30" s="6">
        <v>350000</v>
      </c>
      <c r="D30" s="8">
        <v>32.405577092404961</v>
      </c>
      <c r="E30" s="7">
        <v>65</v>
      </c>
      <c r="F30" s="7">
        <v>0.54003050000000008</v>
      </c>
    </row>
    <row r="31" spans="1:19" s="56" customFormat="1" x14ac:dyDescent="0.25">
      <c r="A31" s="5" t="s">
        <v>5952</v>
      </c>
      <c r="B31" s="7">
        <v>6528.5999999999976</v>
      </c>
      <c r="C31" s="6">
        <v>530000</v>
      </c>
      <c r="D31" s="8">
        <v>81.181263976962924</v>
      </c>
      <c r="E31" s="7">
        <v>33</v>
      </c>
      <c r="F31" s="7">
        <v>0.32642999999999989</v>
      </c>
    </row>
    <row r="32" spans="1:19" s="56" customFormat="1" x14ac:dyDescent="0.25">
      <c r="A32" s="92" t="s">
        <v>5958</v>
      </c>
      <c r="B32" s="7">
        <v>6528.5999999999976</v>
      </c>
      <c r="C32" s="6">
        <v>530000</v>
      </c>
      <c r="D32" s="8">
        <v>81.181263976962924</v>
      </c>
      <c r="E32" s="7">
        <v>33</v>
      </c>
      <c r="F32" s="7">
        <v>0.32642999999999989</v>
      </c>
    </row>
    <row r="33" spans="1:72" s="56" customFormat="1" x14ac:dyDescent="0.25">
      <c r="A33" s="93" t="s">
        <v>5959</v>
      </c>
      <c r="B33" s="7">
        <v>6528.5999999999976</v>
      </c>
      <c r="C33" s="6">
        <v>530000</v>
      </c>
      <c r="D33" s="8">
        <v>81.181263976962924</v>
      </c>
      <c r="E33" s="7">
        <v>33</v>
      </c>
      <c r="F33" s="7">
        <v>0.32642999999999989</v>
      </c>
    </row>
    <row r="34" spans="1:72" s="56" customFormat="1" x14ac:dyDescent="0.25">
      <c r="A34" s="5" t="s">
        <v>5975</v>
      </c>
      <c r="B34" s="7">
        <v>6018.9600000000009</v>
      </c>
      <c r="C34" s="6">
        <v>250000</v>
      </c>
      <c r="D34" s="8">
        <v>41.535414756037582</v>
      </c>
      <c r="E34" s="7">
        <v>30</v>
      </c>
      <c r="F34" s="7">
        <v>0.30094800000000005</v>
      </c>
    </row>
    <row r="35" spans="1:72" s="56" customFormat="1" x14ac:dyDescent="0.25">
      <c r="A35" s="92" t="s">
        <v>170</v>
      </c>
      <c r="B35" s="7">
        <v>6018.9600000000009</v>
      </c>
      <c r="C35" s="6">
        <v>250000</v>
      </c>
      <c r="D35" s="8">
        <v>41.535414756037582</v>
      </c>
      <c r="E35" s="7">
        <v>30</v>
      </c>
      <c r="F35" s="7">
        <v>0.30094800000000005</v>
      </c>
    </row>
    <row r="36" spans="1:72" s="56" customFormat="1" x14ac:dyDescent="0.25">
      <c r="A36" s="93" t="s">
        <v>5982</v>
      </c>
      <c r="B36" s="7">
        <v>6018.9600000000009</v>
      </c>
      <c r="C36" s="6">
        <v>250000</v>
      </c>
      <c r="D36" s="8">
        <v>41.535414756037582</v>
      </c>
      <c r="E36" s="7">
        <v>30</v>
      </c>
      <c r="F36" s="7">
        <v>0.30094800000000005</v>
      </c>
    </row>
    <row r="37" spans="1:72" s="60" customFormat="1" x14ac:dyDescent="0.25">
      <c r="A37" s="5" t="s">
        <v>5988</v>
      </c>
      <c r="B37" s="7">
        <v>8181.6600000000026</v>
      </c>
      <c r="C37" s="6">
        <v>460000</v>
      </c>
      <c r="D37" s="8">
        <v>56.223309206200192</v>
      </c>
      <c r="E37" s="7">
        <v>41</v>
      </c>
      <c r="F37" s="7">
        <v>0.40908300000000014</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row>
    <row r="38" spans="1:72" s="60" customFormat="1" x14ac:dyDescent="0.25">
      <c r="A38" s="92" t="s">
        <v>815</v>
      </c>
      <c r="B38" s="7">
        <v>8181.6600000000026</v>
      </c>
      <c r="C38" s="6">
        <v>460000</v>
      </c>
      <c r="D38" s="8">
        <v>56.223309206200192</v>
      </c>
      <c r="E38" s="7">
        <v>41</v>
      </c>
      <c r="F38" s="7">
        <v>0.40908300000000014</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row>
    <row r="39" spans="1:72" s="60" customFormat="1" x14ac:dyDescent="0.25">
      <c r="A39" s="93" t="s">
        <v>5990</v>
      </c>
      <c r="B39" s="7">
        <v>8181.6600000000026</v>
      </c>
      <c r="C39" s="6">
        <v>460000</v>
      </c>
      <c r="D39" s="8">
        <v>56.223309206200192</v>
      </c>
      <c r="E39" s="7">
        <v>41</v>
      </c>
      <c r="F39" s="7">
        <v>0.40908300000000014</v>
      </c>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row>
    <row r="40" spans="1:72" s="60" customFormat="1" x14ac:dyDescent="0.25">
      <c r="A40" s="5" t="s">
        <v>6004</v>
      </c>
      <c r="B40" s="7">
        <v>6585.12</v>
      </c>
      <c r="C40" s="6">
        <v>350000</v>
      </c>
      <c r="D40" s="8">
        <v>53.150132419758485</v>
      </c>
      <c r="E40" s="7">
        <v>48</v>
      </c>
      <c r="F40" s="7">
        <v>0.32925599999999999</v>
      </c>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row>
    <row r="41" spans="1:72" s="60" customFormat="1" x14ac:dyDescent="0.25">
      <c r="A41" s="92" t="s">
        <v>876</v>
      </c>
      <c r="B41" s="7">
        <v>6585.12</v>
      </c>
      <c r="C41" s="6">
        <v>350000</v>
      </c>
      <c r="D41" s="8">
        <v>53.150132419758485</v>
      </c>
      <c r="E41" s="7">
        <v>48</v>
      </c>
      <c r="F41" s="7">
        <v>0.32925599999999999</v>
      </c>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row>
    <row r="42" spans="1:72" s="60" customFormat="1" x14ac:dyDescent="0.25">
      <c r="A42" s="93" t="s">
        <v>6013</v>
      </c>
      <c r="B42" s="7">
        <v>6585.12</v>
      </c>
      <c r="C42" s="6">
        <v>350000</v>
      </c>
      <c r="D42" s="8">
        <v>53.150132419758485</v>
      </c>
      <c r="E42" s="7">
        <v>48</v>
      </c>
      <c r="F42" s="7">
        <v>0.32925599999999999</v>
      </c>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row>
    <row r="43" spans="1:72" s="60" customFormat="1" x14ac:dyDescent="0.25">
      <c r="A43" s="5" t="s">
        <v>6014</v>
      </c>
      <c r="B43" s="7">
        <v>15474.840000000004</v>
      </c>
      <c r="C43" s="6">
        <v>1260000</v>
      </c>
      <c r="D43" s="8">
        <v>81.422489667098318</v>
      </c>
      <c r="E43" s="7">
        <v>39</v>
      </c>
      <c r="F43" s="7">
        <v>0.38687100000000008</v>
      </c>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row>
    <row r="44" spans="1:72" s="60" customFormat="1" x14ac:dyDescent="0.25">
      <c r="A44" s="92" t="s">
        <v>815</v>
      </c>
      <c r="B44" s="7">
        <v>8502</v>
      </c>
      <c r="C44" s="6">
        <v>460000</v>
      </c>
      <c r="D44" s="8">
        <v>54.104916490237592</v>
      </c>
      <c r="E44" s="7">
        <v>43</v>
      </c>
      <c r="F44" s="7">
        <v>0.42509999999999998</v>
      </c>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row>
    <row r="45" spans="1:72" s="60" customFormat="1" x14ac:dyDescent="0.25">
      <c r="A45" s="93" t="s">
        <v>6023</v>
      </c>
      <c r="B45" s="7">
        <v>8502</v>
      </c>
      <c r="C45" s="6">
        <v>460000</v>
      </c>
      <c r="D45" s="8">
        <v>54.104916490237592</v>
      </c>
      <c r="E45" s="7">
        <v>43</v>
      </c>
      <c r="F45" s="7">
        <v>0.42509999999999998</v>
      </c>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row>
    <row r="46" spans="1:72" s="60" customFormat="1" x14ac:dyDescent="0.25">
      <c r="A46" s="92" t="s">
        <v>3438</v>
      </c>
      <c r="B46" s="7">
        <v>6972.8400000000038</v>
      </c>
      <c r="C46" s="6">
        <v>800000</v>
      </c>
      <c r="D46" s="8">
        <v>114.73087006155305</v>
      </c>
      <c r="E46" s="7">
        <v>35</v>
      </c>
      <c r="F46" s="7">
        <v>0.34864200000000017</v>
      </c>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row>
    <row r="47" spans="1:72" s="60" customFormat="1" x14ac:dyDescent="0.25">
      <c r="A47" s="93" t="s">
        <v>6020</v>
      </c>
      <c r="B47" s="7">
        <v>6972.8400000000038</v>
      </c>
      <c r="C47" s="6">
        <v>800000</v>
      </c>
      <c r="D47" s="8">
        <v>114.73087006155305</v>
      </c>
      <c r="E47" s="7">
        <v>35</v>
      </c>
      <c r="F47" s="7">
        <v>0.34864200000000017</v>
      </c>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row>
    <row r="48" spans="1:72" s="56" customFormat="1" x14ac:dyDescent="0.25">
      <c r="A48" s="5" t="s">
        <v>6026</v>
      </c>
      <c r="B48" s="7">
        <v>16258.099999999999</v>
      </c>
      <c r="C48" s="6">
        <v>1120000</v>
      </c>
      <c r="D48" s="8">
        <v>68.888738536483359</v>
      </c>
      <c r="E48" s="7">
        <v>43</v>
      </c>
      <c r="F48" s="7">
        <v>0.40645249999999994</v>
      </c>
    </row>
    <row r="49" spans="1:72" s="60" customFormat="1" x14ac:dyDescent="0.25">
      <c r="A49" s="92" t="s">
        <v>2744</v>
      </c>
      <c r="B49" s="7">
        <v>8111.4</v>
      </c>
      <c r="C49" s="6">
        <v>420000</v>
      </c>
      <c r="D49" s="8">
        <v>51.778977735039575</v>
      </c>
      <c r="E49" s="7">
        <v>45</v>
      </c>
      <c r="F49" s="7">
        <v>0.40556999999999999</v>
      </c>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row>
    <row r="50" spans="1:72" s="60" customFormat="1" x14ac:dyDescent="0.25">
      <c r="A50" s="93" t="s">
        <v>6039</v>
      </c>
      <c r="B50" s="7">
        <v>8111.4</v>
      </c>
      <c r="C50" s="6">
        <v>420000</v>
      </c>
      <c r="D50" s="8">
        <v>51.778977735039575</v>
      </c>
      <c r="E50" s="7">
        <v>45</v>
      </c>
      <c r="F50" s="7">
        <v>0.40556999999999999</v>
      </c>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row>
    <row r="51" spans="1:72" s="60" customFormat="1" x14ac:dyDescent="0.25">
      <c r="A51" s="94" t="s">
        <v>92</v>
      </c>
      <c r="B51" s="95">
        <v>8146.6999999999989</v>
      </c>
      <c r="C51" s="96">
        <v>700000</v>
      </c>
      <c r="D51" s="97">
        <v>85.924362011612075</v>
      </c>
      <c r="E51" s="95">
        <v>41</v>
      </c>
      <c r="F51" s="95">
        <v>0.40733499999999995</v>
      </c>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row>
    <row r="52" spans="1:72" s="60" customFormat="1" x14ac:dyDescent="0.25">
      <c r="A52" s="93" t="s">
        <v>6037</v>
      </c>
      <c r="B52" s="7">
        <v>8146.6999999999989</v>
      </c>
      <c r="C52" s="6">
        <v>700000</v>
      </c>
      <c r="D52" s="8">
        <v>85.924362011612075</v>
      </c>
      <c r="E52" s="7">
        <v>41</v>
      </c>
      <c r="F52" s="7">
        <v>0.40733499999999995</v>
      </c>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row>
    <row r="53" spans="1:72" s="60" customFormat="1" x14ac:dyDescent="0.25">
      <c r="A53" s="5" t="s">
        <v>6040</v>
      </c>
      <c r="B53" s="7">
        <v>16144.3</v>
      </c>
      <c r="C53" s="6">
        <v>260000</v>
      </c>
      <c r="D53" s="8">
        <v>16.104755238691055</v>
      </c>
      <c r="E53" s="7">
        <v>81</v>
      </c>
      <c r="F53" s="7">
        <v>0.80721500000000002</v>
      </c>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row>
    <row r="54" spans="1:72" s="60" customFormat="1" x14ac:dyDescent="0.25">
      <c r="A54" s="92" t="s">
        <v>910</v>
      </c>
      <c r="B54" s="7">
        <v>16144.3</v>
      </c>
      <c r="C54" s="6">
        <v>260000</v>
      </c>
      <c r="D54" s="8">
        <v>16.104755238691055</v>
      </c>
      <c r="E54" s="7">
        <v>81</v>
      </c>
      <c r="F54" s="7">
        <v>0.80721500000000002</v>
      </c>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row>
    <row r="55" spans="1:72" s="60" customFormat="1" x14ac:dyDescent="0.25">
      <c r="A55" s="93" t="s">
        <v>6047</v>
      </c>
      <c r="B55" s="7">
        <v>16144.3</v>
      </c>
      <c r="C55" s="6">
        <v>260000</v>
      </c>
      <c r="D55" s="8">
        <v>16.104755238691055</v>
      </c>
      <c r="E55" s="7">
        <v>81</v>
      </c>
      <c r="F55" s="7">
        <v>0.80721500000000002</v>
      </c>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row>
    <row r="56" spans="1:72" s="60" customFormat="1" x14ac:dyDescent="0.25">
      <c r="A56" s="5" t="s">
        <v>2667</v>
      </c>
      <c r="B56" s="7">
        <v>196227.94999999998</v>
      </c>
      <c r="C56" s="6">
        <v>8210000</v>
      </c>
      <c r="D56" s="8">
        <v>41.839095806688093</v>
      </c>
      <c r="E56" s="7">
        <v>57.055555555555557</v>
      </c>
      <c r="F56" s="7">
        <v>0.55431624293785309</v>
      </c>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row>
    <row r="57" spans="1:72" s="60" customFormat="1" x14ac:dyDescent="0.25">
      <c r="A57"/>
      <c r="B57"/>
      <c r="C57"/>
      <c r="D57"/>
      <c r="E57"/>
      <c r="F57"/>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row>
    <row r="58" spans="1:72" s="60" customFormat="1" x14ac:dyDescent="0.25">
      <c r="A58"/>
      <c r="B58"/>
      <c r="C58"/>
      <c r="D58"/>
      <c r="E58"/>
      <c r="F58"/>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row>
    <row r="59" spans="1:72" s="60" customFormat="1" x14ac:dyDescent="0.25">
      <c r="A59"/>
      <c r="B59"/>
      <c r="C59"/>
      <c r="D59"/>
      <c r="E59"/>
      <c r="F59"/>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row>
    <row r="60" spans="1:72" s="60" customFormat="1" x14ac:dyDescent="0.25">
      <c r="A60"/>
      <c r="B60"/>
      <c r="C60"/>
      <c r="D60"/>
      <c r="E60"/>
      <c r="F60"/>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row>
    <row r="61" spans="1:72" s="60" customFormat="1" x14ac:dyDescent="0.25">
      <c r="A61"/>
      <c r="B61"/>
      <c r="C61"/>
      <c r="D61"/>
      <c r="E61"/>
      <c r="F61"/>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row>
    <row r="62" spans="1:72" s="60" customFormat="1" x14ac:dyDescent="0.25">
      <c r="A62"/>
      <c r="B62"/>
      <c r="C62"/>
      <c r="D62"/>
      <c r="E62"/>
      <c r="F62"/>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row>
    <row r="63" spans="1:72" s="60" customFormat="1" x14ac:dyDescent="0.25">
      <c r="A63"/>
      <c r="B63"/>
      <c r="C63"/>
      <c r="D63"/>
      <c r="E63"/>
      <c r="F63"/>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row>
    <row r="64" spans="1:72" s="60" customFormat="1" x14ac:dyDescent="0.25">
      <c r="A64"/>
      <c r="B64"/>
      <c r="C64"/>
      <c r="D64"/>
      <c r="E64"/>
      <c r="F64"/>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row>
    <row r="65" spans="1:72" s="60" customFormat="1" x14ac:dyDescent="0.25">
      <c r="A65"/>
      <c r="B65"/>
      <c r="C65"/>
      <c r="D65"/>
      <c r="E65"/>
      <c r="F65"/>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row>
    <row r="66" spans="1:72" s="60" customFormat="1" x14ac:dyDescent="0.25">
      <c r="A66"/>
      <c r="B66"/>
      <c r="C66"/>
      <c r="D66"/>
      <c r="E66"/>
      <c r="F6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row>
    <row r="67" spans="1:72" s="60" customFormat="1" x14ac:dyDescent="0.25">
      <c r="A67"/>
      <c r="B67"/>
      <c r="C67"/>
      <c r="D67"/>
      <c r="E67"/>
      <c r="F67"/>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row>
    <row r="68" spans="1:72" s="60" customFormat="1" x14ac:dyDescent="0.25">
      <c r="A68"/>
      <c r="B68"/>
      <c r="C68"/>
      <c r="D68"/>
      <c r="E68"/>
      <c r="F68"/>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row>
    <row r="69" spans="1:72" s="60" customFormat="1" x14ac:dyDescent="0.25">
      <c r="A69"/>
      <c r="B69"/>
      <c r="C69"/>
      <c r="D69"/>
      <c r="E69"/>
      <c r="F69"/>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row>
    <row r="70" spans="1:72" s="60" customFormat="1" x14ac:dyDescent="0.25">
      <c r="A70"/>
      <c r="B70"/>
      <c r="C70"/>
      <c r="D70"/>
      <c r="E70"/>
      <c r="F70"/>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row>
    <row r="71" spans="1:72" s="60" customFormat="1" x14ac:dyDescent="0.25">
      <c r="A71"/>
      <c r="B71"/>
      <c r="C71"/>
      <c r="D71"/>
      <c r="E71"/>
      <c r="F71"/>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row>
    <row r="72" spans="1:72" s="60" customFormat="1" x14ac:dyDescent="0.25">
      <c r="A72"/>
      <c r="B72"/>
      <c r="C72"/>
      <c r="D72"/>
      <c r="E72"/>
      <c r="F72"/>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row>
    <row r="73" spans="1:72" s="60" customFormat="1" x14ac:dyDescent="0.25">
      <c r="A73"/>
      <c r="B73"/>
      <c r="C73"/>
      <c r="D73"/>
      <c r="E73"/>
      <c r="F73"/>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row>
    <row r="74" spans="1:72" s="60" customFormat="1" x14ac:dyDescent="0.25">
      <c r="A74"/>
      <c r="B74"/>
      <c r="C74"/>
      <c r="D74"/>
      <c r="E74"/>
      <c r="F74"/>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row>
    <row r="75" spans="1:72" s="60" customFormat="1" x14ac:dyDescent="0.25">
      <c r="A75"/>
      <c r="B75"/>
      <c r="C75"/>
      <c r="D75"/>
      <c r="E75"/>
      <c r="F75"/>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row>
    <row r="76" spans="1:72" s="60" customFormat="1" x14ac:dyDescent="0.25">
      <c r="A76"/>
      <c r="B76"/>
      <c r="C76"/>
      <c r="D76"/>
      <c r="E76"/>
      <c r="F7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row>
    <row r="77" spans="1:72" s="60" customFormat="1" x14ac:dyDescent="0.25">
      <c r="A77"/>
      <c r="B77"/>
      <c r="C77"/>
      <c r="D77"/>
      <c r="E77"/>
      <c r="F77"/>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row>
    <row r="78" spans="1:72" s="60" customFormat="1" x14ac:dyDescent="0.25">
      <c r="A78"/>
      <c r="B78"/>
      <c r="C78"/>
      <c r="D78"/>
      <c r="E78"/>
      <c r="F78"/>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row>
    <row r="79" spans="1:72" s="60" customFormat="1" x14ac:dyDescent="0.25">
      <c r="A79"/>
      <c r="B79"/>
      <c r="C79"/>
      <c r="D79"/>
      <c r="E79"/>
      <c r="F79"/>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row>
    <row r="80" spans="1:72" s="60" customFormat="1" x14ac:dyDescent="0.25">
      <c r="A80"/>
      <c r="B80"/>
      <c r="C80"/>
      <c r="D80"/>
      <c r="E80"/>
      <c r="F80"/>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row>
    <row r="81" spans="1:72" s="60" customFormat="1" x14ac:dyDescent="0.25">
      <c r="A81"/>
      <c r="B81"/>
      <c r="C81"/>
      <c r="D81"/>
      <c r="E81"/>
      <c r="F81"/>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row>
    <row r="82" spans="1:72" s="60" customFormat="1" x14ac:dyDescent="0.25">
      <c r="A82"/>
      <c r="B82"/>
      <c r="C82"/>
      <c r="D82"/>
      <c r="E82"/>
      <c r="F82"/>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row>
    <row r="83" spans="1:72" s="60" customFormat="1" x14ac:dyDescent="0.25">
      <c r="A83"/>
      <c r="B83"/>
      <c r="C83"/>
      <c r="D83"/>
      <c r="E83"/>
      <c r="F83"/>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row>
    <row r="84" spans="1:72" s="60" customFormat="1" x14ac:dyDescent="0.25">
      <c r="A84"/>
      <c r="B84"/>
      <c r="C84"/>
      <c r="D84"/>
      <c r="E84"/>
      <c r="F84"/>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row>
    <row r="85" spans="1:72" s="60" customFormat="1" x14ac:dyDescent="0.25">
      <c r="A85"/>
      <c r="B85"/>
      <c r="C85"/>
      <c r="D85"/>
      <c r="E85"/>
      <c r="F85"/>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row>
    <row r="86" spans="1:72" s="60" customFormat="1" x14ac:dyDescent="0.25">
      <c r="A86"/>
      <c r="B86"/>
      <c r="C86"/>
      <c r="D86"/>
      <c r="E86"/>
      <c r="F8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row>
    <row r="87" spans="1:72" s="60" customFormat="1" x14ac:dyDescent="0.25">
      <c r="A87"/>
      <c r="B87"/>
      <c r="C87"/>
      <c r="D87"/>
      <c r="E87"/>
      <c r="F87"/>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row>
    <row r="88" spans="1:72" s="60" customFormat="1" x14ac:dyDescent="0.25">
      <c r="A88"/>
      <c r="B88"/>
      <c r="C88"/>
      <c r="D88"/>
      <c r="E88"/>
      <c r="F88"/>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row>
    <row r="89" spans="1:72" s="60" customFormat="1" x14ac:dyDescent="0.25">
      <c r="A89"/>
      <c r="B89"/>
      <c r="C89"/>
      <c r="D89"/>
      <c r="E89"/>
      <c r="F89"/>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row>
    <row r="90" spans="1:72" s="60" customFormat="1" x14ac:dyDescent="0.25">
      <c r="A90"/>
      <c r="B90"/>
      <c r="C90"/>
      <c r="D90"/>
      <c r="E90"/>
      <c r="F90"/>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row>
    <row r="91" spans="1:72" s="60" customFormat="1" x14ac:dyDescent="0.25">
      <c r="A91"/>
      <c r="B91"/>
      <c r="C91"/>
      <c r="D91"/>
      <c r="E91"/>
      <c r="F91"/>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row>
    <row r="92" spans="1:72" s="60" customFormat="1" x14ac:dyDescent="0.25">
      <c r="A92"/>
      <c r="B92"/>
      <c r="C92"/>
      <c r="D92"/>
      <c r="E92"/>
      <c r="F92"/>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row>
    <row r="93" spans="1:72" s="60" customFormat="1" x14ac:dyDescent="0.25">
      <c r="A93"/>
      <c r="B93"/>
      <c r="C93"/>
      <c r="D93"/>
      <c r="E93"/>
      <c r="F93"/>
      <c r="G93" s="56"/>
      <c r="H93" s="56"/>
      <c r="I93" s="56"/>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row>
    <row r="94" spans="1:72" s="60" customFormat="1" x14ac:dyDescent="0.25">
      <c r="A94"/>
      <c r="B94"/>
      <c r="C94"/>
      <c r="D94"/>
      <c r="E94"/>
      <c r="F94"/>
      <c r="G94" s="56"/>
      <c r="H94" s="56"/>
      <c r="I94" s="56"/>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row>
    <row r="95" spans="1:72" s="60" customFormat="1" x14ac:dyDescent="0.25">
      <c r="A95"/>
      <c r="B95"/>
      <c r="C95"/>
      <c r="D95"/>
      <c r="E95"/>
      <c r="F95"/>
      <c r="G95" s="56"/>
      <c r="H95" s="56"/>
      <c r="I95" s="56"/>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row>
    <row r="96" spans="1:72" s="60" customFormat="1" x14ac:dyDescent="0.25">
      <c r="A96"/>
      <c r="B96"/>
      <c r="C96"/>
      <c r="D96"/>
      <c r="E96"/>
      <c r="F96"/>
      <c r="G96" s="56"/>
      <c r="H96" s="56"/>
      <c r="I96" s="56"/>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row>
    <row r="97" spans="1:72" s="60" customFormat="1" x14ac:dyDescent="0.25">
      <c r="A97"/>
      <c r="B97"/>
      <c r="C97"/>
      <c r="D97"/>
      <c r="E97"/>
      <c r="F97"/>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row>
    <row r="98" spans="1:72" s="60" customFormat="1" x14ac:dyDescent="0.25">
      <c r="A98"/>
      <c r="B98"/>
      <c r="C98"/>
      <c r="D98"/>
      <c r="E98"/>
      <c r="F98"/>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row>
    <row r="99" spans="1:72" s="60" customFormat="1" x14ac:dyDescent="0.25">
      <c r="A99"/>
      <c r="B99"/>
      <c r="C99"/>
      <c r="D99"/>
      <c r="E99"/>
      <c r="F99"/>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row>
    <row r="100" spans="1:72" s="60" customFormat="1" x14ac:dyDescent="0.25">
      <c r="A100"/>
      <c r="B100"/>
      <c r="C100"/>
      <c r="D100"/>
      <c r="E100"/>
      <c r="F100"/>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row>
    <row r="101" spans="1:72" s="60" customFormat="1" x14ac:dyDescent="0.25">
      <c r="A101"/>
      <c r="B101"/>
      <c r="C101"/>
      <c r="D101"/>
      <c r="E101"/>
      <c r="F101"/>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row>
    <row r="102" spans="1:72" s="60" customFormat="1" x14ac:dyDescent="0.25">
      <c r="A102"/>
      <c r="B102"/>
      <c r="C102"/>
      <c r="D102"/>
      <c r="E102"/>
      <c r="F102"/>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row>
    <row r="103" spans="1:72" s="60" customFormat="1" x14ac:dyDescent="0.25">
      <c r="A103"/>
      <c r="B103"/>
      <c r="C103"/>
      <c r="D103"/>
      <c r="E103"/>
      <c r="F103"/>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row>
    <row r="104" spans="1:72" s="64" customFormat="1" x14ac:dyDescent="0.25">
      <c r="A104"/>
      <c r="B104"/>
      <c r="C104"/>
      <c r="D104"/>
      <c r="E104"/>
      <c r="F104"/>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row>
    <row r="105" spans="1:72" s="64" customFormat="1" x14ac:dyDescent="0.25">
      <c r="A105"/>
      <c r="B105"/>
      <c r="C105"/>
      <c r="D105"/>
      <c r="E105"/>
      <c r="F105"/>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row>
    <row r="106" spans="1:72" s="64" customFormat="1" x14ac:dyDescent="0.25">
      <c r="A106"/>
      <c r="B106"/>
      <c r="C106"/>
      <c r="D106"/>
      <c r="E106"/>
      <c r="F10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row>
    <row r="107" spans="1:72" s="60" customFormat="1" x14ac:dyDescent="0.25">
      <c r="A107"/>
      <c r="B107"/>
      <c r="C107"/>
      <c r="D107"/>
      <c r="E107"/>
      <c r="F107"/>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row>
    <row r="108" spans="1:72" s="60" customFormat="1" x14ac:dyDescent="0.25">
      <c r="A108"/>
      <c r="B108"/>
      <c r="C108"/>
      <c r="D108"/>
      <c r="E108"/>
      <c r="F108"/>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row>
    <row r="109" spans="1:72" s="60" customFormat="1" x14ac:dyDescent="0.25">
      <c r="A109"/>
      <c r="B109"/>
      <c r="C109"/>
      <c r="D109"/>
      <c r="E109"/>
      <c r="F109"/>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row>
    <row r="110" spans="1:72" s="60" customFormat="1" x14ac:dyDescent="0.25">
      <c r="A110"/>
      <c r="B110"/>
      <c r="C110"/>
      <c r="D110"/>
      <c r="E110"/>
      <c r="F110"/>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row>
    <row r="111" spans="1:72" s="60" customFormat="1" x14ac:dyDescent="0.25">
      <c r="A111"/>
      <c r="B111"/>
      <c r="C111"/>
      <c r="D111"/>
      <c r="E111"/>
      <c r="F111"/>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row>
    <row r="112" spans="1:72" s="60" customFormat="1" x14ac:dyDescent="0.25">
      <c r="A112"/>
      <c r="B112"/>
      <c r="C112"/>
      <c r="D112"/>
      <c r="E112"/>
      <c r="F112"/>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row>
    <row r="113" spans="1:72" s="60" customFormat="1" x14ac:dyDescent="0.25">
      <c r="A113"/>
      <c r="B113"/>
      <c r="C113"/>
      <c r="D113"/>
      <c r="E113"/>
      <c r="F113"/>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row>
    <row r="114" spans="1:72" s="60" customFormat="1" x14ac:dyDescent="0.25">
      <c r="A114"/>
      <c r="B114"/>
      <c r="C114"/>
      <c r="D114"/>
      <c r="E114"/>
      <c r="F114"/>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row>
    <row r="115" spans="1:72" s="60" customFormat="1" x14ac:dyDescent="0.25">
      <c r="A115"/>
      <c r="B115"/>
      <c r="C115"/>
      <c r="D115"/>
      <c r="E115"/>
      <c r="F115"/>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row>
    <row r="116" spans="1:72" s="60" customFormat="1" x14ac:dyDescent="0.25">
      <c r="A116"/>
      <c r="B116"/>
      <c r="C116"/>
      <c r="D116"/>
      <c r="E116"/>
      <c r="F116"/>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row>
    <row r="117" spans="1:72" s="60" customFormat="1" x14ac:dyDescent="0.25">
      <c r="A117"/>
      <c r="B117"/>
      <c r="C117"/>
      <c r="D117"/>
      <c r="E117"/>
      <c r="F117"/>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row>
    <row r="118" spans="1:72" s="60" customFormat="1" x14ac:dyDescent="0.25">
      <c r="A118"/>
      <c r="B118"/>
      <c r="C118"/>
      <c r="D118"/>
      <c r="E118"/>
      <c r="F118"/>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row>
    <row r="119" spans="1:72" s="60" customFormat="1" x14ac:dyDescent="0.25">
      <c r="A119"/>
      <c r="B119"/>
      <c r="C119"/>
      <c r="D119"/>
      <c r="E119"/>
      <c r="F119"/>
      <c r="G119" s="56"/>
      <c r="H119" s="56"/>
      <c r="I119" s="56"/>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row>
    <row r="120" spans="1:72" s="60" customFormat="1" x14ac:dyDescent="0.25">
      <c r="A120"/>
      <c r="B120"/>
      <c r="C120"/>
      <c r="D120"/>
      <c r="E120"/>
      <c r="F120"/>
      <c r="G120" s="56"/>
      <c r="H120" s="56"/>
      <c r="I120" s="56"/>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row>
    <row r="121" spans="1:72" s="60" customFormat="1" x14ac:dyDescent="0.25">
      <c r="A121"/>
      <c r="B121"/>
      <c r="C121"/>
      <c r="D121"/>
      <c r="E121"/>
      <c r="F121"/>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row>
    <row r="122" spans="1:72" s="60" customFormat="1" x14ac:dyDescent="0.25">
      <c r="A122"/>
      <c r="B122"/>
      <c r="C122"/>
      <c r="D122"/>
      <c r="E122"/>
      <c r="F122"/>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row>
    <row r="123" spans="1:72" s="60" customFormat="1" x14ac:dyDescent="0.25">
      <c r="A123"/>
      <c r="B123"/>
      <c r="C123"/>
      <c r="D123"/>
      <c r="E123"/>
      <c r="F123"/>
      <c r="G123" s="56"/>
      <c r="H123" s="56"/>
      <c r="I123" s="56"/>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row>
    <row r="124" spans="1:72" s="60" customFormat="1" x14ac:dyDescent="0.25">
      <c r="A124"/>
      <c r="B124"/>
      <c r="C124"/>
      <c r="D124"/>
      <c r="E124"/>
      <c r="F124"/>
      <c r="G124" s="56"/>
      <c r="H124" s="56"/>
      <c r="I124" s="56"/>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row>
    <row r="125" spans="1:72" s="60" customFormat="1" x14ac:dyDescent="0.25">
      <c r="A125"/>
      <c r="B125"/>
      <c r="C125"/>
      <c r="D125"/>
      <c r="E125"/>
      <c r="F125"/>
      <c r="G125" s="56"/>
      <c r="H125" s="56"/>
      <c r="I125" s="56"/>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row>
    <row r="126" spans="1:72" s="60" customFormat="1" x14ac:dyDescent="0.25">
      <c r="A126"/>
      <c r="B126"/>
      <c r="C126"/>
      <c r="D126"/>
      <c r="E126"/>
      <c r="F126"/>
      <c r="G126" s="56"/>
      <c r="H126" s="56"/>
      <c r="I126" s="5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row>
    <row r="127" spans="1:72" s="60" customFormat="1" x14ac:dyDescent="0.25">
      <c r="A127"/>
      <c r="B127"/>
      <c r="C127"/>
      <c r="D127"/>
      <c r="E127"/>
      <c r="F127"/>
      <c r="G127" s="56"/>
      <c r="H127" s="56"/>
      <c r="I127" s="56"/>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row>
    <row r="128" spans="1:72" s="60" customFormat="1" x14ac:dyDescent="0.25">
      <c r="A128"/>
      <c r="B128"/>
      <c r="C128"/>
      <c r="D128"/>
      <c r="E128"/>
      <c r="F128"/>
      <c r="G128" s="56"/>
      <c r="H128" s="56"/>
      <c r="I128" s="56"/>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row>
    <row r="129" spans="1:72" s="60" customFormat="1" x14ac:dyDescent="0.25">
      <c r="A129"/>
      <c r="B129"/>
      <c r="C129"/>
      <c r="D129"/>
      <c r="E129"/>
      <c r="F129"/>
      <c r="G129" s="56"/>
      <c r="H129" s="56"/>
      <c r="I129" s="56"/>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row>
    <row r="130" spans="1:72" s="60" customFormat="1" x14ac:dyDescent="0.25">
      <c r="A130"/>
      <c r="B130"/>
      <c r="C130"/>
      <c r="D130"/>
      <c r="E130"/>
      <c r="F130"/>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row>
    <row r="131" spans="1:72" s="60" customFormat="1" x14ac:dyDescent="0.25">
      <c r="A131"/>
      <c r="B131"/>
      <c r="C131"/>
      <c r="D131"/>
      <c r="E131"/>
      <c r="F131"/>
      <c r="G131" s="56"/>
      <c r="H131" s="56"/>
      <c r="I131" s="56"/>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row>
    <row r="132" spans="1:72" s="60" customFormat="1" x14ac:dyDescent="0.25">
      <c r="A132"/>
      <c r="B132"/>
      <c r="C132"/>
      <c r="D132"/>
      <c r="E132"/>
      <c r="F132"/>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row>
    <row r="133" spans="1:72" s="60" customFormat="1" x14ac:dyDescent="0.25">
      <c r="A133"/>
      <c r="B133"/>
      <c r="C133"/>
      <c r="D133"/>
      <c r="E133"/>
      <c r="F133"/>
      <c r="G133" s="56"/>
      <c r="H133" s="56"/>
      <c r="I133" s="56"/>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row>
    <row r="134" spans="1:72" s="60" customFormat="1" x14ac:dyDescent="0.25">
      <c r="A134"/>
      <c r="B134"/>
      <c r="C134"/>
      <c r="D134"/>
      <c r="E134"/>
      <c r="F134"/>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row>
    <row r="135" spans="1:72" s="60" customFormat="1" x14ac:dyDescent="0.25">
      <c r="A135"/>
      <c r="B135"/>
      <c r="C135"/>
      <c r="D135"/>
      <c r="E135"/>
      <c r="F135"/>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row>
    <row r="136" spans="1:72" s="60" customFormat="1" x14ac:dyDescent="0.25">
      <c r="A136"/>
      <c r="B136"/>
      <c r="C136"/>
      <c r="D136"/>
      <c r="E136"/>
      <c r="F136"/>
      <c r="G136" s="56"/>
      <c r="H136" s="56"/>
      <c r="I136" s="56"/>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row>
    <row r="137" spans="1:72" s="60" customFormat="1" x14ac:dyDescent="0.25">
      <c r="A137"/>
      <c r="B137"/>
      <c r="C137"/>
      <c r="D137"/>
      <c r="E137"/>
      <c r="F137"/>
      <c r="G137" s="56"/>
      <c r="H137" s="56"/>
      <c r="I137" s="56"/>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row>
    <row r="138" spans="1:72" s="60" customFormat="1" x14ac:dyDescent="0.25">
      <c r="A138"/>
      <c r="B138"/>
      <c r="C138"/>
      <c r="D138"/>
      <c r="E138"/>
      <c r="F138"/>
      <c r="G138" s="56"/>
      <c r="H138" s="56"/>
      <c r="I138" s="56"/>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row>
    <row r="139" spans="1:72" s="60" customFormat="1" x14ac:dyDescent="0.25">
      <c r="A139"/>
      <c r="B139"/>
      <c r="C139"/>
      <c r="D139"/>
      <c r="E139"/>
      <c r="F139"/>
      <c r="G139" s="56"/>
      <c r="H139" s="56"/>
      <c r="I139" s="56"/>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row>
    <row r="140" spans="1:72" s="60" customFormat="1" x14ac:dyDescent="0.25">
      <c r="A140"/>
      <c r="B140"/>
      <c r="C140"/>
      <c r="D140"/>
      <c r="E140"/>
      <c r="F140"/>
      <c r="G140" s="56"/>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row>
    <row r="141" spans="1:72" s="60" customFormat="1" x14ac:dyDescent="0.25">
      <c r="A141"/>
      <c r="B141"/>
      <c r="C141"/>
      <c r="D141"/>
      <c r="E141"/>
      <c r="F141"/>
      <c r="G141" s="56"/>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row>
    <row r="142" spans="1:72" s="60" customFormat="1" x14ac:dyDescent="0.25">
      <c r="A142"/>
      <c r="B142"/>
      <c r="C142"/>
      <c r="D142"/>
      <c r="E142"/>
      <c r="F142"/>
      <c r="G142" s="56"/>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row>
    <row r="143" spans="1:72" s="60" customFormat="1" x14ac:dyDescent="0.25">
      <c r="A143"/>
      <c r="B143"/>
      <c r="C143"/>
      <c r="D143"/>
      <c r="E143"/>
      <c r="F143"/>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row>
    <row r="144" spans="1:72" s="60" customFormat="1" x14ac:dyDescent="0.25">
      <c r="A144"/>
      <c r="B144"/>
      <c r="C144"/>
      <c r="D144"/>
      <c r="E144"/>
      <c r="F144"/>
      <c r="G144" s="56"/>
      <c r="H144" s="56"/>
      <c r="I144" s="56"/>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row>
    <row r="145" spans="1:72" s="60" customFormat="1" x14ac:dyDescent="0.25">
      <c r="A145"/>
      <c r="B145"/>
      <c r="C145"/>
      <c r="D145"/>
      <c r="E145"/>
      <c r="F145"/>
      <c r="G145" s="56"/>
      <c r="H145" s="56"/>
      <c r="I145" s="56"/>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row>
    <row r="146" spans="1:72" s="60" customFormat="1" x14ac:dyDescent="0.25">
      <c r="A146"/>
      <c r="B146"/>
      <c r="C146"/>
      <c r="D146"/>
      <c r="E146"/>
      <c r="F146"/>
      <c r="G146" s="56"/>
      <c r="H146" s="56"/>
      <c r="I146" s="56"/>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row>
    <row r="147" spans="1:72" s="60" customFormat="1" x14ac:dyDescent="0.25">
      <c r="A147"/>
      <c r="B147"/>
      <c r="C147"/>
      <c r="D147"/>
      <c r="E147"/>
      <c r="F147"/>
      <c r="G147" s="56"/>
      <c r="H147" s="56"/>
      <c r="I147" s="56"/>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row>
    <row r="148" spans="1:72" s="60" customFormat="1" x14ac:dyDescent="0.25">
      <c r="A148"/>
      <c r="B148"/>
      <c r="C148"/>
      <c r="D148"/>
      <c r="E148"/>
      <c r="F148"/>
      <c r="G148" s="56"/>
      <c r="H148" s="56"/>
      <c r="I148" s="56"/>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row>
    <row r="149" spans="1:72" s="60" customFormat="1" x14ac:dyDescent="0.25">
      <c r="A149"/>
      <c r="B149"/>
      <c r="C149"/>
      <c r="D149"/>
      <c r="E149"/>
      <c r="F149"/>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row>
    <row r="150" spans="1:72" s="60" customFormat="1" x14ac:dyDescent="0.25">
      <c r="A150"/>
      <c r="B150"/>
      <c r="C150"/>
      <c r="D150"/>
      <c r="E150"/>
      <c r="F150"/>
      <c r="G150" s="56"/>
      <c r="H150" s="56"/>
      <c r="I150" s="56"/>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row>
    <row r="151" spans="1:72" s="60" customFormat="1" x14ac:dyDescent="0.25">
      <c r="A151"/>
      <c r="B151"/>
      <c r="C151"/>
      <c r="D151"/>
      <c r="E151"/>
      <c r="F151"/>
      <c r="G151" s="56"/>
      <c r="H151" s="56"/>
      <c r="I151" s="56"/>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row>
    <row r="152" spans="1:72" s="60" customFormat="1" x14ac:dyDescent="0.25">
      <c r="A152"/>
      <c r="B152"/>
      <c r="C152"/>
      <c r="D152"/>
      <c r="E152"/>
      <c r="F152"/>
      <c r="G152" s="56"/>
      <c r="H152" s="56"/>
      <c r="I152" s="56"/>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row>
    <row r="153" spans="1:72" s="60" customFormat="1" x14ac:dyDescent="0.25">
      <c r="A153"/>
      <c r="B153"/>
      <c r="C153"/>
      <c r="D153"/>
      <c r="E153"/>
      <c r="F153"/>
      <c r="G153" s="56"/>
      <c r="H153" s="56"/>
      <c r="I153" s="56"/>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row>
    <row r="154" spans="1:72" s="60" customFormat="1" x14ac:dyDescent="0.25">
      <c r="A154"/>
      <c r="B154"/>
      <c r="C154"/>
      <c r="D154"/>
      <c r="E154"/>
      <c r="F154"/>
      <c r="G154" s="56"/>
      <c r="H154" s="56"/>
      <c r="I154" s="56"/>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row>
    <row r="155" spans="1:72" s="60" customFormat="1" x14ac:dyDescent="0.25">
      <c r="A155"/>
      <c r="B155"/>
      <c r="C155"/>
      <c r="D155"/>
      <c r="E155"/>
      <c r="F155"/>
      <c r="G155" s="56"/>
      <c r="H155" s="56"/>
      <c r="I155" s="56"/>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row>
    <row r="156" spans="1:72" s="60" customFormat="1" x14ac:dyDescent="0.25">
      <c r="A156"/>
      <c r="B156"/>
      <c r="C156"/>
      <c r="D156"/>
      <c r="E156"/>
      <c r="F156"/>
      <c r="G156" s="56"/>
      <c r="H156" s="56"/>
      <c r="I156" s="56"/>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row>
    <row r="157" spans="1:72" s="60" customFormat="1" x14ac:dyDescent="0.25">
      <c r="A157"/>
      <c r="B157"/>
      <c r="C157"/>
      <c r="D157"/>
      <c r="E157"/>
      <c r="F157"/>
      <c r="G157" s="56"/>
      <c r="H157" s="56"/>
      <c r="I157" s="56"/>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row>
    <row r="158" spans="1:72" x14ac:dyDescent="0.25">
      <c r="B158"/>
      <c r="C158"/>
      <c r="D158"/>
      <c r="E158"/>
    </row>
    <row r="159" spans="1:72" x14ac:dyDescent="0.25">
      <c r="B159"/>
      <c r="C159"/>
      <c r="D159"/>
      <c r="E159"/>
    </row>
    <row r="160" spans="1:72" x14ac:dyDescent="0.25">
      <c r="B160"/>
      <c r="C160"/>
      <c r="D160"/>
      <c r="E160"/>
    </row>
    <row r="161" spans="2:5" x14ac:dyDescent="0.25">
      <c r="B161"/>
      <c r="C161"/>
      <c r="D161"/>
      <c r="E161"/>
    </row>
    <row r="162" spans="2:5" x14ac:dyDescent="0.25">
      <c r="B162"/>
      <c r="C162"/>
      <c r="D162"/>
      <c r="E162"/>
    </row>
    <row r="163" spans="2:5" x14ac:dyDescent="0.25">
      <c r="B163"/>
      <c r="C163"/>
      <c r="D163"/>
      <c r="E163"/>
    </row>
    <row r="164" spans="2:5" x14ac:dyDescent="0.25">
      <c r="B164"/>
      <c r="C164"/>
      <c r="D164"/>
      <c r="E164"/>
    </row>
    <row r="165" spans="2:5" x14ac:dyDescent="0.25">
      <c r="B165"/>
      <c r="C165"/>
      <c r="D165"/>
      <c r="E165"/>
    </row>
    <row r="166" spans="2:5" x14ac:dyDescent="0.25">
      <c r="B166"/>
      <c r="C166"/>
      <c r="D166"/>
      <c r="E166"/>
    </row>
    <row r="167" spans="2:5" x14ac:dyDescent="0.25">
      <c r="B167"/>
      <c r="C167"/>
      <c r="D167"/>
      <c r="E167"/>
    </row>
    <row r="168" spans="2:5" x14ac:dyDescent="0.25">
      <c r="B168"/>
      <c r="C168"/>
      <c r="D168"/>
      <c r="E168"/>
    </row>
    <row r="169" spans="2:5" x14ac:dyDescent="0.25">
      <c r="B169"/>
      <c r="C169"/>
      <c r="D169"/>
      <c r="E169"/>
    </row>
    <row r="170" spans="2:5" x14ac:dyDescent="0.25">
      <c r="B170"/>
      <c r="C170"/>
      <c r="D170"/>
      <c r="E170"/>
    </row>
    <row r="171" spans="2:5" x14ac:dyDescent="0.25">
      <c r="B171"/>
      <c r="C171"/>
      <c r="D171"/>
      <c r="E171"/>
    </row>
    <row r="172" spans="2:5" x14ac:dyDescent="0.25">
      <c r="B172"/>
      <c r="C172"/>
      <c r="D172"/>
      <c r="E172"/>
    </row>
    <row r="173" spans="2:5" x14ac:dyDescent="0.25">
      <c r="B173"/>
      <c r="C173"/>
      <c r="D173"/>
      <c r="E173"/>
    </row>
    <row r="174" spans="2:5" x14ac:dyDescent="0.25">
      <c r="B174"/>
      <c r="C174"/>
      <c r="D174"/>
      <c r="E174"/>
    </row>
    <row r="175" spans="2:5" x14ac:dyDescent="0.25">
      <c r="B175"/>
      <c r="C175"/>
      <c r="D175"/>
      <c r="E175"/>
    </row>
    <row r="176" spans="2:5" x14ac:dyDescent="0.25">
      <c r="B176"/>
      <c r="C176"/>
      <c r="D176"/>
      <c r="E176"/>
    </row>
    <row r="177" spans="2:5" x14ac:dyDescent="0.25">
      <c r="B177"/>
      <c r="C177"/>
      <c r="D177"/>
      <c r="E177"/>
    </row>
    <row r="178" spans="2:5" x14ac:dyDescent="0.25">
      <c r="B178"/>
      <c r="C178"/>
      <c r="D178"/>
      <c r="E178"/>
    </row>
    <row r="179" spans="2:5" x14ac:dyDescent="0.25">
      <c r="B179"/>
      <c r="C179"/>
      <c r="D179"/>
      <c r="E179"/>
    </row>
    <row r="180" spans="2:5" x14ac:dyDescent="0.25">
      <c r="B180"/>
      <c r="C180"/>
      <c r="D180"/>
      <c r="E180"/>
    </row>
    <row r="181" spans="2:5" x14ac:dyDescent="0.25">
      <c r="B181"/>
      <c r="C181"/>
      <c r="D181"/>
      <c r="E181"/>
    </row>
    <row r="182" spans="2:5" x14ac:dyDescent="0.25">
      <c r="B182"/>
      <c r="C182"/>
      <c r="D182"/>
      <c r="E182"/>
    </row>
    <row r="183" spans="2:5" x14ac:dyDescent="0.25">
      <c r="B183"/>
      <c r="C183"/>
      <c r="D183"/>
      <c r="E183"/>
    </row>
    <row r="184" spans="2:5" x14ac:dyDescent="0.25">
      <c r="B184"/>
      <c r="C184"/>
      <c r="D184"/>
      <c r="E184"/>
    </row>
    <row r="185" spans="2:5" x14ac:dyDescent="0.25">
      <c r="B185"/>
      <c r="C185"/>
      <c r="D185"/>
      <c r="E185"/>
    </row>
    <row r="186" spans="2:5" x14ac:dyDescent="0.25">
      <c r="B186"/>
      <c r="C186"/>
      <c r="D186"/>
      <c r="E186"/>
    </row>
    <row r="187" spans="2:5" x14ac:dyDescent="0.25">
      <c r="B187"/>
      <c r="C187"/>
      <c r="D187"/>
      <c r="E187"/>
    </row>
    <row r="188" spans="2:5" x14ac:dyDescent="0.25">
      <c r="B188"/>
      <c r="C188"/>
      <c r="D188"/>
      <c r="E188"/>
    </row>
    <row r="189" spans="2:5" x14ac:dyDescent="0.25">
      <c r="B189"/>
      <c r="C189"/>
      <c r="D189"/>
      <c r="E189"/>
    </row>
    <row r="190" spans="2:5" x14ac:dyDescent="0.25">
      <c r="B190"/>
      <c r="C190"/>
      <c r="D190"/>
      <c r="E190"/>
    </row>
    <row r="191" spans="2:5" x14ac:dyDescent="0.25">
      <c r="B191"/>
      <c r="C191"/>
      <c r="D191"/>
      <c r="E191"/>
    </row>
    <row r="192" spans="2:5" x14ac:dyDescent="0.25">
      <c r="B192"/>
      <c r="C192"/>
      <c r="D192"/>
      <c r="E192"/>
    </row>
    <row r="193" spans="2:5" x14ac:dyDescent="0.25">
      <c r="B193"/>
      <c r="C193"/>
      <c r="D193"/>
      <c r="E193"/>
    </row>
    <row r="194" spans="2:5" x14ac:dyDescent="0.25">
      <c r="B194"/>
      <c r="C194"/>
      <c r="D194"/>
      <c r="E194"/>
    </row>
    <row r="195" spans="2:5" x14ac:dyDescent="0.25">
      <c r="B195"/>
      <c r="C195"/>
      <c r="D195"/>
      <c r="E195"/>
    </row>
    <row r="196" spans="2:5" x14ac:dyDescent="0.25">
      <c r="B196"/>
      <c r="C196"/>
      <c r="D196"/>
      <c r="E196"/>
    </row>
    <row r="197" spans="2:5" x14ac:dyDescent="0.25">
      <c r="B197"/>
      <c r="C197"/>
      <c r="D197"/>
      <c r="E197"/>
    </row>
    <row r="198" spans="2:5" x14ac:dyDescent="0.25">
      <c r="B198"/>
      <c r="C198"/>
      <c r="D198"/>
      <c r="E198"/>
    </row>
    <row r="199" spans="2:5" x14ac:dyDescent="0.25">
      <c r="B199"/>
      <c r="C199"/>
      <c r="D199"/>
      <c r="E199"/>
    </row>
    <row r="200" spans="2:5" x14ac:dyDescent="0.25">
      <c r="B200"/>
      <c r="C200"/>
      <c r="D200"/>
      <c r="E200"/>
    </row>
    <row r="201" spans="2:5" x14ac:dyDescent="0.25">
      <c r="B201"/>
      <c r="C201"/>
      <c r="D201"/>
      <c r="E201"/>
    </row>
    <row r="202" spans="2:5" x14ac:dyDescent="0.25">
      <c r="B202"/>
      <c r="C202"/>
      <c r="D202"/>
      <c r="E202"/>
    </row>
    <row r="203" spans="2:5" x14ac:dyDescent="0.25">
      <c r="B203"/>
      <c r="C203"/>
      <c r="D203"/>
      <c r="E203"/>
    </row>
    <row r="204" spans="2:5" x14ac:dyDescent="0.25">
      <c r="B204"/>
      <c r="C204"/>
      <c r="D204"/>
      <c r="E204"/>
    </row>
    <row r="205" spans="2:5" x14ac:dyDescent="0.25">
      <c r="B205"/>
      <c r="C205"/>
      <c r="D205"/>
      <c r="E205"/>
    </row>
    <row r="206" spans="2:5" x14ac:dyDescent="0.25">
      <c r="B206"/>
      <c r="C206"/>
      <c r="D206"/>
      <c r="E206"/>
    </row>
    <row r="207" spans="2:5" x14ac:dyDescent="0.25">
      <c r="B207"/>
      <c r="C207"/>
      <c r="D207"/>
      <c r="E207"/>
    </row>
    <row r="208" spans="2:5" x14ac:dyDescent="0.25">
      <c r="B208"/>
      <c r="C208"/>
      <c r="D208"/>
      <c r="E208"/>
    </row>
    <row r="209" spans="2:5" x14ac:dyDescent="0.25">
      <c r="B209"/>
      <c r="C209"/>
      <c r="D209"/>
      <c r="E209"/>
    </row>
    <row r="210" spans="2:5" x14ac:dyDescent="0.25">
      <c r="B210"/>
      <c r="C210"/>
      <c r="D210"/>
      <c r="E210"/>
    </row>
    <row r="211" spans="2:5" x14ac:dyDescent="0.25">
      <c r="B211"/>
      <c r="C211"/>
      <c r="D211"/>
      <c r="E211"/>
    </row>
    <row r="212" spans="2:5" x14ac:dyDescent="0.25">
      <c r="B212"/>
      <c r="C212"/>
      <c r="D212"/>
      <c r="E212"/>
    </row>
    <row r="213" spans="2:5" x14ac:dyDescent="0.25">
      <c r="B213"/>
      <c r="C213"/>
      <c r="D213"/>
      <c r="E213"/>
    </row>
    <row r="214" spans="2:5" x14ac:dyDescent="0.25">
      <c r="B214"/>
      <c r="C214"/>
      <c r="D214"/>
      <c r="E214"/>
    </row>
    <row r="215" spans="2:5" x14ac:dyDescent="0.25">
      <c r="B215"/>
      <c r="C215"/>
      <c r="D215"/>
      <c r="E215"/>
    </row>
    <row r="216" spans="2:5" x14ac:dyDescent="0.25">
      <c r="B216"/>
      <c r="C216"/>
      <c r="D216"/>
      <c r="E216"/>
    </row>
    <row r="217" spans="2:5" x14ac:dyDescent="0.25">
      <c r="B217"/>
      <c r="C217"/>
      <c r="D217"/>
      <c r="E217"/>
    </row>
    <row r="218" spans="2:5" x14ac:dyDescent="0.25">
      <c r="B218"/>
      <c r="C218"/>
      <c r="D218"/>
      <c r="E218"/>
    </row>
    <row r="219" spans="2:5" x14ac:dyDescent="0.25">
      <c r="B219"/>
      <c r="C219"/>
      <c r="D219"/>
      <c r="E219"/>
    </row>
    <row r="220" spans="2:5" x14ac:dyDescent="0.25">
      <c r="B220"/>
      <c r="C220"/>
      <c r="D220"/>
      <c r="E220"/>
    </row>
    <row r="221" spans="2:5" x14ac:dyDescent="0.25">
      <c r="B221"/>
      <c r="C221"/>
      <c r="D221"/>
      <c r="E221"/>
    </row>
    <row r="222" spans="2:5" x14ac:dyDescent="0.25">
      <c r="B222"/>
      <c r="C222"/>
      <c r="D222"/>
      <c r="E222"/>
    </row>
    <row r="223" spans="2:5" x14ac:dyDescent="0.25">
      <c r="B223"/>
      <c r="C223"/>
      <c r="D223"/>
      <c r="E223"/>
    </row>
    <row r="224" spans="2:5" x14ac:dyDescent="0.25">
      <c r="B224"/>
      <c r="C224"/>
      <c r="D224"/>
      <c r="E224"/>
    </row>
    <row r="225" spans="2:5" x14ac:dyDescent="0.25">
      <c r="B225"/>
      <c r="C225"/>
      <c r="D225"/>
      <c r="E225"/>
    </row>
    <row r="226" spans="2:5" x14ac:dyDescent="0.25">
      <c r="B226"/>
      <c r="C226"/>
      <c r="D226"/>
      <c r="E226"/>
    </row>
    <row r="227" spans="2:5" x14ac:dyDescent="0.25">
      <c r="B227"/>
      <c r="C227"/>
      <c r="D227"/>
      <c r="E227"/>
    </row>
    <row r="228" spans="2:5" x14ac:dyDescent="0.25">
      <c r="B228"/>
      <c r="C228"/>
      <c r="D228"/>
      <c r="E228"/>
    </row>
    <row r="229" spans="2:5" x14ac:dyDescent="0.25">
      <c r="B229"/>
      <c r="C229"/>
      <c r="D229"/>
      <c r="E229"/>
    </row>
    <row r="230" spans="2:5" x14ac:dyDescent="0.25">
      <c r="B230"/>
      <c r="C230"/>
      <c r="D230"/>
      <c r="E230"/>
    </row>
    <row r="231" spans="2:5" x14ac:dyDescent="0.25">
      <c r="B231"/>
      <c r="C231"/>
      <c r="D231"/>
      <c r="E231"/>
    </row>
    <row r="232" spans="2:5" x14ac:dyDescent="0.25">
      <c r="B232"/>
      <c r="C232"/>
      <c r="D232"/>
      <c r="E232"/>
    </row>
    <row r="233" spans="2:5" x14ac:dyDescent="0.25">
      <c r="B233"/>
      <c r="C233"/>
      <c r="D233"/>
      <c r="E233"/>
    </row>
    <row r="234" spans="2:5" x14ac:dyDescent="0.25">
      <c r="B234"/>
      <c r="C234"/>
      <c r="D234"/>
      <c r="E234"/>
    </row>
    <row r="235" spans="2:5" x14ac:dyDescent="0.25">
      <c r="B235"/>
      <c r="C235"/>
      <c r="D235"/>
      <c r="E235"/>
    </row>
    <row r="236" spans="2:5" x14ac:dyDescent="0.25">
      <c r="B236"/>
      <c r="C236"/>
      <c r="D236"/>
      <c r="E236"/>
    </row>
    <row r="237" spans="2:5" x14ac:dyDescent="0.25">
      <c r="B237"/>
      <c r="C237"/>
      <c r="D237"/>
      <c r="E237"/>
    </row>
    <row r="238" spans="2:5" x14ac:dyDescent="0.25">
      <c r="B238"/>
      <c r="C238"/>
      <c r="D238"/>
      <c r="E238"/>
    </row>
    <row r="239" spans="2:5" x14ac:dyDescent="0.25">
      <c r="B239"/>
      <c r="C239"/>
      <c r="D239"/>
      <c r="E239"/>
    </row>
    <row r="240" spans="2:5" x14ac:dyDescent="0.25">
      <c r="B240"/>
      <c r="C240"/>
      <c r="D240"/>
      <c r="E240"/>
    </row>
    <row r="241" spans="2:5" x14ac:dyDescent="0.25">
      <c r="B241"/>
      <c r="C241"/>
      <c r="D241"/>
      <c r="E241"/>
    </row>
    <row r="242" spans="2:5" x14ac:dyDescent="0.25">
      <c r="B242"/>
      <c r="C242"/>
      <c r="D242"/>
      <c r="E242"/>
    </row>
    <row r="243" spans="2:5" x14ac:dyDescent="0.25">
      <c r="B243"/>
      <c r="C243"/>
      <c r="D243"/>
      <c r="E243"/>
    </row>
    <row r="244" spans="2:5" x14ac:dyDescent="0.25">
      <c r="B244"/>
      <c r="C244"/>
      <c r="D244"/>
      <c r="E244"/>
    </row>
    <row r="245" spans="2:5" x14ac:dyDescent="0.25">
      <c r="B245"/>
      <c r="C245"/>
      <c r="D245"/>
      <c r="E245"/>
    </row>
    <row r="246" spans="2:5" x14ac:dyDescent="0.25">
      <c r="B246"/>
      <c r="C246"/>
      <c r="D246"/>
      <c r="E246"/>
    </row>
    <row r="247" spans="2:5" x14ac:dyDescent="0.25">
      <c r="B247"/>
      <c r="C247"/>
      <c r="D247"/>
      <c r="E247"/>
    </row>
    <row r="248" spans="2:5" x14ac:dyDescent="0.25">
      <c r="B248"/>
      <c r="C248"/>
      <c r="D248"/>
      <c r="E248"/>
    </row>
    <row r="249" spans="2:5" x14ac:dyDescent="0.25">
      <c r="B249"/>
      <c r="C249"/>
      <c r="D249"/>
      <c r="E249"/>
    </row>
    <row r="250" spans="2:5" x14ac:dyDescent="0.25">
      <c r="B250"/>
      <c r="C250"/>
      <c r="D250"/>
      <c r="E250"/>
    </row>
    <row r="251" spans="2:5" x14ac:dyDescent="0.25">
      <c r="B251"/>
      <c r="C251"/>
      <c r="D251"/>
      <c r="E251"/>
    </row>
    <row r="252" spans="2:5" x14ac:dyDescent="0.25">
      <c r="B252"/>
      <c r="C252"/>
      <c r="D252"/>
      <c r="E252"/>
    </row>
    <row r="253" spans="2:5" x14ac:dyDescent="0.25">
      <c r="B253"/>
      <c r="C253"/>
      <c r="D253"/>
      <c r="E253"/>
    </row>
    <row r="254" spans="2:5" x14ac:dyDescent="0.25">
      <c r="B254"/>
      <c r="C254"/>
      <c r="D254"/>
      <c r="E254"/>
    </row>
    <row r="255" spans="2:5" x14ac:dyDescent="0.25">
      <c r="B255"/>
      <c r="C255"/>
      <c r="D255"/>
      <c r="E255"/>
    </row>
    <row r="256" spans="2:5" x14ac:dyDescent="0.25">
      <c r="B256"/>
      <c r="C256"/>
      <c r="D256"/>
      <c r="E256"/>
    </row>
    <row r="257" spans="2:5" x14ac:dyDescent="0.25">
      <c r="B257"/>
      <c r="C257"/>
      <c r="D257"/>
      <c r="E257"/>
    </row>
    <row r="258" spans="2:5" x14ac:dyDescent="0.25">
      <c r="B258"/>
      <c r="C258"/>
      <c r="D258"/>
      <c r="E258"/>
    </row>
    <row r="259" spans="2:5" x14ac:dyDescent="0.25">
      <c r="B259"/>
      <c r="C259"/>
      <c r="D259"/>
      <c r="E259"/>
    </row>
    <row r="260" spans="2:5" x14ac:dyDescent="0.25">
      <c r="B260"/>
      <c r="C260"/>
      <c r="D260"/>
      <c r="E260"/>
    </row>
    <row r="261" spans="2:5" x14ac:dyDescent="0.25">
      <c r="B261"/>
      <c r="C261"/>
      <c r="D261"/>
      <c r="E261"/>
    </row>
    <row r="262" spans="2:5" x14ac:dyDescent="0.25">
      <c r="B262"/>
      <c r="C262"/>
      <c r="D262"/>
      <c r="E262"/>
    </row>
    <row r="263" spans="2:5" x14ac:dyDescent="0.25">
      <c r="B263"/>
      <c r="C263"/>
      <c r="D263"/>
      <c r="E263"/>
    </row>
    <row r="264" spans="2:5" x14ac:dyDescent="0.25">
      <c r="B264"/>
      <c r="C264"/>
      <c r="D264"/>
      <c r="E264"/>
    </row>
    <row r="265" spans="2:5" x14ac:dyDescent="0.25">
      <c r="B265"/>
      <c r="C265"/>
      <c r="D265"/>
      <c r="E265"/>
    </row>
    <row r="266" spans="2:5" x14ac:dyDescent="0.25">
      <c r="B266"/>
      <c r="C266"/>
      <c r="D266"/>
      <c r="E266"/>
    </row>
    <row r="267" spans="2:5" x14ac:dyDescent="0.25">
      <c r="B267"/>
      <c r="C267"/>
      <c r="D267"/>
      <c r="E267"/>
    </row>
    <row r="268" spans="2:5" x14ac:dyDescent="0.25">
      <c r="B268"/>
      <c r="C268"/>
      <c r="D268"/>
      <c r="E268"/>
    </row>
    <row r="269" spans="2:5" x14ac:dyDescent="0.25">
      <c r="B269"/>
      <c r="C269"/>
      <c r="D269"/>
      <c r="E269"/>
    </row>
    <row r="270" spans="2:5" x14ac:dyDescent="0.25">
      <c r="B270"/>
      <c r="C270"/>
      <c r="D270"/>
      <c r="E270"/>
    </row>
    <row r="271" spans="2:5" x14ac:dyDescent="0.25">
      <c r="B271"/>
      <c r="C271"/>
      <c r="D271"/>
      <c r="E271"/>
    </row>
    <row r="272" spans="2:5" x14ac:dyDescent="0.25">
      <c r="B272"/>
      <c r="C272"/>
      <c r="D272"/>
      <c r="E272"/>
    </row>
    <row r="273" spans="2:5" x14ac:dyDescent="0.25">
      <c r="B273"/>
      <c r="C273"/>
      <c r="D273"/>
      <c r="E273"/>
    </row>
    <row r="274" spans="2:5" x14ac:dyDescent="0.25">
      <c r="B274"/>
      <c r="C274"/>
      <c r="D274"/>
      <c r="E274"/>
    </row>
    <row r="275" spans="2:5" x14ac:dyDescent="0.25">
      <c r="B275"/>
      <c r="C275"/>
      <c r="D275"/>
      <c r="E275"/>
    </row>
    <row r="276" spans="2:5" x14ac:dyDescent="0.25">
      <c r="B276"/>
      <c r="C276"/>
      <c r="D276"/>
      <c r="E276"/>
    </row>
    <row r="277" spans="2:5" x14ac:dyDescent="0.25">
      <c r="B277"/>
      <c r="C277"/>
      <c r="D277"/>
      <c r="E277"/>
    </row>
    <row r="278" spans="2:5" x14ac:dyDescent="0.25">
      <c r="B278"/>
      <c r="C278"/>
      <c r="D278"/>
      <c r="E278"/>
    </row>
    <row r="279" spans="2:5" x14ac:dyDescent="0.25">
      <c r="B279"/>
      <c r="C279"/>
      <c r="D279"/>
      <c r="E279"/>
    </row>
    <row r="280" spans="2:5" x14ac:dyDescent="0.25">
      <c r="B280"/>
      <c r="C280"/>
      <c r="D280"/>
      <c r="E280"/>
    </row>
    <row r="281" spans="2:5" x14ac:dyDescent="0.25">
      <c r="B281"/>
      <c r="C281"/>
      <c r="D281"/>
      <c r="E281"/>
    </row>
    <row r="282" spans="2:5" x14ac:dyDescent="0.25">
      <c r="B282"/>
      <c r="C282"/>
      <c r="D282"/>
      <c r="E282"/>
    </row>
    <row r="283" spans="2:5" x14ac:dyDescent="0.25">
      <c r="B283"/>
      <c r="C283"/>
      <c r="D283"/>
      <c r="E283"/>
    </row>
    <row r="284" spans="2:5" x14ac:dyDescent="0.25">
      <c r="B284"/>
      <c r="C284"/>
      <c r="D284"/>
      <c r="E284"/>
    </row>
    <row r="285" spans="2:5" x14ac:dyDescent="0.25">
      <c r="B285"/>
      <c r="C285"/>
      <c r="D285"/>
      <c r="E285"/>
    </row>
    <row r="286" spans="2:5" x14ac:dyDescent="0.25">
      <c r="B286"/>
      <c r="C286"/>
      <c r="D286"/>
      <c r="E286"/>
    </row>
    <row r="287" spans="2:5" x14ac:dyDescent="0.25">
      <c r="B287"/>
      <c r="C287"/>
      <c r="D287"/>
      <c r="E287"/>
    </row>
    <row r="288" spans="2:5" x14ac:dyDescent="0.25">
      <c r="B288"/>
      <c r="C288"/>
      <c r="D288"/>
      <c r="E288"/>
    </row>
    <row r="289" spans="2:5" x14ac:dyDescent="0.25">
      <c r="B289"/>
      <c r="C289"/>
      <c r="D289"/>
      <c r="E289"/>
    </row>
    <row r="290" spans="2:5" x14ac:dyDescent="0.25">
      <c r="B290"/>
      <c r="C290"/>
      <c r="D290"/>
      <c r="E290"/>
    </row>
    <row r="291" spans="2:5" x14ac:dyDescent="0.25">
      <c r="B291"/>
      <c r="C291"/>
      <c r="D291"/>
      <c r="E291"/>
    </row>
    <row r="292" spans="2:5" x14ac:dyDescent="0.25">
      <c r="B292"/>
      <c r="C292"/>
      <c r="D292"/>
      <c r="E292"/>
    </row>
    <row r="293" spans="2:5" x14ac:dyDescent="0.25">
      <c r="B293"/>
      <c r="C293"/>
      <c r="D293"/>
      <c r="E293"/>
    </row>
    <row r="294" spans="2:5" x14ac:dyDescent="0.25">
      <c r="B294"/>
      <c r="C294"/>
      <c r="D294"/>
      <c r="E294"/>
    </row>
    <row r="295" spans="2:5" x14ac:dyDescent="0.25">
      <c r="B295"/>
      <c r="C295"/>
      <c r="D295"/>
      <c r="E295"/>
    </row>
    <row r="296" spans="2:5" x14ac:dyDescent="0.25">
      <c r="B296"/>
      <c r="C296"/>
      <c r="D296"/>
      <c r="E296"/>
    </row>
    <row r="297" spans="2:5" x14ac:dyDescent="0.25">
      <c r="B297"/>
      <c r="C297"/>
      <c r="D297"/>
      <c r="E297"/>
    </row>
    <row r="298" spans="2:5" x14ac:dyDescent="0.25">
      <c r="B298"/>
      <c r="C298"/>
      <c r="D298"/>
      <c r="E298"/>
    </row>
    <row r="299" spans="2:5" x14ac:dyDescent="0.25">
      <c r="B299"/>
      <c r="C299"/>
      <c r="D299"/>
      <c r="E299"/>
    </row>
    <row r="300" spans="2:5" x14ac:dyDescent="0.25">
      <c r="B300"/>
      <c r="C300"/>
      <c r="D300"/>
      <c r="E300"/>
    </row>
    <row r="301" spans="2:5" x14ac:dyDescent="0.25">
      <c r="B301"/>
      <c r="C301"/>
      <c r="D301"/>
      <c r="E301"/>
    </row>
    <row r="302" spans="2:5" x14ac:dyDescent="0.25">
      <c r="B302"/>
      <c r="C302"/>
      <c r="D302"/>
      <c r="E302"/>
    </row>
    <row r="303" spans="2:5" x14ac:dyDescent="0.25">
      <c r="B303"/>
      <c r="C303"/>
      <c r="D303"/>
      <c r="E303"/>
    </row>
    <row r="304" spans="2:5" x14ac:dyDescent="0.25">
      <c r="B304"/>
      <c r="C304"/>
      <c r="D304"/>
      <c r="E304"/>
    </row>
    <row r="305" spans="2:5" x14ac:dyDescent="0.25">
      <c r="B305"/>
      <c r="C305"/>
      <c r="D305"/>
      <c r="E305"/>
    </row>
    <row r="306" spans="2:5" x14ac:dyDescent="0.25">
      <c r="B306"/>
      <c r="C306"/>
      <c r="D306"/>
      <c r="E306"/>
    </row>
    <row r="307" spans="2:5" x14ac:dyDescent="0.25">
      <c r="B307"/>
      <c r="C307"/>
      <c r="D307"/>
      <c r="E307"/>
    </row>
    <row r="308" spans="2:5" x14ac:dyDescent="0.25">
      <c r="B308"/>
      <c r="C308"/>
      <c r="D308"/>
      <c r="E308"/>
    </row>
    <row r="309" spans="2:5" x14ac:dyDescent="0.25">
      <c r="B309"/>
      <c r="C309"/>
      <c r="D309"/>
      <c r="E309"/>
    </row>
    <row r="310" spans="2:5" x14ac:dyDescent="0.25">
      <c r="B310"/>
      <c r="C310"/>
      <c r="D310"/>
      <c r="E310"/>
    </row>
    <row r="311" spans="2:5" x14ac:dyDescent="0.25">
      <c r="B311"/>
      <c r="C311"/>
      <c r="D311"/>
      <c r="E311"/>
    </row>
    <row r="312" spans="2:5" x14ac:dyDescent="0.25">
      <c r="B312"/>
      <c r="C312"/>
      <c r="D312"/>
      <c r="E312"/>
    </row>
    <row r="313" spans="2:5" x14ac:dyDescent="0.25">
      <c r="B313"/>
      <c r="C313"/>
      <c r="D313"/>
      <c r="E313"/>
    </row>
    <row r="314" spans="2:5" x14ac:dyDescent="0.25">
      <c r="B314"/>
      <c r="C314"/>
      <c r="D314"/>
      <c r="E314"/>
    </row>
    <row r="315" spans="2:5" x14ac:dyDescent="0.25">
      <c r="B315"/>
      <c r="C315"/>
      <c r="D315"/>
      <c r="E315"/>
    </row>
    <row r="316" spans="2:5" x14ac:dyDescent="0.25">
      <c r="B316"/>
      <c r="C316"/>
      <c r="D316"/>
      <c r="E316"/>
    </row>
    <row r="317" spans="2:5" x14ac:dyDescent="0.25">
      <c r="B317"/>
      <c r="C317"/>
      <c r="D317"/>
      <c r="E317"/>
    </row>
    <row r="318" spans="2:5" x14ac:dyDescent="0.25">
      <c r="B318"/>
      <c r="C318"/>
      <c r="D318"/>
      <c r="E318"/>
    </row>
    <row r="319" spans="2:5" x14ac:dyDescent="0.25">
      <c r="B319"/>
      <c r="C319"/>
      <c r="D319"/>
      <c r="E319"/>
    </row>
    <row r="320" spans="2:5" x14ac:dyDescent="0.25">
      <c r="B320"/>
      <c r="C320"/>
      <c r="D320"/>
      <c r="E320"/>
    </row>
    <row r="321" spans="2:5" x14ac:dyDescent="0.25">
      <c r="B321"/>
      <c r="C321"/>
      <c r="D321"/>
      <c r="E321"/>
    </row>
    <row r="322" spans="2:5" x14ac:dyDescent="0.25">
      <c r="B322"/>
      <c r="C322"/>
      <c r="D322"/>
      <c r="E322"/>
    </row>
    <row r="323" spans="2:5" x14ac:dyDescent="0.25">
      <c r="B323"/>
      <c r="C323"/>
      <c r="D323"/>
      <c r="E323"/>
    </row>
    <row r="324" spans="2:5" x14ac:dyDescent="0.25">
      <c r="B324"/>
      <c r="C324"/>
      <c r="D324"/>
      <c r="E324"/>
    </row>
    <row r="325" spans="2:5" x14ac:dyDescent="0.25">
      <c r="B325"/>
      <c r="C325"/>
      <c r="D325"/>
      <c r="E325"/>
    </row>
    <row r="326" spans="2:5" x14ac:dyDescent="0.25">
      <c r="B326"/>
      <c r="C326"/>
      <c r="D326"/>
      <c r="E326"/>
    </row>
    <row r="327" spans="2:5" x14ac:dyDescent="0.25">
      <c r="B327"/>
      <c r="C327"/>
      <c r="D327"/>
      <c r="E327"/>
    </row>
    <row r="328" spans="2:5" x14ac:dyDescent="0.25">
      <c r="B328"/>
      <c r="C328"/>
      <c r="D328"/>
      <c r="E328"/>
    </row>
    <row r="329" spans="2:5" x14ac:dyDescent="0.25">
      <c r="B329"/>
      <c r="C329"/>
      <c r="D329"/>
      <c r="E329"/>
    </row>
    <row r="330" spans="2:5" x14ac:dyDescent="0.25">
      <c r="B330"/>
      <c r="C330"/>
      <c r="D330"/>
      <c r="E330"/>
    </row>
    <row r="331" spans="2:5" x14ac:dyDescent="0.25">
      <c r="B331"/>
      <c r="C331"/>
      <c r="D331"/>
      <c r="E331"/>
    </row>
    <row r="332" spans="2:5" x14ac:dyDescent="0.25">
      <c r="B332"/>
      <c r="C332"/>
      <c r="D332"/>
      <c r="E332"/>
    </row>
    <row r="333" spans="2:5" x14ac:dyDescent="0.25">
      <c r="B333"/>
      <c r="C333"/>
      <c r="D333"/>
      <c r="E333"/>
    </row>
    <row r="334" spans="2:5" x14ac:dyDescent="0.25">
      <c r="B334"/>
      <c r="C334"/>
      <c r="D334"/>
      <c r="E334"/>
    </row>
    <row r="335" spans="2:5" x14ac:dyDescent="0.25">
      <c r="B335"/>
      <c r="C335"/>
      <c r="D335"/>
      <c r="E335"/>
    </row>
    <row r="336" spans="2:5" x14ac:dyDescent="0.25">
      <c r="B336"/>
      <c r="C336"/>
      <c r="D336"/>
      <c r="E336"/>
    </row>
    <row r="337" spans="2:5" x14ac:dyDescent="0.25">
      <c r="B337"/>
      <c r="C337"/>
      <c r="D337"/>
      <c r="E337"/>
    </row>
    <row r="338" spans="2:5" x14ac:dyDescent="0.25">
      <c r="B338"/>
      <c r="C338"/>
      <c r="D338"/>
      <c r="E338"/>
    </row>
    <row r="339" spans="2:5" x14ac:dyDescent="0.25">
      <c r="B339"/>
      <c r="C339"/>
      <c r="D339"/>
      <c r="E339"/>
    </row>
    <row r="340" spans="2:5" x14ac:dyDescent="0.25">
      <c r="B340"/>
      <c r="C340"/>
      <c r="D340"/>
      <c r="E340"/>
    </row>
    <row r="341" spans="2:5" x14ac:dyDescent="0.25">
      <c r="B341"/>
      <c r="C341"/>
      <c r="D341"/>
      <c r="E341"/>
    </row>
    <row r="342" spans="2:5" x14ac:dyDescent="0.25">
      <c r="B342"/>
      <c r="C342"/>
      <c r="D342"/>
      <c r="E342"/>
    </row>
    <row r="343" spans="2:5" x14ac:dyDescent="0.25">
      <c r="B343"/>
      <c r="C343"/>
      <c r="D343"/>
      <c r="E343"/>
    </row>
    <row r="344" spans="2:5" x14ac:dyDescent="0.25">
      <c r="B344"/>
      <c r="C344"/>
      <c r="D344"/>
      <c r="E344"/>
    </row>
    <row r="345" spans="2:5" x14ac:dyDescent="0.25">
      <c r="B345"/>
      <c r="C345"/>
      <c r="D345"/>
      <c r="E345"/>
    </row>
    <row r="346" spans="2:5" x14ac:dyDescent="0.25">
      <c r="B346"/>
      <c r="C346"/>
      <c r="D346"/>
      <c r="E346"/>
    </row>
    <row r="347" spans="2:5" x14ac:dyDescent="0.25">
      <c r="B347"/>
      <c r="C347"/>
      <c r="D347"/>
      <c r="E347"/>
    </row>
    <row r="348" spans="2:5" x14ac:dyDescent="0.25">
      <c r="B348"/>
      <c r="C348"/>
      <c r="D348"/>
      <c r="E348"/>
    </row>
    <row r="349" spans="2:5" x14ac:dyDescent="0.25">
      <c r="B349"/>
      <c r="C349"/>
      <c r="D349"/>
      <c r="E349"/>
    </row>
    <row r="350" spans="2:5" x14ac:dyDescent="0.25">
      <c r="B350"/>
      <c r="C350"/>
      <c r="D350"/>
      <c r="E350"/>
    </row>
    <row r="351" spans="2:5" x14ac:dyDescent="0.25">
      <c r="B351"/>
      <c r="C351"/>
      <c r="D351"/>
      <c r="E351"/>
    </row>
    <row r="352" spans="2:5" x14ac:dyDescent="0.25">
      <c r="B352"/>
      <c r="C352"/>
      <c r="D352"/>
      <c r="E352"/>
    </row>
    <row r="353" spans="2:5" x14ac:dyDescent="0.25">
      <c r="B353"/>
      <c r="C353"/>
      <c r="D353"/>
      <c r="E353"/>
    </row>
    <row r="354" spans="2:5" x14ac:dyDescent="0.25">
      <c r="B354"/>
      <c r="C354"/>
      <c r="D354"/>
      <c r="E354"/>
    </row>
    <row r="355" spans="2:5" x14ac:dyDescent="0.25">
      <c r="B355"/>
      <c r="C355"/>
      <c r="D355"/>
      <c r="E355"/>
    </row>
    <row r="356" spans="2:5" x14ac:dyDescent="0.25">
      <c r="B356"/>
      <c r="C356"/>
      <c r="D356"/>
      <c r="E356"/>
    </row>
    <row r="357" spans="2:5" x14ac:dyDescent="0.25">
      <c r="B357"/>
      <c r="C357"/>
      <c r="D357"/>
      <c r="E357"/>
    </row>
    <row r="358" spans="2:5" x14ac:dyDescent="0.25">
      <c r="B358"/>
      <c r="C358"/>
      <c r="D358"/>
      <c r="E358"/>
    </row>
    <row r="359" spans="2:5" x14ac:dyDescent="0.25">
      <c r="B359"/>
      <c r="C359"/>
      <c r="D359"/>
      <c r="E359"/>
    </row>
    <row r="360" spans="2:5" x14ac:dyDescent="0.25">
      <c r="B360"/>
      <c r="C360"/>
      <c r="D360"/>
      <c r="E360"/>
    </row>
    <row r="361" spans="2:5" x14ac:dyDescent="0.25">
      <c r="B361"/>
      <c r="C361"/>
      <c r="D361"/>
      <c r="E361"/>
    </row>
    <row r="362" spans="2:5" x14ac:dyDescent="0.25">
      <c r="B362"/>
      <c r="C362"/>
      <c r="D362"/>
      <c r="E362"/>
    </row>
    <row r="363" spans="2:5" x14ac:dyDescent="0.25">
      <c r="B363"/>
      <c r="C363"/>
      <c r="D363"/>
      <c r="E363"/>
    </row>
    <row r="364" spans="2:5" x14ac:dyDescent="0.25">
      <c r="B364"/>
      <c r="C364"/>
      <c r="D364"/>
      <c r="E364"/>
    </row>
    <row r="365" spans="2:5" x14ac:dyDescent="0.25">
      <c r="B365"/>
      <c r="C365"/>
      <c r="D365"/>
      <c r="E365"/>
    </row>
    <row r="366" spans="2:5" x14ac:dyDescent="0.25">
      <c r="B366"/>
      <c r="C366"/>
      <c r="D366"/>
      <c r="E366"/>
    </row>
    <row r="367" spans="2:5" x14ac:dyDescent="0.25">
      <c r="B367"/>
      <c r="C367"/>
      <c r="D367"/>
      <c r="E367"/>
    </row>
    <row r="368" spans="2:5" x14ac:dyDescent="0.25">
      <c r="B368"/>
      <c r="C368"/>
      <c r="D368"/>
      <c r="E368"/>
    </row>
    <row r="369" spans="2:5" x14ac:dyDescent="0.25">
      <c r="B369"/>
      <c r="C369"/>
      <c r="D369"/>
      <c r="E369"/>
    </row>
    <row r="370" spans="2:5" x14ac:dyDescent="0.25">
      <c r="B370"/>
      <c r="C370"/>
      <c r="D370"/>
      <c r="E370"/>
    </row>
    <row r="371" spans="2:5" x14ac:dyDescent="0.25">
      <c r="B371"/>
      <c r="C371"/>
      <c r="D371"/>
      <c r="E371"/>
    </row>
    <row r="372" spans="2:5" x14ac:dyDescent="0.25">
      <c r="B372"/>
      <c r="C372"/>
      <c r="D372"/>
      <c r="E372"/>
    </row>
    <row r="373" spans="2:5" x14ac:dyDescent="0.25">
      <c r="B373"/>
      <c r="C373"/>
      <c r="D373"/>
      <c r="E373"/>
    </row>
    <row r="374" spans="2:5" x14ac:dyDescent="0.25">
      <c r="B374"/>
      <c r="C374"/>
      <c r="D374"/>
      <c r="E374"/>
    </row>
    <row r="375" spans="2:5" x14ac:dyDescent="0.25">
      <c r="B375"/>
      <c r="C375"/>
      <c r="D375"/>
      <c r="E375"/>
    </row>
    <row r="376" spans="2:5" x14ac:dyDescent="0.25">
      <c r="B376"/>
      <c r="C376"/>
      <c r="D376"/>
      <c r="E376"/>
    </row>
    <row r="377" spans="2:5" x14ac:dyDescent="0.25">
      <c r="B377"/>
      <c r="C377"/>
      <c r="D377"/>
      <c r="E377"/>
    </row>
    <row r="378" spans="2:5" x14ac:dyDescent="0.25">
      <c r="B378"/>
      <c r="C378"/>
      <c r="D378"/>
      <c r="E378"/>
    </row>
    <row r="379" spans="2:5" x14ac:dyDescent="0.25">
      <c r="B379"/>
      <c r="C379"/>
      <c r="D379"/>
      <c r="E379"/>
    </row>
    <row r="380" spans="2:5" x14ac:dyDescent="0.25">
      <c r="B380"/>
      <c r="C380"/>
      <c r="D380"/>
      <c r="E380"/>
    </row>
    <row r="381" spans="2:5" x14ac:dyDescent="0.25">
      <c r="B381"/>
      <c r="C381"/>
      <c r="D381"/>
      <c r="E381"/>
    </row>
    <row r="382" spans="2:5" x14ac:dyDescent="0.25">
      <c r="B382"/>
      <c r="C382"/>
      <c r="D382"/>
      <c r="E382"/>
    </row>
    <row r="383" spans="2:5" x14ac:dyDescent="0.25">
      <c r="B383"/>
      <c r="C383"/>
      <c r="D383"/>
      <c r="E383"/>
    </row>
    <row r="384" spans="2:5" x14ac:dyDescent="0.25">
      <c r="B384"/>
      <c r="C384"/>
      <c r="D384"/>
      <c r="E384"/>
    </row>
    <row r="385" spans="2:5" x14ac:dyDescent="0.25">
      <c r="B385"/>
      <c r="C385"/>
      <c r="D385"/>
      <c r="E385"/>
    </row>
    <row r="386" spans="2:5" x14ac:dyDescent="0.25">
      <c r="B386"/>
      <c r="C386"/>
      <c r="D386"/>
      <c r="E386"/>
    </row>
    <row r="387" spans="2:5" x14ac:dyDescent="0.25">
      <c r="B387"/>
      <c r="C387"/>
      <c r="D387"/>
      <c r="E387"/>
    </row>
    <row r="388" spans="2:5" x14ac:dyDescent="0.25">
      <c r="B388"/>
      <c r="C388"/>
      <c r="D388"/>
      <c r="E388"/>
    </row>
    <row r="389" spans="2:5" x14ac:dyDescent="0.25">
      <c r="B389"/>
      <c r="C389"/>
      <c r="D389"/>
      <c r="E389"/>
    </row>
    <row r="390" spans="2:5" x14ac:dyDescent="0.25">
      <c r="B390"/>
      <c r="C390"/>
      <c r="D390"/>
      <c r="E390"/>
    </row>
    <row r="391" spans="2:5" x14ac:dyDescent="0.25">
      <c r="B391"/>
      <c r="C391"/>
      <c r="D391"/>
      <c r="E391"/>
    </row>
    <row r="392" spans="2:5" x14ac:dyDescent="0.25">
      <c r="B392"/>
      <c r="C392"/>
      <c r="D392"/>
      <c r="E392"/>
    </row>
    <row r="393" spans="2:5" x14ac:dyDescent="0.25">
      <c r="B393"/>
      <c r="C393"/>
      <c r="D393"/>
      <c r="E393"/>
    </row>
    <row r="394" spans="2:5" x14ac:dyDescent="0.25">
      <c r="B394"/>
      <c r="C394"/>
      <c r="D394"/>
      <c r="E394"/>
    </row>
    <row r="395" spans="2:5" x14ac:dyDescent="0.25">
      <c r="B395"/>
      <c r="C395"/>
      <c r="D395"/>
      <c r="E395"/>
    </row>
    <row r="396" spans="2:5" x14ac:dyDescent="0.25">
      <c r="B396"/>
      <c r="C396"/>
      <c r="D396"/>
      <c r="E396"/>
    </row>
    <row r="397" spans="2:5" x14ac:dyDescent="0.25">
      <c r="B397"/>
      <c r="C397"/>
      <c r="D397"/>
      <c r="E397"/>
    </row>
    <row r="398" spans="2:5" x14ac:dyDescent="0.25">
      <c r="B398"/>
      <c r="C398"/>
      <c r="D398"/>
      <c r="E398"/>
    </row>
    <row r="399" spans="2:5" x14ac:dyDescent="0.25">
      <c r="B399"/>
      <c r="C399"/>
      <c r="D399"/>
      <c r="E399"/>
    </row>
    <row r="400" spans="2:5" x14ac:dyDescent="0.25">
      <c r="B400"/>
      <c r="C400"/>
      <c r="D400"/>
      <c r="E400"/>
    </row>
    <row r="401" spans="2:5" x14ac:dyDescent="0.25">
      <c r="B401"/>
      <c r="C401"/>
      <c r="D401"/>
      <c r="E401"/>
    </row>
    <row r="402" spans="2:5" x14ac:dyDescent="0.25">
      <c r="B402"/>
      <c r="C402"/>
      <c r="D402"/>
      <c r="E402"/>
    </row>
    <row r="403" spans="2:5" x14ac:dyDescent="0.25">
      <c r="B403"/>
      <c r="C403"/>
      <c r="D403"/>
      <c r="E403"/>
    </row>
    <row r="404" spans="2:5" x14ac:dyDescent="0.25">
      <c r="B404"/>
      <c r="C404"/>
      <c r="D404"/>
      <c r="E404"/>
    </row>
    <row r="405" spans="2:5" x14ac:dyDescent="0.25">
      <c r="B405"/>
      <c r="C405"/>
      <c r="D405"/>
      <c r="E405"/>
    </row>
    <row r="406" spans="2:5" x14ac:dyDescent="0.25">
      <c r="B406"/>
      <c r="C406"/>
      <c r="D406"/>
      <c r="E406"/>
    </row>
    <row r="407" spans="2:5" x14ac:dyDescent="0.25">
      <c r="B407"/>
      <c r="C407"/>
      <c r="D407"/>
      <c r="E407"/>
    </row>
    <row r="408" spans="2:5" x14ac:dyDescent="0.25">
      <c r="B408"/>
      <c r="C408"/>
      <c r="D408"/>
      <c r="E408"/>
    </row>
    <row r="409" spans="2:5" x14ac:dyDescent="0.25">
      <c r="B409"/>
      <c r="C409"/>
      <c r="D409"/>
      <c r="E409"/>
    </row>
    <row r="410" spans="2:5" x14ac:dyDescent="0.25">
      <c r="B410"/>
      <c r="C410"/>
      <c r="D410"/>
      <c r="E410"/>
    </row>
    <row r="411" spans="2:5" x14ac:dyDescent="0.25">
      <c r="B411"/>
      <c r="C411"/>
      <c r="D411"/>
      <c r="E411"/>
    </row>
    <row r="412" spans="2:5" x14ac:dyDescent="0.25">
      <c r="B412"/>
      <c r="C412"/>
      <c r="D412"/>
      <c r="E412"/>
    </row>
    <row r="413" spans="2:5" x14ac:dyDescent="0.25">
      <c r="B413"/>
      <c r="C413"/>
      <c r="D413"/>
      <c r="E413"/>
    </row>
    <row r="414" spans="2:5" x14ac:dyDescent="0.25">
      <c r="B414"/>
      <c r="C414"/>
      <c r="D414"/>
      <c r="E414"/>
    </row>
    <row r="415" spans="2:5" x14ac:dyDescent="0.25">
      <c r="B415"/>
      <c r="C415"/>
      <c r="D415"/>
      <c r="E415"/>
    </row>
    <row r="416" spans="2:5" x14ac:dyDescent="0.25">
      <c r="B416"/>
      <c r="C416"/>
      <c r="D416"/>
      <c r="E416"/>
    </row>
    <row r="417" spans="2:5" x14ac:dyDescent="0.25">
      <c r="B417"/>
      <c r="C417"/>
      <c r="D417"/>
      <c r="E417"/>
    </row>
    <row r="418" spans="2:5" x14ac:dyDescent="0.25">
      <c r="B418"/>
      <c r="C418"/>
      <c r="D418"/>
      <c r="E418"/>
    </row>
    <row r="419" spans="2:5" x14ac:dyDescent="0.25">
      <c r="B419"/>
      <c r="C419"/>
      <c r="D419"/>
      <c r="E419"/>
    </row>
    <row r="420" spans="2:5" x14ac:dyDescent="0.25">
      <c r="B420"/>
      <c r="C420"/>
      <c r="D420"/>
      <c r="E420"/>
    </row>
    <row r="421" spans="2:5" x14ac:dyDescent="0.25">
      <c r="B421"/>
      <c r="C421"/>
      <c r="D421"/>
      <c r="E421"/>
    </row>
    <row r="422" spans="2:5" x14ac:dyDescent="0.25">
      <c r="B422"/>
      <c r="C422"/>
      <c r="D422"/>
      <c r="E422"/>
    </row>
    <row r="423" spans="2:5" x14ac:dyDescent="0.25">
      <c r="B423"/>
      <c r="C423"/>
      <c r="D423"/>
      <c r="E423"/>
    </row>
    <row r="424" spans="2:5" x14ac:dyDescent="0.25">
      <c r="B424"/>
      <c r="C424"/>
      <c r="D424"/>
      <c r="E424"/>
    </row>
    <row r="425" spans="2:5" x14ac:dyDescent="0.25">
      <c r="B425"/>
      <c r="C425"/>
      <c r="D425"/>
      <c r="E425"/>
    </row>
    <row r="426" spans="2:5" x14ac:dyDescent="0.25">
      <c r="B426"/>
      <c r="C426"/>
      <c r="D426"/>
      <c r="E426"/>
    </row>
    <row r="427" spans="2:5" x14ac:dyDescent="0.25">
      <c r="B427"/>
      <c r="C427"/>
      <c r="D427"/>
      <c r="E427"/>
    </row>
    <row r="428" spans="2:5" x14ac:dyDescent="0.25">
      <c r="B428"/>
      <c r="C428"/>
      <c r="D428"/>
      <c r="E428"/>
    </row>
    <row r="429" spans="2:5" x14ac:dyDescent="0.25">
      <c r="B429"/>
      <c r="C429"/>
      <c r="D429"/>
      <c r="E429"/>
    </row>
    <row r="430" spans="2:5" x14ac:dyDescent="0.25">
      <c r="B430"/>
      <c r="C430"/>
      <c r="D430"/>
      <c r="E430"/>
    </row>
    <row r="431" spans="2:5" x14ac:dyDescent="0.25">
      <c r="B431"/>
      <c r="C431"/>
      <c r="D431"/>
      <c r="E431"/>
    </row>
    <row r="432" spans="2:5" x14ac:dyDescent="0.25">
      <c r="B432"/>
      <c r="C432"/>
      <c r="D432"/>
      <c r="E432"/>
    </row>
    <row r="433" spans="2:5" x14ac:dyDescent="0.25">
      <c r="B433"/>
      <c r="C433"/>
      <c r="D433"/>
      <c r="E433"/>
    </row>
    <row r="434" spans="2:5" x14ac:dyDescent="0.25">
      <c r="B434"/>
      <c r="C434"/>
      <c r="D434"/>
      <c r="E434"/>
    </row>
    <row r="435" spans="2:5" x14ac:dyDescent="0.25">
      <c r="B435"/>
      <c r="C435"/>
      <c r="D435"/>
      <c r="E435"/>
    </row>
    <row r="436" spans="2:5" x14ac:dyDescent="0.25">
      <c r="B436"/>
      <c r="C436"/>
      <c r="D436"/>
      <c r="E436"/>
    </row>
    <row r="437" spans="2:5" x14ac:dyDescent="0.25">
      <c r="B437"/>
      <c r="C437"/>
      <c r="D437"/>
      <c r="E437"/>
    </row>
    <row r="438" spans="2:5" x14ac:dyDescent="0.25">
      <c r="B438"/>
      <c r="C438"/>
      <c r="D438"/>
      <c r="E438"/>
    </row>
    <row r="439" spans="2:5" x14ac:dyDescent="0.25">
      <c r="B439"/>
      <c r="C439"/>
      <c r="D439"/>
      <c r="E439"/>
    </row>
    <row r="440" spans="2:5" x14ac:dyDescent="0.25">
      <c r="B440"/>
      <c r="C440"/>
      <c r="D440"/>
      <c r="E440"/>
    </row>
    <row r="441" spans="2:5" x14ac:dyDescent="0.25">
      <c r="B441"/>
      <c r="C441"/>
      <c r="D441"/>
      <c r="E441"/>
    </row>
    <row r="442" spans="2:5" x14ac:dyDescent="0.25">
      <c r="B442"/>
      <c r="C442"/>
      <c r="D442"/>
      <c r="E442"/>
    </row>
    <row r="443" spans="2:5" x14ac:dyDescent="0.25">
      <c r="B443"/>
      <c r="C443"/>
      <c r="D443"/>
      <c r="E443"/>
    </row>
    <row r="444" spans="2:5" x14ac:dyDescent="0.25">
      <c r="B444"/>
      <c r="C444"/>
      <c r="D444"/>
      <c r="E444"/>
    </row>
    <row r="445" spans="2:5" x14ac:dyDescent="0.25">
      <c r="B445"/>
      <c r="C445"/>
      <c r="D445"/>
      <c r="E445"/>
    </row>
    <row r="446" spans="2:5" x14ac:dyDescent="0.25">
      <c r="B446"/>
      <c r="C446"/>
      <c r="D446"/>
      <c r="E446"/>
    </row>
    <row r="447" spans="2:5" x14ac:dyDescent="0.25">
      <c r="B447"/>
      <c r="C447"/>
      <c r="D447"/>
      <c r="E447"/>
    </row>
    <row r="448" spans="2:5" x14ac:dyDescent="0.25">
      <c r="B448"/>
      <c r="C448"/>
      <c r="D448"/>
      <c r="E448"/>
    </row>
    <row r="449" spans="2:5" x14ac:dyDescent="0.25">
      <c r="B449"/>
      <c r="C449"/>
      <c r="D449"/>
      <c r="E449"/>
    </row>
    <row r="450" spans="2:5" x14ac:dyDescent="0.25">
      <c r="B450"/>
      <c r="C450"/>
      <c r="D450"/>
      <c r="E450"/>
    </row>
    <row r="451" spans="2:5" x14ac:dyDescent="0.25">
      <c r="B451"/>
      <c r="C451"/>
      <c r="D451"/>
      <c r="E451"/>
    </row>
    <row r="452" spans="2:5" x14ac:dyDescent="0.25">
      <c r="B452"/>
      <c r="C452"/>
      <c r="D452"/>
      <c r="E452"/>
    </row>
    <row r="453" spans="2:5" x14ac:dyDescent="0.25">
      <c r="B453"/>
      <c r="C453"/>
      <c r="D453"/>
      <c r="E453"/>
    </row>
    <row r="454" spans="2:5" x14ac:dyDescent="0.25">
      <c r="B454"/>
      <c r="C454"/>
      <c r="D454"/>
      <c r="E454"/>
    </row>
    <row r="455" spans="2:5" x14ac:dyDescent="0.25">
      <c r="B455"/>
      <c r="C455"/>
      <c r="D455"/>
      <c r="E455"/>
    </row>
    <row r="456" spans="2:5" x14ac:dyDescent="0.25">
      <c r="B456"/>
      <c r="C456"/>
      <c r="D456"/>
      <c r="E456"/>
    </row>
    <row r="457" spans="2:5" x14ac:dyDescent="0.25">
      <c r="B457"/>
      <c r="C457"/>
      <c r="D457"/>
      <c r="E457"/>
    </row>
    <row r="458" spans="2:5" x14ac:dyDescent="0.25">
      <c r="B458"/>
      <c r="C458"/>
      <c r="D458"/>
      <c r="E458"/>
    </row>
    <row r="459" spans="2:5" x14ac:dyDescent="0.25">
      <c r="B459"/>
      <c r="C459"/>
      <c r="D459"/>
      <c r="E459"/>
    </row>
    <row r="460" spans="2:5" x14ac:dyDescent="0.25">
      <c r="B460"/>
      <c r="C460"/>
      <c r="D460"/>
      <c r="E460"/>
    </row>
    <row r="461" spans="2:5" x14ac:dyDescent="0.25">
      <c r="B461"/>
      <c r="C461"/>
      <c r="D461"/>
      <c r="E461"/>
    </row>
    <row r="462" spans="2:5" x14ac:dyDescent="0.25">
      <c r="B462"/>
      <c r="C462"/>
      <c r="D462"/>
      <c r="E462"/>
    </row>
    <row r="463" spans="2:5" x14ac:dyDescent="0.25">
      <c r="B463"/>
      <c r="C463"/>
      <c r="D463"/>
      <c r="E463"/>
    </row>
    <row r="464" spans="2:5" x14ac:dyDescent="0.25">
      <c r="B464"/>
      <c r="C464"/>
      <c r="D464"/>
      <c r="E464"/>
    </row>
    <row r="465" spans="2:5" x14ac:dyDescent="0.25">
      <c r="B465"/>
      <c r="C465"/>
      <c r="D465"/>
      <c r="E465"/>
    </row>
    <row r="466" spans="2:5" x14ac:dyDescent="0.25">
      <c r="B466"/>
      <c r="C466"/>
      <c r="D466"/>
      <c r="E466"/>
    </row>
    <row r="467" spans="2:5" x14ac:dyDescent="0.25">
      <c r="B467"/>
      <c r="C467"/>
      <c r="D467"/>
      <c r="E467"/>
    </row>
    <row r="468" spans="2:5" x14ac:dyDescent="0.25">
      <c r="B468"/>
      <c r="C468"/>
      <c r="D468"/>
      <c r="E468"/>
    </row>
    <row r="469" spans="2:5" x14ac:dyDescent="0.25">
      <c r="B469"/>
      <c r="C469"/>
      <c r="D469"/>
      <c r="E469"/>
    </row>
    <row r="470" spans="2:5" x14ac:dyDescent="0.25">
      <c r="B470"/>
      <c r="C470"/>
      <c r="D470"/>
      <c r="E470"/>
    </row>
    <row r="471" spans="2:5" x14ac:dyDescent="0.25">
      <c r="B471"/>
      <c r="C471"/>
      <c r="D471"/>
      <c r="E471"/>
    </row>
    <row r="472" spans="2:5" x14ac:dyDescent="0.25">
      <c r="B472"/>
      <c r="C472"/>
      <c r="D472"/>
      <c r="E472"/>
    </row>
    <row r="473" spans="2:5" x14ac:dyDescent="0.25">
      <c r="B473"/>
      <c r="C473"/>
      <c r="D473"/>
      <c r="E473"/>
    </row>
    <row r="474" spans="2:5" x14ac:dyDescent="0.25">
      <c r="B474"/>
      <c r="C474"/>
      <c r="D474"/>
      <c r="E474"/>
    </row>
    <row r="475" spans="2:5" x14ac:dyDescent="0.25">
      <c r="B475"/>
      <c r="C475"/>
      <c r="D475"/>
      <c r="E475"/>
    </row>
    <row r="476" spans="2:5" x14ac:dyDescent="0.25">
      <c r="B476"/>
      <c r="C476"/>
      <c r="D476"/>
      <c r="E476"/>
    </row>
    <row r="477" spans="2:5" x14ac:dyDescent="0.25">
      <c r="B477"/>
      <c r="C477"/>
      <c r="D477"/>
      <c r="E477"/>
    </row>
    <row r="478" spans="2:5" x14ac:dyDescent="0.25">
      <c r="B478"/>
      <c r="C478"/>
      <c r="D478"/>
      <c r="E478"/>
    </row>
    <row r="479" spans="2:5" x14ac:dyDescent="0.25">
      <c r="B479"/>
      <c r="C479"/>
      <c r="D479"/>
      <c r="E479"/>
    </row>
    <row r="480" spans="2:5" x14ac:dyDescent="0.25">
      <c r="B480"/>
      <c r="C480"/>
      <c r="D480"/>
      <c r="E480"/>
    </row>
    <row r="481" spans="2:5" x14ac:dyDescent="0.25">
      <c r="B481"/>
      <c r="C481"/>
      <c r="D481"/>
      <c r="E481"/>
    </row>
    <row r="482" spans="2:5" x14ac:dyDescent="0.25">
      <c r="B482"/>
      <c r="C482"/>
      <c r="D482"/>
      <c r="E482"/>
    </row>
    <row r="483" spans="2:5" x14ac:dyDescent="0.25">
      <c r="B483"/>
      <c r="C483"/>
      <c r="D483"/>
      <c r="E483"/>
    </row>
    <row r="484" spans="2:5" x14ac:dyDescent="0.25">
      <c r="B484"/>
      <c r="C484"/>
      <c r="D484"/>
      <c r="E484"/>
    </row>
    <row r="485" spans="2:5" x14ac:dyDescent="0.25">
      <c r="B485"/>
      <c r="C485"/>
      <c r="D485"/>
      <c r="E485"/>
    </row>
    <row r="486" spans="2:5" x14ac:dyDescent="0.25">
      <c r="B486"/>
      <c r="C486"/>
      <c r="D486"/>
      <c r="E486"/>
    </row>
    <row r="487" spans="2:5" x14ac:dyDescent="0.25">
      <c r="B487"/>
      <c r="C487"/>
      <c r="D487"/>
      <c r="E487"/>
    </row>
    <row r="488" spans="2:5" x14ac:dyDescent="0.25">
      <c r="B488"/>
      <c r="C488"/>
      <c r="D488"/>
      <c r="E488"/>
    </row>
    <row r="489" spans="2:5" x14ac:dyDescent="0.25">
      <c r="B489"/>
      <c r="C489"/>
      <c r="D489"/>
      <c r="E489"/>
    </row>
    <row r="490" spans="2:5" x14ac:dyDescent="0.25">
      <c r="B490"/>
      <c r="C490"/>
      <c r="D490"/>
      <c r="E490"/>
    </row>
    <row r="491" spans="2:5" x14ac:dyDescent="0.25">
      <c r="B491"/>
      <c r="C491"/>
      <c r="D491"/>
      <c r="E491"/>
    </row>
    <row r="492" spans="2:5" x14ac:dyDescent="0.25">
      <c r="B492"/>
      <c r="C492"/>
      <c r="D492"/>
      <c r="E492"/>
    </row>
    <row r="493" spans="2:5" x14ac:dyDescent="0.25">
      <c r="B493"/>
      <c r="C493"/>
      <c r="D493"/>
      <c r="E493"/>
    </row>
    <row r="494" spans="2:5" x14ac:dyDescent="0.25">
      <c r="B494"/>
      <c r="C494"/>
      <c r="D494"/>
      <c r="E494"/>
    </row>
    <row r="495" spans="2:5" x14ac:dyDescent="0.25">
      <c r="B495"/>
      <c r="C495"/>
      <c r="D495"/>
      <c r="E495"/>
    </row>
    <row r="496" spans="2:5" x14ac:dyDescent="0.25">
      <c r="B496"/>
      <c r="C496"/>
      <c r="D496"/>
      <c r="E496"/>
    </row>
    <row r="497" spans="2:5" x14ac:dyDescent="0.25">
      <c r="B497"/>
      <c r="C497"/>
      <c r="D497"/>
      <c r="E497"/>
    </row>
    <row r="498" spans="2:5" x14ac:dyDescent="0.25">
      <c r="B498"/>
      <c r="C498"/>
      <c r="D498"/>
      <c r="E498"/>
    </row>
    <row r="499" spans="2:5" x14ac:dyDescent="0.25">
      <c r="B499"/>
      <c r="C499"/>
      <c r="D499"/>
      <c r="E499"/>
    </row>
    <row r="500" spans="2:5" x14ac:dyDescent="0.25">
      <c r="B500"/>
      <c r="C500"/>
      <c r="D500"/>
      <c r="E500"/>
    </row>
    <row r="501" spans="2:5" x14ac:dyDescent="0.25">
      <c r="B501"/>
      <c r="C501"/>
      <c r="D501"/>
      <c r="E501"/>
    </row>
    <row r="502" spans="2:5" x14ac:dyDescent="0.25">
      <c r="B502"/>
      <c r="C502"/>
      <c r="D502"/>
      <c r="E502"/>
    </row>
    <row r="503" spans="2:5" x14ac:dyDescent="0.25">
      <c r="B503"/>
      <c r="C503"/>
      <c r="D503"/>
      <c r="E503"/>
    </row>
    <row r="504" spans="2:5" x14ac:dyDescent="0.25">
      <c r="B504"/>
      <c r="C504"/>
      <c r="D504"/>
      <c r="E504"/>
    </row>
    <row r="505" spans="2:5" x14ac:dyDescent="0.25">
      <c r="B505"/>
      <c r="C505"/>
      <c r="D505"/>
      <c r="E505"/>
    </row>
    <row r="506" spans="2:5" x14ac:dyDescent="0.25">
      <c r="B506"/>
      <c r="C506"/>
      <c r="D506"/>
      <c r="E506"/>
    </row>
    <row r="507" spans="2:5" x14ac:dyDescent="0.25">
      <c r="B507"/>
      <c r="C507"/>
      <c r="D507"/>
      <c r="E507"/>
    </row>
    <row r="508" spans="2:5" x14ac:dyDescent="0.25">
      <c r="B508"/>
      <c r="C508"/>
      <c r="D508"/>
      <c r="E508"/>
    </row>
    <row r="509" spans="2:5" x14ac:dyDescent="0.25">
      <c r="B509"/>
      <c r="C509"/>
      <c r="D509"/>
      <c r="E509"/>
    </row>
    <row r="510" spans="2:5" x14ac:dyDescent="0.25">
      <c r="B510"/>
      <c r="C510"/>
      <c r="D510"/>
      <c r="E510"/>
    </row>
    <row r="511" spans="2:5" x14ac:dyDescent="0.25">
      <c r="B511"/>
      <c r="C511"/>
      <c r="D511"/>
      <c r="E511"/>
    </row>
    <row r="512" spans="2:5" x14ac:dyDescent="0.25">
      <c r="B512"/>
      <c r="C512"/>
      <c r="D512"/>
      <c r="E512"/>
    </row>
    <row r="513" spans="2:5" x14ac:dyDescent="0.25">
      <c r="B513"/>
      <c r="C513"/>
      <c r="D513"/>
      <c r="E513"/>
    </row>
    <row r="514" spans="2:5" x14ac:dyDescent="0.25">
      <c r="B514"/>
      <c r="C514"/>
      <c r="D514"/>
      <c r="E514"/>
    </row>
    <row r="515" spans="2:5" x14ac:dyDescent="0.25">
      <c r="B515"/>
      <c r="C515"/>
      <c r="D515"/>
      <c r="E515"/>
    </row>
    <row r="516" spans="2:5" x14ac:dyDescent="0.25">
      <c r="B516"/>
      <c r="C516"/>
      <c r="D516"/>
      <c r="E516"/>
    </row>
    <row r="517" spans="2:5" x14ac:dyDescent="0.25">
      <c r="B517"/>
      <c r="C517"/>
      <c r="D517"/>
      <c r="E517"/>
    </row>
    <row r="518" spans="2:5" x14ac:dyDescent="0.25">
      <c r="B518"/>
      <c r="C518"/>
      <c r="D518"/>
      <c r="E518"/>
    </row>
    <row r="519" spans="2:5" x14ac:dyDescent="0.25">
      <c r="B519"/>
      <c r="C519"/>
      <c r="D519"/>
      <c r="E519"/>
    </row>
    <row r="520" spans="2:5" x14ac:dyDescent="0.25">
      <c r="B520"/>
      <c r="C520"/>
      <c r="D520"/>
      <c r="E520"/>
    </row>
    <row r="521" spans="2:5" x14ac:dyDescent="0.25">
      <c r="B521"/>
      <c r="C521"/>
      <c r="D521"/>
      <c r="E521"/>
    </row>
    <row r="522" spans="2:5" x14ac:dyDescent="0.25">
      <c r="B522"/>
      <c r="C522"/>
      <c r="D522"/>
      <c r="E522"/>
    </row>
    <row r="523" spans="2:5" x14ac:dyDescent="0.25">
      <c r="B523"/>
      <c r="C523"/>
      <c r="D523"/>
      <c r="E523"/>
    </row>
    <row r="524" spans="2:5" x14ac:dyDescent="0.25">
      <c r="B524"/>
      <c r="C524"/>
      <c r="D524"/>
      <c r="E524"/>
    </row>
    <row r="525" spans="2:5" x14ac:dyDescent="0.25">
      <c r="B525"/>
      <c r="C525"/>
      <c r="D525"/>
      <c r="E525"/>
    </row>
    <row r="526" spans="2:5" x14ac:dyDescent="0.25">
      <c r="B526"/>
      <c r="C526"/>
      <c r="D526"/>
      <c r="E526"/>
    </row>
    <row r="527" spans="2:5" x14ac:dyDescent="0.25">
      <c r="B527"/>
      <c r="C527"/>
      <c r="D527"/>
      <c r="E527"/>
    </row>
    <row r="528" spans="2:5" x14ac:dyDescent="0.25">
      <c r="B528"/>
      <c r="C528"/>
      <c r="D528"/>
      <c r="E528"/>
    </row>
    <row r="529" spans="2:5" x14ac:dyDescent="0.25">
      <c r="B529"/>
      <c r="C529"/>
      <c r="D529"/>
      <c r="E529"/>
    </row>
    <row r="530" spans="2:5" x14ac:dyDescent="0.25">
      <c r="B530"/>
      <c r="C530"/>
      <c r="D530"/>
      <c r="E530"/>
    </row>
    <row r="531" spans="2:5" x14ac:dyDescent="0.25">
      <c r="B531"/>
      <c r="C531"/>
      <c r="D531"/>
      <c r="E531"/>
    </row>
    <row r="532" spans="2:5" x14ac:dyDescent="0.25">
      <c r="B532"/>
      <c r="C532"/>
      <c r="D532"/>
      <c r="E532"/>
    </row>
    <row r="533" spans="2:5" x14ac:dyDescent="0.25">
      <c r="B533"/>
      <c r="C533"/>
      <c r="D533"/>
      <c r="E533"/>
    </row>
    <row r="534" spans="2:5" x14ac:dyDescent="0.25">
      <c r="B534"/>
      <c r="C534"/>
      <c r="D534"/>
      <c r="E534"/>
    </row>
    <row r="535" spans="2:5" x14ac:dyDescent="0.25">
      <c r="B535"/>
      <c r="C535"/>
      <c r="D535"/>
      <c r="E535"/>
    </row>
    <row r="536" spans="2:5" x14ac:dyDescent="0.25">
      <c r="B536"/>
      <c r="C536"/>
      <c r="D536"/>
      <c r="E536"/>
    </row>
    <row r="537" spans="2:5" x14ac:dyDescent="0.25">
      <c r="B537"/>
      <c r="C537"/>
      <c r="D537"/>
      <c r="E537"/>
    </row>
    <row r="538" spans="2:5" x14ac:dyDescent="0.25">
      <c r="B538"/>
      <c r="C538"/>
      <c r="D538"/>
      <c r="E538"/>
    </row>
    <row r="539" spans="2:5" x14ac:dyDescent="0.25">
      <c r="B539"/>
      <c r="C539"/>
      <c r="D539"/>
      <c r="E539"/>
    </row>
    <row r="540" spans="2:5" x14ac:dyDescent="0.25">
      <c r="B540"/>
      <c r="C540"/>
      <c r="D540"/>
      <c r="E540"/>
    </row>
    <row r="541" spans="2:5" x14ac:dyDescent="0.25">
      <c r="B541"/>
      <c r="C541"/>
      <c r="D541"/>
      <c r="E541"/>
    </row>
    <row r="542" spans="2:5" x14ac:dyDescent="0.25">
      <c r="B542"/>
      <c r="C542"/>
      <c r="D542"/>
      <c r="E542"/>
    </row>
    <row r="543" spans="2:5" x14ac:dyDescent="0.25">
      <c r="B543"/>
      <c r="C543"/>
      <c r="D543"/>
      <c r="E543"/>
    </row>
    <row r="544" spans="2:5" x14ac:dyDescent="0.25">
      <c r="B544"/>
      <c r="C544"/>
      <c r="D544"/>
      <c r="E544"/>
    </row>
    <row r="545" spans="2:5" x14ac:dyDescent="0.25">
      <c r="B545"/>
      <c r="C545"/>
      <c r="D545"/>
      <c r="E545"/>
    </row>
    <row r="546" spans="2:5" x14ac:dyDescent="0.25">
      <c r="B546"/>
      <c r="C546"/>
      <c r="D546"/>
      <c r="E546"/>
    </row>
    <row r="547" spans="2:5" x14ac:dyDescent="0.25">
      <c r="B547"/>
      <c r="C547"/>
      <c r="D547"/>
      <c r="E547"/>
    </row>
    <row r="548" spans="2:5" x14ac:dyDescent="0.25">
      <c r="B548"/>
      <c r="C548"/>
      <c r="D548"/>
      <c r="E548"/>
    </row>
    <row r="549" spans="2:5" x14ac:dyDescent="0.25">
      <c r="B549"/>
      <c r="C549"/>
      <c r="D549"/>
      <c r="E549"/>
    </row>
    <row r="550" spans="2:5" x14ac:dyDescent="0.25">
      <c r="B550"/>
      <c r="C550"/>
      <c r="D550"/>
      <c r="E550"/>
    </row>
    <row r="551" spans="2:5" x14ac:dyDescent="0.25">
      <c r="B551"/>
      <c r="C551"/>
      <c r="D551"/>
      <c r="E551"/>
    </row>
    <row r="552" spans="2:5" x14ac:dyDescent="0.25">
      <c r="B552"/>
      <c r="C552"/>
      <c r="D552"/>
      <c r="E552"/>
    </row>
    <row r="553" spans="2:5" x14ac:dyDescent="0.25">
      <c r="B553"/>
      <c r="C553"/>
      <c r="D553"/>
      <c r="E553"/>
    </row>
    <row r="554" spans="2:5" x14ac:dyDescent="0.25">
      <c r="B554"/>
      <c r="C554"/>
      <c r="D554"/>
      <c r="E554"/>
    </row>
    <row r="555" spans="2:5" x14ac:dyDescent="0.25">
      <c r="B555"/>
      <c r="C555"/>
      <c r="D555"/>
      <c r="E555"/>
    </row>
    <row r="556" spans="2:5" x14ac:dyDescent="0.25">
      <c r="B556"/>
      <c r="C556"/>
      <c r="D556"/>
      <c r="E556"/>
    </row>
    <row r="557" spans="2:5" x14ac:dyDescent="0.25">
      <c r="B557"/>
      <c r="C557"/>
      <c r="D557"/>
      <c r="E557"/>
    </row>
    <row r="558" spans="2:5" x14ac:dyDescent="0.25">
      <c r="B558"/>
      <c r="C558"/>
      <c r="D558"/>
      <c r="E558"/>
    </row>
    <row r="559" spans="2:5" x14ac:dyDescent="0.25">
      <c r="B559"/>
      <c r="C559"/>
      <c r="D559"/>
      <c r="E559"/>
    </row>
    <row r="560" spans="2:5" x14ac:dyDescent="0.25">
      <c r="B560"/>
      <c r="C560"/>
      <c r="D560"/>
      <c r="E560"/>
    </row>
    <row r="561" spans="2:5" x14ac:dyDescent="0.25">
      <c r="B561"/>
      <c r="C561"/>
      <c r="D561"/>
      <c r="E561"/>
    </row>
    <row r="562" spans="2:5" x14ac:dyDescent="0.25">
      <c r="B562"/>
      <c r="C562"/>
      <c r="D562"/>
      <c r="E562"/>
    </row>
    <row r="563" spans="2:5" x14ac:dyDescent="0.25">
      <c r="B563"/>
      <c r="C563"/>
      <c r="D563"/>
      <c r="E563"/>
    </row>
    <row r="564" spans="2:5" x14ac:dyDescent="0.25">
      <c r="B564"/>
      <c r="C564"/>
      <c r="D564"/>
      <c r="E564"/>
    </row>
    <row r="565" spans="2:5" x14ac:dyDescent="0.25">
      <c r="B565"/>
      <c r="C565"/>
      <c r="D565"/>
      <c r="E565"/>
    </row>
    <row r="566" spans="2:5" x14ac:dyDescent="0.25">
      <c r="B566"/>
      <c r="C566"/>
      <c r="D566"/>
      <c r="E566"/>
    </row>
    <row r="567" spans="2:5" x14ac:dyDescent="0.25">
      <c r="B567"/>
      <c r="C567"/>
      <c r="D567"/>
      <c r="E567"/>
    </row>
    <row r="568" spans="2:5" x14ac:dyDescent="0.25">
      <c r="B568"/>
      <c r="C568"/>
      <c r="D568"/>
      <c r="E568"/>
    </row>
    <row r="569" spans="2:5" x14ac:dyDescent="0.25">
      <c r="B569"/>
      <c r="C569"/>
      <c r="D569"/>
      <c r="E569"/>
    </row>
    <row r="570" spans="2:5" x14ac:dyDescent="0.25">
      <c r="B570"/>
      <c r="C570"/>
      <c r="D570"/>
      <c r="E570"/>
    </row>
    <row r="571" spans="2:5" x14ac:dyDescent="0.25">
      <c r="B571"/>
      <c r="C571"/>
      <c r="D571"/>
      <c r="E571"/>
    </row>
    <row r="572" spans="2:5" x14ac:dyDescent="0.25">
      <c r="B572"/>
      <c r="C572"/>
      <c r="D572"/>
      <c r="E572"/>
    </row>
    <row r="573" spans="2:5" x14ac:dyDescent="0.25">
      <c r="B573"/>
      <c r="C573"/>
      <c r="D573"/>
      <c r="E573"/>
    </row>
    <row r="574" spans="2:5" x14ac:dyDescent="0.25">
      <c r="B574"/>
      <c r="C574"/>
      <c r="D574"/>
      <c r="E574"/>
    </row>
    <row r="575" spans="2:5" x14ac:dyDescent="0.25">
      <c r="B575"/>
      <c r="C575"/>
      <c r="D575"/>
      <c r="E575"/>
    </row>
    <row r="576" spans="2:5" x14ac:dyDescent="0.25">
      <c r="B576"/>
      <c r="C576"/>
      <c r="D576"/>
      <c r="E576"/>
    </row>
    <row r="577" spans="2:5" x14ac:dyDescent="0.25">
      <c r="B577"/>
      <c r="C577"/>
      <c r="D577"/>
      <c r="E577"/>
    </row>
    <row r="578" spans="2:5" x14ac:dyDescent="0.25">
      <c r="B578"/>
      <c r="C578"/>
      <c r="D578"/>
      <c r="E578"/>
    </row>
    <row r="579" spans="2:5" x14ac:dyDescent="0.25">
      <c r="B579"/>
      <c r="C579"/>
      <c r="D579"/>
      <c r="E579"/>
    </row>
    <row r="580" spans="2:5" x14ac:dyDescent="0.25">
      <c r="B580"/>
      <c r="C580"/>
      <c r="D580"/>
      <c r="E580"/>
    </row>
    <row r="581" spans="2:5" x14ac:dyDescent="0.25">
      <c r="B581"/>
      <c r="C581"/>
      <c r="D581"/>
      <c r="E581"/>
    </row>
    <row r="582" spans="2:5" x14ac:dyDescent="0.25">
      <c r="B582"/>
      <c r="C582"/>
      <c r="D582"/>
      <c r="E582"/>
    </row>
    <row r="583" spans="2:5" x14ac:dyDescent="0.25">
      <c r="B583"/>
      <c r="C583"/>
      <c r="D583"/>
      <c r="E583"/>
    </row>
    <row r="584" spans="2:5" x14ac:dyDescent="0.25">
      <c r="B584"/>
      <c r="C584"/>
      <c r="D584"/>
      <c r="E584"/>
    </row>
    <row r="585" spans="2:5" x14ac:dyDescent="0.25">
      <c r="B585"/>
      <c r="C585"/>
      <c r="D585"/>
      <c r="E585"/>
    </row>
    <row r="586" spans="2:5" x14ac:dyDescent="0.25">
      <c r="B586"/>
      <c r="C586"/>
      <c r="D586"/>
      <c r="E586"/>
    </row>
    <row r="587" spans="2:5" x14ac:dyDescent="0.25">
      <c r="B587"/>
      <c r="C587"/>
      <c r="D587"/>
      <c r="E587"/>
    </row>
    <row r="588" spans="2:5" x14ac:dyDescent="0.25">
      <c r="B588"/>
      <c r="C588"/>
      <c r="D588"/>
      <c r="E588"/>
    </row>
    <row r="589" spans="2:5" x14ac:dyDescent="0.25">
      <c r="B589"/>
      <c r="C589"/>
      <c r="D589"/>
      <c r="E589"/>
    </row>
    <row r="590" spans="2:5" x14ac:dyDescent="0.25">
      <c r="B590"/>
      <c r="C590"/>
      <c r="D590"/>
      <c r="E590"/>
    </row>
    <row r="591" spans="2:5" x14ac:dyDescent="0.25">
      <c r="B591"/>
      <c r="C591"/>
      <c r="D591"/>
      <c r="E591"/>
    </row>
    <row r="592" spans="2:5" x14ac:dyDescent="0.25">
      <c r="B592"/>
      <c r="C592"/>
      <c r="D592"/>
      <c r="E592"/>
    </row>
    <row r="593" spans="2:5" x14ac:dyDescent="0.25">
      <c r="B593"/>
      <c r="C593"/>
      <c r="D593"/>
      <c r="E593"/>
    </row>
    <row r="594" spans="2:5" x14ac:dyDescent="0.25">
      <c r="B594"/>
      <c r="C594"/>
      <c r="D594"/>
      <c r="E594"/>
    </row>
    <row r="595" spans="2:5" x14ac:dyDescent="0.25">
      <c r="B595"/>
      <c r="C595"/>
      <c r="D595"/>
      <c r="E595"/>
    </row>
    <row r="596" spans="2:5" x14ac:dyDescent="0.25">
      <c r="B596"/>
      <c r="C596"/>
      <c r="D596"/>
      <c r="E596"/>
    </row>
    <row r="597" spans="2:5" x14ac:dyDescent="0.25">
      <c r="B597"/>
      <c r="C597"/>
      <c r="D597"/>
      <c r="E597"/>
    </row>
    <row r="598" spans="2:5" x14ac:dyDescent="0.25">
      <c r="B598"/>
      <c r="C598"/>
      <c r="D598"/>
      <c r="E598"/>
    </row>
    <row r="599" spans="2:5" x14ac:dyDescent="0.25">
      <c r="B599"/>
      <c r="C599"/>
      <c r="D599"/>
      <c r="E599"/>
    </row>
    <row r="600" spans="2:5" x14ac:dyDescent="0.25">
      <c r="B600"/>
      <c r="C600"/>
      <c r="D600"/>
      <c r="E600"/>
    </row>
    <row r="601" spans="2:5" x14ac:dyDescent="0.25">
      <c r="B601"/>
      <c r="C601"/>
      <c r="D601"/>
      <c r="E601"/>
    </row>
    <row r="602" spans="2:5" x14ac:dyDescent="0.25">
      <c r="B602"/>
      <c r="C602"/>
      <c r="D602"/>
      <c r="E602"/>
    </row>
    <row r="603" spans="2:5" x14ac:dyDescent="0.25">
      <c r="B603"/>
      <c r="C603"/>
      <c r="D603"/>
      <c r="E603"/>
    </row>
    <row r="604" spans="2:5" x14ac:dyDescent="0.25">
      <c r="B604"/>
      <c r="C604"/>
      <c r="D604"/>
      <c r="E604"/>
    </row>
    <row r="605" spans="2:5" x14ac:dyDescent="0.25">
      <c r="B605"/>
      <c r="C605"/>
      <c r="D605"/>
      <c r="E605"/>
    </row>
    <row r="606" spans="2:5" x14ac:dyDescent="0.25">
      <c r="B606"/>
      <c r="C606"/>
      <c r="D606"/>
      <c r="E606"/>
    </row>
    <row r="607" spans="2:5" x14ac:dyDescent="0.25">
      <c r="B607"/>
      <c r="C607"/>
      <c r="D607"/>
      <c r="E607"/>
    </row>
    <row r="608" spans="2:5" x14ac:dyDescent="0.25">
      <c r="B608"/>
      <c r="C608"/>
      <c r="D608"/>
      <c r="E608"/>
    </row>
    <row r="609" spans="2:5" x14ac:dyDescent="0.25">
      <c r="B609"/>
      <c r="C609"/>
      <c r="D609"/>
      <c r="E609"/>
    </row>
    <row r="610" spans="2:5" x14ac:dyDescent="0.25">
      <c r="B610"/>
      <c r="C610"/>
      <c r="D610"/>
      <c r="E610"/>
    </row>
    <row r="611" spans="2:5" x14ac:dyDescent="0.25">
      <c r="B611"/>
      <c r="C611"/>
      <c r="D611"/>
      <c r="E611"/>
    </row>
    <row r="612" spans="2:5" x14ac:dyDescent="0.25">
      <c r="B612"/>
      <c r="C612"/>
      <c r="D612"/>
      <c r="E612"/>
    </row>
    <row r="613" spans="2:5" x14ac:dyDescent="0.25">
      <c r="B613"/>
      <c r="C613"/>
      <c r="D613"/>
      <c r="E613"/>
    </row>
    <row r="614" spans="2:5" x14ac:dyDescent="0.25">
      <c r="B614"/>
      <c r="C614"/>
      <c r="D614"/>
      <c r="E614"/>
    </row>
    <row r="615" spans="2:5" x14ac:dyDescent="0.25">
      <c r="B615"/>
      <c r="C615"/>
      <c r="D615"/>
      <c r="E615"/>
    </row>
    <row r="616" spans="2:5" x14ac:dyDescent="0.25">
      <c r="B616"/>
      <c r="C616"/>
      <c r="D616"/>
      <c r="E616"/>
    </row>
    <row r="617" spans="2:5" x14ac:dyDescent="0.25">
      <c r="B617"/>
      <c r="C617"/>
      <c r="D617"/>
      <c r="E617"/>
    </row>
    <row r="618" spans="2:5" x14ac:dyDescent="0.25">
      <c r="B618"/>
      <c r="C618"/>
      <c r="D618"/>
      <c r="E618"/>
    </row>
    <row r="619" spans="2:5" x14ac:dyDescent="0.25">
      <c r="B619"/>
      <c r="C619"/>
      <c r="D619"/>
      <c r="E619"/>
    </row>
    <row r="620" spans="2:5" x14ac:dyDescent="0.25">
      <c r="B620"/>
      <c r="C620"/>
      <c r="D620"/>
      <c r="E620"/>
    </row>
    <row r="621" spans="2:5" x14ac:dyDescent="0.25">
      <c r="B621"/>
      <c r="C621"/>
      <c r="D621"/>
      <c r="E621"/>
    </row>
    <row r="622" spans="2:5" x14ac:dyDescent="0.25">
      <c r="B622"/>
      <c r="C622"/>
      <c r="D622"/>
      <c r="E622"/>
    </row>
    <row r="623" spans="2:5" x14ac:dyDescent="0.25">
      <c r="B623"/>
      <c r="C623"/>
      <c r="D623"/>
      <c r="E623"/>
    </row>
    <row r="624" spans="2:5" x14ac:dyDescent="0.25">
      <c r="B624"/>
      <c r="C624"/>
      <c r="D624"/>
      <c r="E624"/>
    </row>
    <row r="625" spans="2:5" x14ac:dyDescent="0.25">
      <c r="B625"/>
      <c r="C625"/>
      <c r="D625"/>
      <c r="E625"/>
    </row>
    <row r="626" spans="2:5" x14ac:dyDescent="0.25">
      <c r="B626"/>
      <c r="C626"/>
      <c r="D626"/>
      <c r="E626"/>
    </row>
    <row r="627" spans="2:5" x14ac:dyDescent="0.25">
      <c r="B627"/>
      <c r="C627"/>
      <c r="D627"/>
      <c r="E627"/>
    </row>
    <row r="628" spans="2:5" x14ac:dyDescent="0.25">
      <c r="B628"/>
      <c r="C628"/>
      <c r="D628"/>
      <c r="E628"/>
    </row>
    <row r="629" spans="2:5" x14ac:dyDescent="0.25">
      <c r="B629"/>
      <c r="C629"/>
      <c r="D629"/>
      <c r="E629"/>
    </row>
    <row r="630" spans="2:5" x14ac:dyDescent="0.25">
      <c r="B630"/>
      <c r="C630"/>
      <c r="D630"/>
      <c r="E630"/>
    </row>
    <row r="631" spans="2:5" x14ac:dyDescent="0.25">
      <c r="B631"/>
      <c r="C631"/>
      <c r="D631"/>
      <c r="E631"/>
    </row>
    <row r="632" spans="2:5" x14ac:dyDescent="0.25">
      <c r="B632"/>
      <c r="C632"/>
      <c r="D632"/>
      <c r="E632"/>
    </row>
    <row r="633" spans="2:5" x14ac:dyDescent="0.25">
      <c r="B633"/>
      <c r="C633"/>
      <c r="D633"/>
      <c r="E633"/>
    </row>
    <row r="634" spans="2:5" x14ac:dyDescent="0.25">
      <c r="B634"/>
      <c r="C634"/>
      <c r="D634"/>
      <c r="E634"/>
    </row>
    <row r="635" spans="2:5" x14ac:dyDescent="0.25">
      <c r="B635"/>
      <c r="C635"/>
      <c r="D635"/>
      <c r="E635"/>
    </row>
    <row r="636" spans="2:5" x14ac:dyDescent="0.25">
      <c r="B636"/>
      <c r="C636"/>
      <c r="D636"/>
      <c r="E636"/>
    </row>
    <row r="637" spans="2:5" x14ac:dyDescent="0.25">
      <c r="B637"/>
      <c r="C637"/>
      <c r="D637"/>
      <c r="E637"/>
    </row>
    <row r="638" spans="2:5" x14ac:dyDescent="0.25">
      <c r="B638"/>
      <c r="C638"/>
      <c r="D638"/>
      <c r="E638"/>
    </row>
    <row r="639" spans="2:5" x14ac:dyDescent="0.25">
      <c r="B639"/>
      <c r="C639"/>
      <c r="D639"/>
      <c r="E639"/>
    </row>
    <row r="640" spans="2:5" x14ac:dyDescent="0.25">
      <c r="B640"/>
      <c r="C640"/>
      <c r="D640"/>
      <c r="E640"/>
    </row>
    <row r="641" spans="2:5" x14ac:dyDescent="0.25">
      <c r="B641"/>
      <c r="C641"/>
      <c r="D641"/>
      <c r="E641"/>
    </row>
    <row r="642" spans="2:5" x14ac:dyDescent="0.25">
      <c r="B642"/>
      <c r="C642"/>
      <c r="D642"/>
      <c r="E642"/>
    </row>
    <row r="643" spans="2:5" x14ac:dyDescent="0.25">
      <c r="B643"/>
      <c r="C643"/>
      <c r="D643"/>
      <c r="E643"/>
    </row>
    <row r="644" spans="2:5" x14ac:dyDescent="0.25">
      <c r="B644"/>
      <c r="C644"/>
      <c r="D644"/>
      <c r="E644"/>
    </row>
    <row r="645" spans="2:5" x14ac:dyDescent="0.25">
      <c r="B645"/>
      <c r="C645"/>
      <c r="D645"/>
      <c r="E645"/>
    </row>
    <row r="646" spans="2:5" x14ac:dyDescent="0.25">
      <c r="B646"/>
      <c r="C646"/>
      <c r="D646"/>
      <c r="E646"/>
    </row>
    <row r="647" spans="2:5" x14ac:dyDescent="0.25">
      <c r="B647"/>
      <c r="C647"/>
      <c r="D647"/>
      <c r="E647"/>
    </row>
    <row r="648" spans="2:5" x14ac:dyDescent="0.25">
      <c r="B648"/>
      <c r="C648"/>
      <c r="D648"/>
      <c r="E648"/>
    </row>
    <row r="649" spans="2:5" x14ac:dyDescent="0.25">
      <c r="B649"/>
      <c r="C649"/>
      <c r="D649"/>
      <c r="E649"/>
    </row>
    <row r="650" spans="2:5" x14ac:dyDescent="0.25">
      <c r="B650"/>
      <c r="C650"/>
      <c r="D650"/>
      <c r="E650"/>
    </row>
    <row r="651" spans="2:5" x14ac:dyDescent="0.25">
      <c r="B651"/>
      <c r="C651"/>
      <c r="D651"/>
      <c r="E651"/>
    </row>
    <row r="652" spans="2:5" x14ac:dyDescent="0.25">
      <c r="B652"/>
      <c r="C652"/>
      <c r="D652"/>
      <c r="E652"/>
    </row>
    <row r="653" spans="2:5" x14ac:dyDescent="0.25">
      <c r="B653"/>
      <c r="C653"/>
      <c r="D653"/>
      <c r="E653"/>
    </row>
    <row r="654" spans="2:5" x14ac:dyDescent="0.25">
      <c r="B654"/>
      <c r="C654"/>
      <c r="D654"/>
      <c r="E654"/>
    </row>
    <row r="655" spans="2:5" x14ac:dyDescent="0.25">
      <c r="B655"/>
      <c r="C655"/>
      <c r="D655"/>
      <c r="E655"/>
    </row>
    <row r="656" spans="2:5" x14ac:dyDescent="0.25">
      <c r="B656"/>
      <c r="C656"/>
      <c r="D656"/>
      <c r="E656"/>
    </row>
    <row r="657" spans="2:5" x14ac:dyDescent="0.25">
      <c r="B657"/>
      <c r="C657"/>
      <c r="D657"/>
      <c r="E657"/>
    </row>
    <row r="658" spans="2:5" x14ac:dyDescent="0.25">
      <c r="B658"/>
      <c r="C658"/>
      <c r="D658"/>
      <c r="E658"/>
    </row>
    <row r="659" spans="2:5" x14ac:dyDescent="0.25">
      <c r="B659"/>
      <c r="C659"/>
      <c r="D659"/>
      <c r="E659"/>
    </row>
    <row r="660" spans="2:5" x14ac:dyDescent="0.25">
      <c r="B660"/>
      <c r="C660"/>
      <c r="D660"/>
      <c r="E660"/>
    </row>
    <row r="661" spans="2:5" x14ac:dyDescent="0.25">
      <c r="B661"/>
      <c r="C661"/>
      <c r="D661"/>
      <c r="E661"/>
    </row>
    <row r="662" spans="2:5" x14ac:dyDescent="0.25">
      <c r="B662"/>
      <c r="C662"/>
      <c r="D662"/>
      <c r="E662"/>
    </row>
    <row r="663" spans="2:5" x14ac:dyDescent="0.25">
      <c r="B663"/>
      <c r="C663"/>
      <c r="D663"/>
      <c r="E663"/>
    </row>
    <row r="664" spans="2:5" x14ac:dyDescent="0.25">
      <c r="B664"/>
      <c r="C664"/>
      <c r="D664"/>
      <c r="E664"/>
    </row>
    <row r="665" spans="2:5" x14ac:dyDescent="0.25">
      <c r="B665"/>
      <c r="C665"/>
      <c r="D665"/>
      <c r="E665"/>
    </row>
    <row r="666" spans="2:5" x14ac:dyDescent="0.25">
      <c r="B666"/>
      <c r="C666"/>
      <c r="D666"/>
      <c r="E666"/>
    </row>
    <row r="667" spans="2:5" x14ac:dyDescent="0.25">
      <c r="B667"/>
      <c r="C667"/>
      <c r="D667"/>
      <c r="E667"/>
    </row>
    <row r="668" spans="2:5" x14ac:dyDescent="0.25">
      <c r="B668"/>
      <c r="C668"/>
      <c r="D668"/>
      <c r="E668"/>
    </row>
    <row r="669" spans="2:5" x14ac:dyDescent="0.25">
      <c r="B669"/>
      <c r="C669"/>
      <c r="D669"/>
      <c r="E669"/>
    </row>
    <row r="670" spans="2:5" x14ac:dyDescent="0.25">
      <c r="B670"/>
      <c r="C670"/>
      <c r="D670"/>
      <c r="E670"/>
    </row>
    <row r="671" spans="2:5" x14ac:dyDescent="0.25">
      <c r="B671"/>
      <c r="C671"/>
      <c r="D671"/>
      <c r="E671"/>
    </row>
    <row r="672" spans="2:5" x14ac:dyDescent="0.25">
      <c r="B672"/>
      <c r="C672"/>
      <c r="D672"/>
      <c r="E672"/>
    </row>
    <row r="673" spans="2:5" x14ac:dyDescent="0.25">
      <c r="B673"/>
      <c r="C673"/>
      <c r="D673"/>
      <c r="E673"/>
    </row>
    <row r="674" spans="2:5" x14ac:dyDescent="0.25">
      <c r="B674"/>
      <c r="C674"/>
      <c r="D674"/>
      <c r="E674"/>
    </row>
    <row r="675" spans="2:5" x14ac:dyDescent="0.25">
      <c r="B675"/>
      <c r="C675"/>
      <c r="D675"/>
      <c r="E675"/>
    </row>
    <row r="676" spans="2:5" x14ac:dyDescent="0.25">
      <c r="B676"/>
      <c r="C676"/>
      <c r="D676"/>
      <c r="E676"/>
    </row>
    <row r="677" spans="2:5" x14ac:dyDescent="0.25">
      <c r="B677"/>
      <c r="C677"/>
      <c r="D677"/>
      <c r="E677"/>
    </row>
    <row r="678" spans="2:5" x14ac:dyDescent="0.25">
      <c r="B678"/>
      <c r="C678"/>
      <c r="D678"/>
      <c r="E678"/>
    </row>
    <row r="679" spans="2:5" x14ac:dyDescent="0.25">
      <c r="B679"/>
      <c r="C679"/>
      <c r="D679"/>
      <c r="E679"/>
    </row>
    <row r="680" spans="2:5" x14ac:dyDescent="0.25">
      <c r="B680"/>
      <c r="C680"/>
      <c r="D680"/>
      <c r="E680"/>
    </row>
    <row r="681" spans="2:5" x14ac:dyDescent="0.25">
      <c r="B681"/>
      <c r="C681"/>
      <c r="D681"/>
      <c r="E681"/>
    </row>
    <row r="682" spans="2:5" x14ac:dyDescent="0.25">
      <c r="B682"/>
      <c r="C682"/>
      <c r="D682"/>
      <c r="E682"/>
    </row>
    <row r="683" spans="2:5" x14ac:dyDescent="0.25">
      <c r="B683"/>
      <c r="C683"/>
      <c r="D683"/>
      <c r="E683"/>
    </row>
    <row r="684" spans="2:5" x14ac:dyDescent="0.25">
      <c r="B684"/>
      <c r="C684"/>
      <c r="D684"/>
      <c r="E684"/>
    </row>
    <row r="685" spans="2:5" x14ac:dyDescent="0.25">
      <c r="B685"/>
      <c r="C685"/>
      <c r="D685"/>
      <c r="E685"/>
    </row>
    <row r="686" spans="2:5" x14ac:dyDescent="0.25">
      <c r="B686"/>
      <c r="C686"/>
      <c r="D686"/>
      <c r="E686"/>
    </row>
    <row r="687" spans="2:5" x14ac:dyDescent="0.25">
      <c r="B687"/>
      <c r="C687"/>
      <c r="D687"/>
      <c r="E687"/>
    </row>
    <row r="688" spans="2:5" x14ac:dyDescent="0.25">
      <c r="B688"/>
      <c r="C688"/>
      <c r="D688"/>
      <c r="E688"/>
    </row>
    <row r="689" spans="2:5" x14ac:dyDescent="0.25">
      <c r="B689"/>
      <c r="C689"/>
      <c r="D689"/>
      <c r="E689"/>
    </row>
    <row r="690" spans="2:5" x14ac:dyDescent="0.25">
      <c r="B690"/>
      <c r="C690"/>
      <c r="D690"/>
      <c r="E690"/>
    </row>
    <row r="691" spans="2:5" x14ac:dyDescent="0.25">
      <c r="B691"/>
      <c r="C691"/>
      <c r="D691"/>
      <c r="E691"/>
    </row>
    <row r="692" spans="2:5" x14ac:dyDescent="0.25">
      <c r="B692"/>
      <c r="C692"/>
      <c r="D692"/>
      <c r="E692"/>
    </row>
    <row r="693" spans="2:5" x14ac:dyDescent="0.25">
      <c r="B693"/>
      <c r="C693"/>
      <c r="D693"/>
      <c r="E693"/>
    </row>
    <row r="694" spans="2:5" x14ac:dyDescent="0.25">
      <c r="B694"/>
      <c r="C694"/>
      <c r="D694"/>
      <c r="E694"/>
    </row>
    <row r="695" spans="2:5" x14ac:dyDescent="0.25">
      <c r="B695"/>
      <c r="C695"/>
      <c r="D695"/>
      <c r="E695"/>
    </row>
    <row r="696" spans="2:5" x14ac:dyDescent="0.25">
      <c r="B696"/>
      <c r="C696"/>
      <c r="D696"/>
      <c r="E696"/>
    </row>
    <row r="697" spans="2:5" x14ac:dyDescent="0.25">
      <c r="B697"/>
      <c r="C697"/>
      <c r="D697"/>
      <c r="E697"/>
    </row>
    <row r="698" spans="2:5" x14ac:dyDescent="0.25">
      <c r="B698"/>
      <c r="C698"/>
      <c r="D698"/>
      <c r="E698"/>
    </row>
    <row r="699" spans="2:5" x14ac:dyDescent="0.25">
      <c r="B699"/>
      <c r="C699"/>
      <c r="D699"/>
      <c r="E699"/>
    </row>
    <row r="700" spans="2:5" x14ac:dyDescent="0.25">
      <c r="B700"/>
      <c r="C700"/>
      <c r="D700"/>
      <c r="E700"/>
    </row>
    <row r="701" spans="2:5" x14ac:dyDescent="0.25">
      <c r="B701"/>
      <c r="C701"/>
      <c r="D701"/>
      <c r="E701"/>
    </row>
    <row r="702" spans="2:5" x14ac:dyDescent="0.25">
      <c r="B702"/>
      <c r="C702"/>
      <c r="D702"/>
      <c r="E702"/>
    </row>
    <row r="703" spans="2:5" x14ac:dyDescent="0.25">
      <c r="B703"/>
      <c r="C703"/>
      <c r="D703"/>
      <c r="E703"/>
    </row>
    <row r="704" spans="2:5" x14ac:dyDescent="0.25">
      <c r="B704"/>
      <c r="C704"/>
      <c r="D704"/>
      <c r="E704"/>
    </row>
    <row r="705" spans="2:5" x14ac:dyDescent="0.25">
      <c r="B705"/>
      <c r="C705"/>
      <c r="D705"/>
      <c r="E705"/>
    </row>
    <row r="706" spans="2:5" x14ac:dyDescent="0.25">
      <c r="B706"/>
      <c r="C706"/>
      <c r="D706"/>
      <c r="E706"/>
    </row>
    <row r="707" spans="2:5" x14ac:dyDescent="0.25">
      <c r="B707"/>
      <c r="C707"/>
      <c r="D707"/>
      <c r="E707"/>
    </row>
    <row r="708" spans="2:5" x14ac:dyDescent="0.25">
      <c r="B708"/>
      <c r="C708"/>
      <c r="D708"/>
      <c r="E708"/>
    </row>
    <row r="709" spans="2:5" x14ac:dyDescent="0.25">
      <c r="B709"/>
      <c r="C709"/>
      <c r="D709"/>
      <c r="E709"/>
    </row>
    <row r="710" spans="2:5" x14ac:dyDescent="0.25">
      <c r="B710"/>
      <c r="C710"/>
      <c r="D710"/>
      <c r="E710"/>
    </row>
    <row r="711" spans="2:5" x14ac:dyDescent="0.25">
      <c r="B711"/>
      <c r="C711"/>
      <c r="D711"/>
      <c r="E711"/>
    </row>
    <row r="712" spans="2:5" x14ac:dyDescent="0.25">
      <c r="B712"/>
      <c r="C712"/>
      <c r="D712"/>
      <c r="E712"/>
    </row>
    <row r="713" spans="2:5" x14ac:dyDescent="0.25">
      <c r="B713"/>
      <c r="C713"/>
      <c r="D713"/>
      <c r="E713"/>
    </row>
    <row r="714" spans="2:5" x14ac:dyDescent="0.25">
      <c r="B714"/>
      <c r="C714"/>
      <c r="D714"/>
      <c r="E714"/>
    </row>
    <row r="715" spans="2:5" x14ac:dyDescent="0.25">
      <c r="B715"/>
      <c r="C715"/>
      <c r="D715"/>
      <c r="E715"/>
    </row>
    <row r="716" spans="2:5" x14ac:dyDescent="0.25">
      <c r="B716"/>
      <c r="C716"/>
      <c r="D716"/>
      <c r="E716"/>
    </row>
    <row r="717" spans="2:5" x14ac:dyDescent="0.25">
      <c r="B717"/>
      <c r="C717"/>
      <c r="D717"/>
      <c r="E717"/>
    </row>
    <row r="718" spans="2:5" x14ac:dyDescent="0.25">
      <c r="B718"/>
      <c r="C718"/>
      <c r="D718"/>
      <c r="E718"/>
    </row>
    <row r="719" spans="2:5" x14ac:dyDescent="0.25">
      <c r="B719"/>
      <c r="C719"/>
      <c r="D719"/>
      <c r="E719"/>
    </row>
    <row r="720" spans="2:5" x14ac:dyDescent="0.25">
      <c r="B720"/>
      <c r="C720"/>
      <c r="D720"/>
      <c r="E720"/>
    </row>
    <row r="721" spans="2:5" x14ac:dyDescent="0.25">
      <c r="B721"/>
      <c r="C721"/>
      <c r="D721"/>
      <c r="E721"/>
    </row>
    <row r="722" spans="2:5" x14ac:dyDescent="0.25">
      <c r="B722"/>
      <c r="C722"/>
      <c r="D722"/>
      <c r="E722"/>
    </row>
    <row r="723" spans="2:5" x14ac:dyDescent="0.25">
      <c r="B723"/>
      <c r="C723"/>
      <c r="D723"/>
      <c r="E723"/>
    </row>
    <row r="724" spans="2:5" x14ac:dyDescent="0.25">
      <c r="B724"/>
      <c r="C724"/>
      <c r="D724"/>
      <c r="E724"/>
    </row>
    <row r="725" spans="2:5" x14ac:dyDescent="0.25">
      <c r="B725"/>
      <c r="C725"/>
      <c r="D725"/>
      <c r="E725"/>
    </row>
    <row r="726" spans="2:5" x14ac:dyDescent="0.25">
      <c r="B726"/>
      <c r="C726"/>
      <c r="D726"/>
      <c r="E726"/>
    </row>
    <row r="727" spans="2:5" x14ac:dyDescent="0.25">
      <c r="B727"/>
      <c r="C727"/>
      <c r="D727"/>
      <c r="E727"/>
    </row>
    <row r="728" spans="2:5" x14ac:dyDescent="0.25">
      <c r="B728"/>
      <c r="C728"/>
      <c r="D728"/>
      <c r="E728"/>
    </row>
    <row r="729" spans="2:5" x14ac:dyDescent="0.25">
      <c r="B729"/>
      <c r="C729"/>
      <c r="D729"/>
      <c r="E729"/>
    </row>
    <row r="730" spans="2:5" x14ac:dyDescent="0.25">
      <c r="B730"/>
      <c r="C730"/>
      <c r="D730"/>
      <c r="E730"/>
    </row>
    <row r="731" spans="2:5" x14ac:dyDescent="0.25">
      <c r="B731"/>
      <c r="C731"/>
      <c r="D731"/>
      <c r="E731"/>
    </row>
    <row r="732" spans="2:5" x14ac:dyDescent="0.25">
      <c r="B732"/>
      <c r="C732"/>
      <c r="D732"/>
      <c r="E732"/>
    </row>
    <row r="733" spans="2:5" x14ac:dyDescent="0.25">
      <c r="B733"/>
      <c r="C733"/>
      <c r="D733"/>
      <c r="E733"/>
    </row>
    <row r="734" spans="2:5" x14ac:dyDescent="0.25">
      <c r="B734"/>
      <c r="C734"/>
      <c r="D734"/>
      <c r="E734"/>
    </row>
    <row r="735" spans="2:5" x14ac:dyDescent="0.25">
      <c r="B735"/>
      <c r="C735"/>
      <c r="D735"/>
      <c r="E735"/>
    </row>
    <row r="736" spans="2:5" x14ac:dyDescent="0.25">
      <c r="B736"/>
      <c r="C736"/>
      <c r="D736"/>
      <c r="E736"/>
    </row>
    <row r="737" spans="2:5" x14ac:dyDescent="0.25">
      <c r="B737"/>
      <c r="C737"/>
      <c r="D737"/>
      <c r="E737"/>
    </row>
    <row r="738" spans="2:5" x14ac:dyDescent="0.25">
      <c r="B738"/>
      <c r="C738"/>
      <c r="D738"/>
      <c r="E738"/>
    </row>
    <row r="739" spans="2:5" x14ac:dyDescent="0.25">
      <c r="B739"/>
      <c r="C739"/>
      <c r="D739"/>
      <c r="E739"/>
    </row>
    <row r="740" spans="2:5" x14ac:dyDescent="0.25">
      <c r="B740"/>
      <c r="C740"/>
      <c r="D740"/>
      <c r="E740"/>
    </row>
    <row r="741" spans="2:5" x14ac:dyDescent="0.25">
      <c r="B741"/>
      <c r="C741"/>
      <c r="D741"/>
      <c r="E741"/>
    </row>
    <row r="742" spans="2:5" x14ac:dyDescent="0.25">
      <c r="B742"/>
      <c r="C742"/>
      <c r="D742"/>
      <c r="E742"/>
    </row>
    <row r="743" spans="2:5" x14ac:dyDescent="0.25">
      <c r="B743"/>
      <c r="C743"/>
      <c r="D743"/>
      <c r="E743"/>
    </row>
    <row r="744" spans="2:5" x14ac:dyDescent="0.25">
      <c r="B744"/>
      <c r="C744"/>
      <c r="D744"/>
      <c r="E744"/>
    </row>
    <row r="745" spans="2:5" x14ac:dyDescent="0.25">
      <c r="B745"/>
      <c r="C745"/>
      <c r="D745"/>
      <c r="E745"/>
    </row>
    <row r="746" spans="2:5" x14ac:dyDescent="0.25">
      <c r="B746"/>
      <c r="C746"/>
      <c r="D746"/>
      <c r="E746"/>
    </row>
    <row r="747" spans="2:5" x14ac:dyDescent="0.25">
      <c r="B747"/>
      <c r="C747"/>
      <c r="D747"/>
      <c r="E747"/>
    </row>
    <row r="748" spans="2:5" x14ac:dyDescent="0.25">
      <c r="B748"/>
      <c r="C748"/>
      <c r="D748"/>
      <c r="E748"/>
    </row>
    <row r="749" spans="2:5" x14ac:dyDescent="0.25">
      <c r="B749"/>
      <c r="C749"/>
      <c r="D749"/>
      <c r="E749"/>
    </row>
    <row r="750" spans="2:5" x14ac:dyDescent="0.25">
      <c r="B750"/>
      <c r="C750"/>
      <c r="D750"/>
      <c r="E750"/>
    </row>
    <row r="751" spans="2:5" x14ac:dyDescent="0.25">
      <c r="B751"/>
      <c r="C751"/>
      <c r="D751"/>
      <c r="E751"/>
    </row>
    <row r="752" spans="2:5" x14ac:dyDescent="0.25">
      <c r="B752"/>
      <c r="C752"/>
      <c r="D752"/>
      <c r="E752"/>
    </row>
    <row r="753" spans="2:5" x14ac:dyDescent="0.25">
      <c r="B753"/>
      <c r="C753"/>
      <c r="D753"/>
      <c r="E753"/>
    </row>
    <row r="754" spans="2:5" x14ac:dyDescent="0.25">
      <c r="B754"/>
      <c r="C754"/>
      <c r="D754"/>
      <c r="E754"/>
    </row>
    <row r="755" spans="2:5" x14ac:dyDescent="0.25">
      <c r="B755"/>
      <c r="C755"/>
      <c r="D755"/>
      <c r="E755"/>
    </row>
    <row r="756" spans="2:5" x14ac:dyDescent="0.25">
      <c r="B756"/>
      <c r="C756"/>
      <c r="D756"/>
      <c r="E756"/>
    </row>
    <row r="757" spans="2:5" x14ac:dyDescent="0.25">
      <c r="B757"/>
      <c r="C757"/>
      <c r="D757"/>
      <c r="E757"/>
    </row>
    <row r="758" spans="2:5" x14ac:dyDescent="0.25">
      <c r="B758"/>
      <c r="C758"/>
      <c r="D758"/>
      <c r="E758"/>
    </row>
    <row r="759" spans="2:5" x14ac:dyDescent="0.25">
      <c r="B759"/>
      <c r="C759"/>
      <c r="D759"/>
      <c r="E759"/>
    </row>
    <row r="760" spans="2:5" x14ac:dyDescent="0.25">
      <c r="B760"/>
      <c r="C760"/>
      <c r="D760"/>
      <c r="E760"/>
    </row>
    <row r="761" spans="2:5" x14ac:dyDescent="0.25">
      <c r="B761"/>
      <c r="C761"/>
      <c r="D761"/>
      <c r="E761"/>
    </row>
    <row r="762" spans="2:5" x14ac:dyDescent="0.25">
      <c r="B762"/>
      <c r="C762"/>
      <c r="D762"/>
      <c r="E762"/>
    </row>
    <row r="763" spans="2:5" x14ac:dyDescent="0.25">
      <c r="B763"/>
      <c r="C763"/>
      <c r="D763"/>
      <c r="E763"/>
    </row>
    <row r="764" spans="2:5" x14ac:dyDescent="0.25">
      <c r="B764"/>
      <c r="C764"/>
      <c r="D764"/>
      <c r="E764"/>
    </row>
    <row r="765" spans="2:5" x14ac:dyDescent="0.25">
      <c r="B765"/>
      <c r="C765"/>
      <c r="D765"/>
      <c r="E765"/>
    </row>
    <row r="766" spans="2:5" x14ac:dyDescent="0.25">
      <c r="B766"/>
      <c r="C766"/>
      <c r="D766"/>
      <c r="E766"/>
    </row>
    <row r="767" spans="2:5" x14ac:dyDescent="0.25">
      <c r="B767"/>
      <c r="C767"/>
      <c r="D767"/>
      <c r="E767"/>
    </row>
    <row r="768" spans="2:5" x14ac:dyDescent="0.25">
      <c r="B768"/>
      <c r="C768"/>
      <c r="D768"/>
      <c r="E768"/>
    </row>
    <row r="769" spans="2:5" x14ac:dyDescent="0.25">
      <c r="B769"/>
      <c r="C769"/>
      <c r="D769"/>
      <c r="E769"/>
    </row>
    <row r="770" spans="2:5" x14ac:dyDescent="0.25">
      <c r="B770"/>
      <c r="C770"/>
      <c r="D770"/>
      <c r="E770"/>
    </row>
    <row r="771" spans="2:5" x14ac:dyDescent="0.25">
      <c r="B771"/>
      <c r="C771"/>
      <c r="D771"/>
      <c r="E771"/>
    </row>
    <row r="772" spans="2:5" x14ac:dyDescent="0.25">
      <c r="B772"/>
      <c r="C772"/>
      <c r="D772"/>
      <c r="E772"/>
    </row>
    <row r="773" spans="2:5" x14ac:dyDescent="0.25">
      <c r="B773"/>
      <c r="C773"/>
      <c r="D773"/>
      <c r="E773"/>
    </row>
    <row r="774" spans="2:5" x14ac:dyDescent="0.25">
      <c r="B774"/>
      <c r="C774"/>
      <c r="D774"/>
      <c r="E774"/>
    </row>
    <row r="775" spans="2:5" x14ac:dyDescent="0.25">
      <c r="B775"/>
      <c r="C775"/>
      <c r="D775"/>
      <c r="E775"/>
    </row>
    <row r="776" spans="2:5" x14ac:dyDescent="0.25">
      <c r="B776"/>
      <c r="C776"/>
      <c r="D776"/>
      <c r="E776"/>
    </row>
    <row r="777" spans="2:5" x14ac:dyDescent="0.25">
      <c r="B777"/>
      <c r="C777"/>
      <c r="D777"/>
      <c r="E777"/>
    </row>
    <row r="778" spans="2:5" x14ac:dyDescent="0.25">
      <c r="B778"/>
      <c r="C778"/>
      <c r="D778"/>
      <c r="E778"/>
    </row>
    <row r="779" spans="2:5" x14ac:dyDescent="0.25">
      <c r="B779"/>
      <c r="C779"/>
      <c r="D779"/>
      <c r="E779"/>
    </row>
    <row r="780" spans="2:5" x14ac:dyDescent="0.25">
      <c r="B780"/>
      <c r="C780"/>
      <c r="D780"/>
      <c r="E780"/>
    </row>
    <row r="781" spans="2:5" x14ac:dyDescent="0.25">
      <c r="B781"/>
      <c r="C781"/>
      <c r="D781"/>
      <c r="E781"/>
    </row>
    <row r="782" spans="2:5" x14ac:dyDescent="0.25">
      <c r="B782"/>
      <c r="C782"/>
      <c r="D782"/>
      <c r="E782"/>
    </row>
    <row r="783" spans="2:5" x14ac:dyDescent="0.25">
      <c r="B783"/>
      <c r="C783"/>
      <c r="D783"/>
      <c r="E783"/>
    </row>
    <row r="784" spans="2:5" x14ac:dyDescent="0.25">
      <c r="B784"/>
      <c r="C784"/>
      <c r="D784"/>
      <c r="E784"/>
    </row>
    <row r="785" spans="2:5" x14ac:dyDescent="0.25">
      <c r="B785"/>
      <c r="C785"/>
      <c r="D785"/>
      <c r="E785"/>
    </row>
    <row r="786" spans="2:5" x14ac:dyDescent="0.25">
      <c r="B786"/>
      <c r="C786"/>
      <c r="D786"/>
      <c r="E786"/>
    </row>
    <row r="787" spans="2:5" x14ac:dyDescent="0.25">
      <c r="B787"/>
      <c r="C787"/>
      <c r="D787"/>
      <c r="E787"/>
    </row>
    <row r="788" spans="2:5" x14ac:dyDescent="0.25">
      <c r="B788"/>
      <c r="C788"/>
      <c r="D788"/>
      <c r="E788"/>
    </row>
    <row r="789" spans="2:5" x14ac:dyDescent="0.25">
      <c r="B789"/>
      <c r="C789"/>
      <c r="D789"/>
      <c r="E789"/>
    </row>
    <row r="790" spans="2:5" x14ac:dyDescent="0.25">
      <c r="B790"/>
      <c r="C790"/>
      <c r="D790"/>
      <c r="E790"/>
    </row>
    <row r="791" spans="2:5" x14ac:dyDescent="0.25">
      <c r="B791"/>
      <c r="C791"/>
      <c r="D791"/>
      <c r="E791"/>
    </row>
    <row r="792" spans="2:5" x14ac:dyDescent="0.25">
      <c r="B792"/>
      <c r="C792"/>
      <c r="D792"/>
      <c r="E792"/>
    </row>
    <row r="793" spans="2:5" x14ac:dyDescent="0.25">
      <c r="B793"/>
      <c r="C793"/>
      <c r="D793"/>
      <c r="E793"/>
    </row>
    <row r="794" spans="2:5" x14ac:dyDescent="0.25">
      <c r="B794"/>
      <c r="C794"/>
      <c r="D794"/>
      <c r="E794"/>
    </row>
    <row r="795" spans="2:5" x14ac:dyDescent="0.25">
      <c r="B795"/>
      <c r="C795"/>
      <c r="D795"/>
      <c r="E795"/>
    </row>
    <row r="796" spans="2:5" x14ac:dyDescent="0.25">
      <c r="B796"/>
      <c r="C796"/>
      <c r="D796"/>
      <c r="E796"/>
    </row>
    <row r="797" spans="2:5" x14ac:dyDescent="0.25">
      <c r="B797"/>
      <c r="C797"/>
      <c r="D797"/>
      <c r="E797"/>
    </row>
    <row r="798" spans="2:5" x14ac:dyDescent="0.25">
      <c r="B798"/>
      <c r="C798"/>
      <c r="D798"/>
      <c r="E798"/>
    </row>
    <row r="799" spans="2:5" x14ac:dyDescent="0.25">
      <c r="B799"/>
      <c r="C799"/>
      <c r="D799"/>
      <c r="E799"/>
    </row>
    <row r="800" spans="2:5" x14ac:dyDescent="0.25">
      <c r="B800"/>
      <c r="C800"/>
      <c r="D800"/>
      <c r="E800"/>
    </row>
    <row r="801" spans="2:5" x14ac:dyDescent="0.25">
      <c r="B801"/>
      <c r="C801"/>
      <c r="D801"/>
      <c r="E801"/>
    </row>
    <row r="802" spans="2:5" x14ac:dyDescent="0.25">
      <c r="B802"/>
      <c r="C802"/>
      <c r="D802"/>
      <c r="E802"/>
    </row>
    <row r="803" spans="2:5" x14ac:dyDescent="0.25">
      <c r="B803"/>
      <c r="C803"/>
      <c r="D803"/>
      <c r="E803"/>
    </row>
    <row r="804" spans="2:5" x14ac:dyDescent="0.25">
      <c r="B804"/>
      <c r="C804"/>
      <c r="D804"/>
      <c r="E804"/>
    </row>
    <row r="805" spans="2:5" x14ac:dyDescent="0.25">
      <c r="B805"/>
      <c r="C805"/>
      <c r="D805"/>
      <c r="E805"/>
    </row>
    <row r="806" spans="2:5" x14ac:dyDescent="0.25">
      <c r="B806"/>
      <c r="C806"/>
      <c r="D806"/>
      <c r="E806"/>
    </row>
    <row r="807" spans="2:5" x14ac:dyDescent="0.25">
      <c r="B807"/>
      <c r="C807"/>
      <c r="D807"/>
      <c r="E807"/>
    </row>
    <row r="808" spans="2:5" x14ac:dyDescent="0.25">
      <c r="B808"/>
      <c r="C808"/>
      <c r="D808"/>
      <c r="E808"/>
    </row>
    <row r="809" spans="2:5" x14ac:dyDescent="0.25">
      <c r="B809"/>
      <c r="C809"/>
      <c r="D809"/>
      <c r="E809"/>
    </row>
    <row r="810" spans="2:5" x14ac:dyDescent="0.25">
      <c r="B810"/>
      <c r="C810"/>
      <c r="D810"/>
      <c r="E810"/>
    </row>
    <row r="811" spans="2:5" x14ac:dyDescent="0.25">
      <c r="B811"/>
      <c r="C811"/>
      <c r="D811"/>
      <c r="E811"/>
    </row>
    <row r="812" spans="2:5" x14ac:dyDescent="0.25">
      <c r="B812"/>
      <c r="C812"/>
      <c r="D812"/>
      <c r="E812"/>
    </row>
    <row r="813" spans="2:5" x14ac:dyDescent="0.25">
      <c r="B813"/>
      <c r="C813"/>
      <c r="D813"/>
      <c r="E813"/>
    </row>
    <row r="814" spans="2:5" x14ac:dyDescent="0.25">
      <c r="B814"/>
      <c r="C814"/>
      <c r="D814"/>
      <c r="E814"/>
    </row>
    <row r="815" spans="2:5" x14ac:dyDescent="0.25">
      <c r="B815"/>
      <c r="C815"/>
      <c r="D815"/>
      <c r="E815"/>
    </row>
    <row r="816" spans="2:5" x14ac:dyDescent="0.25">
      <c r="B816"/>
      <c r="C816"/>
      <c r="D816"/>
      <c r="E816"/>
    </row>
    <row r="817" spans="2:5" x14ac:dyDescent="0.25">
      <c r="B817"/>
      <c r="C817"/>
      <c r="D817"/>
      <c r="E817"/>
    </row>
    <row r="818" spans="2:5" x14ac:dyDescent="0.25">
      <c r="B818"/>
      <c r="C818"/>
      <c r="D818"/>
      <c r="E818"/>
    </row>
    <row r="819" spans="2:5" x14ac:dyDescent="0.25">
      <c r="B819"/>
      <c r="C819"/>
      <c r="D819"/>
      <c r="E819"/>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B863-01FD-4C70-8B7A-7B8EC6E28509}">
  <dimension ref="A1:H303"/>
  <sheetViews>
    <sheetView tabSelected="1" zoomScaleNormal="100" workbookViewId="0">
      <selection activeCell="E15" sqref="E15"/>
    </sheetView>
  </sheetViews>
  <sheetFormatPr baseColWidth="10" defaultColWidth="9" defaultRowHeight="15" x14ac:dyDescent="0.25"/>
  <cols>
    <col min="1" max="1" width="17.5703125" bestFit="1" customWidth="1"/>
    <col min="2" max="2" width="9" style="3" bestFit="1" customWidth="1"/>
    <col min="3" max="3" width="11.5703125" style="1" bestFit="1" customWidth="1"/>
    <col min="4" max="4" width="6.7109375" style="2" bestFit="1" customWidth="1"/>
    <col min="5" max="5" width="10.42578125" style="9" bestFit="1" customWidth="1"/>
  </cols>
  <sheetData>
    <row r="1" spans="1:5" x14ac:dyDescent="0.25">
      <c r="B1"/>
      <c r="C1"/>
      <c r="D1"/>
      <c r="E1"/>
    </row>
    <row r="2" spans="1:5" x14ac:dyDescent="0.25">
      <c r="A2" s="4" t="s">
        <v>2540</v>
      </c>
      <c r="B2" s="5">
        <v>2023</v>
      </c>
      <c r="C2"/>
      <c r="D2"/>
      <c r="E2"/>
    </row>
    <row r="3" spans="1:5" x14ac:dyDescent="0.25">
      <c r="A3" s="4" t="s">
        <v>2539</v>
      </c>
      <c r="B3" s="5">
        <v>12</v>
      </c>
      <c r="C3"/>
      <c r="D3"/>
      <c r="E3"/>
    </row>
    <row r="4" spans="1:5" x14ac:dyDescent="0.25">
      <c r="B4"/>
      <c r="C4"/>
      <c r="D4"/>
      <c r="E4"/>
    </row>
    <row r="5" spans="1:5" x14ac:dyDescent="0.25">
      <c r="A5" s="4" t="s">
        <v>2666</v>
      </c>
      <c r="B5" s="7" t="s">
        <v>68</v>
      </c>
      <c r="C5" s="6" t="s">
        <v>69</v>
      </c>
      <c r="D5" s="8" t="s">
        <v>70</v>
      </c>
      <c r="E5" t="s">
        <v>73</v>
      </c>
    </row>
    <row r="6" spans="1:5" x14ac:dyDescent="0.25">
      <c r="A6" s="5" t="s">
        <v>9316</v>
      </c>
      <c r="B6" s="7">
        <v>48083.760000000017</v>
      </c>
      <c r="C6" s="6">
        <v>744986</v>
      </c>
      <c r="D6" s="8">
        <v>15.493505499569912</v>
      </c>
      <c r="E6" s="7">
        <v>76.142857142857139</v>
      </c>
    </row>
    <row r="7" spans="1:5" x14ac:dyDescent="0.25">
      <c r="A7" s="5" t="s">
        <v>9327</v>
      </c>
      <c r="B7" s="7">
        <v>44705.37</v>
      </c>
      <c r="C7" s="6">
        <v>640342</v>
      </c>
      <c r="D7" s="8">
        <v>14.323603629720544</v>
      </c>
      <c r="E7" s="7">
        <v>76</v>
      </c>
    </row>
    <row r="8" spans="1:5" x14ac:dyDescent="0.25">
      <c r="A8" s="5" t="s">
        <v>9340</v>
      </c>
      <c r="B8" s="7">
        <v>44287.22</v>
      </c>
      <c r="C8" s="6">
        <v>671436</v>
      </c>
      <c r="D8" s="8">
        <v>15.160942592467984</v>
      </c>
      <c r="E8" s="7">
        <v>75.875</v>
      </c>
    </row>
    <row r="9" spans="1:5" x14ac:dyDescent="0.25">
      <c r="A9" s="5" t="s">
        <v>9354</v>
      </c>
      <c r="B9" s="7">
        <v>70887.170000000027</v>
      </c>
      <c r="C9" s="6">
        <v>924873</v>
      </c>
      <c r="D9" s="8">
        <v>13.047114167486157</v>
      </c>
      <c r="E9" s="7">
        <v>85.857142857142861</v>
      </c>
    </row>
    <row r="10" spans="1:5" x14ac:dyDescent="0.25">
      <c r="A10" s="5" t="s">
        <v>9361</v>
      </c>
      <c r="B10" s="7">
        <v>24785.579999999994</v>
      </c>
      <c r="C10" s="6">
        <v>401648</v>
      </c>
      <c r="D10" s="8">
        <v>16.204906239837843</v>
      </c>
      <c r="E10" s="7">
        <v>65</v>
      </c>
    </row>
    <row r="11" spans="1:5" x14ac:dyDescent="0.25">
      <c r="A11" s="5" t="s">
        <v>9379</v>
      </c>
      <c r="B11" s="7">
        <v>31354.960000000003</v>
      </c>
      <c r="C11" s="6">
        <v>474971</v>
      </c>
      <c r="D11" s="8">
        <v>15.148193459663158</v>
      </c>
      <c r="E11" s="7">
        <v>79.833333333333329</v>
      </c>
    </row>
    <row r="12" spans="1:5" x14ac:dyDescent="0.25">
      <c r="A12" s="5" t="s">
        <v>9392</v>
      </c>
      <c r="B12" s="7">
        <v>35319.839999999997</v>
      </c>
      <c r="C12" s="6">
        <v>402429</v>
      </c>
      <c r="D12" s="8">
        <v>11.393851161273664</v>
      </c>
      <c r="E12" s="7">
        <v>92</v>
      </c>
    </row>
    <row r="13" spans="1:5" x14ac:dyDescent="0.25">
      <c r="A13" s="5" t="s">
        <v>9406</v>
      </c>
      <c r="B13" s="7">
        <v>51461.58</v>
      </c>
      <c r="C13" s="6">
        <v>735166</v>
      </c>
      <c r="D13" s="8">
        <v>14.28572538969849</v>
      </c>
      <c r="E13" s="7">
        <v>74.714285714285708</v>
      </c>
    </row>
    <row r="14" spans="1:5" x14ac:dyDescent="0.25">
      <c r="A14" s="5" t="s">
        <v>9417</v>
      </c>
      <c r="B14" s="7">
        <v>64867.200000000004</v>
      </c>
      <c r="C14" s="6">
        <v>857694</v>
      </c>
      <c r="D14" s="8">
        <v>13.222306496966109</v>
      </c>
      <c r="E14" s="7">
        <v>88.1</v>
      </c>
    </row>
    <row r="15" spans="1:5" x14ac:dyDescent="0.25">
      <c r="A15" s="5" t="s">
        <v>9438</v>
      </c>
      <c r="B15" s="7">
        <v>51917.71</v>
      </c>
      <c r="C15" s="6">
        <v>743061</v>
      </c>
      <c r="D15" s="8">
        <v>14.312283804505245</v>
      </c>
      <c r="E15" s="7">
        <v>75.125</v>
      </c>
    </row>
    <row r="16" spans="1:5" x14ac:dyDescent="0.25">
      <c r="A16" s="5" t="s">
        <v>2667</v>
      </c>
      <c r="B16" s="7">
        <v>467670.38999999984</v>
      </c>
      <c r="C16" s="6">
        <v>6596606</v>
      </c>
      <c r="D16" s="8">
        <v>14.105246218388986</v>
      </c>
      <c r="E16" s="7">
        <v>79.171428571428578</v>
      </c>
    </row>
    <row r="17" spans="2:8" x14ac:dyDescent="0.25">
      <c r="B17"/>
      <c r="C17"/>
      <c r="D17"/>
      <c r="E17"/>
    </row>
    <row r="18" spans="2:8" x14ac:dyDescent="0.25">
      <c r="B18"/>
      <c r="C18"/>
      <c r="D18"/>
      <c r="E18"/>
    </row>
    <row r="19" spans="2:8" x14ac:dyDescent="0.25">
      <c r="B19"/>
      <c r="C19"/>
      <c r="D19"/>
      <c r="E19"/>
    </row>
    <row r="20" spans="2:8" x14ac:dyDescent="0.25">
      <c r="B20"/>
      <c r="C20"/>
      <c r="D20"/>
      <c r="E20"/>
      <c r="H20" s="10"/>
    </row>
    <row r="21" spans="2:8" x14ac:dyDescent="0.25">
      <c r="B21"/>
      <c r="C21"/>
      <c r="D21"/>
      <c r="E21"/>
    </row>
    <row r="22" spans="2:8" x14ac:dyDescent="0.25">
      <c r="B22"/>
      <c r="C22"/>
      <c r="D22"/>
      <c r="E22"/>
    </row>
    <row r="23" spans="2:8" x14ac:dyDescent="0.25">
      <c r="B23"/>
      <c r="C23"/>
      <c r="D23"/>
      <c r="E23"/>
    </row>
    <row r="24" spans="2:8" x14ac:dyDescent="0.25">
      <c r="B24"/>
      <c r="C24"/>
      <c r="D24"/>
      <c r="E24"/>
    </row>
    <row r="25" spans="2:8" x14ac:dyDescent="0.25">
      <c r="B25"/>
      <c r="C25"/>
      <c r="D25"/>
      <c r="E25"/>
    </row>
    <row r="26" spans="2:8" x14ac:dyDescent="0.25">
      <c r="B26"/>
      <c r="C26"/>
      <c r="D26"/>
      <c r="E26"/>
    </row>
    <row r="27" spans="2:8" x14ac:dyDescent="0.25">
      <c r="B27"/>
      <c r="C27"/>
      <c r="D27"/>
      <c r="E27"/>
    </row>
    <row r="28" spans="2:8" x14ac:dyDescent="0.25">
      <c r="B28"/>
      <c r="C28"/>
      <c r="D28"/>
      <c r="E28"/>
    </row>
    <row r="29" spans="2:8" x14ac:dyDescent="0.25">
      <c r="B29"/>
      <c r="C29"/>
      <c r="D29"/>
      <c r="E29"/>
    </row>
    <row r="30" spans="2:8" x14ac:dyDescent="0.25">
      <c r="B30"/>
      <c r="C30"/>
      <c r="D30"/>
      <c r="E30"/>
    </row>
    <row r="31" spans="2:8" x14ac:dyDescent="0.25">
      <c r="B31"/>
      <c r="C31"/>
      <c r="D31"/>
      <c r="E31"/>
    </row>
    <row r="32" spans="2:8" x14ac:dyDescent="0.25">
      <c r="B32"/>
      <c r="C32"/>
      <c r="D32"/>
      <c r="E32"/>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003"/>
  <sheetViews>
    <sheetView zoomScale="90" zoomScaleNormal="90" workbookViewId="0">
      <pane ySplit="1" topLeftCell="A7748" activePane="bottomLeft" state="frozen"/>
      <selection pane="bottomLeft" activeCell="D7781" activeCellId="1" sqref="A7782:XFD7782 A7781:XFD7781"/>
    </sheetView>
  </sheetViews>
  <sheetFormatPr baseColWidth="10" defaultColWidth="9" defaultRowHeight="11.25" x14ac:dyDescent="0.2"/>
  <cols>
    <col min="1" max="1" width="10.85546875" style="23" bestFit="1" customWidth="1"/>
    <col min="2" max="2" width="5.85546875" style="22" customWidth="1"/>
    <col min="3" max="3" width="31.28515625" style="22" customWidth="1"/>
    <col min="4" max="4" width="13.7109375" style="22" bestFit="1" customWidth="1"/>
    <col min="5" max="5" width="13.140625" style="24" bestFit="1" customWidth="1"/>
    <col min="6" max="6" width="17.28515625" style="22" customWidth="1"/>
    <col min="7" max="7" width="11.5703125" style="25" bestFit="1" customWidth="1"/>
    <col min="8" max="8" width="10.85546875" style="22" bestFit="1" customWidth="1"/>
    <col min="9" max="9" width="8.28515625" style="22" customWidth="1"/>
    <col min="10" max="10" width="18.5703125" style="22" customWidth="1"/>
    <col min="11" max="11" width="27.5703125" style="22" customWidth="1"/>
    <col min="12" max="12" width="9.5703125" style="22" customWidth="1"/>
    <col min="13" max="13" width="10.28515625" style="26" bestFit="1" customWidth="1"/>
    <col min="14" max="14" width="10.140625" style="26" bestFit="1" customWidth="1"/>
    <col min="15" max="15" width="10.28515625" style="26" bestFit="1" customWidth="1"/>
    <col min="16" max="16" width="10.5703125" style="26" bestFit="1" customWidth="1"/>
    <col min="17" max="17" width="9.42578125" style="25" customWidth="1"/>
    <col min="18" max="18" width="10.85546875" style="22" bestFit="1" customWidth="1"/>
    <col min="19" max="19" width="100" style="22" bestFit="1" customWidth="1"/>
    <col min="20" max="20" width="5.42578125" style="22" bestFit="1" customWidth="1"/>
    <col min="21" max="21" width="5.140625" style="22" bestFit="1" customWidth="1"/>
    <col min="22" max="22" width="15.85546875" style="22" bestFit="1" customWidth="1"/>
    <col min="23" max="16384" width="9" style="22"/>
  </cols>
  <sheetData>
    <row r="1" spans="1:22" x14ac:dyDescent="0.2">
      <c r="A1" s="16" t="s">
        <v>0</v>
      </c>
      <c r="B1" s="17" t="s">
        <v>1</v>
      </c>
      <c r="C1" s="17" t="s">
        <v>2</v>
      </c>
      <c r="D1" s="17" t="s">
        <v>3</v>
      </c>
      <c r="E1" s="18" t="s">
        <v>4</v>
      </c>
      <c r="F1" s="17" t="s">
        <v>5</v>
      </c>
      <c r="G1" s="19" t="s">
        <v>6</v>
      </c>
      <c r="H1" s="17" t="s">
        <v>7</v>
      </c>
      <c r="I1" s="17" t="s">
        <v>8</v>
      </c>
      <c r="J1" s="17" t="s">
        <v>9</v>
      </c>
      <c r="K1" s="17" t="s">
        <v>10</v>
      </c>
      <c r="L1" s="17" t="s">
        <v>11</v>
      </c>
      <c r="M1" s="20" t="s">
        <v>12</v>
      </c>
      <c r="N1" s="20" t="s">
        <v>13</v>
      </c>
      <c r="O1" s="20" t="s">
        <v>14</v>
      </c>
      <c r="P1" s="20" t="s">
        <v>15</v>
      </c>
      <c r="Q1" s="19" t="s">
        <v>16</v>
      </c>
      <c r="R1" s="17" t="s">
        <v>17</v>
      </c>
      <c r="S1" s="17" t="s">
        <v>111</v>
      </c>
      <c r="T1" s="21" t="s">
        <v>2539</v>
      </c>
      <c r="U1" s="21" t="s">
        <v>2540</v>
      </c>
      <c r="V1" s="21" t="s">
        <v>2541</v>
      </c>
    </row>
    <row r="2" spans="1:22" x14ac:dyDescent="0.2">
      <c r="A2" s="23" t="s">
        <v>74</v>
      </c>
      <c r="B2" s="22" t="s">
        <v>54</v>
      </c>
      <c r="C2" s="22" t="s">
        <v>55</v>
      </c>
      <c r="D2" s="22" t="s">
        <v>61</v>
      </c>
      <c r="E2" s="24" t="s">
        <v>62</v>
      </c>
      <c r="F2" s="22" t="s">
        <v>66</v>
      </c>
      <c r="G2" s="25">
        <v>15007.999999999991</v>
      </c>
      <c r="H2" s="22" t="s">
        <v>24</v>
      </c>
      <c r="I2" s="22">
        <v>1</v>
      </c>
      <c r="J2" s="22" t="s">
        <v>66</v>
      </c>
      <c r="K2" s="22" t="s">
        <v>75</v>
      </c>
      <c r="L2" s="22">
        <v>0</v>
      </c>
      <c r="M2" s="26">
        <v>380000</v>
      </c>
      <c r="N2" s="26">
        <v>0</v>
      </c>
      <c r="O2" s="26">
        <f t="shared" ref="O2:O65" si="0">SUM(M2:N2)</f>
        <v>380000</v>
      </c>
      <c r="P2" s="26">
        <f t="shared" ref="P2:P65" si="1">O2/G2</f>
        <v>25.319829424307052</v>
      </c>
      <c r="Q2" s="25">
        <v>25000</v>
      </c>
      <c r="R2" s="22">
        <v>60</v>
      </c>
      <c r="T2" s="22">
        <f t="shared" ref="T2:T65" si="2">MONTH(A2)</f>
        <v>10</v>
      </c>
      <c r="U2" s="22">
        <f t="shared" ref="U2:U65" si="3">YEAR(A2)</f>
        <v>2020</v>
      </c>
      <c r="V2" s="22" t="str">
        <f t="shared" ref="V2:V65" si="4">IF(K2="METROPOLITANA DE SANTIAGO","METROPOLITANA","REGIONES")</f>
        <v>REGIONES</v>
      </c>
    </row>
    <row r="3" spans="1:22" x14ac:dyDescent="0.2">
      <c r="A3" s="23" t="s">
        <v>74</v>
      </c>
      <c r="B3" s="22" t="s">
        <v>18</v>
      </c>
      <c r="C3" s="22" t="s">
        <v>71</v>
      </c>
      <c r="D3" s="22" t="s">
        <v>37</v>
      </c>
      <c r="E3" s="24" t="s">
        <v>40</v>
      </c>
      <c r="F3" s="22" t="s">
        <v>72</v>
      </c>
      <c r="G3" s="25">
        <v>9927.69</v>
      </c>
      <c r="H3" s="22" t="s">
        <v>22</v>
      </c>
      <c r="I3" s="22">
        <v>0</v>
      </c>
      <c r="J3" s="22" t="s">
        <v>72</v>
      </c>
      <c r="K3" s="22" t="s">
        <v>23</v>
      </c>
      <c r="L3" s="22">
        <v>5</v>
      </c>
      <c r="M3" s="26">
        <v>90000</v>
      </c>
      <c r="N3" s="26">
        <v>0</v>
      </c>
      <c r="O3" s="26">
        <f t="shared" si="0"/>
        <v>90000</v>
      </c>
      <c r="P3" s="26">
        <f t="shared" si="1"/>
        <v>9.0655530138430986</v>
      </c>
      <c r="Q3" s="25">
        <v>12000</v>
      </c>
      <c r="R3" s="22">
        <v>83</v>
      </c>
      <c r="T3" s="22">
        <f t="shared" si="2"/>
        <v>10</v>
      </c>
      <c r="U3" s="22">
        <f t="shared" si="3"/>
        <v>2020</v>
      </c>
      <c r="V3" s="22" t="str">
        <f t="shared" si="4"/>
        <v>METROPOLITANA</v>
      </c>
    </row>
    <row r="4" spans="1:22" x14ac:dyDescent="0.2">
      <c r="A4" s="23" t="s">
        <v>74</v>
      </c>
      <c r="B4" s="22" t="s">
        <v>18</v>
      </c>
      <c r="C4" s="22" t="s">
        <v>19</v>
      </c>
      <c r="D4" s="22" t="s">
        <v>30</v>
      </c>
      <c r="E4" s="24" t="s">
        <v>31</v>
      </c>
      <c r="F4" s="22" t="s">
        <v>67</v>
      </c>
      <c r="G4" s="25">
        <v>14456.16</v>
      </c>
      <c r="H4" s="22" t="s">
        <v>32</v>
      </c>
      <c r="I4" s="22">
        <v>0</v>
      </c>
      <c r="J4" s="22" t="s">
        <v>67</v>
      </c>
      <c r="K4" s="22" t="s">
        <v>23</v>
      </c>
      <c r="L4" s="22">
        <v>1</v>
      </c>
      <c r="M4" s="26">
        <v>101193</v>
      </c>
      <c r="N4" s="26">
        <f>3*G4</f>
        <v>43368.479999999996</v>
      </c>
      <c r="O4" s="26">
        <f t="shared" si="0"/>
        <v>144561.47999999998</v>
      </c>
      <c r="P4" s="26">
        <f t="shared" si="1"/>
        <v>9.9999916990404074</v>
      </c>
      <c r="Q4" s="25">
        <v>4821</v>
      </c>
      <c r="R4" s="22">
        <v>100</v>
      </c>
      <c r="T4" s="22">
        <f t="shared" si="2"/>
        <v>10</v>
      </c>
      <c r="U4" s="22">
        <f t="shared" si="3"/>
        <v>2020</v>
      </c>
      <c r="V4" s="22" t="str">
        <f t="shared" si="4"/>
        <v>METROPOLITANA</v>
      </c>
    </row>
    <row r="5" spans="1:22" x14ac:dyDescent="0.2">
      <c r="A5" s="23" t="s">
        <v>74</v>
      </c>
      <c r="B5" s="22" t="s">
        <v>33</v>
      </c>
      <c r="C5" s="22" t="s">
        <v>50</v>
      </c>
      <c r="D5" s="22" t="s">
        <v>27</v>
      </c>
      <c r="E5" s="24" t="s">
        <v>28</v>
      </c>
      <c r="F5" s="22" t="s">
        <v>26</v>
      </c>
      <c r="G5" s="25">
        <v>19822.32</v>
      </c>
      <c r="H5" s="22" t="s">
        <v>22</v>
      </c>
      <c r="I5" s="22">
        <v>1</v>
      </c>
      <c r="J5" s="22" t="s">
        <v>26</v>
      </c>
      <c r="K5" s="22" t="s">
        <v>23</v>
      </c>
      <c r="L5" s="22">
        <v>3</v>
      </c>
      <c r="M5" s="26">
        <v>138756</v>
      </c>
      <c r="N5" s="26">
        <v>0</v>
      </c>
      <c r="O5" s="26">
        <f t="shared" si="0"/>
        <v>138756</v>
      </c>
      <c r="P5" s="26">
        <f t="shared" si="1"/>
        <v>6.9999878924364047</v>
      </c>
      <c r="Q5" s="25">
        <v>6868</v>
      </c>
      <c r="R5" s="22">
        <v>100</v>
      </c>
      <c r="T5" s="22">
        <f t="shared" si="2"/>
        <v>10</v>
      </c>
      <c r="U5" s="22">
        <f t="shared" si="3"/>
        <v>2020</v>
      </c>
      <c r="V5" s="22" t="str">
        <f t="shared" si="4"/>
        <v>METROPOLITANA</v>
      </c>
    </row>
    <row r="6" spans="1:22" x14ac:dyDescent="0.2">
      <c r="A6" s="23" t="s">
        <v>74</v>
      </c>
      <c r="B6" s="22" t="s">
        <v>33</v>
      </c>
      <c r="C6" s="22" t="s">
        <v>60</v>
      </c>
      <c r="D6" s="22" t="s">
        <v>63</v>
      </c>
      <c r="E6" s="24" t="s">
        <v>64</v>
      </c>
      <c r="F6" s="22" t="s">
        <v>51</v>
      </c>
      <c r="G6" s="25">
        <v>3570.1799999999989</v>
      </c>
      <c r="H6" s="22" t="s">
        <v>65</v>
      </c>
      <c r="I6" s="22">
        <v>0</v>
      </c>
      <c r="J6" s="22" t="s">
        <v>51</v>
      </c>
      <c r="K6" s="22" t="s">
        <v>23</v>
      </c>
      <c r="L6" s="22">
        <v>4</v>
      </c>
      <c r="M6" s="26">
        <v>56075</v>
      </c>
      <c r="N6" s="26">
        <v>0</v>
      </c>
      <c r="O6" s="26">
        <f t="shared" si="0"/>
        <v>56075</v>
      </c>
      <c r="P6" s="26">
        <f t="shared" si="1"/>
        <v>15.706490989249847</v>
      </c>
      <c r="Q6" s="25">
        <v>8011</v>
      </c>
      <c r="R6" s="22">
        <v>45</v>
      </c>
      <c r="T6" s="22">
        <f t="shared" si="2"/>
        <v>10</v>
      </c>
      <c r="U6" s="22">
        <f t="shared" si="3"/>
        <v>2020</v>
      </c>
      <c r="V6" s="22" t="str">
        <f t="shared" si="4"/>
        <v>METROPOLITANA</v>
      </c>
    </row>
    <row r="7" spans="1:22" x14ac:dyDescent="0.2">
      <c r="A7" s="23" t="s">
        <v>74</v>
      </c>
      <c r="B7" s="22" t="s">
        <v>33</v>
      </c>
      <c r="C7" s="22" t="s">
        <v>57</v>
      </c>
      <c r="D7" s="22" t="s">
        <v>20</v>
      </c>
      <c r="E7" s="24" t="s">
        <v>21</v>
      </c>
      <c r="F7" s="22" t="s">
        <v>58</v>
      </c>
      <c r="G7" s="25">
        <v>3618.55</v>
      </c>
      <c r="H7" s="22" t="s">
        <v>22</v>
      </c>
      <c r="I7" s="22">
        <v>0</v>
      </c>
      <c r="J7" s="22" t="s">
        <v>58</v>
      </c>
      <c r="K7" s="22" t="s">
        <v>23</v>
      </c>
      <c r="L7" s="22">
        <v>5</v>
      </c>
      <c r="M7" s="26">
        <v>70000</v>
      </c>
      <c r="N7" s="26">
        <f>4*G7</f>
        <v>14474.2</v>
      </c>
      <c r="O7" s="26">
        <f t="shared" si="0"/>
        <v>84474.2</v>
      </c>
      <c r="P7" s="26">
        <f t="shared" si="1"/>
        <v>23.344765168368543</v>
      </c>
      <c r="Q7" s="25">
        <v>12000</v>
      </c>
      <c r="R7" s="22">
        <v>30</v>
      </c>
      <c r="T7" s="22">
        <f t="shared" si="2"/>
        <v>10</v>
      </c>
      <c r="U7" s="22">
        <f t="shared" si="3"/>
        <v>2020</v>
      </c>
      <c r="V7" s="22" t="str">
        <f t="shared" si="4"/>
        <v>METROPOLITANA</v>
      </c>
    </row>
    <row r="8" spans="1:22" x14ac:dyDescent="0.2">
      <c r="A8" s="23" t="s">
        <v>74</v>
      </c>
      <c r="B8" s="22" t="s">
        <v>33</v>
      </c>
      <c r="C8" s="22" t="s">
        <v>36</v>
      </c>
      <c r="D8" s="22" t="s">
        <v>76</v>
      </c>
      <c r="E8" s="24" t="s">
        <v>77</v>
      </c>
      <c r="F8" s="22" t="s">
        <v>59</v>
      </c>
      <c r="G8" s="25">
        <v>7705.6999999999989</v>
      </c>
      <c r="H8" s="22" t="s">
        <v>24</v>
      </c>
      <c r="I8" s="22">
        <v>1</v>
      </c>
      <c r="J8" s="22" t="s">
        <v>59</v>
      </c>
      <c r="K8" s="22" t="s">
        <v>78</v>
      </c>
      <c r="L8" s="22">
        <v>0</v>
      </c>
      <c r="M8" s="26">
        <v>230000</v>
      </c>
      <c r="N8" s="26">
        <v>0</v>
      </c>
      <c r="O8" s="26">
        <f t="shared" si="0"/>
        <v>230000</v>
      </c>
      <c r="P8" s="26">
        <f t="shared" si="1"/>
        <v>29.848034571810484</v>
      </c>
      <c r="Q8" s="25">
        <v>25000</v>
      </c>
      <c r="R8" s="22">
        <v>31</v>
      </c>
      <c r="T8" s="22">
        <f t="shared" si="2"/>
        <v>10</v>
      </c>
      <c r="U8" s="22">
        <f t="shared" si="3"/>
        <v>2020</v>
      </c>
      <c r="V8" s="22" t="str">
        <f t="shared" si="4"/>
        <v>REGIONES</v>
      </c>
    </row>
    <row r="9" spans="1:22" x14ac:dyDescent="0.2">
      <c r="A9" s="23" t="s">
        <v>74</v>
      </c>
      <c r="B9" s="22" t="s">
        <v>33</v>
      </c>
      <c r="C9" s="22" t="s">
        <v>29</v>
      </c>
      <c r="D9" s="22" t="s">
        <v>38</v>
      </c>
      <c r="E9" s="24" t="s">
        <v>42</v>
      </c>
      <c r="F9" s="22" t="s">
        <v>39</v>
      </c>
      <c r="G9" s="25">
        <v>6079.2000000000016</v>
      </c>
      <c r="H9" s="22" t="s">
        <v>43</v>
      </c>
      <c r="I9" s="22">
        <v>0</v>
      </c>
      <c r="J9" s="22" t="s">
        <v>39</v>
      </c>
      <c r="K9" s="22" t="s">
        <v>23</v>
      </c>
      <c r="L9" s="22">
        <v>1</v>
      </c>
      <c r="M9" s="26">
        <v>42554</v>
      </c>
      <c r="N9" s="26">
        <v>18238</v>
      </c>
      <c r="O9" s="26">
        <f t="shared" si="0"/>
        <v>60792</v>
      </c>
      <c r="P9" s="26">
        <f t="shared" si="1"/>
        <v>9.9999999999999964</v>
      </c>
      <c r="Q9" s="25">
        <v>4821</v>
      </c>
      <c r="R9" s="22">
        <v>100</v>
      </c>
      <c r="T9" s="22">
        <f t="shared" si="2"/>
        <v>10</v>
      </c>
      <c r="U9" s="22">
        <f t="shared" si="3"/>
        <v>2020</v>
      </c>
      <c r="V9" s="22" t="str">
        <f t="shared" si="4"/>
        <v>METROPOLITANA</v>
      </c>
    </row>
    <row r="10" spans="1:22" x14ac:dyDescent="0.2">
      <c r="A10" s="23" t="s">
        <v>74</v>
      </c>
      <c r="B10" s="22" t="s">
        <v>33</v>
      </c>
      <c r="C10" s="22" t="s">
        <v>29</v>
      </c>
      <c r="D10" s="22" t="s">
        <v>41</v>
      </c>
      <c r="E10" s="24" t="s">
        <v>25</v>
      </c>
      <c r="F10" s="22" t="s">
        <v>39</v>
      </c>
      <c r="G10" s="25">
        <v>5340.5999999999995</v>
      </c>
      <c r="H10" s="22" t="s">
        <v>43</v>
      </c>
      <c r="I10" s="22">
        <v>0</v>
      </c>
      <c r="J10" s="22" t="s">
        <v>39</v>
      </c>
      <c r="K10" s="22" t="s">
        <v>23</v>
      </c>
      <c r="L10" s="22">
        <v>1</v>
      </c>
      <c r="M10" s="26">
        <v>37384</v>
      </c>
      <c r="N10" s="26">
        <v>16022</v>
      </c>
      <c r="O10" s="26">
        <f t="shared" si="0"/>
        <v>53406</v>
      </c>
      <c r="P10" s="26">
        <f t="shared" si="1"/>
        <v>10.000000000000002</v>
      </c>
      <c r="Q10" s="25">
        <v>4821</v>
      </c>
      <c r="R10" s="22">
        <v>100</v>
      </c>
      <c r="T10" s="22">
        <f t="shared" si="2"/>
        <v>10</v>
      </c>
      <c r="U10" s="22">
        <f t="shared" si="3"/>
        <v>2020</v>
      </c>
      <c r="V10" s="22" t="str">
        <f t="shared" si="4"/>
        <v>METROPOLITANA</v>
      </c>
    </row>
    <row r="11" spans="1:22" x14ac:dyDescent="0.2">
      <c r="A11" s="23" t="s">
        <v>74</v>
      </c>
      <c r="B11" s="22" t="s">
        <v>33</v>
      </c>
      <c r="C11" s="22" t="s">
        <v>29</v>
      </c>
      <c r="D11" s="22" t="s">
        <v>20</v>
      </c>
      <c r="E11" s="24" t="s">
        <v>21</v>
      </c>
      <c r="F11" s="22" t="s">
        <v>39</v>
      </c>
      <c r="G11" s="25">
        <v>8034.3999999999978</v>
      </c>
      <c r="H11" s="22" t="s">
        <v>22</v>
      </c>
      <c r="I11" s="22">
        <v>0</v>
      </c>
      <c r="J11" s="22" t="s">
        <v>39</v>
      </c>
      <c r="K11" s="22" t="s">
        <v>23</v>
      </c>
      <c r="L11" s="22">
        <v>1</v>
      </c>
      <c r="M11" s="26">
        <v>56241</v>
      </c>
      <c r="N11" s="26">
        <v>32138</v>
      </c>
      <c r="O11" s="26">
        <f t="shared" si="0"/>
        <v>88379</v>
      </c>
      <c r="P11" s="26">
        <f t="shared" si="1"/>
        <v>11.000074678880816</v>
      </c>
      <c r="Q11" s="25">
        <v>4821</v>
      </c>
      <c r="R11" s="22">
        <v>100</v>
      </c>
      <c r="T11" s="22">
        <f t="shared" si="2"/>
        <v>10</v>
      </c>
      <c r="U11" s="22">
        <f t="shared" si="3"/>
        <v>2020</v>
      </c>
      <c r="V11" s="22" t="str">
        <f t="shared" si="4"/>
        <v>METROPOLITANA</v>
      </c>
    </row>
    <row r="12" spans="1:22" x14ac:dyDescent="0.2">
      <c r="A12" s="23" t="s">
        <v>74</v>
      </c>
      <c r="B12" s="22" t="s">
        <v>33</v>
      </c>
      <c r="C12" s="22" t="s">
        <v>44</v>
      </c>
      <c r="D12" s="22" t="s">
        <v>56</v>
      </c>
      <c r="E12" s="24" t="s">
        <v>52</v>
      </c>
      <c r="F12" s="22" t="s">
        <v>34</v>
      </c>
      <c r="G12" s="25">
        <v>2617.02</v>
      </c>
      <c r="H12" s="22" t="s">
        <v>22</v>
      </c>
      <c r="I12" s="22">
        <v>0</v>
      </c>
      <c r="J12" s="22" t="s">
        <v>34</v>
      </c>
      <c r="K12" s="22" t="s">
        <v>23</v>
      </c>
      <c r="L12" s="22">
        <v>1</v>
      </c>
      <c r="M12" s="26">
        <v>33750</v>
      </c>
      <c r="N12" s="26">
        <v>10468</v>
      </c>
      <c r="O12" s="26">
        <f t="shared" si="0"/>
        <v>44218</v>
      </c>
      <c r="P12" s="26">
        <f t="shared" si="1"/>
        <v>16.896317185195375</v>
      </c>
      <c r="Q12" s="25">
        <v>4821</v>
      </c>
      <c r="R12" s="22">
        <v>54</v>
      </c>
      <c r="T12" s="22">
        <f t="shared" si="2"/>
        <v>10</v>
      </c>
      <c r="U12" s="22">
        <f t="shared" si="3"/>
        <v>2020</v>
      </c>
      <c r="V12" s="22" t="str">
        <f t="shared" si="4"/>
        <v>METROPOLITANA</v>
      </c>
    </row>
    <row r="13" spans="1:22" x14ac:dyDescent="0.2">
      <c r="A13" s="23" t="s">
        <v>74</v>
      </c>
      <c r="B13" s="22" t="s">
        <v>33</v>
      </c>
      <c r="C13" s="22" t="s">
        <v>44</v>
      </c>
      <c r="D13" s="22" t="s">
        <v>45</v>
      </c>
      <c r="E13" s="24" t="s">
        <v>28</v>
      </c>
      <c r="F13" s="22" t="s">
        <v>46</v>
      </c>
      <c r="G13" s="25">
        <v>2740.6</v>
      </c>
      <c r="H13" s="22" t="s">
        <v>22</v>
      </c>
      <c r="I13" s="22">
        <v>0</v>
      </c>
      <c r="J13" s="22" t="s">
        <v>46</v>
      </c>
      <c r="K13" s="22" t="s">
        <v>23</v>
      </c>
      <c r="L13" s="22">
        <v>2</v>
      </c>
      <c r="M13" s="26">
        <v>40475</v>
      </c>
      <c r="N13" s="26">
        <v>10962</v>
      </c>
      <c r="O13" s="26">
        <f t="shared" si="0"/>
        <v>51437</v>
      </c>
      <c r="P13" s="26">
        <f t="shared" si="1"/>
        <v>18.768517842808144</v>
      </c>
      <c r="Q13" s="25">
        <v>5782</v>
      </c>
      <c r="R13" s="22">
        <v>47</v>
      </c>
      <c r="T13" s="22">
        <f t="shared" si="2"/>
        <v>10</v>
      </c>
      <c r="U13" s="22">
        <f t="shared" si="3"/>
        <v>2020</v>
      </c>
      <c r="V13" s="22" t="str">
        <f t="shared" si="4"/>
        <v>METROPOLITANA</v>
      </c>
    </row>
    <row r="14" spans="1:22" x14ac:dyDescent="0.2">
      <c r="A14" s="23" t="s">
        <v>74</v>
      </c>
      <c r="B14" s="22" t="s">
        <v>33</v>
      </c>
      <c r="C14" s="22" t="s">
        <v>44</v>
      </c>
      <c r="D14" s="22" t="s">
        <v>47</v>
      </c>
      <c r="E14" s="24" t="s">
        <v>21</v>
      </c>
      <c r="F14" s="22" t="s">
        <v>48</v>
      </c>
      <c r="G14" s="25">
        <v>3178.4</v>
      </c>
      <c r="H14" s="22" t="s">
        <v>22</v>
      </c>
      <c r="I14" s="22">
        <v>0</v>
      </c>
      <c r="J14" s="22" t="s">
        <v>48</v>
      </c>
      <c r="K14" s="22" t="s">
        <v>23</v>
      </c>
      <c r="L14" s="22">
        <v>1</v>
      </c>
      <c r="M14" s="26">
        <v>33750</v>
      </c>
      <c r="N14" s="26">
        <v>12714</v>
      </c>
      <c r="O14" s="26">
        <f t="shared" si="0"/>
        <v>46464</v>
      </c>
      <c r="P14" s="26">
        <f t="shared" si="1"/>
        <v>14.61867606342814</v>
      </c>
      <c r="Q14" s="25">
        <v>4821</v>
      </c>
      <c r="R14" s="22">
        <v>66</v>
      </c>
      <c r="T14" s="22">
        <f t="shared" si="2"/>
        <v>10</v>
      </c>
      <c r="U14" s="22">
        <f t="shared" si="3"/>
        <v>2020</v>
      </c>
      <c r="V14" s="22" t="str">
        <f t="shared" si="4"/>
        <v>METROPOLITANA</v>
      </c>
    </row>
    <row r="15" spans="1:22" x14ac:dyDescent="0.2">
      <c r="A15" s="23" t="s">
        <v>74</v>
      </c>
      <c r="B15" s="22" t="s">
        <v>33</v>
      </c>
      <c r="C15" s="22" t="s">
        <v>44</v>
      </c>
      <c r="D15" s="22" t="s">
        <v>35</v>
      </c>
      <c r="E15" s="24" t="s">
        <v>49</v>
      </c>
      <c r="F15" s="22" t="s">
        <v>67</v>
      </c>
      <c r="G15" s="25">
        <v>5712.880000000001</v>
      </c>
      <c r="H15" s="22" t="s">
        <v>22</v>
      </c>
      <c r="I15" s="22">
        <v>0</v>
      </c>
      <c r="J15" s="22" t="s">
        <v>67</v>
      </c>
      <c r="K15" s="22" t="s">
        <v>23</v>
      </c>
      <c r="L15" s="22">
        <v>1</v>
      </c>
      <c r="M15" s="26">
        <v>39990</v>
      </c>
      <c r="N15" s="26">
        <v>22852</v>
      </c>
      <c r="O15" s="26">
        <f t="shared" si="0"/>
        <v>62842</v>
      </c>
      <c r="P15" s="26">
        <f t="shared" si="1"/>
        <v>11.000056013779387</v>
      </c>
      <c r="Q15" s="25">
        <v>4821</v>
      </c>
      <c r="R15" s="22">
        <v>100</v>
      </c>
      <c r="T15" s="22">
        <f t="shared" si="2"/>
        <v>10</v>
      </c>
      <c r="U15" s="22">
        <f t="shared" si="3"/>
        <v>2020</v>
      </c>
      <c r="V15" s="22" t="str">
        <f t="shared" si="4"/>
        <v>METROPOLITANA</v>
      </c>
    </row>
    <row r="16" spans="1:22" x14ac:dyDescent="0.2">
      <c r="A16" s="23" t="s">
        <v>74</v>
      </c>
      <c r="B16" s="22" t="s">
        <v>33</v>
      </c>
      <c r="C16" s="22" t="s">
        <v>44</v>
      </c>
      <c r="D16" s="22" t="s">
        <v>41</v>
      </c>
      <c r="E16" s="24" t="s">
        <v>25</v>
      </c>
      <c r="F16" s="22" t="s">
        <v>53</v>
      </c>
      <c r="G16" s="25">
        <v>5667.62</v>
      </c>
      <c r="H16" s="22" t="s">
        <v>43</v>
      </c>
      <c r="I16" s="22">
        <v>0</v>
      </c>
      <c r="J16" s="22" t="s">
        <v>53</v>
      </c>
      <c r="K16" s="22" t="s">
        <v>23</v>
      </c>
      <c r="L16" s="22">
        <v>3</v>
      </c>
      <c r="M16" s="26">
        <v>48075</v>
      </c>
      <c r="N16" s="26">
        <v>17003</v>
      </c>
      <c r="O16" s="26">
        <f t="shared" si="0"/>
        <v>65078</v>
      </c>
      <c r="P16" s="26">
        <f t="shared" si="1"/>
        <v>11.482421192669939</v>
      </c>
      <c r="Q16" s="25">
        <v>6868</v>
      </c>
      <c r="R16" s="22">
        <v>83</v>
      </c>
      <c r="T16" s="22">
        <f t="shared" si="2"/>
        <v>10</v>
      </c>
      <c r="U16" s="22">
        <f t="shared" si="3"/>
        <v>2020</v>
      </c>
      <c r="V16" s="22" t="str">
        <f t="shared" si="4"/>
        <v>METROPOLITANA</v>
      </c>
    </row>
    <row r="17" spans="1:22" x14ac:dyDescent="0.2">
      <c r="A17" s="11" t="s">
        <v>79</v>
      </c>
      <c r="B17" s="12" t="s">
        <v>54</v>
      </c>
      <c r="C17" s="12" t="s">
        <v>55</v>
      </c>
      <c r="D17" s="12" t="s">
        <v>80</v>
      </c>
      <c r="E17" s="13" t="s">
        <v>81</v>
      </c>
      <c r="F17" s="12" t="s">
        <v>66</v>
      </c>
      <c r="G17" s="14">
        <v>9876.0000000000091</v>
      </c>
      <c r="H17" s="12" t="s">
        <v>24</v>
      </c>
      <c r="I17" s="12">
        <v>1</v>
      </c>
      <c r="J17" s="12" t="s">
        <v>66</v>
      </c>
      <c r="K17" s="12" t="s">
        <v>75</v>
      </c>
      <c r="L17" s="12">
        <v>0</v>
      </c>
      <c r="M17" s="15">
        <v>380000</v>
      </c>
      <c r="N17" s="15">
        <v>0</v>
      </c>
      <c r="O17" s="15">
        <f t="shared" si="0"/>
        <v>380000</v>
      </c>
      <c r="P17" s="15">
        <f t="shared" si="1"/>
        <v>38.47711624139324</v>
      </c>
      <c r="Q17" s="14">
        <v>25000</v>
      </c>
      <c r="R17" s="12">
        <v>40</v>
      </c>
      <c r="S17" s="12" t="s">
        <v>96</v>
      </c>
      <c r="T17" s="22">
        <f t="shared" si="2"/>
        <v>10</v>
      </c>
      <c r="U17" s="22">
        <f t="shared" si="3"/>
        <v>2020</v>
      </c>
      <c r="V17" s="22" t="str">
        <f t="shared" si="4"/>
        <v>REGIONES</v>
      </c>
    </row>
    <row r="18" spans="1:22" x14ac:dyDescent="0.2">
      <c r="A18" s="11" t="s">
        <v>79</v>
      </c>
      <c r="B18" s="12" t="s">
        <v>18</v>
      </c>
      <c r="C18" s="12" t="s">
        <v>71</v>
      </c>
      <c r="D18" s="12" t="s">
        <v>27</v>
      </c>
      <c r="E18" s="13" t="s">
        <v>28</v>
      </c>
      <c r="F18" s="12" t="s">
        <v>72</v>
      </c>
      <c r="G18" s="14">
        <v>10929.08</v>
      </c>
      <c r="H18" s="12" t="s">
        <v>22</v>
      </c>
      <c r="I18" s="12">
        <v>1</v>
      </c>
      <c r="J18" s="12" t="s">
        <v>72</v>
      </c>
      <c r="K18" s="12" t="s">
        <v>23</v>
      </c>
      <c r="L18" s="12">
        <v>5</v>
      </c>
      <c r="M18" s="15">
        <v>120000</v>
      </c>
      <c r="N18" s="15">
        <v>0</v>
      </c>
      <c r="O18" s="15">
        <f t="shared" si="0"/>
        <v>120000</v>
      </c>
      <c r="P18" s="15">
        <f t="shared" si="1"/>
        <v>10.97988119768544</v>
      </c>
      <c r="Q18" s="14">
        <v>12000</v>
      </c>
      <c r="R18" s="12">
        <v>91</v>
      </c>
      <c r="S18" s="12" t="s">
        <v>97</v>
      </c>
      <c r="T18" s="22">
        <f t="shared" si="2"/>
        <v>10</v>
      </c>
      <c r="U18" s="22">
        <f t="shared" si="3"/>
        <v>2020</v>
      </c>
      <c r="V18" s="22" t="str">
        <f t="shared" si="4"/>
        <v>METROPOLITANA</v>
      </c>
    </row>
    <row r="19" spans="1:22" x14ac:dyDescent="0.2">
      <c r="A19" s="11" t="s">
        <v>79</v>
      </c>
      <c r="B19" s="12" t="s">
        <v>18</v>
      </c>
      <c r="C19" s="12" t="s">
        <v>19</v>
      </c>
      <c r="D19" s="12" t="s">
        <v>82</v>
      </c>
      <c r="E19" s="13" t="s">
        <v>83</v>
      </c>
      <c r="F19" s="12" t="s">
        <v>84</v>
      </c>
      <c r="G19" s="14">
        <v>3691.73</v>
      </c>
      <c r="H19" s="12" t="s">
        <v>85</v>
      </c>
      <c r="I19" s="12">
        <v>1</v>
      </c>
      <c r="J19" s="12" t="s">
        <v>84</v>
      </c>
      <c r="K19" s="12" t="s">
        <v>86</v>
      </c>
      <c r="L19" s="12">
        <v>0</v>
      </c>
      <c r="M19" s="15">
        <v>320000</v>
      </c>
      <c r="N19" s="15">
        <v>0</v>
      </c>
      <c r="O19" s="15">
        <f t="shared" si="0"/>
        <v>320000</v>
      </c>
      <c r="P19" s="15">
        <f t="shared" si="1"/>
        <v>86.680228510752414</v>
      </c>
      <c r="Q19" s="14">
        <v>25000</v>
      </c>
      <c r="R19" s="12">
        <v>15</v>
      </c>
      <c r="S19" s="12" t="s">
        <v>98</v>
      </c>
      <c r="T19" s="22">
        <f t="shared" si="2"/>
        <v>10</v>
      </c>
      <c r="U19" s="22">
        <f t="shared" si="3"/>
        <v>2020</v>
      </c>
      <c r="V19" s="22" t="str">
        <f t="shared" si="4"/>
        <v>REGIONES</v>
      </c>
    </row>
    <row r="20" spans="1:22" x14ac:dyDescent="0.2">
      <c r="A20" s="11" t="s">
        <v>79</v>
      </c>
      <c r="B20" s="12" t="s">
        <v>18</v>
      </c>
      <c r="C20" s="12" t="s">
        <v>19</v>
      </c>
      <c r="D20" s="12" t="s">
        <v>37</v>
      </c>
      <c r="E20" s="13" t="s">
        <v>40</v>
      </c>
      <c r="F20" s="12" t="s">
        <v>67</v>
      </c>
      <c r="G20" s="14">
        <v>6219.0700000000024</v>
      </c>
      <c r="H20" s="12" t="s">
        <v>22</v>
      </c>
      <c r="I20" s="12">
        <v>0</v>
      </c>
      <c r="J20" s="12" t="s">
        <v>67</v>
      </c>
      <c r="K20" s="12" t="s">
        <v>23</v>
      </c>
      <c r="L20" s="12">
        <v>1</v>
      </c>
      <c r="M20" s="15">
        <v>43533</v>
      </c>
      <c r="N20" s="15">
        <v>0</v>
      </c>
      <c r="O20" s="15">
        <f t="shared" si="0"/>
        <v>43533</v>
      </c>
      <c r="P20" s="15">
        <f t="shared" si="1"/>
        <v>6.9999212100844632</v>
      </c>
      <c r="Q20" s="14">
        <v>4821</v>
      </c>
      <c r="R20" s="12">
        <v>100</v>
      </c>
      <c r="S20" s="12" t="s">
        <v>99</v>
      </c>
      <c r="T20" s="22">
        <f t="shared" si="2"/>
        <v>10</v>
      </c>
      <c r="U20" s="22">
        <f t="shared" si="3"/>
        <v>2020</v>
      </c>
      <c r="V20" s="22" t="str">
        <f t="shared" si="4"/>
        <v>METROPOLITANA</v>
      </c>
    </row>
    <row r="21" spans="1:22" x14ac:dyDescent="0.2">
      <c r="A21" s="11" t="s">
        <v>79</v>
      </c>
      <c r="B21" s="12" t="s">
        <v>18</v>
      </c>
      <c r="C21" s="12" t="s">
        <v>87</v>
      </c>
      <c r="D21" s="12" t="s">
        <v>20</v>
      </c>
      <c r="E21" s="13" t="s">
        <v>88</v>
      </c>
      <c r="F21" s="12" t="s">
        <v>51</v>
      </c>
      <c r="G21" s="14">
        <v>3196.47</v>
      </c>
      <c r="H21" s="12" t="s">
        <v>22</v>
      </c>
      <c r="I21" s="12">
        <v>0</v>
      </c>
      <c r="J21" s="12" t="s">
        <v>51</v>
      </c>
      <c r="K21" s="12" t="s">
        <v>23</v>
      </c>
      <c r="L21" s="12">
        <v>4</v>
      </c>
      <c r="M21" s="15">
        <v>56075</v>
      </c>
      <c r="N21" s="15">
        <v>0</v>
      </c>
      <c r="O21" s="15">
        <f t="shared" si="0"/>
        <v>56075</v>
      </c>
      <c r="P21" s="15">
        <f t="shared" si="1"/>
        <v>17.542789389545344</v>
      </c>
      <c r="Q21" s="14">
        <v>8011</v>
      </c>
      <c r="R21" s="12">
        <v>40</v>
      </c>
      <c r="S21" s="12" t="s">
        <v>100</v>
      </c>
      <c r="T21" s="22">
        <f t="shared" si="2"/>
        <v>10</v>
      </c>
      <c r="U21" s="22">
        <f t="shared" si="3"/>
        <v>2020</v>
      </c>
      <c r="V21" s="22" t="str">
        <f t="shared" si="4"/>
        <v>METROPOLITANA</v>
      </c>
    </row>
    <row r="22" spans="1:22" x14ac:dyDescent="0.2">
      <c r="A22" s="11" t="s">
        <v>79</v>
      </c>
      <c r="B22" s="12" t="s">
        <v>18</v>
      </c>
      <c r="C22" s="12" t="s">
        <v>29</v>
      </c>
      <c r="D22" s="12" t="s">
        <v>38</v>
      </c>
      <c r="E22" s="13" t="s">
        <v>42</v>
      </c>
      <c r="F22" s="12" t="s">
        <v>39</v>
      </c>
      <c r="G22" s="14">
        <v>4518.8</v>
      </c>
      <c r="H22" s="12" t="s">
        <v>43</v>
      </c>
      <c r="I22" s="12">
        <v>0</v>
      </c>
      <c r="J22" s="12" t="s">
        <v>39</v>
      </c>
      <c r="K22" s="12" t="s">
        <v>23</v>
      </c>
      <c r="L22" s="12">
        <v>1</v>
      </c>
      <c r="M22" s="15">
        <v>33750</v>
      </c>
      <c r="N22" s="15">
        <v>13556</v>
      </c>
      <c r="O22" s="15">
        <f t="shared" si="0"/>
        <v>47306</v>
      </c>
      <c r="P22" s="15">
        <f t="shared" si="1"/>
        <v>10.468708506683189</v>
      </c>
      <c r="Q22" s="14">
        <v>4821</v>
      </c>
      <c r="R22" s="12">
        <v>94</v>
      </c>
      <c r="S22" s="12" t="s">
        <v>101</v>
      </c>
      <c r="T22" s="22">
        <f t="shared" si="2"/>
        <v>10</v>
      </c>
      <c r="U22" s="22">
        <f t="shared" si="3"/>
        <v>2020</v>
      </c>
      <c r="V22" s="22" t="str">
        <f t="shared" si="4"/>
        <v>METROPOLITANA</v>
      </c>
    </row>
    <row r="23" spans="1:22" x14ac:dyDescent="0.2">
      <c r="A23" s="11" t="s">
        <v>79</v>
      </c>
      <c r="B23" s="12" t="s">
        <v>33</v>
      </c>
      <c r="C23" s="12" t="s">
        <v>50</v>
      </c>
      <c r="D23" s="12" t="s">
        <v>41</v>
      </c>
      <c r="E23" s="13" t="s">
        <v>25</v>
      </c>
      <c r="F23" s="12" t="s">
        <v>26</v>
      </c>
      <c r="G23" s="14">
        <v>15860</v>
      </c>
      <c r="H23" s="12" t="s">
        <v>43</v>
      </c>
      <c r="I23" s="12">
        <v>0</v>
      </c>
      <c r="J23" s="12" t="s">
        <v>26</v>
      </c>
      <c r="K23" s="12" t="s">
        <v>23</v>
      </c>
      <c r="L23" s="12">
        <v>3</v>
      </c>
      <c r="M23" s="15">
        <v>111020</v>
      </c>
      <c r="N23" s="15">
        <v>0</v>
      </c>
      <c r="O23" s="15">
        <f t="shared" si="0"/>
        <v>111020</v>
      </c>
      <c r="P23" s="15">
        <f t="shared" si="1"/>
        <v>7</v>
      </c>
      <c r="Q23" s="14">
        <v>6868</v>
      </c>
      <c r="R23" s="12">
        <v>100</v>
      </c>
      <c r="S23" s="12" t="s">
        <v>102</v>
      </c>
      <c r="T23" s="22">
        <f t="shared" si="2"/>
        <v>10</v>
      </c>
      <c r="U23" s="22">
        <f t="shared" si="3"/>
        <v>2020</v>
      </c>
      <c r="V23" s="22" t="str">
        <f t="shared" si="4"/>
        <v>METROPOLITANA</v>
      </c>
    </row>
    <row r="24" spans="1:22" x14ac:dyDescent="0.2">
      <c r="A24" s="11" t="s">
        <v>79</v>
      </c>
      <c r="B24" s="12" t="s">
        <v>33</v>
      </c>
      <c r="C24" s="12" t="s">
        <v>60</v>
      </c>
      <c r="D24" s="12" t="s">
        <v>30</v>
      </c>
      <c r="E24" s="13" t="s">
        <v>31</v>
      </c>
      <c r="F24" s="12" t="s">
        <v>89</v>
      </c>
      <c r="G24" s="14">
        <v>5101.2</v>
      </c>
      <c r="H24" s="12" t="s">
        <v>32</v>
      </c>
      <c r="I24" s="12">
        <v>0</v>
      </c>
      <c r="J24" s="12" t="s">
        <v>89</v>
      </c>
      <c r="K24" s="12" t="s">
        <v>23</v>
      </c>
      <c r="L24" s="12">
        <v>5</v>
      </c>
      <c r="M24" s="15">
        <v>90000</v>
      </c>
      <c r="N24" s="15">
        <v>0</v>
      </c>
      <c r="O24" s="15">
        <f t="shared" si="0"/>
        <v>90000</v>
      </c>
      <c r="P24" s="15">
        <f t="shared" si="1"/>
        <v>17.642907551164434</v>
      </c>
      <c r="Q24" s="14">
        <v>12000</v>
      </c>
      <c r="R24" s="12">
        <v>43</v>
      </c>
      <c r="S24" s="12" t="s">
        <v>103</v>
      </c>
      <c r="T24" s="22">
        <f t="shared" si="2"/>
        <v>10</v>
      </c>
      <c r="U24" s="22">
        <f t="shared" si="3"/>
        <v>2020</v>
      </c>
      <c r="V24" s="22" t="str">
        <f t="shared" si="4"/>
        <v>METROPOLITANA</v>
      </c>
    </row>
    <row r="25" spans="1:22" x14ac:dyDescent="0.2">
      <c r="A25" s="11" t="s">
        <v>79</v>
      </c>
      <c r="B25" s="12" t="s">
        <v>33</v>
      </c>
      <c r="C25" s="12" t="s">
        <v>36</v>
      </c>
      <c r="D25" s="12" t="s">
        <v>82</v>
      </c>
      <c r="E25" s="13" t="s">
        <v>83</v>
      </c>
      <c r="F25" s="12" t="s">
        <v>84</v>
      </c>
      <c r="G25" s="14">
        <v>6388.8</v>
      </c>
      <c r="H25" s="12" t="s">
        <v>85</v>
      </c>
      <c r="I25" s="12">
        <v>1</v>
      </c>
      <c r="J25" s="12" t="s">
        <v>84</v>
      </c>
      <c r="K25" s="12" t="s">
        <v>86</v>
      </c>
      <c r="L25" s="12">
        <v>0</v>
      </c>
      <c r="M25" s="15">
        <v>320000</v>
      </c>
      <c r="N25" s="15">
        <v>0</v>
      </c>
      <c r="O25" s="15">
        <f t="shared" si="0"/>
        <v>320000</v>
      </c>
      <c r="P25" s="15">
        <f t="shared" si="1"/>
        <v>50.087653393438515</v>
      </c>
      <c r="Q25" s="14">
        <v>25000</v>
      </c>
      <c r="R25" s="12">
        <v>26</v>
      </c>
      <c r="S25" s="12" t="s">
        <v>104</v>
      </c>
      <c r="T25" s="22">
        <f t="shared" si="2"/>
        <v>10</v>
      </c>
      <c r="U25" s="22">
        <f t="shared" si="3"/>
        <v>2020</v>
      </c>
      <c r="V25" s="22" t="str">
        <f t="shared" si="4"/>
        <v>REGIONES</v>
      </c>
    </row>
    <row r="26" spans="1:22" x14ac:dyDescent="0.2">
      <c r="A26" s="11" t="s">
        <v>79</v>
      </c>
      <c r="B26" s="12" t="s">
        <v>33</v>
      </c>
      <c r="C26" s="12" t="s">
        <v>36</v>
      </c>
      <c r="D26" s="12" t="s">
        <v>90</v>
      </c>
      <c r="E26" s="13" t="s">
        <v>91</v>
      </c>
      <c r="F26" s="12" t="s">
        <v>92</v>
      </c>
      <c r="G26" s="14">
        <f>7309.9+1000</f>
        <v>8309.9</v>
      </c>
      <c r="H26" s="12" t="s">
        <v>24</v>
      </c>
      <c r="I26" s="12">
        <v>1</v>
      </c>
      <c r="J26" s="12" t="s">
        <v>92</v>
      </c>
      <c r="K26" s="12" t="s">
        <v>93</v>
      </c>
      <c r="L26" s="12">
        <v>0</v>
      </c>
      <c r="M26" s="15">
        <v>620000</v>
      </c>
      <c r="N26" s="15">
        <v>0</v>
      </c>
      <c r="O26" s="15">
        <f t="shared" si="0"/>
        <v>620000</v>
      </c>
      <c r="P26" s="15">
        <f t="shared" si="1"/>
        <v>74.609802765376244</v>
      </c>
      <c r="Q26" s="14">
        <v>25000</v>
      </c>
      <c r="R26" s="12">
        <v>29</v>
      </c>
      <c r="S26" s="12" t="s">
        <v>105</v>
      </c>
      <c r="T26" s="22">
        <f t="shared" si="2"/>
        <v>10</v>
      </c>
      <c r="U26" s="22">
        <f t="shared" si="3"/>
        <v>2020</v>
      </c>
      <c r="V26" s="22" t="str">
        <f t="shared" si="4"/>
        <v>REGIONES</v>
      </c>
    </row>
    <row r="27" spans="1:22" x14ac:dyDescent="0.2">
      <c r="A27" s="11" t="s">
        <v>79</v>
      </c>
      <c r="B27" s="12" t="s">
        <v>33</v>
      </c>
      <c r="C27" s="12" t="s">
        <v>29</v>
      </c>
      <c r="D27" s="12" t="s">
        <v>38</v>
      </c>
      <c r="E27" s="13" t="s">
        <v>42</v>
      </c>
      <c r="F27" s="12" t="s">
        <v>39</v>
      </c>
      <c r="G27" s="14">
        <v>4316.72</v>
      </c>
      <c r="H27" s="12" t="s">
        <v>43</v>
      </c>
      <c r="I27" s="12">
        <v>0</v>
      </c>
      <c r="J27" s="12" t="s">
        <v>39</v>
      </c>
      <c r="K27" s="12" t="s">
        <v>23</v>
      </c>
      <c r="L27" s="12">
        <v>1</v>
      </c>
      <c r="M27" s="15">
        <v>33750</v>
      </c>
      <c r="N27" s="15">
        <v>12950</v>
      </c>
      <c r="O27" s="15">
        <f t="shared" si="0"/>
        <v>46700</v>
      </c>
      <c r="P27" s="15">
        <f t="shared" si="1"/>
        <v>10.818399154913916</v>
      </c>
      <c r="Q27" s="14">
        <v>4821</v>
      </c>
      <c r="R27" s="12">
        <v>90</v>
      </c>
      <c r="S27" s="12" t="s">
        <v>106</v>
      </c>
      <c r="T27" s="22">
        <f t="shared" si="2"/>
        <v>10</v>
      </c>
      <c r="U27" s="22">
        <f t="shared" si="3"/>
        <v>2020</v>
      </c>
      <c r="V27" s="22" t="str">
        <f t="shared" si="4"/>
        <v>METROPOLITANA</v>
      </c>
    </row>
    <row r="28" spans="1:22" x14ac:dyDescent="0.2">
      <c r="A28" s="11" t="s">
        <v>79</v>
      </c>
      <c r="B28" s="12" t="s">
        <v>33</v>
      </c>
      <c r="C28" s="12" t="s">
        <v>44</v>
      </c>
      <c r="D28" s="12" t="s">
        <v>56</v>
      </c>
      <c r="E28" s="13" t="s">
        <v>88</v>
      </c>
      <c r="F28" s="12" t="s">
        <v>94</v>
      </c>
      <c r="G28" s="14">
        <v>5541.26</v>
      </c>
      <c r="H28" s="12" t="s">
        <v>22</v>
      </c>
      <c r="I28" s="12">
        <v>0</v>
      </c>
      <c r="J28" s="12" t="s">
        <v>59</v>
      </c>
      <c r="K28" s="12" t="s">
        <v>78</v>
      </c>
      <c r="L28" s="12">
        <v>0</v>
      </c>
      <c r="M28" s="15">
        <v>180000</v>
      </c>
      <c r="N28" s="15">
        <f>G28*4</f>
        <v>22165.040000000001</v>
      </c>
      <c r="O28" s="15">
        <f t="shared" si="0"/>
        <v>202165.04</v>
      </c>
      <c r="P28" s="15">
        <f t="shared" si="1"/>
        <v>36.483586765464892</v>
      </c>
      <c r="Q28" s="14">
        <v>25000</v>
      </c>
      <c r="R28" s="12">
        <v>22</v>
      </c>
      <c r="S28" s="12" t="s">
        <v>107</v>
      </c>
      <c r="T28" s="22">
        <f t="shared" si="2"/>
        <v>10</v>
      </c>
      <c r="U28" s="22">
        <f t="shared" si="3"/>
        <v>2020</v>
      </c>
      <c r="V28" s="22" t="str">
        <f t="shared" si="4"/>
        <v>REGIONES</v>
      </c>
    </row>
    <row r="29" spans="1:22" x14ac:dyDescent="0.2">
      <c r="A29" s="11" t="s">
        <v>79</v>
      </c>
      <c r="B29" s="12" t="s">
        <v>33</v>
      </c>
      <c r="C29" s="12" t="s">
        <v>44</v>
      </c>
      <c r="D29" s="12" t="s">
        <v>45</v>
      </c>
      <c r="E29" s="13" t="s">
        <v>52</v>
      </c>
      <c r="F29" s="12" t="s">
        <v>46</v>
      </c>
      <c r="G29" s="14">
        <v>3561.24</v>
      </c>
      <c r="H29" s="12" t="s">
        <v>22</v>
      </c>
      <c r="I29" s="12">
        <v>0</v>
      </c>
      <c r="J29" s="12" t="s">
        <v>46</v>
      </c>
      <c r="K29" s="12" t="s">
        <v>23</v>
      </c>
      <c r="L29" s="12">
        <v>2</v>
      </c>
      <c r="M29" s="15">
        <v>40475</v>
      </c>
      <c r="N29" s="15">
        <v>14245</v>
      </c>
      <c r="O29" s="15">
        <f t="shared" si="0"/>
        <v>54720</v>
      </c>
      <c r="P29" s="15">
        <f t="shared" si="1"/>
        <v>15.365434511574621</v>
      </c>
      <c r="Q29" s="14">
        <v>5782</v>
      </c>
      <c r="R29" s="12">
        <v>62</v>
      </c>
      <c r="S29" s="12" t="s">
        <v>108</v>
      </c>
      <c r="T29" s="22">
        <f t="shared" si="2"/>
        <v>10</v>
      </c>
      <c r="U29" s="22">
        <f t="shared" si="3"/>
        <v>2020</v>
      </c>
      <c r="V29" s="22" t="str">
        <f t="shared" si="4"/>
        <v>METROPOLITANA</v>
      </c>
    </row>
    <row r="30" spans="1:22" x14ac:dyDescent="0.2">
      <c r="A30" s="11" t="s">
        <v>79</v>
      </c>
      <c r="B30" s="12" t="s">
        <v>33</v>
      </c>
      <c r="C30" s="12" t="s">
        <v>44</v>
      </c>
      <c r="D30" s="12" t="s">
        <v>35</v>
      </c>
      <c r="E30" s="13" t="s">
        <v>49</v>
      </c>
      <c r="F30" s="12" t="s">
        <v>26</v>
      </c>
      <c r="G30" s="14">
        <v>2241.6</v>
      </c>
      <c r="H30" s="12" t="s">
        <v>22</v>
      </c>
      <c r="I30" s="12">
        <v>0</v>
      </c>
      <c r="J30" s="12" t="s">
        <v>26</v>
      </c>
      <c r="K30" s="12" t="s">
        <v>23</v>
      </c>
      <c r="L30" s="12">
        <v>3</v>
      </c>
      <c r="M30" s="15">
        <v>48075</v>
      </c>
      <c r="N30" s="15">
        <v>8966</v>
      </c>
      <c r="O30" s="15">
        <f t="shared" si="0"/>
        <v>57041</v>
      </c>
      <c r="P30" s="15">
        <f t="shared" si="1"/>
        <v>25.446556031406139</v>
      </c>
      <c r="Q30" s="14">
        <v>6868</v>
      </c>
      <c r="R30" s="12">
        <v>33</v>
      </c>
      <c r="S30" s="12" t="s">
        <v>109</v>
      </c>
      <c r="T30" s="22">
        <f t="shared" si="2"/>
        <v>10</v>
      </c>
      <c r="U30" s="22">
        <f t="shared" si="3"/>
        <v>2020</v>
      </c>
      <c r="V30" s="22" t="str">
        <f t="shared" si="4"/>
        <v>METROPOLITANA</v>
      </c>
    </row>
    <row r="31" spans="1:22" x14ac:dyDescent="0.2">
      <c r="A31" s="11" t="s">
        <v>79</v>
      </c>
      <c r="B31" s="12" t="s">
        <v>33</v>
      </c>
      <c r="C31" s="12" t="s">
        <v>44</v>
      </c>
      <c r="D31" s="12" t="s">
        <v>20</v>
      </c>
      <c r="E31" s="13" t="s">
        <v>21</v>
      </c>
      <c r="F31" s="12" t="s">
        <v>95</v>
      </c>
      <c r="G31" s="14">
        <v>1469.22</v>
      </c>
      <c r="H31" s="12" t="s">
        <v>22</v>
      </c>
      <c r="I31" s="12">
        <v>0</v>
      </c>
      <c r="J31" s="12" t="s">
        <v>95</v>
      </c>
      <c r="K31" s="12" t="s">
        <v>23</v>
      </c>
      <c r="L31" s="12">
        <v>1</v>
      </c>
      <c r="M31" s="15">
        <v>33750</v>
      </c>
      <c r="N31" s="15">
        <v>5877</v>
      </c>
      <c r="O31" s="15">
        <f t="shared" si="0"/>
        <v>39627</v>
      </c>
      <c r="P31" s="15">
        <f t="shared" si="1"/>
        <v>26.97145424102585</v>
      </c>
      <c r="Q31" s="14">
        <v>4821</v>
      </c>
      <c r="R31" s="12">
        <v>30</v>
      </c>
      <c r="S31" s="12" t="s">
        <v>110</v>
      </c>
      <c r="T31" s="22">
        <f t="shared" si="2"/>
        <v>10</v>
      </c>
      <c r="U31" s="22">
        <f t="shared" si="3"/>
        <v>2020</v>
      </c>
      <c r="V31" s="22" t="str">
        <f t="shared" si="4"/>
        <v>METROPOLITANA</v>
      </c>
    </row>
    <row r="32" spans="1:22" x14ac:dyDescent="0.2">
      <c r="A32" s="23" t="s">
        <v>112</v>
      </c>
      <c r="B32" s="22" t="s">
        <v>18</v>
      </c>
      <c r="C32" s="22" t="s">
        <v>19</v>
      </c>
      <c r="D32" s="22" t="s">
        <v>113</v>
      </c>
      <c r="E32" s="24">
        <v>95439802</v>
      </c>
      <c r="F32" s="22" t="s">
        <v>114</v>
      </c>
      <c r="G32" s="25">
        <v>15383.99</v>
      </c>
      <c r="H32" s="22" t="s">
        <v>24</v>
      </c>
      <c r="I32" s="22">
        <v>1</v>
      </c>
      <c r="J32" s="22" t="s">
        <v>114</v>
      </c>
      <c r="K32" s="22" t="s">
        <v>75</v>
      </c>
      <c r="L32" s="22">
        <v>0</v>
      </c>
      <c r="M32" s="26">
        <v>380000</v>
      </c>
      <c r="N32" s="26">
        <v>0</v>
      </c>
      <c r="O32" s="26">
        <f t="shared" si="0"/>
        <v>380000</v>
      </c>
      <c r="P32" s="26">
        <f t="shared" si="1"/>
        <v>24.701004095816494</v>
      </c>
      <c r="Q32" s="25">
        <v>25000</v>
      </c>
      <c r="R32" s="22">
        <v>62</v>
      </c>
      <c r="S32" s="22" t="s">
        <v>115</v>
      </c>
      <c r="T32" s="22">
        <f t="shared" si="2"/>
        <v>10</v>
      </c>
      <c r="U32" s="22">
        <f t="shared" si="3"/>
        <v>2020</v>
      </c>
      <c r="V32" s="22" t="str">
        <f t="shared" si="4"/>
        <v>REGIONES</v>
      </c>
    </row>
    <row r="33" spans="1:22" x14ac:dyDescent="0.2">
      <c r="A33" s="23" t="s">
        <v>112</v>
      </c>
      <c r="B33" s="22" t="s">
        <v>33</v>
      </c>
      <c r="C33" s="22" t="s">
        <v>44</v>
      </c>
      <c r="D33" s="22" t="s">
        <v>47</v>
      </c>
      <c r="E33" s="24">
        <v>81417709</v>
      </c>
      <c r="F33" s="22" t="s">
        <v>48</v>
      </c>
      <c r="G33" s="25">
        <v>8769.619999999999</v>
      </c>
      <c r="H33" s="22" t="s">
        <v>22</v>
      </c>
      <c r="I33" s="22">
        <v>0</v>
      </c>
      <c r="J33" s="22" t="s">
        <v>48</v>
      </c>
      <c r="K33" s="22" t="s">
        <v>23</v>
      </c>
      <c r="L33" s="22">
        <v>1</v>
      </c>
      <c r="M33" s="26">
        <v>61387</v>
      </c>
      <c r="N33" s="26">
        <v>35078</v>
      </c>
      <c r="O33" s="26">
        <f t="shared" si="0"/>
        <v>96465</v>
      </c>
      <c r="P33" s="26">
        <f t="shared" si="1"/>
        <v>10.999906495378365</v>
      </c>
      <c r="Q33" s="25">
        <v>4821</v>
      </c>
      <c r="R33" s="22">
        <v>100</v>
      </c>
      <c r="S33" s="22" t="s">
        <v>116</v>
      </c>
      <c r="T33" s="22">
        <f t="shared" si="2"/>
        <v>10</v>
      </c>
      <c r="U33" s="22">
        <f t="shared" si="3"/>
        <v>2020</v>
      </c>
      <c r="V33" s="22" t="str">
        <f t="shared" si="4"/>
        <v>METROPOLITANA</v>
      </c>
    </row>
    <row r="34" spans="1:22" x14ac:dyDescent="0.2">
      <c r="A34" s="11" t="s">
        <v>117</v>
      </c>
      <c r="B34" s="12" t="s">
        <v>54</v>
      </c>
      <c r="C34" s="12" t="s">
        <v>55</v>
      </c>
      <c r="D34" s="12" t="s">
        <v>118</v>
      </c>
      <c r="E34" s="13" t="s">
        <v>119</v>
      </c>
      <c r="F34" s="12" t="s">
        <v>66</v>
      </c>
      <c r="G34" s="14">
        <v>10844</v>
      </c>
      <c r="H34" s="12" t="s">
        <v>24</v>
      </c>
      <c r="I34" s="12">
        <v>1</v>
      </c>
      <c r="J34" s="12" t="s">
        <v>66</v>
      </c>
      <c r="K34" s="12" t="s">
        <v>75</v>
      </c>
      <c r="L34" s="12">
        <v>0</v>
      </c>
      <c r="M34" s="15">
        <v>380000</v>
      </c>
      <c r="N34" s="15">
        <v>0</v>
      </c>
      <c r="O34" s="15">
        <f t="shared" si="0"/>
        <v>380000</v>
      </c>
      <c r="P34" s="15">
        <f t="shared" si="1"/>
        <v>35.0424197713021</v>
      </c>
      <c r="Q34" s="14">
        <v>25000</v>
      </c>
      <c r="R34" s="12">
        <v>43</v>
      </c>
      <c r="S34" s="12" t="s">
        <v>139</v>
      </c>
      <c r="T34" s="22">
        <f t="shared" si="2"/>
        <v>10</v>
      </c>
      <c r="U34" s="22">
        <f t="shared" si="3"/>
        <v>2020</v>
      </c>
      <c r="V34" s="22" t="str">
        <f t="shared" si="4"/>
        <v>REGIONES</v>
      </c>
    </row>
    <row r="35" spans="1:22" x14ac:dyDescent="0.2">
      <c r="A35" s="11" t="s">
        <v>117</v>
      </c>
      <c r="B35" s="12" t="s">
        <v>18</v>
      </c>
      <c r="C35" s="12" t="s">
        <v>71</v>
      </c>
      <c r="D35" s="12" t="s">
        <v>27</v>
      </c>
      <c r="E35" s="13" t="s">
        <v>28</v>
      </c>
      <c r="F35" s="12" t="s">
        <v>72</v>
      </c>
      <c r="G35" s="14">
        <v>15947.25</v>
      </c>
      <c r="H35" s="12" t="s">
        <v>22</v>
      </c>
      <c r="I35" s="12">
        <v>1</v>
      </c>
      <c r="J35" s="12" t="s">
        <v>72</v>
      </c>
      <c r="K35" s="12" t="s">
        <v>23</v>
      </c>
      <c r="L35" s="12">
        <v>5</v>
      </c>
      <c r="M35" s="15">
        <v>120000</v>
      </c>
      <c r="N35" s="15">
        <v>0</v>
      </c>
      <c r="O35" s="15">
        <f t="shared" si="0"/>
        <v>120000</v>
      </c>
      <c r="P35" s="15">
        <f t="shared" si="1"/>
        <v>7.5248083525372715</v>
      </c>
      <c r="Q35" s="14">
        <v>12000</v>
      </c>
      <c r="R35" s="12">
        <v>100</v>
      </c>
      <c r="S35" s="12" t="s">
        <v>140</v>
      </c>
      <c r="T35" s="22">
        <f t="shared" si="2"/>
        <v>10</v>
      </c>
      <c r="U35" s="22">
        <f t="shared" si="3"/>
        <v>2020</v>
      </c>
      <c r="V35" s="22" t="str">
        <f t="shared" si="4"/>
        <v>METROPOLITANA</v>
      </c>
    </row>
    <row r="36" spans="1:22" x14ac:dyDescent="0.2">
      <c r="A36" s="11" t="s">
        <v>117</v>
      </c>
      <c r="B36" s="12" t="s">
        <v>18</v>
      </c>
      <c r="C36" s="12" t="s">
        <v>57</v>
      </c>
      <c r="D36" s="12" t="s">
        <v>37</v>
      </c>
      <c r="E36" s="13" t="s">
        <v>40</v>
      </c>
      <c r="F36" s="12" t="s">
        <v>120</v>
      </c>
      <c r="G36" s="14">
        <v>13071.4</v>
      </c>
      <c r="H36" s="12" t="s">
        <v>22</v>
      </c>
      <c r="I36" s="12">
        <v>0</v>
      </c>
      <c r="J36" s="12" t="s">
        <v>120</v>
      </c>
      <c r="K36" s="12" t="s">
        <v>23</v>
      </c>
      <c r="L36" s="12">
        <v>5</v>
      </c>
      <c r="M36" s="15">
        <v>70000</v>
      </c>
      <c r="N36" s="15">
        <v>0</v>
      </c>
      <c r="O36" s="15">
        <f t="shared" si="0"/>
        <v>70000</v>
      </c>
      <c r="P36" s="15">
        <f t="shared" si="1"/>
        <v>5.3552029621922674</v>
      </c>
      <c r="Q36" s="14">
        <v>12000</v>
      </c>
      <c r="R36" s="12">
        <v>100</v>
      </c>
      <c r="S36" s="12" t="s">
        <v>141</v>
      </c>
      <c r="T36" s="22">
        <f t="shared" si="2"/>
        <v>10</v>
      </c>
      <c r="U36" s="22">
        <f t="shared" si="3"/>
        <v>2020</v>
      </c>
      <c r="V36" s="22" t="str">
        <f t="shared" si="4"/>
        <v>METROPOLITANA</v>
      </c>
    </row>
    <row r="37" spans="1:22" x14ac:dyDescent="0.2">
      <c r="A37" s="11" t="s">
        <v>117</v>
      </c>
      <c r="B37" s="12" t="s">
        <v>33</v>
      </c>
      <c r="C37" s="12" t="s">
        <v>50</v>
      </c>
      <c r="D37" s="12" t="s">
        <v>41</v>
      </c>
      <c r="E37" s="13" t="s">
        <v>25</v>
      </c>
      <c r="F37" s="12" t="s">
        <v>26</v>
      </c>
      <c r="G37" s="14">
        <v>7823.0000000000009</v>
      </c>
      <c r="H37" s="12" t="s">
        <v>43</v>
      </c>
      <c r="I37" s="12">
        <v>0</v>
      </c>
      <c r="J37" s="12" t="s">
        <v>26</v>
      </c>
      <c r="K37" s="12" t="s">
        <v>23</v>
      </c>
      <c r="L37" s="12">
        <v>3</v>
      </c>
      <c r="M37" s="15">
        <v>54761</v>
      </c>
      <c r="N37" s="15">
        <v>0</v>
      </c>
      <c r="O37" s="15">
        <f t="shared" si="0"/>
        <v>54761</v>
      </c>
      <c r="P37" s="15">
        <f t="shared" si="1"/>
        <v>6.9999999999999991</v>
      </c>
      <c r="Q37" s="14">
        <v>6868</v>
      </c>
      <c r="R37" s="12">
        <v>100</v>
      </c>
      <c r="S37" s="12" t="s">
        <v>142</v>
      </c>
      <c r="T37" s="22">
        <f t="shared" si="2"/>
        <v>10</v>
      </c>
      <c r="U37" s="22">
        <f t="shared" si="3"/>
        <v>2020</v>
      </c>
      <c r="V37" s="22" t="str">
        <f t="shared" si="4"/>
        <v>METROPOLITANA</v>
      </c>
    </row>
    <row r="38" spans="1:22" x14ac:dyDescent="0.2">
      <c r="A38" s="11" t="s">
        <v>117</v>
      </c>
      <c r="B38" s="12" t="s">
        <v>33</v>
      </c>
      <c r="C38" s="12" t="s">
        <v>60</v>
      </c>
      <c r="D38" s="12" t="s">
        <v>121</v>
      </c>
      <c r="E38" s="13" t="s">
        <v>122</v>
      </c>
      <c r="F38" s="12" t="s">
        <v>123</v>
      </c>
      <c r="G38" s="14">
        <v>13179.19999999999</v>
      </c>
      <c r="H38" s="12" t="s">
        <v>24</v>
      </c>
      <c r="I38" s="12">
        <v>1</v>
      </c>
      <c r="J38" s="12" t="s">
        <v>123</v>
      </c>
      <c r="K38" s="12" t="s">
        <v>124</v>
      </c>
      <c r="L38" s="12">
        <v>0</v>
      </c>
      <c r="M38" s="15">
        <v>350000</v>
      </c>
      <c r="N38" s="15">
        <v>0</v>
      </c>
      <c r="O38" s="15">
        <f t="shared" si="0"/>
        <v>350000</v>
      </c>
      <c r="P38" s="15">
        <f t="shared" si="1"/>
        <v>26.556998907369209</v>
      </c>
      <c r="Q38" s="14">
        <v>25000</v>
      </c>
      <c r="R38" s="12">
        <v>53</v>
      </c>
      <c r="S38" s="12" t="s">
        <v>143</v>
      </c>
      <c r="T38" s="22">
        <f t="shared" si="2"/>
        <v>10</v>
      </c>
      <c r="U38" s="22">
        <f t="shared" si="3"/>
        <v>2020</v>
      </c>
      <c r="V38" s="22" t="str">
        <f t="shared" si="4"/>
        <v>REGIONES</v>
      </c>
    </row>
    <row r="39" spans="1:22" x14ac:dyDescent="0.2">
      <c r="A39" s="11" t="s">
        <v>117</v>
      </c>
      <c r="B39" s="12" t="s">
        <v>33</v>
      </c>
      <c r="C39" s="12" t="s">
        <v>60</v>
      </c>
      <c r="D39" s="12" t="s">
        <v>125</v>
      </c>
      <c r="E39" s="13" t="s">
        <v>126</v>
      </c>
      <c r="F39" s="12" t="s">
        <v>127</v>
      </c>
      <c r="G39" s="14">
        <v>7982.4000000000024</v>
      </c>
      <c r="H39" s="12" t="s">
        <v>24</v>
      </c>
      <c r="I39" s="12">
        <v>1</v>
      </c>
      <c r="J39" s="12" t="s">
        <v>127</v>
      </c>
      <c r="K39" s="12" t="s">
        <v>78</v>
      </c>
      <c r="L39" s="12">
        <v>0</v>
      </c>
      <c r="M39" s="15">
        <v>230000</v>
      </c>
      <c r="N39" s="15">
        <v>0</v>
      </c>
      <c r="O39" s="15">
        <f t="shared" si="0"/>
        <v>230000</v>
      </c>
      <c r="P39" s="15">
        <f t="shared" si="1"/>
        <v>28.813389456804963</v>
      </c>
      <c r="Q39" s="14">
        <v>25000</v>
      </c>
      <c r="R39" s="12">
        <v>32</v>
      </c>
      <c r="S39" s="12" t="s">
        <v>144</v>
      </c>
      <c r="T39" s="22">
        <f t="shared" si="2"/>
        <v>10</v>
      </c>
      <c r="U39" s="22">
        <f t="shared" si="3"/>
        <v>2020</v>
      </c>
      <c r="V39" s="22" t="str">
        <f t="shared" si="4"/>
        <v>REGIONES</v>
      </c>
    </row>
    <row r="40" spans="1:22" x14ac:dyDescent="0.2">
      <c r="A40" s="11" t="s">
        <v>117</v>
      </c>
      <c r="B40" s="12" t="s">
        <v>33</v>
      </c>
      <c r="C40" s="12" t="s">
        <v>128</v>
      </c>
      <c r="D40" s="12" t="s">
        <v>30</v>
      </c>
      <c r="E40" s="13" t="s">
        <v>31</v>
      </c>
      <c r="F40" s="12" t="s">
        <v>34</v>
      </c>
      <c r="G40" s="14">
        <v>6962.1399999999994</v>
      </c>
      <c r="H40" s="12" t="s">
        <v>32</v>
      </c>
      <c r="I40" s="12">
        <v>0</v>
      </c>
      <c r="J40" s="12" t="s">
        <v>34</v>
      </c>
      <c r="K40" s="12" t="s">
        <v>23</v>
      </c>
      <c r="L40" s="12">
        <v>1</v>
      </c>
      <c r="M40" s="15">
        <v>48735</v>
      </c>
      <c r="N40" s="15">
        <v>20886</v>
      </c>
      <c r="O40" s="15">
        <f t="shared" si="0"/>
        <v>69621</v>
      </c>
      <c r="P40" s="15">
        <f t="shared" si="1"/>
        <v>9.9999425464009644</v>
      </c>
      <c r="Q40" s="14">
        <v>4821</v>
      </c>
      <c r="R40" s="12">
        <v>100</v>
      </c>
      <c r="S40" s="12" t="s">
        <v>145</v>
      </c>
      <c r="T40" s="22">
        <f t="shared" si="2"/>
        <v>10</v>
      </c>
      <c r="U40" s="22">
        <f t="shared" si="3"/>
        <v>2020</v>
      </c>
      <c r="V40" s="22" t="str">
        <f t="shared" si="4"/>
        <v>METROPOLITANA</v>
      </c>
    </row>
    <row r="41" spans="1:22" x14ac:dyDescent="0.2">
      <c r="A41" s="11" t="s">
        <v>117</v>
      </c>
      <c r="B41" s="12" t="s">
        <v>33</v>
      </c>
      <c r="C41" s="12" t="s">
        <v>128</v>
      </c>
      <c r="D41" s="12" t="s">
        <v>20</v>
      </c>
      <c r="E41" s="13" t="s">
        <v>21</v>
      </c>
      <c r="F41" s="12" t="s">
        <v>129</v>
      </c>
      <c r="G41" s="14">
        <v>5590.5</v>
      </c>
      <c r="H41" s="12" t="s">
        <v>22</v>
      </c>
      <c r="I41" s="12">
        <v>0</v>
      </c>
      <c r="J41" s="12" t="s">
        <v>129</v>
      </c>
      <c r="K41" s="12" t="s">
        <v>23</v>
      </c>
      <c r="L41" s="12">
        <v>1</v>
      </c>
      <c r="M41" s="15">
        <v>39134</v>
      </c>
      <c r="N41" s="15">
        <v>22362</v>
      </c>
      <c r="O41" s="15">
        <f t="shared" si="0"/>
        <v>61496</v>
      </c>
      <c r="P41" s="15">
        <f t="shared" si="1"/>
        <v>11.000089437438511</v>
      </c>
      <c r="Q41" s="14">
        <v>4821</v>
      </c>
      <c r="R41" s="12">
        <v>100</v>
      </c>
      <c r="S41" s="12" t="s">
        <v>146</v>
      </c>
      <c r="T41" s="22">
        <f t="shared" si="2"/>
        <v>10</v>
      </c>
      <c r="U41" s="22">
        <f t="shared" si="3"/>
        <v>2020</v>
      </c>
      <c r="V41" s="22" t="str">
        <f t="shared" si="4"/>
        <v>METROPOLITANA</v>
      </c>
    </row>
    <row r="42" spans="1:22" x14ac:dyDescent="0.2">
      <c r="A42" s="11" t="s">
        <v>117</v>
      </c>
      <c r="B42" s="12" t="s">
        <v>33</v>
      </c>
      <c r="C42" s="12" t="s">
        <v>29</v>
      </c>
      <c r="D42" s="12" t="s">
        <v>130</v>
      </c>
      <c r="E42" s="13" t="s">
        <v>131</v>
      </c>
      <c r="F42" s="12" t="s">
        <v>132</v>
      </c>
      <c r="G42" s="14">
        <v>15017.899999999991</v>
      </c>
      <c r="H42" s="12" t="s">
        <v>24</v>
      </c>
      <c r="I42" s="12">
        <v>1</v>
      </c>
      <c r="J42" s="12" t="s">
        <v>132</v>
      </c>
      <c r="K42" s="12" t="s">
        <v>124</v>
      </c>
      <c r="L42" s="12">
        <v>0</v>
      </c>
      <c r="M42" s="15">
        <v>350000</v>
      </c>
      <c r="N42" s="15">
        <v>0</v>
      </c>
      <c r="O42" s="15">
        <f t="shared" si="0"/>
        <v>350000</v>
      </c>
      <c r="P42" s="15">
        <f t="shared" si="1"/>
        <v>23.305522076988144</v>
      </c>
      <c r="Q42" s="14">
        <v>25000</v>
      </c>
      <c r="R42" s="12">
        <v>60</v>
      </c>
      <c r="S42" s="12" t="s">
        <v>147</v>
      </c>
      <c r="T42" s="22">
        <f t="shared" si="2"/>
        <v>10</v>
      </c>
      <c r="U42" s="22">
        <f t="shared" si="3"/>
        <v>2020</v>
      </c>
      <c r="V42" s="22" t="str">
        <f t="shared" si="4"/>
        <v>REGIONES</v>
      </c>
    </row>
    <row r="43" spans="1:22" x14ac:dyDescent="0.2">
      <c r="A43" s="11" t="s">
        <v>117</v>
      </c>
      <c r="B43" s="12" t="s">
        <v>33</v>
      </c>
      <c r="C43" s="12" t="s">
        <v>29</v>
      </c>
      <c r="D43" s="12" t="s">
        <v>38</v>
      </c>
      <c r="E43" s="13" t="s">
        <v>42</v>
      </c>
      <c r="F43" s="12" t="s">
        <v>39</v>
      </c>
      <c r="G43" s="14">
        <v>10588.8</v>
      </c>
      <c r="H43" s="12" t="s">
        <v>43</v>
      </c>
      <c r="I43" s="12">
        <v>0</v>
      </c>
      <c r="J43" s="12" t="s">
        <v>39</v>
      </c>
      <c r="K43" s="12" t="s">
        <v>23</v>
      </c>
      <c r="L43" s="12">
        <v>1</v>
      </c>
      <c r="M43" s="15">
        <v>74122</v>
      </c>
      <c r="N43" s="15">
        <v>31766</v>
      </c>
      <c r="O43" s="15">
        <f t="shared" si="0"/>
        <v>105888</v>
      </c>
      <c r="P43" s="15">
        <f t="shared" si="1"/>
        <v>10</v>
      </c>
      <c r="Q43" s="14">
        <v>4821</v>
      </c>
      <c r="R43" s="12">
        <v>100</v>
      </c>
      <c r="S43" s="12" t="s">
        <v>148</v>
      </c>
      <c r="T43" s="22">
        <f t="shared" si="2"/>
        <v>10</v>
      </c>
      <c r="U43" s="22">
        <f t="shared" si="3"/>
        <v>2020</v>
      </c>
      <c r="V43" s="22" t="str">
        <f t="shared" si="4"/>
        <v>METROPOLITANA</v>
      </c>
    </row>
    <row r="44" spans="1:22" x14ac:dyDescent="0.2">
      <c r="A44" s="11" t="s">
        <v>117</v>
      </c>
      <c r="B44" s="12" t="s">
        <v>33</v>
      </c>
      <c r="C44" s="12" t="s">
        <v>29</v>
      </c>
      <c r="D44" s="12" t="s">
        <v>30</v>
      </c>
      <c r="E44" s="13" t="s">
        <v>31</v>
      </c>
      <c r="F44" s="12" t="s">
        <v>133</v>
      </c>
      <c r="G44" s="14">
        <v>3427.3199999999988</v>
      </c>
      <c r="H44" s="12" t="s">
        <v>32</v>
      </c>
      <c r="I44" s="12">
        <v>0</v>
      </c>
      <c r="J44" s="12" t="s">
        <v>133</v>
      </c>
      <c r="K44" s="12" t="s">
        <v>78</v>
      </c>
      <c r="L44" s="12">
        <v>0</v>
      </c>
      <c r="M44" s="15">
        <v>160000</v>
      </c>
      <c r="N44" s="15">
        <v>0</v>
      </c>
      <c r="O44" s="15">
        <f t="shared" si="0"/>
        <v>160000</v>
      </c>
      <c r="P44" s="15">
        <f t="shared" si="1"/>
        <v>46.683706219436779</v>
      </c>
      <c r="Q44" s="14">
        <v>25000</v>
      </c>
      <c r="R44" s="12">
        <v>14</v>
      </c>
      <c r="S44" s="12" t="s">
        <v>149</v>
      </c>
      <c r="T44" s="22">
        <f t="shared" si="2"/>
        <v>10</v>
      </c>
      <c r="U44" s="22">
        <f t="shared" si="3"/>
        <v>2020</v>
      </c>
      <c r="V44" s="22" t="str">
        <f t="shared" si="4"/>
        <v>REGIONES</v>
      </c>
    </row>
    <row r="45" spans="1:22" x14ac:dyDescent="0.2">
      <c r="A45" s="11" t="s">
        <v>117</v>
      </c>
      <c r="B45" s="12" t="s">
        <v>33</v>
      </c>
      <c r="C45" s="12" t="s">
        <v>29</v>
      </c>
      <c r="D45" s="12" t="s">
        <v>45</v>
      </c>
      <c r="E45" s="13" t="s">
        <v>88</v>
      </c>
      <c r="F45" s="12" t="s">
        <v>134</v>
      </c>
      <c r="G45" s="14">
        <v>2876.54</v>
      </c>
      <c r="H45" s="12" t="s">
        <v>22</v>
      </c>
      <c r="I45" s="12">
        <v>0</v>
      </c>
      <c r="J45" s="12" t="s">
        <v>134</v>
      </c>
      <c r="K45" s="12" t="s">
        <v>23</v>
      </c>
      <c r="L45" s="12">
        <v>2</v>
      </c>
      <c r="M45" s="15">
        <v>40475</v>
      </c>
      <c r="N45" s="15">
        <v>11506</v>
      </c>
      <c r="O45" s="15">
        <f t="shared" si="0"/>
        <v>51981</v>
      </c>
      <c r="P45" s="15">
        <f t="shared" si="1"/>
        <v>18.070668233363694</v>
      </c>
      <c r="Q45" s="14">
        <v>5782</v>
      </c>
      <c r="R45" s="12">
        <v>50</v>
      </c>
      <c r="S45" s="12" t="s">
        <v>150</v>
      </c>
      <c r="T45" s="22">
        <f t="shared" si="2"/>
        <v>10</v>
      </c>
      <c r="U45" s="22">
        <f t="shared" si="3"/>
        <v>2020</v>
      </c>
      <c r="V45" s="22" t="str">
        <f t="shared" si="4"/>
        <v>METROPOLITANA</v>
      </c>
    </row>
    <row r="46" spans="1:22" x14ac:dyDescent="0.2">
      <c r="A46" s="11" t="s">
        <v>117</v>
      </c>
      <c r="B46" s="12" t="s">
        <v>33</v>
      </c>
      <c r="C46" s="12" t="s">
        <v>29</v>
      </c>
      <c r="D46" s="12" t="s">
        <v>135</v>
      </c>
      <c r="E46" s="13" t="s">
        <v>136</v>
      </c>
      <c r="F46" s="12" t="s">
        <v>39</v>
      </c>
      <c r="G46" s="14">
        <v>8742.7200000000012</v>
      </c>
      <c r="H46" s="12" t="s">
        <v>24</v>
      </c>
      <c r="I46" s="12">
        <v>1</v>
      </c>
      <c r="J46" s="12" t="s">
        <v>39</v>
      </c>
      <c r="K46" s="12" t="s">
        <v>23</v>
      </c>
      <c r="L46" s="12">
        <v>1</v>
      </c>
      <c r="M46" s="15">
        <v>61199</v>
      </c>
      <c r="N46" s="15">
        <v>26228</v>
      </c>
      <c r="O46" s="15">
        <f t="shared" si="0"/>
        <v>87427</v>
      </c>
      <c r="P46" s="15">
        <f t="shared" si="1"/>
        <v>9.9999771238241628</v>
      </c>
      <c r="Q46" s="14">
        <v>4821</v>
      </c>
      <c r="R46" s="12">
        <v>100</v>
      </c>
      <c r="S46" s="12" t="s">
        <v>151</v>
      </c>
      <c r="T46" s="22">
        <f t="shared" si="2"/>
        <v>10</v>
      </c>
      <c r="U46" s="22">
        <f t="shared" si="3"/>
        <v>2020</v>
      </c>
      <c r="V46" s="22" t="str">
        <f t="shared" si="4"/>
        <v>METROPOLITANA</v>
      </c>
    </row>
    <row r="47" spans="1:22" x14ac:dyDescent="0.2">
      <c r="A47" s="11" t="s">
        <v>117</v>
      </c>
      <c r="B47" s="12" t="s">
        <v>33</v>
      </c>
      <c r="C47" s="12" t="s">
        <v>29</v>
      </c>
      <c r="D47" s="12" t="s">
        <v>35</v>
      </c>
      <c r="E47" s="13" t="s">
        <v>52</v>
      </c>
      <c r="F47" s="12" t="s">
        <v>134</v>
      </c>
      <c r="G47" s="14">
        <v>2198.4</v>
      </c>
      <c r="H47" s="12" t="s">
        <v>22</v>
      </c>
      <c r="I47" s="12">
        <v>0</v>
      </c>
      <c r="J47" s="12" t="s">
        <v>134</v>
      </c>
      <c r="K47" s="12" t="s">
        <v>23</v>
      </c>
      <c r="L47" s="12">
        <v>2</v>
      </c>
      <c r="M47" s="15">
        <v>40475</v>
      </c>
      <c r="N47" s="15">
        <v>8794</v>
      </c>
      <c r="O47" s="15">
        <f t="shared" si="0"/>
        <v>49269</v>
      </c>
      <c r="P47" s="15">
        <f t="shared" si="1"/>
        <v>22.411299126637555</v>
      </c>
      <c r="Q47" s="14">
        <v>5782</v>
      </c>
      <c r="R47" s="12">
        <v>38</v>
      </c>
      <c r="S47" s="12" t="s">
        <v>152</v>
      </c>
      <c r="T47" s="22">
        <f t="shared" si="2"/>
        <v>10</v>
      </c>
      <c r="U47" s="22">
        <f t="shared" si="3"/>
        <v>2020</v>
      </c>
      <c r="V47" s="22" t="str">
        <f t="shared" si="4"/>
        <v>METROPOLITANA</v>
      </c>
    </row>
    <row r="48" spans="1:22" x14ac:dyDescent="0.2">
      <c r="A48" s="11" t="s">
        <v>117</v>
      </c>
      <c r="B48" s="12" t="s">
        <v>33</v>
      </c>
      <c r="C48" s="12" t="s">
        <v>44</v>
      </c>
      <c r="D48" s="12" t="s">
        <v>56</v>
      </c>
      <c r="E48" s="13" t="s">
        <v>21</v>
      </c>
      <c r="F48" s="12" t="s">
        <v>137</v>
      </c>
      <c r="G48" s="14">
        <v>2495.1</v>
      </c>
      <c r="H48" s="12" t="s">
        <v>22</v>
      </c>
      <c r="I48" s="12">
        <v>0</v>
      </c>
      <c r="J48" s="12" t="s">
        <v>137</v>
      </c>
      <c r="K48" s="12" t="s">
        <v>23</v>
      </c>
      <c r="L48" s="12">
        <v>1</v>
      </c>
      <c r="M48" s="15">
        <v>33750</v>
      </c>
      <c r="N48" s="15">
        <v>9980</v>
      </c>
      <c r="O48" s="15">
        <f t="shared" si="0"/>
        <v>43730</v>
      </c>
      <c r="P48" s="15">
        <f t="shared" si="1"/>
        <v>17.526351649232495</v>
      </c>
      <c r="Q48" s="14">
        <v>4821</v>
      </c>
      <c r="R48" s="12">
        <v>52</v>
      </c>
      <c r="S48" s="12" t="s">
        <v>153</v>
      </c>
      <c r="T48" s="22">
        <f t="shared" si="2"/>
        <v>10</v>
      </c>
      <c r="U48" s="22">
        <f t="shared" si="3"/>
        <v>2020</v>
      </c>
      <c r="V48" s="22" t="str">
        <f t="shared" si="4"/>
        <v>METROPOLITANA</v>
      </c>
    </row>
    <row r="49" spans="1:22" x14ac:dyDescent="0.2">
      <c r="A49" s="11" t="s">
        <v>117</v>
      </c>
      <c r="B49" s="12" t="s">
        <v>33</v>
      </c>
      <c r="C49" s="12" t="s">
        <v>44</v>
      </c>
      <c r="D49" s="12" t="s">
        <v>45</v>
      </c>
      <c r="E49" s="13" t="s">
        <v>52</v>
      </c>
      <c r="F49" s="12" t="s">
        <v>138</v>
      </c>
      <c r="G49" s="14">
        <v>2488.8000000000002</v>
      </c>
      <c r="H49" s="12" t="s">
        <v>22</v>
      </c>
      <c r="I49" s="12">
        <v>0</v>
      </c>
      <c r="J49" s="12" t="s">
        <v>138</v>
      </c>
      <c r="K49" s="12" t="s">
        <v>23</v>
      </c>
      <c r="L49" s="12">
        <v>3</v>
      </c>
      <c r="M49" s="15">
        <v>48075</v>
      </c>
      <c r="N49" s="15">
        <v>9955</v>
      </c>
      <c r="O49" s="15">
        <f t="shared" si="0"/>
        <v>58030</v>
      </c>
      <c r="P49" s="15">
        <f t="shared" si="1"/>
        <v>23.316457730633235</v>
      </c>
      <c r="Q49" s="14">
        <v>6868</v>
      </c>
      <c r="R49" s="12">
        <v>36</v>
      </c>
      <c r="S49" s="12" t="s">
        <v>154</v>
      </c>
      <c r="T49" s="22">
        <f t="shared" si="2"/>
        <v>10</v>
      </c>
      <c r="U49" s="22">
        <f t="shared" si="3"/>
        <v>2020</v>
      </c>
      <c r="V49" s="22" t="str">
        <f t="shared" si="4"/>
        <v>METROPOLITANA</v>
      </c>
    </row>
    <row r="50" spans="1:22" x14ac:dyDescent="0.2">
      <c r="A50" s="11" t="s">
        <v>117</v>
      </c>
      <c r="B50" s="12" t="s">
        <v>33</v>
      </c>
      <c r="C50" s="12" t="s">
        <v>44</v>
      </c>
      <c r="D50" s="12" t="s">
        <v>47</v>
      </c>
      <c r="E50" s="13" t="s">
        <v>88</v>
      </c>
      <c r="F50" s="12" t="s">
        <v>26</v>
      </c>
      <c r="G50" s="14">
        <v>2601.02</v>
      </c>
      <c r="H50" s="12" t="s">
        <v>22</v>
      </c>
      <c r="I50" s="12">
        <v>0</v>
      </c>
      <c r="J50" s="12" t="s">
        <v>26</v>
      </c>
      <c r="K50" s="12" t="s">
        <v>23</v>
      </c>
      <c r="L50" s="12">
        <v>3</v>
      </c>
      <c r="M50" s="15">
        <v>48075</v>
      </c>
      <c r="N50" s="15">
        <v>10404</v>
      </c>
      <c r="O50" s="15">
        <f t="shared" si="0"/>
        <v>58479</v>
      </c>
      <c r="P50" s="15">
        <f t="shared" si="1"/>
        <v>22.483102782754457</v>
      </c>
      <c r="Q50" s="14">
        <v>6868</v>
      </c>
      <c r="R50" s="12">
        <v>38</v>
      </c>
      <c r="S50" s="12" t="s">
        <v>155</v>
      </c>
      <c r="T50" s="22">
        <f t="shared" si="2"/>
        <v>10</v>
      </c>
      <c r="U50" s="22">
        <f t="shared" si="3"/>
        <v>2020</v>
      </c>
      <c r="V50" s="22" t="str">
        <f t="shared" si="4"/>
        <v>METROPOLITANA</v>
      </c>
    </row>
    <row r="51" spans="1:22" x14ac:dyDescent="0.2">
      <c r="A51" s="11" t="s">
        <v>117</v>
      </c>
      <c r="B51" s="12" t="s">
        <v>33</v>
      </c>
      <c r="C51" s="12" t="s">
        <v>44</v>
      </c>
      <c r="D51" s="12" t="s">
        <v>35</v>
      </c>
      <c r="E51" s="13" t="s">
        <v>49</v>
      </c>
      <c r="F51" s="12" t="s">
        <v>51</v>
      </c>
      <c r="G51" s="14">
        <v>1818.22</v>
      </c>
      <c r="H51" s="12" t="s">
        <v>22</v>
      </c>
      <c r="I51" s="12">
        <v>0</v>
      </c>
      <c r="J51" s="12" t="s">
        <v>51</v>
      </c>
      <c r="K51" s="12" t="s">
        <v>23</v>
      </c>
      <c r="L51" s="12">
        <v>4</v>
      </c>
      <c r="M51" s="15">
        <v>56075</v>
      </c>
      <c r="N51" s="15">
        <v>7273</v>
      </c>
      <c r="O51" s="15">
        <f t="shared" si="0"/>
        <v>63348</v>
      </c>
      <c r="P51" s="15">
        <f t="shared" si="1"/>
        <v>34.840668345964737</v>
      </c>
      <c r="Q51" s="14">
        <v>8011</v>
      </c>
      <c r="R51" s="12">
        <v>23</v>
      </c>
      <c r="S51" s="12" t="s">
        <v>156</v>
      </c>
      <c r="T51" s="22">
        <f t="shared" si="2"/>
        <v>10</v>
      </c>
      <c r="U51" s="22">
        <f t="shared" si="3"/>
        <v>2020</v>
      </c>
      <c r="V51" s="22" t="str">
        <f t="shared" si="4"/>
        <v>METROPOLITANA</v>
      </c>
    </row>
    <row r="52" spans="1:22" x14ac:dyDescent="0.2">
      <c r="A52" s="11" t="s">
        <v>117</v>
      </c>
      <c r="B52" s="12" t="s">
        <v>33</v>
      </c>
      <c r="C52" s="12" t="s">
        <v>44</v>
      </c>
      <c r="D52" s="12" t="s">
        <v>20</v>
      </c>
      <c r="E52" s="13" t="s">
        <v>21</v>
      </c>
      <c r="F52" s="12" t="s">
        <v>48</v>
      </c>
      <c r="G52" s="14">
        <v>2302.3000000000002</v>
      </c>
      <c r="H52" s="12" t="s">
        <v>22</v>
      </c>
      <c r="I52" s="12">
        <v>0</v>
      </c>
      <c r="J52" s="12" t="s">
        <v>48</v>
      </c>
      <c r="K52" s="12" t="s">
        <v>23</v>
      </c>
      <c r="L52" s="12">
        <v>1</v>
      </c>
      <c r="M52" s="15">
        <v>33750</v>
      </c>
      <c r="N52" s="15">
        <v>9209</v>
      </c>
      <c r="O52" s="15">
        <f t="shared" si="0"/>
        <v>42959</v>
      </c>
      <c r="P52" s="15">
        <f t="shared" si="1"/>
        <v>18.659166920036483</v>
      </c>
      <c r="Q52" s="14">
        <v>4821</v>
      </c>
      <c r="R52" s="12">
        <v>48</v>
      </c>
      <c r="S52" s="12" t="s">
        <v>157</v>
      </c>
      <c r="T52" s="22">
        <f t="shared" si="2"/>
        <v>10</v>
      </c>
      <c r="U52" s="22">
        <f t="shared" si="3"/>
        <v>2020</v>
      </c>
      <c r="V52" s="22" t="str">
        <f t="shared" si="4"/>
        <v>METROPOLITANA</v>
      </c>
    </row>
    <row r="53" spans="1:22" x14ac:dyDescent="0.2">
      <c r="A53" s="23" t="s">
        <v>158</v>
      </c>
      <c r="B53" s="22" t="s">
        <v>18</v>
      </c>
      <c r="C53" s="22" t="s">
        <v>57</v>
      </c>
      <c r="D53" s="22" t="s">
        <v>41</v>
      </c>
      <c r="E53" s="24" t="s">
        <v>25</v>
      </c>
      <c r="F53" s="22" t="s">
        <v>120</v>
      </c>
      <c r="G53" s="25">
        <v>7351.2199999999984</v>
      </c>
      <c r="H53" s="22" t="s">
        <v>43</v>
      </c>
      <c r="I53" s="22">
        <v>0</v>
      </c>
      <c r="J53" s="22" t="s">
        <v>120</v>
      </c>
      <c r="K53" s="22" t="s">
        <v>23</v>
      </c>
      <c r="L53" s="22">
        <v>5</v>
      </c>
      <c r="M53" s="26">
        <v>70000</v>
      </c>
      <c r="N53" s="26">
        <v>0</v>
      </c>
      <c r="O53" s="26">
        <f t="shared" si="0"/>
        <v>70000</v>
      </c>
      <c r="P53" s="26">
        <f t="shared" si="1"/>
        <v>9.5222289633557438</v>
      </c>
      <c r="Q53" s="25">
        <v>12000</v>
      </c>
      <c r="R53" s="22">
        <v>61</v>
      </c>
      <c r="S53" s="22" t="s">
        <v>159</v>
      </c>
      <c r="T53" s="22">
        <f t="shared" si="2"/>
        <v>10</v>
      </c>
      <c r="U53" s="22">
        <f t="shared" si="3"/>
        <v>2020</v>
      </c>
      <c r="V53" s="22" t="str">
        <f t="shared" si="4"/>
        <v>METROPOLITANA</v>
      </c>
    </row>
    <row r="54" spans="1:22" x14ac:dyDescent="0.2">
      <c r="A54" s="23" t="s">
        <v>158</v>
      </c>
      <c r="B54" s="22" t="s">
        <v>18</v>
      </c>
      <c r="C54" s="22" t="s">
        <v>160</v>
      </c>
      <c r="D54" s="22" t="s">
        <v>37</v>
      </c>
      <c r="E54" s="24" t="s">
        <v>162</v>
      </c>
      <c r="F54" s="22" t="s">
        <v>161</v>
      </c>
      <c r="G54" s="25">
        <v>4517.5</v>
      </c>
      <c r="H54" s="22" t="s">
        <v>22</v>
      </c>
      <c r="I54" s="22">
        <v>0</v>
      </c>
      <c r="J54" s="22" t="s">
        <v>161</v>
      </c>
      <c r="K54" s="22" t="s">
        <v>23</v>
      </c>
      <c r="L54" s="22">
        <v>5</v>
      </c>
      <c r="M54" s="26">
        <v>70000</v>
      </c>
      <c r="N54" s="26">
        <v>0</v>
      </c>
      <c r="O54" s="26">
        <f t="shared" si="0"/>
        <v>70000</v>
      </c>
      <c r="P54" s="26">
        <f t="shared" si="1"/>
        <v>15.495296070835639</v>
      </c>
      <c r="Q54" s="25">
        <v>12000</v>
      </c>
      <c r="R54" s="22">
        <v>33</v>
      </c>
      <c r="S54" s="22" t="s">
        <v>184</v>
      </c>
      <c r="T54" s="22">
        <f t="shared" si="2"/>
        <v>10</v>
      </c>
      <c r="U54" s="22">
        <f t="shared" si="3"/>
        <v>2020</v>
      </c>
      <c r="V54" s="22" t="str">
        <f t="shared" si="4"/>
        <v>METROPOLITANA</v>
      </c>
    </row>
    <row r="55" spans="1:22" x14ac:dyDescent="0.2">
      <c r="A55" s="23" t="s">
        <v>158</v>
      </c>
      <c r="B55" s="22" t="s">
        <v>18</v>
      </c>
      <c r="C55" s="22" t="s">
        <v>163</v>
      </c>
      <c r="D55" s="22" t="s">
        <v>164</v>
      </c>
      <c r="E55" s="24" t="s">
        <v>28</v>
      </c>
      <c r="F55" s="22" t="s">
        <v>165</v>
      </c>
      <c r="G55" s="25">
        <v>17262</v>
      </c>
      <c r="H55" s="22" t="s">
        <v>22</v>
      </c>
      <c r="I55" s="22">
        <v>1</v>
      </c>
      <c r="J55" s="22" t="s">
        <v>165</v>
      </c>
      <c r="K55" s="22" t="s">
        <v>23</v>
      </c>
      <c r="L55" s="22">
        <v>3</v>
      </c>
      <c r="M55" s="26">
        <v>120834</v>
      </c>
      <c r="N55" s="26">
        <v>0</v>
      </c>
      <c r="O55" s="26">
        <f t="shared" si="0"/>
        <v>120834</v>
      </c>
      <c r="P55" s="26">
        <f t="shared" si="1"/>
        <v>7</v>
      </c>
      <c r="Q55" s="25">
        <v>6868</v>
      </c>
      <c r="R55" s="22">
        <v>100</v>
      </c>
      <c r="S55" s="22" t="s">
        <v>166</v>
      </c>
      <c r="T55" s="22">
        <f t="shared" si="2"/>
        <v>10</v>
      </c>
      <c r="U55" s="22">
        <f t="shared" si="3"/>
        <v>2020</v>
      </c>
      <c r="V55" s="22" t="str">
        <f t="shared" si="4"/>
        <v>METROPOLITANA</v>
      </c>
    </row>
    <row r="56" spans="1:22" x14ac:dyDescent="0.2">
      <c r="A56" s="23" t="s">
        <v>158</v>
      </c>
      <c r="B56" s="22" t="s">
        <v>33</v>
      </c>
      <c r="C56" s="22" t="s">
        <v>128</v>
      </c>
      <c r="D56" s="22" t="s">
        <v>38</v>
      </c>
      <c r="E56" s="24" t="s">
        <v>42</v>
      </c>
      <c r="F56" s="22" t="s">
        <v>34</v>
      </c>
      <c r="G56" s="25">
        <v>8235.1999999999989</v>
      </c>
      <c r="H56" s="22" t="s">
        <v>43</v>
      </c>
      <c r="I56" s="22">
        <v>0</v>
      </c>
      <c r="J56" s="22" t="s">
        <v>34</v>
      </c>
      <c r="K56" s="22" t="s">
        <v>23</v>
      </c>
      <c r="L56" s="22">
        <v>1</v>
      </c>
      <c r="M56" s="26">
        <v>57646</v>
      </c>
      <c r="N56" s="26">
        <v>24706</v>
      </c>
      <c r="O56" s="26">
        <f t="shared" si="0"/>
        <v>82352</v>
      </c>
      <c r="P56" s="26">
        <f t="shared" si="1"/>
        <v>10.000000000000002</v>
      </c>
      <c r="Q56" s="25">
        <v>4821</v>
      </c>
      <c r="R56" s="22">
        <v>100</v>
      </c>
      <c r="S56" s="22" t="s">
        <v>167</v>
      </c>
      <c r="T56" s="22">
        <f t="shared" si="2"/>
        <v>10</v>
      </c>
      <c r="U56" s="22">
        <f t="shared" si="3"/>
        <v>2020</v>
      </c>
      <c r="V56" s="22" t="str">
        <f t="shared" si="4"/>
        <v>METROPOLITANA</v>
      </c>
    </row>
    <row r="57" spans="1:22" x14ac:dyDescent="0.2">
      <c r="A57" s="23" t="s">
        <v>158</v>
      </c>
      <c r="B57" s="22" t="s">
        <v>33</v>
      </c>
      <c r="C57" s="22" t="s">
        <v>128</v>
      </c>
      <c r="D57" s="22" t="s">
        <v>63</v>
      </c>
      <c r="E57" s="24" t="s">
        <v>64</v>
      </c>
      <c r="F57" s="22" t="s">
        <v>34</v>
      </c>
      <c r="G57" s="25">
        <v>4492.8999999999996</v>
      </c>
      <c r="H57" s="22" t="s">
        <v>65</v>
      </c>
      <c r="I57" s="22">
        <v>0</v>
      </c>
      <c r="J57" s="22" t="s">
        <v>34</v>
      </c>
      <c r="K57" s="22" t="s">
        <v>23</v>
      </c>
      <c r="L57" s="22">
        <v>1</v>
      </c>
      <c r="M57" s="26">
        <v>33750</v>
      </c>
      <c r="N57" s="26">
        <v>13479</v>
      </c>
      <c r="O57" s="26">
        <f t="shared" si="0"/>
        <v>47229</v>
      </c>
      <c r="P57" s="26">
        <f t="shared" si="1"/>
        <v>10.511918805226024</v>
      </c>
      <c r="Q57" s="25">
        <v>4821</v>
      </c>
      <c r="R57" s="22">
        <v>93</v>
      </c>
      <c r="S57" s="22" t="s">
        <v>168</v>
      </c>
      <c r="T57" s="22">
        <f t="shared" si="2"/>
        <v>10</v>
      </c>
      <c r="U57" s="22">
        <f t="shared" si="3"/>
        <v>2020</v>
      </c>
      <c r="V57" s="22" t="str">
        <f t="shared" si="4"/>
        <v>METROPOLITANA</v>
      </c>
    </row>
    <row r="58" spans="1:22" x14ac:dyDescent="0.2">
      <c r="A58" s="23" t="s">
        <v>158</v>
      </c>
      <c r="B58" s="22" t="s">
        <v>33</v>
      </c>
      <c r="C58" s="22" t="s">
        <v>29</v>
      </c>
      <c r="D58" s="22" t="s">
        <v>61</v>
      </c>
      <c r="E58" s="24" t="s">
        <v>62</v>
      </c>
      <c r="F58" s="22" t="s">
        <v>132</v>
      </c>
      <c r="G58" s="25">
        <v>18104.599999999991</v>
      </c>
      <c r="H58" s="22" t="s">
        <v>85</v>
      </c>
      <c r="I58" s="22">
        <v>1</v>
      </c>
      <c r="J58" s="22" t="s">
        <v>132</v>
      </c>
      <c r="K58" s="22" t="s">
        <v>124</v>
      </c>
      <c r="L58" s="22">
        <v>0</v>
      </c>
      <c r="M58" s="26">
        <v>350000</v>
      </c>
      <c r="N58" s="26">
        <v>0</v>
      </c>
      <c r="O58" s="26">
        <f t="shared" si="0"/>
        <v>350000</v>
      </c>
      <c r="P58" s="26">
        <f t="shared" si="1"/>
        <v>19.332103443323806</v>
      </c>
      <c r="Q58" s="25">
        <v>25000</v>
      </c>
      <c r="R58" s="22">
        <v>72</v>
      </c>
      <c r="S58" s="22" t="s">
        <v>169</v>
      </c>
      <c r="T58" s="22">
        <f t="shared" si="2"/>
        <v>10</v>
      </c>
      <c r="U58" s="22">
        <f t="shared" si="3"/>
        <v>2020</v>
      </c>
      <c r="V58" s="22" t="str">
        <f t="shared" si="4"/>
        <v>REGIONES</v>
      </c>
    </row>
    <row r="59" spans="1:22" x14ac:dyDescent="0.2">
      <c r="A59" s="23" t="s">
        <v>158</v>
      </c>
      <c r="B59" s="22" t="s">
        <v>33</v>
      </c>
      <c r="C59" s="22" t="s">
        <v>29</v>
      </c>
      <c r="D59" s="22" t="s">
        <v>82</v>
      </c>
      <c r="E59" s="24" t="s">
        <v>83</v>
      </c>
      <c r="F59" s="22" t="s">
        <v>170</v>
      </c>
      <c r="G59" s="25">
        <v>19748.72</v>
      </c>
      <c r="H59" s="22" t="s">
        <v>85</v>
      </c>
      <c r="I59" s="22">
        <v>1</v>
      </c>
      <c r="J59" s="22" t="s">
        <v>170</v>
      </c>
      <c r="K59" s="22" t="s">
        <v>171</v>
      </c>
      <c r="L59" s="22">
        <v>0</v>
      </c>
      <c r="M59" s="26">
        <v>230000</v>
      </c>
      <c r="N59" s="26">
        <v>0</v>
      </c>
      <c r="O59" s="26">
        <f t="shared" si="0"/>
        <v>230000</v>
      </c>
      <c r="P59" s="26">
        <f t="shared" si="1"/>
        <v>11.646324420013043</v>
      </c>
      <c r="Q59" s="25">
        <v>25000</v>
      </c>
      <c r="R59" s="22">
        <v>79</v>
      </c>
      <c r="S59" s="22" t="s">
        <v>172</v>
      </c>
      <c r="T59" s="22">
        <f t="shared" si="2"/>
        <v>10</v>
      </c>
      <c r="U59" s="22">
        <f t="shared" si="3"/>
        <v>2020</v>
      </c>
      <c r="V59" s="22" t="str">
        <f t="shared" si="4"/>
        <v>REGIONES</v>
      </c>
    </row>
    <row r="60" spans="1:22" x14ac:dyDescent="0.2">
      <c r="A60" s="23" t="s">
        <v>158</v>
      </c>
      <c r="B60" s="22" t="s">
        <v>33</v>
      </c>
      <c r="C60" s="22" t="s">
        <v>29</v>
      </c>
      <c r="D60" s="22" t="s">
        <v>125</v>
      </c>
      <c r="E60" s="24" t="s">
        <v>126</v>
      </c>
      <c r="F60" s="22" t="s">
        <v>173</v>
      </c>
      <c r="G60" s="25">
        <v>15231.01999999999</v>
      </c>
      <c r="H60" s="22" t="s">
        <v>174</v>
      </c>
      <c r="I60" s="22">
        <v>0</v>
      </c>
      <c r="J60" s="22" t="s">
        <v>173</v>
      </c>
      <c r="K60" s="22" t="s">
        <v>23</v>
      </c>
      <c r="L60" s="22">
        <v>5</v>
      </c>
      <c r="M60" s="26">
        <v>90000</v>
      </c>
      <c r="N60" s="26">
        <v>45693</v>
      </c>
      <c r="O60" s="26">
        <f t="shared" si="0"/>
        <v>135693</v>
      </c>
      <c r="P60" s="26">
        <f t="shared" si="1"/>
        <v>8.9089896802709276</v>
      </c>
      <c r="Q60" s="25">
        <v>12000</v>
      </c>
      <c r="R60" s="22">
        <v>100</v>
      </c>
      <c r="S60" s="22" t="s">
        <v>175</v>
      </c>
      <c r="T60" s="22">
        <f t="shared" si="2"/>
        <v>10</v>
      </c>
      <c r="U60" s="22">
        <f t="shared" si="3"/>
        <v>2020</v>
      </c>
      <c r="V60" s="22" t="str">
        <f t="shared" si="4"/>
        <v>METROPOLITANA</v>
      </c>
    </row>
    <row r="61" spans="1:22" x14ac:dyDescent="0.2">
      <c r="A61" s="23" t="s">
        <v>158</v>
      </c>
      <c r="B61" s="22" t="s">
        <v>33</v>
      </c>
      <c r="C61" s="22" t="s">
        <v>29</v>
      </c>
      <c r="D61" s="22" t="s">
        <v>41</v>
      </c>
      <c r="E61" s="24" t="s">
        <v>25</v>
      </c>
      <c r="F61" s="22" t="s">
        <v>39</v>
      </c>
      <c r="G61" s="25">
        <v>9585.0400000000009</v>
      </c>
      <c r="H61" s="22" t="s">
        <v>43</v>
      </c>
      <c r="I61" s="22">
        <v>0</v>
      </c>
      <c r="J61" s="22" t="s">
        <v>39</v>
      </c>
      <c r="K61" s="22" t="s">
        <v>23</v>
      </c>
      <c r="L61" s="22">
        <v>1</v>
      </c>
      <c r="M61" s="26">
        <v>67095</v>
      </c>
      <c r="N61" s="26">
        <v>28755</v>
      </c>
      <c r="O61" s="26">
        <f t="shared" si="0"/>
        <v>95850</v>
      </c>
      <c r="P61" s="26">
        <f t="shared" si="1"/>
        <v>9.9999582683014356</v>
      </c>
      <c r="Q61" s="25">
        <v>4821</v>
      </c>
      <c r="R61" s="22">
        <v>100</v>
      </c>
      <c r="S61" s="22" t="s">
        <v>176</v>
      </c>
      <c r="T61" s="22">
        <f t="shared" si="2"/>
        <v>10</v>
      </c>
      <c r="U61" s="22">
        <f t="shared" si="3"/>
        <v>2020</v>
      </c>
      <c r="V61" s="22" t="str">
        <f t="shared" si="4"/>
        <v>METROPOLITANA</v>
      </c>
    </row>
    <row r="62" spans="1:22" x14ac:dyDescent="0.2">
      <c r="A62" s="23" t="s">
        <v>158</v>
      </c>
      <c r="B62" s="22" t="s">
        <v>33</v>
      </c>
      <c r="C62" s="22" t="s">
        <v>29</v>
      </c>
      <c r="D62" s="22" t="s">
        <v>41</v>
      </c>
      <c r="E62" s="24" t="s">
        <v>42</v>
      </c>
      <c r="F62" s="22" t="s">
        <v>39</v>
      </c>
      <c r="G62" s="25">
        <v>9118.9</v>
      </c>
      <c r="H62" s="22" t="s">
        <v>43</v>
      </c>
      <c r="I62" s="22">
        <v>0</v>
      </c>
      <c r="J62" s="22" t="s">
        <v>39</v>
      </c>
      <c r="K62" s="22" t="s">
        <v>23</v>
      </c>
      <c r="L62" s="22">
        <v>1</v>
      </c>
      <c r="M62" s="26">
        <v>63832</v>
      </c>
      <c r="N62" s="26">
        <v>27357</v>
      </c>
      <c r="O62" s="26">
        <f t="shared" si="0"/>
        <v>91189</v>
      </c>
      <c r="P62" s="26">
        <f t="shared" si="1"/>
        <v>10</v>
      </c>
      <c r="Q62" s="25">
        <v>4821</v>
      </c>
      <c r="R62" s="22">
        <v>100</v>
      </c>
      <c r="S62" s="22" t="s">
        <v>177</v>
      </c>
      <c r="T62" s="22">
        <f t="shared" si="2"/>
        <v>10</v>
      </c>
      <c r="U62" s="22">
        <f t="shared" si="3"/>
        <v>2020</v>
      </c>
      <c r="V62" s="22" t="str">
        <f t="shared" si="4"/>
        <v>METROPOLITANA</v>
      </c>
    </row>
    <row r="63" spans="1:22" x14ac:dyDescent="0.2">
      <c r="A63" s="23" t="s">
        <v>158</v>
      </c>
      <c r="B63" s="22" t="s">
        <v>33</v>
      </c>
      <c r="C63" s="22" t="s">
        <v>44</v>
      </c>
      <c r="D63" s="22" t="s">
        <v>56</v>
      </c>
      <c r="E63" s="24" t="s">
        <v>52</v>
      </c>
      <c r="F63" s="22" t="s">
        <v>34</v>
      </c>
      <c r="G63" s="25">
        <v>4254.62</v>
      </c>
      <c r="H63" s="22" t="s">
        <v>22</v>
      </c>
      <c r="I63" s="22">
        <v>0</v>
      </c>
      <c r="J63" s="22" t="s">
        <v>34</v>
      </c>
      <c r="K63" s="22" t="s">
        <v>23</v>
      </c>
      <c r="L63" s="22">
        <v>1</v>
      </c>
      <c r="M63" s="26">
        <v>33750</v>
      </c>
      <c r="N63" s="26">
        <v>17018</v>
      </c>
      <c r="O63" s="26">
        <f t="shared" si="0"/>
        <v>50768</v>
      </c>
      <c r="P63" s="26">
        <f t="shared" si="1"/>
        <v>11.932440499974145</v>
      </c>
      <c r="Q63" s="25">
        <v>4821</v>
      </c>
      <c r="R63" s="22">
        <v>88</v>
      </c>
      <c r="S63" s="22" t="s">
        <v>178</v>
      </c>
      <c r="T63" s="22">
        <f t="shared" si="2"/>
        <v>10</v>
      </c>
      <c r="U63" s="22">
        <f t="shared" si="3"/>
        <v>2020</v>
      </c>
      <c r="V63" s="22" t="str">
        <f t="shared" si="4"/>
        <v>METROPOLITANA</v>
      </c>
    </row>
    <row r="64" spans="1:22" x14ac:dyDescent="0.2">
      <c r="A64" s="23" t="s">
        <v>158</v>
      </c>
      <c r="B64" s="22" t="s">
        <v>33</v>
      </c>
      <c r="C64" s="22" t="s">
        <v>44</v>
      </c>
      <c r="D64" s="22" t="s">
        <v>30</v>
      </c>
      <c r="E64" s="24" t="s">
        <v>31</v>
      </c>
      <c r="F64" s="22" t="s">
        <v>53</v>
      </c>
      <c r="G64" s="25">
        <v>6046.56</v>
      </c>
      <c r="H64" s="22" t="s">
        <v>32</v>
      </c>
      <c r="I64" s="22">
        <v>0</v>
      </c>
      <c r="J64" s="22" t="s">
        <v>53</v>
      </c>
      <c r="K64" s="22" t="s">
        <v>23</v>
      </c>
      <c r="L64" s="22">
        <v>3</v>
      </c>
      <c r="M64" s="26">
        <v>48075</v>
      </c>
      <c r="N64" s="26">
        <v>18140</v>
      </c>
      <c r="O64" s="26">
        <f t="shared" si="0"/>
        <v>66215</v>
      </c>
      <c r="P64" s="26">
        <f t="shared" si="1"/>
        <v>10.9508547008547</v>
      </c>
      <c r="Q64" s="25">
        <v>6868</v>
      </c>
      <c r="R64" s="22">
        <v>88</v>
      </c>
      <c r="S64" s="22" t="s">
        <v>179</v>
      </c>
      <c r="T64" s="22">
        <f t="shared" si="2"/>
        <v>10</v>
      </c>
      <c r="U64" s="22">
        <f t="shared" si="3"/>
        <v>2020</v>
      </c>
      <c r="V64" s="22" t="str">
        <f t="shared" si="4"/>
        <v>METROPOLITANA</v>
      </c>
    </row>
    <row r="65" spans="1:22" x14ac:dyDescent="0.2">
      <c r="A65" s="23" t="s">
        <v>158</v>
      </c>
      <c r="B65" s="22" t="s">
        <v>33</v>
      </c>
      <c r="C65" s="22" t="s">
        <v>44</v>
      </c>
      <c r="D65" s="22" t="s">
        <v>45</v>
      </c>
      <c r="E65" s="24" t="s">
        <v>88</v>
      </c>
      <c r="F65" s="22" t="s">
        <v>26</v>
      </c>
      <c r="G65" s="25">
        <v>2219.1</v>
      </c>
      <c r="H65" s="22" t="s">
        <v>22</v>
      </c>
      <c r="I65" s="22">
        <v>0</v>
      </c>
      <c r="J65" s="22" t="s">
        <v>26</v>
      </c>
      <c r="K65" s="22" t="s">
        <v>23</v>
      </c>
      <c r="L65" s="22">
        <v>3</v>
      </c>
      <c r="M65" s="26">
        <v>48075</v>
      </c>
      <c r="N65" s="26">
        <v>8876</v>
      </c>
      <c r="O65" s="26">
        <f t="shared" si="0"/>
        <v>56951</v>
      </c>
      <c r="P65" s="26">
        <f t="shared" si="1"/>
        <v>25.664007931143257</v>
      </c>
      <c r="Q65" s="25">
        <v>6868</v>
      </c>
      <c r="R65" s="22">
        <v>32</v>
      </c>
      <c r="S65" s="22" t="s">
        <v>180</v>
      </c>
      <c r="T65" s="22">
        <f t="shared" si="2"/>
        <v>10</v>
      </c>
      <c r="U65" s="22">
        <f t="shared" si="3"/>
        <v>2020</v>
      </c>
      <c r="V65" s="22" t="str">
        <f t="shared" si="4"/>
        <v>METROPOLITANA</v>
      </c>
    </row>
    <row r="66" spans="1:22" x14ac:dyDescent="0.2">
      <c r="A66" s="23" t="s">
        <v>158</v>
      </c>
      <c r="B66" s="22" t="s">
        <v>33</v>
      </c>
      <c r="C66" s="22" t="s">
        <v>44</v>
      </c>
      <c r="D66" s="22" t="s">
        <v>47</v>
      </c>
      <c r="E66" s="24" t="s">
        <v>28</v>
      </c>
      <c r="F66" s="22" t="s">
        <v>48</v>
      </c>
      <c r="G66" s="25">
        <v>8375.2799999999988</v>
      </c>
      <c r="H66" s="22" t="s">
        <v>22</v>
      </c>
      <c r="I66" s="22">
        <v>0</v>
      </c>
      <c r="J66" s="22" t="s">
        <v>48</v>
      </c>
      <c r="K66" s="22" t="s">
        <v>23</v>
      </c>
      <c r="L66" s="22">
        <v>1</v>
      </c>
      <c r="M66" s="26">
        <v>58627</v>
      </c>
      <c r="N66" s="26">
        <v>33501</v>
      </c>
      <c r="O66" s="26">
        <f t="shared" ref="O66:O129" si="5">SUM(M66:N66)</f>
        <v>92128</v>
      </c>
      <c r="P66" s="26">
        <f t="shared" ref="P66:P129" si="6">O66/G66</f>
        <v>10.999990448080544</v>
      </c>
      <c r="Q66" s="25">
        <v>4821</v>
      </c>
      <c r="R66" s="22">
        <v>100</v>
      </c>
      <c r="S66" s="22" t="s">
        <v>181</v>
      </c>
      <c r="T66" s="22">
        <f t="shared" ref="T66:T129" si="7">MONTH(A66)</f>
        <v>10</v>
      </c>
      <c r="U66" s="22">
        <f t="shared" ref="U66:U129" si="8">YEAR(A66)</f>
        <v>2020</v>
      </c>
      <c r="V66" s="22" t="str">
        <f t="shared" ref="V66:V129" si="9">IF(K66="METROPOLITANA DE SANTIAGO","METROPOLITANA","REGIONES")</f>
        <v>METROPOLITANA</v>
      </c>
    </row>
    <row r="67" spans="1:22" x14ac:dyDescent="0.2">
      <c r="A67" s="23" t="s">
        <v>158</v>
      </c>
      <c r="B67" s="22" t="s">
        <v>33</v>
      </c>
      <c r="C67" s="22" t="s">
        <v>44</v>
      </c>
      <c r="D67" s="22" t="s">
        <v>35</v>
      </c>
      <c r="E67" s="24" t="s">
        <v>49</v>
      </c>
      <c r="F67" s="22" t="s">
        <v>182</v>
      </c>
      <c r="G67" s="25">
        <v>2396.4</v>
      </c>
      <c r="H67" s="22" t="s">
        <v>22</v>
      </c>
      <c r="I67" s="22">
        <v>0</v>
      </c>
      <c r="J67" s="22" t="s">
        <v>182</v>
      </c>
      <c r="K67" s="22" t="s">
        <v>23</v>
      </c>
      <c r="L67" s="22">
        <v>4</v>
      </c>
      <c r="M67" s="26">
        <v>56075</v>
      </c>
      <c r="N67" s="26">
        <v>9586</v>
      </c>
      <c r="O67" s="26">
        <f t="shared" si="5"/>
        <v>65661</v>
      </c>
      <c r="P67" s="26">
        <f t="shared" si="6"/>
        <v>27.399849774661991</v>
      </c>
      <c r="Q67" s="25">
        <v>8011</v>
      </c>
      <c r="R67" s="22">
        <v>30</v>
      </c>
      <c r="S67" s="22" t="s">
        <v>183</v>
      </c>
      <c r="T67" s="22">
        <f t="shared" si="7"/>
        <v>10</v>
      </c>
      <c r="U67" s="22">
        <f t="shared" si="8"/>
        <v>2020</v>
      </c>
      <c r="V67" s="22" t="str">
        <f t="shared" si="9"/>
        <v>METROPOLITANA</v>
      </c>
    </row>
    <row r="68" spans="1:22" x14ac:dyDescent="0.2">
      <c r="A68" s="23" t="s">
        <v>158</v>
      </c>
      <c r="B68" s="22" t="s">
        <v>33</v>
      </c>
      <c r="C68" s="22" t="s">
        <v>44</v>
      </c>
      <c r="D68" s="22" t="s">
        <v>20</v>
      </c>
      <c r="E68" s="24" t="s">
        <v>21</v>
      </c>
      <c r="F68" s="22" t="s">
        <v>95</v>
      </c>
      <c r="G68" s="25">
        <v>3320.42</v>
      </c>
      <c r="H68" s="22" t="s">
        <v>22</v>
      </c>
      <c r="I68" s="22">
        <v>0</v>
      </c>
      <c r="J68" s="22" t="s">
        <v>95</v>
      </c>
      <c r="K68" s="22" t="s">
        <v>23</v>
      </c>
      <c r="L68" s="22">
        <v>1</v>
      </c>
      <c r="M68" s="26">
        <v>33750</v>
      </c>
      <c r="N68" s="26">
        <v>10534</v>
      </c>
      <c r="O68" s="26">
        <f t="shared" si="5"/>
        <v>44284</v>
      </c>
      <c r="P68" s="26">
        <f t="shared" si="6"/>
        <v>13.336867022846507</v>
      </c>
      <c r="Q68" s="25">
        <v>4821</v>
      </c>
      <c r="R68" s="22">
        <v>55</v>
      </c>
      <c r="S68" s="22" t="s">
        <v>185</v>
      </c>
      <c r="T68" s="22">
        <f t="shared" si="7"/>
        <v>10</v>
      </c>
      <c r="U68" s="22">
        <f t="shared" si="8"/>
        <v>2020</v>
      </c>
      <c r="V68" s="22" t="str">
        <f t="shared" si="9"/>
        <v>METROPOLITANA</v>
      </c>
    </row>
    <row r="69" spans="1:22" x14ac:dyDescent="0.2">
      <c r="A69" s="11" t="s">
        <v>186</v>
      </c>
      <c r="B69" s="12" t="s">
        <v>54</v>
      </c>
      <c r="C69" s="12" t="s">
        <v>55</v>
      </c>
      <c r="D69" s="12" t="s">
        <v>80</v>
      </c>
      <c r="E69" s="13" t="s">
        <v>81</v>
      </c>
      <c r="F69" s="12" t="s">
        <v>66</v>
      </c>
      <c r="G69" s="14">
        <v>21253.599999999999</v>
      </c>
      <c r="H69" s="12" t="s">
        <v>85</v>
      </c>
      <c r="I69" s="12">
        <v>1</v>
      </c>
      <c r="J69" s="12" t="s">
        <v>66</v>
      </c>
      <c r="K69" s="12" t="s">
        <v>75</v>
      </c>
      <c r="L69" s="12">
        <v>0</v>
      </c>
      <c r="M69" s="15">
        <v>380000</v>
      </c>
      <c r="N69" s="15">
        <v>0</v>
      </c>
      <c r="O69" s="15">
        <f t="shared" si="5"/>
        <v>380000</v>
      </c>
      <c r="P69" s="15">
        <f t="shared" si="6"/>
        <v>17.879323973350399</v>
      </c>
      <c r="Q69" s="14">
        <v>25000</v>
      </c>
      <c r="R69" s="12">
        <v>85</v>
      </c>
      <c r="S69" s="12" t="s">
        <v>196</v>
      </c>
      <c r="T69" s="22">
        <f t="shared" si="7"/>
        <v>10</v>
      </c>
      <c r="U69" s="22">
        <f t="shared" si="8"/>
        <v>2020</v>
      </c>
      <c r="V69" s="22" t="str">
        <f t="shared" si="9"/>
        <v>REGIONES</v>
      </c>
    </row>
    <row r="70" spans="1:22" x14ac:dyDescent="0.2">
      <c r="A70" s="11" t="s">
        <v>186</v>
      </c>
      <c r="B70" s="12" t="s">
        <v>18</v>
      </c>
      <c r="C70" s="12" t="s">
        <v>187</v>
      </c>
      <c r="D70" s="12" t="s">
        <v>188</v>
      </c>
      <c r="E70" s="13" t="s">
        <v>189</v>
      </c>
      <c r="F70" s="12" t="s">
        <v>129</v>
      </c>
      <c r="G70" s="14">
        <v>690</v>
      </c>
      <c r="H70" s="12" t="s">
        <v>190</v>
      </c>
      <c r="I70" s="12">
        <v>0</v>
      </c>
      <c r="J70" s="12" t="s">
        <v>129</v>
      </c>
      <c r="K70" s="12" t="s">
        <v>23</v>
      </c>
      <c r="L70" s="12">
        <v>1</v>
      </c>
      <c r="M70" s="15">
        <v>33750</v>
      </c>
      <c r="N70" s="15">
        <v>0</v>
      </c>
      <c r="O70" s="15">
        <f t="shared" si="5"/>
        <v>33750</v>
      </c>
      <c r="P70" s="15">
        <f t="shared" si="6"/>
        <v>48.913043478260867</v>
      </c>
      <c r="Q70" s="14">
        <v>4821</v>
      </c>
      <c r="R70" s="12">
        <v>14</v>
      </c>
      <c r="S70" s="12" t="s">
        <v>197</v>
      </c>
      <c r="T70" s="22">
        <f t="shared" si="7"/>
        <v>10</v>
      </c>
      <c r="U70" s="22">
        <f t="shared" si="8"/>
        <v>2020</v>
      </c>
      <c r="V70" s="22" t="str">
        <f t="shared" si="9"/>
        <v>METROPOLITANA</v>
      </c>
    </row>
    <row r="71" spans="1:22" x14ac:dyDescent="0.2">
      <c r="A71" s="11" t="s">
        <v>186</v>
      </c>
      <c r="B71" s="12" t="s">
        <v>18</v>
      </c>
      <c r="C71" s="12" t="s">
        <v>71</v>
      </c>
      <c r="D71" s="12" t="s">
        <v>37</v>
      </c>
      <c r="E71" s="13" t="s">
        <v>40</v>
      </c>
      <c r="F71" s="12" t="s">
        <v>72</v>
      </c>
      <c r="G71" s="14">
        <v>9104.81</v>
      </c>
      <c r="H71" s="12" t="s">
        <v>22</v>
      </c>
      <c r="I71" s="12">
        <v>0</v>
      </c>
      <c r="J71" s="12" t="s">
        <v>72</v>
      </c>
      <c r="K71" s="12" t="s">
        <v>23</v>
      </c>
      <c r="L71" s="12">
        <v>5</v>
      </c>
      <c r="M71" s="15">
        <v>90000</v>
      </c>
      <c r="N71" s="15">
        <v>0</v>
      </c>
      <c r="O71" s="15">
        <f t="shared" si="5"/>
        <v>90000</v>
      </c>
      <c r="P71" s="15">
        <f t="shared" si="6"/>
        <v>9.8848850223123819</v>
      </c>
      <c r="Q71" s="14">
        <v>12000</v>
      </c>
      <c r="R71" s="12">
        <v>76</v>
      </c>
      <c r="S71" s="12" t="s">
        <v>198</v>
      </c>
      <c r="T71" s="22">
        <f t="shared" si="7"/>
        <v>10</v>
      </c>
      <c r="U71" s="22">
        <f t="shared" si="8"/>
        <v>2020</v>
      </c>
      <c r="V71" s="22" t="str">
        <f t="shared" si="9"/>
        <v>METROPOLITANA</v>
      </c>
    </row>
    <row r="72" spans="1:22" x14ac:dyDescent="0.2">
      <c r="A72" s="11" t="s">
        <v>186</v>
      </c>
      <c r="B72" s="12" t="s">
        <v>18</v>
      </c>
      <c r="C72" s="12" t="s">
        <v>19</v>
      </c>
      <c r="D72" s="12" t="s">
        <v>191</v>
      </c>
      <c r="E72" s="13" t="s">
        <v>192</v>
      </c>
      <c r="F72" s="12" t="s">
        <v>114</v>
      </c>
      <c r="G72" s="14">
        <v>27077.95</v>
      </c>
      <c r="H72" s="12" t="s">
        <v>85</v>
      </c>
      <c r="I72" s="12">
        <v>1</v>
      </c>
      <c r="J72" s="12" t="s">
        <v>114</v>
      </c>
      <c r="K72" s="12" t="s">
        <v>75</v>
      </c>
      <c r="L72" s="12">
        <v>0</v>
      </c>
      <c r="M72" s="15">
        <v>380000</v>
      </c>
      <c r="N72" s="15">
        <v>0</v>
      </c>
      <c r="O72" s="15">
        <f t="shared" si="5"/>
        <v>380000</v>
      </c>
      <c r="P72" s="15">
        <f t="shared" si="6"/>
        <v>14.033558670431107</v>
      </c>
      <c r="Q72" s="14">
        <v>25000</v>
      </c>
      <c r="R72" s="12">
        <v>100</v>
      </c>
      <c r="S72" s="12" t="s">
        <v>199</v>
      </c>
      <c r="T72" s="22">
        <f t="shared" si="7"/>
        <v>10</v>
      </c>
      <c r="U72" s="22">
        <f t="shared" si="8"/>
        <v>2020</v>
      </c>
      <c r="V72" s="22" t="str">
        <f t="shared" si="9"/>
        <v>REGIONES</v>
      </c>
    </row>
    <row r="73" spans="1:22" x14ac:dyDescent="0.2">
      <c r="A73" s="11" t="s">
        <v>186</v>
      </c>
      <c r="B73" s="12" t="s">
        <v>18</v>
      </c>
      <c r="C73" s="12" t="s">
        <v>163</v>
      </c>
      <c r="D73" s="12" t="s">
        <v>63</v>
      </c>
      <c r="E73" s="13" t="s">
        <v>64</v>
      </c>
      <c r="F73" s="12" t="s">
        <v>165</v>
      </c>
      <c r="G73" s="14">
        <v>8673.5400000000009</v>
      </c>
      <c r="H73" s="12" t="s">
        <v>65</v>
      </c>
      <c r="I73" s="12">
        <v>0</v>
      </c>
      <c r="J73" s="12" t="s">
        <v>165</v>
      </c>
      <c r="K73" s="12" t="s">
        <v>23</v>
      </c>
      <c r="L73" s="12">
        <v>3</v>
      </c>
      <c r="M73" s="15">
        <v>60715</v>
      </c>
      <c r="N73" s="15">
        <v>0</v>
      </c>
      <c r="O73" s="15">
        <f t="shared" si="5"/>
        <v>60715</v>
      </c>
      <c r="P73" s="15">
        <f t="shared" si="6"/>
        <v>7.0000253644993844</v>
      </c>
      <c r="Q73" s="14">
        <v>6868</v>
      </c>
      <c r="R73" s="12">
        <v>100</v>
      </c>
      <c r="S73" s="12" t="s">
        <v>200</v>
      </c>
      <c r="T73" s="22">
        <f t="shared" si="7"/>
        <v>10</v>
      </c>
      <c r="U73" s="22">
        <f t="shared" si="8"/>
        <v>2020</v>
      </c>
      <c r="V73" s="22" t="str">
        <f t="shared" si="9"/>
        <v>METROPOLITANA</v>
      </c>
    </row>
    <row r="74" spans="1:22" x14ac:dyDescent="0.2">
      <c r="A74" s="11" t="s">
        <v>186</v>
      </c>
      <c r="B74" s="12" t="s">
        <v>18</v>
      </c>
      <c r="C74" s="12" t="s">
        <v>193</v>
      </c>
      <c r="D74" s="12" t="s">
        <v>164</v>
      </c>
      <c r="E74" s="13" t="s">
        <v>28</v>
      </c>
      <c r="F74" s="12" t="s">
        <v>194</v>
      </c>
      <c r="G74" s="14">
        <v>24868</v>
      </c>
      <c r="H74" s="12" t="s">
        <v>22</v>
      </c>
      <c r="I74" s="12">
        <v>1</v>
      </c>
      <c r="J74" s="12" t="s">
        <v>194</v>
      </c>
      <c r="K74" s="12" t="s">
        <v>23</v>
      </c>
      <c r="L74" s="12">
        <v>4</v>
      </c>
      <c r="M74" s="15">
        <v>174076</v>
      </c>
      <c r="N74" s="15">
        <v>0</v>
      </c>
      <c r="O74" s="15">
        <f t="shared" si="5"/>
        <v>174076</v>
      </c>
      <c r="P74" s="15">
        <f t="shared" si="6"/>
        <v>7</v>
      </c>
      <c r="Q74" s="14">
        <v>8011</v>
      </c>
      <c r="R74" s="12">
        <v>100</v>
      </c>
      <c r="S74" s="12" t="s">
        <v>201</v>
      </c>
      <c r="T74" s="22">
        <f t="shared" si="7"/>
        <v>10</v>
      </c>
      <c r="U74" s="22">
        <f t="shared" si="8"/>
        <v>2020</v>
      </c>
      <c r="V74" s="22" t="str">
        <f t="shared" si="9"/>
        <v>METROPOLITANA</v>
      </c>
    </row>
    <row r="75" spans="1:22" x14ac:dyDescent="0.2">
      <c r="A75" s="11" t="s">
        <v>186</v>
      </c>
      <c r="B75" s="12" t="s">
        <v>33</v>
      </c>
      <c r="C75" s="12" t="s">
        <v>187</v>
      </c>
      <c r="D75" s="12" t="s">
        <v>188</v>
      </c>
      <c r="E75" s="13" t="s">
        <v>189</v>
      </c>
      <c r="F75" s="12" t="s">
        <v>129</v>
      </c>
      <c r="G75" s="14">
        <v>2500.4</v>
      </c>
      <c r="H75" s="12" t="s">
        <v>190</v>
      </c>
      <c r="I75" s="12">
        <v>0</v>
      </c>
      <c r="J75" s="12" t="s">
        <v>129</v>
      </c>
      <c r="K75" s="12" t="s">
        <v>23</v>
      </c>
      <c r="L75" s="12">
        <v>1</v>
      </c>
      <c r="M75" s="15">
        <v>33750</v>
      </c>
      <c r="N75" s="15">
        <v>0</v>
      </c>
      <c r="O75" s="15">
        <f t="shared" si="5"/>
        <v>33750</v>
      </c>
      <c r="P75" s="15">
        <f t="shared" si="6"/>
        <v>13.497840345544713</v>
      </c>
      <c r="Q75" s="14">
        <v>4821</v>
      </c>
      <c r="R75" s="12">
        <v>52</v>
      </c>
      <c r="S75" s="12" t="s">
        <v>202</v>
      </c>
      <c r="T75" s="22">
        <f t="shared" si="7"/>
        <v>10</v>
      </c>
      <c r="U75" s="22">
        <f t="shared" si="8"/>
        <v>2020</v>
      </c>
      <c r="V75" s="22" t="str">
        <f t="shared" si="9"/>
        <v>METROPOLITANA</v>
      </c>
    </row>
    <row r="76" spans="1:22" x14ac:dyDescent="0.2">
      <c r="A76" s="11" t="s">
        <v>186</v>
      </c>
      <c r="B76" s="12" t="s">
        <v>33</v>
      </c>
      <c r="C76" s="12" t="s">
        <v>128</v>
      </c>
      <c r="D76" s="12" t="s">
        <v>30</v>
      </c>
      <c r="E76" s="13" t="s">
        <v>64</v>
      </c>
      <c r="F76" s="12" t="s">
        <v>34</v>
      </c>
      <c r="G76" s="14">
        <v>6903.9999999999991</v>
      </c>
      <c r="H76" s="12" t="s">
        <v>32</v>
      </c>
      <c r="I76" s="12">
        <v>0</v>
      </c>
      <c r="J76" s="12" t="s">
        <v>34</v>
      </c>
      <c r="K76" s="12" t="s">
        <v>23</v>
      </c>
      <c r="L76" s="12">
        <v>1</v>
      </c>
      <c r="M76" s="15">
        <v>48328</v>
      </c>
      <c r="N76" s="15">
        <v>20712</v>
      </c>
      <c r="O76" s="15">
        <f t="shared" si="5"/>
        <v>69040</v>
      </c>
      <c r="P76" s="15">
        <f t="shared" si="6"/>
        <v>10.000000000000002</v>
      </c>
      <c r="Q76" s="14">
        <v>4821</v>
      </c>
      <c r="R76" s="12">
        <v>100</v>
      </c>
      <c r="S76" s="12" t="s">
        <v>203</v>
      </c>
      <c r="T76" s="22">
        <f t="shared" si="7"/>
        <v>10</v>
      </c>
      <c r="U76" s="22">
        <f t="shared" si="8"/>
        <v>2020</v>
      </c>
      <c r="V76" s="22" t="str">
        <f t="shared" si="9"/>
        <v>METROPOLITANA</v>
      </c>
    </row>
    <row r="77" spans="1:22" x14ac:dyDescent="0.2">
      <c r="A77" s="11" t="s">
        <v>186</v>
      </c>
      <c r="B77" s="12" t="s">
        <v>33</v>
      </c>
      <c r="C77" s="12" t="s">
        <v>87</v>
      </c>
      <c r="D77" s="12" t="s">
        <v>38</v>
      </c>
      <c r="E77" s="13" t="s">
        <v>42</v>
      </c>
      <c r="F77" s="12" t="s">
        <v>51</v>
      </c>
      <c r="G77" s="14">
        <v>2003.2</v>
      </c>
      <c r="H77" s="12" t="s">
        <v>43</v>
      </c>
      <c r="I77" s="12">
        <v>0</v>
      </c>
      <c r="J77" s="12" t="s">
        <v>51</v>
      </c>
      <c r="K77" s="12" t="s">
        <v>23</v>
      </c>
      <c r="L77" s="12">
        <v>4</v>
      </c>
      <c r="M77" s="15">
        <v>56075</v>
      </c>
      <c r="N77" s="15">
        <v>0</v>
      </c>
      <c r="O77" s="15">
        <f t="shared" si="5"/>
        <v>56075</v>
      </c>
      <c r="P77" s="15">
        <f t="shared" si="6"/>
        <v>27.992711661341854</v>
      </c>
      <c r="Q77" s="14">
        <v>8011</v>
      </c>
      <c r="R77" s="12">
        <v>25</v>
      </c>
      <c r="S77" s="12" t="s">
        <v>204</v>
      </c>
      <c r="T77" s="22">
        <f t="shared" si="7"/>
        <v>10</v>
      </c>
      <c r="U77" s="22">
        <f t="shared" si="8"/>
        <v>2020</v>
      </c>
      <c r="V77" s="22" t="str">
        <f t="shared" si="9"/>
        <v>METROPOLITANA</v>
      </c>
    </row>
    <row r="78" spans="1:22" x14ac:dyDescent="0.2">
      <c r="A78" s="11" t="s">
        <v>186</v>
      </c>
      <c r="B78" s="12" t="s">
        <v>33</v>
      </c>
      <c r="C78" s="12" t="s">
        <v>29</v>
      </c>
      <c r="D78" s="12" t="s">
        <v>121</v>
      </c>
      <c r="E78" s="13" t="s">
        <v>122</v>
      </c>
      <c r="F78" s="12" t="s">
        <v>195</v>
      </c>
      <c r="G78" s="14">
        <v>9795.0999999999967</v>
      </c>
      <c r="H78" s="12" t="s">
        <v>85</v>
      </c>
      <c r="I78" s="12">
        <v>1</v>
      </c>
      <c r="J78" s="12" t="s">
        <v>195</v>
      </c>
      <c r="K78" s="12" t="s">
        <v>124</v>
      </c>
      <c r="L78" s="12">
        <v>0</v>
      </c>
      <c r="M78" s="15">
        <v>350000</v>
      </c>
      <c r="N78" s="15">
        <v>0</v>
      </c>
      <c r="O78" s="15">
        <f t="shared" si="5"/>
        <v>350000</v>
      </c>
      <c r="P78" s="15">
        <f t="shared" si="6"/>
        <v>35.732151790180815</v>
      </c>
      <c r="Q78" s="14">
        <v>25000</v>
      </c>
      <c r="R78" s="12">
        <v>39</v>
      </c>
      <c r="S78" s="12" t="s">
        <v>205</v>
      </c>
      <c r="T78" s="22">
        <f t="shared" si="7"/>
        <v>10</v>
      </c>
      <c r="U78" s="22">
        <f t="shared" si="8"/>
        <v>2020</v>
      </c>
      <c r="V78" s="22" t="str">
        <f t="shared" si="9"/>
        <v>REGIONES</v>
      </c>
    </row>
    <row r="79" spans="1:22" x14ac:dyDescent="0.2">
      <c r="A79" s="11" t="s">
        <v>186</v>
      </c>
      <c r="B79" s="12" t="s">
        <v>33</v>
      </c>
      <c r="C79" s="12" t="s">
        <v>29</v>
      </c>
      <c r="D79" s="12" t="s">
        <v>82</v>
      </c>
      <c r="E79" s="13" t="s">
        <v>83</v>
      </c>
      <c r="F79" s="12" t="s">
        <v>132</v>
      </c>
      <c r="G79" s="14">
        <v>20286.599999999991</v>
      </c>
      <c r="H79" s="12" t="s">
        <v>85</v>
      </c>
      <c r="I79" s="12">
        <v>1</v>
      </c>
      <c r="J79" s="12" t="s">
        <v>132</v>
      </c>
      <c r="K79" s="12" t="s">
        <v>124</v>
      </c>
      <c r="L79" s="12">
        <v>0</v>
      </c>
      <c r="M79" s="15">
        <v>350000</v>
      </c>
      <c r="N79" s="15">
        <v>0</v>
      </c>
      <c r="O79" s="15">
        <f t="shared" si="5"/>
        <v>350000</v>
      </c>
      <c r="P79" s="15">
        <f t="shared" si="6"/>
        <v>17.25276783689727</v>
      </c>
      <c r="Q79" s="14">
        <v>25000</v>
      </c>
      <c r="R79" s="12">
        <v>81</v>
      </c>
      <c r="S79" s="12" t="s">
        <v>206</v>
      </c>
      <c r="T79" s="22">
        <f t="shared" si="7"/>
        <v>10</v>
      </c>
      <c r="U79" s="22">
        <f t="shared" si="8"/>
        <v>2020</v>
      </c>
      <c r="V79" s="22" t="str">
        <f t="shared" si="9"/>
        <v>REGIONES</v>
      </c>
    </row>
    <row r="80" spans="1:22" x14ac:dyDescent="0.2">
      <c r="A80" s="11" t="s">
        <v>186</v>
      </c>
      <c r="B80" s="12" t="s">
        <v>33</v>
      </c>
      <c r="C80" s="12" t="s">
        <v>29</v>
      </c>
      <c r="D80" s="12" t="s">
        <v>41</v>
      </c>
      <c r="E80" s="13" t="s">
        <v>25</v>
      </c>
      <c r="F80" s="12" t="s">
        <v>39</v>
      </c>
      <c r="G80" s="14">
        <v>7092.15</v>
      </c>
      <c r="H80" s="12" t="s">
        <v>43</v>
      </c>
      <c r="I80" s="12">
        <v>0</v>
      </c>
      <c r="J80" s="12" t="s">
        <v>39</v>
      </c>
      <c r="K80" s="12" t="s">
        <v>23</v>
      </c>
      <c r="L80" s="12">
        <v>1</v>
      </c>
      <c r="M80" s="15">
        <v>44814</v>
      </c>
      <c r="N80" s="15">
        <v>19206</v>
      </c>
      <c r="O80" s="15">
        <f t="shared" si="5"/>
        <v>64020</v>
      </c>
      <c r="P80" s="15">
        <f t="shared" si="6"/>
        <v>9.0268818341405641</v>
      </c>
      <c r="Q80" s="14">
        <v>4821</v>
      </c>
      <c r="R80" s="12">
        <v>100</v>
      </c>
      <c r="S80" s="12" t="s">
        <v>212</v>
      </c>
      <c r="T80" s="22">
        <f t="shared" si="7"/>
        <v>10</v>
      </c>
      <c r="U80" s="22">
        <f t="shared" si="8"/>
        <v>2020</v>
      </c>
      <c r="V80" s="22" t="str">
        <f t="shared" si="9"/>
        <v>METROPOLITANA</v>
      </c>
    </row>
    <row r="81" spans="1:22" x14ac:dyDescent="0.2">
      <c r="A81" s="11" t="s">
        <v>186</v>
      </c>
      <c r="B81" s="12" t="s">
        <v>33</v>
      </c>
      <c r="C81" s="12" t="s">
        <v>44</v>
      </c>
      <c r="D81" s="12" t="s">
        <v>56</v>
      </c>
      <c r="E81" s="13" t="s">
        <v>28</v>
      </c>
      <c r="F81" s="12" t="s">
        <v>134</v>
      </c>
      <c r="G81" s="14">
        <v>2717.8</v>
      </c>
      <c r="H81" s="12" t="s">
        <v>22</v>
      </c>
      <c r="I81" s="12">
        <v>0</v>
      </c>
      <c r="J81" s="12" t="s">
        <v>134</v>
      </c>
      <c r="K81" s="12" t="s">
        <v>23</v>
      </c>
      <c r="L81" s="12">
        <v>2</v>
      </c>
      <c r="M81" s="15">
        <v>40475</v>
      </c>
      <c r="N81" s="15">
        <v>10871</v>
      </c>
      <c r="O81" s="15">
        <f t="shared" si="5"/>
        <v>51346</v>
      </c>
      <c r="P81" s="15">
        <f t="shared" si="6"/>
        <v>18.892486570019869</v>
      </c>
      <c r="Q81" s="14">
        <v>5782</v>
      </c>
      <c r="R81" s="12">
        <v>47</v>
      </c>
      <c r="S81" s="12" t="s">
        <v>207</v>
      </c>
      <c r="T81" s="22">
        <f t="shared" si="7"/>
        <v>10</v>
      </c>
      <c r="U81" s="22">
        <f t="shared" si="8"/>
        <v>2020</v>
      </c>
      <c r="V81" s="22" t="str">
        <f t="shared" si="9"/>
        <v>METROPOLITANA</v>
      </c>
    </row>
    <row r="82" spans="1:22" x14ac:dyDescent="0.2">
      <c r="A82" s="11" t="s">
        <v>186</v>
      </c>
      <c r="B82" s="12" t="s">
        <v>33</v>
      </c>
      <c r="C82" s="12" t="s">
        <v>44</v>
      </c>
      <c r="D82" s="12" t="s">
        <v>45</v>
      </c>
      <c r="E82" s="13" t="s">
        <v>88</v>
      </c>
      <c r="F82" s="12" t="s">
        <v>26</v>
      </c>
      <c r="G82" s="14">
        <v>4149.0000000000009</v>
      </c>
      <c r="H82" s="12" t="s">
        <v>22</v>
      </c>
      <c r="I82" s="12">
        <v>0</v>
      </c>
      <c r="J82" s="12" t="s">
        <v>26</v>
      </c>
      <c r="K82" s="12" t="s">
        <v>23</v>
      </c>
      <c r="L82" s="12">
        <v>3</v>
      </c>
      <c r="M82" s="15">
        <v>48075</v>
      </c>
      <c r="N82" s="15">
        <v>16596</v>
      </c>
      <c r="O82" s="15">
        <f t="shared" si="5"/>
        <v>64671</v>
      </c>
      <c r="P82" s="15">
        <f t="shared" si="6"/>
        <v>15.587129428778015</v>
      </c>
      <c r="Q82" s="14">
        <v>6868</v>
      </c>
      <c r="R82" s="12">
        <v>60</v>
      </c>
      <c r="S82" s="12" t="s">
        <v>208</v>
      </c>
      <c r="T82" s="22">
        <f t="shared" si="7"/>
        <v>10</v>
      </c>
      <c r="U82" s="22">
        <f t="shared" si="8"/>
        <v>2020</v>
      </c>
      <c r="V82" s="22" t="str">
        <f t="shared" si="9"/>
        <v>METROPOLITANA</v>
      </c>
    </row>
    <row r="83" spans="1:22" x14ac:dyDescent="0.2">
      <c r="A83" s="11" t="s">
        <v>186</v>
      </c>
      <c r="B83" s="12" t="s">
        <v>33</v>
      </c>
      <c r="C83" s="12" t="s">
        <v>44</v>
      </c>
      <c r="D83" s="12" t="s">
        <v>47</v>
      </c>
      <c r="E83" s="13" t="s">
        <v>52</v>
      </c>
      <c r="F83" s="12" t="s">
        <v>48</v>
      </c>
      <c r="G83" s="14">
        <v>3474.7000000000012</v>
      </c>
      <c r="H83" s="12" t="s">
        <v>22</v>
      </c>
      <c r="I83" s="12">
        <v>0</v>
      </c>
      <c r="J83" s="12" t="s">
        <v>48</v>
      </c>
      <c r="K83" s="12" t="s">
        <v>23</v>
      </c>
      <c r="L83" s="12">
        <v>1</v>
      </c>
      <c r="M83" s="15">
        <v>33750</v>
      </c>
      <c r="N83" s="15">
        <v>13899</v>
      </c>
      <c r="O83" s="15">
        <f t="shared" si="5"/>
        <v>47649</v>
      </c>
      <c r="P83" s="15">
        <f t="shared" si="6"/>
        <v>13.713126313062993</v>
      </c>
      <c r="Q83" s="14">
        <v>4821</v>
      </c>
      <c r="R83" s="12">
        <v>72</v>
      </c>
      <c r="S83" s="12" t="s">
        <v>209</v>
      </c>
      <c r="T83" s="22">
        <f t="shared" si="7"/>
        <v>10</v>
      </c>
      <c r="U83" s="22">
        <f t="shared" si="8"/>
        <v>2020</v>
      </c>
      <c r="V83" s="22" t="str">
        <f t="shared" si="9"/>
        <v>METROPOLITANA</v>
      </c>
    </row>
    <row r="84" spans="1:22" x14ac:dyDescent="0.2">
      <c r="A84" s="11" t="s">
        <v>186</v>
      </c>
      <c r="B84" s="12" t="s">
        <v>33</v>
      </c>
      <c r="C84" s="12" t="s">
        <v>44</v>
      </c>
      <c r="D84" s="12" t="s">
        <v>35</v>
      </c>
      <c r="E84" s="13" t="s">
        <v>49</v>
      </c>
      <c r="F84" s="12" t="s">
        <v>95</v>
      </c>
      <c r="G84" s="14">
        <v>2054.5</v>
      </c>
      <c r="H84" s="12" t="s">
        <v>22</v>
      </c>
      <c r="I84" s="12">
        <v>0</v>
      </c>
      <c r="J84" s="12" t="s">
        <v>95</v>
      </c>
      <c r="K84" s="12" t="s">
        <v>23</v>
      </c>
      <c r="L84" s="12">
        <v>1</v>
      </c>
      <c r="M84" s="15">
        <v>33750</v>
      </c>
      <c r="N84" s="15">
        <v>8218</v>
      </c>
      <c r="O84" s="15">
        <f t="shared" si="5"/>
        <v>41968</v>
      </c>
      <c r="P84" s="15">
        <f t="shared" si="6"/>
        <v>20.427354587490875</v>
      </c>
      <c r="Q84" s="14">
        <v>4821</v>
      </c>
      <c r="R84" s="12">
        <v>43</v>
      </c>
      <c r="S84" s="12" t="s">
        <v>210</v>
      </c>
      <c r="T84" s="22">
        <f t="shared" si="7"/>
        <v>10</v>
      </c>
      <c r="U84" s="22">
        <f t="shared" si="8"/>
        <v>2020</v>
      </c>
      <c r="V84" s="22" t="str">
        <f t="shared" si="9"/>
        <v>METROPOLITANA</v>
      </c>
    </row>
    <row r="85" spans="1:22" x14ac:dyDescent="0.2">
      <c r="A85" s="11" t="s">
        <v>186</v>
      </c>
      <c r="B85" s="12" t="s">
        <v>33</v>
      </c>
      <c r="C85" s="12" t="s">
        <v>44</v>
      </c>
      <c r="D85" s="12" t="s">
        <v>20</v>
      </c>
      <c r="E85" s="13" t="s">
        <v>21</v>
      </c>
      <c r="F85" s="12" t="s">
        <v>51</v>
      </c>
      <c r="G85" s="14">
        <v>2953.7000000000012</v>
      </c>
      <c r="H85" s="12" t="s">
        <v>22</v>
      </c>
      <c r="I85" s="12">
        <v>0</v>
      </c>
      <c r="J85" s="12" t="s">
        <v>51</v>
      </c>
      <c r="K85" s="12" t="s">
        <v>23</v>
      </c>
      <c r="L85" s="12">
        <v>4</v>
      </c>
      <c r="M85" s="15">
        <v>56075</v>
      </c>
      <c r="N85" s="15">
        <v>11815</v>
      </c>
      <c r="O85" s="15">
        <f t="shared" si="5"/>
        <v>67890</v>
      </c>
      <c r="P85" s="15">
        <f t="shared" si="6"/>
        <v>22.984731015336688</v>
      </c>
      <c r="Q85" s="14">
        <v>8011</v>
      </c>
      <c r="R85" s="12">
        <v>37</v>
      </c>
      <c r="S85" s="12" t="s">
        <v>211</v>
      </c>
      <c r="T85" s="22">
        <f t="shared" si="7"/>
        <v>10</v>
      </c>
      <c r="U85" s="22">
        <f t="shared" si="8"/>
        <v>2020</v>
      </c>
      <c r="V85" s="22" t="str">
        <f t="shared" si="9"/>
        <v>METROPOLITANA</v>
      </c>
    </row>
    <row r="86" spans="1:22" x14ac:dyDescent="0.2">
      <c r="A86" s="23" t="s">
        <v>213</v>
      </c>
      <c r="B86" s="22" t="s">
        <v>54</v>
      </c>
      <c r="C86" s="22" t="s">
        <v>55</v>
      </c>
      <c r="D86" s="22" t="s">
        <v>118</v>
      </c>
      <c r="E86" s="24" t="s">
        <v>119</v>
      </c>
      <c r="F86" s="22" t="s">
        <v>66</v>
      </c>
      <c r="G86" s="25">
        <v>21811.200000000001</v>
      </c>
      <c r="H86" s="22" t="s">
        <v>85</v>
      </c>
      <c r="I86" s="22">
        <v>1</v>
      </c>
      <c r="J86" s="22" t="s">
        <v>66</v>
      </c>
      <c r="K86" s="22" t="s">
        <v>75</v>
      </c>
      <c r="L86" s="22">
        <v>0</v>
      </c>
      <c r="M86" s="26">
        <v>380000</v>
      </c>
      <c r="N86" s="26">
        <v>0</v>
      </c>
      <c r="O86" s="27">
        <f t="shared" si="5"/>
        <v>380000</v>
      </c>
      <c r="P86" s="27">
        <f t="shared" si="6"/>
        <v>17.42224178403756</v>
      </c>
      <c r="Q86" s="25">
        <v>25000</v>
      </c>
      <c r="R86" s="22">
        <v>87</v>
      </c>
      <c r="S86" s="22" t="s">
        <v>214</v>
      </c>
      <c r="T86" s="22">
        <f t="shared" si="7"/>
        <v>10</v>
      </c>
      <c r="U86" s="22">
        <f t="shared" si="8"/>
        <v>2020</v>
      </c>
      <c r="V86" s="22" t="str">
        <f t="shared" si="9"/>
        <v>REGIONES</v>
      </c>
    </row>
    <row r="87" spans="1:22" x14ac:dyDescent="0.2">
      <c r="A87" s="23" t="s">
        <v>213</v>
      </c>
      <c r="B87" s="22" t="s">
        <v>18</v>
      </c>
      <c r="C87" s="22" t="s">
        <v>71</v>
      </c>
      <c r="D87" s="22" t="s">
        <v>63</v>
      </c>
      <c r="E87" s="24" t="s">
        <v>64</v>
      </c>
      <c r="F87" s="22" t="s">
        <v>72</v>
      </c>
      <c r="G87" s="25">
        <v>8982.8200000000033</v>
      </c>
      <c r="H87" s="22" t="s">
        <v>65</v>
      </c>
      <c r="I87" s="22">
        <v>0</v>
      </c>
      <c r="J87" s="22" t="s">
        <v>72</v>
      </c>
      <c r="K87" s="22" t="s">
        <v>23</v>
      </c>
      <c r="L87" s="22">
        <v>5</v>
      </c>
      <c r="M87" s="26">
        <v>90000</v>
      </c>
      <c r="N87" s="26">
        <v>0</v>
      </c>
      <c r="O87" s="27">
        <f t="shared" si="5"/>
        <v>90000</v>
      </c>
      <c r="P87" s="27">
        <f t="shared" si="6"/>
        <v>10.019125397146995</v>
      </c>
      <c r="Q87" s="25">
        <v>12000</v>
      </c>
      <c r="R87" s="22">
        <v>75</v>
      </c>
      <c r="S87" s="22" t="s">
        <v>215</v>
      </c>
      <c r="T87" s="22">
        <f t="shared" si="7"/>
        <v>10</v>
      </c>
      <c r="U87" s="22">
        <f t="shared" si="8"/>
        <v>2020</v>
      </c>
      <c r="V87" s="22" t="str">
        <f t="shared" si="9"/>
        <v>METROPOLITANA</v>
      </c>
    </row>
    <row r="88" spans="1:22" x14ac:dyDescent="0.2">
      <c r="A88" s="23" t="s">
        <v>213</v>
      </c>
      <c r="B88" s="22" t="s">
        <v>18</v>
      </c>
      <c r="C88" s="22" t="s">
        <v>163</v>
      </c>
      <c r="D88" s="22" t="s">
        <v>164</v>
      </c>
      <c r="E88" s="24" t="s">
        <v>28</v>
      </c>
      <c r="F88" s="22" t="s">
        <v>165</v>
      </c>
      <c r="G88" s="25">
        <v>14342.46</v>
      </c>
      <c r="H88" s="22" t="s">
        <v>22</v>
      </c>
      <c r="I88" s="22">
        <v>1</v>
      </c>
      <c r="J88" s="22" t="s">
        <v>165</v>
      </c>
      <c r="K88" s="22" t="s">
        <v>23</v>
      </c>
      <c r="L88" s="22">
        <v>3</v>
      </c>
      <c r="M88" s="26">
        <v>100397</v>
      </c>
      <c r="N88" s="26">
        <f>G87*3</f>
        <v>26948.46000000001</v>
      </c>
      <c r="O88" s="27">
        <f t="shared" si="5"/>
        <v>127345.46</v>
      </c>
      <c r="P88" s="27">
        <f t="shared" si="6"/>
        <v>8.8789133802708893</v>
      </c>
      <c r="Q88" s="25">
        <v>6868</v>
      </c>
      <c r="R88" s="22">
        <v>100</v>
      </c>
      <c r="S88" s="22" t="s">
        <v>216</v>
      </c>
      <c r="T88" s="22">
        <f t="shared" si="7"/>
        <v>10</v>
      </c>
      <c r="U88" s="22">
        <f t="shared" si="8"/>
        <v>2020</v>
      </c>
      <c r="V88" s="22" t="str">
        <f t="shared" si="9"/>
        <v>METROPOLITANA</v>
      </c>
    </row>
    <row r="89" spans="1:22" x14ac:dyDescent="0.2">
      <c r="A89" s="23" t="s">
        <v>213</v>
      </c>
      <c r="B89" s="22" t="s">
        <v>33</v>
      </c>
      <c r="C89" s="22" t="s">
        <v>217</v>
      </c>
      <c r="D89" s="22" t="s">
        <v>38</v>
      </c>
      <c r="E89" s="24" t="s">
        <v>25</v>
      </c>
      <c r="F89" s="22" t="s">
        <v>26</v>
      </c>
      <c r="G89" s="25">
        <v>2648.5</v>
      </c>
      <c r="H89" s="22" t="s">
        <v>43</v>
      </c>
      <c r="I89" s="22">
        <v>0</v>
      </c>
      <c r="J89" s="22" t="s">
        <v>26</v>
      </c>
      <c r="K89" s="22" t="s">
        <v>23</v>
      </c>
      <c r="L89" s="22">
        <v>3</v>
      </c>
      <c r="M89" s="26">
        <v>48075</v>
      </c>
      <c r="N89" s="26">
        <v>0</v>
      </c>
      <c r="O89" s="27">
        <f t="shared" si="5"/>
        <v>48075</v>
      </c>
      <c r="P89" s="27">
        <f t="shared" si="6"/>
        <v>18.151784028695488</v>
      </c>
      <c r="Q89" s="25">
        <v>6868</v>
      </c>
      <c r="R89" s="22">
        <v>39</v>
      </c>
      <c r="S89" s="22" t="s">
        <v>218</v>
      </c>
      <c r="T89" s="22">
        <f t="shared" si="7"/>
        <v>10</v>
      </c>
      <c r="U89" s="22">
        <f t="shared" si="8"/>
        <v>2020</v>
      </c>
      <c r="V89" s="22" t="str">
        <f t="shared" si="9"/>
        <v>METROPOLITANA</v>
      </c>
    </row>
    <row r="90" spans="1:22" x14ac:dyDescent="0.2">
      <c r="A90" s="23" t="s">
        <v>213</v>
      </c>
      <c r="B90" s="22" t="s">
        <v>33</v>
      </c>
      <c r="C90" s="22" t="s">
        <v>50</v>
      </c>
      <c r="D90" s="22" t="s">
        <v>37</v>
      </c>
      <c r="E90" s="24" t="s">
        <v>40</v>
      </c>
      <c r="F90" s="22" t="s">
        <v>26</v>
      </c>
      <c r="G90" s="25">
        <v>16151.52</v>
      </c>
      <c r="H90" s="22" t="s">
        <v>22</v>
      </c>
      <c r="I90" s="22">
        <v>0</v>
      </c>
      <c r="J90" s="22" t="s">
        <v>26</v>
      </c>
      <c r="K90" s="22" t="s">
        <v>23</v>
      </c>
      <c r="L90" s="22">
        <v>3</v>
      </c>
      <c r="M90" s="26">
        <v>113061</v>
      </c>
      <c r="N90" s="26">
        <f>G89*3</f>
        <v>7945.5</v>
      </c>
      <c r="O90" s="27">
        <f t="shared" si="5"/>
        <v>121006.5</v>
      </c>
      <c r="P90" s="27">
        <f t="shared" si="6"/>
        <v>7.4919574132960856</v>
      </c>
      <c r="Q90" s="25">
        <v>6868</v>
      </c>
      <c r="R90" s="22">
        <v>100</v>
      </c>
      <c r="S90" s="22" t="s">
        <v>219</v>
      </c>
      <c r="T90" s="22">
        <f t="shared" si="7"/>
        <v>10</v>
      </c>
      <c r="U90" s="22">
        <f t="shared" si="8"/>
        <v>2020</v>
      </c>
      <c r="V90" s="22" t="str">
        <f t="shared" si="9"/>
        <v>METROPOLITANA</v>
      </c>
    </row>
    <row r="91" spans="1:22" x14ac:dyDescent="0.2">
      <c r="A91" s="23" t="s">
        <v>213</v>
      </c>
      <c r="B91" s="22" t="s">
        <v>33</v>
      </c>
      <c r="C91" s="22" t="s">
        <v>50</v>
      </c>
      <c r="D91" s="22" t="s">
        <v>41</v>
      </c>
      <c r="E91" s="24" t="s">
        <v>25</v>
      </c>
      <c r="F91" s="22" t="s">
        <v>26</v>
      </c>
      <c r="G91" s="25">
        <v>18354</v>
      </c>
      <c r="H91" s="22" t="s">
        <v>43</v>
      </c>
      <c r="I91" s="22">
        <v>0</v>
      </c>
      <c r="J91" s="22" t="s">
        <v>26</v>
      </c>
      <c r="K91" s="22" t="s">
        <v>23</v>
      </c>
      <c r="L91" s="22">
        <v>3</v>
      </c>
      <c r="M91" s="26">
        <v>128478</v>
      </c>
      <c r="N91" s="26">
        <f>G90*3</f>
        <v>48454.559999999998</v>
      </c>
      <c r="O91" s="27">
        <f t="shared" si="5"/>
        <v>176932.56</v>
      </c>
      <c r="P91" s="27">
        <f t="shared" si="6"/>
        <v>9.64</v>
      </c>
      <c r="Q91" s="25">
        <v>6868</v>
      </c>
      <c r="R91" s="22">
        <v>100</v>
      </c>
      <c r="S91" s="22" t="s">
        <v>220</v>
      </c>
      <c r="T91" s="22">
        <f t="shared" si="7"/>
        <v>10</v>
      </c>
      <c r="U91" s="22">
        <f t="shared" si="8"/>
        <v>2020</v>
      </c>
      <c r="V91" s="22" t="str">
        <f t="shared" si="9"/>
        <v>METROPOLITANA</v>
      </c>
    </row>
    <row r="92" spans="1:22" x14ac:dyDescent="0.2">
      <c r="A92" s="23" t="s">
        <v>213</v>
      </c>
      <c r="B92" s="22" t="s">
        <v>33</v>
      </c>
      <c r="C92" s="22" t="s">
        <v>128</v>
      </c>
      <c r="D92" s="22" t="s">
        <v>37</v>
      </c>
      <c r="E92" s="24" t="s">
        <v>40</v>
      </c>
      <c r="F92" s="22" t="s">
        <v>129</v>
      </c>
      <c r="G92" s="25">
        <v>7577.9999999999991</v>
      </c>
      <c r="H92" s="22" t="s">
        <v>22</v>
      </c>
      <c r="I92" s="22">
        <v>0</v>
      </c>
      <c r="J92" s="22" t="s">
        <v>129</v>
      </c>
      <c r="K92" s="22" t="s">
        <v>23</v>
      </c>
      <c r="L92" s="22">
        <v>1</v>
      </c>
      <c r="M92" s="26">
        <v>53046</v>
      </c>
      <c r="N92" s="26">
        <v>30312</v>
      </c>
      <c r="O92" s="27">
        <f t="shared" si="5"/>
        <v>83358</v>
      </c>
      <c r="P92" s="27">
        <f t="shared" si="6"/>
        <v>11.000000000000002</v>
      </c>
      <c r="Q92" s="25">
        <v>4821</v>
      </c>
      <c r="R92" s="22">
        <v>100</v>
      </c>
      <c r="S92" s="22" t="s">
        <v>221</v>
      </c>
      <c r="T92" s="22">
        <f t="shared" si="7"/>
        <v>10</v>
      </c>
      <c r="U92" s="22">
        <f t="shared" si="8"/>
        <v>2020</v>
      </c>
      <c r="V92" s="22" t="str">
        <f t="shared" si="9"/>
        <v>METROPOLITANA</v>
      </c>
    </row>
    <row r="93" spans="1:22" x14ac:dyDescent="0.2">
      <c r="A93" s="23" t="s">
        <v>213</v>
      </c>
      <c r="B93" s="22" t="s">
        <v>33</v>
      </c>
      <c r="C93" s="22" t="s">
        <v>128</v>
      </c>
      <c r="D93" s="22" t="s">
        <v>30</v>
      </c>
      <c r="E93" s="24" t="s">
        <v>31</v>
      </c>
      <c r="F93" s="22" t="s">
        <v>34</v>
      </c>
      <c r="G93" s="25">
        <v>9007.3999999999978</v>
      </c>
      <c r="H93" s="22" t="s">
        <v>32</v>
      </c>
      <c r="I93" s="22">
        <v>0</v>
      </c>
      <c r="J93" s="22" t="s">
        <v>34</v>
      </c>
      <c r="K93" s="22" t="s">
        <v>23</v>
      </c>
      <c r="L93" s="22">
        <v>1</v>
      </c>
      <c r="M93" s="26">
        <v>63052</v>
      </c>
      <c r="N93" s="26">
        <v>27022</v>
      </c>
      <c r="O93" s="27">
        <f t="shared" si="5"/>
        <v>90074</v>
      </c>
      <c r="P93" s="27">
        <f t="shared" si="6"/>
        <v>10.000000000000002</v>
      </c>
      <c r="Q93" s="25">
        <v>4821</v>
      </c>
      <c r="R93" s="22">
        <v>100</v>
      </c>
      <c r="S93" s="22" t="s">
        <v>222</v>
      </c>
      <c r="T93" s="22">
        <f t="shared" si="7"/>
        <v>10</v>
      </c>
      <c r="U93" s="22">
        <f t="shared" si="8"/>
        <v>2020</v>
      </c>
      <c r="V93" s="22" t="str">
        <f t="shared" si="9"/>
        <v>METROPOLITANA</v>
      </c>
    </row>
    <row r="94" spans="1:22" x14ac:dyDescent="0.2">
      <c r="A94" s="23" t="s">
        <v>213</v>
      </c>
      <c r="B94" s="22" t="s">
        <v>33</v>
      </c>
      <c r="C94" s="22" t="s">
        <v>223</v>
      </c>
      <c r="D94" s="22" t="s">
        <v>125</v>
      </c>
      <c r="E94" s="24" t="s">
        <v>126</v>
      </c>
      <c r="F94" s="22" t="s">
        <v>67</v>
      </c>
      <c r="G94" s="25">
        <v>16808.150000000001</v>
      </c>
      <c r="H94" s="22" t="s">
        <v>174</v>
      </c>
      <c r="I94" s="22">
        <v>0</v>
      </c>
      <c r="J94" s="22" t="s">
        <v>67</v>
      </c>
      <c r="K94" s="22" t="s">
        <v>23</v>
      </c>
      <c r="L94" s="22">
        <v>1</v>
      </c>
      <c r="M94" s="26">
        <v>117657</v>
      </c>
      <c r="N94" s="26">
        <f>G94*3</f>
        <v>50424.450000000004</v>
      </c>
      <c r="O94" s="27">
        <f t="shared" si="5"/>
        <v>168081.45</v>
      </c>
      <c r="P94" s="27">
        <f t="shared" si="6"/>
        <v>9.9999970252526307</v>
      </c>
      <c r="Q94" s="25">
        <v>4821</v>
      </c>
      <c r="R94" s="22">
        <v>100</v>
      </c>
      <c r="S94" s="22" t="s">
        <v>224</v>
      </c>
      <c r="T94" s="22">
        <f t="shared" si="7"/>
        <v>10</v>
      </c>
      <c r="U94" s="22">
        <f t="shared" si="8"/>
        <v>2020</v>
      </c>
      <c r="V94" s="22" t="str">
        <f t="shared" si="9"/>
        <v>METROPOLITANA</v>
      </c>
    </row>
    <row r="95" spans="1:22" x14ac:dyDescent="0.2">
      <c r="A95" s="23" t="s">
        <v>213</v>
      </c>
      <c r="B95" s="22" t="s">
        <v>33</v>
      </c>
      <c r="C95" s="22" t="s">
        <v>44</v>
      </c>
      <c r="D95" s="22" t="s">
        <v>56</v>
      </c>
      <c r="E95" s="24" t="s">
        <v>52</v>
      </c>
      <c r="F95" s="22" t="s">
        <v>225</v>
      </c>
      <c r="G95" s="25">
        <v>2226.52</v>
      </c>
      <c r="H95" s="22" t="s">
        <v>22</v>
      </c>
      <c r="I95" s="22">
        <v>0</v>
      </c>
      <c r="J95" s="22" t="s">
        <v>225</v>
      </c>
      <c r="K95" s="22" t="s">
        <v>23</v>
      </c>
      <c r="L95" s="22">
        <v>3</v>
      </c>
      <c r="M95" s="26">
        <v>48075</v>
      </c>
      <c r="N95" s="26">
        <v>8906</v>
      </c>
      <c r="O95" s="27">
        <f t="shared" si="5"/>
        <v>56981</v>
      </c>
      <c r="P95" s="27">
        <f t="shared" si="6"/>
        <v>25.591955158723032</v>
      </c>
      <c r="Q95" s="25">
        <v>6868</v>
      </c>
      <c r="R95" s="22">
        <v>32</v>
      </c>
      <c r="S95" s="22" t="s">
        <v>226</v>
      </c>
      <c r="T95" s="22">
        <f t="shared" si="7"/>
        <v>10</v>
      </c>
      <c r="U95" s="22">
        <f t="shared" si="8"/>
        <v>2020</v>
      </c>
      <c r="V95" s="22" t="str">
        <f t="shared" si="9"/>
        <v>METROPOLITANA</v>
      </c>
    </row>
    <row r="96" spans="1:22" x14ac:dyDescent="0.2">
      <c r="A96" s="23" t="s">
        <v>213</v>
      </c>
      <c r="B96" s="22" t="s">
        <v>33</v>
      </c>
      <c r="C96" s="22" t="s">
        <v>44</v>
      </c>
      <c r="D96" s="22" t="s">
        <v>45</v>
      </c>
      <c r="E96" s="24" t="s">
        <v>88</v>
      </c>
      <c r="F96" s="22" t="s">
        <v>182</v>
      </c>
      <c r="G96" s="25">
        <v>3311.04</v>
      </c>
      <c r="H96" s="22" t="s">
        <v>22</v>
      </c>
      <c r="I96" s="22">
        <v>0</v>
      </c>
      <c r="J96" s="22" t="s">
        <v>182</v>
      </c>
      <c r="K96" s="22" t="s">
        <v>23</v>
      </c>
      <c r="L96" s="22">
        <v>4</v>
      </c>
      <c r="M96" s="26">
        <v>56075</v>
      </c>
      <c r="N96" s="26">
        <v>13244</v>
      </c>
      <c r="O96" s="27">
        <f t="shared" si="5"/>
        <v>69319</v>
      </c>
      <c r="P96" s="27">
        <f t="shared" si="6"/>
        <v>20.935718082536003</v>
      </c>
      <c r="Q96" s="25">
        <v>8011</v>
      </c>
      <c r="R96" s="22">
        <v>41</v>
      </c>
      <c r="S96" s="22" t="s">
        <v>227</v>
      </c>
      <c r="T96" s="22">
        <f t="shared" si="7"/>
        <v>10</v>
      </c>
      <c r="U96" s="22">
        <f t="shared" si="8"/>
        <v>2020</v>
      </c>
      <c r="V96" s="22" t="str">
        <f t="shared" si="9"/>
        <v>METROPOLITANA</v>
      </c>
    </row>
    <row r="97" spans="1:22" x14ac:dyDescent="0.2">
      <c r="A97" s="23" t="s">
        <v>213</v>
      </c>
      <c r="B97" s="22" t="s">
        <v>33</v>
      </c>
      <c r="C97" s="22" t="s">
        <v>44</v>
      </c>
      <c r="D97" s="22" t="s">
        <v>47</v>
      </c>
      <c r="E97" s="24" t="s">
        <v>49</v>
      </c>
      <c r="F97" s="22" t="s">
        <v>48</v>
      </c>
      <c r="G97" s="25">
        <v>2600</v>
      </c>
      <c r="H97" s="22" t="s">
        <v>22</v>
      </c>
      <c r="I97" s="22">
        <v>0</v>
      </c>
      <c r="J97" s="22" t="s">
        <v>48</v>
      </c>
      <c r="K97" s="22" t="s">
        <v>23</v>
      </c>
      <c r="L97" s="22">
        <v>1</v>
      </c>
      <c r="M97" s="26">
        <v>33750</v>
      </c>
      <c r="N97" s="26">
        <v>10400</v>
      </c>
      <c r="O97" s="27">
        <f t="shared" si="5"/>
        <v>44150</v>
      </c>
      <c r="P97" s="27">
        <f t="shared" si="6"/>
        <v>16.98076923076923</v>
      </c>
      <c r="Q97" s="25">
        <v>4821</v>
      </c>
      <c r="R97" s="22">
        <v>54</v>
      </c>
      <c r="S97" s="22" t="s">
        <v>228</v>
      </c>
      <c r="T97" s="22">
        <f t="shared" si="7"/>
        <v>10</v>
      </c>
      <c r="U97" s="22">
        <f t="shared" si="8"/>
        <v>2020</v>
      </c>
      <c r="V97" s="22" t="str">
        <f t="shared" si="9"/>
        <v>METROPOLITANA</v>
      </c>
    </row>
    <row r="98" spans="1:22" x14ac:dyDescent="0.2">
      <c r="A98" s="23" t="s">
        <v>213</v>
      </c>
      <c r="B98" s="22" t="s">
        <v>33</v>
      </c>
      <c r="C98" s="22" t="s">
        <v>44</v>
      </c>
      <c r="D98" s="22" t="s">
        <v>35</v>
      </c>
      <c r="E98" s="24" t="s">
        <v>28</v>
      </c>
      <c r="F98" s="22" t="s">
        <v>229</v>
      </c>
      <c r="G98" s="25">
        <v>3435.8</v>
      </c>
      <c r="H98" s="22" t="s">
        <v>22</v>
      </c>
      <c r="I98" s="22">
        <v>0</v>
      </c>
      <c r="J98" s="22" t="s">
        <v>230</v>
      </c>
      <c r="K98" s="22" t="s">
        <v>23</v>
      </c>
      <c r="L98" s="22">
        <v>4</v>
      </c>
      <c r="M98" s="26">
        <v>56075</v>
      </c>
      <c r="N98" s="26">
        <v>13743</v>
      </c>
      <c r="O98" s="27">
        <f t="shared" si="5"/>
        <v>69818</v>
      </c>
      <c r="P98" s="27">
        <f t="shared" si="6"/>
        <v>20.320740438907968</v>
      </c>
      <c r="Q98" s="25">
        <v>8011</v>
      </c>
      <c r="R98" s="22">
        <v>43</v>
      </c>
      <c r="S98" s="22" t="s">
        <v>231</v>
      </c>
      <c r="T98" s="22">
        <f t="shared" si="7"/>
        <v>10</v>
      </c>
      <c r="U98" s="22">
        <f t="shared" si="8"/>
        <v>2020</v>
      </c>
      <c r="V98" s="22" t="str">
        <f t="shared" si="9"/>
        <v>METROPOLITANA</v>
      </c>
    </row>
    <row r="99" spans="1:22" x14ac:dyDescent="0.2">
      <c r="A99" s="23" t="s">
        <v>213</v>
      </c>
      <c r="B99" s="22" t="s">
        <v>33</v>
      </c>
      <c r="C99" s="22" t="s">
        <v>44</v>
      </c>
      <c r="D99" s="22" t="s">
        <v>20</v>
      </c>
      <c r="E99" s="24" t="s">
        <v>21</v>
      </c>
      <c r="F99" s="22" t="s">
        <v>46</v>
      </c>
      <c r="G99" s="25">
        <v>3951.6</v>
      </c>
      <c r="H99" s="22" t="s">
        <v>22</v>
      </c>
      <c r="I99" s="22">
        <v>0</v>
      </c>
      <c r="J99" s="22" t="s">
        <v>46</v>
      </c>
      <c r="K99" s="22" t="s">
        <v>23</v>
      </c>
      <c r="L99" s="22">
        <v>2</v>
      </c>
      <c r="M99" s="26">
        <v>40475</v>
      </c>
      <c r="N99" s="26">
        <v>15806</v>
      </c>
      <c r="O99" s="27">
        <f t="shared" si="5"/>
        <v>56281</v>
      </c>
      <c r="P99" s="27">
        <f t="shared" si="6"/>
        <v>14.242585281911126</v>
      </c>
      <c r="Q99" s="25">
        <v>5782</v>
      </c>
      <c r="R99" s="22">
        <v>68</v>
      </c>
      <c r="S99" s="22" t="s">
        <v>232</v>
      </c>
      <c r="T99" s="22">
        <f t="shared" si="7"/>
        <v>10</v>
      </c>
      <c r="U99" s="22">
        <f t="shared" si="8"/>
        <v>2020</v>
      </c>
      <c r="V99" s="22" t="str">
        <f t="shared" si="9"/>
        <v>METROPOLITANA</v>
      </c>
    </row>
    <row r="100" spans="1:22" x14ac:dyDescent="0.2">
      <c r="A100" s="11" t="s">
        <v>233</v>
      </c>
      <c r="B100" s="12" t="s">
        <v>54</v>
      </c>
      <c r="C100" s="12" t="s">
        <v>55</v>
      </c>
      <c r="D100" s="12" t="s">
        <v>80</v>
      </c>
      <c r="E100" s="13" t="s">
        <v>81</v>
      </c>
      <c r="F100" s="12" t="s">
        <v>66</v>
      </c>
      <c r="G100" s="14">
        <v>16816.8</v>
      </c>
      <c r="H100" s="12" t="s">
        <v>85</v>
      </c>
      <c r="I100" s="12">
        <v>1</v>
      </c>
      <c r="J100" s="12" t="s">
        <v>66</v>
      </c>
      <c r="K100" s="12" t="s">
        <v>75</v>
      </c>
      <c r="L100" s="12">
        <v>0</v>
      </c>
      <c r="M100" s="15">
        <v>380000</v>
      </c>
      <c r="N100" s="15">
        <v>0</v>
      </c>
      <c r="O100" s="15">
        <f t="shared" si="5"/>
        <v>380000</v>
      </c>
      <c r="P100" s="15">
        <f t="shared" si="6"/>
        <v>22.596451167879739</v>
      </c>
      <c r="Q100" s="14">
        <v>25000</v>
      </c>
      <c r="R100" s="12">
        <v>67</v>
      </c>
      <c r="S100" s="12" t="s">
        <v>234</v>
      </c>
      <c r="T100" s="22">
        <f t="shared" si="7"/>
        <v>10</v>
      </c>
      <c r="U100" s="22">
        <f t="shared" si="8"/>
        <v>2020</v>
      </c>
      <c r="V100" s="22" t="str">
        <f t="shared" si="9"/>
        <v>REGIONES</v>
      </c>
    </row>
    <row r="101" spans="1:22" x14ac:dyDescent="0.2">
      <c r="A101" s="11" t="s">
        <v>233</v>
      </c>
      <c r="B101" s="12" t="s">
        <v>18</v>
      </c>
      <c r="C101" s="12" t="s">
        <v>71</v>
      </c>
      <c r="D101" s="12" t="s">
        <v>63</v>
      </c>
      <c r="E101" s="13" t="s">
        <v>235</v>
      </c>
      <c r="F101" s="12" t="s">
        <v>72</v>
      </c>
      <c r="G101" s="14">
        <v>8706.34</v>
      </c>
      <c r="H101" s="12" t="s">
        <v>65</v>
      </c>
      <c r="I101" s="12">
        <v>0</v>
      </c>
      <c r="J101" s="12" t="s">
        <v>72</v>
      </c>
      <c r="K101" s="12" t="s">
        <v>23</v>
      </c>
      <c r="L101" s="12">
        <v>5</v>
      </c>
      <c r="M101" s="15">
        <v>90000</v>
      </c>
      <c r="N101" s="15">
        <v>0</v>
      </c>
      <c r="O101" s="15">
        <f t="shared" si="5"/>
        <v>90000</v>
      </c>
      <c r="P101" s="15">
        <f t="shared" si="6"/>
        <v>10.337294431414348</v>
      </c>
      <c r="Q101" s="14">
        <v>12000</v>
      </c>
      <c r="R101" s="12">
        <v>73</v>
      </c>
      <c r="S101" s="12" t="s">
        <v>236</v>
      </c>
      <c r="T101" s="22">
        <f t="shared" si="7"/>
        <v>10</v>
      </c>
      <c r="U101" s="22">
        <f t="shared" si="8"/>
        <v>2020</v>
      </c>
      <c r="V101" s="22" t="str">
        <f t="shared" si="9"/>
        <v>METROPOLITANA</v>
      </c>
    </row>
    <row r="102" spans="1:22" x14ac:dyDescent="0.2">
      <c r="A102" s="11" t="s">
        <v>233</v>
      </c>
      <c r="B102" s="12" t="s">
        <v>18</v>
      </c>
      <c r="C102" s="12" t="s">
        <v>19</v>
      </c>
      <c r="D102" s="12" t="s">
        <v>130</v>
      </c>
      <c r="E102" s="13" t="s">
        <v>131</v>
      </c>
      <c r="F102" s="12" t="s">
        <v>114</v>
      </c>
      <c r="G102" s="14">
        <v>13169.67</v>
      </c>
      <c r="H102" s="12" t="s">
        <v>85</v>
      </c>
      <c r="I102" s="12">
        <v>1</v>
      </c>
      <c r="J102" s="12" t="s">
        <v>114</v>
      </c>
      <c r="K102" s="12" t="s">
        <v>75</v>
      </c>
      <c r="L102" s="12">
        <v>0</v>
      </c>
      <c r="M102" s="15">
        <v>380000</v>
      </c>
      <c r="N102" s="15">
        <v>0</v>
      </c>
      <c r="O102" s="15">
        <f t="shared" si="5"/>
        <v>380000</v>
      </c>
      <c r="P102" s="15">
        <f t="shared" si="6"/>
        <v>28.854177819186052</v>
      </c>
      <c r="Q102" s="14">
        <v>25000</v>
      </c>
      <c r="R102" s="12">
        <v>53</v>
      </c>
      <c r="S102" s="12" t="s">
        <v>237</v>
      </c>
      <c r="T102" s="22">
        <f t="shared" si="7"/>
        <v>10</v>
      </c>
      <c r="U102" s="22">
        <f t="shared" si="8"/>
        <v>2020</v>
      </c>
      <c r="V102" s="22" t="str">
        <f t="shared" si="9"/>
        <v>REGIONES</v>
      </c>
    </row>
    <row r="103" spans="1:22" x14ac:dyDescent="0.2">
      <c r="A103" s="11" t="s">
        <v>233</v>
      </c>
      <c r="B103" s="12" t="s">
        <v>18</v>
      </c>
      <c r="C103" s="12" t="s">
        <v>163</v>
      </c>
      <c r="D103" s="12" t="s">
        <v>164</v>
      </c>
      <c r="E103" s="13" t="s">
        <v>28</v>
      </c>
      <c r="F103" s="12" t="s">
        <v>165</v>
      </c>
      <c r="G103" s="14">
        <v>17910.900000000001</v>
      </c>
      <c r="H103" s="12" t="s">
        <v>22</v>
      </c>
      <c r="I103" s="12">
        <v>1</v>
      </c>
      <c r="J103" s="12" t="s">
        <v>165</v>
      </c>
      <c r="K103" s="12" t="s">
        <v>23</v>
      </c>
      <c r="L103" s="12">
        <v>3</v>
      </c>
      <c r="M103" s="15">
        <v>125376</v>
      </c>
      <c r="N103" s="15">
        <f>G103*3</f>
        <v>53732.700000000004</v>
      </c>
      <c r="O103" s="15">
        <f t="shared" si="5"/>
        <v>179108.7</v>
      </c>
      <c r="P103" s="15">
        <f t="shared" si="6"/>
        <v>9.9999832504229271</v>
      </c>
      <c r="Q103" s="14">
        <v>6868</v>
      </c>
      <c r="R103" s="12">
        <v>100</v>
      </c>
      <c r="S103" s="12" t="s">
        <v>238</v>
      </c>
      <c r="T103" s="22">
        <f t="shared" si="7"/>
        <v>10</v>
      </c>
      <c r="U103" s="22">
        <f t="shared" si="8"/>
        <v>2020</v>
      </c>
      <c r="V103" s="22" t="str">
        <f t="shared" si="9"/>
        <v>METROPOLITANA</v>
      </c>
    </row>
    <row r="104" spans="1:22" x14ac:dyDescent="0.2">
      <c r="A104" s="11" t="s">
        <v>233</v>
      </c>
      <c r="B104" s="12" t="s">
        <v>33</v>
      </c>
      <c r="C104" s="12" t="s">
        <v>50</v>
      </c>
      <c r="D104" s="12" t="s">
        <v>41</v>
      </c>
      <c r="E104" s="13" t="s">
        <v>239</v>
      </c>
      <c r="F104" s="12" t="s">
        <v>26</v>
      </c>
      <c r="G104" s="14">
        <v>10025.48</v>
      </c>
      <c r="H104" s="12" t="s">
        <v>43</v>
      </c>
      <c r="I104" s="12">
        <v>0</v>
      </c>
      <c r="J104" s="12" t="s">
        <v>26</v>
      </c>
      <c r="K104" s="12" t="s">
        <v>23</v>
      </c>
      <c r="L104" s="12">
        <v>3</v>
      </c>
      <c r="M104" s="15">
        <f>G104*7</f>
        <v>70178.36</v>
      </c>
      <c r="N104" s="15">
        <f>G104*3</f>
        <v>30076.44</v>
      </c>
      <c r="O104" s="15">
        <f t="shared" si="5"/>
        <v>100254.8</v>
      </c>
      <c r="P104" s="15">
        <f t="shared" si="6"/>
        <v>10</v>
      </c>
      <c r="Q104" s="14">
        <v>6868</v>
      </c>
      <c r="R104" s="12">
        <v>100</v>
      </c>
      <c r="S104" s="12" t="s">
        <v>240</v>
      </c>
      <c r="T104" s="22">
        <f t="shared" si="7"/>
        <v>10</v>
      </c>
      <c r="U104" s="22">
        <f t="shared" si="8"/>
        <v>2020</v>
      </c>
      <c r="V104" s="22" t="str">
        <f t="shared" si="9"/>
        <v>METROPOLITANA</v>
      </c>
    </row>
    <row r="105" spans="1:22" x14ac:dyDescent="0.2">
      <c r="A105" s="11" t="s">
        <v>233</v>
      </c>
      <c r="B105" s="12" t="s">
        <v>33</v>
      </c>
      <c r="C105" s="12" t="s">
        <v>223</v>
      </c>
      <c r="D105" s="12" t="s">
        <v>38</v>
      </c>
      <c r="E105" s="13" t="s">
        <v>42</v>
      </c>
      <c r="F105" s="12" t="s">
        <v>67</v>
      </c>
      <c r="G105" s="14">
        <v>4321.8</v>
      </c>
      <c r="H105" s="12" t="s">
        <v>43</v>
      </c>
      <c r="I105" s="12">
        <v>0</v>
      </c>
      <c r="J105" s="12" t="s">
        <v>67</v>
      </c>
      <c r="K105" s="12" t="s">
        <v>23</v>
      </c>
      <c r="L105" s="12">
        <v>1</v>
      </c>
      <c r="M105" s="15">
        <v>33750</v>
      </c>
      <c r="N105" s="15">
        <f>G105*3</f>
        <v>12965.400000000001</v>
      </c>
      <c r="O105" s="15">
        <f t="shared" si="5"/>
        <v>46715.4</v>
      </c>
      <c r="P105" s="15">
        <f t="shared" si="6"/>
        <v>10.809246147438568</v>
      </c>
      <c r="Q105" s="14">
        <v>4821</v>
      </c>
      <c r="R105" s="12">
        <v>90</v>
      </c>
      <c r="S105" s="12" t="s">
        <v>241</v>
      </c>
      <c r="T105" s="22">
        <f t="shared" si="7"/>
        <v>10</v>
      </c>
      <c r="U105" s="22">
        <f t="shared" si="8"/>
        <v>2020</v>
      </c>
      <c r="V105" s="22" t="str">
        <f t="shared" si="9"/>
        <v>METROPOLITANA</v>
      </c>
    </row>
    <row r="106" spans="1:22" x14ac:dyDescent="0.2">
      <c r="A106" s="11" t="s">
        <v>233</v>
      </c>
      <c r="B106" s="12" t="s">
        <v>33</v>
      </c>
      <c r="C106" s="12" t="s">
        <v>223</v>
      </c>
      <c r="D106" s="12" t="s">
        <v>125</v>
      </c>
      <c r="E106" s="13" t="s">
        <v>126</v>
      </c>
      <c r="F106" s="12" t="s">
        <v>39</v>
      </c>
      <c r="G106" s="14">
        <v>19510.400000000001</v>
      </c>
      <c r="H106" s="12" t="s">
        <v>174</v>
      </c>
      <c r="I106" s="12">
        <v>0</v>
      </c>
      <c r="J106" s="12" t="s">
        <v>39</v>
      </c>
      <c r="K106" s="12" t="s">
        <v>23</v>
      </c>
      <c r="L106" s="12">
        <v>1</v>
      </c>
      <c r="M106" s="15">
        <v>136573</v>
      </c>
      <c r="N106" s="15">
        <f>G106*3</f>
        <v>58531.200000000004</v>
      </c>
      <c r="O106" s="15">
        <f t="shared" si="5"/>
        <v>195104.2</v>
      </c>
      <c r="P106" s="15">
        <f t="shared" si="6"/>
        <v>10.000010250943086</v>
      </c>
      <c r="Q106" s="14">
        <v>4821</v>
      </c>
      <c r="R106" s="12">
        <v>100</v>
      </c>
      <c r="S106" s="12" t="s">
        <v>242</v>
      </c>
      <c r="T106" s="22">
        <f t="shared" si="7"/>
        <v>10</v>
      </c>
      <c r="U106" s="22">
        <f t="shared" si="8"/>
        <v>2020</v>
      </c>
      <c r="V106" s="22" t="str">
        <f t="shared" si="9"/>
        <v>METROPOLITANA</v>
      </c>
    </row>
    <row r="107" spans="1:22" x14ac:dyDescent="0.2">
      <c r="A107" s="11" t="s">
        <v>233</v>
      </c>
      <c r="B107" s="12" t="s">
        <v>33</v>
      </c>
      <c r="C107" s="12" t="s">
        <v>29</v>
      </c>
      <c r="D107" s="12" t="s">
        <v>37</v>
      </c>
      <c r="E107" s="13" t="s">
        <v>40</v>
      </c>
      <c r="F107" s="12" t="s">
        <v>134</v>
      </c>
      <c r="G107" s="14">
        <v>6397.5000000000009</v>
      </c>
      <c r="H107" s="12" t="s">
        <v>22</v>
      </c>
      <c r="I107" s="12">
        <v>0</v>
      </c>
      <c r="J107" s="12" t="s">
        <v>134</v>
      </c>
      <c r="K107" s="12" t="s">
        <v>23</v>
      </c>
      <c r="L107" s="12">
        <v>2</v>
      </c>
      <c r="M107" s="15">
        <v>44783</v>
      </c>
      <c r="N107" s="15">
        <v>25590</v>
      </c>
      <c r="O107" s="15">
        <f t="shared" si="5"/>
        <v>70373</v>
      </c>
      <c r="P107" s="15">
        <f t="shared" si="6"/>
        <v>11.000078155529502</v>
      </c>
      <c r="Q107" s="14">
        <v>5782</v>
      </c>
      <c r="R107" s="12">
        <v>100</v>
      </c>
      <c r="S107" s="12" t="s">
        <v>243</v>
      </c>
      <c r="T107" s="22">
        <f t="shared" si="7"/>
        <v>10</v>
      </c>
      <c r="U107" s="22">
        <f t="shared" si="8"/>
        <v>2020</v>
      </c>
      <c r="V107" s="22" t="str">
        <f t="shared" si="9"/>
        <v>METROPOLITANA</v>
      </c>
    </row>
    <row r="108" spans="1:22" x14ac:dyDescent="0.2">
      <c r="A108" s="11" t="s">
        <v>233</v>
      </c>
      <c r="B108" s="12" t="s">
        <v>33</v>
      </c>
      <c r="C108" s="12" t="s">
        <v>44</v>
      </c>
      <c r="D108" s="12" t="s">
        <v>56</v>
      </c>
      <c r="E108" s="13" t="s">
        <v>49</v>
      </c>
      <c r="F108" s="12" t="s">
        <v>95</v>
      </c>
      <c r="G108" s="14">
        <v>5139.2</v>
      </c>
      <c r="H108" s="12" t="s">
        <v>22</v>
      </c>
      <c r="I108" s="12">
        <v>0</v>
      </c>
      <c r="J108" s="12" t="s">
        <v>95</v>
      </c>
      <c r="K108" s="12" t="s">
        <v>23</v>
      </c>
      <c r="L108" s="12">
        <v>1</v>
      </c>
      <c r="M108" s="15">
        <v>35974</v>
      </c>
      <c r="N108" s="15">
        <v>20557</v>
      </c>
      <c r="O108" s="15">
        <f t="shared" si="5"/>
        <v>56531</v>
      </c>
      <c r="P108" s="15">
        <f t="shared" si="6"/>
        <v>10.99996108343711</v>
      </c>
      <c r="Q108" s="14">
        <v>4821</v>
      </c>
      <c r="R108" s="12">
        <v>100</v>
      </c>
      <c r="S108" s="12" t="s">
        <v>244</v>
      </c>
      <c r="T108" s="22">
        <f t="shared" si="7"/>
        <v>10</v>
      </c>
      <c r="U108" s="22">
        <f t="shared" si="8"/>
        <v>2020</v>
      </c>
      <c r="V108" s="22" t="str">
        <f t="shared" si="9"/>
        <v>METROPOLITANA</v>
      </c>
    </row>
    <row r="109" spans="1:22" x14ac:dyDescent="0.2">
      <c r="A109" s="11" t="s">
        <v>233</v>
      </c>
      <c r="B109" s="12" t="s">
        <v>33</v>
      </c>
      <c r="C109" s="12" t="s">
        <v>44</v>
      </c>
      <c r="D109" s="12" t="s">
        <v>37</v>
      </c>
      <c r="E109" s="13" t="s">
        <v>40</v>
      </c>
      <c r="F109" s="12" t="s">
        <v>46</v>
      </c>
      <c r="G109" s="14">
        <v>1875.4</v>
      </c>
      <c r="H109" s="12" t="s">
        <v>22</v>
      </c>
      <c r="I109" s="12">
        <v>0</v>
      </c>
      <c r="J109" s="12" t="s">
        <v>46</v>
      </c>
      <c r="K109" s="12" t="s">
        <v>23</v>
      </c>
      <c r="L109" s="12">
        <v>2</v>
      </c>
      <c r="M109" s="15">
        <v>40475</v>
      </c>
      <c r="N109" s="15">
        <v>7502</v>
      </c>
      <c r="O109" s="15">
        <f t="shared" si="5"/>
        <v>47977</v>
      </c>
      <c r="P109" s="15">
        <f t="shared" si="6"/>
        <v>25.582275781166683</v>
      </c>
      <c r="Q109" s="14">
        <v>5782</v>
      </c>
      <c r="R109" s="12">
        <v>32</v>
      </c>
      <c r="S109" s="12" t="s">
        <v>245</v>
      </c>
      <c r="T109" s="22">
        <f t="shared" si="7"/>
        <v>10</v>
      </c>
      <c r="U109" s="22">
        <f t="shared" si="8"/>
        <v>2020</v>
      </c>
      <c r="V109" s="22" t="str">
        <f t="shared" si="9"/>
        <v>METROPOLITANA</v>
      </c>
    </row>
    <row r="110" spans="1:22" x14ac:dyDescent="0.2">
      <c r="A110" s="11" t="s">
        <v>233</v>
      </c>
      <c r="B110" s="12" t="s">
        <v>33</v>
      </c>
      <c r="C110" s="12" t="s">
        <v>44</v>
      </c>
      <c r="D110" s="12" t="s">
        <v>45</v>
      </c>
      <c r="E110" s="13" t="s">
        <v>52</v>
      </c>
      <c r="F110" s="12" t="s">
        <v>53</v>
      </c>
      <c r="G110" s="14">
        <v>2148.4</v>
      </c>
      <c r="H110" s="12" t="s">
        <v>22</v>
      </c>
      <c r="I110" s="12">
        <v>0</v>
      </c>
      <c r="J110" s="12" t="s">
        <v>53</v>
      </c>
      <c r="K110" s="12" t="s">
        <v>23</v>
      </c>
      <c r="L110" s="12">
        <v>3</v>
      </c>
      <c r="M110" s="15">
        <v>48075</v>
      </c>
      <c r="N110" s="15">
        <v>8594</v>
      </c>
      <c r="O110" s="15">
        <f t="shared" si="5"/>
        <v>56669</v>
      </c>
      <c r="P110" s="15">
        <f t="shared" si="6"/>
        <v>26.377304040215975</v>
      </c>
      <c r="Q110" s="14">
        <v>6868</v>
      </c>
      <c r="R110" s="12">
        <v>31</v>
      </c>
      <c r="S110" s="12" t="s">
        <v>246</v>
      </c>
      <c r="T110" s="22">
        <f t="shared" si="7"/>
        <v>10</v>
      </c>
      <c r="U110" s="22">
        <f t="shared" si="8"/>
        <v>2020</v>
      </c>
      <c r="V110" s="22" t="str">
        <f t="shared" si="9"/>
        <v>METROPOLITANA</v>
      </c>
    </row>
    <row r="111" spans="1:22" x14ac:dyDescent="0.2">
      <c r="A111" s="11" t="s">
        <v>233</v>
      </c>
      <c r="B111" s="12" t="s">
        <v>33</v>
      </c>
      <c r="C111" s="12" t="s">
        <v>44</v>
      </c>
      <c r="D111" s="12" t="s">
        <v>47</v>
      </c>
      <c r="E111" s="13" t="s">
        <v>21</v>
      </c>
      <c r="F111" s="12" t="s">
        <v>94</v>
      </c>
      <c r="G111" s="14">
        <v>4359.0000000000009</v>
      </c>
      <c r="H111" s="12" t="s">
        <v>22</v>
      </c>
      <c r="I111" s="12">
        <v>0</v>
      </c>
      <c r="J111" s="12" t="s">
        <v>59</v>
      </c>
      <c r="K111" s="12" t="s">
        <v>78</v>
      </c>
      <c r="L111" s="12">
        <v>0</v>
      </c>
      <c r="M111" s="15">
        <v>180000</v>
      </c>
      <c r="N111" s="15">
        <v>0</v>
      </c>
      <c r="O111" s="15">
        <f t="shared" si="5"/>
        <v>180000</v>
      </c>
      <c r="P111" s="15">
        <f t="shared" si="6"/>
        <v>41.293874741913271</v>
      </c>
      <c r="Q111" s="14">
        <v>25000</v>
      </c>
      <c r="R111" s="12">
        <v>17</v>
      </c>
      <c r="S111" s="12" t="s">
        <v>247</v>
      </c>
      <c r="T111" s="22">
        <f t="shared" si="7"/>
        <v>10</v>
      </c>
      <c r="U111" s="22">
        <f t="shared" si="8"/>
        <v>2020</v>
      </c>
      <c r="V111" s="22" t="str">
        <f t="shared" si="9"/>
        <v>REGIONES</v>
      </c>
    </row>
    <row r="112" spans="1:22" x14ac:dyDescent="0.2">
      <c r="A112" s="11" t="s">
        <v>233</v>
      </c>
      <c r="B112" s="12" t="s">
        <v>33</v>
      </c>
      <c r="C112" s="12" t="s">
        <v>44</v>
      </c>
      <c r="D112" s="12" t="s">
        <v>35</v>
      </c>
      <c r="E112" s="13" t="s">
        <v>21</v>
      </c>
      <c r="F112" s="12" t="s">
        <v>48</v>
      </c>
      <c r="G112" s="14">
        <v>2868.2000000000012</v>
      </c>
      <c r="H112" s="12" t="s">
        <v>22</v>
      </c>
      <c r="I112" s="12">
        <v>0</v>
      </c>
      <c r="J112" s="12" t="s">
        <v>48</v>
      </c>
      <c r="K112" s="12" t="s">
        <v>23</v>
      </c>
      <c r="L112" s="12">
        <v>1</v>
      </c>
      <c r="M112" s="15">
        <v>33750</v>
      </c>
      <c r="N112" s="15">
        <v>11473</v>
      </c>
      <c r="O112" s="15">
        <f t="shared" si="5"/>
        <v>45223</v>
      </c>
      <c r="P112" s="15">
        <f t="shared" si="6"/>
        <v>15.76703158775538</v>
      </c>
      <c r="Q112" s="14">
        <v>4821</v>
      </c>
      <c r="R112" s="12">
        <v>59</v>
      </c>
      <c r="S112" s="12" t="s">
        <v>248</v>
      </c>
      <c r="T112" s="22">
        <f t="shared" si="7"/>
        <v>10</v>
      </c>
      <c r="U112" s="22">
        <f t="shared" si="8"/>
        <v>2020</v>
      </c>
      <c r="V112" s="22" t="str">
        <f t="shared" si="9"/>
        <v>METROPOLITANA</v>
      </c>
    </row>
    <row r="113" spans="1:22" x14ac:dyDescent="0.2">
      <c r="A113" s="23" t="s">
        <v>249</v>
      </c>
      <c r="B113" s="22" t="s">
        <v>18</v>
      </c>
      <c r="C113" s="22" t="s">
        <v>57</v>
      </c>
      <c r="D113" s="22" t="s">
        <v>250</v>
      </c>
      <c r="E113" s="24" t="s">
        <v>25</v>
      </c>
      <c r="F113" s="22" t="s">
        <v>251</v>
      </c>
      <c r="G113" s="25">
        <v>11853.37</v>
      </c>
      <c r="H113" s="22" t="s">
        <v>24</v>
      </c>
      <c r="I113" s="22">
        <v>1</v>
      </c>
      <c r="J113" s="22" t="s">
        <v>251</v>
      </c>
      <c r="K113" s="22" t="s">
        <v>78</v>
      </c>
      <c r="L113" s="22">
        <v>0</v>
      </c>
      <c r="M113" s="26">
        <v>230000</v>
      </c>
      <c r="N113" s="26">
        <v>0</v>
      </c>
      <c r="O113" s="27">
        <f t="shared" si="5"/>
        <v>230000</v>
      </c>
      <c r="P113" s="27">
        <f t="shared" si="6"/>
        <v>19.403764499041198</v>
      </c>
      <c r="Q113" s="25">
        <v>25000</v>
      </c>
      <c r="R113" s="22">
        <v>47</v>
      </c>
      <c r="S113" s="22" t="s">
        <v>252</v>
      </c>
      <c r="T113" s="22">
        <f t="shared" si="7"/>
        <v>10</v>
      </c>
      <c r="U113" s="22">
        <f t="shared" si="8"/>
        <v>2020</v>
      </c>
      <c r="V113" s="22" t="str">
        <f t="shared" si="9"/>
        <v>REGIONES</v>
      </c>
    </row>
    <row r="114" spans="1:22" x14ac:dyDescent="0.2">
      <c r="A114" s="23" t="s">
        <v>249</v>
      </c>
      <c r="B114" s="22" t="s">
        <v>18</v>
      </c>
      <c r="C114" s="22" t="s">
        <v>19</v>
      </c>
      <c r="D114" s="22" t="s">
        <v>164</v>
      </c>
      <c r="E114" s="24" t="s">
        <v>28</v>
      </c>
      <c r="F114" s="22" t="s">
        <v>67</v>
      </c>
      <c r="G114" s="25">
        <v>19332.270000000011</v>
      </c>
      <c r="H114" s="22" t="s">
        <v>22</v>
      </c>
      <c r="I114" s="22">
        <v>1</v>
      </c>
      <c r="J114" s="22" t="s">
        <v>67</v>
      </c>
      <c r="K114" s="22" t="s">
        <v>23</v>
      </c>
      <c r="L114" s="22">
        <v>1</v>
      </c>
      <c r="M114" s="26">
        <v>135326</v>
      </c>
      <c r="N114" s="26">
        <v>0</v>
      </c>
      <c r="O114" s="27">
        <f t="shared" si="5"/>
        <v>135326</v>
      </c>
      <c r="P114" s="27">
        <f t="shared" si="6"/>
        <v>7.0000056899681162</v>
      </c>
      <c r="Q114" s="25">
        <v>4821</v>
      </c>
      <c r="R114" s="22">
        <v>100</v>
      </c>
      <c r="S114" s="22" t="s">
        <v>253</v>
      </c>
      <c r="T114" s="22">
        <f t="shared" si="7"/>
        <v>10</v>
      </c>
      <c r="U114" s="22">
        <f t="shared" si="8"/>
        <v>2020</v>
      </c>
      <c r="V114" s="22" t="str">
        <f t="shared" si="9"/>
        <v>METROPOLITANA</v>
      </c>
    </row>
    <row r="115" spans="1:22" x14ac:dyDescent="0.2">
      <c r="A115" s="23" t="s">
        <v>249</v>
      </c>
      <c r="B115" s="22" t="s">
        <v>33</v>
      </c>
      <c r="C115" s="22" t="s">
        <v>60</v>
      </c>
      <c r="D115" s="22" t="s">
        <v>90</v>
      </c>
      <c r="E115" s="24" t="s">
        <v>254</v>
      </c>
      <c r="F115" s="22" t="s">
        <v>123</v>
      </c>
      <c r="G115" s="25">
        <v>12799.199999999999</v>
      </c>
      <c r="H115" s="22" t="s">
        <v>24</v>
      </c>
      <c r="I115" s="22">
        <v>1</v>
      </c>
      <c r="J115" s="22" t="s">
        <v>123</v>
      </c>
      <c r="K115" s="22" t="s">
        <v>124</v>
      </c>
      <c r="L115" s="22">
        <v>0</v>
      </c>
      <c r="M115" s="26">
        <v>350000</v>
      </c>
      <c r="N115" s="26">
        <v>0</v>
      </c>
      <c r="O115" s="27">
        <f t="shared" si="5"/>
        <v>350000</v>
      </c>
      <c r="P115" s="27">
        <f t="shared" si="6"/>
        <v>27.345459091193202</v>
      </c>
      <c r="Q115" s="25">
        <v>25000</v>
      </c>
      <c r="R115" s="22">
        <v>45</v>
      </c>
      <c r="S115" s="22" t="s">
        <v>255</v>
      </c>
      <c r="T115" s="22">
        <f t="shared" si="7"/>
        <v>10</v>
      </c>
      <c r="U115" s="22">
        <f t="shared" si="8"/>
        <v>2020</v>
      </c>
      <c r="V115" s="22" t="str">
        <f t="shared" si="9"/>
        <v>REGIONES</v>
      </c>
    </row>
    <row r="116" spans="1:22" x14ac:dyDescent="0.2">
      <c r="A116" s="23" t="s">
        <v>249</v>
      </c>
      <c r="B116" s="22" t="s">
        <v>33</v>
      </c>
      <c r="C116" s="22" t="s">
        <v>128</v>
      </c>
      <c r="D116" s="22" t="s">
        <v>30</v>
      </c>
      <c r="E116" s="24" t="s">
        <v>31</v>
      </c>
      <c r="F116" s="22" t="s">
        <v>34</v>
      </c>
      <c r="G116" s="25">
        <v>4635.7</v>
      </c>
      <c r="H116" s="22" t="s">
        <v>32</v>
      </c>
      <c r="I116" s="22">
        <v>0</v>
      </c>
      <c r="J116" s="22" t="s">
        <v>34</v>
      </c>
      <c r="K116" s="22" t="s">
        <v>23</v>
      </c>
      <c r="L116" s="22">
        <v>1</v>
      </c>
      <c r="M116" s="26">
        <v>33750</v>
      </c>
      <c r="N116" s="26">
        <v>13907</v>
      </c>
      <c r="O116" s="27">
        <f t="shared" si="5"/>
        <v>47657</v>
      </c>
      <c r="P116" s="27">
        <f t="shared" si="6"/>
        <v>10.280432297171949</v>
      </c>
      <c r="Q116" s="25">
        <v>4821</v>
      </c>
      <c r="R116" s="22">
        <v>96</v>
      </c>
      <c r="S116" s="22" t="s">
        <v>256</v>
      </c>
      <c r="T116" s="22">
        <f t="shared" si="7"/>
        <v>10</v>
      </c>
      <c r="U116" s="22">
        <f t="shared" si="8"/>
        <v>2020</v>
      </c>
      <c r="V116" s="22" t="str">
        <f t="shared" si="9"/>
        <v>METROPOLITANA</v>
      </c>
    </row>
    <row r="117" spans="1:22" x14ac:dyDescent="0.2">
      <c r="A117" s="23" t="s">
        <v>249</v>
      </c>
      <c r="B117" s="22" t="s">
        <v>33</v>
      </c>
      <c r="C117" s="22" t="s">
        <v>128</v>
      </c>
      <c r="D117" s="22" t="s">
        <v>30</v>
      </c>
      <c r="E117" s="24" t="s">
        <v>31</v>
      </c>
      <c r="F117" s="22" t="s">
        <v>129</v>
      </c>
      <c r="G117" s="25">
        <v>7066.2000000000025</v>
      </c>
      <c r="H117" s="22" t="s">
        <v>32</v>
      </c>
      <c r="I117" s="22">
        <v>0</v>
      </c>
      <c r="J117" s="22" t="s">
        <v>129</v>
      </c>
      <c r="K117" s="22" t="s">
        <v>23</v>
      </c>
      <c r="L117" s="22">
        <v>1</v>
      </c>
      <c r="M117" s="26">
        <v>49463</v>
      </c>
      <c r="N117" s="26">
        <v>21199</v>
      </c>
      <c r="O117" s="27">
        <f t="shared" si="5"/>
        <v>70662</v>
      </c>
      <c r="P117" s="27">
        <f t="shared" si="6"/>
        <v>9.9999999999999964</v>
      </c>
      <c r="Q117" s="25">
        <v>4821</v>
      </c>
      <c r="R117" s="22">
        <v>100</v>
      </c>
      <c r="S117" s="22" t="s">
        <v>257</v>
      </c>
      <c r="T117" s="22">
        <f t="shared" si="7"/>
        <v>10</v>
      </c>
      <c r="U117" s="22">
        <f t="shared" si="8"/>
        <v>2020</v>
      </c>
      <c r="V117" s="22" t="str">
        <f t="shared" si="9"/>
        <v>METROPOLITANA</v>
      </c>
    </row>
    <row r="118" spans="1:22" x14ac:dyDescent="0.2">
      <c r="A118" s="23" t="s">
        <v>249</v>
      </c>
      <c r="B118" s="22" t="s">
        <v>33</v>
      </c>
      <c r="C118" s="22" t="s">
        <v>128</v>
      </c>
      <c r="D118" s="22" t="s">
        <v>20</v>
      </c>
      <c r="E118" s="24" t="s">
        <v>21</v>
      </c>
      <c r="F118" s="22" t="s">
        <v>129</v>
      </c>
      <c r="G118" s="25">
        <v>7756.7999999999975</v>
      </c>
      <c r="H118" s="22" t="s">
        <v>22</v>
      </c>
      <c r="I118" s="22">
        <v>0</v>
      </c>
      <c r="J118" s="22" t="s">
        <v>129</v>
      </c>
      <c r="K118" s="22" t="s">
        <v>23</v>
      </c>
      <c r="L118" s="22">
        <v>1</v>
      </c>
      <c r="M118" s="26">
        <v>54298</v>
      </c>
      <c r="N118" s="26">
        <v>31027</v>
      </c>
      <c r="O118" s="27">
        <f t="shared" si="5"/>
        <v>85325</v>
      </c>
      <c r="P118" s="27">
        <f t="shared" si="6"/>
        <v>11.000025783828386</v>
      </c>
      <c r="Q118" s="25">
        <v>4821</v>
      </c>
      <c r="R118" s="22">
        <v>100</v>
      </c>
      <c r="S118" s="22" t="s">
        <v>258</v>
      </c>
      <c r="T118" s="22">
        <f t="shared" si="7"/>
        <v>10</v>
      </c>
      <c r="U118" s="22">
        <f t="shared" si="8"/>
        <v>2020</v>
      </c>
      <c r="V118" s="22" t="str">
        <f t="shared" si="9"/>
        <v>METROPOLITANA</v>
      </c>
    </row>
    <row r="119" spans="1:22" x14ac:dyDescent="0.2">
      <c r="A119" s="23" t="s">
        <v>249</v>
      </c>
      <c r="B119" s="22" t="s">
        <v>33</v>
      </c>
      <c r="C119" s="22" t="s">
        <v>36</v>
      </c>
      <c r="D119" s="22" t="s">
        <v>56</v>
      </c>
      <c r="E119" s="24" t="s">
        <v>88</v>
      </c>
      <c r="F119" s="22" t="s">
        <v>34</v>
      </c>
      <c r="G119" s="25">
        <v>3133.8</v>
      </c>
      <c r="H119" s="22" t="s">
        <v>22</v>
      </c>
      <c r="I119" s="22">
        <v>0</v>
      </c>
      <c r="J119" s="22" t="s">
        <v>34</v>
      </c>
      <c r="K119" s="22" t="s">
        <v>23</v>
      </c>
      <c r="L119" s="22">
        <v>1</v>
      </c>
      <c r="M119" s="26">
        <v>33750</v>
      </c>
      <c r="N119" s="26">
        <v>0</v>
      </c>
      <c r="O119" s="27">
        <f t="shared" si="5"/>
        <v>33750</v>
      </c>
      <c r="P119" s="27">
        <f t="shared" si="6"/>
        <v>10.7696726019529</v>
      </c>
      <c r="Q119" s="25">
        <v>4821</v>
      </c>
      <c r="R119" s="22">
        <v>65</v>
      </c>
      <c r="S119" s="22" t="s">
        <v>259</v>
      </c>
      <c r="T119" s="22">
        <f t="shared" si="7"/>
        <v>10</v>
      </c>
      <c r="U119" s="22">
        <f t="shared" si="8"/>
        <v>2020</v>
      </c>
      <c r="V119" s="22" t="str">
        <f t="shared" si="9"/>
        <v>METROPOLITANA</v>
      </c>
    </row>
    <row r="120" spans="1:22" x14ac:dyDescent="0.2">
      <c r="A120" s="23" t="s">
        <v>249</v>
      </c>
      <c r="B120" s="22" t="s">
        <v>33</v>
      </c>
      <c r="C120" s="22" t="s">
        <v>36</v>
      </c>
      <c r="D120" s="22" t="s">
        <v>47</v>
      </c>
      <c r="E120" s="24" t="s">
        <v>52</v>
      </c>
      <c r="F120" s="22" t="s">
        <v>51</v>
      </c>
      <c r="G120" s="25">
        <v>2723</v>
      </c>
      <c r="H120" s="22" t="s">
        <v>22</v>
      </c>
      <c r="I120" s="22">
        <v>0</v>
      </c>
      <c r="J120" s="22" t="s">
        <v>51</v>
      </c>
      <c r="K120" s="22" t="s">
        <v>23</v>
      </c>
      <c r="L120" s="22">
        <v>4</v>
      </c>
      <c r="M120" s="26">
        <v>56075</v>
      </c>
      <c r="N120" s="26">
        <v>0</v>
      </c>
      <c r="O120" s="27">
        <f t="shared" si="5"/>
        <v>56075</v>
      </c>
      <c r="P120" s="27">
        <f t="shared" si="6"/>
        <v>20.593095850165259</v>
      </c>
      <c r="Q120" s="25">
        <v>8011</v>
      </c>
      <c r="R120" s="22">
        <v>34</v>
      </c>
      <c r="S120" s="22" t="s">
        <v>260</v>
      </c>
      <c r="T120" s="22">
        <f t="shared" si="7"/>
        <v>10</v>
      </c>
      <c r="U120" s="22">
        <f t="shared" si="8"/>
        <v>2020</v>
      </c>
      <c r="V120" s="22" t="str">
        <f t="shared" si="9"/>
        <v>METROPOLITANA</v>
      </c>
    </row>
    <row r="121" spans="1:22" x14ac:dyDescent="0.2">
      <c r="A121" s="23" t="s">
        <v>249</v>
      </c>
      <c r="B121" s="22" t="s">
        <v>33</v>
      </c>
      <c r="C121" s="22" t="s">
        <v>36</v>
      </c>
      <c r="D121" s="22" t="s">
        <v>35</v>
      </c>
      <c r="E121" s="24" t="s">
        <v>49</v>
      </c>
      <c r="F121" s="22" t="s">
        <v>53</v>
      </c>
      <c r="G121" s="25">
        <v>1932.4</v>
      </c>
      <c r="H121" s="22" t="s">
        <v>22</v>
      </c>
      <c r="I121" s="22">
        <v>0</v>
      </c>
      <c r="J121" s="22" t="s">
        <v>53</v>
      </c>
      <c r="K121" s="22" t="s">
        <v>23</v>
      </c>
      <c r="L121" s="22">
        <v>3</v>
      </c>
      <c r="M121" s="26">
        <v>48075</v>
      </c>
      <c r="N121" s="26">
        <v>0</v>
      </c>
      <c r="O121" s="27">
        <f t="shared" si="5"/>
        <v>48075</v>
      </c>
      <c r="P121" s="27">
        <f t="shared" si="6"/>
        <v>24.878389567377354</v>
      </c>
      <c r="Q121" s="25">
        <v>6868</v>
      </c>
      <c r="R121" s="22">
        <v>28</v>
      </c>
      <c r="S121" s="22" t="s">
        <v>261</v>
      </c>
      <c r="T121" s="22">
        <f t="shared" si="7"/>
        <v>10</v>
      </c>
      <c r="U121" s="22">
        <f t="shared" si="8"/>
        <v>2020</v>
      </c>
      <c r="V121" s="22" t="str">
        <f t="shared" si="9"/>
        <v>METROPOLITANA</v>
      </c>
    </row>
    <row r="122" spans="1:22" x14ac:dyDescent="0.2">
      <c r="A122" s="23" t="s">
        <v>249</v>
      </c>
      <c r="B122" s="22" t="s">
        <v>33</v>
      </c>
      <c r="C122" s="22" t="s">
        <v>29</v>
      </c>
      <c r="D122" s="22" t="s">
        <v>63</v>
      </c>
      <c r="E122" s="24" t="s">
        <v>64</v>
      </c>
      <c r="F122" s="22" t="s">
        <v>173</v>
      </c>
      <c r="G122" s="25">
        <v>7119.4100000000017</v>
      </c>
      <c r="H122" s="22" t="s">
        <v>65</v>
      </c>
      <c r="I122" s="22">
        <v>0</v>
      </c>
      <c r="J122" s="22" t="s">
        <v>173</v>
      </c>
      <c r="K122" s="22" t="s">
        <v>23</v>
      </c>
      <c r="L122" s="22">
        <v>5</v>
      </c>
      <c r="M122" s="26">
        <v>90000</v>
      </c>
      <c r="N122" s="26">
        <v>21358</v>
      </c>
      <c r="O122" s="27">
        <f t="shared" si="5"/>
        <v>111358</v>
      </c>
      <c r="P122" s="27">
        <f t="shared" si="6"/>
        <v>15.641464671932081</v>
      </c>
      <c r="Q122" s="25">
        <v>12000</v>
      </c>
      <c r="R122" s="22">
        <v>59</v>
      </c>
      <c r="S122" s="22" t="s">
        <v>262</v>
      </c>
      <c r="T122" s="22">
        <f t="shared" si="7"/>
        <v>10</v>
      </c>
      <c r="U122" s="22">
        <f t="shared" si="8"/>
        <v>2020</v>
      </c>
      <c r="V122" s="22" t="str">
        <f t="shared" si="9"/>
        <v>METROPOLITANA</v>
      </c>
    </row>
    <row r="123" spans="1:22" x14ac:dyDescent="0.2">
      <c r="A123" s="23" t="s">
        <v>249</v>
      </c>
      <c r="B123" s="22" t="s">
        <v>33</v>
      </c>
      <c r="C123" s="22" t="s">
        <v>44</v>
      </c>
      <c r="D123" s="22" t="s">
        <v>37</v>
      </c>
      <c r="E123" s="24" t="s">
        <v>40</v>
      </c>
      <c r="F123" s="22" t="s">
        <v>48</v>
      </c>
      <c r="G123" s="25">
        <v>2018.31</v>
      </c>
      <c r="H123" s="22" t="s">
        <v>22</v>
      </c>
      <c r="I123" s="22">
        <v>0</v>
      </c>
      <c r="J123" s="22" t="s">
        <v>48</v>
      </c>
      <c r="K123" s="22" t="s">
        <v>23</v>
      </c>
      <c r="L123" s="22">
        <v>1</v>
      </c>
      <c r="M123" s="26">
        <v>33750</v>
      </c>
      <c r="N123" s="26">
        <v>8073</v>
      </c>
      <c r="O123" s="27">
        <f t="shared" si="5"/>
        <v>41823</v>
      </c>
      <c r="P123" s="27">
        <f t="shared" si="6"/>
        <v>20.721791994292253</v>
      </c>
      <c r="Q123" s="25">
        <v>4821</v>
      </c>
      <c r="R123" s="22">
        <v>42</v>
      </c>
      <c r="S123" s="22" t="s">
        <v>263</v>
      </c>
      <c r="T123" s="22">
        <f t="shared" si="7"/>
        <v>10</v>
      </c>
      <c r="U123" s="22">
        <f t="shared" si="8"/>
        <v>2020</v>
      </c>
      <c r="V123" s="22" t="str">
        <f t="shared" si="9"/>
        <v>METROPOLITANA</v>
      </c>
    </row>
    <row r="124" spans="1:22" x14ac:dyDescent="0.2">
      <c r="A124" s="23" t="s">
        <v>249</v>
      </c>
      <c r="B124" s="22" t="s">
        <v>33</v>
      </c>
      <c r="C124" s="22" t="s">
        <v>44</v>
      </c>
      <c r="D124" s="22" t="s">
        <v>45</v>
      </c>
      <c r="E124" s="24" t="s">
        <v>21</v>
      </c>
      <c r="F124" s="22" t="s">
        <v>67</v>
      </c>
      <c r="G124" s="25">
        <v>1889.21</v>
      </c>
      <c r="H124" s="22" t="s">
        <v>22</v>
      </c>
      <c r="I124" s="22">
        <v>0</v>
      </c>
      <c r="J124" s="22" t="s">
        <v>67</v>
      </c>
      <c r="K124" s="22" t="s">
        <v>23</v>
      </c>
      <c r="L124" s="22">
        <v>1</v>
      </c>
      <c r="M124" s="26">
        <v>33750</v>
      </c>
      <c r="N124" s="26">
        <v>7557</v>
      </c>
      <c r="O124" s="27">
        <f t="shared" si="5"/>
        <v>41307</v>
      </c>
      <c r="P124" s="27">
        <f t="shared" si="6"/>
        <v>21.864694766595562</v>
      </c>
      <c r="Q124" s="25">
        <v>4821</v>
      </c>
      <c r="R124" s="22">
        <v>39</v>
      </c>
      <c r="S124" s="22" t="s">
        <v>264</v>
      </c>
      <c r="T124" s="22">
        <f t="shared" si="7"/>
        <v>10</v>
      </c>
      <c r="U124" s="22">
        <f t="shared" si="8"/>
        <v>2020</v>
      </c>
      <c r="V124" s="22" t="str">
        <f t="shared" si="9"/>
        <v>METROPOLITANA</v>
      </c>
    </row>
    <row r="125" spans="1:22" x14ac:dyDescent="0.2">
      <c r="A125" s="23" t="s">
        <v>249</v>
      </c>
      <c r="B125" s="22" t="s">
        <v>33</v>
      </c>
      <c r="C125" s="22" t="s">
        <v>44</v>
      </c>
      <c r="D125" s="22" t="s">
        <v>20</v>
      </c>
      <c r="E125" s="24" t="s">
        <v>21</v>
      </c>
      <c r="F125" s="22" t="s">
        <v>95</v>
      </c>
      <c r="G125" s="25">
        <v>1947.82</v>
      </c>
      <c r="H125" s="22" t="s">
        <v>22</v>
      </c>
      <c r="I125" s="22">
        <v>0</v>
      </c>
      <c r="J125" s="22" t="s">
        <v>95</v>
      </c>
      <c r="K125" s="22" t="s">
        <v>23</v>
      </c>
      <c r="L125" s="22">
        <v>1</v>
      </c>
      <c r="M125" s="26">
        <v>33750</v>
      </c>
      <c r="N125" s="26">
        <v>7791</v>
      </c>
      <c r="O125" s="27">
        <f t="shared" si="5"/>
        <v>41541</v>
      </c>
      <c r="P125" s="27">
        <f t="shared" si="6"/>
        <v>21.326919325194321</v>
      </c>
      <c r="Q125" s="25">
        <v>4821</v>
      </c>
      <c r="R125" s="22">
        <v>40</v>
      </c>
      <c r="S125" s="22" t="s">
        <v>265</v>
      </c>
      <c r="T125" s="22">
        <f t="shared" si="7"/>
        <v>10</v>
      </c>
      <c r="U125" s="22">
        <f t="shared" si="8"/>
        <v>2020</v>
      </c>
      <c r="V125" s="22" t="str">
        <f t="shared" si="9"/>
        <v>METROPOLITANA</v>
      </c>
    </row>
    <row r="126" spans="1:22" x14ac:dyDescent="0.2">
      <c r="A126" s="11" t="s">
        <v>266</v>
      </c>
      <c r="B126" s="12" t="s">
        <v>54</v>
      </c>
      <c r="C126" s="12" t="s">
        <v>55</v>
      </c>
      <c r="D126" s="12" t="s">
        <v>61</v>
      </c>
      <c r="E126" s="13">
        <v>115812335</v>
      </c>
      <c r="F126" s="12" t="s">
        <v>66</v>
      </c>
      <c r="G126" s="14">
        <v>19510.400000000001</v>
      </c>
      <c r="H126" s="12" t="s">
        <v>85</v>
      </c>
      <c r="I126" s="12">
        <v>1</v>
      </c>
      <c r="J126" s="12" t="s">
        <v>66</v>
      </c>
      <c r="K126" s="12" t="s">
        <v>75</v>
      </c>
      <c r="L126" s="12">
        <v>0</v>
      </c>
      <c r="M126" s="15">
        <v>380000</v>
      </c>
      <c r="N126" s="15">
        <v>0</v>
      </c>
      <c r="O126" s="15">
        <f t="shared" si="5"/>
        <v>380000</v>
      </c>
      <c r="P126" s="15">
        <f t="shared" si="6"/>
        <v>19.476791864851563</v>
      </c>
      <c r="Q126" s="14">
        <v>25000</v>
      </c>
      <c r="R126" s="12">
        <v>78</v>
      </c>
      <c r="S126" s="12" t="s">
        <v>267</v>
      </c>
      <c r="T126" s="22">
        <f t="shared" si="7"/>
        <v>10</v>
      </c>
      <c r="U126" s="22">
        <f t="shared" si="8"/>
        <v>2020</v>
      </c>
      <c r="V126" s="22" t="str">
        <f t="shared" si="9"/>
        <v>REGIONES</v>
      </c>
    </row>
    <row r="127" spans="1:22" x14ac:dyDescent="0.2">
      <c r="A127" s="11" t="s">
        <v>266</v>
      </c>
      <c r="B127" s="12" t="s">
        <v>18</v>
      </c>
      <c r="C127" s="12" t="s">
        <v>160</v>
      </c>
      <c r="D127" s="12" t="s">
        <v>41</v>
      </c>
      <c r="E127" s="13">
        <v>125108660</v>
      </c>
      <c r="F127" s="12" t="s">
        <v>161</v>
      </c>
      <c r="G127" s="14">
        <v>9216.4</v>
      </c>
      <c r="H127" s="12" t="s">
        <v>43</v>
      </c>
      <c r="I127" s="12">
        <v>0</v>
      </c>
      <c r="J127" s="12" t="s">
        <v>161</v>
      </c>
      <c r="K127" s="12" t="s">
        <v>23</v>
      </c>
      <c r="L127" s="12">
        <v>5</v>
      </c>
      <c r="M127" s="15">
        <v>70000</v>
      </c>
      <c r="N127" s="15">
        <f>G127*3</f>
        <v>27649.199999999997</v>
      </c>
      <c r="O127" s="15">
        <f t="shared" si="5"/>
        <v>97649.2</v>
      </c>
      <c r="P127" s="15">
        <f t="shared" si="6"/>
        <v>10.59515646022308</v>
      </c>
      <c r="Q127" s="14">
        <v>12000</v>
      </c>
      <c r="R127" s="12">
        <v>77</v>
      </c>
      <c r="S127" s="12" t="s">
        <v>268</v>
      </c>
      <c r="T127" s="22">
        <f t="shared" si="7"/>
        <v>10</v>
      </c>
      <c r="U127" s="22">
        <f t="shared" si="8"/>
        <v>2020</v>
      </c>
      <c r="V127" s="22" t="str">
        <f t="shared" si="9"/>
        <v>METROPOLITANA</v>
      </c>
    </row>
    <row r="128" spans="1:22" x14ac:dyDescent="0.2">
      <c r="A128" s="11" t="s">
        <v>266</v>
      </c>
      <c r="B128" s="12" t="s">
        <v>18</v>
      </c>
      <c r="C128" s="12" t="s">
        <v>193</v>
      </c>
      <c r="D128" s="12" t="s">
        <v>164</v>
      </c>
      <c r="E128" s="13">
        <v>78907355</v>
      </c>
      <c r="F128" s="12" t="s">
        <v>194</v>
      </c>
      <c r="G128" s="14">
        <v>24868</v>
      </c>
      <c r="H128" s="12" t="s">
        <v>22</v>
      </c>
      <c r="I128" s="12">
        <v>1</v>
      </c>
      <c r="J128" s="12" t="s">
        <v>194</v>
      </c>
      <c r="K128" s="12" t="s">
        <v>23</v>
      </c>
      <c r="L128" s="12">
        <v>4</v>
      </c>
      <c r="M128" s="15">
        <v>174076</v>
      </c>
      <c r="N128" s="15">
        <f>G128*4</f>
        <v>99472</v>
      </c>
      <c r="O128" s="15">
        <f t="shared" si="5"/>
        <v>273548</v>
      </c>
      <c r="P128" s="15">
        <f t="shared" si="6"/>
        <v>11</v>
      </c>
      <c r="Q128" s="14">
        <v>8011</v>
      </c>
      <c r="R128" s="12">
        <v>100</v>
      </c>
      <c r="S128" s="12" t="s">
        <v>269</v>
      </c>
      <c r="T128" s="22">
        <f t="shared" si="7"/>
        <v>10</v>
      </c>
      <c r="U128" s="22">
        <f t="shared" si="8"/>
        <v>2020</v>
      </c>
      <c r="V128" s="22" t="str">
        <f t="shared" si="9"/>
        <v>METROPOLITANA</v>
      </c>
    </row>
    <row r="129" spans="1:22" x14ac:dyDescent="0.2">
      <c r="A129" s="11" t="s">
        <v>266</v>
      </c>
      <c r="B129" s="12" t="s">
        <v>33</v>
      </c>
      <c r="C129" s="12" t="s">
        <v>270</v>
      </c>
      <c r="D129" s="12" t="s">
        <v>63</v>
      </c>
      <c r="E129" s="13">
        <v>138841065</v>
      </c>
      <c r="F129" s="12" t="s">
        <v>120</v>
      </c>
      <c r="G129" s="14">
        <v>13272.500000000009</v>
      </c>
      <c r="H129" s="12" t="s">
        <v>65</v>
      </c>
      <c r="I129" s="12">
        <v>0</v>
      </c>
      <c r="J129" s="12" t="s">
        <v>120</v>
      </c>
      <c r="K129" s="12" t="s">
        <v>23</v>
      </c>
      <c r="L129" s="12">
        <v>5</v>
      </c>
      <c r="M129" s="15">
        <v>70000</v>
      </c>
      <c r="N129" s="15">
        <f>G129*3</f>
        <v>39817.500000000029</v>
      </c>
      <c r="O129" s="15">
        <f t="shared" si="5"/>
        <v>109817.50000000003</v>
      </c>
      <c r="P129" s="15">
        <f t="shared" si="6"/>
        <v>8.2740629120361611</v>
      </c>
      <c r="Q129" s="14">
        <v>12000</v>
      </c>
      <c r="R129" s="12">
        <v>100</v>
      </c>
      <c r="S129" s="12" t="s">
        <v>271</v>
      </c>
      <c r="T129" s="22">
        <f t="shared" si="7"/>
        <v>10</v>
      </c>
      <c r="U129" s="22">
        <f t="shared" si="8"/>
        <v>2020</v>
      </c>
      <c r="V129" s="22" t="str">
        <f t="shared" si="9"/>
        <v>METROPOLITANA</v>
      </c>
    </row>
    <row r="130" spans="1:22" x14ac:dyDescent="0.2">
      <c r="A130" s="11" t="s">
        <v>266</v>
      </c>
      <c r="B130" s="12" t="s">
        <v>33</v>
      </c>
      <c r="C130" s="12" t="s">
        <v>128</v>
      </c>
      <c r="D130" s="12" t="s">
        <v>63</v>
      </c>
      <c r="E130" s="13">
        <v>138841065</v>
      </c>
      <c r="F130" s="12" t="s">
        <v>129</v>
      </c>
      <c r="G130" s="14">
        <v>8442</v>
      </c>
      <c r="H130" s="12" t="s">
        <v>65</v>
      </c>
      <c r="I130" s="12">
        <v>0</v>
      </c>
      <c r="J130" s="12" t="s">
        <v>129</v>
      </c>
      <c r="K130" s="12" t="s">
        <v>23</v>
      </c>
      <c r="L130" s="12">
        <v>1</v>
      </c>
      <c r="M130" s="15">
        <v>59094</v>
      </c>
      <c r="N130" s="15">
        <v>25326</v>
      </c>
      <c r="O130" s="15">
        <f t="shared" ref="O130:O193" si="10">SUM(M130:N130)</f>
        <v>84420</v>
      </c>
      <c r="P130" s="15">
        <f t="shared" ref="P130:P193" si="11">O130/G130</f>
        <v>10</v>
      </c>
      <c r="Q130" s="14">
        <v>4821</v>
      </c>
      <c r="R130" s="12">
        <v>100</v>
      </c>
      <c r="S130" s="12" t="s">
        <v>272</v>
      </c>
      <c r="T130" s="22">
        <f t="shared" ref="T130:T193" si="12">MONTH(A130)</f>
        <v>10</v>
      </c>
      <c r="U130" s="22">
        <f t="shared" ref="U130:U193" si="13">YEAR(A130)</f>
        <v>2020</v>
      </c>
      <c r="V130" s="22" t="str">
        <f t="shared" ref="V130:V193" si="14">IF(K130="METROPOLITANA DE SANTIAGO","METROPOLITANA","REGIONES")</f>
        <v>METROPOLITANA</v>
      </c>
    </row>
    <row r="131" spans="1:22" x14ac:dyDescent="0.2">
      <c r="A131" s="11" t="s">
        <v>266</v>
      </c>
      <c r="B131" s="12" t="s">
        <v>33</v>
      </c>
      <c r="C131" s="12" t="s">
        <v>128</v>
      </c>
      <c r="D131" s="12" t="s">
        <v>30</v>
      </c>
      <c r="E131" s="13">
        <v>72564391</v>
      </c>
      <c r="F131" s="12" t="s">
        <v>129</v>
      </c>
      <c r="G131" s="14">
        <v>7102.3999999999987</v>
      </c>
      <c r="H131" s="12" t="s">
        <v>32</v>
      </c>
      <c r="I131" s="12">
        <v>0</v>
      </c>
      <c r="J131" s="12" t="s">
        <v>129</v>
      </c>
      <c r="K131" s="12" t="s">
        <v>23</v>
      </c>
      <c r="L131" s="12">
        <v>1</v>
      </c>
      <c r="M131" s="15">
        <v>49717</v>
      </c>
      <c r="N131" s="15">
        <v>21307</v>
      </c>
      <c r="O131" s="15">
        <f t="shared" si="10"/>
        <v>71024</v>
      </c>
      <c r="P131" s="15">
        <f t="shared" si="11"/>
        <v>10.000000000000002</v>
      </c>
      <c r="Q131" s="14">
        <v>4821</v>
      </c>
      <c r="R131" s="12">
        <v>100</v>
      </c>
      <c r="S131" s="12" t="s">
        <v>273</v>
      </c>
      <c r="T131" s="22">
        <f t="shared" si="12"/>
        <v>10</v>
      </c>
      <c r="U131" s="22">
        <f t="shared" si="13"/>
        <v>2020</v>
      </c>
      <c r="V131" s="22" t="str">
        <f t="shared" si="14"/>
        <v>METROPOLITANA</v>
      </c>
    </row>
    <row r="132" spans="1:22" x14ac:dyDescent="0.2">
      <c r="A132" s="11" t="s">
        <v>266</v>
      </c>
      <c r="B132" s="12" t="s">
        <v>33</v>
      </c>
      <c r="C132" s="12" t="s">
        <v>36</v>
      </c>
      <c r="D132" s="12" t="s">
        <v>82</v>
      </c>
      <c r="E132" s="13">
        <v>122975819</v>
      </c>
      <c r="F132" s="12" t="s">
        <v>274</v>
      </c>
      <c r="G132" s="14">
        <v>4813.1099999999997</v>
      </c>
      <c r="H132" s="12" t="s">
        <v>85</v>
      </c>
      <c r="I132" s="12">
        <v>1</v>
      </c>
      <c r="J132" s="12" t="s">
        <v>274</v>
      </c>
      <c r="K132" s="12" t="s">
        <v>78</v>
      </c>
      <c r="L132" s="12">
        <v>0</v>
      </c>
      <c r="M132" s="15">
        <v>230000</v>
      </c>
      <c r="N132" s="15">
        <v>0</v>
      </c>
      <c r="O132" s="15">
        <f t="shared" si="10"/>
        <v>230000</v>
      </c>
      <c r="P132" s="15">
        <f t="shared" si="11"/>
        <v>47.786150742451348</v>
      </c>
      <c r="Q132" s="14">
        <v>25000</v>
      </c>
      <c r="R132" s="12">
        <v>19</v>
      </c>
      <c r="S132" s="12" t="s">
        <v>275</v>
      </c>
      <c r="T132" s="22">
        <f t="shared" si="12"/>
        <v>10</v>
      </c>
      <c r="U132" s="22">
        <f t="shared" si="13"/>
        <v>2020</v>
      </c>
      <c r="V132" s="22" t="str">
        <f t="shared" si="14"/>
        <v>REGIONES</v>
      </c>
    </row>
    <row r="133" spans="1:22" x14ac:dyDescent="0.2">
      <c r="A133" s="11" t="s">
        <v>266</v>
      </c>
      <c r="B133" s="12" t="s">
        <v>33</v>
      </c>
      <c r="C133" s="12" t="s">
        <v>29</v>
      </c>
      <c r="D133" s="12" t="s">
        <v>38</v>
      </c>
      <c r="E133" s="13">
        <v>53173292</v>
      </c>
      <c r="F133" s="12" t="s">
        <v>134</v>
      </c>
      <c r="G133" s="14">
        <v>5085.5999999999995</v>
      </c>
      <c r="H133" s="12" t="s">
        <v>43</v>
      </c>
      <c r="I133" s="12">
        <v>0</v>
      </c>
      <c r="J133" s="12" t="s">
        <v>134</v>
      </c>
      <c r="K133" s="12" t="s">
        <v>23</v>
      </c>
      <c r="L133" s="12">
        <v>2</v>
      </c>
      <c r="M133" s="15">
        <v>40475</v>
      </c>
      <c r="N133" s="15">
        <v>15257</v>
      </c>
      <c r="O133" s="15">
        <f t="shared" si="10"/>
        <v>55732</v>
      </c>
      <c r="P133" s="15">
        <f t="shared" si="11"/>
        <v>10.958785590687432</v>
      </c>
      <c r="Q133" s="14">
        <v>5782</v>
      </c>
      <c r="R133" s="12">
        <v>88</v>
      </c>
      <c r="S133" s="12" t="s">
        <v>276</v>
      </c>
      <c r="T133" s="22">
        <f t="shared" si="12"/>
        <v>10</v>
      </c>
      <c r="U133" s="22">
        <f t="shared" si="13"/>
        <v>2020</v>
      </c>
      <c r="V133" s="22" t="str">
        <f t="shared" si="14"/>
        <v>METROPOLITANA</v>
      </c>
    </row>
    <row r="134" spans="1:22" x14ac:dyDescent="0.2">
      <c r="A134" s="11" t="s">
        <v>266</v>
      </c>
      <c r="B134" s="12" t="s">
        <v>33</v>
      </c>
      <c r="C134" s="12" t="s">
        <v>44</v>
      </c>
      <c r="D134" s="12" t="s">
        <v>56</v>
      </c>
      <c r="E134" s="13">
        <v>99626232</v>
      </c>
      <c r="F134" s="12" t="s">
        <v>48</v>
      </c>
      <c r="G134" s="14">
        <v>3164.4300000000012</v>
      </c>
      <c r="H134" s="12" t="s">
        <v>22</v>
      </c>
      <c r="I134" s="12">
        <v>0</v>
      </c>
      <c r="J134" s="12" t="s">
        <v>48</v>
      </c>
      <c r="K134" s="12" t="s">
        <v>23</v>
      </c>
      <c r="L134" s="12">
        <v>1</v>
      </c>
      <c r="M134" s="15">
        <v>33750</v>
      </c>
      <c r="N134" s="15">
        <v>12658</v>
      </c>
      <c r="O134" s="15">
        <f t="shared" si="10"/>
        <v>46408</v>
      </c>
      <c r="P134" s="15">
        <f t="shared" si="11"/>
        <v>14.665516380517181</v>
      </c>
      <c r="Q134" s="14">
        <v>4821</v>
      </c>
      <c r="R134" s="12">
        <v>66</v>
      </c>
      <c r="S134" s="12" t="s">
        <v>277</v>
      </c>
      <c r="T134" s="22">
        <f t="shared" si="12"/>
        <v>10</v>
      </c>
      <c r="U134" s="22">
        <f t="shared" si="13"/>
        <v>2020</v>
      </c>
      <c r="V134" s="22" t="str">
        <f t="shared" si="14"/>
        <v>METROPOLITANA</v>
      </c>
    </row>
    <row r="135" spans="1:22" x14ac:dyDescent="0.2">
      <c r="A135" s="11" t="s">
        <v>266</v>
      </c>
      <c r="B135" s="12" t="s">
        <v>33</v>
      </c>
      <c r="C135" s="12" t="s">
        <v>44</v>
      </c>
      <c r="D135" s="12" t="s">
        <v>38</v>
      </c>
      <c r="E135" s="13">
        <v>53173292</v>
      </c>
      <c r="F135" s="12" t="s">
        <v>53</v>
      </c>
      <c r="G135" s="14">
        <v>2012.62</v>
      </c>
      <c r="H135" s="12" t="s">
        <v>43</v>
      </c>
      <c r="I135" s="12">
        <v>0</v>
      </c>
      <c r="J135" s="12" t="s">
        <v>53</v>
      </c>
      <c r="K135" s="12" t="s">
        <v>23</v>
      </c>
      <c r="L135" s="12">
        <v>3</v>
      </c>
      <c r="M135" s="15">
        <v>48075</v>
      </c>
      <c r="N135" s="15">
        <v>6038</v>
      </c>
      <c r="O135" s="15">
        <f t="shared" si="10"/>
        <v>54113</v>
      </c>
      <c r="P135" s="15">
        <f t="shared" si="11"/>
        <v>26.886844014269958</v>
      </c>
      <c r="Q135" s="14">
        <v>6868</v>
      </c>
      <c r="R135" s="12">
        <v>29</v>
      </c>
      <c r="S135" s="12" t="s">
        <v>278</v>
      </c>
      <c r="T135" s="22">
        <f t="shared" si="12"/>
        <v>10</v>
      </c>
      <c r="U135" s="22">
        <f t="shared" si="13"/>
        <v>2020</v>
      </c>
      <c r="V135" s="22" t="str">
        <f t="shared" si="14"/>
        <v>METROPOLITANA</v>
      </c>
    </row>
    <row r="136" spans="1:22" x14ac:dyDescent="0.2">
      <c r="A136" s="11" t="s">
        <v>266</v>
      </c>
      <c r="B136" s="12" t="s">
        <v>33</v>
      </c>
      <c r="C136" s="12" t="s">
        <v>44</v>
      </c>
      <c r="D136" s="12" t="s">
        <v>45</v>
      </c>
      <c r="E136" s="13">
        <v>78907355</v>
      </c>
      <c r="F136" s="12" t="s">
        <v>138</v>
      </c>
      <c r="G136" s="14">
        <v>2694.5</v>
      </c>
      <c r="H136" s="12" t="s">
        <v>22</v>
      </c>
      <c r="I136" s="12">
        <v>0</v>
      </c>
      <c r="J136" s="12" t="s">
        <v>138</v>
      </c>
      <c r="K136" s="12" t="s">
        <v>23</v>
      </c>
      <c r="L136" s="12">
        <v>3</v>
      </c>
      <c r="M136" s="15">
        <v>48075</v>
      </c>
      <c r="N136" s="15">
        <v>10778</v>
      </c>
      <c r="O136" s="15">
        <f t="shared" si="10"/>
        <v>58853</v>
      </c>
      <c r="P136" s="15">
        <f t="shared" si="11"/>
        <v>21.841900167006866</v>
      </c>
      <c r="Q136" s="14">
        <v>6868</v>
      </c>
      <c r="R136" s="12">
        <v>39</v>
      </c>
      <c r="S136" s="12" t="s">
        <v>279</v>
      </c>
      <c r="T136" s="22">
        <f t="shared" si="12"/>
        <v>10</v>
      </c>
      <c r="U136" s="22">
        <f t="shared" si="13"/>
        <v>2020</v>
      </c>
      <c r="V136" s="22" t="str">
        <f t="shared" si="14"/>
        <v>METROPOLITANA</v>
      </c>
    </row>
    <row r="137" spans="1:22" x14ac:dyDescent="0.2">
      <c r="A137" s="11" t="s">
        <v>266</v>
      </c>
      <c r="B137" s="12" t="s">
        <v>33</v>
      </c>
      <c r="C137" s="12" t="s">
        <v>44</v>
      </c>
      <c r="D137" s="12" t="s">
        <v>47</v>
      </c>
      <c r="E137" s="13">
        <v>161268070</v>
      </c>
      <c r="F137" s="12" t="s">
        <v>51</v>
      </c>
      <c r="G137" s="14">
        <v>8648.4</v>
      </c>
      <c r="H137" s="12" t="s">
        <v>22</v>
      </c>
      <c r="I137" s="12">
        <v>0</v>
      </c>
      <c r="J137" s="12" t="s">
        <v>51</v>
      </c>
      <c r="K137" s="12" t="s">
        <v>23</v>
      </c>
      <c r="L137" s="12">
        <v>4</v>
      </c>
      <c r="M137" s="15">
        <v>60539</v>
      </c>
      <c r="N137" s="15">
        <v>34594</v>
      </c>
      <c r="O137" s="15">
        <f t="shared" si="10"/>
        <v>95133</v>
      </c>
      <c r="P137" s="15">
        <f t="shared" si="11"/>
        <v>11.000069376994588</v>
      </c>
      <c r="Q137" s="14">
        <v>8011</v>
      </c>
      <c r="R137" s="12">
        <v>100</v>
      </c>
      <c r="S137" s="12" t="s">
        <v>280</v>
      </c>
      <c r="T137" s="22">
        <f t="shared" si="12"/>
        <v>10</v>
      </c>
      <c r="U137" s="22">
        <f t="shared" si="13"/>
        <v>2020</v>
      </c>
      <c r="V137" s="22" t="str">
        <f t="shared" si="14"/>
        <v>METROPOLITANA</v>
      </c>
    </row>
    <row r="138" spans="1:22" x14ac:dyDescent="0.2">
      <c r="A138" s="11" t="s">
        <v>266</v>
      </c>
      <c r="B138" s="12" t="s">
        <v>33</v>
      </c>
      <c r="C138" s="12" t="s">
        <v>44</v>
      </c>
      <c r="D138" s="12" t="s">
        <v>35</v>
      </c>
      <c r="E138" s="13">
        <v>107643206</v>
      </c>
      <c r="F138" s="12" t="s">
        <v>182</v>
      </c>
      <c r="G138" s="14">
        <v>2008.9</v>
      </c>
      <c r="H138" s="12" t="s">
        <v>22</v>
      </c>
      <c r="I138" s="12">
        <v>0</v>
      </c>
      <c r="J138" s="12" t="s">
        <v>182</v>
      </c>
      <c r="K138" s="12" t="s">
        <v>23</v>
      </c>
      <c r="L138" s="12">
        <v>4</v>
      </c>
      <c r="M138" s="15">
        <v>56075</v>
      </c>
      <c r="N138" s="15">
        <v>8036</v>
      </c>
      <c r="O138" s="15">
        <f t="shared" si="10"/>
        <v>64111</v>
      </c>
      <c r="P138" s="15">
        <f t="shared" si="11"/>
        <v>31.91348499178655</v>
      </c>
      <c r="Q138" s="14">
        <v>8011</v>
      </c>
      <c r="R138" s="12">
        <v>25</v>
      </c>
      <c r="S138" s="12" t="s">
        <v>281</v>
      </c>
      <c r="T138" s="22">
        <f t="shared" si="12"/>
        <v>10</v>
      </c>
      <c r="U138" s="22">
        <f t="shared" si="13"/>
        <v>2020</v>
      </c>
      <c r="V138" s="22" t="str">
        <f t="shared" si="14"/>
        <v>METROPOLITANA</v>
      </c>
    </row>
    <row r="139" spans="1:22" x14ac:dyDescent="0.2">
      <c r="A139" s="11" t="s">
        <v>266</v>
      </c>
      <c r="B139" s="12" t="s">
        <v>33</v>
      </c>
      <c r="C139" s="12" t="s">
        <v>44</v>
      </c>
      <c r="D139" s="12" t="s">
        <v>41</v>
      </c>
      <c r="E139" s="13">
        <v>125108660</v>
      </c>
      <c r="F139" s="12" t="s">
        <v>129</v>
      </c>
      <c r="G139" s="14">
        <v>2283.6</v>
      </c>
      <c r="H139" s="12" t="s">
        <v>43</v>
      </c>
      <c r="I139" s="12">
        <v>0</v>
      </c>
      <c r="J139" s="12" t="s">
        <v>129</v>
      </c>
      <c r="K139" s="12" t="s">
        <v>23</v>
      </c>
      <c r="L139" s="12">
        <v>1</v>
      </c>
      <c r="M139" s="15">
        <v>33750</v>
      </c>
      <c r="N139" s="15">
        <v>6851</v>
      </c>
      <c r="O139" s="15">
        <f t="shared" si="10"/>
        <v>40601</v>
      </c>
      <c r="P139" s="15">
        <f t="shared" si="11"/>
        <v>17.779383429672446</v>
      </c>
      <c r="Q139" s="14">
        <v>4821</v>
      </c>
      <c r="R139" s="12">
        <v>47</v>
      </c>
      <c r="S139" s="12" t="s">
        <v>282</v>
      </c>
      <c r="T139" s="22">
        <f t="shared" si="12"/>
        <v>10</v>
      </c>
      <c r="U139" s="22">
        <f t="shared" si="13"/>
        <v>2020</v>
      </c>
      <c r="V139" s="22" t="str">
        <f t="shared" si="14"/>
        <v>METROPOLITANA</v>
      </c>
    </row>
    <row r="140" spans="1:22" x14ac:dyDescent="0.2">
      <c r="A140" s="11" t="s">
        <v>266</v>
      </c>
      <c r="B140" s="12" t="s">
        <v>33</v>
      </c>
      <c r="C140" s="12" t="s">
        <v>44</v>
      </c>
      <c r="D140" s="12" t="s">
        <v>20</v>
      </c>
      <c r="E140" s="13">
        <v>81417709</v>
      </c>
      <c r="F140" s="12" t="s">
        <v>26</v>
      </c>
      <c r="G140" s="14">
        <v>2161.7199999999998</v>
      </c>
      <c r="H140" s="12" t="s">
        <v>22</v>
      </c>
      <c r="I140" s="12">
        <v>0</v>
      </c>
      <c r="J140" s="12" t="s">
        <v>26</v>
      </c>
      <c r="K140" s="12" t="s">
        <v>23</v>
      </c>
      <c r="L140" s="12">
        <v>3</v>
      </c>
      <c r="M140" s="15">
        <v>48075</v>
      </c>
      <c r="N140" s="15">
        <v>8647</v>
      </c>
      <c r="O140" s="15">
        <f t="shared" si="10"/>
        <v>56722</v>
      </c>
      <c r="P140" s="15">
        <f t="shared" si="11"/>
        <v>26.239290934996209</v>
      </c>
      <c r="Q140" s="14">
        <v>6868</v>
      </c>
      <c r="R140" s="12">
        <v>31</v>
      </c>
      <c r="S140" s="12" t="s">
        <v>283</v>
      </c>
      <c r="T140" s="22">
        <f t="shared" si="12"/>
        <v>10</v>
      </c>
      <c r="U140" s="22">
        <f t="shared" si="13"/>
        <v>2020</v>
      </c>
      <c r="V140" s="22" t="str">
        <f t="shared" si="14"/>
        <v>METROPOLITANA</v>
      </c>
    </row>
    <row r="141" spans="1:22" x14ac:dyDescent="0.2">
      <c r="A141" s="23" t="s">
        <v>284</v>
      </c>
      <c r="B141" s="22" t="s">
        <v>18</v>
      </c>
      <c r="C141" s="22" t="s">
        <v>50</v>
      </c>
      <c r="D141" s="22" t="s">
        <v>41</v>
      </c>
      <c r="E141" s="24" t="s">
        <v>239</v>
      </c>
      <c r="F141" s="22" t="s">
        <v>26</v>
      </c>
      <c r="G141" s="25">
        <v>15516.76</v>
      </c>
      <c r="H141" s="22" t="s">
        <v>43</v>
      </c>
      <c r="I141" s="22">
        <v>0</v>
      </c>
      <c r="J141" s="22" t="s">
        <v>26</v>
      </c>
      <c r="K141" s="22" t="s">
        <v>23</v>
      </c>
      <c r="L141" s="22">
        <v>3</v>
      </c>
      <c r="M141" s="26">
        <v>92890</v>
      </c>
      <c r="N141" s="26">
        <f>G141*3</f>
        <v>46550.28</v>
      </c>
      <c r="O141" s="27">
        <f t="shared" si="10"/>
        <v>139440.28</v>
      </c>
      <c r="P141" s="27">
        <f t="shared" si="11"/>
        <v>8.9864301568110871</v>
      </c>
      <c r="Q141" s="25">
        <v>6868</v>
      </c>
      <c r="R141" s="22">
        <v>100</v>
      </c>
      <c r="S141" s="22" t="s">
        <v>285</v>
      </c>
      <c r="T141" s="22">
        <f t="shared" si="12"/>
        <v>10</v>
      </c>
      <c r="U141" s="22">
        <f t="shared" si="13"/>
        <v>2020</v>
      </c>
      <c r="V141" s="22" t="str">
        <f t="shared" si="14"/>
        <v>METROPOLITANA</v>
      </c>
    </row>
    <row r="142" spans="1:22" x14ac:dyDescent="0.2">
      <c r="A142" s="23" t="s">
        <v>284</v>
      </c>
      <c r="B142" s="22" t="s">
        <v>18</v>
      </c>
      <c r="C142" s="22" t="s">
        <v>57</v>
      </c>
      <c r="D142" s="22" t="s">
        <v>37</v>
      </c>
      <c r="E142" s="24" t="s">
        <v>40</v>
      </c>
      <c r="F142" s="22" t="s">
        <v>58</v>
      </c>
      <c r="G142" s="25">
        <v>12297.71</v>
      </c>
      <c r="H142" s="22" t="s">
        <v>22</v>
      </c>
      <c r="I142" s="22">
        <v>0</v>
      </c>
      <c r="J142" s="22" t="s">
        <v>58</v>
      </c>
      <c r="K142" s="22" t="s">
        <v>23</v>
      </c>
      <c r="L142" s="22">
        <v>5</v>
      </c>
      <c r="M142" s="26">
        <v>70000</v>
      </c>
      <c r="N142" s="26">
        <f>G142*4</f>
        <v>49190.84</v>
      </c>
      <c r="O142" s="27">
        <f t="shared" si="10"/>
        <v>119190.84</v>
      </c>
      <c r="P142" s="27">
        <f t="shared" si="11"/>
        <v>9.6921166623704735</v>
      </c>
      <c r="Q142" s="25">
        <v>12000</v>
      </c>
      <c r="R142" s="22">
        <v>100</v>
      </c>
      <c r="S142" s="22" t="s">
        <v>286</v>
      </c>
      <c r="T142" s="22">
        <f t="shared" si="12"/>
        <v>10</v>
      </c>
      <c r="U142" s="22">
        <f t="shared" si="13"/>
        <v>2020</v>
      </c>
      <c r="V142" s="22" t="str">
        <f t="shared" si="14"/>
        <v>METROPOLITANA</v>
      </c>
    </row>
    <row r="143" spans="1:22" x14ac:dyDescent="0.2">
      <c r="A143" s="23" t="s">
        <v>284</v>
      </c>
      <c r="B143" s="22" t="s">
        <v>18</v>
      </c>
      <c r="C143" s="22" t="s">
        <v>163</v>
      </c>
      <c r="D143" s="22" t="s">
        <v>20</v>
      </c>
      <c r="E143" s="24" t="s">
        <v>88</v>
      </c>
      <c r="F143" s="22" t="s">
        <v>165</v>
      </c>
      <c r="G143" s="25">
        <v>4009</v>
      </c>
      <c r="H143" s="22" t="s">
        <v>22</v>
      </c>
      <c r="I143" s="22">
        <v>0</v>
      </c>
      <c r="J143" s="22" t="s">
        <v>165</v>
      </c>
      <c r="K143" s="22" t="s">
        <v>23</v>
      </c>
      <c r="L143" s="22">
        <v>3</v>
      </c>
      <c r="M143" s="26">
        <v>48075</v>
      </c>
      <c r="N143" s="26">
        <f>G143*4</f>
        <v>16036</v>
      </c>
      <c r="O143" s="27">
        <f t="shared" si="10"/>
        <v>64111</v>
      </c>
      <c r="P143" s="27">
        <f t="shared" si="11"/>
        <v>15.991768520828137</v>
      </c>
      <c r="Q143" s="25">
        <v>6868</v>
      </c>
      <c r="R143" s="22">
        <v>58</v>
      </c>
      <c r="S143" s="22" t="s">
        <v>287</v>
      </c>
      <c r="T143" s="22">
        <f t="shared" si="12"/>
        <v>10</v>
      </c>
      <c r="U143" s="22">
        <f t="shared" si="13"/>
        <v>2020</v>
      </c>
      <c r="V143" s="22" t="str">
        <f t="shared" si="14"/>
        <v>METROPOLITANA</v>
      </c>
    </row>
    <row r="144" spans="1:22" x14ac:dyDescent="0.2">
      <c r="A144" s="23" t="s">
        <v>284</v>
      </c>
      <c r="B144" s="22" t="s">
        <v>33</v>
      </c>
      <c r="C144" s="22" t="s">
        <v>187</v>
      </c>
      <c r="D144" s="22" t="s">
        <v>188</v>
      </c>
      <c r="E144" s="24" t="s">
        <v>189</v>
      </c>
      <c r="F144" s="22" t="s">
        <v>129</v>
      </c>
      <c r="G144" s="25">
        <v>3172.5</v>
      </c>
      <c r="H144" s="22" t="s">
        <v>190</v>
      </c>
      <c r="I144" s="22">
        <v>0</v>
      </c>
      <c r="J144" s="22" t="s">
        <v>129</v>
      </c>
      <c r="K144" s="22" t="s">
        <v>23</v>
      </c>
      <c r="L144" s="22">
        <v>1</v>
      </c>
      <c r="M144" s="26">
        <v>33750</v>
      </c>
      <c r="N144" s="26">
        <v>0</v>
      </c>
      <c r="O144" s="27">
        <f t="shared" si="10"/>
        <v>33750</v>
      </c>
      <c r="P144" s="27">
        <f t="shared" si="11"/>
        <v>10.638297872340425</v>
      </c>
      <c r="Q144" s="25">
        <v>4821</v>
      </c>
      <c r="R144" s="22">
        <v>51</v>
      </c>
      <c r="S144" s="22" t="s">
        <v>288</v>
      </c>
      <c r="T144" s="22">
        <f t="shared" si="12"/>
        <v>10</v>
      </c>
      <c r="U144" s="22">
        <f t="shared" si="13"/>
        <v>2020</v>
      </c>
      <c r="V144" s="22" t="str">
        <f t="shared" si="14"/>
        <v>METROPOLITANA</v>
      </c>
    </row>
    <row r="145" spans="1:22" x14ac:dyDescent="0.2">
      <c r="A145" s="23" t="s">
        <v>284</v>
      </c>
      <c r="B145" s="22" t="s">
        <v>33</v>
      </c>
      <c r="C145" s="22" t="s">
        <v>128</v>
      </c>
      <c r="D145" s="22" t="s">
        <v>80</v>
      </c>
      <c r="E145" s="24" t="s">
        <v>81</v>
      </c>
      <c r="F145" s="22" t="s">
        <v>66</v>
      </c>
      <c r="G145" s="25">
        <v>8075.4600000000009</v>
      </c>
      <c r="H145" s="22" t="s">
        <v>85</v>
      </c>
      <c r="I145" s="22">
        <v>1</v>
      </c>
      <c r="J145" s="22" t="s">
        <v>66</v>
      </c>
      <c r="K145" s="22" t="s">
        <v>75</v>
      </c>
      <c r="L145" s="22">
        <v>0</v>
      </c>
      <c r="M145" s="26">
        <v>380000</v>
      </c>
      <c r="N145" s="26">
        <v>0</v>
      </c>
      <c r="O145" s="27">
        <f t="shared" si="10"/>
        <v>380000</v>
      </c>
      <c r="P145" s="27">
        <f t="shared" si="11"/>
        <v>47.056142931795833</v>
      </c>
      <c r="Q145" s="25">
        <v>25000</v>
      </c>
      <c r="R145" s="22">
        <v>32</v>
      </c>
      <c r="S145" s="22" t="s">
        <v>289</v>
      </c>
      <c r="T145" s="22">
        <f t="shared" si="12"/>
        <v>10</v>
      </c>
      <c r="U145" s="22">
        <f t="shared" si="13"/>
        <v>2020</v>
      </c>
      <c r="V145" s="22" t="str">
        <f t="shared" si="14"/>
        <v>REGIONES</v>
      </c>
    </row>
    <row r="146" spans="1:22" x14ac:dyDescent="0.2">
      <c r="A146" s="23" t="s">
        <v>284</v>
      </c>
      <c r="B146" s="22" t="s">
        <v>33</v>
      </c>
      <c r="C146" s="22" t="s">
        <v>36</v>
      </c>
      <c r="D146" s="22" t="s">
        <v>30</v>
      </c>
      <c r="E146" s="24" t="s">
        <v>31</v>
      </c>
      <c r="F146" s="22" t="s">
        <v>67</v>
      </c>
      <c r="G146" s="25">
        <v>2277.62</v>
      </c>
      <c r="H146" s="22" t="s">
        <v>32</v>
      </c>
      <c r="I146" s="22">
        <v>0</v>
      </c>
      <c r="J146" s="22" t="s">
        <v>67</v>
      </c>
      <c r="K146" s="22" t="s">
        <v>23</v>
      </c>
      <c r="L146" s="22">
        <v>1</v>
      </c>
      <c r="M146" s="26">
        <v>33750</v>
      </c>
      <c r="N146" s="26">
        <v>0</v>
      </c>
      <c r="O146" s="27">
        <f t="shared" si="10"/>
        <v>33750</v>
      </c>
      <c r="P146" s="27">
        <f t="shared" si="11"/>
        <v>14.818099595191473</v>
      </c>
      <c r="Q146" s="25">
        <v>4821</v>
      </c>
      <c r="R146" s="22">
        <v>47</v>
      </c>
      <c r="S146" s="22" t="s">
        <v>290</v>
      </c>
      <c r="T146" s="22">
        <f t="shared" si="12"/>
        <v>10</v>
      </c>
      <c r="U146" s="22">
        <f t="shared" si="13"/>
        <v>2020</v>
      </c>
      <c r="V146" s="22" t="str">
        <f t="shared" si="14"/>
        <v>METROPOLITANA</v>
      </c>
    </row>
    <row r="147" spans="1:22" x14ac:dyDescent="0.2">
      <c r="A147" s="23" t="s">
        <v>284</v>
      </c>
      <c r="B147" s="22" t="s">
        <v>33</v>
      </c>
      <c r="C147" s="22" t="s">
        <v>29</v>
      </c>
      <c r="D147" s="22" t="s">
        <v>82</v>
      </c>
      <c r="E147" s="24" t="s">
        <v>83</v>
      </c>
      <c r="F147" s="22" t="s">
        <v>123</v>
      </c>
      <c r="G147" s="25">
        <v>7760</v>
      </c>
      <c r="H147" s="22" t="s">
        <v>85</v>
      </c>
      <c r="I147" s="22">
        <v>1</v>
      </c>
      <c r="J147" s="22" t="s">
        <v>123</v>
      </c>
      <c r="K147" s="22" t="s">
        <v>124</v>
      </c>
      <c r="L147" s="22">
        <v>0</v>
      </c>
      <c r="M147" s="26">
        <v>350000</v>
      </c>
      <c r="N147" s="26">
        <v>0</v>
      </c>
      <c r="O147" s="27">
        <f t="shared" si="10"/>
        <v>350000</v>
      </c>
      <c r="P147" s="27">
        <f t="shared" si="11"/>
        <v>45.103092783505154</v>
      </c>
      <c r="Q147" s="25">
        <v>25000</v>
      </c>
      <c r="R147" s="22">
        <v>31</v>
      </c>
      <c r="S147" s="22" t="s">
        <v>291</v>
      </c>
      <c r="T147" s="22">
        <f t="shared" si="12"/>
        <v>10</v>
      </c>
      <c r="U147" s="22">
        <f t="shared" si="13"/>
        <v>2020</v>
      </c>
      <c r="V147" s="22" t="str">
        <f t="shared" si="14"/>
        <v>REGIONES</v>
      </c>
    </row>
    <row r="148" spans="1:22" x14ac:dyDescent="0.2">
      <c r="A148" s="23" t="s">
        <v>284</v>
      </c>
      <c r="B148" s="22" t="s">
        <v>33</v>
      </c>
      <c r="C148" s="22" t="s">
        <v>44</v>
      </c>
      <c r="D148" s="22" t="s">
        <v>56</v>
      </c>
      <c r="E148" s="24" t="s">
        <v>52</v>
      </c>
      <c r="F148" s="22" t="s">
        <v>225</v>
      </c>
      <c r="G148" s="25">
        <v>3359.63</v>
      </c>
      <c r="H148" s="22" t="s">
        <v>22</v>
      </c>
      <c r="I148" s="22">
        <v>0</v>
      </c>
      <c r="J148" s="22" t="s">
        <v>225</v>
      </c>
      <c r="K148" s="22" t="s">
        <v>23</v>
      </c>
      <c r="L148" s="22">
        <v>3</v>
      </c>
      <c r="M148" s="26">
        <v>48075</v>
      </c>
      <c r="N148" s="26">
        <v>13439</v>
      </c>
      <c r="O148" s="27">
        <f t="shared" si="10"/>
        <v>61514</v>
      </c>
      <c r="P148" s="27">
        <f t="shared" si="11"/>
        <v>18.309754347949031</v>
      </c>
      <c r="Q148" s="25">
        <v>6868</v>
      </c>
      <c r="R148" s="22">
        <v>49</v>
      </c>
      <c r="S148" s="22" t="s">
        <v>292</v>
      </c>
      <c r="T148" s="22">
        <f t="shared" si="12"/>
        <v>10</v>
      </c>
      <c r="U148" s="22">
        <f t="shared" si="13"/>
        <v>2020</v>
      </c>
      <c r="V148" s="22" t="str">
        <f t="shared" si="14"/>
        <v>METROPOLITANA</v>
      </c>
    </row>
    <row r="149" spans="1:22" x14ac:dyDescent="0.2">
      <c r="A149" s="23" t="s">
        <v>284</v>
      </c>
      <c r="B149" s="22" t="s">
        <v>33</v>
      </c>
      <c r="C149" s="22" t="s">
        <v>44</v>
      </c>
      <c r="D149" s="22" t="s">
        <v>38</v>
      </c>
      <c r="E149" s="24" t="s">
        <v>42</v>
      </c>
      <c r="F149" s="22" t="s">
        <v>173</v>
      </c>
      <c r="G149" s="25">
        <v>5455.5399999999991</v>
      </c>
      <c r="H149" s="22" t="s">
        <v>43</v>
      </c>
      <c r="I149" s="22">
        <v>0</v>
      </c>
      <c r="J149" s="22" t="s">
        <v>173</v>
      </c>
      <c r="K149" s="22" t="s">
        <v>23</v>
      </c>
      <c r="L149" s="22">
        <v>5</v>
      </c>
      <c r="M149" s="26">
        <v>90000</v>
      </c>
      <c r="N149" s="26">
        <v>16367</v>
      </c>
      <c r="O149" s="27">
        <f t="shared" si="10"/>
        <v>106367</v>
      </c>
      <c r="P149" s="27">
        <f t="shared" si="11"/>
        <v>19.497061702416264</v>
      </c>
      <c r="Q149" s="25">
        <v>12000</v>
      </c>
      <c r="R149" s="22">
        <v>45</v>
      </c>
      <c r="S149" s="22" t="s">
        <v>293</v>
      </c>
      <c r="T149" s="22">
        <f t="shared" si="12"/>
        <v>10</v>
      </c>
      <c r="U149" s="22">
        <f t="shared" si="13"/>
        <v>2020</v>
      </c>
      <c r="V149" s="22" t="str">
        <f t="shared" si="14"/>
        <v>METROPOLITANA</v>
      </c>
    </row>
    <row r="150" spans="1:22" x14ac:dyDescent="0.2">
      <c r="A150" s="23" t="s">
        <v>284</v>
      </c>
      <c r="B150" s="22" t="s">
        <v>33</v>
      </c>
      <c r="C150" s="22" t="s">
        <v>44</v>
      </c>
      <c r="D150" s="22" t="s">
        <v>45</v>
      </c>
      <c r="E150" s="24" t="s">
        <v>21</v>
      </c>
      <c r="F150" s="22" t="s">
        <v>34</v>
      </c>
      <c r="G150" s="25">
        <v>5100.6599999999989</v>
      </c>
      <c r="H150" s="22" t="s">
        <v>22</v>
      </c>
      <c r="I150" s="22">
        <v>0</v>
      </c>
      <c r="J150" s="22" t="s">
        <v>34</v>
      </c>
      <c r="K150" s="22" t="s">
        <v>23</v>
      </c>
      <c r="L150" s="22">
        <v>1</v>
      </c>
      <c r="M150" s="26">
        <v>35705</v>
      </c>
      <c r="N150" s="26">
        <v>20403</v>
      </c>
      <c r="O150" s="27">
        <f t="shared" si="10"/>
        <v>56108</v>
      </c>
      <c r="P150" s="27">
        <f t="shared" si="11"/>
        <v>11.000145079264254</v>
      </c>
      <c r="Q150" s="25">
        <v>4821</v>
      </c>
      <c r="R150" s="22">
        <v>100</v>
      </c>
      <c r="S150" s="22" t="s">
        <v>294</v>
      </c>
      <c r="T150" s="22">
        <f t="shared" si="12"/>
        <v>10</v>
      </c>
      <c r="U150" s="22">
        <f t="shared" si="13"/>
        <v>2020</v>
      </c>
      <c r="V150" s="22" t="str">
        <f t="shared" si="14"/>
        <v>METROPOLITANA</v>
      </c>
    </row>
    <row r="151" spans="1:22" x14ac:dyDescent="0.2">
      <c r="A151" s="23" t="s">
        <v>284</v>
      </c>
      <c r="B151" s="22" t="s">
        <v>33</v>
      </c>
      <c r="C151" s="22" t="s">
        <v>44</v>
      </c>
      <c r="D151" s="22" t="s">
        <v>47</v>
      </c>
      <c r="E151" s="24" t="s">
        <v>88</v>
      </c>
      <c r="F151" s="22" t="s">
        <v>48</v>
      </c>
      <c r="G151" s="25">
        <v>6225.1400000000012</v>
      </c>
      <c r="H151" s="22" t="s">
        <v>22</v>
      </c>
      <c r="I151" s="22">
        <v>0</v>
      </c>
      <c r="J151" s="22" t="s">
        <v>48</v>
      </c>
      <c r="K151" s="22" t="s">
        <v>23</v>
      </c>
      <c r="L151" s="22">
        <v>1</v>
      </c>
      <c r="M151" s="26">
        <v>43576</v>
      </c>
      <c r="N151" s="26">
        <v>24901</v>
      </c>
      <c r="O151" s="27">
        <f t="shared" si="10"/>
        <v>68477</v>
      </c>
      <c r="P151" s="27">
        <f t="shared" si="11"/>
        <v>11.000073893920456</v>
      </c>
      <c r="Q151" s="25">
        <v>4821</v>
      </c>
      <c r="R151" s="22">
        <v>100</v>
      </c>
      <c r="S151" s="22" t="s">
        <v>295</v>
      </c>
      <c r="T151" s="22">
        <f t="shared" si="12"/>
        <v>10</v>
      </c>
      <c r="U151" s="22">
        <f t="shared" si="13"/>
        <v>2020</v>
      </c>
      <c r="V151" s="22" t="str">
        <f t="shared" si="14"/>
        <v>METROPOLITANA</v>
      </c>
    </row>
    <row r="152" spans="1:22" x14ac:dyDescent="0.2">
      <c r="A152" s="23" t="s">
        <v>284</v>
      </c>
      <c r="B152" s="22" t="s">
        <v>33</v>
      </c>
      <c r="C152" s="22" t="s">
        <v>44</v>
      </c>
      <c r="D152" s="22" t="s">
        <v>35</v>
      </c>
      <c r="E152" s="24" t="s">
        <v>49</v>
      </c>
      <c r="F152" s="22" t="s">
        <v>229</v>
      </c>
      <c r="G152" s="25">
        <v>1966.74</v>
      </c>
      <c r="H152" s="22" t="s">
        <v>22</v>
      </c>
      <c r="I152" s="22">
        <v>0</v>
      </c>
      <c r="J152" s="22" t="s">
        <v>230</v>
      </c>
      <c r="K152" s="22" t="s">
        <v>23</v>
      </c>
      <c r="L152" s="22">
        <v>4</v>
      </c>
      <c r="M152" s="26">
        <v>56075</v>
      </c>
      <c r="N152" s="26">
        <v>7867</v>
      </c>
      <c r="O152" s="27">
        <f t="shared" si="10"/>
        <v>63942</v>
      </c>
      <c r="P152" s="27">
        <f t="shared" si="11"/>
        <v>32.511669056408067</v>
      </c>
      <c r="Q152" s="25">
        <v>8011</v>
      </c>
      <c r="R152" s="22">
        <v>25</v>
      </c>
      <c r="S152" s="22" t="s">
        <v>296</v>
      </c>
      <c r="T152" s="22">
        <f t="shared" si="12"/>
        <v>10</v>
      </c>
      <c r="U152" s="22">
        <f t="shared" si="13"/>
        <v>2020</v>
      </c>
      <c r="V152" s="22" t="str">
        <f t="shared" si="14"/>
        <v>METROPOLITANA</v>
      </c>
    </row>
    <row r="153" spans="1:22" x14ac:dyDescent="0.2">
      <c r="A153" s="11" t="s">
        <v>297</v>
      </c>
      <c r="B153" s="12" t="s">
        <v>18</v>
      </c>
      <c r="C153" s="12" t="s">
        <v>50</v>
      </c>
      <c r="D153" s="12" t="s">
        <v>20</v>
      </c>
      <c r="E153" s="13" t="s">
        <v>21</v>
      </c>
      <c r="F153" s="12" t="s">
        <v>26</v>
      </c>
      <c r="G153" s="14">
        <v>3260.84</v>
      </c>
      <c r="H153" s="12" t="s">
        <v>22</v>
      </c>
      <c r="I153" s="12">
        <v>0</v>
      </c>
      <c r="J153" s="12" t="s">
        <v>26</v>
      </c>
      <c r="K153" s="12" t="s">
        <v>23</v>
      </c>
      <c r="L153" s="12">
        <v>3</v>
      </c>
      <c r="M153" s="15">
        <v>48075</v>
      </c>
      <c r="N153" s="15">
        <v>0</v>
      </c>
      <c r="O153" s="15">
        <f t="shared" si="10"/>
        <v>48075</v>
      </c>
      <c r="P153" s="15">
        <f t="shared" si="11"/>
        <v>14.743133671078617</v>
      </c>
      <c r="Q153" s="14">
        <v>6868</v>
      </c>
      <c r="R153" s="12">
        <v>47</v>
      </c>
      <c r="S153" s="12" t="s">
        <v>298</v>
      </c>
      <c r="T153" s="22">
        <f t="shared" si="12"/>
        <v>10</v>
      </c>
      <c r="U153" s="22">
        <f t="shared" si="13"/>
        <v>2020</v>
      </c>
      <c r="V153" s="22" t="str">
        <f t="shared" si="14"/>
        <v>METROPOLITANA</v>
      </c>
    </row>
    <row r="154" spans="1:22" x14ac:dyDescent="0.2">
      <c r="A154" s="11" t="s">
        <v>297</v>
      </c>
      <c r="B154" s="12" t="s">
        <v>18</v>
      </c>
      <c r="C154" s="12" t="s">
        <v>57</v>
      </c>
      <c r="D154" s="12" t="s">
        <v>37</v>
      </c>
      <c r="E154" s="13" t="s">
        <v>40</v>
      </c>
      <c r="F154" s="12" t="s">
        <v>58</v>
      </c>
      <c r="G154" s="14">
        <v>2191.42</v>
      </c>
      <c r="H154" s="12" t="s">
        <v>22</v>
      </c>
      <c r="I154" s="12">
        <v>0</v>
      </c>
      <c r="J154" s="12" t="s">
        <v>58</v>
      </c>
      <c r="K154" s="12" t="s">
        <v>23</v>
      </c>
      <c r="L154" s="12">
        <v>5</v>
      </c>
      <c r="M154" s="15">
        <v>70000</v>
      </c>
      <c r="N154" s="15">
        <v>0</v>
      </c>
      <c r="O154" s="15">
        <f t="shared" si="10"/>
        <v>70000</v>
      </c>
      <c r="P154" s="15">
        <f t="shared" si="11"/>
        <v>31.942758576630677</v>
      </c>
      <c r="Q154" s="14">
        <v>12000</v>
      </c>
      <c r="R154" s="12">
        <v>18</v>
      </c>
      <c r="S154" s="12" t="s">
        <v>299</v>
      </c>
      <c r="T154" s="22">
        <f t="shared" si="12"/>
        <v>10</v>
      </c>
      <c r="U154" s="22">
        <f t="shared" si="13"/>
        <v>2020</v>
      </c>
      <c r="V154" s="22" t="str">
        <f t="shared" si="14"/>
        <v>METROPOLITANA</v>
      </c>
    </row>
    <row r="155" spans="1:22" x14ac:dyDescent="0.2">
      <c r="A155" s="11" t="s">
        <v>297</v>
      </c>
      <c r="B155" s="12" t="s">
        <v>18</v>
      </c>
      <c r="C155" s="12" t="s">
        <v>19</v>
      </c>
      <c r="D155" s="12" t="s">
        <v>61</v>
      </c>
      <c r="E155" s="13" t="s">
        <v>62</v>
      </c>
      <c r="F155" s="12" t="s">
        <v>84</v>
      </c>
      <c r="G155" s="14">
        <v>16854.660000000011</v>
      </c>
      <c r="H155" s="12" t="s">
        <v>85</v>
      </c>
      <c r="I155" s="12">
        <v>1</v>
      </c>
      <c r="J155" s="12" t="s">
        <v>84</v>
      </c>
      <c r="K155" s="12" t="s">
        <v>86</v>
      </c>
      <c r="L155" s="12">
        <v>0</v>
      </c>
      <c r="M155" s="15">
        <v>320000</v>
      </c>
      <c r="N155" s="15">
        <v>0</v>
      </c>
      <c r="O155" s="15">
        <f t="shared" si="10"/>
        <v>320000</v>
      </c>
      <c r="P155" s="15">
        <f t="shared" si="11"/>
        <v>18.985847237499883</v>
      </c>
      <c r="Q155" s="14">
        <v>25000</v>
      </c>
      <c r="R155" s="12">
        <v>67</v>
      </c>
      <c r="S155" s="12" t="s">
        <v>300</v>
      </c>
      <c r="T155" s="22">
        <f t="shared" si="12"/>
        <v>10</v>
      </c>
      <c r="U155" s="22">
        <f t="shared" si="13"/>
        <v>2020</v>
      </c>
      <c r="V155" s="22" t="str">
        <f t="shared" si="14"/>
        <v>REGIONES</v>
      </c>
    </row>
    <row r="156" spans="1:22" x14ac:dyDescent="0.2">
      <c r="A156" s="11" t="s">
        <v>297</v>
      </c>
      <c r="B156" s="12" t="s">
        <v>18</v>
      </c>
      <c r="C156" s="12" t="s">
        <v>163</v>
      </c>
      <c r="D156" s="12" t="s">
        <v>164</v>
      </c>
      <c r="E156" s="13" t="s">
        <v>28</v>
      </c>
      <c r="F156" s="12" t="s">
        <v>165</v>
      </c>
      <c r="G156" s="14">
        <v>17417.25</v>
      </c>
      <c r="H156" s="12" t="s">
        <v>22</v>
      </c>
      <c r="I156" s="12">
        <v>1</v>
      </c>
      <c r="J156" s="12" t="s">
        <v>165</v>
      </c>
      <c r="K156" s="12" t="s">
        <v>23</v>
      </c>
      <c r="L156" s="12">
        <v>3</v>
      </c>
      <c r="M156" s="15">
        <v>121921</v>
      </c>
      <c r="N156" s="15">
        <v>0</v>
      </c>
      <c r="O156" s="15">
        <f t="shared" si="10"/>
        <v>121921</v>
      </c>
      <c r="P156" s="15">
        <f t="shared" si="11"/>
        <v>7.0000143535862431</v>
      </c>
      <c r="Q156" s="14">
        <v>6868</v>
      </c>
      <c r="R156" s="12">
        <v>100</v>
      </c>
      <c r="S156" s="12" t="s">
        <v>301</v>
      </c>
      <c r="T156" s="22">
        <f t="shared" si="12"/>
        <v>10</v>
      </c>
      <c r="U156" s="22">
        <f t="shared" si="13"/>
        <v>2020</v>
      </c>
      <c r="V156" s="22" t="str">
        <f t="shared" si="14"/>
        <v>METROPOLITANA</v>
      </c>
    </row>
    <row r="157" spans="1:22" x14ac:dyDescent="0.2">
      <c r="A157" s="11" t="s">
        <v>297</v>
      </c>
      <c r="B157" s="12" t="s">
        <v>33</v>
      </c>
      <c r="C157" s="12" t="s">
        <v>128</v>
      </c>
      <c r="D157" s="12" t="s">
        <v>63</v>
      </c>
      <c r="E157" s="13" t="s">
        <v>64</v>
      </c>
      <c r="F157" s="12" t="s">
        <v>34</v>
      </c>
      <c r="G157" s="14">
        <v>6056.6399999999994</v>
      </c>
      <c r="H157" s="12" t="s">
        <v>65</v>
      </c>
      <c r="I157" s="12">
        <v>0</v>
      </c>
      <c r="J157" s="12" t="s">
        <v>34</v>
      </c>
      <c r="K157" s="12" t="s">
        <v>23</v>
      </c>
      <c r="L157" s="12">
        <v>1</v>
      </c>
      <c r="M157" s="15">
        <v>42396</v>
      </c>
      <c r="N157" s="15">
        <v>18170</v>
      </c>
      <c r="O157" s="15">
        <f t="shared" si="10"/>
        <v>60566</v>
      </c>
      <c r="P157" s="15">
        <f t="shared" si="11"/>
        <v>9.9999339567813195</v>
      </c>
      <c r="Q157" s="14">
        <v>4821</v>
      </c>
      <c r="R157" s="12">
        <v>100</v>
      </c>
      <c r="S157" s="12" t="s">
        <v>302</v>
      </c>
      <c r="T157" s="22">
        <f t="shared" si="12"/>
        <v>10</v>
      </c>
      <c r="U157" s="22">
        <f t="shared" si="13"/>
        <v>2020</v>
      </c>
      <c r="V157" s="22" t="str">
        <f t="shared" si="14"/>
        <v>METROPOLITANA</v>
      </c>
    </row>
    <row r="158" spans="1:22" x14ac:dyDescent="0.2">
      <c r="A158" s="11" t="s">
        <v>297</v>
      </c>
      <c r="B158" s="12" t="s">
        <v>33</v>
      </c>
      <c r="C158" s="12" t="s">
        <v>36</v>
      </c>
      <c r="D158" s="12" t="s">
        <v>303</v>
      </c>
      <c r="E158" s="13" t="s">
        <v>304</v>
      </c>
      <c r="F158" s="12" t="s">
        <v>305</v>
      </c>
      <c r="G158" s="14">
        <f>6891.8+2214</f>
        <v>9105.7999999999993</v>
      </c>
      <c r="H158" s="12" t="s">
        <v>24</v>
      </c>
      <c r="I158" s="12">
        <v>1</v>
      </c>
      <c r="J158" s="12" t="s">
        <v>305</v>
      </c>
      <c r="K158" s="12" t="s">
        <v>306</v>
      </c>
      <c r="L158" s="12">
        <v>0</v>
      </c>
      <c r="M158" s="15">
        <v>1700000</v>
      </c>
      <c r="N158" s="15">
        <v>0</v>
      </c>
      <c r="O158" s="15">
        <f t="shared" si="10"/>
        <v>1700000</v>
      </c>
      <c r="P158" s="15">
        <f t="shared" si="11"/>
        <v>186.69419490873949</v>
      </c>
      <c r="Q158" s="14">
        <v>25000</v>
      </c>
      <c r="R158" s="12">
        <v>28</v>
      </c>
      <c r="S158" s="12" t="s">
        <v>307</v>
      </c>
      <c r="T158" s="22">
        <f t="shared" si="12"/>
        <v>10</v>
      </c>
      <c r="U158" s="22">
        <f t="shared" si="13"/>
        <v>2020</v>
      </c>
      <c r="V158" s="22" t="str">
        <f t="shared" si="14"/>
        <v>REGIONES</v>
      </c>
    </row>
    <row r="159" spans="1:22" x14ac:dyDescent="0.2">
      <c r="A159" s="11" t="s">
        <v>297</v>
      </c>
      <c r="B159" s="12" t="s">
        <v>33</v>
      </c>
      <c r="C159" s="12" t="s">
        <v>36</v>
      </c>
      <c r="D159" s="12" t="s">
        <v>76</v>
      </c>
      <c r="E159" s="13" t="s">
        <v>77</v>
      </c>
      <c r="F159" s="12" t="s">
        <v>308</v>
      </c>
      <c r="G159" s="14">
        <v>10485.52</v>
      </c>
      <c r="H159" s="12" t="s">
        <v>24</v>
      </c>
      <c r="I159" s="12">
        <v>1</v>
      </c>
      <c r="J159" s="12" t="s">
        <v>308</v>
      </c>
      <c r="K159" s="12" t="s">
        <v>78</v>
      </c>
      <c r="L159" s="12">
        <v>0</v>
      </c>
      <c r="M159" s="15">
        <v>230000</v>
      </c>
      <c r="N159" s="15">
        <v>0</v>
      </c>
      <c r="O159" s="15">
        <f t="shared" si="10"/>
        <v>230000</v>
      </c>
      <c r="P159" s="15">
        <f t="shared" si="11"/>
        <v>21.9350113299102</v>
      </c>
      <c r="Q159" s="14">
        <v>25000</v>
      </c>
      <c r="R159" s="12">
        <v>42</v>
      </c>
      <c r="S159" s="12" t="s">
        <v>309</v>
      </c>
      <c r="T159" s="22">
        <f t="shared" si="12"/>
        <v>10</v>
      </c>
      <c r="U159" s="22">
        <f t="shared" si="13"/>
        <v>2020</v>
      </c>
      <c r="V159" s="22" t="str">
        <f t="shared" si="14"/>
        <v>REGIONES</v>
      </c>
    </row>
    <row r="160" spans="1:22" x14ac:dyDescent="0.2">
      <c r="A160" s="11" t="s">
        <v>297</v>
      </c>
      <c r="B160" s="12" t="s">
        <v>33</v>
      </c>
      <c r="C160" s="12" t="s">
        <v>29</v>
      </c>
      <c r="D160" s="12" t="s">
        <v>56</v>
      </c>
      <c r="E160" s="13" t="s">
        <v>88</v>
      </c>
      <c r="F160" s="12" t="s">
        <v>134</v>
      </c>
      <c r="G160" s="14">
        <v>6594.9000000000024</v>
      </c>
      <c r="H160" s="12" t="s">
        <v>22</v>
      </c>
      <c r="I160" s="12">
        <v>0</v>
      </c>
      <c r="J160" s="12" t="s">
        <v>134</v>
      </c>
      <c r="K160" s="12" t="s">
        <v>23</v>
      </c>
      <c r="L160" s="12">
        <v>2</v>
      </c>
      <c r="M160" s="15">
        <v>46164</v>
      </c>
      <c r="N160" s="15">
        <v>26380</v>
      </c>
      <c r="O160" s="15">
        <f t="shared" si="10"/>
        <v>72544</v>
      </c>
      <c r="P160" s="15">
        <f t="shared" si="11"/>
        <v>11.00001516323219</v>
      </c>
      <c r="Q160" s="14">
        <v>5782</v>
      </c>
      <c r="R160" s="12">
        <v>100</v>
      </c>
      <c r="S160" s="12" t="s">
        <v>310</v>
      </c>
      <c r="T160" s="22">
        <f t="shared" si="12"/>
        <v>10</v>
      </c>
      <c r="U160" s="22">
        <f t="shared" si="13"/>
        <v>2020</v>
      </c>
      <c r="V160" s="22" t="str">
        <f t="shared" si="14"/>
        <v>METROPOLITANA</v>
      </c>
    </row>
    <row r="161" spans="1:22" x14ac:dyDescent="0.2">
      <c r="A161" s="11" t="s">
        <v>297</v>
      </c>
      <c r="B161" s="12" t="s">
        <v>33</v>
      </c>
      <c r="C161" s="12" t="s">
        <v>29</v>
      </c>
      <c r="D161" s="12" t="s">
        <v>311</v>
      </c>
      <c r="E161" s="13" t="s">
        <v>312</v>
      </c>
      <c r="F161" s="12" t="s">
        <v>313</v>
      </c>
      <c r="G161" s="14">
        <v>15888.800000000001</v>
      </c>
      <c r="H161" s="12" t="s">
        <v>85</v>
      </c>
      <c r="I161" s="12">
        <v>1</v>
      </c>
      <c r="J161" s="12" t="s">
        <v>313</v>
      </c>
      <c r="K161" s="12" t="s">
        <v>75</v>
      </c>
      <c r="L161" s="12">
        <v>0</v>
      </c>
      <c r="M161" s="15">
        <v>390000</v>
      </c>
      <c r="N161" s="15">
        <v>0</v>
      </c>
      <c r="O161" s="15">
        <f t="shared" si="10"/>
        <v>390000</v>
      </c>
      <c r="P161" s="15">
        <f t="shared" si="11"/>
        <v>24.545591863450984</v>
      </c>
      <c r="Q161" s="14">
        <v>25000</v>
      </c>
      <c r="R161" s="12">
        <v>54</v>
      </c>
      <c r="S161" s="12" t="s">
        <v>314</v>
      </c>
      <c r="T161" s="22">
        <f t="shared" si="12"/>
        <v>10</v>
      </c>
      <c r="U161" s="22">
        <f t="shared" si="13"/>
        <v>2020</v>
      </c>
      <c r="V161" s="22" t="str">
        <f t="shared" si="14"/>
        <v>REGIONES</v>
      </c>
    </row>
    <row r="162" spans="1:22" x14ac:dyDescent="0.2">
      <c r="A162" s="11" t="s">
        <v>297</v>
      </c>
      <c r="B162" s="12" t="s">
        <v>33</v>
      </c>
      <c r="C162" s="12" t="s">
        <v>29</v>
      </c>
      <c r="D162" s="12" t="s">
        <v>41</v>
      </c>
      <c r="E162" s="13" t="s">
        <v>42</v>
      </c>
      <c r="F162" s="12" t="s">
        <v>134</v>
      </c>
      <c r="G162" s="14">
        <v>6338.9999999999991</v>
      </c>
      <c r="H162" s="12" t="s">
        <v>43</v>
      </c>
      <c r="I162" s="12">
        <v>0</v>
      </c>
      <c r="J162" s="12" t="s">
        <v>134</v>
      </c>
      <c r="K162" s="12" t="s">
        <v>23</v>
      </c>
      <c r="L162" s="12">
        <v>2</v>
      </c>
      <c r="M162" s="15">
        <v>44373</v>
      </c>
      <c r="N162" s="15">
        <v>19017</v>
      </c>
      <c r="O162" s="15">
        <f t="shared" si="10"/>
        <v>63390</v>
      </c>
      <c r="P162" s="15">
        <f t="shared" si="11"/>
        <v>10.000000000000002</v>
      </c>
      <c r="Q162" s="14">
        <v>5782</v>
      </c>
      <c r="R162" s="12">
        <v>100</v>
      </c>
      <c r="S162" s="12" t="s">
        <v>315</v>
      </c>
      <c r="T162" s="22">
        <f t="shared" si="12"/>
        <v>10</v>
      </c>
      <c r="U162" s="22">
        <f t="shared" si="13"/>
        <v>2020</v>
      </c>
      <c r="V162" s="22" t="str">
        <f t="shared" si="14"/>
        <v>METROPOLITANA</v>
      </c>
    </row>
    <row r="163" spans="1:22" x14ac:dyDescent="0.2">
      <c r="A163" s="11" t="s">
        <v>297</v>
      </c>
      <c r="B163" s="12" t="s">
        <v>33</v>
      </c>
      <c r="C163" s="12" t="s">
        <v>44</v>
      </c>
      <c r="D163" s="12" t="s">
        <v>56</v>
      </c>
      <c r="E163" s="13" t="s">
        <v>52</v>
      </c>
      <c r="F163" s="12" t="s">
        <v>95</v>
      </c>
      <c r="G163" s="14">
        <v>3821.51</v>
      </c>
      <c r="H163" s="12" t="s">
        <v>22</v>
      </c>
      <c r="I163" s="12">
        <v>0</v>
      </c>
      <c r="J163" s="12" t="s">
        <v>95</v>
      </c>
      <c r="K163" s="12" t="s">
        <v>23</v>
      </c>
      <c r="L163" s="12">
        <v>1</v>
      </c>
      <c r="M163" s="15">
        <v>33750</v>
      </c>
      <c r="N163" s="15">
        <v>15286</v>
      </c>
      <c r="O163" s="15">
        <f t="shared" si="10"/>
        <v>49036</v>
      </c>
      <c r="P163" s="15">
        <f t="shared" si="11"/>
        <v>12.831577046769469</v>
      </c>
      <c r="Q163" s="14">
        <v>4821</v>
      </c>
      <c r="R163" s="12">
        <v>79</v>
      </c>
      <c r="S163" s="12" t="s">
        <v>316</v>
      </c>
      <c r="T163" s="22">
        <f t="shared" si="12"/>
        <v>10</v>
      </c>
      <c r="U163" s="22">
        <f t="shared" si="13"/>
        <v>2020</v>
      </c>
      <c r="V163" s="22" t="str">
        <f t="shared" si="14"/>
        <v>METROPOLITANA</v>
      </c>
    </row>
    <row r="164" spans="1:22" x14ac:dyDescent="0.2">
      <c r="A164" s="11" t="s">
        <v>297</v>
      </c>
      <c r="B164" s="12" t="s">
        <v>33</v>
      </c>
      <c r="C164" s="12" t="s">
        <v>44</v>
      </c>
      <c r="D164" s="12" t="s">
        <v>45</v>
      </c>
      <c r="E164" s="13" t="s">
        <v>21</v>
      </c>
      <c r="F164" s="12" t="s">
        <v>46</v>
      </c>
      <c r="G164" s="14">
        <v>2944.71</v>
      </c>
      <c r="H164" s="12" t="s">
        <v>22</v>
      </c>
      <c r="I164" s="12">
        <v>0</v>
      </c>
      <c r="J164" s="12" t="s">
        <v>46</v>
      </c>
      <c r="K164" s="12" t="s">
        <v>23</v>
      </c>
      <c r="L164" s="12">
        <v>2</v>
      </c>
      <c r="M164" s="15">
        <v>40475</v>
      </c>
      <c r="N164" s="15">
        <v>11779</v>
      </c>
      <c r="O164" s="15">
        <f t="shared" si="10"/>
        <v>52254</v>
      </c>
      <c r="P164" s="15">
        <f t="shared" si="11"/>
        <v>17.745041107613314</v>
      </c>
      <c r="Q164" s="14">
        <v>5782</v>
      </c>
      <c r="R164" s="12">
        <v>51</v>
      </c>
      <c r="S164" s="12" t="s">
        <v>317</v>
      </c>
      <c r="T164" s="22">
        <f t="shared" si="12"/>
        <v>10</v>
      </c>
      <c r="U164" s="22">
        <f t="shared" si="13"/>
        <v>2020</v>
      </c>
      <c r="V164" s="22" t="str">
        <f t="shared" si="14"/>
        <v>METROPOLITANA</v>
      </c>
    </row>
    <row r="165" spans="1:22" x14ac:dyDescent="0.2">
      <c r="A165" s="11" t="s">
        <v>297</v>
      </c>
      <c r="B165" s="12" t="s">
        <v>33</v>
      </c>
      <c r="C165" s="12" t="s">
        <v>44</v>
      </c>
      <c r="D165" s="12" t="s">
        <v>47</v>
      </c>
      <c r="E165" s="13" t="s">
        <v>88</v>
      </c>
      <c r="F165" s="12" t="s">
        <v>48</v>
      </c>
      <c r="G165" s="14">
        <v>7523.4100000000017</v>
      </c>
      <c r="H165" s="12" t="s">
        <v>22</v>
      </c>
      <c r="I165" s="12">
        <v>0</v>
      </c>
      <c r="J165" s="12" t="s">
        <v>48</v>
      </c>
      <c r="K165" s="12" t="s">
        <v>23</v>
      </c>
      <c r="L165" s="12">
        <v>1</v>
      </c>
      <c r="M165" s="15">
        <v>52664</v>
      </c>
      <c r="N165" s="15">
        <v>30094</v>
      </c>
      <c r="O165" s="15">
        <f t="shared" si="10"/>
        <v>82758</v>
      </c>
      <c r="P165" s="15">
        <f t="shared" si="11"/>
        <v>11.000065130040763</v>
      </c>
      <c r="Q165" s="14">
        <v>4821</v>
      </c>
      <c r="R165" s="12">
        <v>100</v>
      </c>
      <c r="S165" s="12" t="s">
        <v>318</v>
      </c>
      <c r="T165" s="22">
        <f t="shared" si="12"/>
        <v>10</v>
      </c>
      <c r="U165" s="22">
        <f t="shared" si="13"/>
        <v>2020</v>
      </c>
      <c r="V165" s="22" t="str">
        <f t="shared" si="14"/>
        <v>METROPOLITANA</v>
      </c>
    </row>
    <row r="166" spans="1:22" x14ac:dyDescent="0.2">
      <c r="A166" s="11" t="s">
        <v>297</v>
      </c>
      <c r="B166" s="12" t="s">
        <v>33</v>
      </c>
      <c r="C166" s="12" t="s">
        <v>44</v>
      </c>
      <c r="D166" s="12" t="s">
        <v>35</v>
      </c>
      <c r="E166" s="13" t="s">
        <v>49</v>
      </c>
      <c r="F166" s="12" t="s">
        <v>134</v>
      </c>
      <c r="G166" s="14">
        <v>1645.299999999999</v>
      </c>
      <c r="H166" s="12" t="s">
        <v>22</v>
      </c>
      <c r="I166" s="12">
        <v>0</v>
      </c>
      <c r="J166" s="12" t="s">
        <v>134</v>
      </c>
      <c r="K166" s="12" t="s">
        <v>23</v>
      </c>
      <c r="L166" s="12">
        <v>2</v>
      </c>
      <c r="M166" s="15">
        <v>40475</v>
      </c>
      <c r="N166" s="15">
        <v>6581</v>
      </c>
      <c r="O166" s="15">
        <f t="shared" si="10"/>
        <v>47056</v>
      </c>
      <c r="P166" s="15">
        <f t="shared" si="11"/>
        <v>28.60025527259468</v>
      </c>
      <c r="Q166" s="14">
        <v>5782</v>
      </c>
      <c r="R166" s="12">
        <v>28</v>
      </c>
      <c r="S166" s="12" t="s">
        <v>319</v>
      </c>
      <c r="T166" s="22">
        <f t="shared" si="12"/>
        <v>10</v>
      </c>
      <c r="U166" s="22">
        <f t="shared" si="13"/>
        <v>2020</v>
      </c>
      <c r="V166" s="22" t="str">
        <f t="shared" si="14"/>
        <v>METROPOLITANA</v>
      </c>
    </row>
    <row r="167" spans="1:22" x14ac:dyDescent="0.2">
      <c r="A167" s="23" t="s">
        <v>320</v>
      </c>
      <c r="B167" s="22" t="s">
        <v>54</v>
      </c>
      <c r="C167" s="22" t="s">
        <v>55</v>
      </c>
      <c r="D167" s="22" t="s">
        <v>191</v>
      </c>
      <c r="E167" s="24" t="s">
        <v>192</v>
      </c>
      <c r="F167" s="22" t="s">
        <v>66</v>
      </c>
      <c r="G167" s="25">
        <v>19477.200000000012</v>
      </c>
      <c r="H167" s="22" t="s">
        <v>85</v>
      </c>
      <c r="I167" s="22">
        <v>1</v>
      </c>
      <c r="J167" s="22" t="s">
        <v>66</v>
      </c>
      <c r="K167" s="22" t="s">
        <v>75</v>
      </c>
      <c r="L167" s="22">
        <v>0</v>
      </c>
      <c r="M167" s="26">
        <v>380000</v>
      </c>
      <c r="N167" s="26">
        <v>0</v>
      </c>
      <c r="O167" s="27">
        <f t="shared" si="10"/>
        <v>380000</v>
      </c>
      <c r="P167" s="27">
        <f t="shared" si="11"/>
        <v>19.509991169161879</v>
      </c>
      <c r="Q167" s="25">
        <v>25000</v>
      </c>
      <c r="R167" s="22">
        <v>78</v>
      </c>
      <c r="S167" s="22" t="s">
        <v>321</v>
      </c>
      <c r="T167" s="22">
        <f t="shared" si="12"/>
        <v>10</v>
      </c>
      <c r="U167" s="22">
        <f t="shared" si="13"/>
        <v>2020</v>
      </c>
      <c r="V167" s="22" t="str">
        <f t="shared" si="14"/>
        <v>REGIONES</v>
      </c>
    </row>
    <row r="168" spans="1:22" x14ac:dyDescent="0.2">
      <c r="A168" s="23" t="s">
        <v>320</v>
      </c>
      <c r="B168" s="22" t="s">
        <v>54</v>
      </c>
      <c r="C168" s="22" t="s">
        <v>55</v>
      </c>
      <c r="D168" s="22" t="s">
        <v>121</v>
      </c>
      <c r="E168" s="24" t="s">
        <v>122</v>
      </c>
      <c r="F168" s="22" t="s">
        <v>66</v>
      </c>
      <c r="G168" s="25">
        <v>18355.2</v>
      </c>
      <c r="H168" s="22" t="s">
        <v>85</v>
      </c>
      <c r="I168" s="22">
        <v>1</v>
      </c>
      <c r="J168" s="22" t="s">
        <v>66</v>
      </c>
      <c r="K168" s="22" t="s">
        <v>75</v>
      </c>
      <c r="L168" s="22">
        <v>0</v>
      </c>
      <c r="M168" s="26">
        <v>380000</v>
      </c>
      <c r="N168" s="26">
        <v>0</v>
      </c>
      <c r="O168" s="27">
        <f t="shared" si="10"/>
        <v>380000</v>
      </c>
      <c r="P168" s="27">
        <f t="shared" si="11"/>
        <v>20.702580195258019</v>
      </c>
      <c r="Q168" s="25">
        <v>25000</v>
      </c>
      <c r="R168" s="22">
        <v>73</v>
      </c>
      <c r="S168" s="22" t="s">
        <v>322</v>
      </c>
      <c r="T168" s="22">
        <f t="shared" si="12"/>
        <v>10</v>
      </c>
      <c r="U168" s="22">
        <f t="shared" si="13"/>
        <v>2020</v>
      </c>
      <c r="V168" s="22" t="str">
        <f t="shared" si="14"/>
        <v>REGIONES</v>
      </c>
    </row>
    <row r="169" spans="1:22" x14ac:dyDescent="0.2">
      <c r="A169" s="23" t="s">
        <v>320</v>
      </c>
      <c r="B169" s="22" t="s">
        <v>18</v>
      </c>
      <c r="C169" s="22" t="s">
        <v>19</v>
      </c>
      <c r="D169" s="22" t="s">
        <v>80</v>
      </c>
      <c r="E169" s="24" t="s">
        <v>81</v>
      </c>
      <c r="F169" s="22" t="s">
        <v>92</v>
      </c>
      <c r="G169" s="25">
        <v>18336.36</v>
      </c>
      <c r="H169" s="22" t="s">
        <v>85</v>
      </c>
      <c r="I169" s="22">
        <v>1</v>
      </c>
      <c r="J169" s="22" t="s">
        <v>92</v>
      </c>
      <c r="K169" s="22" t="s">
        <v>93</v>
      </c>
      <c r="L169" s="22">
        <v>0</v>
      </c>
      <c r="M169" s="26">
        <v>620000</v>
      </c>
      <c r="N169" s="26">
        <v>0</v>
      </c>
      <c r="O169" s="27">
        <f t="shared" si="10"/>
        <v>620000</v>
      </c>
      <c r="P169" s="27">
        <f t="shared" si="11"/>
        <v>33.812599665364338</v>
      </c>
      <c r="Q169" s="25">
        <v>25000</v>
      </c>
      <c r="R169" s="22">
        <v>73</v>
      </c>
      <c r="S169" s="22" t="s">
        <v>323</v>
      </c>
      <c r="T169" s="22">
        <f t="shared" si="12"/>
        <v>10</v>
      </c>
      <c r="U169" s="22">
        <f t="shared" si="13"/>
        <v>2020</v>
      </c>
      <c r="V169" s="22" t="str">
        <f t="shared" si="14"/>
        <v>REGIONES</v>
      </c>
    </row>
    <row r="170" spans="1:22" x14ac:dyDescent="0.2">
      <c r="A170" s="23" t="s">
        <v>320</v>
      </c>
      <c r="B170" s="22" t="s">
        <v>18</v>
      </c>
      <c r="C170" s="22" t="s">
        <v>324</v>
      </c>
      <c r="D170" s="22" t="s">
        <v>37</v>
      </c>
      <c r="E170" s="24" t="s">
        <v>40</v>
      </c>
      <c r="F170" s="22" t="s">
        <v>325</v>
      </c>
      <c r="G170" s="25">
        <v>9957.2599999999984</v>
      </c>
      <c r="H170" s="22" t="s">
        <v>22</v>
      </c>
      <c r="I170" s="22">
        <v>0</v>
      </c>
      <c r="J170" s="22" t="s">
        <v>325</v>
      </c>
      <c r="K170" s="22" t="s">
        <v>78</v>
      </c>
      <c r="L170" s="22">
        <v>0</v>
      </c>
      <c r="M170" s="26">
        <v>230000</v>
      </c>
      <c r="N170" s="26">
        <f>G170*4</f>
        <v>39829.039999999994</v>
      </c>
      <c r="O170" s="27">
        <f t="shared" si="10"/>
        <v>269829.03999999998</v>
      </c>
      <c r="P170" s="27">
        <f t="shared" si="11"/>
        <v>27.098723946145828</v>
      </c>
      <c r="Q170" s="25">
        <v>25000</v>
      </c>
      <c r="R170" s="22">
        <v>40</v>
      </c>
      <c r="S170" s="22" t="s">
        <v>326</v>
      </c>
      <c r="T170" s="22">
        <f t="shared" si="12"/>
        <v>10</v>
      </c>
      <c r="U170" s="22">
        <f t="shared" si="13"/>
        <v>2020</v>
      </c>
      <c r="V170" s="22" t="str">
        <f t="shared" si="14"/>
        <v>REGIONES</v>
      </c>
    </row>
    <row r="171" spans="1:22" x14ac:dyDescent="0.2">
      <c r="A171" s="23" t="s">
        <v>320</v>
      </c>
      <c r="B171" s="22" t="s">
        <v>18</v>
      </c>
      <c r="C171" s="22" t="s">
        <v>324</v>
      </c>
      <c r="D171" s="22" t="s">
        <v>27</v>
      </c>
      <c r="E171" s="24" t="s">
        <v>28</v>
      </c>
      <c r="F171" s="22" t="s">
        <v>325</v>
      </c>
      <c r="G171" s="25">
        <v>12026.61</v>
      </c>
      <c r="H171" s="22" t="s">
        <v>22</v>
      </c>
      <c r="I171" s="22">
        <v>1</v>
      </c>
      <c r="J171" s="22" t="s">
        <v>325</v>
      </c>
      <c r="K171" s="22" t="s">
        <v>78</v>
      </c>
      <c r="L171" s="22">
        <v>0</v>
      </c>
      <c r="M171" s="26">
        <v>230000</v>
      </c>
      <c r="N171" s="26">
        <f>G171*4</f>
        <v>48106.44</v>
      </c>
      <c r="O171" s="27">
        <f t="shared" si="10"/>
        <v>278106.44</v>
      </c>
      <c r="P171" s="27">
        <f t="shared" si="11"/>
        <v>23.124258623169787</v>
      </c>
      <c r="Q171" s="25">
        <v>25000</v>
      </c>
      <c r="R171" s="22">
        <v>48</v>
      </c>
      <c r="S171" s="22" t="s">
        <v>327</v>
      </c>
      <c r="T171" s="22">
        <f t="shared" si="12"/>
        <v>10</v>
      </c>
      <c r="U171" s="22">
        <f t="shared" si="13"/>
        <v>2020</v>
      </c>
      <c r="V171" s="22" t="str">
        <f t="shared" si="14"/>
        <v>REGIONES</v>
      </c>
    </row>
    <row r="172" spans="1:22" x14ac:dyDescent="0.2">
      <c r="A172" s="23" t="s">
        <v>320</v>
      </c>
      <c r="B172" s="22" t="s">
        <v>33</v>
      </c>
      <c r="C172" s="22" t="s">
        <v>270</v>
      </c>
      <c r="D172" s="22" t="s">
        <v>63</v>
      </c>
      <c r="E172" s="24" t="s">
        <v>64</v>
      </c>
      <c r="F172" s="22" t="s">
        <v>120</v>
      </c>
      <c r="G172" s="25">
        <v>10352.549999999999</v>
      </c>
      <c r="H172" s="22" t="s">
        <v>65</v>
      </c>
      <c r="I172" s="22">
        <v>0</v>
      </c>
      <c r="J172" s="22" t="s">
        <v>120</v>
      </c>
      <c r="K172" s="22" t="s">
        <v>23</v>
      </c>
      <c r="L172" s="22">
        <v>5</v>
      </c>
      <c r="M172" s="26">
        <v>70000</v>
      </c>
      <c r="N172" s="26">
        <f>G172*4</f>
        <v>41410.199999999997</v>
      </c>
      <c r="O172" s="27">
        <f t="shared" si="10"/>
        <v>111410.2</v>
      </c>
      <c r="P172" s="27">
        <f t="shared" si="11"/>
        <v>10.761619117995084</v>
      </c>
      <c r="Q172" s="25">
        <v>12000</v>
      </c>
      <c r="R172" s="22">
        <v>86</v>
      </c>
      <c r="S172" s="22" t="s">
        <v>328</v>
      </c>
      <c r="T172" s="22">
        <f t="shared" si="12"/>
        <v>10</v>
      </c>
      <c r="U172" s="22">
        <f t="shared" si="13"/>
        <v>2020</v>
      </c>
      <c r="V172" s="22" t="str">
        <f t="shared" si="14"/>
        <v>METROPOLITANA</v>
      </c>
    </row>
    <row r="173" spans="1:22" x14ac:dyDescent="0.2">
      <c r="A173" s="23" t="s">
        <v>320</v>
      </c>
      <c r="B173" s="22" t="s">
        <v>33</v>
      </c>
      <c r="C173" s="22" t="s">
        <v>50</v>
      </c>
      <c r="D173" s="22" t="s">
        <v>38</v>
      </c>
      <c r="E173" s="24" t="s">
        <v>42</v>
      </c>
      <c r="F173" s="22" t="s">
        <v>26</v>
      </c>
      <c r="G173" s="25">
        <v>14683.2</v>
      </c>
      <c r="H173" s="22" t="s">
        <v>43</v>
      </c>
      <c r="I173" s="22">
        <v>0</v>
      </c>
      <c r="J173" s="22" t="s">
        <v>26</v>
      </c>
      <c r="K173" s="22" t="s">
        <v>23</v>
      </c>
      <c r="L173" s="22">
        <v>3</v>
      </c>
      <c r="M173" s="26">
        <v>102782</v>
      </c>
      <c r="N173" s="26">
        <f>G173*4</f>
        <v>58732.800000000003</v>
      </c>
      <c r="O173" s="27">
        <f t="shared" si="10"/>
        <v>161514.79999999999</v>
      </c>
      <c r="P173" s="27">
        <f t="shared" si="11"/>
        <v>10.99997275798191</v>
      </c>
      <c r="Q173" s="25">
        <v>6868</v>
      </c>
      <c r="R173" s="22">
        <v>100</v>
      </c>
      <c r="S173" s="22" t="s">
        <v>329</v>
      </c>
      <c r="T173" s="22">
        <f t="shared" si="12"/>
        <v>10</v>
      </c>
      <c r="U173" s="22">
        <f t="shared" si="13"/>
        <v>2020</v>
      </c>
      <c r="V173" s="22" t="str">
        <f t="shared" si="14"/>
        <v>METROPOLITANA</v>
      </c>
    </row>
    <row r="174" spans="1:22" x14ac:dyDescent="0.2">
      <c r="A174" s="23" t="s">
        <v>320</v>
      </c>
      <c r="B174" s="22" t="s">
        <v>33</v>
      </c>
      <c r="C174" s="22" t="s">
        <v>50</v>
      </c>
      <c r="D174" s="22" t="s">
        <v>30</v>
      </c>
      <c r="E174" s="24" t="s">
        <v>31</v>
      </c>
      <c r="F174" s="22" t="s">
        <v>26</v>
      </c>
      <c r="G174" s="25">
        <v>13420</v>
      </c>
      <c r="H174" s="22" t="s">
        <v>32</v>
      </c>
      <c r="I174" s="22">
        <v>0</v>
      </c>
      <c r="J174" s="22" t="s">
        <v>26</v>
      </c>
      <c r="K174" s="22" t="s">
        <v>23</v>
      </c>
      <c r="L174" s="22">
        <v>3</v>
      </c>
      <c r="M174" s="26">
        <v>93940</v>
      </c>
      <c r="N174" s="26">
        <f>G174*4</f>
        <v>53680</v>
      </c>
      <c r="O174" s="27">
        <f t="shared" si="10"/>
        <v>147620</v>
      </c>
      <c r="P174" s="27">
        <f t="shared" si="11"/>
        <v>11</v>
      </c>
      <c r="Q174" s="25">
        <v>6868</v>
      </c>
      <c r="R174" s="22">
        <v>100</v>
      </c>
      <c r="S174" s="22" t="s">
        <v>330</v>
      </c>
      <c r="T174" s="22">
        <f t="shared" si="12"/>
        <v>10</v>
      </c>
      <c r="U174" s="22">
        <f t="shared" si="13"/>
        <v>2020</v>
      </c>
      <c r="V174" s="22" t="str">
        <f t="shared" si="14"/>
        <v>METROPOLITANA</v>
      </c>
    </row>
    <row r="175" spans="1:22" x14ac:dyDescent="0.2">
      <c r="A175" s="23" t="s">
        <v>320</v>
      </c>
      <c r="B175" s="22" t="s">
        <v>33</v>
      </c>
      <c r="C175" s="22" t="s">
        <v>331</v>
      </c>
      <c r="D175" s="22" t="s">
        <v>188</v>
      </c>
      <c r="E175" s="24" t="s">
        <v>189</v>
      </c>
      <c r="F175" s="22" t="s">
        <v>129</v>
      </c>
      <c r="G175" s="25">
        <v>209.572</v>
      </c>
      <c r="H175" s="22" t="s">
        <v>190</v>
      </c>
      <c r="I175" s="22">
        <v>0</v>
      </c>
      <c r="J175" s="22" t="s">
        <v>129</v>
      </c>
      <c r="K175" s="22" t="s">
        <v>23</v>
      </c>
      <c r="L175" s="22">
        <v>1</v>
      </c>
      <c r="M175" s="26">
        <v>33750</v>
      </c>
      <c r="N175" s="26">
        <v>0</v>
      </c>
      <c r="O175" s="27">
        <f t="shared" si="10"/>
        <v>33750</v>
      </c>
      <c r="P175" s="27">
        <f t="shared" si="11"/>
        <v>161.04250567823945</v>
      </c>
      <c r="Q175" s="25">
        <v>4821</v>
      </c>
      <c r="R175" s="22">
        <v>4</v>
      </c>
      <c r="S175" s="22" t="s">
        <v>332</v>
      </c>
      <c r="T175" s="22">
        <f t="shared" si="12"/>
        <v>10</v>
      </c>
      <c r="U175" s="22">
        <f t="shared" si="13"/>
        <v>2020</v>
      </c>
      <c r="V175" s="22" t="str">
        <f t="shared" si="14"/>
        <v>METROPOLITANA</v>
      </c>
    </row>
    <row r="176" spans="1:22" x14ac:dyDescent="0.2">
      <c r="A176" s="23" t="s">
        <v>320</v>
      </c>
      <c r="B176" s="22" t="s">
        <v>33</v>
      </c>
      <c r="C176" s="22" t="s">
        <v>163</v>
      </c>
      <c r="D176" s="22" t="s">
        <v>164</v>
      </c>
      <c r="E176" s="24" t="s">
        <v>25</v>
      </c>
      <c r="F176" s="22" t="s">
        <v>165</v>
      </c>
      <c r="G176" s="25">
        <v>9544.08</v>
      </c>
      <c r="H176" s="22" t="s">
        <v>22</v>
      </c>
      <c r="I176" s="22">
        <v>1</v>
      </c>
      <c r="J176" s="22" t="s">
        <v>165</v>
      </c>
      <c r="K176" s="22" t="s">
        <v>23</v>
      </c>
      <c r="L176" s="22">
        <v>3</v>
      </c>
      <c r="M176" s="26">
        <v>66809</v>
      </c>
      <c r="N176" s="26">
        <f>G176*4</f>
        <v>38176.32</v>
      </c>
      <c r="O176" s="27">
        <f t="shared" si="10"/>
        <v>104985.32</v>
      </c>
      <c r="P176" s="27">
        <f t="shared" si="11"/>
        <v>11.000046101876766</v>
      </c>
      <c r="Q176" s="25">
        <v>6868</v>
      </c>
      <c r="R176" s="22">
        <v>100</v>
      </c>
      <c r="S176" s="22" t="s">
        <v>333</v>
      </c>
      <c r="T176" s="22">
        <f t="shared" si="12"/>
        <v>10</v>
      </c>
      <c r="U176" s="22">
        <f t="shared" si="13"/>
        <v>2020</v>
      </c>
      <c r="V176" s="22" t="str">
        <f t="shared" si="14"/>
        <v>METROPOLITANA</v>
      </c>
    </row>
    <row r="177" spans="1:22" x14ac:dyDescent="0.2">
      <c r="A177" s="23" t="s">
        <v>320</v>
      </c>
      <c r="B177" s="22" t="s">
        <v>33</v>
      </c>
      <c r="C177" s="22" t="s">
        <v>163</v>
      </c>
      <c r="D177" s="22" t="s">
        <v>20</v>
      </c>
      <c r="E177" s="24" t="s">
        <v>88</v>
      </c>
      <c r="F177" s="22" t="s">
        <v>165</v>
      </c>
      <c r="G177" s="25">
        <v>8809.92</v>
      </c>
      <c r="H177" s="22" t="s">
        <v>22</v>
      </c>
      <c r="I177" s="22">
        <v>0</v>
      </c>
      <c r="J177" s="22" t="s">
        <v>165</v>
      </c>
      <c r="K177" s="22" t="s">
        <v>23</v>
      </c>
      <c r="L177" s="22">
        <v>3</v>
      </c>
      <c r="M177" s="26">
        <v>61669</v>
      </c>
      <c r="N177" s="26">
        <f>G177*4</f>
        <v>35239.68</v>
      </c>
      <c r="O177" s="27">
        <f t="shared" si="10"/>
        <v>96908.68</v>
      </c>
      <c r="P177" s="27">
        <f t="shared" si="11"/>
        <v>10.99995005630017</v>
      </c>
      <c r="Q177" s="25">
        <v>6868</v>
      </c>
      <c r="R177" s="22">
        <v>100</v>
      </c>
      <c r="S177" s="22" t="s">
        <v>334</v>
      </c>
      <c r="T177" s="22">
        <f t="shared" si="12"/>
        <v>10</v>
      </c>
      <c r="U177" s="22">
        <f t="shared" si="13"/>
        <v>2020</v>
      </c>
      <c r="V177" s="22" t="str">
        <f t="shared" si="14"/>
        <v>METROPOLITANA</v>
      </c>
    </row>
    <row r="178" spans="1:22" x14ac:dyDescent="0.2">
      <c r="A178" s="23" t="s">
        <v>320</v>
      </c>
      <c r="B178" s="22" t="s">
        <v>33</v>
      </c>
      <c r="C178" s="22" t="s">
        <v>335</v>
      </c>
      <c r="D178" s="22" t="s">
        <v>35</v>
      </c>
      <c r="E178" s="24" t="s">
        <v>49</v>
      </c>
      <c r="F178" s="22" t="s">
        <v>336</v>
      </c>
      <c r="G178" s="25">
        <v>2777.6</v>
      </c>
      <c r="H178" s="22" t="s">
        <v>22</v>
      </c>
      <c r="I178" s="22">
        <v>0</v>
      </c>
      <c r="J178" s="22" t="s">
        <v>120</v>
      </c>
      <c r="K178" s="22" t="s">
        <v>23</v>
      </c>
      <c r="L178" s="22">
        <v>5</v>
      </c>
      <c r="M178" s="26">
        <v>70000</v>
      </c>
      <c r="N178" s="26">
        <f>G178*4</f>
        <v>11110.4</v>
      </c>
      <c r="O178" s="27">
        <f t="shared" si="10"/>
        <v>81110.399999999994</v>
      </c>
      <c r="P178" s="27">
        <f t="shared" si="11"/>
        <v>29.201612903225804</v>
      </c>
      <c r="Q178" s="25">
        <v>12000</v>
      </c>
      <c r="R178" s="22">
        <v>23</v>
      </c>
      <c r="S178" s="22" t="s">
        <v>337</v>
      </c>
      <c r="T178" s="22">
        <f t="shared" si="12"/>
        <v>10</v>
      </c>
      <c r="U178" s="22">
        <f t="shared" si="13"/>
        <v>2020</v>
      </c>
      <c r="V178" s="22" t="str">
        <f t="shared" si="14"/>
        <v>METROPOLITANA</v>
      </c>
    </row>
    <row r="179" spans="1:22" x14ac:dyDescent="0.2">
      <c r="A179" s="23" t="s">
        <v>320</v>
      </c>
      <c r="B179" s="22" t="s">
        <v>33</v>
      </c>
      <c r="C179" s="22" t="s">
        <v>44</v>
      </c>
      <c r="D179" s="22" t="s">
        <v>56</v>
      </c>
      <c r="E179" s="24" t="s">
        <v>28</v>
      </c>
      <c r="F179" s="22" t="s">
        <v>51</v>
      </c>
      <c r="G179" s="25">
        <v>4338.6000000000004</v>
      </c>
      <c r="H179" s="22" t="s">
        <v>22</v>
      </c>
      <c r="I179" s="22">
        <v>0</v>
      </c>
      <c r="J179" s="22" t="s">
        <v>51</v>
      </c>
      <c r="K179" s="22" t="s">
        <v>23</v>
      </c>
      <c r="L179" s="22">
        <v>4</v>
      </c>
      <c r="M179" s="26">
        <v>56075</v>
      </c>
      <c r="N179" s="26">
        <v>17354</v>
      </c>
      <c r="O179" s="27">
        <f t="shared" si="10"/>
        <v>73429</v>
      </c>
      <c r="P179" s="27">
        <f t="shared" si="11"/>
        <v>16.92458396717835</v>
      </c>
      <c r="Q179" s="25">
        <v>8011</v>
      </c>
      <c r="R179" s="22">
        <v>54</v>
      </c>
      <c r="S179" s="22" t="s">
        <v>338</v>
      </c>
      <c r="T179" s="22">
        <f t="shared" si="12"/>
        <v>10</v>
      </c>
      <c r="U179" s="22">
        <f t="shared" si="13"/>
        <v>2020</v>
      </c>
      <c r="V179" s="22" t="str">
        <f t="shared" si="14"/>
        <v>METROPOLITANA</v>
      </c>
    </row>
    <row r="180" spans="1:22" x14ac:dyDescent="0.2">
      <c r="A180" s="23" t="s">
        <v>320</v>
      </c>
      <c r="B180" s="22" t="s">
        <v>33</v>
      </c>
      <c r="C180" s="22" t="s">
        <v>44</v>
      </c>
      <c r="D180" s="22" t="s">
        <v>45</v>
      </c>
      <c r="E180" s="24" t="s">
        <v>52</v>
      </c>
      <c r="F180" s="22" t="s">
        <v>95</v>
      </c>
      <c r="G180" s="25">
        <v>3380.7</v>
      </c>
      <c r="H180" s="22" t="s">
        <v>22</v>
      </c>
      <c r="I180" s="22">
        <v>0</v>
      </c>
      <c r="J180" s="22" t="s">
        <v>95</v>
      </c>
      <c r="K180" s="22" t="s">
        <v>23</v>
      </c>
      <c r="L180" s="22">
        <v>1</v>
      </c>
      <c r="M180" s="26">
        <v>33750</v>
      </c>
      <c r="N180" s="26">
        <v>13523</v>
      </c>
      <c r="O180" s="27">
        <f t="shared" si="10"/>
        <v>47273</v>
      </c>
      <c r="P180" s="27">
        <f t="shared" si="11"/>
        <v>13.983198745821872</v>
      </c>
      <c r="Q180" s="25">
        <v>4821</v>
      </c>
      <c r="R180" s="22">
        <v>70</v>
      </c>
      <c r="S180" s="22" t="s">
        <v>339</v>
      </c>
      <c r="T180" s="22">
        <f t="shared" si="12"/>
        <v>10</v>
      </c>
      <c r="U180" s="22">
        <f t="shared" si="13"/>
        <v>2020</v>
      </c>
      <c r="V180" s="22" t="str">
        <f t="shared" si="14"/>
        <v>METROPOLITANA</v>
      </c>
    </row>
    <row r="181" spans="1:22" x14ac:dyDescent="0.2">
      <c r="A181" s="23" t="s">
        <v>320</v>
      </c>
      <c r="B181" s="22" t="s">
        <v>33</v>
      </c>
      <c r="C181" s="22" t="s">
        <v>44</v>
      </c>
      <c r="D181" s="22" t="s">
        <v>47</v>
      </c>
      <c r="E181" s="24" t="s">
        <v>21</v>
      </c>
      <c r="F181" s="22" t="s">
        <v>48</v>
      </c>
      <c r="G181" s="25">
        <v>2826.3</v>
      </c>
      <c r="H181" s="22" t="s">
        <v>22</v>
      </c>
      <c r="I181" s="22">
        <v>0</v>
      </c>
      <c r="J181" s="22" t="s">
        <v>48</v>
      </c>
      <c r="K181" s="22" t="s">
        <v>23</v>
      </c>
      <c r="L181" s="22">
        <v>1</v>
      </c>
      <c r="M181" s="26">
        <v>33750</v>
      </c>
      <c r="N181" s="26">
        <v>11305</v>
      </c>
      <c r="O181" s="27">
        <f t="shared" si="10"/>
        <v>45055</v>
      </c>
      <c r="P181" s="27">
        <f t="shared" si="11"/>
        <v>15.941336730000353</v>
      </c>
      <c r="Q181" s="25">
        <v>4821</v>
      </c>
      <c r="R181" s="22">
        <v>59</v>
      </c>
      <c r="S181" s="22" t="s">
        <v>340</v>
      </c>
      <c r="T181" s="22">
        <f t="shared" si="12"/>
        <v>10</v>
      </c>
      <c r="U181" s="22">
        <f t="shared" si="13"/>
        <v>2020</v>
      </c>
      <c r="V181" s="22" t="str">
        <f t="shared" si="14"/>
        <v>METROPOLITANA</v>
      </c>
    </row>
    <row r="182" spans="1:22" x14ac:dyDescent="0.2">
      <c r="A182" s="23" t="s">
        <v>320</v>
      </c>
      <c r="B182" s="22" t="s">
        <v>33</v>
      </c>
      <c r="C182" s="22" t="s">
        <v>44</v>
      </c>
      <c r="D182" s="22" t="s">
        <v>35</v>
      </c>
      <c r="E182" s="24" t="s">
        <v>49</v>
      </c>
      <c r="F182" s="22" t="s">
        <v>94</v>
      </c>
      <c r="G182" s="25">
        <v>3198.3</v>
      </c>
      <c r="H182" s="22" t="s">
        <v>22</v>
      </c>
      <c r="I182" s="22">
        <v>0</v>
      </c>
      <c r="J182" s="22" t="s">
        <v>59</v>
      </c>
      <c r="K182" s="22" t="s">
        <v>78</v>
      </c>
      <c r="L182" s="22">
        <v>0</v>
      </c>
      <c r="M182" s="26">
        <v>180000</v>
      </c>
      <c r="N182" s="26">
        <v>0</v>
      </c>
      <c r="O182" s="27">
        <f t="shared" si="10"/>
        <v>180000</v>
      </c>
      <c r="P182" s="27">
        <f t="shared" si="11"/>
        <v>56.279898696182343</v>
      </c>
      <c r="Q182" s="25">
        <v>25000</v>
      </c>
      <c r="R182" s="22">
        <v>13</v>
      </c>
      <c r="S182" s="22" t="s">
        <v>341</v>
      </c>
      <c r="T182" s="22">
        <f t="shared" si="12"/>
        <v>10</v>
      </c>
      <c r="U182" s="22">
        <f t="shared" si="13"/>
        <v>2020</v>
      </c>
      <c r="V182" s="22" t="str">
        <f t="shared" si="14"/>
        <v>REGIONES</v>
      </c>
    </row>
    <row r="183" spans="1:22" x14ac:dyDescent="0.2">
      <c r="A183" s="23" t="s">
        <v>320</v>
      </c>
      <c r="B183" s="22" t="s">
        <v>33</v>
      </c>
      <c r="C183" s="22" t="s">
        <v>44</v>
      </c>
      <c r="D183" s="22" t="s">
        <v>20</v>
      </c>
      <c r="E183" s="24" t="s">
        <v>88</v>
      </c>
      <c r="F183" s="22" t="s">
        <v>26</v>
      </c>
      <c r="G183" s="25">
        <v>1840.8</v>
      </c>
      <c r="H183" s="22" t="s">
        <v>22</v>
      </c>
      <c r="I183" s="22">
        <v>0</v>
      </c>
      <c r="J183" s="22" t="s">
        <v>26</v>
      </c>
      <c r="K183" s="22" t="s">
        <v>23</v>
      </c>
      <c r="L183" s="22">
        <v>3</v>
      </c>
      <c r="M183" s="26">
        <v>48075</v>
      </c>
      <c r="N183" s="26">
        <v>7363</v>
      </c>
      <c r="O183" s="27">
        <f t="shared" si="10"/>
        <v>55438</v>
      </c>
      <c r="P183" s="27">
        <f t="shared" si="11"/>
        <v>30.11625380269448</v>
      </c>
      <c r="Q183" s="25">
        <v>6868</v>
      </c>
      <c r="R183" s="22">
        <v>27</v>
      </c>
      <c r="S183" s="22" t="s">
        <v>342</v>
      </c>
      <c r="T183" s="22">
        <f t="shared" si="12"/>
        <v>10</v>
      </c>
      <c r="U183" s="22">
        <f t="shared" si="13"/>
        <v>2020</v>
      </c>
      <c r="V183" s="22" t="str">
        <f t="shared" si="14"/>
        <v>METROPOLITANA</v>
      </c>
    </row>
    <row r="184" spans="1:22" x14ac:dyDescent="0.2">
      <c r="A184" s="11" t="s">
        <v>343</v>
      </c>
      <c r="B184" s="12" t="s">
        <v>54</v>
      </c>
      <c r="C184" s="12" t="s">
        <v>55</v>
      </c>
      <c r="D184" s="12" t="s">
        <v>344</v>
      </c>
      <c r="E184" s="13" t="s">
        <v>345</v>
      </c>
      <c r="F184" s="12" t="s">
        <v>66</v>
      </c>
      <c r="G184" s="14">
        <v>25160.20000000003</v>
      </c>
      <c r="H184" s="12" t="s">
        <v>24</v>
      </c>
      <c r="I184" s="12">
        <v>1</v>
      </c>
      <c r="J184" s="12" t="s">
        <v>66</v>
      </c>
      <c r="K184" s="12" t="s">
        <v>75</v>
      </c>
      <c r="L184" s="12">
        <v>0</v>
      </c>
      <c r="M184" s="15">
        <v>380000</v>
      </c>
      <c r="N184" s="15">
        <v>0</v>
      </c>
      <c r="O184" s="15">
        <f t="shared" si="10"/>
        <v>380000</v>
      </c>
      <c r="P184" s="15">
        <f t="shared" si="11"/>
        <v>15.103218575369016</v>
      </c>
      <c r="Q184" s="14">
        <v>25000</v>
      </c>
      <c r="R184" s="12">
        <v>100</v>
      </c>
      <c r="S184" s="12" t="s">
        <v>346</v>
      </c>
      <c r="T184" s="22">
        <f t="shared" si="12"/>
        <v>10</v>
      </c>
      <c r="U184" s="22">
        <f t="shared" si="13"/>
        <v>2020</v>
      </c>
      <c r="V184" s="22" t="str">
        <f t="shared" si="14"/>
        <v>REGIONES</v>
      </c>
    </row>
    <row r="185" spans="1:22" x14ac:dyDescent="0.2">
      <c r="A185" s="11" t="s">
        <v>343</v>
      </c>
      <c r="B185" s="12" t="s">
        <v>18</v>
      </c>
      <c r="C185" s="12" t="s">
        <v>50</v>
      </c>
      <c r="D185" s="12" t="s">
        <v>30</v>
      </c>
      <c r="E185" s="13" t="s">
        <v>31</v>
      </c>
      <c r="F185" s="12" t="s">
        <v>26</v>
      </c>
      <c r="G185" s="14">
        <v>10597.73</v>
      </c>
      <c r="H185" s="12" t="s">
        <v>32</v>
      </c>
      <c r="I185" s="12">
        <v>0</v>
      </c>
      <c r="J185" s="12" t="s">
        <v>26</v>
      </c>
      <c r="K185" s="12" t="s">
        <v>23</v>
      </c>
      <c r="L185" s="12">
        <v>3</v>
      </c>
      <c r="M185" s="15">
        <v>74184</v>
      </c>
      <c r="N185" s="15">
        <f>G185*3</f>
        <v>31793.19</v>
      </c>
      <c r="O185" s="15">
        <f t="shared" si="10"/>
        <v>105977.19</v>
      </c>
      <c r="P185" s="15">
        <f t="shared" si="11"/>
        <v>9.9999896204187131</v>
      </c>
      <c r="Q185" s="14">
        <v>6868</v>
      </c>
      <c r="R185" s="12">
        <v>100</v>
      </c>
      <c r="S185" s="12" t="s">
        <v>347</v>
      </c>
      <c r="T185" s="22">
        <f t="shared" si="12"/>
        <v>10</v>
      </c>
      <c r="U185" s="22">
        <f t="shared" si="13"/>
        <v>2020</v>
      </c>
      <c r="V185" s="22" t="str">
        <f t="shared" si="14"/>
        <v>METROPOLITANA</v>
      </c>
    </row>
    <row r="186" spans="1:22" x14ac:dyDescent="0.2">
      <c r="A186" s="11" t="s">
        <v>343</v>
      </c>
      <c r="B186" s="12" t="s">
        <v>18</v>
      </c>
      <c r="C186" s="12" t="s">
        <v>50</v>
      </c>
      <c r="D186" s="12" t="s">
        <v>41</v>
      </c>
      <c r="E186" s="13" t="s">
        <v>25</v>
      </c>
      <c r="F186" s="12" t="s">
        <v>26</v>
      </c>
      <c r="G186" s="14">
        <v>8374.43</v>
      </c>
      <c r="H186" s="12" t="s">
        <v>43</v>
      </c>
      <c r="I186" s="12">
        <v>0</v>
      </c>
      <c r="J186" s="12" t="s">
        <v>26</v>
      </c>
      <c r="K186" s="12" t="s">
        <v>23</v>
      </c>
      <c r="L186" s="12">
        <v>3</v>
      </c>
      <c r="M186" s="15">
        <v>58621</v>
      </c>
      <c r="N186" s="15">
        <f>G186*3</f>
        <v>25123.29</v>
      </c>
      <c r="O186" s="15">
        <f t="shared" si="10"/>
        <v>83744.290000000008</v>
      </c>
      <c r="P186" s="15">
        <f t="shared" si="11"/>
        <v>9.9999988058888789</v>
      </c>
      <c r="Q186" s="14">
        <v>6868</v>
      </c>
      <c r="R186" s="12">
        <v>100</v>
      </c>
      <c r="S186" s="12" t="s">
        <v>348</v>
      </c>
      <c r="T186" s="22">
        <f t="shared" si="12"/>
        <v>10</v>
      </c>
      <c r="U186" s="22">
        <f t="shared" si="13"/>
        <v>2020</v>
      </c>
      <c r="V186" s="22" t="str">
        <f t="shared" si="14"/>
        <v>METROPOLITANA</v>
      </c>
    </row>
    <row r="187" spans="1:22" x14ac:dyDescent="0.2">
      <c r="A187" s="11" t="s">
        <v>343</v>
      </c>
      <c r="B187" s="12" t="s">
        <v>18</v>
      </c>
      <c r="C187" s="12" t="s">
        <v>57</v>
      </c>
      <c r="D187" s="12" t="s">
        <v>37</v>
      </c>
      <c r="E187" s="13" t="s">
        <v>40</v>
      </c>
      <c r="F187" s="12" t="s">
        <v>120</v>
      </c>
      <c r="G187" s="14">
        <v>12144.73</v>
      </c>
      <c r="H187" s="12" t="s">
        <v>22</v>
      </c>
      <c r="I187" s="12">
        <v>0</v>
      </c>
      <c r="J187" s="12" t="s">
        <v>120</v>
      </c>
      <c r="K187" s="12" t="s">
        <v>23</v>
      </c>
      <c r="L187" s="12">
        <v>5</v>
      </c>
      <c r="M187" s="15">
        <v>70000</v>
      </c>
      <c r="N187" s="15">
        <f>G187*4</f>
        <v>48578.92</v>
      </c>
      <c r="O187" s="15">
        <f t="shared" si="10"/>
        <v>118578.92</v>
      </c>
      <c r="P187" s="15">
        <f t="shared" si="11"/>
        <v>9.7638168983583835</v>
      </c>
      <c r="Q187" s="14">
        <v>12000</v>
      </c>
      <c r="R187" s="12">
        <v>100</v>
      </c>
      <c r="S187" s="12" t="s">
        <v>349</v>
      </c>
      <c r="T187" s="22">
        <f t="shared" si="12"/>
        <v>10</v>
      </c>
      <c r="U187" s="22">
        <f t="shared" si="13"/>
        <v>2020</v>
      </c>
      <c r="V187" s="22" t="str">
        <f t="shared" si="14"/>
        <v>METROPOLITANA</v>
      </c>
    </row>
    <row r="188" spans="1:22" x14ac:dyDescent="0.2">
      <c r="A188" s="11" t="s">
        <v>343</v>
      </c>
      <c r="B188" s="12" t="s">
        <v>18</v>
      </c>
      <c r="C188" s="12" t="s">
        <v>57</v>
      </c>
      <c r="D188" s="12" t="s">
        <v>41</v>
      </c>
      <c r="E188" s="13" t="s">
        <v>25</v>
      </c>
      <c r="F188" s="12" t="s">
        <v>120</v>
      </c>
      <c r="G188" s="14">
        <v>10854.96</v>
      </c>
      <c r="H188" s="12" t="s">
        <v>43</v>
      </c>
      <c r="I188" s="12">
        <v>0</v>
      </c>
      <c r="J188" s="12" t="s">
        <v>120</v>
      </c>
      <c r="K188" s="12" t="s">
        <v>23</v>
      </c>
      <c r="L188" s="12">
        <v>5</v>
      </c>
      <c r="M188" s="15">
        <v>70000</v>
      </c>
      <c r="N188" s="15">
        <f>G188*3</f>
        <v>32564.879999999997</v>
      </c>
      <c r="O188" s="15">
        <f t="shared" si="10"/>
        <v>102564.88</v>
      </c>
      <c r="P188" s="15">
        <f t="shared" si="11"/>
        <v>9.4486649421094153</v>
      </c>
      <c r="Q188" s="14">
        <v>12000</v>
      </c>
      <c r="R188" s="12">
        <v>90</v>
      </c>
      <c r="S188" s="12" t="s">
        <v>350</v>
      </c>
      <c r="T188" s="22">
        <f t="shared" si="12"/>
        <v>10</v>
      </c>
      <c r="U188" s="22">
        <f t="shared" si="13"/>
        <v>2020</v>
      </c>
      <c r="V188" s="22" t="str">
        <f t="shared" si="14"/>
        <v>METROPOLITANA</v>
      </c>
    </row>
    <row r="189" spans="1:22" x14ac:dyDescent="0.2">
      <c r="A189" s="11" t="s">
        <v>343</v>
      </c>
      <c r="B189" s="12" t="s">
        <v>18</v>
      </c>
      <c r="C189" s="12" t="s">
        <v>19</v>
      </c>
      <c r="D189" s="12" t="s">
        <v>82</v>
      </c>
      <c r="E189" s="13" t="s">
        <v>83</v>
      </c>
      <c r="F189" s="12" t="s">
        <v>84</v>
      </c>
      <c r="G189" s="14">
        <v>14168.7</v>
      </c>
      <c r="H189" s="12" t="s">
        <v>85</v>
      </c>
      <c r="I189" s="12">
        <v>1</v>
      </c>
      <c r="J189" s="12" t="s">
        <v>84</v>
      </c>
      <c r="K189" s="12" t="s">
        <v>86</v>
      </c>
      <c r="L189" s="12">
        <v>0</v>
      </c>
      <c r="M189" s="15">
        <v>320000</v>
      </c>
      <c r="N189" s="15">
        <v>0</v>
      </c>
      <c r="O189" s="15">
        <f t="shared" si="10"/>
        <v>320000</v>
      </c>
      <c r="P189" s="15">
        <f t="shared" si="11"/>
        <v>22.584993683259579</v>
      </c>
      <c r="Q189" s="14">
        <v>25000</v>
      </c>
      <c r="R189" s="12">
        <v>57</v>
      </c>
      <c r="S189" s="12" t="s">
        <v>351</v>
      </c>
      <c r="T189" s="22">
        <f t="shared" si="12"/>
        <v>10</v>
      </c>
      <c r="U189" s="22">
        <f t="shared" si="13"/>
        <v>2020</v>
      </c>
      <c r="V189" s="22" t="str">
        <f t="shared" si="14"/>
        <v>REGIONES</v>
      </c>
    </row>
    <row r="190" spans="1:22" x14ac:dyDescent="0.2">
      <c r="A190" s="11" t="s">
        <v>343</v>
      </c>
      <c r="B190" s="12" t="s">
        <v>18</v>
      </c>
      <c r="C190" s="12" t="s">
        <v>193</v>
      </c>
      <c r="D190" s="12" t="s">
        <v>27</v>
      </c>
      <c r="E190" s="13" t="s">
        <v>28</v>
      </c>
      <c r="F190" s="12" t="s">
        <v>194</v>
      </c>
      <c r="G190" s="14">
        <v>25627.200000000001</v>
      </c>
      <c r="H190" s="12" t="s">
        <v>22</v>
      </c>
      <c r="I190" s="12">
        <v>1</v>
      </c>
      <c r="J190" s="12" t="s">
        <v>194</v>
      </c>
      <c r="K190" s="12" t="s">
        <v>23</v>
      </c>
      <c r="L190" s="12">
        <v>4</v>
      </c>
      <c r="M190" s="15">
        <v>179390</v>
      </c>
      <c r="N190" s="15">
        <f>G190*3</f>
        <v>76881.600000000006</v>
      </c>
      <c r="O190" s="15">
        <f t="shared" si="10"/>
        <v>256271.6</v>
      </c>
      <c r="P190" s="15">
        <f t="shared" si="11"/>
        <v>9.9999843915839417</v>
      </c>
      <c r="Q190" s="14">
        <v>8011</v>
      </c>
      <c r="R190" s="12">
        <v>100</v>
      </c>
      <c r="S190" s="12" t="s">
        <v>352</v>
      </c>
      <c r="T190" s="22">
        <f t="shared" si="12"/>
        <v>10</v>
      </c>
      <c r="U190" s="22">
        <f t="shared" si="13"/>
        <v>2020</v>
      </c>
      <c r="V190" s="22" t="str">
        <f t="shared" si="14"/>
        <v>METROPOLITANA</v>
      </c>
    </row>
    <row r="191" spans="1:22" x14ac:dyDescent="0.2">
      <c r="A191" s="11" t="s">
        <v>343</v>
      </c>
      <c r="B191" s="12" t="s">
        <v>33</v>
      </c>
      <c r="C191" s="12" t="s">
        <v>60</v>
      </c>
      <c r="D191" s="12" t="s">
        <v>125</v>
      </c>
      <c r="E191" s="13" t="s">
        <v>126</v>
      </c>
      <c r="F191" s="12" t="s">
        <v>51</v>
      </c>
      <c r="G191" s="14">
        <v>22508.200000000012</v>
      </c>
      <c r="H191" s="12" t="s">
        <v>174</v>
      </c>
      <c r="I191" s="12">
        <v>0</v>
      </c>
      <c r="J191" s="12" t="s">
        <v>51</v>
      </c>
      <c r="K191" s="12" t="s">
        <v>23</v>
      </c>
      <c r="L191" s="12">
        <v>4</v>
      </c>
      <c r="M191" s="15">
        <v>157557</v>
      </c>
      <c r="N191" s="15">
        <f>G191*3</f>
        <v>67524.600000000035</v>
      </c>
      <c r="O191" s="15">
        <f t="shared" si="10"/>
        <v>225081.60000000003</v>
      </c>
      <c r="P191" s="15">
        <f t="shared" si="11"/>
        <v>9.9999822286988707</v>
      </c>
      <c r="Q191" s="14">
        <v>8011</v>
      </c>
      <c r="R191" s="12">
        <v>100</v>
      </c>
      <c r="S191" s="12" t="s">
        <v>353</v>
      </c>
      <c r="T191" s="22">
        <f t="shared" si="12"/>
        <v>10</v>
      </c>
      <c r="U191" s="22">
        <f t="shared" si="13"/>
        <v>2020</v>
      </c>
      <c r="V191" s="22" t="str">
        <f t="shared" si="14"/>
        <v>METROPOLITANA</v>
      </c>
    </row>
    <row r="192" spans="1:22" x14ac:dyDescent="0.2">
      <c r="A192" s="11" t="s">
        <v>343</v>
      </c>
      <c r="B192" s="12" t="s">
        <v>33</v>
      </c>
      <c r="C192" s="12" t="s">
        <v>354</v>
      </c>
      <c r="D192" s="12" t="s">
        <v>63</v>
      </c>
      <c r="E192" s="13" t="s">
        <v>64</v>
      </c>
      <c r="F192" s="12" t="s">
        <v>53</v>
      </c>
      <c r="G192" s="14">
        <v>2970</v>
      </c>
      <c r="H192" s="12" t="s">
        <v>65</v>
      </c>
      <c r="I192" s="12">
        <v>0</v>
      </c>
      <c r="J192" s="12" t="s">
        <v>53</v>
      </c>
      <c r="K192" s="12" t="s">
        <v>23</v>
      </c>
      <c r="L192" s="12">
        <v>3</v>
      </c>
      <c r="M192" s="15">
        <v>48075</v>
      </c>
      <c r="N192" s="15">
        <f>G192*3</f>
        <v>8910</v>
      </c>
      <c r="O192" s="15">
        <f t="shared" si="10"/>
        <v>56985</v>
      </c>
      <c r="P192" s="15">
        <f t="shared" si="11"/>
        <v>19.186868686868689</v>
      </c>
      <c r="Q192" s="14">
        <v>6868</v>
      </c>
      <c r="R192" s="12">
        <v>43</v>
      </c>
      <c r="S192" s="12" t="s">
        <v>355</v>
      </c>
      <c r="T192" s="22">
        <f t="shared" si="12"/>
        <v>10</v>
      </c>
      <c r="U192" s="22">
        <f t="shared" si="13"/>
        <v>2020</v>
      </c>
      <c r="V192" s="22" t="str">
        <f t="shared" si="14"/>
        <v>METROPOLITANA</v>
      </c>
    </row>
    <row r="193" spans="1:22" x14ac:dyDescent="0.2">
      <c r="A193" s="11" t="s">
        <v>343</v>
      </c>
      <c r="B193" s="12" t="s">
        <v>33</v>
      </c>
      <c r="C193" s="12" t="s">
        <v>163</v>
      </c>
      <c r="D193" s="12" t="s">
        <v>38</v>
      </c>
      <c r="E193" s="13" t="s">
        <v>42</v>
      </c>
      <c r="F193" s="12" t="s">
        <v>165</v>
      </c>
      <c r="G193" s="14">
        <v>8332.7999999999975</v>
      </c>
      <c r="H193" s="12" t="s">
        <v>43</v>
      </c>
      <c r="I193" s="12">
        <v>0</v>
      </c>
      <c r="J193" s="12" t="s">
        <v>165</v>
      </c>
      <c r="K193" s="12" t="s">
        <v>23</v>
      </c>
      <c r="L193" s="12">
        <v>3</v>
      </c>
      <c r="M193" s="15">
        <v>58330</v>
      </c>
      <c r="N193" s="15">
        <f>G193*3</f>
        <v>24998.399999999994</v>
      </c>
      <c r="O193" s="15">
        <f t="shared" si="10"/>
        <v>83328.399999999994</v>
      </c>
      <c r="P193" s="15">
        <f t="shared" si="11"/>
        <v>10.000048003072198</v>
      </c>
      <c r="Q193" s="14">
        <v>6868</v>
      </c>
      <c r="R193" s="12">
        <v>100</v>
      </c>
      <c r="S193" s="12" t="s">
        <v>356</v>
      </c>
      <c r="T193" s="22">
        <f t="shared" si="12"/>
        <v>10</v>
      </c>
      <c r="U193" s="22">
        <f t="shared" si="13"/>
        <v>2020</v>
      </c>
      <c r="V193" s="22" t="str">
        <f t="shared" si="14"/>
        <v>METROPOLITANA</v>
      </c>
    </row>
    <row r="194" spans="1:22" x14ac:dyDescent="0.2">
      <c r="A194" s="11" t="s">
        <v>343</v>
      </c>
      <c r="B194" s="12" t="s">
        <v>33</v>
      </c>
      <c r="C194" s="12" t="s">
        <v>357</v>
      </c>
      <c r="D194" s="12" t="s">
        <v>45</v>
      </c>
      <c r="E194" s="13" t="s">
        <v>52</v>
      </c>
      <c r="F194" s="12" t="s">
        <v>51</v>
      </c>
      <c r="G194" s="14">
        <v>4472</v>
      </c>
      <c r="H194" s="12" t="s">
        <v>22</v>
      </c>
      <c r="I194" s="12">
        <v>0</v>
      </c>
      <c r="J194" s="12" t="s">
        <v>51</v>
      </c>
      <c r="K194" s="12" t="s">
        <v>23</v>
      </c>
      <c r="L194" s="12">
        <v>4</v>
      </c>
      <c r="M194" s="15">
        <v>56075</v>
      </c>
      <c r="N194" s="15">
        <f>G194*4</f>
        <v>17888</v>
      </c>
      <c r="O194" s="15">
        <f t="shared" ref="O194:O257" si="15">SUM(M194:N194)</f>
        <v>73963</v>
      </c>
      <c r="P194" s="15">
        <f t="shared" ref="P194:P257" si="16">O194/G194</f>
        <v>16.53913237924866</v>
      </c>
      <c r="Q194" s="14">
        <v>8011</v>
      </c>
      <c r="R194" s="12">
        <v>56</v>
      </c>
      <c r="S194" s="12" t="s">
        <v>358</v>
      </c>
      <c r="T194" s="22">
        <f t="shared" ref="T194:T257" si="17">MONTH(A194)</f>
        <v>10</v>
      </c>
      <c r="U194" s="22">
        <f t="shared" ref="U194:U257" si="18">YEAR(A194)</f>
        <v>2020</v>
      </c>
      <c r="V194" s="22" t="str">
        <f t="shared" ref="V194:V257" si="19">IF(K194="METROPOLITANA DE SANTIAGO","METROPOLITANA","REGIONES")</f>
        <v>METROPOLITANA</v>
      </c>
    </row>
    <row r="195" spans="1:22" x14ac:dyDescent="0.2">
      <c r="A195" s="11" t="s">
        <v>343</v>
      </c>
      <c r="B195" s="12" t="s">
        <v>33</v>
      </c>
      <c r="C195" s="12" t="s">
        <v>29</v>
      </c>
      <c r="D195" s="12" t="s">
        <v>76</v>
      </c>
      <c r="E195" s="13" t="s">
        <v>77</v>
      </c>
      <c r="F195" s="12" t="s">
        <v>132</v>
      </c>
      <c r="G195" s="14">
        <v>19956.400000000009</v>
      </c>
      <c r="H195" s="12" t="s">
        <v>24</v>
      </c>
      <c r="I195" s="12">
        <v>1</v>
      </c>
      <c r="J195" s="12" t="s">
        <v>132</v>
      </c>
      <c r="K195" s="12" t="s">
        <v>124</v>
      </c>
      <c r="L195" s="12">
        <v>0</v>
      </c>
      <c r="M195" s="15">
        <v>350000</v>
      </c>
      <c r="N195" s="15">
        <v>0</v>
      </c>
      <c r="O195" s="15">
        <f t="shared" si="15"/>
        <v>350000</v>
      </c>
      <c r="P195" s="15">
        <f t="shared" si="16"/>
        <v>17.53823334870016</v>
      </c>
      <c r="Q195" s="14">
        <v>25000</v>
      </c>
      <c r="R195" s="12">
        <v>80</v>
      </c>
      <c r="S195" s="12" t="s">
        <v>359</v>
      </c>
      <c r="T195" s="22">
        <f t="shared" si="17"/>
        <v>10</v>
      </c>
      <c r="U195" s="22">
        <f t="shared" si="18"/>
        <v>2020</v>
      </c>
      <c r="V195" s="22" t="str">
        <f t="shared" si="19"/>
        <v>REGIONES</v>
      </c>
    </row>
    <row r="196" spans="1:22" x14ac:dyDescent="0.2">
      <c r="A196" s="11" t="s">
        <v>343</v>
      </c>
      <c r="B196" s="12" t="s">
        <v>33</v>
      </c>
      <c r="C196" s="12" t="s">
        <v>44</v>
      </c>
      <c r="D196" s="12" t="s">
        <v>56</v>
      </c>
      <c r="E196" s="13" t="s">
        <v>88</v>
      </c>
      <c r="F196" s="12" t="s">
        <v>67</v>
      </c>
      <c r="G196" s="14">
        <v>6986.2399999999989</v>
      </c>
      <c r="H196" s="12" t="s">
        <v>22</v>
      </c>
      <c r="I196" s="12">
        <v>0</v>
      </c>
      <c r="J196" s="12" t="s">
        <v>67</v>
      </c>
      <c r="K196" s="12" t="s">
        <v>23</v>
      </c>
      <c r="L196" s="12">
        <v>2</v>
      </c>
      <c r="M196" s="15">
        <v>48904</v>
      </c>
      <c r="N196" s="15">
        <v>27945</v>
      </c>
      <c r="O196" s="15">
        <f t="shared" si="15"/>
        <v>76849</v>
      </c>
      <c r="P196" s="15">
        <f t="shared" si="16"/>
        <v>11.000051529864422</v>
      </c>
      <c r="Q196" s="14">
        <v>5782</v>
      </c>
      <c r="R196" s="12">
        <v>100</v>
      </c>
      <c r="S196" s="12" t="s">
        <v>360</v>
      </c>
      <c r="T196" s="22">
        <f t="shared" si="17"/>
        <v>10</v>
      </c>
      <c r="U196" s="22">
        <f t="shared" si="18"/>
        <v>2020</v>
      </c>
      <c r="V196" s="22" t="str">
        <f t="shared" si="19"/>
        <v>METROPOLITANA</v>
      </c>
    </row>
    <row r="197" spans="1:22" x14ac:dyDescent="0.2">
      <c r="A197" s="11" t="s">
        <v>343</v>
      </c>
      <c r="B197" s="12" t="s">
        <v>33</v>
      </c>
      <c r="C197" s="12" t="s">
        <v>44</v>
      </c>
      <c r="D197" s="12" t="s">
        <v>361</v>
      </c>
      <c r="E197" s="13" t="s">
        <v>28</v>
      </c>
      <c r="F197" s="12" t="s">
        <v>95</v>
      </c>
      <c r="G197" s="14">
        <v>2067.2199999999998</v>
      </c>
      <c r="H197" s="12" t="s">
        <v>24</v>
      </c>
      <c r="I197" s="12">
        <v>1</v>
      </c>
      <c r="J197" s="12" t="s">
        <v>95</v>
      </c>
      <c r="K197" s="12" t="s">
        <v>23</v>
      </c>
      <c r="L197" s="12">
        <v>1</v>
      </c>
      <c r="M197" s="15">
        <v>33750</v>
      </c>
      <c r="N197" s="15">
        <v>6202</v>
      </c>
      <c r="O197" s="15">
        <f t="shared" si="15"/>
        <v>39952</v>
      </c>
      <c r="P197" s="15">
        <f t="shared" si="16"/>
        <v>19.326438405201191</v>
      </c>
      <c r="Q197" s="14">
        <v>4821</v>
      </c>
      <c r="R197" s="12">
        <v>43</v>
      </c>
      <c r="S197" s="12" t="s">
        <v>362</v>
      </c>
      <c r="T197" s="22">
        <f t="shared" si="17"/>
        <v>10</v>
      </c>
      <c r="U197" s="22">
        <f t="shared" si="18"/>
        <v>2020</v>
      </c>
      <c r="V197" s="22" t="str">
        <f t="shared" si="19"/>
        <v>METROPOLITANA</v>
      </c>
    </row>
    <row r="198" spans="1:22" x14ac:dyDescent="0.2">
      <c r="A198" s="11" t="s">
        <v>343</v>
      </c>
      <c r="B198" s="12" t="s">
        <v>33</v>
      </c>
      <c r="C198" s="12" t="s">
        <v>44</v>
      </c>
      <c r="D198" s="12" t="s">
        <v>47</v>
      </c>
      <c r="E198" s="13" t="s">
        <v>21</v>
      </c>
      <c r="F198" s="12" t="s">
        <v>48</v>
      </c>
      <c r="G198" s="14">
        <v>8021.7000000000016</v>
      </c>
      <c r="H198" s="12" t="s">
        <v>22</v>
      </c>
      <c r="I198" s="12">
        <v>0</v>
      </c>
      <c r="J198" s="12" t="s">
        <v>48</v>
      </c>
      <c r="K198" s="12" t="s">
        <v>23</v>
      </c>
      <c r="L198" s="12">
        <v>1</v>
      </c>
      <c r="M198" s="15">
        <v>56152</v>
      </c>
      <c r="N198" s="15">
        <v>32087</v>
      </c>
      <c r="O198" s="15">
        <f t="shared" si="15"/>
        <v>88239</v>
      </c>
      <c r="P198" s="15">
        <f t="shared" si="16"/>
        <v>11.000037398556413</v>
      </c>
      <c r="Q198" s="14">
        <v>4821</v>
      </c>
      <c r="R198" s="12">
        <v>100</v>
      </c>
      <c r="S198" s="12" t="s">
        <v>363</v>
      </c>
      <c r="T198" s="22">
        <f t="shared" si="17"/>
        <v>10</v>
      </c>
      <c r="U198" s="22">
        <f t="shared" si="18"/>
        <v>2020</v>
      </c>
      <c r="V198" s="22" t="str">
        <f t="shared" si="19"/>
        <v>METROPOLITANA</v>
      </c>
    </row>
    <row r="199" spans="1:22" x14ac:dyDescent="0.2">
      <c r="A199" s="11" t="s">
        <v>343</v>
      </c>
      <c r="B199" s="12" t="s">
        <v>33</v>
      </c>
      <c r="C199" s="12" t="s">
        <v>44</v>
      </c>
      <c r="D199" s="12" t="s">
        <v>35</v>
      </c>
      <c r="E199" s="13" t="s">
        <v>49</v>
      </c>
      <c r="F199" s="12" t="s">
        <v>53</v>
      </c>
      <c r="G199" s="14">
        <v>6407.5999999999995</v>
      </c>
      <c r="H199" s="12" t="s">
        <v>22</v>
      </c>
      <c r="I199" s="12">
        <v>0</v>
      </c>
      <c r="J199" s="12" t="s">
        <v>53</v>
      </c>
      <c r="K199" s="12" t="s">
        <v>23</v>
      </c>
      <c r="L199" s="12">
        <v>3</v>
      </c>
      <c r="M199" s="15">
        <v>48075</v>
      </c>
      <c r="N199" s="15">
        <v>25630</v>
      </c>
      <c r="O199" s="15">
        <f t="shared" si="15"/>
        <v>73705</v>
      </c>
      <c r="P199" s="15">
        <f t="shared" si="16"/>
        <v>11.502746738248332</v>
      </c>
      <c r="Q199" s="14">
        <v>6868</v>
      </c>
      <c r="R199" s="12">
        <v>93</v>
      </c>
      <c r="S199" s="12" t="s">
        <v>364</v>
      </c>
      <c r="T199" s="22">
        <f t="shared" si="17"/>
        <v>10</v>
      </c>
      <c r="U199" s="22">
        <f t="shared" si="18"/>
        <v>2020</v>
      </c>
      <c r="V199" s="22" t="str">
        <f t="shared" si="19"/>
        <v>METROPOLITANA</v>
      </c>
    </row>
    <row r="200" spans="1:22" x14ac:dyDescent="0.2">
      <c r="A200" s="23" t="s">
        <v>365</v>
      </c>
      <c r="B200" s="22" t="s">
        <v>18</v>
      </c>
      <c r="C200" s="22" t="s">
        <v>71</v>
      </c>
      <c r="D200" s="22" t="s">
        <v>37</v>
      </c>
      <c r="E200" s="24" t="s">
        <v>40</v>
      </c>
      <c r="F200" s="22" t="s">
        <v>72</v>
      </c>
      <c r="G200" s="25">
        <v>11311.58</v>
      </c>
      <c r="H200" s="22" t="s">
        <v>22</v>
      </c>
      <c r="I200" s="22">
        <v>0</v>
      </c>
      <c r="J200" s="22" t="s">
        <v>72</v>
      </c>
      <c r="K200" s="22" t="s">
        <v>23</v>
      </c>
      <c r="L200" s="22">
        <v>5</v>
      </c>
      <c r="M200" s="26">
        <v>90000</v>
      </c>
      <c r="N200" s="26">
        <f>G200*4</f>
        <v>45246.32</v>
      </c>
      <c r="O200" s="27">
        <f t="shared" si="15"/>
        <v>135246.32</v>
      </c>
      <c r="P200" s="27">
        <f t="shared" si="16"/>
        <v>11.956448170812566</v>
      </c>
      <c r="Q200" s="25">
        <v>12000</v>
      </c>
      <c r="R200" s="22">
        <v>94</v>
      </c>
      <c r="S200" s="22" t="s">
        <v>366</v>
      </c>
      <c r="T200" s="22">
        <f t="shared" si="17"/>
        <v>10</v>
      </c>
      <c r="U200" s="22">
        <f t="shared" si="18"/>
        <v>2020</v>
      </c>
      <c r="V200" s="22" t="str">
        <f t="shared" si="19"/>
        <v>METROPOLITANA</v>
      </c>
    </row>
    <row r="201" spans="1:22" x14ac:dyDescent="0.2">
      <c r="A201" s="23" t="s">
        <v>365</v>
      </c>
      <c r="B201" s="22" t="s">
        <v>18</v>
      </c>
      <c r="C201" s="22" t="s">
        <v>71</v>
      </c>
      <c r="D201" s="22" t="s">
        <v>63</v>
      </c>
      <c r="E201" s="24" t="s">
        <v>64</v>
      </c>
      <c r="F201" s="22" t="s">
        <v>72</v>
      </c>
      <c r="G201" s="25">
        <v>7156.78</v>
      </c>
      <c r="H201" s="22" t="s">
        <v>65</v>
      </c>
      <c r="I201" s="22">
        <v>0</v>
      </c>
      <c r="J201" s="22" t="s">
        <v>72</v>
      </c>
      <c r="K201" s="22" t="s">
        <v>23</v>
      </c>
      <c r="L201" s="22">
        <v>5</v>
      </c>
      <c r="M201" s="26">
        <v>90000</v>
      </c>
      <c r="N201" s="26">
        <f>G201*4</f>
        <v>28627.119999999999</v>
      </c>
      <c r="O201" s="27">
        <f t="shared" si="15"/>
        <v>118627.12</v>
      </c>
      <c r="P201" s="27">
        <f t="shared" si="16"/>
        <v>16.57548785906511</v>
      </c>
      <c r="Q201" s="25">
        <v>12000</v>
      </c>
      <c r="R201" s="22">
        <v>60</v>
      </c>
      <c r="S201" s="22" t="s">
        <v>367</v>
      </c>
      <c r="T201" s="22">
        <f t="shared" si="17"/>
        <v>10</v>
      </c>
      <c r="U201" s="22">
        <f t="shared" si="18"/>
        <v>2020</v>
      </c>
      <c r="V201" s="22" t="str">
        <f t="shared" si="19"/>
        <v>METROPOLITANA</v>
      </c>
    </row>
    <row r="202" spans="1:22" x14ac:dyDescent="0.2">
      <c r="A202" s="23" t="s">
        <v>365</v>
      </c>
      <c r="B202" s="22" t="s">
        <v>18</v>
      </c>
      <c r="C202" s="22" t="s">
        <v>57</v>
      </c>
      <c r="D202" s="22" t="s">
        <v>27</v>
      </c>
      <c r="E202" s="24" t="s">
        <v>28</v>
      </c>
      <c r="F202" s="22" t="s">
        <v>251</v>
      </c>
      <c r="G202" s="25">
        <v>5720.3799999999974</v>
      </c>
      <c r="H202" s="22" t="s">
        <v>22</v>
      </c>
      <c r="I202" s="22">
        <v>1</v>
      </c>
      <c r="J202" s="22" t="s">
        <v>251</v>
      </c>
      <c r="K202" s="22" t="s">
        <v>78</v>
      </c>
      <c r="L202" s="22">
        <v>0</v>
      </c>
      <c r="M202" s="26">
        <v>230000</v>
      </c>
      <c r="N202" s="26">
        <f>G202*4</f>
        <v>22881.51999999999</v>
      </c>
      <c r="O202" s="27">
        <f t="shared" si="15"/>
        <v>252881.52</v>
      </c>
      <c r="P202" s="27">
        <f t="shared" si="16"/>
        <v>44.207119107471897</v>
      </c>
      <c r="Q202" s="25">
        <v>25000</v>
      </c>
      <c r="R202" s="22">
        <v>23</v>
      </c>
      <c r="S202" s="22" t="s">
        <v>368</v>
      </c>
      <c r="T202" s="22">
        <f t="shared" si="17"/>
        <v>10</v>
      </c>
      <c r="U202" s="22">
        <f t="shared" si="18"/>
        <v>2020</v>
      </c>
      <c r="V202" s="22" t="str">
        <f t="shared" si="19"/>
        <v>REGIONES</v>
      </c>
    </row>
    <row r="203" spans="1:22" x14ac:dyDescent="0.2">
      <c r="A203" s="23" t="s">
        <v>365</v>
      </c>
      <c r="B203" s="22" t="s">
        <v>33</v>
      </c>
      <c r="C203" s="22" t="s">
        <v>60</v>
      </c>
      <c r="D203" s="22" t="s">
        <v>38</v>
      </c>
      <c r="E203" s="24" t="s">
        <v>42</v>
      </c>
      <c r="F203" s="22" t="s">
        <v>51</v>
      </c>
      <c r="G203" s="25">
        <v>10202.4</v>
      </c>
      <c r="H203" s="22" t="s">
        <v>43</v>
      </c>
      <c r="I203" s="22">
        <v>0</v>
      </c>
      <c r="J203" s="22" t="s">
        <v>51</v>
      </c>
      <c r="K203" s="22" t="s">
        <v>23</v>
      </c>
      <c r="L203" s="22">
        <v>4</v>
      </c>
      <c r="M203" s="26">
        <v>71417</v>
      </c>
      <c r="N203" s="26">
        <f>G203*4</f>
        <v>40809.599999999999</v>
      </c>
      <c r="O203" s="27">
        <f t="shared" si="15"/>
        <v>112226.6</v>
      </c>
      <c r="P203" s="27">
        <f t="shared" si="16"/>
        <v>11.000019603230614</v>
      </c>
      <c r="Q203" s="25">
        <v>8011</v>
      </c>
      <c r="R203" s="22">
        <v>100</v>
      </c>
      <c r="S203" s="22" t="s">
        <v>369</v>
      </c>
      <c r="T203" s="22">
        <f t="shared" si="17"/>
        <v>10</v>
      </c>
      <c r="U203" s="22">
        <f t="shared" si="18"/>
        <v>2020</v>
      </c>
      <c r="V203" s="22" t="str">
        <f t="shared" si="19"/>
        <v>METROPOLITANA</v>
      </c>
    </row>
    <row r="204" spans="1:22" x14ac:dyDescent="0.2">
      <c r="A204" s="23" t="s">
        <v>365</v>
      </c>
      <c r="B204" s="22" t="s">
        <v>33</v>
      </c>
      <c r="C204" s="22" t="s">
        <v>60</v>
      </c>
      <c r="D204" s="22" t="s">
        <v>370</v>
      </c>
      <c r="E204" s="24" t="s">
        <v>371</v>
      </c>
      <c r="F204" s="22" t="s">
        <v>89</v>
      </c>
      <c r="G204" s="25">
        <v>21458.400000000009</v>
      </c>
      <c r="H204" s="22" t="s">
        <v>85</v>
      </c>
      <c r="I204" s="22">
        <v>1</v>
      </c>
      <c r="J204" s="22" t="s">
        <v>89</v>
      </c>
      <c r="K204" s="22" t="s">
        <v>23</v>
      </c>
      <c r="L204" s="22">
        <v>5</v>
      </c>
      <c r="M204" s="26">
        <v>120000</v>
      </c>
      <c r="N204" s="26">
        <v>0</v>
      </c>
      <c r="O204" s="27">
        <f t="shared" si="15"/>
        <v>120000</v>
      </c>
      <c r="P204" s="27">
        <f t="shared" si="16"/>
        <v>5.5922156358349158</v>
      </c>
      <c r="Q204" s="25">
        <v>12000</v>
      </c>
      <c r="R204" s="22">
        <v>100</v>
      </c>
      <c r="S204" s="22" t="s">
        <v>372</v>
      </c>
      <c r="T204" s="22">
        <f t="shared" si="17"/>
        <v>10</v>
      </c>
      <c r="U204" s="22">
        <f t="shared" si="18"/>
        <v>2020</v>
      </c>
      <c r="V204" s="22" t="str">
        <f t="shared" si="19"/>
        <v>METROPOLITANA</v>
      </c>
    </row>
    <row r="205" spans="1:22" x14ac:dyDescent="0.2">
      <c r="A205" s="23" t="s">
        <v>365</v>
      </c>
      <c r="B205" s="22" t="s">
        <v>33</v>
      </c>
      <c r="C205" s="22" t="s">
        <v>60</v>
      </c>
      <c r="D205" s="22" t="s">
        <v>30</v>
      </c>
      <c r="E205" s="24" t="s">
        <v>31</v>
      </c>
      <c r="F205" s="22" t="s">
        <v>51</v>
      </c>
      <c r="G205" s="25">
        <v>10202.400000000001</v>
      </c>
      <c r="H205" s="22" t="s">
        <v>32</v>
      </c>
      <c r="I205" s="22">
        <v>0</v>
      </c>
      <c r="J205" s="22" t="s">
        <v>51</v>
      </c>
      <c r="K205" s="22" t="s">
        <v>23</v>
      </c>
      <c r="L205" s="22">
        <v>4</v>
      </c>
      <c r="M205" s="26">
        <v>56075</v>
      </c>
      <c r="N205" s="26">
        <v>0</v>
      </c>
      <c r="O205" s="27">
        <f t="shared" si="15"/>
        <v>56075</v>
      </c>
      <c r="P205" s="27">
        <f t="shared" si="16"/>
        <v>5.4962557829530301</v>
      </c>
      <c r="Q205" s="25">
        <v>8011</v>
      </c>
      <c r="R205" s="22">
        <v>42</v>
      </c>
      <c r="S205" s="22" t="s">
        <v>373</v>
      </c>
      <c r="T205" s="22">
        <f t="shared" si="17"/>
        <v>10</v>
      </c>
      <c r="U205" s="22">
        <f t="shared" si="18"/>
        <v>2020</v>
      </c>
      <c r="V205" s="22" t="str">
        <f t="shared" si="19"/>
        <v>METROPOLITANA</v>
      </c>
    </row>
    <row r="206" spans="1:22" x14ac:dyDescent="0.2">
      <c r="A206" s="23" t="s">
        <v>365</v>
      </c>
      <c r="B206" s="22" t="s">
        <v>33</v>
      </c>
      <c r="C206" s="22" t="s">
        <v>128</v>
      </c>
      <c r="D206" s="22" t="s">
        <v>56</v>
      </c>
      <c r="E206" s="24" t="s">
        <v>88</v>
      </c>
      <c r="F206" s="22" t="s">
        <v>129</v>
      </c>
      <c r="G206" s="25">
        <v>7437.6000000000013</v>
      </c>
      <c r="H206" s="22" t="s">
        <v>22</v>
      </c>
      <c r="I206" s="22">
        <v>0</v>
      </c>
      <c r="J206" s="22" t="s">
        <v>129</v>
      </c>
      <c r="K206" s="22" t="s">
        <v>23</v>
      </c>
      <c r="L206" s="22">
        <v>1</v>
      </c>
      <c r="M206" s="26">
        <v>52063</v>
      </c>
      <c r="N206" s="26">
        <v>29750</v>
      </c>
      <c r="O206" s="27">
        <f t="shared" si="15"/>
        <v>81813</v>
      </c>
      <c r="P206" s="27">
        <f t="shared" si="16"/>
        <v>10.999919328815745</v>
      </c>
      <c r="Q206" s="25">
        <v>4821</v>
      </c>
      <c r="R206" s="22">
        <v>100</v>
      </c>
      <c r="S206" s="22" t="s">
        <v>374</v>
      </c>
      <c r="T206" s="22">
        <f t="shared" si="17"/>
        <v>10</v>
      </c>
      <c r="U206" s="22">
        <f t="shared" si="18"/>
        <v>2020</v>
      </c>
      <c r="V206" s="22" t="str">
        <f t="shared" si="19"/>
        <v>METROPOLITANA</v>
      </c>
    </row>
    <row r="207" spans="1:22" x14ac:dyDescent="0.2">
      <c r="A207" s="23" t="s">
        <v>365</v>
      </c>
      <c r="B207" s="22" t="s">
        <v>33</v>
      </c>
      <c r="C207" s="22" t="s">
        <v>128</v>
      </c>
      <c r="D207" s="22" t="s">
        <v>47</v>
      </c>
      <c r="E207" s="24" t="s">
        <v>52</v>
      </c>
      <c r="F207" s="22" t="s">
        <v>129</v>
      </c>
      <c r="G207" s="25">
        <v>8802.7999999999975</v>
      </c>
      <c r="H207" s="22" t="s">
        <v>22</v>
      </c>
      <c r="I207" s="22">
        <v>0</v>
      </c>
      <c r="J207" s="22" t="s">
        <v>129</v>
      </c>
      <c r="K207" s="22" t="s">
        <v>23</v>
      </c>
      <c r="L207" s="22">
        <v>1</v>
      </c>
      <c r="M207" s="26">
        <v>61620</v>
      </c>
      <c r="N207" s="26">
        <v>35211</v>
      </c>
      <c r="O207" s="27">
        <f t="shared" si="15"/>
        <v>96831</v>
      </c>
      <c r="P207" s="27">
        <f t="shared" si="16"/>
        <v>11.000022720043626</v>
      </c>
      <c r="Q207" s="25">
        <v>4821</v>
      </c>
      <c r="R207" s="22">
        <v>100</v>
      </c>
      <c r="S207" s="22" t="s">
        <v>375</v>
      </c>
      <c r="T207" s="22">
        <f t="shared" si="17"/>
        <v>10</v>
      </c>
      <c r="U207" s="22">
        <f t="shared" si="18"/>
        <v>2020</v>
      </c>
      <c r="V207" s="22" t="str">
        <f t="shared" si="19"/>
        <v>METROPOLITANA</v>
      </c>
    </row>
    <row r="208" spans="1:22" x14ac:dyDescent="0.2">
      <c r="A208" s="23" t="s">
        <v>365</v>
      </c>
      <c r="B208" s="22" t="s">
        <v>33</v>
      </c>
      <c r="C208" s="22" t="s">
        <v>36</v>
      </c>
      <c r="D208" s="22" t="s">
        <v>20</v>
      </c>
      <c r="E208" s="24" t="s">
        <v>21</v>
      </c>
      <c r="F208" s="22" t="s">
        <v>376</v>
      </c>
      <c r="G208" s="25">
        <v>7001.199999999998</v>
      </c>
      <c r="H208" s="22" t="s">
        <v>22</v>
      </c>
      <c r="I208" s="22">
        <v>0</v>
      </c>
      <c r="J208" s="22" t="s">
        <v>377</v>
      </c>
      <c r="K208" s="22" t="s">
        <v>23</v>
      </c>
      <c r="L208" s="22">
        <v>4</v>
      </c>
      <c r="M208" s="26">
        <v>56075</v>
      </c>
      <c r="N208" s="26">
        <f>G208*4</f>
        <v>28004.799999999992</v>
      </c>
      <c r="O208" s="27">
        <f t="shared" si="15"/>
        <v>84079.799999999988</v>
      </c>
      <c r="P208" s="27">
        <f t="shared" si="16"/>
        <v>12.009341255784724</v>
      </c>
      <c r="Q208" s="25">
        <v>8011</v>
      </c>
      <c r="R208" s="22">
        <v>87</v>
      </c>
      <c r="S208" s="22" t="s">
        <v>378</v>
      </c>
      <c r="T208" s="22">
        <f t="shared" si="17"/>
        <v>10</v>
      </c>
      <c r="U208" s="22">
        <f t="shared" si="18"/>
        <v>2020</v>
      </c>
      <c r="V208" s="22" t="str">
        <f t="shared" si="19"/>
        <v>METROPOLITANA</v>
      </c>
    </row>
    <row r="209" spans="1:22" x14ac:dyDescent="0.2">
      <c r="A209" s="23" t="s">
        <v>365</v>
      </c>
      <c r="B209" s="22" t="s">
        <v>33</v>
      </c>
      <c r="C209" s="22" t="s">
        <v>29</v>
      </c>
      <c r="D209" s="22" t="s">
        <v>41</v>
      </c>
      <c r="E209" s="24" t="s">
        <v>25</v>
      </c>
      <c r="F209" s="22" t="s">
        <v>173</v>
      </c>
      <c r="G209" s="25">
        <v>11043.2</v>
      </c>
      <c r="H209" s="22" t="s">
        <v>43</v>
      </c>
      <c r="I209" s="22">
        <v>0</v>
      </c>
      <c r="J209" s="22" t="s">
        <v>173</v>
      </c>
      <c r="K209" s="22" t="s">
        <v>23</v>
      </c>
      <c r="L209" s="22">
        <v>5</v>
      </c>
      <c r="M209" s="26">
        <v>90000</v>
      </c>
      <c r="N209" s="26">
        <v>33130</v>
      </c>
      <c r="O209" s="27">
        <f t="shared" si="15"/>
        <v>123130</v>
      </c>
      <c r="P209" s="27">
        <f t="shared" si="16"/>
        <v>11.149847870182555</v>
      </c>
      <c r="Q209" s="25">
        <v>12000</v>
      </c>
      <c r="R209" s="22">
        <v>92</v>
      </c>
      <c r="S209" s="22" t="s">
        <v>379</v>
      </c>
      <c r="T209" s="22">
        <f t="shared" si="17"/>
        <v>10</v>
      </c>
      <c r="U209" s="22">
        <f t="shared" si="18"/>
        <v>2020</v>
      </c>
      <c r="V209" s="22" t="str">
        <f t="shared" si="19"/>
        <v>METROPOLITANA</v>
      </c>
    </row>
    <row r="210" spans="1:22" x14ac:dyDescent="0.2">
      <c r="A210" s="23" t="s">
        <v>365</v>
      </c>
      <c r="B210" s="22" t="s">
        <v>33</v>
      </c>
      <c r="C210" s="22" t="s">
        <v>44</v>
      </c>
      <c r="D210" s="22" t="s">
        <v>56</v>
      </c>
      <c r="E210" s="24" t="s">
        <v>88</v>
      </c>
      <c r="F210" s="22" t="s">
        <v>229</v>
      </c>
      <c r="G210" s="25">
        <v>7625.199999999998</v>
      </c>
      <c r="H210" s="22" t="s">
        <v>22</v>
      </c>
      <c r="I210" s="22">
        <v>0</v>
      </c>
      <c r="J210" s="22" t="s">
        <v>230</v>
      </c>
      <c r="K210" s="22" t="s">
        <v>23</v>
      </c>
      <c r="L210" s="22">
        <v>4</v>
      </c>
      <c r="M210" s="26">
        <v>56075</v>
      </c>
      <c r="N210" s="26">
        <v>30501</v>
      </c>
      <c r="O210" s="27">
        <f t="shared" si="15"/>
        <v>86576</v>
      </c>
      <c r="P210" s="27">
        <f t="shared" si="16"/>
        <v>11.353931700152129</v>
      </c>
      <c r="Q210" s="25">
        <v>8011</v>
      </c>
      <c r="R210" s="22">
        <v>95</v>
      </c>
      <c r="S210" s="22" t="s">
        <v>380</v>
      </c>
      <c r="T210" s="22">
        <f t="shared" si="17"/>
        <v>10</v>
      </c>
      <c r="U210" s="22">
        <f t="shared" si="18"/>
        <v>2020</v>
      </c>
      <c r="V210" s="22" t="str">
        <f t="shared" si="19"/>
        <v>METROPOLITANA</v>
      </c>
    </row>
    <row r="211" spans="1:22" x14ac:dyDescent="0.2">
      <c r="A211" s="23" t="s">
        <v>365</v>
      </c>
      <c r="B211" s="22" t="s">
        <v>33</v>
      </c>
      <c r="C211" s="22" t="s">
        <v>44</v>
      </c>
      <c r="D211" s="22" t="s">
        <v>45</v>
      </c>
      <c r="E211" s="24" t="s">
        <v>21</v>
      </c>
      <c r="F211" s="22" t="s">
        <v>26</v>
      </c>
      <c r="G211" s="25">
        <v>2140.6</v>
      </c>
      <c r="H211" s="22" t="s">
        <v>22</v>
      </c>
      <c r="I211" s="22">
        <v>0</v>
      </c>
      <c r="J211" s="22" t="s">
        <v>26</v>
      </c>
      <c r="K211" s="22" t="s">
        <v>23</v>
      </c>
      <c r="L211" s="22">
        <v>3</v>
      </c>
      <c r="M211" s="26">
        <v>48075</v>
      </c>
      <c r="N211" s="26">
        <v>8562</v>
      </c>
      <c r="O211" s="27">
        <f t="shared" si="15"/>
        <v>56637</v>
      </c>
      <c r="P211" s="27">
        <f t="shared" si="16"/>
        <v>26.458469587965993</v>
      </c>
      <c r="Q211" s="25">
        <v>6868</v>
      </c>
      <c r="R211" s="22">
        <v>31</v>
      </c>
      <c r="S211" s="22" t="s">
        <v>381</v>
      </c>
      <c r="T211" s="22">
        <f t="shared" si="17"/>
        <v>10</v>
      </c>
      <c r="U211" s="22">
        <f t="shared" si="18"/>
        <v>2020</v>
      </c>
      <c r="V211" s="22" t="str">
        <f t="shared" si="19"/>
        <v>METROPOLITANA</v>
      </c>
    </row>
    <row r="212" spans="1:22" x14ac:dyDescent="0.2">
      <c r="A212" s="23" t="s">
        <v>365</v>
      </c>
      <c r="B212" s="22" t="s">
        <v>33</v>
      </c>
      <c r="C212" s="22" t="s">
        <v>44</v>
      </c>
      <c r="D212" s="22" t="s">
        <v>47</v>
      </c>
      <c r="E212" s="24" t="s">
        <v>52</v>
      </c>
      <c r="F212" s="22" t="s">
        <v>48</v>
      </c>
      <c r="G212" s="25">
        <v>2890.4</v>
      </c>
      <c r="H212" s="22" t="s">
        <v>22</v>
      </c>
      <c r="I212" s="22">
        <v>0</v>
      </c>
      <c r="J212" s="22" t="s">
        <v>48</v>
      </c>
      <c r="K212" s="22" t="s">
        <v>23</v>
      </c>
      <c r="L212" s="22">
        <v>1</v>
      </c>
      <c r="M212" s="26">
        <v>33750</v>
      </c>
      <c r="N212" s="26">
        <v>11562</v>
      </c>
      <c r="O212" s="27">
        <f t="shared" si="15"/>
        <v>45312</v>
      </c>
      <c r="P212" s="27">
        <f t="shared" si="16"/>
        <v>15.676722944921117</v>
      </c>
      <c r="Q212" s="25">
        <v>4821</v>
      </c>
      <c r="R212" s="22">
        <v>60</v>
      </c>
      <c r="S212" s="22" t="s">
        <v>382</v>
      </c>
      <c r="T212" s="22">
        <f t="shared" si="17"/>
        <v>10</v>
      </c>
      <c r="U212" s="22">
        <f t="shared" si="18"/>
        <v>2020</v>
      </c>
      <c r="V212" s="22" t="str">
        <f t="shared" si="19"/>
        <v>METROPOLITANA</v>
      </c>
    </row>
    <row r="213" spans="1:22" x14ac:dyDescent="0.2">
      <c r="A213" s="23" t="s">
        <v>365</v>
      </c>
      <c r="B213" s="22" t="s">
        <v>33</v>
      </c>
      <c r="C213" s="22" t="s">
        <v>44</v>
      </c>
      <c r="D213" s="22" t="s">
        <v>35</v>
      </c>
      <c r="E213" s="24" t="s">
        <v>35</v>
      </c>
      <c r="F213" s="22" t="s">
        <v>51</v>
      </c>
      <c r="G213" s="25">
        <v>1935.4</v>
      </c>
      <c r="H213" s="22" t="s">
        <v>22</v>
      </c>
      <c r="I213" s="22">
        <v>0</v>
      </c>
      <c r="J213" s="22" t="s">
        <v>51</v>
      </c>
      <c r="K213" s="22" t="s">
        <v>23</v>
      </c>
      <c r="L213" s="22">
        <v>4</v>
      </c>
      <c r="M213" s="26">
        <v>56075</v>
      </c>
      <c r="N213" s="26">
        <v>7742</v>
      </c>
      <c r="O213" s="27">
        <f t="shared" si="15"/>
        <v>63817</v>
      </c>
      <c r="P213" s="27">
        <f t="shared" si="16"/>
        <v>32.973545520305876</v>
      </c>
      <c r="Q213" s="25">
        <v>8011</v>
      </c>
      <c r="R213" s="22">
        <v>24</v>
      </c>
      <c r="S213" s="22" t="s">
        <v>383</v>
      </c>
      <c r="T213" s="22">
        <f t="shared" si="17"/>
        <v>10</v>
      </c>
      <c r="U213" s="22">
        <f t="shared" si="18"/>
        <v>2020</v>
      </c>
      <c r="V213" s="22" t="str">
        <f t="shared" si="19"/>
        <v>METROPOLITANA</v>
      </c>
    </row>
    <row r="214" spans="1:22" x14ac:dyDescent="0.2">
      <c r="A214" s="11" t="s">
        <v>384</v>
      </c>
      <c r="B214" s="12" t="s">
        <v>54</v>
      </c>
      <c r="C214" s="12" t="s">
        <v>55</v>
      </c>
      <c r="D214" s="12" t="s">
        <v>130</v>
      </c>
      <c r="E214" s="13" t="s">
        <v>385</v>
      </c>
      <c r="F214" s="12" t="s">
        <v>66</v>
      </c>
      <c r="G214" s="14">
        <v>8010.0000000000027</v>
      </c>
      <c r="H214" s="12" t="s">
        <v>85</v>
      </c>
      <c r="I214" s="12">
        <v>1</v>
      </c>
      <c r="J214" s="12" t="s">
        <v>66</v>
      </c>
      <c r="K214" s="12" t="s">
        <v>75</v>
      </c>
      <c r="L214" s="12">
        <v>0</v>
      </c>
      <c r="M214" s="15">
        <v>380000</v>
      </c>
      <c r="N214" s="15">
        <v>0</v>
      </c>
      <c r="O214" s="15">
        <f t="shared" si="15"/>
        <v>380000</v>
      </c>
      <c r="P214" s="15">
        <f t="shared" si="16"/>
        <v>47.440699126092369</v>
      </c>
      <c r="Q214" s="14">
        <v>25000</v>
      </c>
      <c r="R214" s="12">
        <v>32</v>
      </c>
      <c r="S214" s="12" t="s">
        <v>386</v>
      </c>
      <c r="T214" s="22">
        <f t="shared" si="17"/>
        <v>10</v>
      </c>
      <c r="U214" s="22">
        <f t="shared" si="18"/>
        <v>2020</v>
      </c>
      <c r="V214" s="22" t="str">
        <f t="shared" si="19"/>
        <v>REGIONES</v>
      </c>
    </row>
    <row r="215" spans="1:22" x14ac:dyDescent="0.2">
      <c r="A215" s="11" t="s">
        <v>384</v>
      </c>
      <c r="B215" s="12" t="s">
        <v>18</v>
      </c>
      <c r="C215" s="12" t="s">
        <v>50</v>
      </c>
      <c r="D215" s="12" t="s">
        <v>37</v>
      </c>
      <c r="E215" s="13" t="s">
        <v>40</v>
      </c>
      <c r="F215" s="12" t="s">
        <v>26</v>
      </c>
      <c r="G215" s="14">
        <v>9634.3000000000029</v>
      </c>
      <c r="H215" s="12" t="s">
        <v>22</v>
      </c>
      <c r="I215" s="12">
        <v>0</v>
      </c>
      <c r="J215" s="12" t="s">
        <v>26</v>
      </c>
      <c r="K215" s="12" t="s">
        <v>23</v>
      </c>
      <c r="L215" s="12">
        <v>3</v>
      </c>
      <c r="M215" s="15">
        <v>67440</v>
      </c>
      <c r="N215" s="15">
        <f>G215*4</f>
        <v>38537.200000000012</v>
      </c>
      <c r="O215" s="15">
        <f t="shared" si="15"/>
        <v>105977.20000000001</v>
      </c>
      <c r="P215" s="15">
        <f t="shared" si="16"/>
        <v>10.99998962041871</v>
      </c>
      <c r="Q215" s="14">
        <v>6868</v>
      </c>
      <c r="R215" s="12">
        <v>100</v>
      </c>
      <c r="S215" s="12" t="s">
        <v>387</v>
      </c>
      <c r="T215" s="22">
        <f t="shared" si="17"/>
        <v>10</v>
      </c>
      <c r="U215" s="22">
        <f t="shared" si="18"/>
        <v>2020</v>
      </c>
      <c r="V215" s="22" t="str">
        <f t="shared" si="19"/>
        <v>METROPOLITANA</v>
      </c>
    </row>
    <row r="216" spans="1:22" x14ac:dyDescent="0.2">
      <c r="A216" s="11" t="s">
        <v>384</v>
      </c>
      <c r="B216" s="12" t="s">
        <v>18</v>
      </c>
      <c r="C216" s="12" t="s">
        <v>57</v>
      </c>
      <c r="D216" s="12" t="s">
        <v>37</v>
      </c>
      <c r="E216" s="13" t="s">
        <v>40</v>
      </c>
      <c r="F216" s="12" t="s">
        <v>120</v>
      </c>
      <c r="G216" s="14">
        <v>9829.98</v>
      </c>
      <c r="H216" s="12" t="s">
        <v>22</v>
      </c>
      <c r="I216" s="12">
        <v>0</v>
      </c>
      <c r="J216" s="12" t="s">
        <v>120</v>
      </c>
      <c r="K216" s="12" t="s">
        <v>23</v>
      </c>
      <c r="L216" s="12">
        <v>5</v>
      </c>
      <c r="M216" s="15">
        <v>70000</v>
      </c>
      <c r="N216" s="15">
        <f>G216*4</f>
        <v>39319.919999999998</v>
      </c>
      <c r="O216" s="15">
        <f t="shared" si="15"/>
        <v>109319.92</v>
      </c>
      <c r="P216" s="15">
        <f t="shared" si="16"/>
        <v>11.121072474206459</v>
      </c>
      <c r="Q216" s="14">
        <v>12000</v>
      </c>
      <c r="R216" s="12">
        <v>82</v>
      </c>
      <c r="S216" s="12" t="s">
        <v>388</v>
      </c>
      <c r="T216" s="22">
        <f t="shared" si="17"/>
        <v>10</v>
      </c>
      <c r="U216" s="22">
        <f t="shared" si="18"/>
        <v>2020</v>
      </c>
      <c r="V216" s="22" t="str">
        <f t="shared" si="19"/>
        <v>METROPOLITANA</v>
      </c>
    </row>
    <row r="217" spans="1:22" x14ac:dyDescent="0.2">
      <c r="A217" s="11" t="s">
        <v>384</v>
      </c>
      <c r="B217" s="12" t="s">
        <v>18</v>
      </c>
      <c r="C217" s="12" t="s">
        <v>57</v>
      </c>
      <c r="D217" s="12" t="s">
        <v>27</v>
      </c>
      <c r="E217" s="13" t="s">
        <v>28</v>
      </c>
      <c r="F217" s="12" t="s">
        <v>58</v>
      </c>
      <c r="G217" s="14">
        <v>8481</v>
      </c>
      <c r="H217" s="12" t="s">
        <v>22</v>
      </c>
      <c r="I217" s="12">
        <v>1</v>
      </c>
      <c r="J217" s="12" t="s">
        <v>58</v>
      </c>
      <c r="K217" s="12" t="s">
        <v>23</v>
      </c>
      <c r="L217" s="12">
        <v>5</v>
      </c>
      <c r="M217" s="15">
        <v>120000</v>
      </c>
      <c r="N217" s="15">
        <f>G217*4</f>
        <v>33924</v>
      </c>
      <c r="O217" s="15">
        <f t="shared" si="15"/>
        <v>153924</v>
      </c>
      <c r="P217" s="15">
        <f t="shared" si="16"/>
        <v>18.149274849663954</v>
      </c>
      <c r="Q217" s="14">
        <v>12000</v>
      </c>
      <c r="R217" s="12">
        <v>71</v>
      </c>
      <c r="S217" s="12" t="s">
        <v>389</v>
      </c>
      <c r="T217" s="22">
        <f t="shared" si="17"/>
        <v>10</v>
      </c>
      <c r="U217" s="22">
        <f t="shared" si="18"/>
        <v>2020</v>
      </c>
      <c r="V217" s="22" t="str">
        <f t="shared" si="19"/>
        <v>METROPOLITANA</v>
      </c>
    </row>
    <row r="218" spans="1:22" x14ac:dyDescent="0.2">
      <c r="A218" s="11" t="s">
        <v>384</v>
      </c>
      <c r="B218" s="12" t="s">
        <v>18</v>
      </c>
      <c r="C218" s="12" t="s">
        <v>57</v>
      </c>
      <c r="D218" s="12" t="s">
        <v>63</v>
      </c>
      <c r="E218" s="13" t="s">
        <v>64</v>
      </c>
      <c r="F218" s="12" t="s">
        <v>120</v>
      </c>
      <c r="G218" s="14">
        <v>9526.1999999999971</v>
      </c>
      <c r="H218" s="12" t="s">
        <v>65</v>
      </c>
      <c r="I218" s="12">
        <v>0</v>
      </c>
      <c r="J218" s="12" t="s">
        <v>120</v>
      </c>
      <c r="K218" s="12" t="s">
        <v>23</v>
      </c>
      <c r="L218" s="12">
        <v>5</v>
      </c>
      <c r="M218" s="15">
        <v>70000</v>
      </c>
      <c r="N218" s="15">
        <f>G218*4</f>
        <v>38104.799999999988</v>
      </c>
      <c r="O218" s="15">
        <f t="shared" si="15"/>
        <v>108104.79999999999</v>
      </c>
      <c r="P218" s="15">
        <f t="shared" si="16"/>
        <v>11.348155612941154</v>
      </c>
      <c r="Q218" s="14">
        <v>12000</v>
      </c>
      <c r="R218" s="12">
        <v>79</v>
      </c>
      <c r="S218" s="12" t="s">
        <v>390</v>
      </c>
      <c r="T218" s="22">
        <f t="shared" si="17"/>
        <v>10</v>
      </c>
      <c r="U218" s="22">
        <f t="shared" si="18"/>
        <v>2020</v>
      </c>
      <c r="V218" s="22" t="str">
        <f t="shared" si="19"/>
        <v>METROPOLITANA</v>
      </c>
    </row>
    <row r="219" spans="1:22" x14ac:dyDescent="0.2">
      <c r="A219" s="11" t="s">
        <v>384</v>
      </c>
      <c r="B219" s="12" t="s">
        <v>18</v>
      </c>
      <c r="C219" s="12" t="s">
        <v>57</v>
      </c>
      <c r="D219" s="12" t="s">
        <v>20</v>
      </c>
      <c r="E219" s="13" t="s">
        <v>88</v>
      </c>
      <c r="F219" s="12" t="s">
        <v>58</v>
      </c>
      <c r="G219" s="14">
        <v>3478.2</v>
      </c>
      <c r="H219" s="12" t="s">
        <v>22</v>
      </c>
      <c r="I219" s="12">
        <v>0</v>
      </c>
      <c r="J219" s="12" t="s">
        <v>58</v>
      </c>
      <c r="K219" s="12" t="s">
        <v>23</v>
      </c>
      <c r="L219" s="12">
        <v>5</v>
      </c>
      <c r="M219" s="15">
        <v>70000</v>
      </c>
      <c r="N219" s="15">
        <f>G219*4</f>
        <v>13912.8</v>
      </c>
      <c r="O219" s="15">
        <f t="shared" si="15"/>
        <v>83912.8</v>
      </c>
      <c r="P219" s="15">
        <f t="shared" si="16"/>
        <v>24.125352193663392</v>
      </c>
      <c r="Q219" s="14">
        <v>12000</v>
      </c>
      <c r="R219" s="12">
        <v>29</v>
      </c>
      <c r="S219" s="12" t="s">
        <v>391</v>
      </c>
      <c r="T219" s="22">
        <f t="shared" si="17"/>
        <v>10</v>
      </c>
      <c r="U219" s="22">
        <f t="shared" si="18"/>
        <v>2020</v>
      </c>
      <c r="V219" s="22" t="str">
        <f t="shared" si="19"/>
        <v>METROPOLITANA</v>
      </c>
    </row>
    <row r="220" spans="1:22" x14ac:dyDescent="0.2">
      <c r="A220" s="11" t="s">
        <v>384</v>
      </c>
      <c r="B220" s="12" t="s">
        <v>18</v>
      </c>
      <c r="C220" s="12" t="s">
        <v>44</v>
      </c>
      <c r="D220" s="12" t="s">
        <v>80</v>
      </c>
      <c r="E220" s="13" t="s">
        <v>81</v>
      </c>
      <c r="F220" s="12" t="s">
        <v>39</v>
      </c>
      <c r="G220" s="14">
        <v>25570.679999999989</v>
      </c>
      <c r="H220" s="12" t="s">
        <v>85</v>
      </c>
      <c r="I220" s="12">
        <v>1</v>
      </c>
      <c r="J220" s="12" t="s">
        <v>39</v>
      </c>
      <c r="K220" s="12" t="s">
        <v>23</v>
      </c>
      <c r="L220" s="12">
        <v>1</v>
      </c>
      <c r="M220" s="15">
        <v>178995</v>
      </c>
      <c r="N220" s="15">
        <v>76712</v>
      </c>
      <c r="O220" s="15">
        <f t="shared" si="15"/>
        <v>255707</v>
      </c>
      <c r="P220" s="15">
        <f t="shared" si="16"/>
        <v>10.000007821458018</v>
      </c>
      <c r="Q220" s="14">
        <v>4821</v>
      </c>
      <c r="R220" s="12">
        <v>100</v>
      </c>
      <c r="S220" s="12" t="s">
        <v>392</v>
      </c>
      <c r="T220" s="22">
        <f t="shared" si="17"/>
        <v>10</v>
      </c>
      <c r="U220" s="22">
        <f t="shared" si="18"/>
        <v>2020</v>
      </c>
      <c r="V220" s="22" t="str">
        <f t="shared" si="19"/>
        <v>METROPOLITANA</v>
      </c>
    </row>
    <row r="221" spans="1:22" x14ac:dyDescent="0.2">
      <c r="A221" s="11" t="s">
        <v>384</v>
      </c>
      <c r="B221" s="12" t="s">
        <v>33</v>
      </c>
      <c r="C221" s="12" t="s">
        <v>128</v>
      </c>
      <c r="D221" s="12" t="s">
        <v>63</v>
      </c>
      <c r="E221" s="13" t="s">
        <v>64</v>
      </c>
      <c r="F221" s="12" t="s">
        <v>34</v>
      </c>
      <c r="G221" s="14">
        <v>6952.4</v>
      </c>
      <c r="H221" s="12" t="s">
        <v>65</v>
      </c>
      <c r="I221" s="12">
        <v>0</v>
      </c>
      <c r="J221" s="12" t="s">
        <v>34</v>
      </c>
      <c r="K221" s="12" t="s">
        <v>23</v>
      </c>
      <c r="L221" s="12">
        <v>1</v>
      </c>
      <c r="M221" s="15">
        <v>48667</v>
      </c>
      <c r="N221" s="15">
        <v>20857</v>
      </c>
      <c r="O221" s="15">
        <f t="shared" si="15"/>
        <v>69524</v>
      </c>
      <c r="P221" s="15">
        <f t="shared" si="16"/>
        <v>10</v>
      </c>
      <c r="Q221" s="14">
        <v>4821</v>
      </c>
      <c r="R221" s="12">
        <v>100</v>
      </c>
      <c r="S221" s="12" t="s">
        <v>393</v>
      </c>
      <c r="T221" s="22">
        <f t="shared" si="17"/>
        <v>10</v>
      </c>
      <c r="U221" s="22">
        <f t="shared" si="18"/>
        <v>2020</v>
      </c>
      <c r="V221" s="22" t="str">
        <f t="shared" si="19"/>
        <v>METROPOLITANA</v>
      </c>
    </row>
    <row r="222" spans="1:22" x14ac:dyDescent="0.2">
      <c r="A222" s="11" t="s">
        <v>384</v>
      </c>
      <c r="B222" s="12" t="s">
        <v>33</v>
      </c>
      <c r="C222" s="12" t="s">
        <v>36</v>
      </c>
      <c r="D222" s="12" t="s">
        <v>47</v>
      </c>
      <c r="E222" s="13" t="s">
        <v>21</v>
      </c>
      <c r="F222" s="12" t="s">
        <v>127</v>
      </c>
      <c r="G222" s="14">
        <v>3652.0000000000009</v>
      </c>
      <c r="H222" s="12" t="s">
        <v>22</v>
      </c>
      <c r="I222" s="12">
        <v>0</v>
      </c>
      <c r="J222" s="12" t="s">
        <v>127</v>
      </c>
      <c r="K222" s="12" t="s">
        <v>78</v>
      </c>
      <c r="L222" s="12">
        <v>0</v>
      </c>
      <c r="M222" s="15">
        <v>180000</v>
      </c>
      <c r="N222" s="15">
        <f>G222*4</f>
        <v>14608.000000000004</v>
      </c>
      <c r="O222" s="15">
        <f t="shared" si="15"/>
        <v>194608</v>
      </c>
      <c r="P222" s="15">
        <f t="shared" si="16"/>
        <v>53.288061336254096</v>
      </c>
      <c r="Q222" s="14">
        <v>25000</v>
      </c>
      <c r="R222" s="12">
        <v>15</v>
      </c>
      <c r="S222" s="12" t="s">
        <v>394</v>
      </c>
      <c r="T222" s="22">
        <f t="shared" si="17"/>
        <v>10</v>
      </c>
      <c r="U222" s="22">
        <f t="shared" si="18"/>
        <v>2020</v>
      </c>
      <c r="V222" s="22" t="str">
        <f t="shared" si="19"/>
        <v>REGIONES</v>
      </c>
    </row>
    <row r="223" spans="1:22" x14ac:dyDescent="0.2">
      <c r="A223" s="11" t="s">
        <v>384</v>
      </c>
      <c r="B223" s="12" t="s">
        <v>33</v>
      </c>
      <c r="C223" s="12" t="s">
        <v>223</v>
      </c>
      <c r="D223" s="12" t="s">
        <v>30</v>
      </c>
      <c r="E223" s="13" t="s">
        <v>31</v>
      </c>
      <c r="F223" s="12" t="s">
        <v>39</v>
      </c>
      <c r="G223" s="14">
        <v>7558.4</v>
      </c>
      <c r="H223" s="12" t="s">
        <v>32</v>
      </c>
      <c r="I223" s="12">
        <v>0</v>
      </c>
      <c r="J223" s="12" t="s">
        <v>39</v>
      </c>
      <c r="K223" s="12" t="s">
        <v>23</v>
      </c>
      <c r="L223" s="12">
        <v>1</v>
      </c>
      <c r="M223" s="15">
        <v>52909</v>
      </c>
      <c r="N223" s="15">
        <v>0</v>
      </c>
      <c r="O223" s="15">
        <f t="shared" si="15"/>
        <v>52909</v>
      </c>
      <c r="P223" s="15">
        <f t="shared" si="16"/>
        <v>7.0000264606265876</v>
      </c>
      <c r="Q223" s="14">
        <v>4821</v>
      </c>
      <c r="R223" s="12">
        <v>100</v>
      </c>
      <c r="S223" s="12" t="s">
        <v>395</v>
      </c>
      <c r="T223" s="22">
        <f t="shared" si="17"/>
        <v>10</v>
      </c>
      <c r="U223" s="22">
        <f t="shared" si="18"/>
        <v>2020</v>
      </c>
      <c r="V223" s="22" t="str">
        <f t="shared" si="19"/>
        <v>METROPOLITANA</v>
      </c>
    </row>
    <row r="224" spans="1:22" x14ac:dyDescent="0.2">
      <c r="A224" s="11" t="s">
        <v>384</v>
      </c>
      <c r="B224" s="12" t="s">
        <v>33</v>
      </c>
      <c r="C224" s="12" t="s">
        <v>29</v>
      </c>
      <c r="D224" s="12" t="s">
        <v>38</v>
      </c>
      <c r="E224" s="13" t="s">
        <v>42</v>
      </c>
      <c r="F224" s="12" t="s">
        <v>134</v>
      </c>
      <c r="G224" s="14">
        <v>6953.5999999999995</v>
      </c>
      <c r="H224" s="12" t="s">
        <v>43</v>
      </c>
      <c r="I224" s="12">
        <v>0</v>
      </c>
      <c r="J224" s="12" t="s">
        <v>134</v>
      </c>
      <c r="K224" s="12" t="s">
        <v>23</v>
      </c>
      <c r="L224" s="12">
        <v>2</v>
      </c>
      <c r="M224" s="15">
        <v>48675</v>
      </c>
      <c r="N224" s="15">
        <v>20861</v>
      </c>
      <c r="O224" s="15">
        <f t="shared" si="15"/>
        <v>69536</v>
      </c>
      <c r="P224" s="15">
        <f t="shared" si="16"/>
        <v>10</v>
      </c>
      <c r="Q224" s="14">
        <v>5782</v>
      </c>
      <c r="R224" s="12">
        <v>100</v>
      </c>
      <c r="S224" s="12" t="s">
        <v>396</v>
      </c>
      <c r="T224" s="22">
        <f t="shared" si="17"/>
        <v>10</v>
      </c>
      <c r="U224" s="22">
        <f t="shared" si="18"/>
        <v>2020</v>
      </c>
      <c r="V224" s="22" t="str">
        <f t="shared" si="19"/>
        <v>METROPOLITANA</v>
      </c>
    </row>
    <row r="225" spans="1:22" x14ac:dyDescent="0.2">
      <c r="A225" s="11" t="s">
        <v>384</v>
      </c>
      <c r="B225" s="12" t="s">
        <v>33</v>
      </c>
      <c r="C225" s="12" t="s">
        <v>29</v>
      </c>
      <c r="D225" s="12" t="s">
        <v>370</v>
      </c>
      <c r="E225" s="13" t="s">
        <v>371</v>
      </c>
      <c r="F225" s="12" t="s">
        <v>132</v>
      </c>
      <c r="G225" s="14">
        <v>11654.8</v>
      </c>
      <c r="H225" s="12" t="s">
        <v>85</v>
      </c>
      <c r="I225" s="12">
        <v>1</v>
      </c>
      <c r="J225" s="12" t="s">
        <v>132</v>
      </c>
      <c r="K225" s="12" t="s">
        <v>124</v>
      </c>
      <c r="L225" s="12">
        <v>0</v>
      </c>
      <c r="M225" s="15">
        <v>350000</v>
      </c>
      <c r="N225" s="15">
        <v>0</v>
      </c>
      <c r="O225" s="15">
        <f t="shared" si="15"/>
        <v>350000</v>
      </c>
      <c r="P225" s="15">
        <f t="shared" si="16"/>
        <v>30.030545354703644</v>
      </c>
      <c r="Q225" s="14">
        <v>25000</v>
      </c>
      <c r="R225" s="12">
        <v>27</v>
      </c>
      <c r="S225" s="12" t="s">
        <v>397</v>
      </c>
      <c r="T225" s="22">
        <f t="shared" si="17"/>
        <v>10</v>
      </c>
      <c r="U225" s="22">
        <f t="shared" si="18"/>
        <v>2020</v>
      </c>
      <c r="V225" s="22" t="str">
        <f t="shared" si="19"/>
        <v>REGIONES</v>
      </c>
    </row>
    <row r="226" spans="1:22" x14ac:dyDescent="0.2">
      <c r="A226" s="11" t="s">
        <v>384</v>
      </c>
      <c r="B226" s="12" t="s">
        <v>33</v>
      </c>
      <c r="C226" s="12" t="s">
        <v>29</v>
      </c>
      <c r="D226" s="12" t="s">
        <v>20</v>
      </c>
      <c r="E226" s="13" t="s">
        <v>21</v>
      </c>
      <c r="F226" s="12" t="s">
        <v>134</v>
      </c>
      <c r="G226" s="14">
        <v>9825.6000000000022</v>
      </c>
      <c r="H226" s="12" t="s">
        <v>22</v>
      </c>
      <c r="I226" s="12">
        <v>0</v>
      </c>
      <c r="J226" s="12" t="s">
        <v>134</v>
      </c>
      <c r="K226" s="12" t="s">
        <v>23</v>
      </c>
      <c r="L226" s="12">
        <v>2</v>
      </c>
      <c r="M226" s="15">
        <v>68779</v>
      </c>
      <c r="N226" s="15">
        <v>39302</v>
      </c>
      <c r="O226" s="15">
        <f t="shared" si="15"/>
        <v>108081</v>
      </c>
      <c r="P226" s="15">
        <f t="shared" si="16"/>
        <v>10.999938935026867</v>
      </c>
      <c r="Q226" s="14">
        <v>5782</v>
      </c>
      <c r="R226" s="12">
        <v>100</v>
      </c>
      <c r="S226" s="12" t="s">
        <v>398</v>
      </c>
      <c r="T226" s="22">
        <f t="shared" si="17"/>
        <v>10</v>
      </c>
      <c r="U226" s="22">
        <f t="shared" si="18"/>
        <v>2020</v>
      </c>
      <c r="V226" s="22" t="str">
        <f t="shared" si="19"/>
        <v>METROPOLITANA</v>
      </c>
    </row>
    <row r="227" spans="1:22" x14ac:dyDescent="0.2">
      <c r="A227" s="11" t="s">
        <v>384</v>
      </c>
      <c r="B227" s="12" t="s">
        <v>33</v>
      </c>
      <c r="C227" s="12" t="s">
        <v>44</v>
      </c>
      <c r="D227" s="12" t="s">
        <v>56</v>
      </c>
      <c r="E227" s="13" t="s">
        <v>52</v>
      </c>
      <c r="F227" s="12" t="s">
        <v>225</v>
      </c>
      <c r="G227" s="14">
        <v>4282.3999999999996</v>
      </c>
      <c r="H227" s="12" t="s">
        <v>22</v>
      </c>
      <c r="I227" s="12">
        <v>0</v>
      </c>
      <c r="J227" s="12" t="s">
        <v>225</v>
      </c>
      <c r="K227" s="12" t="s">
        <v>23</v>
      </c>
      <c r="L227" s="12">
        <v>3</v>
      </c>
      <c r="M227" s="15">
        <v>48075</v>
      </c>
      <c r="N227" s="15">
        <v>17130</v>
      </c>
      <c r="O227" s="15">
        <f t="shared" si="15"/>
        <v>65205</v>
      </c>
      <c r="P227" s="15">
        <f t="shared" si="16"/>
        <v>15.226274985989166</v>
      </c>
      <c r="Q227" s="14">
        <v>6868</v>
      </c>
      <c r="R227" s="12">
        <v>62</v>
      </c>
      <c r="S227" s="12" t="s">
        <v>399</v>
      </c>
      <c r="T227" s="22">
        <f t="shared" si="17"/>
        <v>10</v>
      </c>
      <c r="U227" s="22">
        <f t="shared" si="18"/>
        <v>2020</v>
      </c>
      <c r="V227" s="22" t="str">
        <f t="shared" si="19"/>
        <v>METROPOLITANA</v>
      </c>
    </row>
    <row r="228" spans="1:22" x14ac:dyDescent="0.2">
      <c r="A228" s="11" t="s">
        <v>384</v>
      </c>
      <c r="B228" s="12" t="s">
        <v>33</v>
      </c>
      <c r="C228" s="12" t="s">
        <v>44</v>
      </c>
      <c r="D228" s="12" t="s">
        <v>27</v>
      </c>
      <c r="E228" s="13" t="s">
        <v>28</v>
      </c>
      <c r="F228" s="12" t="s">
        <v>48</v>
      </c>
      <c r="G228" s="14">
        <v>10883.6</v>
      </c>
      <c r="H228" s="12" t="s">
        <v>22</v>
      </c>
      <c r="I228" s="12">
        <v>1</v>
      </c>
      <c r="J228" s="12" t="s">
        <v>48</v>
      </c>
      <c r="K228" s="12" t="s">
        <v>23</v>
      </c>
      <c r="L228" s="12">
        <v>1</v>
      </c>
      <c r="M228" s="15">
        <v>76185</v>
      </c>
      <c r="N228" s="15">
        <v>43534</v>
      </c>
      <c r="O228" s="15">
        <f t="shared" si="15"/>
        <v>119719</v>
      </c>
      <c r="P228" s="15">
        <f t="shared" si="16"/>
        <v>10.999944871182329</v>
      </c>
      <c r="Q228" s="14">
        <v>4821</v>
      </c>
      <c r="R228" s="12">
        <v>100</v>
      </c>
      <c r="S228" s="12" t="s">
        <v>400</v>
      </c>
      <c r="T228" s="22">
        <f t="shared" si="17"/>
        <v>10</v>
      </c>
      <c r="U228" s="22">
        <f t="shared" si="18"/>
        <v>2020</v>
      </c>
      <c r="V228" s="22" t="str">
        <f t="shared" si="19"/>
        <v>METROPOLITANA</v>
      </c>
    </row>
    <row r="229" spans="1:22" x14ac:dyDescent="0.2">
      <c r="A229" s="11" t="s">
        <v>384</v>
      </c>
      <c r="B229" s="12" t="s">
        <v>33</v>
      </c>
      <c r="C229" s="12" t="s">
        <v>44</v>
      </c>
      <c r="D229" s="12" t="s">
        <v>45</v>
      </c>
      <c r="E229" s="13" t="s">
        <v>21</v>
      </c>
      <c r="F229" s="12" t="s">
        <v>46</v>
      </c>
      <c r="G229" s="14">
        <v>3266.8</v>
      </c>
      <c r="H229" s="12" t="s">
        <v>22</v>
      </c>
      <c r="I229" s="12">
        <v>0</v>
      </c>
      <c r="J229" s="12" t="s">
        <v>46</v>
      </c>
      <c r="K229" s="12" t="s">
        <v>23</v>
      </c>
      <c r="L229" s="12">
        <v>2</v>
      </c>
      <c r="M229" s="15">
        <v>40475</v>
      </c>
      <c r="N229" s="15">
        <v>13067</v>
      </c>
      <c r="O229" s="15">
        <f t="shared" si="15"/>
        <v>53542</v>
      </c>
      <c r="P229" s="15">
        <f t="shared" si="16"/>
        <v>16.389739194318597</v>
      </c>
      <c r="Q229" s="14">
        <v>5782</v>
      </c>
      <c r="R229" s="12">
        <v>56</v>
      </c>
      <c r="S229" s="12" t="s">
        <v>401</v>
      </c>
      <c r="T229" s="22">
        <f t="shared" si="17"/>
        <v>10</v>
      </c>
      <c r="U229" s="22">
        <f t="shared" si="18"/>
        <v>2020</v>
      </c>
      <c r="V229" s="22" t="str">
        <f t="shared" si="19"/>
        <v>METROPOLITANA</v>
      </c>
    </row>
    <row r="230" spans="1:22" x14ac:dyDescent="0.2">
      <c r="A230" s="11" t="s">
        <v>384</v>
      </c>
      <c r="B230" s="12" t="s">
        <v>33</v>
      </c>
      <c r="C230" s="12" t="s">
        <v>44</v>
      </c>
      <c r="D230" s="12" t="s">
        <v>35</v>
      </c>
      <c r="E230" s="13" t="s">
        <v>88</v>
      </c>
      <c r="F230" s="12" t="s">
        <v>129</v>
      </c>
      <c r="G230" s="14">
        <v>1976</v>
      </c>
      <c r="H230" s="12" t="s">
        <v>22</v>
      </c>
      <c r="I230" s="12">
        <v>0</v>
      </c>
      <c r="J230" s="12" t="s">
        <v>129</v>
      </c>
      <c r="K230" s="12" t="s">
        <v>23</v>
      </c>
      <c r="L230" s="12">
        <v>1</v>
      </c>
      <c r="M230" s="15">
        <v>33750</v>
      </c>
      <c r="N230" s="15">
        <v>7904</v>
      </c>
      <c r="O230" s="15">
        <f t="shared" si="15"/>
        <v>41654</v>
      </c>
      <c r="P230" s="15">
        <f t="shared" si="16"/>
        <v>21.079959514170042</v>
      </c>
      <c r="Q230" s="14">
        <v>4821</v>
      </c>
      <c r="R230" s="12">
        <v>41</v>
      </c>
      <c r="S230" s="12" t="s">
        <v>402</v>
      </c>
      <c r="T230" s="22">
        <f t="shared" si="17"/>
        <v>10</v>
      </c>
      <c r="U230" s="22">
        <f t="shared" si="18"/>
        <v>2020</v>
      </c>
      <c r="V230" s="22" t="str">
        <f t="shared" si="19"/>
        <v>METROPOLITANA</v>
      </c>
    </row>
    <row r="231" spans="1:22" x14ac:dyDescent="0.2">
      <c r="A231" s="11" t="s">
        <v>384</v>
      </c>
      <c r="B231" s="12" t="s">
        <v>33</v>
      </c>
      <c r="C231" s="12" t="s">
        <v>403</v>
      </c>
      <c r="D231" s="12" t="s">
        <v>41</v>
      </c>
      <c r="E231" s="13" t="s">
        <v>25</v>
      </c>
      <c r="F231" s="12" t="s">
        <v>129</v>
      </c>
      <c r="G231" s="14">
        <v>11902.8</v>
      </c>
      <c r="H231" s="12" t="s">
        <v>43</v>
      </c>
      <c r="I231" s="12">
        <v>0</v>
      </c>
      <c r="J231" s="12" t="s">
        <v>129</v>
      </c>
      <c r="K231" s="12" t="s">
        <v>23</v>
      </c>
      <c r="L231" s="12">
        <v>1</v>
      </c>
      <c r="M231" s="15">
        <v>83320</v>
      </c>
      <c r="N231" s="15">
        <v>0</v>
      </c>
      <c r="O231" s="15">
        <f t="shared" si="15"/>
        <v>83320</v>
      </c>
      <c r="P231" s="15">
        <f t="shared" si="16"/>
        <v>7.0000336055381931</v>
      </c>
      <c r="Q231" s="14">
        <v>4821</v>
      </c>
      <c r="R231" s="12">
        <v>100</v>
      </c>
      <c r="S231" s="12" t="s">
        <v>404</v>
      </c>
      <c r="T231" s="22">
        <f t="shared" si="17"/>
        <v>10</v>
      </c>
      <c r="U231" s="22">
        <f t="shared" si="18"/>
        <v>2020</v>
      </c>
      <c r="V231" s="22" t="str">
        <f t="shared" si="19"/>
        <v>METROPOLITANA</v>
      </c>
    </row>
    <row r="232" spans="1:22" x14ac:dyDescent="0.2">
      <c r="A232" s="23" t="s">
        <v>405</v>
      </c>
      <c r="B232" s="22" t="s">
        <v>18</v>
      </c>
      <c r="C232" s="22" t="s">
        <v>50</v>
      </c>
      <c r="D232" s="22" t="s">
        <v>63</v>
      </c>
      <c r="E232" s="24" t="s">
        <v>64</v>
      </c>
      <c r="F232" s="22" t="s">
        <v>26</v>
      </c>
      <c r="G232" s="25">
        <v>5928.8000000000011</v>
      </c>
      <c r="H232" s="22" t="s">
        <v>65</v>
      </c>
      <c r="I232" s="22">
        <v>0</v>
      </c>
      <c r="J232" s="22" t="s">
        <v>26</v>
      </c>
      <c r="K232" s="22" t="s">
        <v>23</v>
      </c>
      <c r="L232" s="22">
        <v>3</v>
      </c>
      <c r="M232" s="26">
        <v>48075</v>
      </c>
      <c r="N232" s="26">
        <f>G232*3</f>
        <v>17786.400000000001</v>
      </c>
      <c r="O232" s="27">
        <f t="shared" si="15"/>
        <v>65861.399999999994</v>
      </c>
      <c r="P232" s="27">
        <f t="shared" si="16"/>
        <v>11.108723519093237</v>
      </c>
      <c r="Q232" s="25">
        <v>6868</v>
      </c>
      <c r="R232" s="22">
        <v>86</v>
      </c>
      <c r="S232" s="22" t="s">
        <v>406</v>
      </c>
      <c r="T232" s="22">
        <f t="shared" si="17"/>
        <v>10</v>
      </c>
      <c r="U232" s="22">
        <f t="shared" si="18"/>
        <v>2020</v>
      </c>
      <c r="V232" s="22" t="str">
        <f t="shared" si="19"/>
        <v>METROPOLITANA</v>
      </c>
    </row>
    <row r="233" spans="1:22" x14ac:dyDescent="0.2">
      <c r="A233" s="23" t="s">
        <v>405</v>
      </c>
      <c r="B233" s="22" t="s">
        <v>18</v>
      </c>
      <c r="C233" s="22" t="s">
        <v>57</v>
      </c>
      <c r="D233" s="22" t="s">
        <v>409</v>
      </c>
      <c r="E233" s="24" t="s">
        <v>410</v>
      </c>
      <c r="F233" s="22" t="s">
        <v>407</v>
      </c>
      <c r="G233" s="25">
        <v>14005.99</v>
      </c>
      <c r="H233" s="22" t="s">
        <v>85</v>
      </c>
      <c r="I233" s="22">
        <v>1</v>
      </c>
      <c r="J233" s="22" t="s">
        <v>407</v>
      </c>
      <c r="K233" s="22" t="s">
        <v>408</v>
      </c>
      <c r="L233" s="22">
        <v>0</v>
      </c>
      <c r="M233" s="26">
        <v>600000</v>
      </c>
      <c r="N233" s="26">
        <v>0</v>
      </c>
      <c r="O233" s="27">
        <f t="shared" si="15"/>
        <v>600000</v>
      </c>
      <c r="P233" s="27">
        <f t="shared" si="16"/>
        <v>42.838813964596575</v>
      </c>
      <c r="Q233" s="25">
        <v>25000</v>
      </c>
      <c r="R233" s="22">
        <v>56</v>
      </c>
      <c r="S233" s="22" t="s">
        <v>411</v>
      </c>
      <c r="T233" s="22">
        <f t="shared" si="17"/>
        <v>10</v>
      </c>
      <c r="U233" s="22">
        <f t="shared" si="18"/>
        <v>2020</v>
      </c>
      <c r="V233" s="22" t="str">
        <f t="shared" si="19"/>
        <v>REGIONES</v>
      </c>
    </row>
    <row r="234" spans="1:22" x14ac:dyDescent="0.2">
      <c r="A234" s="23" t="s">
        <v>405</v>
      </c>
      <c r="B234" s="22" t="s">
        <v>18</v>
      </c>
      <c r="C234" s="22" t="s">
        <v>163</v>
      </c>
      <c r="D234" s="22" t="s">
        <v>38</v>
      </c>
      <c r="E234" s="24" t="s">
        <v>42</v>
      </c>
      <c r="F234" s="22" t="s">
        <v>165</v>
      </c>
      <c r="G234" s="25">
        <v>5269.5</v>
      </c>
      <c r="H234" s="22" t="s">
        <v>43</v>
      </c>
      <c r="I234" s="22">
        <v>0</v>
      </c>
      <c r="J234" s="22" t="s">
        <v>165</v>
      </c>
      <c r="K234" s="22" t="s">
        <v>23</v>
      </c>
      <c r="L234" s="22">
        <v>3</v>
      </c>
      <c r="M234" s="26">
        <v>48075</v>
      </c>
      <c r="N234" s="26">
        <f>G234*3</f>
        <v>15808.5</v>
      </c>
      <c r="O234" s="27">
        <f t="shared" si="15"/>
        <v>63883.5</v>
      </c>
      <c r="P234" s="27">
        <f t="shared" si="16"/>
        <v>12.123256475946485</v>
      </c>
      <c r="Q234" s="25">
        <v>6868</v>
      </c>
      <c r="R234" s="22">
        <v>77</v>
      </c>
      <c r="S234" s="22" t="s">
        <v>412</v>
      </c>
      <c r="T234" s="22">
        <f t="shared" si="17"/>
        <v>10</v>
      </c>
      <c r="U234" s="22">
        <f t="shared" si="18"/>
        <v>2020</v>
      </c>
      <c r="V234" s="22" t="str">
        <f t="shared" si="19"/>
        <v>METROPOLITANA</v>
      </c>
    </row>
    <row r="235" spans="1:22" x14ac:dyDescent="0.2">
      <c r="A235" s="23" t="s">
        <v>405</v>
      </c>
      <c r="B235" s="22" t="s">
        <v>18</v>
      </c>
      <c r="C235" s="22" t="s">
        <v>163</v>
      </c>
      <c r="D235" s="22" t="s">
        <v>20</v>
      </c>
      <c r="E235" s="24" t="s">
        <v>88</v>
      </c>
      <c r="F235" s="22" t="s">
        <v>165</v>
      </c>
      <c r="G235" s="25">
        <v>4527</v>
      </c>
      <c r="H235" s="22" t="s">
        <v>22</v>
      </c>
      <c r="I235" s="22">
        <v>0</v>
      </c>
      <c r="J235" s="22" t="s">
        <v>165</v>
      </c>
      <c r="K235" s="22" t="s">
        <v>23</v>
      </c>
      <c r="L235" s="22">
        <v>3</v>
      </c>
      <c r="M235" s="26">
        <v>48075</v>
      </c>
      <c r="N235" s="26">
        <f>G235*3</f>
        <v>13581</v>
      </c>
      <c r="O235" s="27">
        <f t="shared" si="15"/>
        <v>61656</v>
      </c>
      <c r="P235" s="27">
        <f t="shared" si="16"/>
        <v>13.619615639496356</v>
      </c>
      <c r="Q235" s="25">
        <v>6868</v>
      </c>
      <c r="R235" s="22">
        <v>66</v>
      </c>
      <c r="S235" s="22" t="s">
        <v>413</v>
      </c>
      <c r="T235" s="22">
        <f t="shared" si="17"/>
        <v>10</v>
      </c>
      <c r="U235" s="22">
        <f t="shared" si="18"/>
        <v>2020</v>
      </c>
      <c r="V235" s="22" t="str">
        <f t="shared" si="19"/>
        <v>METROPOLITANA</v>
      </c>
    </row>
    <row r="236" spans="1:22" x14ac:dyDescent="0.2">
      <c r="A236" s="23" t="s">
        <v>405</v>
      </c>
      <c r="B236" s="22" t="s">
        <v>18</v>
      </c>
      <c r="C236" s="22" t="s">
        <v>44</v>
      </c>
      <c r="D236" s="22" t="s">
        <v>164</v>
      </c>
      <c r="E236" s="24" t="s">
        <v>28</v>
      </c>
      <c r="F236" s="22" t="s">
        <v>39</v>
      </c>
      <c r="G236" s="25">
        <v>15442.44</v>
      </c>
      <c r="H236" s="22" t="s">
        <v>22</v>
      </c>
      <c r="I236" s="22">
        <v>1</v>
      </c>
      <c r="J236" s="22" t="s">
        <v>39</v>
      </c>
      <c r="K236" s="22" t="s">
        <v>23</v>
      </c>
      <c r="L236" s="22">
        <v>1</v>
      </c>
      <c r="M236" s="26">
        <v>108097</v>
      </c>
      <c r="N236" s="26">
        <v>61770</v>
      </c>
      <c r="O236" s="27">
        <f t="shared" si="15"/>
        <v>169867</v>
      </c>
      <c r="P236" s="27">
        <f t="shared" si="16"/>
        <v>11.000010361056932</v>
      </c>
      <c r="Q236" s="25">
        <v>4821</v>
      </c>
      <c r="R236" s="22">
        <v>100</v>
      </c>
      <c r="S236" s="22" t="s">
        <v>414</v>
      </c>
      <c r="T236" s="22">
        <f t="shared" si="17"/>
        <v>10</v>
      </c>
      <c r="U236" s="22">
        <f t="shared" si="18"/>
        <v>2020</v>
      </c>
      <c r="V236" s="22" t="str">
        <f t="shared" si="19"/>
        <v>METROPOLITANA</v>
      </c>
    </row>
    <row r="237" spans="1:22" x14ac:dyDescent="0.2">
      <c r="A237" s="23" t="s">
        <v>405</v>
      </c>
      <c r="B237" s="22" t="s">
        <v>33</v>
      </c>
      <c r="C237" s="22" t="s">
        <v>60</v>
      </c>
      <c r="D237" s="22" t="s">
        <v>27</v>
      </c>
      <c r="E237" s="24" t="s">
        <v>28</v>
      </c>
      <c r="F237" s="22" t="s">
        <v>89</v>
      </c>
      <c r="G237" s="25">
        <v>7132.7999999999975</v>
      </c>
      <c r="H237" s="22" t="s">
        <v>22</v>
      </c>
      <c r="I237" s="22">
        <v>1</v>
      </c>
      <c r="J237" s="22" t="s">
        <v>89</v>
      </c>
      <c r="K237" s="22" t="s">
        <v>23</v>
      </c>
      <c r="L237" s="22">
        <v>5</v>
      </c>
      <c r="M237" s="26">
        <v>120000</v>
      </c>
      <c r="N237" s="26">
        <f>G237*3</f>
        <v>21398.399999999994</v>
      </c>
      <c r="O237" s="27">
        <f t="shared" si="15"/>
        <v>141398.39999999999</v>
      </c>
      <c r="P237" s="27">
        <f t="shared" si="16"/>
        <v>19.823687752355323</v>
      </c>
      <c r="Q237" s="25">
        <v>12000</v>
      </c>
      <c r="R237" s="22">
        <v>59</v>
      </c>
      <c r="S237" s="22" t="s">
        <v>415</v>
      </c>
      <c r="T237" s="22">
        <f t="shared" si="17"/>
        <v>10</v>
      </c>
      <c r="U237" s="22">
        <f t="shared" si="18"/>
        <v>2020</v>
      </c>
      <c r="V237" s="22" t="str">
        <f t="shared" si="19"/>
        <v>METROPOLITANA</v>
      </c>
    </row>
    <row r="238" spans="1:22" x14ac:dyDescent="0.2">
      <c r="A238" s="23" t="s">
        <v>405</v>
      </c>
      <c r="B238" s="22" t="s">
        <v>33</v>
      </c>
      <c r="C238" s="22" t="s">
        <v>163</v>
      </c>
      <c r="D238" s="22" t="s">
        <v>37</v>
      </c>
      <c r="E238" s="24" t="s">
        <v>40</v>
      </c>
      <c r="F238" s="22" t="s">
        <v>165</v>
      </c>
      <c r="G238" s="25">
        <v>16151.52</v>
      </c>
      <c r="H238" s="22" t="s">
        <v>22</v>
      </c>
      <c r="I238" s="22">
        <v>0</v>
      </c>
      <c r="J238" s="22" t="s">
        <v>165</v>
      </c>
      <c r="K238" s="22" t="s">
        <v>23</v>
      </c>
      <c r="L238" s="22">
        <v>3</v>
      </c>
      <c r="M238" s="26">
        <v>113061</v>
      </c>
      <c r="N238" s="26">
        <f>G238*3</f>
        <v>48454.559999999998</v>
      </c>
      <c r="O238" s="27">
        <f t="shared" si="15"/>
        <v>161515.56</v>
      </c>
      <c r="P238" s="27">
        <f t="shared" si="16"/>
        <v>10.000022288923891</v>
      </c>
      <c r="Q238" s="25">
        <v>6868</v>
      </c>
      <c r="R238" s="22">
        <v>100</v>
      </c>
      <c r="S238" s="22" t="s">
        <v>416</v>
      </c>
      <c r="T238" s="22">
        <f t="shared" si="17"/>
        <v>10</v>
      </c>
      <c r="U238" s="22">
        <f t="shared" si="18"/>
        <v>2020</v>
      </c>
      <c r="V238" s="22" t="str">
        <f t="shared" si="19"/>
        <v>METROPOLITANA</v>
      </c>
    </row>
    <row r="239" spans="1:22" x14ac:dyDescent="0.2">
      <c r="A239" s="23" t="s">
        <v>405</v>
      </c>
      <c r="B239" s="22" t="s">
        <v>33</v>
      </c>
      <c r="C239" s="22" t="s">
        <v>417</v>
      </c>
      <c r="D239" s="22" t="s">
        <v>41</v>
      </c>
      <c r="E239" s="24" t="s">
        <v>25</v>
      </c>
      <c r="F239" s="22" t="s">
        <v>418</v>
      </c>
      <c r="G239" s="25">
        <v>9004.7999999999975</v>
      </c>
      <c r="H239" s="22" t="s">
        <v>43</v>
      </c>
      <c r="I239" s="22">
        <v>0</v>
      </c>
      <c r="J239" s="22" t="s">
        <v>418</v>
      </c>
      <c r="K239" s="22" t="s">
        <v>171</v>
      </c>
      <c r="L239" s="22">
        <v>0</v>
      </c>
      <c r="M239" s="26">
        <v>230000</v>
      </c>
      <c r="N239" s="26">
        <f>G239*3</f>
        <v>27014.399999999994</v>
      </c>
      <c r="O239" s="27">
        <f t="shared" si="15"/>
        <v>257014.39999999999</v>
      </c>
      <c r="P239" s="27">
        <f t="shared" si="16"/>
        <v>28.541933191186931</v>
      </c>
      <c r="Q239" s="25">
        <v>25000</v>
      </c>
      <c r="R239" s="22">
        <v>36</v>
      </c>
      <c r="S239" s="22" t="s">
        <v>419</v>
      </c>
      <c r="T239" s="22">
        <f t="shared" si="17"/>
        <v>10</v>
      </c>
      <c r="U239" s="22">
        <f t="shared" si="18"/>
        <v>2020</v>
      </c>
      <c r="V239" s="22" t="str">
        <f t="shared" si="19"/>
        <v>REGIONES</v>
      </c>
    </row>
    <row r="240" spans="1:22" x14ac:dyDescent="0.2">
      <c r="A240" s="23" t="s">
        <v>405</v>
      </c>
      <c r="B240" s="22" t="s">
        <v>33</v>
      </c>
      <c r="C240" s="22" t="s">
        <v>44</v>
      </c>
      <c r="D240" s="22" t="s">
        <v>56</v>
      </c>
      <c r="E240" s="24" t="s">
        <v>88</v>
      </c>
      <c r="F240" s="22" t="s">
        <v>95</v>
      </c>
      <c r="G240" s="25">
        <v>5451.5999999999995</v>
      </c>
      <c r="H240" s="22" t="s">
        <v>22</v>
      </c>
      <c r="I240" s="22">
        <v>0</v>
      </c>
      <c r="J240" s="22" t="s">
        <v>95</v>
      </c>
      <c r="K240" s="22" t="s">
        <v>23</v>
      </c>
      <c r="L240" s="22">
        <v>1</v>
      </c>
      <c r="M240" s="26">
        <v>38161</v>
      </c>
      <c r="N240" s="26">
        <v>21806</v>
      </c>
      <c r="O240" s="27">
        <f t="shared" si="15"/>
        <v>59967</v>
      </c>
      <c r="P240" s="27">
        <f t="shared" si="16"/>
        <v>10.999889940567908</v>
      </c>
      <c r="Q240" s="25">
        <v>4821</v>
      </c>
      <c r="R240" s="22">
        <v>100</v>
      </c>
      <c r="S240" s="22" t="s">
        <v>420</v>
      </c>
      <c r="T240" s="22">
        <f t="shared" si="17"/>
        <v>10</v>
      </c>
      <c r="U240" s="22">
        <f t="shared" si="18"/>
        <v>2020</v>
      </c>
      <c r="V240" s="22" t="str">
        <f t="shared" si="19"/>
        <v>METROPOLITANA</v>
      </c>
    </row>
    <row r="241" spans="1:22" x14ac:dyDescent="0.2">
      <c r="A241" s="23" t="s">
        <v>405</v>
      </c>
      <c r="B241" s="22" t="s">
        <v>33</v>
      </c>
      <c r="C241" s="22" t="s">
        <v>44</v>
      </c>
      <c r="D241" s="22" t="s">
        <v>45</v>
      </c>
      <c r="E241" s="24" t="s">
        <v>52</v>
      </c>
      <c r="F241" s="22" t="s">
        <v>48</v>
      </c>
      <c r="G241" s="25">
        <v>3256.8</v>
      </c>
      <c r="H241" s="22" t="s">
        <v>22</v>
      </c>
      <c r="I241" s="22">
        <v>0</v>
      </c>
      <c r="J241" s="22" t="s">
        <v>48</v>
      </c>
      <c r="K241" s="22" t="s">
        <v>23</v>
      </c>
      <c r="L241" s="22">
        <v>1</v>
      </c>
      <c r="M241" s="26">
        <v>33750</v>
      </c>
      <c r="N241" s="26">
        <v>13027</v>
      </c>
      <c r="O241" s="27">
        <f t="shared" si="15"/>
        <v>46777</v>
      </c>
      <c r="P241" s="27">
        <f t="shared" si="16"/>
        <v>14.362871530336525</v>
      </c>
      <c r="Q241" s="25">
        <v>4821</v>
      </c>
      <c r="R241" s="22">
        <v>68</v>
      </c>
      <c r="S241" s="22" t="s">
        <v>421</v>
      </c>
      <c r="T241" s="22">
        <f t="shared" si="17"/>
        <v>10</v>
      </c>
      <c r="U241" s="22">
        <f t="shared" si="18"/>
        <v>2020</v>
      </c>
      <c r="V241" s="22" t="str">
        <f t="shared" si="19"/>
        <v>METROPOLITANA</v>
      </c>
    </row>
    <row r="242" spans="1:22" x14ac:dyDescent="0.2">
      <c r="A242" s="23" t="s">
        <v>405</v>
      </c>
      <c r="B242" s="22" t="s">
        <v>33</v>
      </c>
      <c r="C242" s="22" t="s">
        <v>44</v>
      </c>
      <c r="D242" s="22" t="s">
        <v>47</v>
      </c>
      <c r="E242" s="24" t="s">
        <v>21</v>
      </c>
      <c r="F242" s="22" t="s">
        <v>53</v>
      </c>
      <c r="G242" s="25">
        <v>4977.6000000000004</v>
      </c>
      <c r="H242" s="22" t="s">
        <v>22</v>
      </c>
      <c r="I242" s="22">
        <v>0</v>
      </c>
      <c r="J242" s="22" t="s">
        <v>53</v>
      </c>
      <c r="K242" s="22" t="s">
        <v>23</v>
      </c>
      <c r="L242" s="22">
        <v>3</v>
      </c>
      <c r="M242" s="26">
        <v>48075</v>
      </c>
      <c r="N242" s="26">
        <v>19910</v>
      </c>
      <c r="O242" s="27">
        <f t="shared" si="15"/>
        <v>67985</v>
      </c>
      <c r="P242" s="27">
        <f t="shared" si="16"/>
        <v>13.658188685310188</v>
      </c>
      <c r="Q242" s="25">
        <v>6868</v>
      </c>
      <c r="R242" s="22">
        <v>72</v>
      </c>
      <c r="S242" s="22" t="s">
        <v>422</v>
      </c>
      <c r="T242" s="22">
        <f t="shared" si="17"/>
        <v>10</v>
      </c>
      <c r="U242" s="22">
        <f t="shared" si="18"/>
        <v>2020</v>
      </c>
      <c r="V242" s="22" t="str">
        <f t="shared" si="19"/>
        <v>METROPOLITANA</v>
      </c>
    </row>
    <row r="243" spans="1:22" x14ac:dyDescent="0.2">
      <c r="A243" s="23" t="s">
        <v>405</v>
      </c>
      <c r="B243" s="22" t="s">
        <v>33</v>
      </c>
      <c r="C243" s="22" t="s">
        <v>44</v>
      </c>
      <c r="D243" s="22" t="s">
        <v>35</v>
      </c>
      <c r="E243" s="24" t="s">
        <v>49</v>
      </c>
      <c r="F243" s="22" t="s">
        <v>95</v>
      </c>
      <c r="G243" s="25">
        <v>2865.2</v>
      </c>
      <c r="H243" s="22" t="s">
        <v>22</v>
      </c>
      <c r="I243" s="22">
        <v>0</v>
      </c>
      <c r="J243" s="22" t="s">
        <v>95</v>
      </c>
      <c r="K243" s="22" t="s">
        <v>23</v>
      </c>
      <c r="L243" s="22">
        <v>1</v>
      </c>
      <c r="M243" s="26">
        <v>33750</v>
      </c>
      <c r="N243" s="26">
        <v>11461</v>
      </c>
      <c r="O243" s="27">
        <f t="shared" si="15"/>
        <v>45211</v>
      </c>
      <c r="P243" s="27">
        <f t="shared" si="16"/>
        <v>15.779352226720649</v>
      </c>
      <c r="Q243" s="25">
        <v>4821</v>
      </c>
      <c r="R243" s="22">
        <v>59</v>
      </c>
      <c r="S243" s="22" t="s">
        <v>423</v>
      </c>
      <c r="T243" s="22">
        <f t="shared" si="17"/>
        <v>10</v>
      </c>
      <c r="U243" s="22">
        <f t="shared" si="18"/>
        <v>2020</v>
      </c>
      <c r="V243" s="22" t="str">
        <f t="shared" si="19"/>
        <v>METROPOLITANA</v>
      </c>
    </row>
    <row r="244" spans="1:22" x14ac:dyDescent="0.2">
      <c r="A244" s="11" t="s">
        <v>424</v>
      </c>
      <c r="B244" s="12" t="s">
        <v>54</v>
      </c>
      <c r="C244" s="12" t="s">
        <v>55</v>
      </c>
      <c r="D244" s="12" t="s">
        <v>130</v>
      </c>
      <c r="E244" s="13" t="s">
        <v>131</v>
      </c>
      <c r="F244" s="12" t="s">
        <v>66</v>
      </c>
      <c r="G244" s="14">
        <v>19689.600000000009</v>
      </c>
      <c r="H244" s="12" t="s">
        <v>85</v>
      </c>
      <c r="I244" s="12">
        <v>1</v>
      </c>
      <c r="J244" s="12" t="s">
        <v>66</v>
      </c>
      <c r="K244" s="12" t="s">
        <v>75</v>
      </c>
      <c r="L244" s="12">
        <v>0</v>
      </c>
      <c r="M244" s="15">
        <v>380000</v>
      </c>
      <c r="N244" s="15">
        <v>0</v>
      </c>
      <c r="O244" s="15">
        <f t="shared" si="15"/>
        <v>380000</v>
      </c>
      <c r="P244" s="15">
        <f t="shared" si="16"/>
        <v>19.299528685194204</v>
      </c>
      <c r="Q244" s="14">
        <v>25000</v>
      </c>
      <c r="R244" s="12">
        <v>79</v>
      </c>
      <c r="S244" s="12" t="s">
        <v>425</v>
      </c>
      <c r="T244" s="22">
        <f t="shared" si="17"/>
        <v>10</v>
      </c>
      <c r="U244" s="22">
        <f t="shared" si="18"/>
        <v>2020</v>
      </c>
      <c r="V244" s="22" t="str">
        <f t="shared" si="19"/>
        <v>REGIONES</v>
      </c>
    </row>
    <row r="245" spans="1:22" x14ac:dyDescent="0.2">
      <c r="A245" s="11" t="s">
        <v>424</v>
      </c>
      <c r="B245" s="12" t="s">
        <v>18</v>
      </c>
      <c r="C245" s="12" t="s">
        <v>57</v>
      </c>
      <c r="D245" s="12" t="s">
        <v>61</v>
      </c>
      <c r="E245" s="13" t="s">
        <v>62</v>
      </c>
      <c r="F245" s="12" t="s">
        <v>426</v>
      </c>
      <c r="G245" s="14">
        <v>19477.21000000001</v>
      </c>
      <c r="H245" s="12" t="s">
        <v>85</v>
      </c>
      <c r="I245" s="12">
        <v>1</v>
      </c>
      <c r="J245" s="12" t="s">
        <v>426</v>
      </c>
      <c r="K245" s="12" t="s">
        <v>75</v>
      </c>
      <c r="L245" s="12">
        <v>0</v>
      </c>
      <c r="M245" s="15">
        <v>400000</v>
      </c>
      <c r="N245" s="15">
        <v>0</v>
      </c>
      <c r="O245" s="15">
        <f t="shared" si="15"/>
        <v>400000</v>
      </c>
      <c r="P245" s="15">
        <f t="shared" si="16"/>
        <v>20.536822265611953</v>
      </c>
      <c r="Q245" s="14">
        <v>25000</v>
      </c>
      <c r="R245" s="12">
        <v>78</v>
      </c>
      <c r="S245" s="12" t="s">
        <v>427</v>
      </c>
      <c r="T245" s="22">
        <f t="shared" si="17"/>
        <v>10</v>
      </c>
      <c r="U245" s="22">
        <f t="shared" si="18"/>
        <v>2020</v>
      </c>
      <c r="V245" s="22" t="str">
        <f t="shared" si="19"/>
        <v>REGIONES</v>
      </c>
    </row>
    <row r="246" spans="1:22" x14ac:dyDescent="0.2">
      <c r="A246" s="11" t="s">
        <v>424</v>
      </c>
      <c r="B246" s="12" t="s">
        <v>18</v>
      </c>
      <c r="C246" s="12" t="s">
        <v>57</v>
      </c>
      <c r="D246" s="12" t="s">
        <v>63</v>
      </c>
      <c r="E246" s="13" t="s">
        <v>64</v>
      </c>
      <c r="F246" s="12" t="s">
        <v>58</v>
      </c>
      <c r="G246" s="14">
        <v>8957.66</v>
      </c>
      <c r="H246" s="12" t="s">
        <v>65</v>
      </c>
      <c r="I246" s="12">
        <v>0</v>
      </c>
      <c r="J246" s="12" t="s">
        <v>58</v>
      </c>
      <c r="K246" s="12" t="s">
        <v>23</v>
      </c>
      <c r="L246" s="12">
        <v>5</v>
      </c>
      <c r="M246" s="15">
        <v>70000</v>
      </c>
      <c r="N246" s="15">
        <f>G246*3</f>
        <v>26872.98</v>
      </c>
      <c r="O246" s="15">
        <f t="shared" si="15"/>
        <v>96872.98</v>
      </c>
      <c r="P246" s="15">
        <f t="shared" si="16"/>
        <v>10.814540851070481</v>
      </c>
      <c r="Q246" s="14">
        <v>12000</v>
      </c>
      <c r="R246" s="12">
        <v>75</v>
      </c>
      <c r="S246" s="12" t="s">
        <v>428</v>
      </c>
      <c r="T246" s="22">
        <f t="shared" si="17"/>
        <v>10</v>
      </c>
      <c r="U246" s="22">
        <f t="shared" si="18"/>
        <v>2020</v>
      </c>
      <c r="V246" s="22" t="str">
        <f t="shared" si="19"/>
        <v>METROPOLITANA</v>
      </c>
    </row>
    <row r="247" spans="1:22" x14ac:dyDescent="0.2">
      <c r="A247" s="11" t="s">
        <v>424</v>
      </c>
      <c r="B247" s="12" t="s">
        <v>18</v>
      </c>
      <c r="C247" s="12" t="s">
        <v>160</v>
      </c>
      <c r="D247" s="12" t="s">
        <v>41</v>
      </c>
      <c r="E247" s="13" t="s">
        <v>25</v>
      </c>
      <c r="F247" s="12" t="s">
        <v>161</v>
      </c>
      <c r="G247" s="14">
        <v>7052.4499999999989</v>
      </c>
      <c r="H247" s="12" t="s">
        <v>43</v>
      </c>
      <c r="I247" s="12">
        <v>0</v>
      </c>
      <c r="J247" s="12" t="s">
        <v>161</v>
      </c>
      <c r="K247" s="12" t="s">
        <v>23</v>
      </c>
      <c r="L247" s="12">
        <v>5</v>
      </c>
      <c r="M247" s="15">
        <v>70000</v>
      </c>
      <c r="N247" s="15">
        <f>G247*3</f>
        <v>21157.35</v>
      </c>
      <c r="O247" s="15">
        <f t="shared" si="15"/>
        <v>91157.35</v>
      </c>
      <c r="P247" s="15">
        <f t="shared" si="16"/>
        <v>12.925628682231</v>
      </c>
      <c r="Q247" s="14">
        <v>12000</v>
      </c>
      <c r="R247" s="12">
        <v>59</v>
      </c>
      <c r="S247" s="12" t="s">
        <v>429</v>
      </c>
      <c r="T247" s="22">
        <f t="shared" si="17"/>
        <v>10</v>
      </c>
      <c r="U247" s="22">
        <f t="shared" si="18"/>
        <v>2020</v>
      </c>
      <c r="V247" s="22" t="str">
        <f t="shared" si="19"/>
        <v>METROPOLITANA</v>
      </c>
    </row>
    <row r="248" spans="1:22" x14ac:dyDescent="0.2">
      <c r="A248" s="11" t="s">
        <v>424</v>
      </c>
      <c r="B248" s="12" t="s">
        <v>18</v>
      </c>
      <c r="C248" s="12" t="s">
        <v>19</v>
      </c>
      <c r="D248" s="12" t="s">
        <v>76</v>
      </c>
      <c r="E248" s="13" t="s">
        <v>77</v>
      </c>
      <c r="F248" s="12" t="s">
        <v>84</v>
      </c>
      <c r="G248" s="14">
        <v>22290.65</v>
      </c>
      <c r="H248" s="12" t="s">
        <v>24</v>
      </c>
      <c r="I248" s="12">
        <v>1</v>
      </c>
      <c r="J248" s="12" t="s">
        <v>84</v>
      </c>
      <c r="K248" s="12" t="s">
        <v>86</v>
      </c>
      <c r="L248" s="12">
        <v>0</v>
      </c>
      <c r="M248" s="15">
        <v>320000</v>
      </c>
      <c r="N248" s="15">
        <v>0</v>
      </c>
      <c r="O248" s="15">
        <f t="shared" si="15"/>
        <v>320000</v>
      </c>
      <c r="P248" s="15">
        <f t="shared" si="16"/>
        <v>14.355794918497217</v>
      </c>
      <c r="Q248" s="14">
        <v>25000</v>
      </c>
      <c r="R248" s="12">
        <v>89</v>
      </c>
      <c r="S248" s="12" t="s">
        <v>430</v>
      </c>
      <c r="T248" s="22">
        <f t="shared" si="17"/>
        <v>10</v>
      </c>
      <c r="U248" s="22">
        <f t="shared" si="18"/>
        <v>2020</v>
      </c>
      <c r="V248" s="22" t="str">
        <f t="shared" si="19"/>
        <v>REGIONES</v>
      </c>
    </row>
    <row r="249" spans="1:22" x14ac:dyDescent="0.2">
      <c r="A249" s="11" t="s">
        <v>424</v>
      </c>
      <c r="B249" s="12" t="s">
        <v>18</v>
      </c>
      <c r="C249" s="12" t="s">
        <v>163</v>
      </c>
      <c r="D249" s="12" t="s">
        <v>37</v>
      </c>
      <c r="E249" s="13" t="s">
        <v>431</v>
      </c>
      <c r="F249" s="12" t="s">
        <v>165</v>
      </c>
      <c r="G249" s="14">
        <v>4841.1000000000004</v>
      </c>
      <c r="H249" s="12" t="s">
        <v>22</v>
      </c>
      <c r="I249" s="12">
        <v>0</v>
      </c>
      <c r="J249" s="12" t="s">
        <v>165</v>
      </c>
      <c r="K249" s="12" t="s">
        <v>23</v>
      </c>
      <c r="L249" s="12">
        <v>3</v>
      </c>
      <c r="M249" s="15">
        <v>48075</v>
      </c>
      <c r="N249" s="15">
        <f>G249*4</f>
        <v>19364.400000000001</v>
      </c>
      <c r="O249" s="15">
        <f t="shared" si="15"/>
        <v>67439.399999999994</v>
      </c>
      <c r="P249" s="15">
        <f t="shared" si="16"/>
        <v>13.930594286422505</v>
      </c>
      <c r="Q249" s="14">
        <v>6868</v>
      </c>
      <c r="R249" s="12">
        <v>70</v>
      </c>
      <c r="S249" s="12" t="s">
        <v>432</v>
      </c>
      <c r="T249" s="22">
        <f t="shared" si="17"/>
        <v>10</v>
      </c>
      <c r="U249" s="22">
        <f t="shared" si="18"/>
        <v>2020</v>
      </c>
      <c r="V249" s="22" t="str">
        <f t="shared" si="19"/>
        <v>METROPOLITANA</v>
      </c>
    </row>
    <row r="250" spans="1:22" x14ac:dyDescent="0.2">
      <c r="A250" s="11" t="s">
        <v>424</v>
      </c>
      <c r="B250" s="12" t="s">
        <v>18</v>
      </c>
      <c r="C250" s="12" t="s">
        <v>193</v>
      </c>
      <c r="D250" s="12" t="s">
        <v>38</v>
      </c>
      <c r="E250" s="13" t="s">
        <v>42</v>
      </c>
      <c r="F250" s="12" t="s">
        <v>194</v>
      </c>
      <c r="G250" s="14">
        <v>11540.48</v>
      </c>
      <c r="H250" s="12" t="s">
        <v>43</v>
      </c>
      <c r="I250" s="12">
        <v>0</v>
      </c>
      <c r="J250" s="12" t="s">
        <v>194</v>
      </c>
      <c r="K250" s="12" t="s">
        <v>23</v>
      </c>
      <c r="L250" s="12">
        <v>4</v>
      </c>
      <c r="M250" s="15">
        <v>80783</v>
      </c>
      <c r="N250" s="15">
        <f>G250*3</f>
        <v>34621.440000000002</v>
      </c>
      <c r="O250" s="15">
        <f t="shared" si="15"/>
        <v>115404.44</v>
      </c>
      <c r="P250" s="15">
        <f t="shared" si="16"/>
        <v>9.999968805456966</v>
      </c>
      <c r="Q250" s="14">
        <v>8011</v>
      </c>
      <c r="R250" s="12">
        <v>100</v>
      </c>
      <c r="S250" s="12" t="s">
        <v>433</v>
      </c>
      <c r="T250" s="22">
        <f t="shared" si="17"/>
        <v>10</v>
      </c>
      <c r="U250" s="22">
        <f t="shared" si="18"/>
        <v>2020</v>
      </c>
      <c r="V250" s="22" t="str">
        <f t="shared" si="19"/>
        <v>METROPOLITANA</v>
      </c>
    </row>
    <row r="251" spans="1:22" x14ac:dyDescent="0.2">
      <c r="A251" s="11" t="s">
        <v>424</v>
      </c>
      <c r="B251" s="12" t="s">
        <v>18</v>
      </c>
      <c r="C251" s="12" t="s">
        <v>193</v>
      </c>
      <c r="D251" s="12" t="s">
        <v>30</v>
      </c>
      <c r="E251" s="13" t="s">
        <v>31</v>
      </c>
      <c r="F251" s="12" t="s">
        <v>194</v>
      </c>
      <c r="G251" s="14">
        <v>12568.320000000011</v>
      </c>
      <c r="H251" s="12" t="s">
        <v>32</v>
      </c>
      <c r="I251" s="12">
        <v>0</v>
      </c>
      <c r="J251" s="12" t="s">
        <v>194</v>
      </c>
      <c r="K251" s="12" t="s">
        <v>23</v>
      </c>
      <c r="L251" s="12">
        <v>4</v>
      </c>
      <c r="M251" s="15">
        <v>87978</v>
      </c>
      <c r="N251" s="15">
        <f>G251*3</f>
        <v>37704.960000000036</v>
      </c>
      <c r="O251" s="15">
        <f t="shared" si="15"/>
        <v>125682.96000000004</v>
      </c>
      <c r="P251" s="15">
        <f t="shared" si="16"/>
        <v>9.9999809043690746</v>
      </c>
      <c r="Q251" s="14">
        <v>8011</v>
      </c>
      <c r="R251" s="12">
        <v>100</v>
      </c>
      <c r="S251" s="12" t="s">
        <v>434</v>
      </c>
      <c r="T251" s="22">
        <f t="shared" si="17"/>
        <v>10</v>
      </c>
      <c r="U251" s="22">
        <f t="shared" si="18"/>
        <v>2020</v>
      </c>
      <c r="V251" s="22" t="str">
        <f t="shared" si="19"/>
        <v>METROPOLITANA</v>
      </c>
    </row>
    <row r="252" spans="1:22" x14ac:dyDescent="0.2">
      <c r="A252" s="11" t="s">
        <v>424</v>
      </c>
      <c r="B252" s="12" t="s">
        <v>18</v>
      </c>
      <c r="C252" s="12" t="s">
        <v>435</v>
      </c>
      <c r="D252" s="12" t="s">
        <v>82</v>
      </c>
      <c r="E252" s="13" t="s">
        <v>83</v>
      </c>
      <c r="F252" s="12" t="s">
        <v>436</v>
      </c>
      <c r="G252" s="14">
        <v>10599.03</v>
      </c>
      <c r="H252" s="12" t="s">
        <v>85</v>
      </c>
      <c r="I252" s="12">
        <v>1</v>
      </c>
      <c r="J252" s="12" t="s">
        <v>436</v>
      </c>
      <c r="K252" s="12" t="s">
        <v>437</v>
      </c>
      <c r="L252" s="12">
        <v>0</v>
      </c>
      <c r="M252" s="15">
        <v>800000</v>
      </c>
      <c r="N252" s="15">
        <v>0</v>
      </c>
      <c r="O252" s="15">
        <f t="shared" si="15"/>
        <v>800000</v>
      </c>
      <c r="P252" s="15">
        <f t="shared" si="16"/>
        <v>75.478605117638125</v>
      </c>
      <c r="Q252" s="14">
        <v>25000</v>
      </c>
      <c r="R252" s="12">
        <v>42</v>
      </c>
      <c r="S252" s="12" t="s">
        <v>438</v>
      </c>
      <c r="T252" s="22">
        <f t="shared" si="17"/>
        <v>10</v>
      </c>
      <c r="U252" s="22">
        <f t="shared" si="18"/>
        <v>2020</v>
      </c>
      <c r="V252" s="22" t="str">
        <f t="shared" si="19"/>
        <v>REGIONES</v>
      </c>
    </row>
    <row r="253" spans="1:22" x14ac:dyDescent="0.2">
      <c r="A253" s="11" t="s">
        <v>424</v>
      </c>
      <c r="B253" s="12" t="s">
        <v>33</v>
      </c>
      <c r="C253" s="12" t="s">
        <v>128</v>
      </c>
      <c r="D253" s="12" t="s">
        <v>56</v>
      </c>
      <c r="E253" s="13" t="s">
        <v>49</v>
      </c>
      <c r="F253" s="12" t="s">
        <v>129</v>
      </c>
      <c r="G253" s="14">
        <v>3001.6</v>
      </c>
      <c r="H253" s="12" t="s">
        <v>22</v>
      </c>
      <c r="I253" s="12">
        <v>0</v>
      </c>
      <c r="J253" s="12" t="s">
        <v>129</v>
      </c>
      <c r="K253" s="12" t="s">
        <v>23</v>
      </c>
      <c r="L253" s="12">
        <v>1</v>
      </c>
      <c r="M253" s="15">
        <v>33750</v>
      </c>
      <c r="N253" s="15">
        <v>12006</v>
      </c>
      <c r="O253" s="15">
        <f t="shared" si="15"/>
        <v>45756</v>
      </c>
      <c r="P253" s="15">
        <f t="shared" si="16"/>
        <v>15.243869936034116</v>
      </c>
      <c r="Q253" s="14">
        <v>4821</v>
      </c>
      <c r="R253" s="12">
        <v>62</v>
      </c>
      <c r="S253" s="12" t="s">
        <v>439</v>
      </c>
      <c r="T253" s="22">
        <f t="shared" si="17"/>
        <v>10</v>
      </c>
      <c r="U253" s="22">
        <f t="shared" si="18"/>
        <v>2020</v>
      </c>
      <c r="V253" s="22" t="str">
        <f t="shared" si="19"/>
        <v>METROPOLITANA</v>
      </c>
    </row>
    <row r="254" spans="1:22" x14ac:dyDescent="0.2">
      <c r="A254" s="11" t="s">
        <v>424</v>
      </c>
      <c r="B254" s="12" t="s">
        <v>33</v>
      </c>
      <c r="C254" s="12" t="s">
        <v>223</v>
      </c>
      <c r="D254" s="12" t="s">
        <v>20</v>
      </c>
      <c r="E254" s="13" t="s">
        <v>21</v>
      </c>
      <c r="F254" s="12" t="s">
        <v>39</v>
      </c>
      <c r="G254" s="14">
        <v>9004.7999999999975</v>
      </c>
      <c r="H254" s="12" t="s">
        <v>22</v>
      </c>
      <c r="I254" s="12">
        <v>0</v>
      </c>
      <c r="J254" s="12" t="s">
        <v>39</v>
      </c>
      <c r="K254" s="12" t="s">
        <v>23</v>
      </c>
      <c r="L254" s="12">
        <v>1</v>
      </c>
      <c r="M254" s="15">
        <v>63034</v>
      </c>
      <c r="N254" s="15">
        <f>G254*4</f>
        <v>36019.19999999999</v>
      </c>
      <c r="O254" s="15">
        <f t="shared" si="15"/>
        <v>99053.199999999983</v>
      </c>
      <c r="P254" s="15">
        <f t="shared" si="16"/>
        <v>11.000044420753378</v>
      </c>
      <c r="Q254" s="14">
        <v>4821</v>
      </c>
      <c r="R254" s="12">
        <v>100</v>
      </c>
      <c r="S254" s="12" t="s">
        <v>440</v>
      </c>
      <c r="T254" s="22">
        <f t="shared" si="17"/>
        <v>10</v>
      </c>
      <c r="U254" s="22">
        <f t="shared" si="18"/>
        <v>2020</v>
      </c>
      <c r="V254" s="22" t="str">
        <f t="shared" si="19"/>
        <v>METROPOLITANA</v>
      </c>
    </row>
    <row r="255" spans="1:22" x14ac:dyDescent="0.2">
      <c r="A255" s="11" t="s">
        <v>424</v>
      </c>
      <c r="B255" s="12" t="s">
        <v>33</v>
      </c>
      <c r="C255" s="12" t="s">
        <v>29</v>
      </c>
      <c r="D255" s="12" t="s">
        <v>35</v>
      </c>
      <c r="E255" s="13" t="s">
        <v>88</v>
      </c>
      <c r="F255" s="12" t="s">
        <v>134</v>
      </c>
      <c r="G255" s="14">
        <v>6337.5999999999995</v>
      </c>
      <c r="H255" s="12" t="s">
        <v>22</v>
      </c>
      <c r="I255" s="12">
        <v>0</v>
      </c>
      <c r="J255" s="12" t="s">
        <v>134</v>
      </c>
      <c r="K255" s="12" t="s">
        <v>23</v>
      </c>
      <c r="L255" s="12">
        <v>2</v>
      </c>
      <c r="M255" s="15">
        <v>44363</v>
      </c>
      <c r="N255" s="15">
        <v>25350</v>
      </c>
      <c r="O255" s="15">
        <f t="shared" si="15"/>
        <v>69713</v>
      </c>
      <c r="P255" s="15">
        <f t="shared" si="16"/>
        <v>10.999905326937643</v>
      </c>
      <c r="Q255" s="14">
        <v>5782</v>
      </c>
      <c r="R255" s="12">
        <v>100</v>
      </c>
      <c r="S255" s="12" t="s">
        <v>441</v>
      </c>
      <c r="T255" s="22">
        <f t="shared" si="17"/>
        <v>10</v>
      </c>
      <c r="U255" s="22">
        <f t="shared" si="18"/>
        <v>2020</v>
      </c>
      <c r="V255" s="22" t="str">
        <f t="shared" si="19"/>
        <v>METROPOLITANA</v>
      </c>
    </row>
    <row r="256" spans="1:22" x14ac:dyDescent="0.2">
      <c r="A256" s="11" t="s">
        <v>424</v>
      </c>
      <c r="B256" s="12" t="s">
        <v>33</v>
      </c>
      <c r="C256" s="12" t="s">
        <v>29</v>
      </c>
      <c r="D256" s="12" t="s">
        <v>443</v>
      </c>
      <c r="E256" s="13" t="s">
        <v>442</v>
      </c>
      <c r="F256" s="12" t="s">
        <v>132</v>
      </c>
      <c r="G256" s="14">
        <v>16019.2</v>
      </c>
      <c r="H256" s="12" t="s">
        <v>24</v>
      </c>
      <c r="I256" s="12">
        <v>1</v>
      </c>
      <c r="J256" s="12" t="s">
        <v>132</v>
      </c>
      <c r="K256" s="12" t="s">
        <v>124</v>
      </c>
      <c r="L256" s="12">
        <v>0</v>
      </c>
      <c r="M256" s="15">
        <v>350000</v>
      </c>
      <c r="N256" s="15">
        <v>0</v>
      </c>
      <c r="O256" s="15">
        <f t="shared" si="15"/>
        <v>350000</v>
      </c>
      <c r="P256" s="15">
        <f t="shared" si="16"/>
        <v>21.848781462245306</v>
      </c>
      <c r="Q256" s="14">
        <v>25000</v>
      </c>
      <c r="R256" s="12">
        <v>37</v>
      </c>
      <c r="S256" s="12" t="s">
        <v>444</v>
      </c>
      <c r="T256" s="22">
        <f t="shared" si="17"/>
        <v>10</v>
      </c>
      <c r="U256" s="22">
        <f t="shared" si="18"/>
        <v>2020</v>
      </c>
      <c r="V256" s="22" t="str">
        <f t="shared" si="19"/>
        <v>REGIONES</v>
      </c>
    </row>
    <row r="257" spans="1:22" x14ac:dyDescent="0.2">
      <c r="A257" s="11" t="s">
        <v>424</v>
      </c>
      <c r="B257" s="12" t="s">
        <v>33</v>
      </c>
      <c r="C257" s="12" t="s">
        <v>44</v>
      </c>
      <c r="D257" s="12" t="s">
        <v>56</v>
      </c>
      <c r="E257" s="13" t="s">
        <v>21</v>
      </c>
      <c r="F257" s="12" t="s">
        <v>34</v>
      </c>
      <c r="G257" s="14">
        <v>1764.4</v>
      </c>
      <c r="H257" s="12" t="s">
        <v>22</v>
      </c>
      <c r="I257" s="12">
        <v>0</v>
      </c>
      <c r="J257" s="12" t="s">
        <v>34</v>
      </c>
      <c r="K257" s="12" t="s">
        <v>23</v>
      </c>
      <c r="L257" s="12">
        <v>1</v>
      </c>
      <c r="M257" s="15">
        <v>33750</v>
      </c>
      <c r="N257" s="15">
        <v>7058</v>
      </c>
      <c r="O257" s="15">
        <f t="shared" si="15"/>
        <v>40808</v>
      </c>
      <c r="P257" s="15">
        <f t="shared" si="16"/>
        <v>23.128542280661978</v>
      </c>
      <c r="Q257" s="14">
        <v>4821</v>
      </c>
      <c r="R257" s="12">
        <v>37</v>
      </c>
      <c r="S257" s="12" t="s">
        <v>445</v>
      </c>
      <c r="T257" s="22">
        <f t="shared" si="17"/>
        <v>10</v>
      </c>
      <c r="U257" s="22">
        <f t="shared" si="18"/>
        <v>2020</v>
      </c>
      <c r="V257" s="22" t="str">
        <f t="shared" si="19"/>
        <v>METROPOLITANA</v>
      </c>
    </row>
    <row r="258" spans="1:22" x14ac:dyDescent="0.2">
      <c r="A258" s="11" t="s">
        <v>424</v>
      </c>
      <c r="B258" s="12" t="s">
        <v>33</v>
      </c>
      <c r="C258" s="12" t="s">
        <v>44</v>
      </c>
      <c r="D258" s="12" t="s">
        <v>45</v>
      </c>
      <c r="E258" s="13" t="s">
        <v>88</v>
      </c>
      <c r="F258" s="12" t="s">
        <v>48</v>
      </c>
      <c r="G258" s="14">
        <v>3752</v>
      </c>
      <c r="H258" s="12" t="s">
        <v>22</v>
      </c>
      <c r="I258" s="12">
        <v>0</v>
      </c>
      <c r="J258" s="12" t="s">
        <v>48</v>
      </c>
      <c r="K258" s="12" t="s">
        <v>23</v>
      </c>
      <c r="L258" s="12">
        <v>1</v>
      </c>
      <c r="M258" s="15">
        <v>33750</v>
      </c>
      <c r="N258" s="15">
        <v>15008</v>
      </c>
      <c r="O258" s="15">
        <f t="shared" ref="O258:O321" si="20">SUM(M258:N258)</f>
        <v>48758</v>
      </c>
      <c r="P258" s="15">
        <f t="shared" ref="P258:P321" si="21">O258/G258</f>
        <v>12.995202558635395</v>
      </c>
      <c r="Q258" s="14">
        <v>4821</v>
      </c>
      <c r="R258" s="12">
        <v>78</v>
      </c>
      <c r="S258" s="12" t="s">
        <v>446</v>
      </c>
      <c r="T258" s="22">
        <f t="shared" ref="T258:T321" si="22">MONTH(A258)</f>
        <v>10</v>
      </c>
      <c r="U258" s="22">
        <f t="shared" ref="U258:U321" si="23">YEAR(A258)</f>
        <v>2020</v>
      </c>
      <c r="V258" s="22" t="str">
        <f t="shared" ref="V258:V321" si="24">IF(K258="METROPOLITANA DE SANTIAGO","METROPOLITANA","REGIONES")</f>
        <v>METROPOLITANA</v>
      </c>
    </row>
    <row r="259" spans="1:22" x14ac:dyDescent="0.2">
      <c r="A259" s="11" t="s">
        <v>424</v>
      </c>
      <c r="B259" s="12" t="s">
        <v>33</v>
      </c>
      <c r="C259" s="12" t="s">
        <v>44</v>
      </c>
      <c r="D259" s="12" t="s">
        <v>47</v>
      </c>
      <c r="E259" s="13" t="s">
        <v>49</v>
      </c>
      <c r="F259" s="12" t="s">
        <v>26</v>
      </c>
      <c r="G259" s="14">
        <v>9286.6</v>
      </c>
      <c r="H259" s="12" t="s">
        <v>22</v>
      </c>
      <c r="I259" s="12">
        <v>0</v>
      </c>
      <c r="J259" s="12" t="s">
        <v>26</v>
      </c>
      <c r="K259" s="12" t="s">
        <v>23</v>
      </c>
      <c r="L259" s="12">
        <v>3</v>
      </c>
      <c r="M259" s="15">
        <v>65006</v>
      </c>
      <c r="N259" s="15">
        <v>37146</v>
      </c>
      <c r="O259" s="15">
        <f t="shared" si="20"/>
        <v>102152</v>
      </c>
      <c r="P259" s="15">
        <f t="shared" si="21"/>
        <v>10.999935390778109</v>
      </c>
      <c r="Q259" s="14">
        <v>6868</v>
      </c>
      <c r="R259" s="12">
        <v>100</v>
      </c>
      <c r="S259" s="12" t="s">
        <v>447</v>
      </c>
      <c r="T259" s="22">
        <f t="shared" si="22"/>
        <v>10</v>
      </c>
      <c r="U259" s="22">
        <f t="shared" si="23"/>
        <v>2020</v>
      </c>
      <c r="V259" s="22" t="str">
        <f t="shared" si="24"/>
        <v>METROPOLITANA</v>
      </c>
    </row>
    <row r="260" spans="1:22" x14ac:dyDescent="0.2">
      <c r="A260" s="11" t="s">
        <v>424</v>
      </c>
      <c r="B260" s="12" t="s">
        <v>33</v>
      </c>
      <c r="C260" s="12" t="s">
        <v>44</v>
      </c>
      <c r="D260" s="12" t="s">
        <v>35</v>
      </c>
      <c r="E260" s="13" t="s">
        <v>52</v>
      </c>
      <c r="F260" s="12" t="s">
        <v>134</v>
      </c>
      <c r="G260" s="14">
        <v>1600.6</v>
      </c>
      <c r="H260" s="12" t="s">
        <v>22</v>
      </c>
      <c r="I260" s="12">
        <v>0</v>
      </c>
      <c r="J260" s="12" t="s">
        <v>134</v>
      </c>
      <c r="K260" s="12" t="s">
        <v>23</v>
      </c>
      <c r="L260" s="12">
        <v>2</v>
      </c>
      <c r="M260" s="15">
        <v>40475</v>
      </c>
      <c r="N260" s="15">
        <v>6402</v>
      </c>
      <c r="O260" s="15">
        <f t="shared" si="20"/>
        <v>46877</v>
      </c>
      <c r="P260" s="15">
        <f t="shared" si="21"/>
        <v>29.287142321629389</v>
      </c>
      <c r="Q260" s="14">
        <v>5782</v>
      </c>
      <c r="R260" s="12">
        <v>28</v>
      </c>
      <c r="S260" s="12" t="s">
        <v>448</v>
      </c>
      <c r="T260" s="22">
        <f t="shared" si="22"/>
        <v>10</v>
      </c>
      <c r="U260" s="22">
        <f t="shared" si="23"/>
        <v>2020</v>
      </c>
      <c r="V260" s="22" t="str">
        <f t="shared" si="24"/>
        <v>METROPOLITANA</v>
      </c>
    </row>
    <row r="261" spans="1:22" x14ac:dyDescent="0.2">
      <c r="A261" s="23" t="s">
        <v>449</v>
      </c>
      <c r="B261" s="22" t="s">
        <v>54</v>
      </c>
      <c r="C261" s="22" t="s">
        <v>55</v>
      </c>
      <c r="D261" s="22" t="s">
        <v>121</v>
      </c>
      <c r="E261" s="24" t="s">
        <v>122</v>
      </c>
      <c r="F261" s="22" t="s">
        <v>66</v>
      </c>
      <c r="G261" s="25">
        <v>16582.399999999991</v>
      </c>
      <c r="H261" s="22" t="s">
        <v>85</v>
      </c>
      <c r="I261" s="22">
        <v>1</v>
      </c>
      <c r="J261" s="22" t="s">
        <v>66</v>
      </c>
      <c r="K261" s="22" t="s">
        <v>75</v>
      </c>
      <c r="L261" s="22">
        <v>0</v>
      </c>
      <c r="M261" s="26">
        <v>380000</v>
      </c>
      <c r="N261" s="26">
        <v>0</v>
      </c>
      <c r="O261" s="27">
        <f t="shared" si="20"/>
        <v>380000</v>
      </c>
      <c r="P261" s="27">
        <f t="shared" si="21"/>
        <v>22.915862601312249</v>
      </c>
      <c r="Q261" s="25">
        <v>25000</v>
      </c>
      <c r="R261" s="22">
        <v>66</v>
      </c>
      <c r="S261" s="22" t="s">
        <v>450</v>
      </c>
      <c r="T261" s="22">
        <f t="shared" si="22"/>
        <v>10</v>
      </c>
      <c r="U261" s="22">
        <f t="shared" si="23"/>
        <v>2020</v>
      </c>
      <c r="V261" s="22" t="str">
        <f t="shared" si="24"/>
        <v>REGIONES</v>
      </c>
    </row>
    <row r="262" spans="1:22" x14ac:dyDescent="0.2">
      <c r="A262" s="23" t="s">
        <v>449</v>
      </c>
      <c r="B262" s="22" t="s">
        <v>18</v>
      </c>
      <c r="C262" s="22" t="s">
        <v>451</v>
      </c>
      <c r="D262" s="22" t="s">
        <v>37</v>
      </c>
      <c r="E262" s="24" t="s">
        <v>40</v>
      </c>
      <c r="F262" s="22" t="s">
        <v>452</v>
      </c>
      <c r="G262" s="25">
        <v>7415.9999999999973</v>
      </c>
      <c r="H262" s="22" t="s">
        <v>22</v>
      </c>
      <c r="I262" s="22">
        <v>0</v>
      </c>
      <c r="J262" s="22" t="s">
        <v>452</v>
      </c>
      <c r="K262" s="22" t="s">
        <v>171</v>
      </c>
      <c r="L262" s="22">
        <v>0</v>
      </c>
      <c r="M262" s="26">
        <v>230000</v>
      </c>
      <c r="N262" s="26">
        <f>G262*3</f>
        <v>22247.999999999993</v>
      </c>
      <c r="O262" s="27">
        <f t="shared" si="20"/>
        <v>252248</v>
      </c>
      <c r="P262" s="27">
        <f t="shared" si="21"/>
        <v>34.014023732470349</v>
      </c>
      <c r="Q262" s="25">
        <v>25000</v>
      </c>
      <c r="R262" s="22">
        <v>30</v>
      </c>
      <c r="S262" s="22" t="s">
        <v>453</v>
      </c>
      <c r="T262" s="22">
        <f t="shared" si="22"/>
        <v>10</v>
      </c>
      <c r="U262" s="22">
        <f t="shared" si="23"/>
        <v>2020</v>
      </c>
      <c r="V262" s="22" t="str">
        <f t="shared" si="24"/>
        <v>REGIONES</v>
      </c>
    </row>
    <row r="263" spans="1:22" x14ac:dyDescent="0.2">
      <c r="A263" s="23" t="s">
        <v>449</v>
      </c>
      <c r="B263" s="22" t="s">
        <v>18</v>
      </c>
      <c r="C263" s="22" t="s">
        <v>57</v>
      </c>
      <c r="D263" s="22" t="s">
        <v>80</v>
      </c>
      <c r="E263" s="24" t="s">
        <v>81</v>
      </c>
      <c r="F263" s="22" t="s">
        <v>407</v>
      </c>
      <c r="G263" s="25">
        <v>11234.56</v>
      </c>
      <c r="H263" s="22" t="s">
        <v>85</v>
      </c>
      <c r="I263" s="22">
        <v>1</v>
      </c>
      <c r="J263" s="22" t="s">
        <v>407</v>
      </c>
      <c r="K263" s="22" t="s">
        <v>408</v>
      </c>
      <c r="L263" s="22">
        <v>0</v>
      </c>
      <c r="M263" s="26">
        <v>600000</v>
      </c>
      <c r="N263" s="26">
        <v>0</v>
      </c>
      <c r="O263" s="27">
        <f t="shared" si="20"/>
        <v>600000</v>
      </c>
      <c r="P263" s="27">
        <f t="shared" si="21"/>
        <v>53.406630967300906</v>
      </c>
      <c r="Q263" s="25">
        <v>25000</v>
      </c>
      <c r="R263" s="22">
        <v>45</v>
      </c>
      <c r="S263" s="22" t="s">
        <v>454</v>
      </c>
      <c r="T263" s="22">
        <f t="shared" si="22"/>
        <v>10</v>
      </c>
      <c r="U263" s="22">
        <f t="shared" si="23"/>
        <v>2020</v>
      </c>
      <c r="V263" s="22" t="str">
        <f t="shared" si="24"/>
        <v>REGIONES</v>
      </c>
    </row>
    <row r="264" spans="1:22" x14ac:dyDescent="0.2">
      <c r="A264" s="23" t="s">
        <v>449</v>
      </c>
      <c r="B264" s="22" t="s">
        <v>18</v>
      </c>
      <c r="C264" s="22" t="s">
        <v>57</v>
      </c>
      <c r="D264" s="22" t="s">
        <v>30</v>
      </c>
      <c r="E264" s="24" t="s">
        <v>31</v>
      </c>
      <c r="F264" s="22" t="s">
        <v>251</v>
      </c>
      <c r="G264" s="25">
        <v>11788.33</v>
      </c>
      <c r="H264" s="22" t="s">
        <v>32</v>
      </c>
      <c r="I264" s="22">
        <v>0</v>
      </c>
      <c r="J264" s="22" t="s">
        <v>251</v>
      </c>
      <c r="K264" s="22" t="s">
        <v>78</v>
      </c>
      <c r="L264" s="22">
        <v>0</v>
      </c>
      <c r="M264" s="26">
        <v>180000</v>
      </c>
      <c r="N264" s="26">
        <f>G264*3</f>
        <v>35364.99</v>
      </c>
      <c r="O264" s="27">
        <f t="shared" si="20"/>
        <v>215364.99</v>
      </c>
      <c r="P264" s="27">
        <f t="shared" si="21"/>
        <v>18.269338405015809</v>
      </c>
      <c r="Q264" s="25">
        <v>25000</v>
      </c>
      <c r="R264" s="22">
        <v>47</v>
      </c>
      <c r="S264" s="22" t="s">
        <v>455</v>
      </c>
      <c r="T264" s="22">
        <f t="shared" si="22"/>
        <v>10</v>
      </c>
      <c r="U264" s="22">
        <f t="shared" si="23"/>
        <v>2020</v>
      </c>
      <c r="V264" s="22" t="str">
        <f t="shared" si="24"/>
        <v>REGIONES</v>
      </c>
    </row>
    <row r="265" spans="1:22" x14ac:dyDescent="0.2">
      <c r="A265" s="23" t="s">
        <v>449</v>
      </c>
      <c r="B265" s="22" t="s">
        <v>18</v>
      </c>
      <c r="C265" s="22" t="s">
        <v>57</v>
      </c>
      <c r="D265" s="22" t="s">
        <v>20</v>
      </c>
      <c r="E265" s="24" t="s">
        <v>21</v>
      </c>
      <c r="F265" s="22" t="s">
        <v>58</v>
      </c>
      <c r="G265" s="25">
        <v>5661.07</v>
      </c>
      <c r="H265" s="22" t="s">
        <v>22</v>
      </c>
      <c r="I265" s="22">
        <v>0</v>
      </c>
      <c r="J265" s="22" t="s">
        <v>58</v>
      </c>
      <c r="K265" s="22" t="s">
        <v>23</v>
      </c>
      <c r="L265" s="22">
        <v>5</v>
      </c>
      <c r="M265" s="26">
        <v>70000</v>
      </c>
      <c r="N265" s="26">
        <v>0</v>
      </c>
      <c r="O265" s="27">
        <f t="shared" si="20"/>
        <v>70000</v>
      </c>
      <c r="P265" s="27">
        <f t="shared" si="21"/>
        <v>12.365153584039767</v>
      </c>
      <c r="Q265" s="25">
        <v>12000</v>
      </c>
      <c r="R265" s="22">
        <v>47</v>
      </c>
      <c r="S265" s="22" t="s">
        <v>456</v>
      </c>
      <c r="T265" s="22">
        <f t="shared" si="22"/>
        <v>10</v>
      </c>
      <c r="U265" s="22">
        <f t="shared" si="23"/>
        <v>2020</v>
      </c>
      <c r="V265" s="22" t="str">
        <f t="shared" si="24"/>
        <v>METROPOLITANA</v>
      </c>
    </row>
    <row r="266" spans="1:22" x14ac:dyDescent="0.2">
      <c r="A266" s="23" t="s">
        <v>449</v>
      </c>
      <c r="B266" s="22" t="s">
        <v>18</v>
      </c>
      <c r="C266" s="22" t="s">
        <v>457</v>
      </c>
      <c r="D266" s="22" t="s">
        <v>191</v>
      </c>
      <c r="E266" s="24" t="s">
        <v>192</v>
      </c>
      <c r="F266" s="22" t="s">
        <v>458</v>
      </c>
      <c r="G266" s="25">
        <v>6627.24</v>
      </c>
      <c r="H266" s="22" t="s">
        <v>85</v>
      </c>
      <c r="I266" s="22">
        <v>1</v>
      </c>
      <c r="J266" s="22" t="s">
        <v>458</v>
      </c>
      <c r="K266" s="22" t="s">
        <v>75</v>
      </c>
      <c r="L266" s="22">
        <v>0</v>
      </c>
      <c r="M266" s="26">
        <v>400000</v>
      </c>
      <c r="N266" s="26">
        <v>0</v>
      </c>
      <c r="O266" s="27">
        <f t="shared" si="20"/>
        <v>400000</v>
      </c>
      <c r="P266" s="27">
        <f t="shared" si="21"/>
        <v>60.356951008262868</v>
      </c>
      <c r="Q266" s="25">
        <v>25000</v>
      </c>
      <c r="R266" s="22">
        <v>27</v>
      </c>
      <c r="S266" s="22" t="s">
        <v>459</v>
      </c>
      <c r="T266" s="22">
        <f t="shared" si="22"/>
        <v>10</v>
      </c>
      <c r="U266" s="22">
        <f t="shared" si="23"/>
        <v>2020</v>
      </c>
      <c r="V266" s="22" t="str">
        <f t="shared" si="24"/>
        <v>REGIONES</v>
      </c>
    </row>
    <row r="267" spans="1:22" x14ac:dyDescent="0.2">
      <c r="A267" s="23" t="s">
        <v>449</v>
      </c>
      <c r="B267" s="22" t="s">
        <v>18</v>
      </c>
      <c r="C267" s="22" t="s">
        <v>460</v>
      </c>
      <c r="D267" s="22" t="s">
        <v>38</v>
      </c>
      <c r="E267" s="24" t="s">
        <v>25</v>
      </c>
      <c r="F267" s="22" t="s">
        <v>129</v>
      </c>
      <c r="G267" s="25">
        <v>9777.6</v>
      </c>
      <c r="H267" s="22" t="s">
        <v>43</v>
      </c>
      <c r="I267" s="22">
        <v>0</v>
      </c>
      <c r="J267" s="22" t="s">
        <v>129</v>
      </c>
      <c r="K267" s="22" t="s">
        <v>23</v>
      </c>
      <c r="L267" s="22">
        <v>1</v>
      </c>
      <c r="M267" s="26">
        <v>68443</v>
      </c>
      <c r="N267" s="26">
        <f>G267*3</f>
        <v>29332.800000000003</v>
      </c>
      <c r="O267" s="27">
        <f t="shared" si="20"/>
        <v>97775.8</v>
      </c>
      <c r="P267" s="27">
        <f t="shared" si="21"/>
        <v>9.9999795450826383</v>
      </c>
      <c r="Q267" s="25">
        <v>4821</v>
      </c>
      <c r="R267" s="22">
        <v>100</v>
      </c>
      <c r="S267" s="22" t="s">
        <v>461</v>
      </c>
      <c r="T267" s="22">
        <f t="shared" si="22"/>
        <v>10</v>
      </c>
      <c r="U267" s="22">
        <f t="shared" si="23"/>
        <v>2020</v>
      </c>
      <c r="V267" s="22" t="str">
        <f t="shared" si="24"/>
        <v>METROPOLITANA</v>
      </c>
    </row>
    <row r="268" spans="1:22" x14ac:dyDescent="0.2">
      <c r="A268" s="23" t="s">
        <v>449</v>
      </c>
      <c r="B268" s="22" t="s">
        <v>33</v>
      </c>
      <c r="C268" s="22" t="s">
        <v>270</v>
      </c>
      <c r="D268" s="22" t="s">
        <v>35</v>
      </c>
      <c r="E268" s="24" t="s">
        <v>49</v>
      </c>
      <c r="F268" s="22" t="s">
        <v>120</v>
      </c>
      <c r="G268" s="25">
        <v>2919.9500000000012</v>
      </c>
      <c r="H268" s="22" t="s">
        <v>22</v>
      </c>
      <c r="I268" s="22">
        <v>0</v>
      </c>
      <c r="J268" s="22" t="s">
        <v>120</v>
      </c>
      <c r="K268" s="22" t="s">
        <v>23</v>
      </c>
      <c r="L268" s="22">
        <v>5</v>
      </c>
      <c r="M268" s="26">
        <v>70000</v>
      </c>
      <c r="N268" s="26">
        <f>G268*3</f>
        <v>8759.850000000004</v>
      </c>
      <c r="O268" s="27">
        <f t="shared" si="20"/>
        <v>78759.850000000006</v>
      </c>
      <c r="P268" s="27">
        <f t="shared" si="21"/>
        <v>26.973013236528015</v>
      </c>
      <c r="Q268" s="25">
        <v>12000</v>
      </c>
      <c r="R268" s="22">
        <v>24</v>
      </c>
      <c r="S268" s="22" t="s">
        <v>462</v>
      </c>
      <c r="T268" s="22">
        <f t="shared" si="22"/>
        <v>10</v>
      </c>
      <c r="U268" s="22">
        <f t="shared" si="23"/>
        <v>2020</v>
      </c>
      <c r="V268" s="22" t="str">
        <f t="shared" si="24"/>
        <v>METROPOLITANA</v>
      </c>
    </row>
    <row r="269" spans="1:22" x14ac:dyDescent="0.2">
      <c r="A269" s="23" t="s">
        <v>449</v>
      </c>
      <c r="B269" s="22" t="s">
        <v>33</v>
      </c>
      <c r="C269" s="22" t="s">
        <v>50</v>
      </c>
      <c r="D269" s="22" t="s">
        <v>38</v>
      </c>
      <c r="E269" s="24" t="s">
        <v>25</v>
      </c>
      <c r="F269" s="22" t="s">
        <v>26</v>
      </c>
      <c r="G269" s="25">
        <v>7320</v>
      </c>
      <c r="H269" s="22" t="s">
        <v>43</v>
      </c>
      <c r="I269" s="22">
        <v>0</v>
      </c>
      <c r="J269" s="22" t="s">
        <v>26</v>
      </c>
      <c r="K269" s="22" t="s">
        <v>23</v>
      </c>
      <c r="L269" s="22">
        <v>3</v>
      </c>
      <c r="M269" s="26">
        <v>51240</v>
      </c>
      <c r="N269" s="26">
        <f>G269*4</f>
        <v>29280</v>
      </c>
      <c r="O269" s="27">
        <f t="shared" si="20"/>
        <v>80520</v>
      </c>
      <c r="P269" s="27">
        <f t="shared" si="21"/>
        <v>11</v>
      </c>
      <c r="Q269" s="25">
        <v>6868</v>
      </c>
      <c r="R269" s="22">
        <v>100</v>
      </c>
      <c r="S269" s="22" t="s">
        <v>463</v>
      </c>
      <c r="T269" s="22">
        <f t="shared" si="22"/>
        <v>10</v>
      </c>
      <c r="U269" s="22">
        <f t="shared" si="23"/>
        <v>2020</v>
      </c>
      <c r="V269" s="22" t="str">
        <f t="shared" si="24"/>
        <v>METROPOLITANA</v>
      </c>
    </row>
    <row r="270" spans="1:22" x14ac:dyDescent="0.2">
      <c r="A270" s="23" t="s">
        <v>449</v>
      </c>
      <c r="B270" s="22" t="s">
        <v>33</v>
      </c>
      <c r="C270" s="22" t="s">
        <v>128</v>
      </c>
      <c r="D270" s="22" t="s">
        <v>37</v>
      </c>
      <c r="E270" s="24" t="s">
        <v>40</v>
      </c>
      <c r="F270" s="22" t="s">
        <v>34</v>
      </c>
      <c r="G270" s="25">
        <v>11748.2</v>
      </c>
      <c r="H270" s="22" t="s">
        <v>22</v>
      </c>
      <c r="I270" s="22">
        <v>0</v>
      </c>
      <c r="J270" s="22" t="s">
        <v>34</v>
      </c>
      <c r="K270" s="22" t="s">
        <v>23</v>
      </c>
      <c r="L270" s="22">
        <v>1</v>
      </c>
      <c r="M270" s="26">
        <v>82237</v>
      </c>
      <c r="N270" s="26">
        <v>46993</v>
      </c>
      <c r="O270" s="27">
        <f t="shared" si="20"/>
        <v>129230</v>
      </c>
      <c r="P270" s="27">
        <f t="shared" si="21"/>
        <v>10.99998297611549</v>
      </c>
      <c r="Q270" s="25">
        <v>4821</v>
      </c>
      <c r="R270" s="22">
        <v>100</v>
      </c>
      <c r="S270" s="22" t="s">
        <v>464</v>
      </c>
      <c r="T270" s="22">
        <f t="shared" si="22"/>
        <v>10</v>
      </c>
      <c r="U270" s="22">
        <f t="shared" si="23"/>
        <v>2020</v>
      </c>
      <c r="V270" s="22" t="str">
        <f t="shared" si="24"/>
        <v>METROPOLITANA</v>
      </c>
    </row>
    <row r="271" spans="1:22" x14ac:dyDescent="0.2">
      <c r="A271" s="23" t="s">
        <v>449</v>
      </c>
      <c r="B271" s="22" t="s">
        <v>33</v>
      </c>
      <c r="C271" s="22" t="s">
        <v>128</v>
      </c>
      <c r="D271" s="22" t="s">
        <v>63</v>
      </c>
      <c r="E271" s="24" t="s">
        <v>64</v>
      </c>
      <c r="F271" s="22" t="s">
        <v>34</v>
      </c>
      <c r="G271" s="25">
        <v>9256.7999999999993</v>
      </c>
      <c r="H271" s="22" t="s">
        <v>65</v>
      </c>
      <c r="I271" s="22">
        <v>0</v>
      </c>
      <c r="J271" s="22" t="s">
        <v>34</v>
      </c>
      <c r="K271" s="22" t="s">
        <v>23</v>
      </c>
      <c r="L271" s="22">
        <v>1</v>
      </c>
      <c r="M271" s="26">
        <v>64798</v>
      </c>
      <c r="N271" s="26">
        <v>27770</v>
      </c>
      <c r="O271" s="27">
        <f t="shared" si="20"/>
        <v>92568</v>
      </c>
      <c r="P271" s="27">
        <f t="shared" si="21"/>
        <v>10</v>
      </c>
      <c r="Q271" s="25">
        <v>4821</v>
      </c>
      <c r="R271" s="22">
        <v>100</v>
      </c>
      <c r="S271" s="22" t="s">
        <v>465</v>
      </c>
      <c r="T271" s="22">
        <f t="shared" si="22"/>
        <v>10</v>
      </c>
      <c r="U271" s="22">
        <f t="shared" si="23"/>
        <v>2020</v>
      </c>
      <c r="V271" s="22" t="str">
        <f t="shared" si="24"/>
        <v>METROPOLITANA</v>
      </c>
    </row>
    <row r="272" spans="1:22" x14ac:dyDescent="0.2">
      <c r="A272" s="23" t="s">
        <v>449</v>
      </c>
      <c r="B272" s="22" t="s">
        <v>33</v>
      </c>
      <c r="C272" s="22" t="s">
        <v>223</v>
      </c>
      <c r="D272" s="22" t="s">
        <v>37</v>
      </c>
      <c r="E272" s="24" t="s">
        <v>40</v>
      </c>
      <c r="F272" s="22" t="s">
        <v>39</v>
      </c>
      <c r="G272" s="25">
        <v>9004.7999999999975</v>
      </c>
      <c r="H272" s="22" t="s">
        <v>22</v>
      </c>
      <c r="I272" s="22">
        <v>0</v>
      </c>
      <c r="J272" s="22" t="s">
        <v>39</v>
      </c>
      <c r="K272" s="22" t="s">
        <v>23</v>
      </c>
      <c r="L272" s="22">
        <v>1</v>
      </c>
      <c r="M272" s="26">
        <v>63034</v>
      </c>
      <c r="N272" s="26">
        <f>G272*4</f>
        <v>36019.19999999999</v>
      </c>
      <c r="O272" s="27">
        <f t="shared" si="20"/>
        <v>99053.199999999983</v>
      </c>
      <c r="P272" s="27">
        <f t="shared" si="21"/>
        <v>11.000044420753378</v>
      </c>
      <c r="Q272" s="25">
        <v>4821</v>
      </c>
      <c r="R272" s="22">
        <v>100</v>
      </c>
      <c r="S272" s="22" t="s">
        <v>466</v>
      </c>
      <c r="T272" s="22">
        <f t="shared" si="22"/>
        <v>10</v>
      </c>
      <c r="U272" s="22">
        <f t="shared" si="23"/>
        <v>2020</v>
      </c>
      <c r="V272" s="22" t="str">
        <f t="shared" si="24"/>
        <v>METROPOLITANA</v>
      </c>
    </row>
    <row r="273" spans="1:22" x14ac:dyDescent="0.2">
      <c r="A273" s="23" t="s">
        <v>449</v>
      </c>
      <c r="B273" s="22" t="s">
        <v>33</v>
      </c>
      <c r="C273" s="22" t="s">
        <v>29</v>
      </c>
      <c r="D273" s="22" t="s">
        <v>63</v>
      </c>
      <c r="E273" s="24" t="s">
        <v>64</v>
      </c>
      <c r="F273" s="22" t="s">
        <v>134</v>
      </c>
      <c r="G273" s="25">
        <v>8548.4000000000015</v>
      </c>
      <c r="H273" s="22" t="s">
        <v>65</v>
      </c>
      <c r="I273" s="22">
        <v>0</v>
      </c>
      <c r="J273" s="22" t="s">
        <v>134</v>
      </c>
      <c r="K273" s="22" t="s">
        <v>23</v>
      </c>
      <c r="L273" s="22">
        <v>2</v>
      </c>
      <c r="M273" s="26">
        <v>59839</v>
      </c>
      <c r="N273" s="26">
        <v>25645</v>
      </c>
      <c r="O273" s="27">
        <f t="shared" si="20"/>
        <v>85484</v>
      </c>
      <c r="P273" s="27">
        <f t="shared" si="21"/>
        <v>9.9999999999999982</v>
      </c>
      <c r="Q273" s="25">
        <v>5782</v>
      </c>
      <c r="R273" s="22">
        <v>100</v>
      </c>
      <c r="S273" s="22" t="s">
        <v>467</v>
      </c>
      <c r="T273" s="22">
        <f t="shared" si="22"/>
        <v>10</v>
      </c>
      <c r="U273" s="22">
        <f t="shared" si="23"/>
        <v>2020</v>
      </c>
      <c r="V273" s="22" t="str">
        <f t="shared" si="24"/>
        <v>METROPOLITANA</v>
      </c>
    </row>
    <row r="274" spans="1:22" x14ac:dyDescent="0.2">
      <c r="A274" s="23" t="s">
        <v>449</v>
      </c>
      <c r="B274" s="22" t="s">
        <v>33</v>
      </c>
      <c r="C274" s="22" t="s">
        <v>44</v>
      </c>
      <c r="D274" s="22" t="s">
        <v>56</v>
      </c>
      <c r="E274" s="24" t="s">
        <v>88</v>
      </c>
      <c r="F274" s="22" t="s">
        <v>94</v>
      </c>
      <c r="G274" s="25">
        <v>5926.7999999999984</v>
      </c>
      <c r="H274" s="22" t="s">
        <v>22</v>
      </c>
      <c r="I274" s="22">
        <v>0</v>
      </c>
      <c r="J274" s="22" t="s">
        <v>59</v>
      </c>
      <c r="K274" s="22" t="s">
        <v>78</v>
      </c>
      <c r="L274" s="22">
        <v>0</v>
      </c>
      <c r="M274" s="26">
        <v>180000</v>
      </c>
      <c r="N274" s="26">
        <f>G274*4</f>
        <v>23707.199999999993</v>
      </c>
      <c r="O274" s="27">
        <f t="shared" si="20"/>
        <v>203707.19999999998</v>
      </c>
      <c r="P274" s="27">
        <f t="shared" si="21"/>
        <v>34.37052034824864</v>
      </c>
      <c r="Q274" s="25">
        <v>25000</v>
      </c>
      <c r="R274" s="22">
        <v>24</v>
      </c>
      <c r="S274" s="22" t="s">
        <v>468</v>
      </c>
      <c r="T274" s="22">
        <f t="shared" si="22"/>
        <v>10</v>
      </c>
      <c r="U274" s="22">
        <f t="shared" si="23"/>
        <v>2020</v>
      </c>
      <c r="V274" s="22" t="str">
        <f t="shared" si="24"/>
        <v>REGIONES</v>
      </c>
    </row>
    <row r="275" spans="1:22" x14ac:dyDescent="0.2">
      <c r="A275" s="23" t="s">
        <v>449</v>
      </c>
      <c r="B275" s="22" t="s">
        <v>33</v>
      </c>
      <c r="C275" s="22" t="s">
        <v>44</v>
      </c>
      <c r="D275" s="22" t="s">
        <v>63</v>
      </c>
      <c r="E275" s="24" t="s">
        <v>64</v>
      </c>
      <c r="F275" s="22" t="s">
        <v>67</v>
      </c>
      <c r="G275" s="25">
        <v>2669.2</v>
      </c>
      <c r="H275" s="22" t="s">
        <v>65</v>
      </c>
      <c r="I275" s="22">
        <v>0</v>
      </c>
      <c r="J275" s="22" t="s">
        <v>67</v>
      </c>
      <c r="K275" s="22" t="s">
        <v>23</v>
      </c>
      <c r="L275" s="22">
        <v>2</v>
      </c>
      <c r="M275" s="26">
        <v>40475</v>
      </c>
      <c r="N275" s="26">
        <v>8008</v>
      </c>
      <c r="O275" s="27">
        <f t="shared" si="20"/>
        <v>48483</v>
      </c>
      <c r="P275" s="27">
        <f t="shared" si="21"/>
        <v>18.163869324142066</v>
      </c>
      <c r="Q275" s="25">
        <v>5782</v>
      </c>
      <c r="R275" s="22">
        <v>46</v>
      </c>
      <c r="S275" s="22" t="s">
        <v>469</v>
      </c>
      <c r="T275" s="22">
        <f t="shared" si="22"/>
        <v>10</v>
      </c>
      <c r="U275" s="22">
        <f t="shared" si="23"/>
        <v>2020</v>
      </c>
      <c r="V275" s="22" t="str">
        <f t="shared" si="24"/>
        <v>METROPOLITANA</v>
      </c>
    </row>
    <row r="276" spans="1:22" x14ac:dyDescent="0.2">
      <c r="A276" s="23" t="s">
        <v>449</v>
      </c>
      <c r="B276" s="22" t="s">
        <v>33</v>
      </c>
      <c r="C276" s="22" t="s">
        <v>44</v>
      </c>
      <c r="D276" s="22" t="s">
        <v>45</v>
      </c>
      <c r="E276" s="24" t="s">
        <v>21</v>
      </c>
      <c r="F276" s="22" t="s">
        <v>53</v>
      </c>
      <c r="G276" s="25">
        <v>1898.4</v>
      </c>
      <c r="H276" s="22" t="s">
        <v>22</v>
      </c>
      <c r="I276" s="22">
        <v>0</v>
      </c>
      <c r="J276" s="22" t="s">
        <v>53</v>
      </c>
      <c r="K276" s="22" t="s">
        <v>23</v>
      </c>
      <c r="L276" s="22">
        <v>3</v>
      </c>
      <c r="M276" s="26">
        <v>48075</v>
      </c>
      <c r="N276" s="26">
        <v>7594</v>
      </c>
      <c r="O276" s="27">
        <f t="shared" si="20"/>
        <v>55669</v>
      </c>
      <c r="P276" s="27">
        <f t="shared" si="21"/>
        <v>29.324167720185418</v>
      </c>
      <c r="Q276" s="25">
        <v>6868</v>
      </c>
      <c r="R276" s="22">
        <v>28</v>
      </c>
      <c r="S276" s="22" t="s">
        <v>470</v>
      </c>
      <c r="T276" s="22">
        <f t="shared" si="22"/>
        <v>10</v>
      </c>
      <c r="U276" s="22">
        <f t="shared" si="23"/>
        <v>2020</v>
      </c>
      <c r="V276" s="22" t="str">
        <f t="shared" si="24"/>
        <v>METROPOLITANA</v>
      </c>
    </row>
    <row r="277" spans="1:22" x14ac:dyDescent="0.2">
      <c r="A277" s="23" t="s">
        <v>449</v>
      </c>
      <c r="B277" s="22" t="s">
        <v>33</v>
      </c>
      <c r="C277" s="22" t="s">
        <v>44</v>
      </c>
      <c r="D277" s="22" t="s">
        <v>47</v>
      </c>
      <c r="E277" s="24" t="s">
        <v>52</v>
      </c>
      <c r="F277" s="22" t="s">
        <v>48</v>
      </c>
      <c r="G277" s="25">
        <v>6325.4000000000005</v>
      </c>
      <c r="H277" s="22" t="s">
        <v>22</v>
      </c>
      <c r="I277" s="22">
        <v>0</v>
      </c>
      <c r="J277" s="22" t="s">
        <v>48</v>
      </c>
      <c r="K277" s="22" t="s">
        <v>23</v>
      </c>
      <c r="L277" s="22">
        <v>1</v>
      </c>
      <c r="M277" s="26">
        <v>44278</v>
      </c>
      <c r="N277" s="26">
        <v>25302</v>
      </c>
      <c r="O277" s="27">
        <f t="shared" si="20"/>
        <v>69580</v>
      </c>
      <c r="P277" s="27">
        <f t="shared" si="21"/>
        <v>11.000094855661301</v>
      </c>
      <c r="Q277" s="25">
        <v>4821</v>
      </c>
      <c r="R277" s="22">
        <v>100</v>
      </c>
      <c r="S277" s="22" t="s">
        <v>471</v>
      </c>
      <c r="T277" s="22">
        <f t="shared" si="22"/>
        <v>10</v>
      </c>
      <c r="U277" s="22">
        <f t="shared" si="23"/>
        <v>2020</v>
      </c>
      <c r="V277" s="22" t="str">
        <f t="shared" si="24"/>
        <v>METROPOLITANA</v>
      </c>
    </row>
    <row r="278" spans="1:22" x14ac:dyDescent="0.2">
      <c r="A278" s="23" t="s">
        <v>449</v>
      </c>
      <c r="B278" s="22" t="s">
        <v>33</v>
      </c>
      <c r="C278" s="22" t="s">
        <v>44</v>
      </c>
      <c r="D278" s="22" t="s">
        <v>35</v>
      </c>
      <c r="E278" s="24" t="s">
        <v>49</v>
      </c>
      <c r="F278" s="22" t="s">
        <v>138</v>
      </c>
      <c r="G278" s="25">
        <v>1976</v>
      </c>
      <c r="H278" s="22" t="s">
        <v>22</v>
      </c>
      <c r="I278" s="22">
        <v>0</v>
      </c>
      <c r="J278" s="22" t="s">
        <v>138</v>
      </c>
      <c r="K278" s="22" t="s">
        <v>23</v>
      </c>
      <c r="L278" s="22">
        <v>3</v>
      </c>
      <c r="M278" s="26">
        <v>48075</v>
      </c>
      <c r="N278" s="26">
        <v>7904</v>
      </c>
      <c r="O278" s="27">
        <f t="shared" si="20"/>
        <v>55979</v>
      </c>
      <c r="P278" s="27">
        <f t="shared" si="21"/>
        <v>28.329453441295545</v>
      </c>
      <c r="Q278" s="25">
        <v>6868</v>
      </c>
      <c r="R278" s="22">
        <v>29</v>
      </c>
      <c r="S278" s="22" t="s">
        <v>472</v>
      </c>
      <c r="T278" s="22">
        <f t="shared" si="22"/>
        <v>10</v>
      </c>
      <c r="U278" s="22">
        <f t="shared" si="23"/>
        <v>2020</v>
      </c>
      <c r="V278" s="22" t="str">
        <f t="shared" si="24"/>
        <v>METROPOLITANA</v>
      </c>
    </row>
    <row r="279" spans="1:22" x14ac:dyDescent="0.2">
      <c r="A279" s="11" t="s">
        <v>473</v>
      </c>
      <c r="B279" s="12" t="s">
        <v>18</v>
      </c>
      <c r="C279" s="12" t="s">
        <v>270</v>
      </c>
      <c r="D279" s="12" t="s">
        <v>30</v>
      </c>
      <c r="E279" s="13">
        <v>72564391</v>
      </c>
      <c r="F279" s="12" t="s">
        <v>120</v>
      </c>
      <c r="G279" s="14">
        <v>4066.400000000001</v>
      </c>
      <c r="H279" s="12" t="s">
        <v>32</v>
      </c>
      <c r="I279" s="12">
        <v>0</v>
      </c>
      <c r="J279" s="12" t="s">
        <v>120</v>
      </c>
      <c r="K279" s="12" t="s">
        <v>23</v>
      </c>
      <c r="L279" s="12">
        <v>5</v>
      </c>
      <c r="M279" s="15">
        <v>70000</v>
      </c>
      <c r="N279" s="15">
        <f>G279*3</f>
        <v>12199.200000000003</v>
      </c>
      <c r="O279" s="15">
        <f t="shared" si="20"/>
        <v>82199.199999999997</v>
      </c>
      <c r="P279" s="15">
        <f t="shared" si="21"/>
        <v>20.21424355695455</v>
      </c>
      <c r="Q279" s="14">
        <v>12000</v>
      </c>
      <c r="R279" s="12">
        <v>34</v>
      </c>
      <c r="S279" s="12" t="s">
        <v>474</v>
      </c>
      <c r="T279" s="22">
        <f t="shared" si="22"/>
        <v>10</v>
      </c>
      <c r="U279" s="22">
        <f t="shared" si="23"/>
        <v>2020</v>
      </c>
      <c r="V279" s="22" t="str">
        <f t="shared" si="24"/>
        <v>METROPOLITANA</v>
      </c>
    </row>
    <row r="280" spans="1:22" x14ac:dyDescent="0.2">
      <c r="A280" s="11" t="s">
        <v>473</v>
      </c>
      <c r="B280" s="12" t="s">
        <v>18</v>
      </c>
      <c r="C280" s="12" t="s">
        <v>475</v>
      </c>
      <c r="D280" s="12" t="s">
        <v>130</v>
      </c>
      <c r="E280" s="13">
        <v>167832741</v>
      </c>
      <c r="F280" s="12" t="s">
        <v>66</v>
      </c>
      <c r="G280" s="14">
        <v>14872.39</v>
      </c>
      <c r="H280" s="12" t="s">
        <v>85</v>
      </c>
      <c r="I280" s="12">
        <v>1</v>
      </c>
      <c r="J280" s="12" t="s">
        <v>66</v>
      </c>
      <c r="K280" s="12" t="s">
        <v>75</v>
      </c>
      <c r="L280" s="12">
        <v>0</v>
      </c>
      <c r="M280" s="15">
        <v>380000</v>
      </c>
      <c r="N280" s="15">
        <v>0</v>
      </c>
      <c r="O280" s="15">
        <f t="shared" si="20"/>
        <v>380000</v>
      </c>
      <c r="P280" s="15">
        <f t="shared" si="21"/>
        <v>25.550701669334924</v>
      </c>
      <c r="Q280" s="14">
        <v>25000</v>
      </c>
      <c r="R280" s="12">
        <v>59</v>
      </c>
      <c r="S280" s="12" t="s">
        <v>476</v>
      </c>
      <c r="T280" s="22">
        <f t="shared" si="22"/>
        <v>10</v>
      </c>
      <c r="U280" s="22">
        <f t="shared" si="23"/>
        <v>2020</v>
      </c>
      <c r="V280" s="22" t="str">
        <f t="shared" si="24"/>
        <v>REGIONES</v>
      </c>
    </row>
    <row r="281" spans="1:22" x14ac:dyDescent="0.2">
      <c r="A281" s="11" t="s">
        <v>473</v>
      </c>
      <c r="B281" s="12" t="s">
        <v>18</v>
      </c>
      <c r="C281" s="12" t="s">
        <v>57</v>
      </c>
      <c r="D281" s="12" t="s">
        <v>20</v>
      </c>
      <c r="E281" s="13">
        <v>78907355</v>
      </c>
      <c r="F281" s="12" t="s">
        <v>120</v>
      </c>
      <c r="G281" s="14">
        <v>3338.37</v>
      </c>
      <c r="H281" s="12" t="s">
        <v>22</v>
      </c>
      <c r="I281" s="12">
        <v>0</v>
      </c>
      <c r="J281" s="12" t="s">
        <v>120</v>
      </c>
      <c r="K281" s="12" t="s">
        <v>23</v>
      </c>
      <c r="L281" s="12">
        <v>5</v>
      </c>
      <c r="M281" s="15">
        <v>70000</v>
      </c>
      <c r="N281" s="15">
        <f>G281*4</f>
        <v>13353.48</v>
      </c>
      <c r="O281" s="15">
        <f t="shared" si="20"/>
        <v>83353.48</v>
      </c>
      <c r="P281" s="15">
        <f t="shared" si="21"/>
        <v>24.968316873204586</v>
      </c>
      <c r="Q281" s="14">
        <v>12000</v>
      </c>
      <c r="R281" s="12">
        <v>28</v>
      </c>
      <c r="S281" s="12" t="s">
        <v>477</v>
      </c>
      <c r="T281" s="22">
        <f t="shared" si="22"/>
        <v>10</v>
      </c>
      <c r="U281" s="22">
        <f t="shared" si="23"/>
        <v>2020</v>
      </c>
      <c r="V281" s="22" t="str">
        <f t="shared" si="24"/>
        <v>METROPOLITANA</v>
      </c>
    </row>
    <row r="282" spans="1:22" x14ac:dyDescent="0.2">
      <c r="A282" s="11" t="s">
        <v>473</v>
      </c>
      <c r="B282" s="12" t="s">
        <v>18</v>
      </c>
      <c r="C282" s="12" t="s">
        <v>478</v>
      </c>
      <c r="D282" s="12" t="s">
        <v>27</v>
      </c>
      <c r="E282" s="13">
        <v>81417709</v>
      </c>
      <c r="F282" s="12" t="s">
        <v>225</v>
      </c>
      <c r="G282" s="14">
        <v>9948.91</v>
      </c>
      <c r="H282" s="12" t="s">
        <v>22</v>
      </c>
      <c r="I282" s="12">
        <v>1</v>
      </c>
      <c r="J282" s="12" t="s">
        <v>225</v>
      </c>
      <c r="K282" s="12" t="s">
        <v>23</v>
      </c>
      <c r="L282" s="12">
        <v>3</v>
      </c>
      <c r="M282" s="15">
        <v>69642</v>
      </c>
      <c r="N282" s="15">
        <f>G282*4</f>
        <v>39795.64</v>
      </c>
      <c r="O282" s="15">
        <f t="shared" si="20"/>
        <v>109437.64</v>
      </c>
      <c r="P282" s="15">
        <f t="shared" si="21"/>
        <v>10.999962809996271</v>
      </c>
      <c r="Q282" s="14">
        <v>6868</v>
      </c>
      <c r="R282" s="12">
        <v>100</v>
      </c>
      <c r="S282" s="12" t="s">
        <v>479</v>
      </c>
      <c r="T282" s="22">
        <f t="shared" si="22"/>
        <v>10</v>
      </c>
      <c r="U282" s="22">
        <f t="shared" si="23"/>
        <v>2020</v>
      </c>
      <c r="V282" s="22" t="str">
        <f t="shared" si="24"/>
        <v>METROPOLITANA</v>
      </c>
    </row>
    <row r="283" spans="1:22" x14ac:dyDescent="0.2">
      <c r="A283" s="11" t="s">
        <v>473</v>
      </c>
      <c r="B283" s="12" t="s">
        <v>18</v>
      </c>
      <c r="C283" s="12" t="s">
        <v>480</v>
      </c>
      <c r="D283" s="12" t="s">
        <v>82</v>
      </c>
      <c r="E283" s="13">
        <v>122975819</v>
      </c>
      <c r="F283" s="12" t="s">
        <v>481</v>
      </c>
      <c r="G283" s="14">
        <v>22712.029999999992</v>
      </c>
      <c r="H283" s="12" t="s">
        <v>85</v>
      </c>
      <c r="I283" s="12">
        <v>1</v>
      </c>
      <c r="J283" s="12" t="s">
        <v>481</v>
      </c>
      <c r="K283" s="12" t="s">
        <v>93</v>
      </c>
      <c r="L283" s="12">
        <v>0</v>
      </c>
      <c r="M283" s="15">
        <v>700000</v>
      </c>
      <c r="N283" s="15">
        <v>0</v>
      </c>
      <c r="O283" s="15">
        <f t="shared" si="20"/>
        <v>700000</v>
      </c>
      <c r="P283" s="15">
        <f t="shared" si="21"/>
        <v>30.820670807497184</v>
      </c>
      <c r="Q283" s="14">
        <v>25000</v>
      </c>
      <c r="R283" s="12">
        <v>91</v>
      </c>
      <c r="S283" s="12" t="s">
        <v>482</v>
      </c>
      <c r="T283" s="22">
        <f t="shared" si="22"/>
        <v>10</v>
      </c>
      <c r="U283" s="22">
        <f t="shared" si="23"/>
        <v>2020</v>
      </c>
      <c r="V283" s="22" t="str">
        <f t="shared" si="24"/>
        <v>REGIONES</v>
      </c>
    </row>
    <row r="284" spans="1:22" x14ac:dyDescent="0.2">
      <c r="A284" s="11" t="s">
        <v>473</v>
      </c>
      <c r="B284" s="12" t="s">
        <v>18</v>
      </c>
      <c r="C284" s="12" t="s">
        <v>480</v>
      </c>
      <c r="D284" s="12" t="s">
        <v>483</v>
      </c>
      <c r="E284" s="13">
        <v>121457498</v>
      </c>
      <c r="F284" s="12" t="s">
        <v>481</v>
      </c>
      <c r="G284" s="14">
        <v>14149.300000000001</v>
      </c>
      <c r="H284" s="12" t="s">
        <v>24</v>
      </c>
      <c r="I284" s="12">
        <v>1</v>
      </c>
      <c r="J284" s="12" t="s">
        <v>481</v>
      </c>
      <c r="K284" s="12" t="s">
        <v>93</v>
      </c>
      <c r="L284" s="12">
        <v>0</v>
      </c>
      <c r="M284" s="15">
        <v>700000</v>
      </c>
      <c r="N284" s="15">
        <v>0</v>
      </c>
      <c r="O284" s="15">
        <f t="shared" si="20"/>
        <v>700000</v>
      </c>
      <c r="P284" s="15">
        <f t="shared" si="21"/>
        <v>49.472412062787555</v>
      </c>
      <c r="Q284" s="14">
        <v>25000</v>
      </c>
      <c r="R284" s="12">
        <v>49</v>
      </c>
      <c r="S284" s="12" t="s">
        <v>484</v>
      </c>
      <c r="T284" s="22">
        <f t="shared" si="22"/>
        <v>10</v>
      </c>
      <c r="U284" s="22">
        <f t="shared" si="23"/>
        <v>2020</v>
      </c>
      <c r="V284" s="22" t="str">
        <f t="shared" si="24"/>
        <v>REGIONES</v>
      </c>
    </row>
    <row r="285" spans="1:22" x14ac:dyDescent="0.2">
      <c r="A285" s="11" t="s">
        <v>473</v>
      </c>
      <c r="B285" s="12" t="s">
        <v>18</v>
      </c>
      <c r="C285" s="12" t="s">
        <v>44</v>
      </c>
      <c r="D285" s="12" t="s">
        <v>485</v>
      </c>
      <c r="E285" s="13">
        <v>94654599</v>
      </c>
      <c r="F285" s="12" t="s">
        <v>39</v>
      </c>
      <c r="G285" s="14">
        <v>8972.06</v>
      </c>
      <c r="H285" s="12" t="s">
        <v>24</v>
      </c>
      <c r="I285" s="12">
        <v>1</v>
      </c>
      <c r="J285" s="12" t="s">
        <v>39</v>
      </c>
      <c r="K285" s="12" t="s">
        <v>23</v>
      </c>
      <c r="L285" s="12">
        <v>1</v>
      </c>
      <c r="M285" s="15">
        <v>62804</v>
      </c>
      <c r="N285" s="15">
        <v>26916</v>
      </c>
      <c r="O285" s="15">
        <f t="shared" si="20"/>
        <v>89720</v>
      </c>
      <c r="P285" s="15">
        <f t="shared" si="21"/>
        <v>9.9999331257258657</v>
      </c>
      <c r="Q285" s="14">
        <v>4821</v>
      </c>
      <c r="R285" s="12">
        <v>100</v>
      </c>
      <c r="S285" s="12" t="s">
        <v>486</v>
      </c>
      <c r="T285" s="22">
        <f t="shared" si="22"/>
        <v>10</v>
      </c>
      <c r="U285" s="22">
        <f t="shared" si="23"/>
        <v>2020</v>
      </c>
      <c r="V285" s="22" t="str">
        <f t="shared" si="24"/>
        <v>METROPOLITANA</v>
      </c>
    </row>
    <row r="286" spans="1:22" x14ac:dyDescent="0.2">
      <c r="A286" s="11" t="s">
        <v>473</v>
      </c>
      <c r="B286" s="12" t="s">
        <v>33</v>
      </c>
      <c r="C286" s="12" t="s">
        <v>270</v>
      </c>
      <c r="D286" s="12" t="s">
        <v>76</v>
      </c>
      <c r="E286" s="13">
        <v>83259353</v>
      </c>
      <c r="F286" s="12" t="s">
        <v>120</v>
      </c>
      <c r="G286" s="14">
        <v>21468</v>
      </c>
      <c r="H286" s="12" t="s">
        <v>24</v>
      </c>
      <c r="I286" s="12">
        <v>1</v>
      </c>
      <c r="J286" s="12" t="s">
        <v>120</v>
      </c>
      <c r="K286" s="12" t="s">
        <v>23</v>
      </c>
      <c r="L286" s="12">
        <v>5</v>
      </c>
      <c r="M286" s="15">
        <v>120000</v>
      </c>
      <c r="N286" s="15">
        <v>0</v>
      </c>
      <c r="O286" s="15">
        <f t="shared" si="20"/>
        <v>120000</v>
      </c>
      <c r="P286" s="15">
        <f t="shared" si="21"/>
        <v>5.5897149245388489</v>
      </c>
      <c r="Q286" s="14">
        <v>12000</v>
      </c>
      <c r="R286" s="12">
        <v>100</v>
      </c>
      <c r="S286" s="12" t="s">
        <v>487</v>
      </c>
      <c r="T286" s="22">
        <f t="shared" si="22"/>
        <v>10</v>
      </c>
      <c r="U286" s="22">
        <f t="shared" si="23"/>
        <v>2020</v>
      </c>
      <c r="V286" s="22" t="str">
        <f t="shared" si="24"/>
        <v>METROPOLITANA</v>
      </c>
    </row>
    <row r="287" spans="1:22" x14ac:dyDescent="0.2">
      <c r="A287" s="11" t="s">
        <v>473</v>
      </c>
      <c r="B287" s="12" t="s">
        <v>33</v>
      </c>
      <c r="C287" s="12" t="s">
        <v>50</v>
      </c>
      <c r="D287" s="12" t="s">
        <v>41</v>
      </c>
      <c r="E287" s="13">
        <v>125108660</v>
      </c>
      <c r="F287" s="12" t="s">
        <v>26</v>
      </c>
      <c r="G287" s="14">
        <v>6974.52</v>
      </c>
      <c r="H287" s="12" t="s">
        <v>43</v>
      </c>
      <c r="I287" s="12">
        <v>0</v>
      </c>
      <c r="J287" s="12" t="s">
        <v>26</v>
      </c>
      <c r="K287" s="12" t="s">
        <v>23</v>
      </c>
      <c r="L287" s="12">
        <v>3</v>
      </c>
      <c r="M287" s="15">
        <v>48822</v>
      </c>
      <c r="N287" s="15">
        <f>G287*3</f>
        <v>20923.560000000001</v>
      </c>
      <c r="O287" s="15">
        <f t="shared" si="20"/>
        <v>69745.56</v>
      </c>
      <c r="P287" s="15">
        <f t="shared" si="21"/>
        <v>10.000051616455325</v>
      </c>
      <c r="Q287" s="14">
        <v>6868</v>
      </c>
      <c r="R287" s="12">
        <v>100</v>
      </c>
      <c r="S287" s="12" t="s">
        <v>488</v>
      </c>
      <c r="T287" s="22">
        <f t="shared" si="22"/>
        <v>10</v>
      </c>
      <c r="U287" s="22">
        <f t="shared" si="23"/>
        <v>2020</v>
      </c>
      <c r="V287" s="22" t="str">
        <f t="shared" si="24"/>
        <v>METROPOLITANA</v>
      </c>
    </row>
    <row r="288" spans="1:22" x14ac:dyDescent="0.2">
      <c r="A288" s="11" t="s">
        <v>473</v>
      </c>
      <c r="B288" s="12" t="s">
        <v>33</v>
      </c>
      <c r="C288" s="12" t="s">
        <v>29</v>
      </c>
      <c r="D288" s="12" t="s">
        <v>63</v>
      </c>
      <c r="E288" s="13">
        <v>138841065</v>
      </c>
      <c r="F288" s="12" t="s">
        <v>173</v>
      </c>
      <c r="G288" s="14">
        <v>8663</v>
      </c>
      <c r="H288" s="12" t="s">
        <v>65</v>
      </c>
      <c r="I288" s="12">
        <v>0</v>
      </c>
      <c r="J288" s="12" t="s">
        <v>173</v>
      </c>
      <c r="K288" s="12" t="s">
        <v>23</v>
      </c>
      <c r="L288" s="12">
        <v>5</v>
      </c>
      <c r="M288" s="15">
        <v>90000</v>
      </c>
      <c r="N288" s="15">
        <v>25989</v>
      </c>
      <c r="O288" s="15">
        <f t="shared" si="20"/>
        <v>115989</v>
      </c>
      <c r="P288" s="15">
        <f t="shared" si="21"/>
        <v>13.389010735311093</v>
      </c>
      <c r="Q288" s="14">
        <v>12000</v>
      </c>
      <c r="R288" s="12">
        <v>72</v>
      </c>
      <c r="S288" s="12" t="s">
        <v>489</v>
      </c>
      <c r="T288" s="22">
        <f t="shared" si="22"/>
        <v>10</v>
      </c>
      <c r="U288" s="22">
        <f t="shared" si="23"/>
        <v>2020</v>
      </c>
      <c r="V288" s="22" t="str">
        <f t="shared" si="24"/>
        <v>METROPOLITANA</v>
      </c>
    </row>
    <row r="289" spans="1:22" x14ac:dyDescent="0.2">
      <c r="A289" s="11" t="s">
        <v>473</v>
      </c>
      <c r="B289" s="12" t="s">
        <v>33</v>
      </c>
      <c r="C289" s="12" t="s">
        <v>29</v>
      </c>
      <c r="D289" s="12" t="s">
        <v>41</v>
      </c>
      <c r="E289" s="13">
        <v>125108660</v>
      </c>
      <c r="F289" s="12" t="s">
        <v>134</v>
      </c>
      <c r="G289" s="14">
        <v>13613.599999999989</v>
      </c>
      <c r="H289" s="12" t="s">
        <v>43</v>
      </c>
      <c r="I289" s="12">
        <v>0</v>
      </c>
      <c r="J289" s="12" t="s">
        <v>134</v>
      </c>
      <c r="K289" s="12" t="s">
        <v>23</v>
      </c>
      <c r="L289" s="12">
        <v>2</v>
      </c>
      <c r="M289" s="15">
        <v>95295</v>
      </c>
      <c r="N289" s="15">
        <v>40841</v>
      </c>
      <c r="O289" s="15">
        <f t="shared" si="20"/>
        <v>136136</v>
      </c>
      <c r="P289" s="15">
        <f t="shared" si="21"/>
        <v>10.000000000000007</v>
      </c>
      <c r="Q289" s="14">
        <v>5782</v>
      </c>
      <c r="R289" s="12">
        <v>100</v>
      </c>
      <c r="S289" s="12" t="s">
        <v>490</v>
      </c>
      <c r="T289" s="22">
        <f t="shared" si="22"/>
        <v>10</v>
      </c>
      <c r="U289" s="22">
        <f t="shared" si="23"/>
        <v>2020</v>
      </c>
      <c r="V289" s="22" t="str">
        <f t="shared" si="24"/>
        <v>METROPOLITANA</v>
      </c>
    </row>
    <row r="290" spans="1:22" x14ac:dyDescent="0.2">
      <c r="A290" s="11" t="s">
        <v>473</v>
      </c>
      <c r="B290" s="12" t="s">
        <v>33</v>
      </c>
      <c r="C290" s="12" t="s">
        <v>44</v>
      </c>
      <c r="D290" s="12" t="s">
        <v>56</v>
      </c>
      <c r="E290" s="13">
        <v>78907355</v>
      </c>
      <c r="F290" s="12" t="s">
        <v>95</v>
      </c>
      <c r="G290" s="14">
        <v>3162.8</v>
      </c>
      <c r="H290" s="12" t="s">
        <v>22</v>
      </c>
      <c r="I290" s="12">
        <v>0</v>
      </c>
      <c r="J290" s="12" t="s">
        <v>95</v>
      </c>
      <c r="K290" s="12" t="s">
        <v>23</v>
      </c>
      <c r="L290" s="12">
        <v>1</v>
      </c>
      <c r="M290" s="15">
        <v>33750</v>
      </c>
      <c r="N290" s="15">
        <v>12651</v>
      </c>
      <c r="O290" s="15">
        <f t="shared" si="20"/>
        <v>46401</v>
      </c>
      <c r="P290" s="15">
        <f t="shared" si="21"/>
        <v>14.670861262172757</v>
      </c>
      <c r="Q290" s="14">
        <v>4821</v>
      </c>
      <c r="R290" s="12">
        <v>66</v>
      </c>
      <c r="S290" s="12" t="s">
        <v>491</v>
      </c>
      <c r="T290" s="22">
        <f t="shared" si="22"/>
        <v>10</v>
      </c>
      <c r="U290" s="22">
        <f t="shared" si="23"/>
        <v>2020</v>
      </c>
      <c r="V290" s="22" t="str">
        <f t="shared" si="24"/>
        <v>METROPOLITANA</v>
      </c>
    </row>
    <row r="291" spans="1:22" x14ac:dyDescent="0.2">
      <c r="A291" s="11" t="s">
        <v>473</v>
      </c>
      <c r="B291" s="12" t="s">
        <v>33</v>
      </c>
      <c r="C291" s="12" t="s">
        <v>44</v>
      </c>
      <c r="D291" s="12" t="s">
        <v>45</v>
      </c>
      <c r="E291" s="13">
        <v>99626232</v>
      </c>
      <c r="F291" s="12" t="s">
        <v>26</v>
      </c>
      <c r="G291" s="14">
        <v>674</v>
      </c>
      <c r="H291" s="12" t="s">
        <v>22</v>
      </c>
      <c r="I291" s="12">
        <v>0</v>
      </c>
      <c r="J291" s="12" t="s">
        <v>26</v>
      </c>
      <c r="K291" s="12" t="s">
        <v>23</v>
      </c>
      <c r="L291" s="12">
        <v>3</v>
      </c>
      <c r="M291" s="15">
        <v>48075</v>
      </c>
      <c r="N291" s="15">
        <v>2696</v>
      </c>
      <c r="O291" s="15">
        <f t="shared" si="20"/>
        <v>50771</v>
      </c>
      <c r="P291" s="15">
        <f t="shared" si="21"/>
        <v>75.32789317507418</v>
      </c>
      <c r="Q291" s="14">
        <v>6868</v>
      </c>
      <c r="R291" s="12">
        <v>10</v>
      </c>
      <c r="S291" s="12" t="s">
        <v>492</v>
      </c>
      <c r="T291" s="22">
        <f t="shared" si="22"/>
        <v>10</v>
      </c>
      <c r="U291" s="22">
        <f t="shared" si="23"/>
        <v>2020</v>
      </c>
      <c r="V291" s="22" t="str">
        <f t="shared" si="24"/>
        <v>METROPOLITANA</v>
      </c>
    </row>
    <row r="292" spans="1:22" x14ac:dyDescent="0.2">
      <c r="A292" s="11" t="s">
        <v>473</v>
      </c>
      <c r="B292" s="12" t="s">
        <v>33</v>
      </c>
      <c r="C292" s="12" t="s">
        <v>44</v>
      </c>
      <c r="D292" s="12" t="s">
        <v>47</v>
      </c>
      <c r="E292" s="13">
        <v>161268070</v>
      </c>
      <c r="F292" s="12" t="s">
        <v>48</v>
      </c>
      <c r="G292" s="14">
        <v>3594.8</v>
      </c>
      <c r="H292" s="12" t="s">
        <v>22</v>
      </c>
      <c r="I292" s="12">
        <v>0</v>
      </c>
      <c r="J292" s="12" t="s">
        <v>48</v>
      </c>
      <c r="K292" s="12" t="s">
        <v>23</v>
      </c>
      <c r="L292" s="12">
        <v>1</v>
      </c>
      <c r="M292" s="15">
        <v>33750</v>
      </c>
      <c r="N292" s="15">
        <v>14379</v>
      </c>
      <c r="O292" s="15">
        <f t="shared" si="20"/>
        <v>48129</v>
      </c>
      <c r="P292" s="15">
        <f t="shared" si="21"/>
        <v>13.388505619227773</v>
      </c>
      <c r="Q292" s="14">
        <v>4821</v>
      </c>
      <c r="R292" s="12">
        <v>75</v>
      </c>
      <c r="S292" s="12" t="s">
        <v>493</v>
      </c>
      <c r="T292" s="22">
        <f t="shared" si="22"/>
        <v>10</v>
      </c>
      <c r="U292" s="22">
        <f t="shared" si="23"/>
        <v>2020</v>
      </c>
      <c r="V292" s="22" t="str">
        <f t="shared" si="24"/>
        <v>METROPOLITANA</v>
      </c>
    </row>
    <row r="293" spans="1:22" x14ac:dyDescent="0.2">
      <c r="A293" s="11" t="s">
        <v>473</v>
      </c>
      <c r="B293" s="12" t="s">
        <v>33</v>
      </c>
      <c r="C293" s="12" t="s">
        <v>44</v>
      </c>
      <c r="D293" s="12" t="s">
        <v>35</v>
      </c>
      <c r="E293" s="13">
        <v>107643206</v>
      </c>
      <c r="F293" s="12" t="s">
        <v>51</v>
      </c>
      <c r="G293" s="14">
        <v>1186.8</v>
      </c>
      <c r="H293" s="12" t="s">
        <v>22</v>
      </c>
      <c r="I293" s="12">
        <v>0</v>
      </c>
      <c r="J293" s="12" t="s">
        <v>51</v>
      </c>
      <c r="K293" s="12" t="s">
        <v>23</v>
      </c>
      <c r="L293" s="12">
        <v>4</v>
      </c>
      <c r="M293" s="15">
        <v>56075</v>
      </c>
      <c r="N293" s="15">
        <v>4747</v>
      </c>
      <c r="O293" s="15">
        <f t="shared" si="20"/>
        <v>60822</v>
      </c>
      <c r="P293" s="15">
        <f t="shared" si="21"/>
        <v>51.248736097067749</v>
      </c>
      <c r="Q293" s="14">
        <v>8011</v>
      </c>
      <c r="R293" s="12">
        <v>15</v>
      </c>
      <c r="S293" s="12" t="s">
        <v>494</v>
      </c>
      <c r="T293" s="22">
        <f t="shared" si="22"/>
        <v>10</v>
      </c>
      <c r="U293" s="22">
        <f t="shared" si="23"/>
        <v>2020</v>
      </c>
      <c r="V293" s="22" t="str">
        <f t="shared" si="24"/>
        <v>METROPOLITANA</v>
      </c>
    </row>
    <row r="294" spans="1:22" x14ac:dyDescent="0.2">
      <c r="A294" s="11" t="s">
        <v>473</v>
      </c>
      <c r="B294" s="12" t="s">
        <v>33</v>
      </c>
      <c r="C294" s="12" t="s">
        <v>44</v>
      </c>
      <c r="D294" s="12" t="s">
        <v>485</v>
      </c>
      <c r="E294" s="13">
        <v>94654599</v>
      </c>
      <c r="F294" s="12" t="s">
        <v>39</v>
      </c>
      <c r="G294" s="14">
        <v>1755</v>
      </c>
      <c r="H294" s="12" t="s">
        <v>24</v>
      </c>
      <c r="I294" s="12">
        <v>1</v>
      </c>
      <c r="J294" s="12" t="s">
        <v>39</v>
      </c>
      <c r="K294" s="12" t="s">
        <v>23</v>
      </c>
      <c r="L294" s="12">
        <v>1</v>
      </c>
      <c r="M294" s="15">
        <v>33750</v>
      </c>
      <c r="N294" s="15">
        <v>5265</v>
      </c>
      <c r="O294" s="15">
        <f t="shared" si="20"/>
        <v>39015</v>
      </c>
      <c r="P294" s="15">
        <f t="shared" si="21"/>
        <v>22.23076923076923</v>
      </c>
      <c r="Q294" s="14">
        <v>4821</v>
      </c>
      <c r="R294" s="12">
        <v>36</v>
      </c>
      <c r="S294" s="12" t="s">
        <v>495</v>
      </c>
      <c r="T294" s="22">
        <f t="shared" si="22"/>
        <v>10</v>
      </c>
      <c r="U294" s="22">
        <f t="shared" si="23"/>
        <v>2020</v>
      </c>
      <c r="V294" s="22" t="str">
        <f t="shared" si="24"/>
        <v>METROPOLITANA</v>
      </c>
    </row>
    <row r="295" spans="1:22" x14ac:dyDescent="0.2">
      <c r="A295" s="23" t="s">
        <v>496</v>
      </c>
      <c r="B295" s="22" t="s">
        <v>18</v>
      </c>
      <c r="C295" s="22" t="s">
        <v>187</v>
      </c>
      <c r="D295" s="22" t="s">
        <v>20</v>
      </c>
      <c r="E295" s="24" t="s">
        <v>21</v>
      </c>
      <c r="F295" s="22" t="s">
        <v>129</v>
      </c>
      <c r="G295" s="25">
        <v>690</v>
      </c>
      <c r="H295" s="22" t="s">
        <v>22</v>
      </c>
      <c r="I295" s="22">
        <v>0</v>
      </c>
      <c r="J295" s="22" t="s">
        <v>129</v>
      </c>
      <c r="K295" s="22" t="s">
        <v>23</v>
      </c>
      <c r="L295" s="22">
        <v>1</v>
      </c>
      <c r="M295" s="26">
        <v>33750</v>
      </c>
      <c r="N295" s="26">
        <v>0</v>
      </c>
      <c r="O295" s="27">
        <f t="shared" si="20"/>
        <v>33750</v>
      </c>
      <c r="P295" s="27">
        <f t="shared" si="21"/>
        <v>48.913043478260867</v>
      </c>
      <c r="Q295" s="25">
        <v>4821</v>
      </c>
      <c r="R295" s="22">
        <v>14</v>
      </c>
      <c r="S295" s="22" t="s">
        <v>497</v>
      </c>
      <c r="T295" s="22">
        <f t="shared" si="22"/>
        <v>10</v>
      </c>
      <c r="U295" s="22">
        <f t="shared" si="23"/>
        <v>2020</v>
      </c>
      <c r="V295" s="22" t="str">
        <f t="shared" si="24"/>
        <v>METROPOLITANA</v>
      </c>
    </row>
    <row r="296" spans="1:22" x14ac:dyDescent="0.2">
      <c r="A296" s="23" t="s">
        <v>496</v>
      </c>
      <c r="B296" s="22" t="s">
        <v>18</v>
      </c>
      <c r="C296" s="22" t="s">
        <v>270</v>
      </c>
      <c r="D296" s="22" t="s">
        <v>30</v>
      </c>
      <c r="E296" s="24" t="s">
        <v>31</v>
      </c>
      <c r="F296" s="22" t="s">
        <v>120</v>
      </c>
      <c r="G296" s="25">
        <v>3408.6000000000008</v>
      </c>
      <c r="H296" s="22" t="s">
        <v>32</v>
      </c>
      <c r="I296" s="22">
        <v>0</v>
      </c>
      <c r="J296" s="22" t="s">
        <v>120</v>
      </c>
      <c r="K296" s="22" t="s">
        <v>23</v>
      </c>
      <c r="L296" s="22">
        <v>5</v>
      </c>
      <c r="M296" s="26">
        <v>70000</v>
      </c>
      <c r="N296" s="26">
        <v>0</v>
      </c>
      <c r="O296" s="27">
        <f t="shared" si="20"/>
        <v>70000</v>
      </c>
      <c r="P296" s="27">
        <f t="shared" si="21"/>
        <v>20.53629055917385</v>
      </c>
      <c r="Q296" s="25">
        <v>12000</v>
      </c>
      <c r="R296" s="22">
        <v>28</v>
      </c>
      <c r="S296" s="22" t="s">
        <v>498</v>
      </c>
      <c r="T296" s="22">
        <f t="shared" si="22"/>
        <v>10</v>
      </c>
      <c r="U296" s="22">
        <f t="shared" si="23"/>
        <v>2020</v>
      </c>
      <c r="V296" s="22" t="str">
        <f t="shared" si="24"/>
        <v>METROPOLITANA</v>
      </c>
    </row>
    <row r="297" spans="1:22" x14ac:dyDescent="0.2">
      <c r="A297" s="23" t="s">
        <v>496</v>
      </c>
      <c r="B297" s="22" t="s">
        <v>18</v>
      </c>
      <c r="C297" s="22" t="s">
        <v>478</v>
      </c>
      <c r="D297" s="22" t="s">
        <v>27</v>
      </c>
      <c r="E297" s="24" t="s">
        <v>28</v>
      </c>
      <c r="F297" s="22" t="s">
        <v>225</v>
      </c>
      <c r="G297" s="25">
        <v>11570.59</v>
      </c>
      <c r="H297" s="22" t="s">
        <v>22</v>
      </c>
      <c r="I297" s="22">
        <v>1</v>
      </c>
      <c r="J297" s="22" t="s">
        <v>225</v>
      </c>
      <c r="K297" s="22" t="s">
        <v>23</v>
      </c>
      <c r="L297" s="22">
        <v>3</v>
      </c>
      <c r="M297" s="26">
        <v>80994</v>
      </c>
      <c r="N297" s="26">
        <v>0</v>
      </c>
      <c r="O297" s="27">
        <f t="shared" si="20"/>
        <v>80994</v>
      </c>
      <c r="P297" s="27">
        <f t="shared" si="21"/>
        <v>6.9999887646178802</v>
      </c>
      <c r="Q297" s="25">
        <v>6868</v>
      </c>
      <c r="R297" s="22">
        <v>100</v>
      </c>
      <c r="S297" s="22" t="s">
        <v>499</v>
      </c>
      <c r="T297" s="22">
        <f t="shared" si="22"/>
        <v>10</v>
      </c>
      <c r="U297" s="22">
        <f t="shared" si="23"/>
        <v>2020</v>
      </c>
      <c r="V297" s="22" t="str">
        <f t="shared" si="24"/>
        <v>METROPOLITANA</v>
      </c>
    </row>
    <row r="298" spans="1:22" x14ac:dyDescent="0.2">
      <c r="A298" s="23" t="s">
        <v>496</v>
      </c>
      <c r="B298" s="22" t="s">
        <v>18</v>
      </c>
      <c r="C298" s="22" t="s">
        <v>500</v>
      </c>
      <c r="D298" s="22" t="s">
        <v>38</v>
      </c>
      <c r="E298" s="24" t="s">
        <v>25</v>
      </c>
      <c r="F298" s="22" t="s">
        <v>120</v>
      </c>
      <c r="G298" s="25">
        <v>7799.7599999999966</v>
      </c>
      <c r="H298" s="22" t="s">
        <v>43</v>
      </c>
      <c r="I298" s="22">
        <v>0</v>
      </c>
      <c r="J298" s="22" t="s">
        <v>120</v>
      </c>
      <c r="K298" s="22" t="s">
        <v>23</v>
      </c>
      <c r="L298" s="22">
        <v>5</v>
      </c>
      <c r="M298" s="26">
        <v>70000</v>
      </c>
      <c r="N298" s="26">
        <v>0</v>
      </c>
      <c r="O298" s="27">
        <f t="shared" si="20"/>
        <v>70000</v>
      </c>
      <c r="P298" s="27">
        <f t="shared" si="21"/>
        <v>8.9746351169779626</v>
      </c>
      <c r="Q298" s="25">
        <v>12000</v>
      </c>
      <c r="R298" s="22">
        <v>65</v>
      </c>
      <c r="S298" s="22" t="s">
        <v>501</v>
      </c>
      <c r="T298" s="22">
        <f t="shared" si="22"/>
        <v>10</v>
      </c>
      <c r="U298" s="22">
        <f t="shared" si="23"/>
        <v>2020</v>
      </c>
      <c r="V298" s="22" t="str">
        <f t="shared" si="24"/>
        <v>METROPOLITANA</v>
      </c>
    </row>
    <row r="299" spans="1:22" x14ac:dyDescent="0.2">
      <c r="A299" s="23" t="s">
        <v>496</v>
      </c>
      <c r="B299" s="22" t="s">
        <v>18</v>
      </c>
      <c r="C299" s="22" t="s">
        <v>500</v>
      </c>
      <c r="D299" s="22" t="s">
        <v>38</v>
      </c>
      <c r="E299" s="24" t="s">
        <v>42</v>
      </c>
      <c r="F299" s="22" t="s">
        <v>120</v>
      </c>
      <c r="G299" s="25">
        <v>5389.92</v>
      </c>
      <c r="H299" s="22" t="s">
        <v>43</v>
      </c>
      <c r="I299" s="22">
        <v>0</v>
      </c>
      <c r="J299" s="22" t="s">
        <v>120</v>
      </c>
      <c r="K299" s="22" t="s">
        <v>23</v>
      </c>
      <c r="L299" s="22">
        <v>5</v>
      </c>
      <c r="M299" s="26">
        <v>70000</v>
      </c>
      <c r="N299" s="26">
        <v>0</v>
      </c>
      <c r="O299" s="27">
        <f t="shared" si="20"/>
        <v>70000</v>
      </c>
      <c r="P299" s="27">
        <f t="shared" si="21"/>
        <v>12.987205747024074</v>
      </c>
      <c r="Q299" s="25">
        <v>12000</v>
      </c>
      <c r="R299" s="22">
        <v>45</v>
      </c>
      <c r="S299" s="22" t="s">
        <v>502</v>
      </c>
      <c r="T299" s="22">
        <f t="shared" si="22"/>
        <v>10</v>
      </c>
      <c r="U299" s="22">
        <f t="shared" si="23"/>
        <v>2020</v>
      </c>
      <c r="V299" s="22" t="str">
        <f t="shared" si="24"/>
        <v>METROPOLITANA</v>
      </c>
    </row>
    <row r="300" spans="1:22" x14ac:dyDescent="0.2">
      <c r="A300" s="23" t="s">
        <v>496</v>
      </c>
      <c r="B300" s="22" t="s">
        <v>18</v>
      </c>
      <c r="C300" s="22" t="s">
        <v>500</v>
      </c>
      <c r="D300" s="22" t="s">
        <v>503</v>
      </c>
      <c r="E300" s="24" t="s">
        <v>40</v>
      </c>
      <c r="F300" s="22" t="s">
        <v>120</v>
      </c>
      <c r="G300" s="25">
        <v>1475.89</v>
      </c>
      <c r="H300" s="22" t="s">
        <v>24</v>
      </c>
      <c r="I300" s="22">
        <v>1</v>
      </c>
      <c r="J300" s="22" t="s">
        <v>120</v>
      </c>
      <c r="K300" s="22" t="s">
        <v>23</v>
      </c>
      <c r="L300" s="22">
        <v>5</v>
      </c>
      <c r="M300" s="26">
        <v>120000</v>
      </c>
      <c r="N300" s="26">
        <v>0</v>
      </c>
      <c r="O300" s="27">
        <f t="shared" si="20"/>
        <v>120000</v>
      </c>
      <c r="P300" s="27">
        <f t="shared" si="21"/>
        <v>81.306872463394967</v>
      </c>
      <c r="Q300" s="25">
        <v>12000</v>
      </c>
      <c r="R300" s="22">
        <v>12</v>
      </c>
      <c r="S300" s="22" t="s">
        <v>504</v>
      </c>
      <c r="T300" s="22">
        <f t="shared" si="22"/>
        <v>10</v>
      </c>
      <c r="U300" s="22">
        <f t="shared" si="23"/>
        <v>2020</v>
      </c>
      <c r="V300" s="22" t="str">
        <f t="shared" si="24"/>
        <v>METROPOLITANA</v>
      </c>
    </row>
    <row r="301" spans="1:22" x14ac:dyDescent="0.2">
      <c r="A301" s="23" t="s">
        <v>496</v>
      </c>
      <c r="B301" s="22" t="s">
        <v>18</v>
      </c>
      <c r="C301" s="22" t="s">
        <v>500</v>
      </c>
      <c r="D301" s="22" t="s">
        <v>37</v>
      </c>
      <c r="E301" s="24" t="s">
        <v>40</v>
      </c>
      <c r="F301" s="22" t="s">
        <v>120</v>
      </c>
      <c r="G301" s="25">
        <v>8590.5500000000011</v>
      </c>
      <c r="H301" s="22" t="s">
        <v>22</v>
      </c>
      <c r="I301" s="22">
        <v>0</v>
      </c>
      <c r="J301" s="22" t="s">
        <v>120</v>
      </c>
      <c r="K301" s="22" t="s">
        <v>23</v>
      </c>
      <c r="L301" s="22">
        <v>5</v>
      </c>
      <c r="M301" s="26">
        <v>70000</v>
      </c>
      <c r="N301" s="26">
        <v>0</v>
      </c>
      <c r="O301" s="27">
        <f t="shared" si="20"/>
        <v>70000</v>
      </c>
      <c r="P301" s="27">
        <f t="shared" si="21"/>
        <v>8.1484887463550049</v>
      </c>
      <c r="Q301" s="25">
        <v>12000</v>
      </c>
      <c r="R301" s="22">
        <v>72</v>
      </c>
      <c r="S301" s="22" t="s">
        <v>505</v>
      </c>
      <c r="T301" s="22">
        <f t="shared" si="22"/>
        <v>10</v>
      </c>
      <c r="U301" s="22">
        <f t="shared" si="23"/>
        <v>2020</v>
      </c>
      <c r="V301" s="22" t="str">
        <f t="shared" si="24"/>
        <v>METROPOLITANA</v>
      </c>
    </row>
    <row r="302" spans="1:22" x14ac:dyDescent="0.2">
      <c r="A302" s="23" t="s">
        <v>496</v>
      </c>
      <c r="B302" s="22" t="s">
        <v>18</v>
      </c>
      <c r="C302" s="22" t="s">
        <v>19</v>
      </c>
      <c r="D302" s="22" t="s">
        <v>30</v>
      </c>
      <c r="E302" s="24" t="s">
        <v>31</v>
      </c>
      <c r="F302" s="22" t="s">
        <v>84</v>
      </c>
      <c r="G302" s="25">
        <v>3087.420000000001</v>
      </c>
      <c r="H302" s="22" t="s">
        <v>32</v>
      </c>
      <c r="I302" s="22">
        <v>0</v>
      </c>
      <c r="J302" s="22" t="s">
        <v>84</v>
      </c>
      <c r="K302" s="22" t="s">
        <v>86</v>
      </c>
      <c r="L302" s="22">
        <v>0</v>
      </c>
      <c r="M302" s="26">
        <v>260000</v>
      </c>
      <c r="N302" s="26">
        <v>0</v>
      </c>
      <c r="O302" s="27">
        <f t="shared" si="20"/>
        <v>260000</v>
      </c>
      <c r="P302" s="27">
        <f t="shared" si="21"/>
        <v>84.212708345479371</v>
      </c>
      <c r="Q302" s="25">
        <v>25000</v>
      </c>
      <c r="R302" s="22">
        <v>12</v>
      </c>
      <c r="S302" s="22" t="s">
        <v>506</v>
      </c>
      <c r="T302" s="22">
        <f t="shared" si="22"/>
        <v>10</v>
      </c>
      <c r="U302" s="22">
        <f t="shared" si="23"/>
        <v>2020</v>
      </c>
      <c r="V302" s="22" t="str">
        <f t="shared" si="24"/>
        <v>REGIONES</v>
      </c>
    </row>
    <row r="303" spans="1:22" x14ac:dyDescent="0.2">
      <c r="A303" s="23" t="s">
        <v>496</v>
      </c>
      <c r="B303" s="22" t="s">
        <v>18</v>
      </c>
      <c r="C303" s="22" t="s">
        <v>44</v>
      </c>
      <c r="D303" s="22" t="s">
        <v>118</v>
      </c>
      <c r="E303" s="24" t="s">
        <v>119</v>
      </c>
      <c r="F303" s="22" t="s">
        <v>39</v>
      </c>
      <c r="G303" s="25">
        <v>6156.2800000000016</v>
      </c>
      <c r="H303" s="22" t="s">
        <v>85</v>
      </c>
      <c r="I303" s="22">
        <v>1</v>
      </c>
      <c r="J303" s="22" t="s">
        <v>39</v>
      </c>
      <c r="K303" s="22" t="s">
        <v>23</v>
      </c>
      <c r="L303" s="22">
        <v>1</v>
      </c>
      <c r="M303" s="26">
        <v>43094</v>
      </c>
      <c r="N303" s="26">
        <v>18469</v>
      </c>
      <c r="O303" s="27">
        <f t="shared" si="20"/>
        <v>61563</v>
      </c>
      <c r="P303" s="27">
        <f t="shared" si="21"/>
        <v>10.00003248715133</v>
      </c>
      <c r="Q303" s="25">
        <v>4821</v>
      </c>
      <c r="R303" s="22">
        <v>100</v>
      </c>
      <c r="S303" s="22" t="s">
        <v>507</v>
      </c>
      <c r="T303" s="22">
        <f t="shared" si="22"/>
        <v>10</v>
      </c>
      <c r="U303" s="22">
        <f t="shared" si="23"/>
        <v>2020</v>
      </c>
      <c r="V303" s="22" t="str">
        <f t="shared" si="24"/>
        <v>METROPOLITANA</v>
      </c>
    </row>
    <row r="304" spans="1:22" x14ac:dyDescent="0.2">
      <c r="A304" s="23" t="s">
        <v>496</v>
      </c>
      <c r="B304" s="22" t="s">
        <v>18</v>
      </c>
      <c r="C304" s="22" t="s">
        <v>508</v>
      </c>
      <c r="D304" s="22" t="s">
        <v>63</v>
      </c>
      <c r="E304" s="24" t="s">
        <v>64</v>
      </c>
      <c r="F304" s="22" t="s">
        <v>51</v>
      </c>
      <c r="G304" s="25">
        <v>7106.0100000000011</v>
      </c>
      <c r="H304" s="22" t="s">
        <v>65</v>
      </c>
      <c r="I304" s="22">
        <v>0</v>
      </c>
      <c r="J304" s="22" t="s">
        <v>51</v>
      </c>
      <c r="K304" s="22" t="s">
        <v>23</v>
      </c>
      <c r="L304" s="22">
        <v>4</v>
      </c>
      <c r="M304" s="26">
        <v>56075</v>
      </c>
      <c r="N304" s="26">
        <v>0</v>
      </c>
      <c r="O304" s="27">
        <f t="shared" si="20"/>
        <v>56075</v>
      </c>
      <c r="P304" s="27">
        <f t="shared" si="21"/>
        <v>7.8912075834399316</v>
      </c>
      <c r="Q304" s="25">
        <v>8011</v>
      </c>
      <c r="R304" s="22">
        <v>89</v>
      </c>
      <c r="S304" s="22" t="s">
        <v>509</v>
      </c>
      <c r="T304" s="22">
        <f t="shared" si="22"/>
        <v>10</v>
      </c>
      <c r="U304" s="22">
        <f t="shared" si="23"/>
        <v>2020</v>
      </c>
      <c r="V304" s="22" t="str">
        <f t="shared" si="24"/>
        <v>METROPOLITANA</v>
      </c>
    </row>
    <row r="305" spans="1:22" x14ac:dyDescent="0.2">
      <c r="A305" s="23" t="s">
        <v>496</v>
      </c>
      <c r="B305" s="22" t="s">
        <v>33</v>
      </c>
      <c r="C305" s="22" t="s">
        <v>187</v>
      </c>
      <c r="D305" s="22" t="s">
        <v>20</v>
      </c>
      <c r="E305" s="24" t="s">
        <v>21</v>
      </c>
      <c r="F305" s="22" t="s">
        <v>129</v>
      </c>
      <c r="G305" s="25">
        <v>2482.5</v>
      </c>
      <c r="H305" s="22" t="s">
        <v>22</v>
      </c>
      <c r="I305" s="22">
        <v>0</v>
      </c>
      <c r="J305" s="22" t="s">
        <v>129</v>
      </c>
      <c r="K305" s="22" t="s">
        <v>23</v>
      </c>
      <c r="L305" s="22">
        <v>1</v>
      </c>
      <c r="M305" s="26">
        <v>33750</v>
      </c>
      <c r="N305" s="26">
        <v>0</v>
      </c>
      <c r="O305" s="27">
        <f t="shared" si="20"/>
        <v>33750</v>
      </c>
      <c r="P305" s="27">
        <f t="shared" si="21"/>
        <v>13.595166163141993</v>
      </c>
      <c r="Q305" s="25">
        <v>4821</v>
      </c>
      <c r="R305" s="22">
        <v>51</v>
      </c>
      <c r="S305" s="22" t="s">
        <v>510</v>
      </c>
      <c r="T305" s="22">
        <f t="shared" si="22"/>
        <v>10</v>
      </c>
      <c r="U305" s="22">
        <f t="shared" si="23"/>
        <v>2020</v>
      </c>
      <c r="V305" s="22" t="str">
        <f t="shared" si="24"/>
        <v>METROPOLITANA</v>
      </c>
    </row>
    <row r="306" spans="1:22" x14ac:dyDescent="0.2">
      <c r="A306" s="23" t="s">
        <v>496</v>
      </c>
      <c r="B306" s="22" t="s">
        <v>33</v>
      </c>
      <c r="C306" s="22" t="s">
        <v>270</v>
      </c>
      <c r="D306" s="22" t="s">
        <v>61</v>
      </c>
      <c r="E306" s="24" t="s">
        <v>62</v>
      </c>
      <c r="F306" s="22" t="s">
        <v>120</v>
      </c>
      <c r="G306" s="25">
        <v>21494</v>
      </c>
      <c r="H306" s="22" t="s">
        <v>85</v>
      </c>
      <c r="I306" s="22">
        <v>1</v>
      </c>
      <c r="J306" s="22" t="s">
        <v>120</v>
      </c>
      <c r="K306" s="22" t="s">
        <v>23</v>
      </c>
      <c r="L306" s="22">
        <v>5</v>
      </c>
      <c r="M306" s="26">
        <v>120000</v>
      </c>
      <c r="N306" s="26">
        <v>0</v>
      </c>
      <c r="O306" s="27">
        <f t="shared" si="20"/>
        <v>120000</v>
      </c>
      <c r="P306" s="27">
        <f t="shared" si="21"/>
        <v>5.5829533823392579</v>
      </c>
      <c r="Q306" s="25">
        <v>12000</v>
      </c>
      <c r="R306" s="22">
        <v>100</v>
      </c>
      <c r="S306" s="22" t="s">
        <v>511</v>
      </c>
      <c r="T306" s="22">
        <f t="shared" si="22"/>
        <v>10</v>
      </c>
      <c r="U306" s="22">
        <f t="shared" si="23"/>
        <v>2020</v>
      </c>
      <c r="V306" s="22" t="str">
        <f t="shared" si="24"/>
        <v>METROPOLITANA</v>
      </c>
    </row>
    <row r="307" spans="1:22" x14ac:dyDescent="0.2">
      <c r="A307" s="23" t="s">
        <v>496</v>
      </c>
      <c r="B307" s="22" t="s">
        <v>33</v>
      </c>
      <c r="C307" s="22" t="s">
        <v>19</v>
      </c>
      <c r="D307" s="22" t="s">
        <v>30</v>
      </c>
      <c r="E307" s="24" t="s">
        <v>31</v>
      </c>
      <c r="F307" s="22" t="s">
        <v>84</v>
      </c>
      <c r="G307" s="25">
        <v>1862</v>
      </c>
      <c r="H307" s="22" t="s">
        <v>32</v>
      </c>
      <c r="I307" s="22">
        <v>0</v>
      </c>
      <c r="J307" s="22" t="s">
        <v>84</v>
      </c>
      <c r="K307" s="22" t="s">
        <v>86</v>
      </c>
      <c r="L307" s="22">
        <v>0</v>
      </c>
      <c r="M307" s="26">
        <v>260000</v>
      </c>
      <c r="N307" s="26">
        <v>0</v>
      </c>
      <c r="O307" s="27">
        <f t="shared" si="20"/>
        <v>260000</v>
      </c>
      <c r="P307" s="27">
        <f t="shared" si="21"/>
        <v>139.63480128893661</v>
      </c>
      <c r="Q307" s="25">
        <v>25000</v>
      </c>
      <c r="R307" s="22">
        <v>7</v>
      </c>
      <c r="S307" s="22" t="s">
        <v>512</v>
      </c>
      <c r="T307" s="22">
        <f t="shared" si="22"/>
        <v>10</v>
      </c>
      <c r="U307" s="22">
        <f t="shared" si="23"/>
        <v>2020</v>
      </c>
      <c r="V307" s="22" t="str">
        <f t="shared" si="24"/>
        <v>REGIONES</v>
      </c>
    </row>
    <row r="308" spans="1:22" x14ac:dyDescent="0.2">
      <c r="A308" s="23" t="s">
        <v>496</v>
      </c>
      <c r="B308" s="22" t="s">
        <v>33</v>
      </c>
      <c r="C308" s="22" t="s">
        <v>163</v>
      </c>
      <c r="D308" s="22" t="s">
        <v>41</v>
      </c>
      <c r="E308" s="24" t="s">
        <v>25</v>
      </c>
      <c r="F308" s="22" t="s">
        <v>165</v>
      </c>
      <c r="G308" s="25">
        <v>6258.4000000000005</v>
      </c>
      <c r="H308" s="22" t="s">
        <v>43</v>
      </c>
      <c r="I308" s="22">
        <v>0</v>
      </c>
      <c r="J308" s="22" t="s">
        <v>165</v>
      </c>
      <c r="K308" s="22" t="s">
        <v>23</v>
      </c>
      <c r="L308" s="22">
        <v>3</v>
      </c>
      <c r="M308" s="26">
        <v>48075</v>
      </c>
      <c r="N308" s="26">
        <v>0</v>
      </c>
      <c r="O308" s="27">
        <f t="shared" si="20"/>
        <v>48075</v>
      </c>
      <c r="P308" s="27">
        <f t="shared" si="21"/>
        <v>7.6816758276875872</v>
      </c>
      <c r="Q308" s="25">
        <v>6868</v>
      </c>
      <c r="R308" s="22">
        <v>91</v>
      </c>
      <c r="S308" s="22" t="s">
        <v>513</v>
      </c>
      <c r="T308" s="22">
        <f t="shared" si="22"/>
        <v>10</v>
      </c>
      <c r="U308" s="22">
        <f t="shared" si="23"/>
        <v>2020</v>
      </c>
      <c r="V308" s="22" t="str">
        <f t="shared" si="24"/>
        <v>METROPOLITANA</v>
      </c>
    </row>
    <row r="309" spans="1:22" x14ac:dyDescent="0.2">
      <c r="A309" s="23" t="s">
        <v>496</v>
      </c>
      <c r="B309" s="22" t="s">
        <v>33</v>
      </c>
      <c r="C309" s="22" t="s">
        <v>36</v>
      </c>
      <c r="D309" s="22" t="s">
        <v>56</v>
      </c>
      <c r="E309" s="24" t="s">
        <v>52</v>
      </c>
      <c r="F309" s="22" t="s">
        <v>53</v>
      </c>
      <c r="G309" s="25">
        <v>836</v>
      </c>
      <c r="H309" s="22" t="s">
        <v>22</v>
      </c>
      <c r="I309" s="22">
        <v>0</v>
      </c>
      <c r="J309" s="22" t="s">
        <v>53</v>
      </c>
      <c r="K309" s="22" t="s">
        <v>23</v>
      </c>
      <c r="L309" s="22">
        <v>3</v>
      </c>
      <c r="M309" s="26">
        <v>48075</v>
      </c>
      <c r="N309" s="26">
        <v>0</v>
      </c>
      <c r="O309" s="27">
        <f t="shared" si="20"/>
        <v>48075</v>
      </c>
      <c r="P309" s="27">
        <f t="shared" si="21"/>
        <v>57.505980861244019</v>
      </c>
      <c r="Q309" s="25">
        <v>6868</v>
      </c>
      <c r="R309" s="22">
        <v>12</v>
      </c>
      <c r="S309" s="22" t="s">
        <v>514</v>
      </c>
      <c r="T309" s="22">
        <f t="shared" si="22"/>
        <v>10</v>
      </c>
      <c r="U309" s="22">
        <f t="shared" si="23"/>
        <v>2020</v>
      </c>
      <c r="V309" s="22" t="str">
        <f t="shared" si="24"/>
        <v>METROPOLITANA</v>
      </c>
    </row>
    <row r="310" spans="1:22" x14ac:dyDescent="0.2">
      <c r="A310" s="23" t="s">
        <v>496</v>
      </c>
      <c r="B310" s="22" t="s">
        <v>33</v>
      </c>
      <c r="C310" s="22" t="s">
        <v>29</v>
      </c>
      <c r="D310" s="22" t="s">
        <v>515</v>
      </c>
      <c r="E310" s="24" t="s">
        <v>64</v>
      </c>
      <c r="F310" s="22" t="s">
        <v>134</v>
      </c>
      <c r="G310" s="25">
        <v>11733.400000000011</v>
      </c>
      <c r="H310" s="22" t="s">
        <v>24</v>
      </c>
      <c r="I310" s="22">
        <v>1</v>
      </c>
      <c r="J310" s="22" t="s">
        <v>134</v>
      </c>
      <c r="K310" s="22" t="s">
        <v>23</v>
      </c>
      <c r="L310" s="22">
        <v>2</v>
      </c>
      <c r="M310" s="26">
        <v>82134</v>
      </c>
      <c r="N310" s="26">
        <v>35200</v>
      </c>
      <c r="O310" s="27">
        <f t="shared" si="20"/>
        <v>117334</v>
      </c>
      <c r="P310" s="27">
        <f t="shared" si="21"/>
        <v>9.9999999999999911</v>
      </c>
      <c r="Q310" s="25">
        <v>5782</v>
      </c>
      <c r="R310" s="22">
        <v>100</v>
      </c>
      <c r="S310" s="22" t="s">
        <v>516</v>
      </c>
      <c r="T310" s="22">
        <f t="shared" si="22"/>
        <v>10</v>
      </c>
      <c r="U310" s="22">
        <f t="shared" si="23"/>
        <v>2020</v>
      </c>
      <c r="V310" s="22" t="str">
        <f t="shared" si="24"/>
        <v>METROPOLITANA</v>
      </c>
    </row>
    <row r="311" spans="1:22" x14ac:dyDescent="0.2">
      <c r="A311" s="23" t="s">
        <v>496</v>
      </c>
      <c r="B311" s="22" t="s">
        <v>33</v>
      </c>
      <c r="C311" s="22" t="s">
        <v>29</v>
      </c>
      <c r="D311" s="22" t="s">
        <v>409</v>
      </c>
      <c r="E311" s="24" t="s">
        <v>410</v>
      </c>
      <c r="F311" s="22" t="s">
        <v>132</v>
      </c>
      <c r="G311" s="25">
        <v>10000.80000000001</v>
      </c>
      <c r="H311" s="22" t="s">
        <v>85</v>
      </c>
      <c r="I311" s="22">
        <v>1</v>
      </c>
      <c r="J311" s="22" t="s">
        <v>132</v>
      </c>
      <c r="K311" s="22" t="s">
        <v>124</v>
      </c>
      <c r="L311" s="22">
        <v>0</v>
      </c>
      <c r="M311" s="26">
        <v>350000</v>
      </c>
      <c r="N311" s="26">
        <v>0</v>
      </c>
      <c r="O311" s="27">
        <f t="shared" si="20"/>
        <v>350000</v>
      </c>
      <c r="P311" s="27">
        <f t="shared" si="21"/>
        <v>34.997200223982048</v>
      </c>
      <c r="Q311" s="25">
        <v>25000</v>
      </c>
      <c r="R311" s="22">
        <v>40</v>
      </c>
      <c r="S311" s="22" t="s">
        <v>517</v>
      </c>
      <c r="T311" s="22">
        <f t="shared" si="22"/>
        <v>10</v>
      </c>
      <c r="U311" s="22">
        <f t="shared" si="23"/>
        <v>2020</v>
      </c>
      <c r="V311" s="22" t="str">
        <f t="shared" si="24"/>
        <v>REGIONES</v>
      </c>
    </row>
    <row r="312" spans="1:22" x14ac:dyDescent="0.2">
      <c r="A312" s="23" t="s">
        <v>496</v>
      </c>
      <c r="B312" s="22" t="s">
        <v>33</v>
      </c>
      <c r="C312" s="22" t="s">
        <v>44</v>
      </c>
      <c r="D312" s="22" t="s">
        <v>45</v>
      </c>
      <c r="E312" s="24" t="s">
        <v>21</v>
      </c>
      <c r="F312" s="22" t="s">
        <v>229</v>
      </c>
      <c r="G312" s="25">
        <v>596.4000000000002</v>
      </c>
      <c r="H312" s="22" t="s">
        <v>22</v>
      </c>
      <c r="I312" s="22">
        <v>0</v>
      </c>
      <c r="J312" s="22" t="s">
        <v>230</v>
      </c>
      <c r="K312" s="22" t="s">
        <v>23</v>
      </c>
      <c r="L312" s="22">
        <v>4</v>
      </c>
      <c r="M312" s="26">
        <v>56075</v>
      </c>
      <c r="N312" s="26">
        <v>2386</v>
      </c>
      <c r="O312" s="27">
        <f t="shared" si="20"/>
        <v>58461</v>
      </c>
      <c r="P312" s="27">
        <f t="shared" si="21"/>
        <v>98.023138832997958</v>
      </c>
      <c r="Q312" s="25">
        <v>8011</v>
      </c>
      <c r="R312" s="22">
        <v>7</v>
      </c>
      <c r="S312" s="22" t="s">
        <v>518</v>
      </c>
      <c r="T312" s="22">
        <f t="shared" si="22"/>
        <v>10</v>
      </c>
      <c r="U312" s="22">
        <f t="shared" si="23"/>
        <v>2020</v>
      </c>
      <c r="V312" s="22" t="str">
        <f t="shared" si="24"/>
        <v>METROPOLITANA</v>
      </c>
    </row>
    <row r="313" spans="1:22" x14ac:dyDescent="0.2">
      <c r="A313" s="23" t="s">
        <v>496</v>
      </c>
      <c r="B313" s="22" t="s">
        <v>33</v>
      </c>
      <c r="C313" s="22" t="s">
        <v>44</v>
      </c>
      <c r="D313" s="22" t="s">
        <v>47</v>
      </c>
      <c r="E313" s="24" t="s">
        <v>88</v>
      </c>
      <c r="F313" s="22" t="s">
        <v>48</v>
      </c>
      <c r="G313" s="25">
        <v>1203.2</v>
      </c>
      <c r="H313" s="22" t="s">
        <v>22</v>
      </c>
      <c r="I313" s="22">
        <v>0</v>
      </c>
      <c r="J313" s="22" t="s">
        <v>48</v>
      </c>
      <c r="K313" s="22" t="s">
        <v>23</v>
      </c>
      <c r="L313" s="22">
        <v>1</v>
      </c>
      <c r="M313" s="26">
        <v>33750</v>
      </c>
      <c r="N313" s="26">
        <v>4813</v>
      </c>
      <c r="O313" s="27">
        <f t="shared" si="20"/>
        <v>38563</v>
      </c>
      <c r="P313" s="27">
        <f t="shared" si="21"/>
        <v>32.050365691489361</v>
      </c>
      <c r="Q313" s="25">
        <v>4821</v>
      </c>
      <c r="R313" s="22">
        <v>25</v>
      </c>
      <c r="S313" s="22" t="s">
        <v>519</v>
      </c>
      <c r="T313" s="22">
        <f t="shared" si="22"/>
        <v>10</v>
      </c>
      <c r="U313" s="22">
        <f t="shared" si="23"/>
        <v>2020</v>
      </c>
      <c r="V313" s="22" t="str">
        <f t="shared" si="24"/>
        <v>METROPOLITANA</v>
      </c>
    </row>
    <row r="314" spans="1:22" x14ac:dyDescent="0.2">
      <c r="A314" s="23" t="s">
        <v>496</v>
      </c>
      <c r="B314" s="22" t="s">
        <v>33</v>
      </c>
      <c r="C314" s="22" t="s">
        <v>44</v>
      </c>
      <c r="D314" s="22" t="s">
        <v>35</v>
      </c>
      <c r="E314" s="24" t="s">
        <v>49</v>
      </c>
      <c r="F314" s="22" t="s">
        <v>34</v>
      </c>
      <c r="G314" s="25">
        <v>566</v>
      </c>
      <c r="H314" s="22" t="s">
        <v>22</v>
      </c>
      <c r="I314" s="22">
        <v>0</v>
      </c>
      <c r="J314" s="22" t="s">
        <v>34</v>
      </c>
      <c r="K314" s="22" t="s">
        <v>23</v>
      </c>
      <c r="L314" s="22">
        <v>1</v>
      </c>
      <c r="M314" s="26">
        <v>33750</v>
      </c>
      <c r="N314" s="26">
        <v>2264</v>
      </c>
      <c r="O314" s="27">
        <f t="shared" si="20"/>
        <v>36014</v>
      </c>
      <c r="P314" s="27">
        <f t="shared" si="21"/>
        <v>63.628975265017665</v>
      </c>
      <c r="Q314" s="25">
        <v>4821</v>
      </c>
      <c r="R314" s="22">
        <v>12</v>
      </c>
      <c r="S314" s="22" t="s">
        <v>520</v>
      </c>
      <c r="T314" s="22">
        <f t="shared" si="22"/>
        <v>10</v>
      </c>
      <c r="U314" s="22">
        <f t="shared" si="23"/>
        <v>2020</v>
      </c>
      <c r="V314" s="22" t="str">
        <f t="shared" si="24"/>
        <v>METROPOLITANA</v>
      </c>
    </row>
    <row r="315" spans="1:22" x14ac:dyDescent="0.2">
      <c r="A315" s="11" t="s">
        <v>521</v>
      </c>
      <c r="B315" s="12" t="s">
        <v>18</v>
      </c>
      <c r="C315" s="12" t="s">
        <v>57</v>
      </c>
      <c r="D315" s="12" t="s">
        <v>37</v>
      </c>
      <c r="E315" s="13" t="s">
        <v>40</v>
      </c>
      <c r="F315" s="12" t="s">
        <v>46</v>
      </c>
      <c r="G315" s="14">
        <v>10484.67</v>
      </c>
      <c r="H315" s="12" t="s">
        <v>22</v>
      </c>
      <c r="I315" s="12">
        <v>0</v>
      </c>
      <c r="J315" s="12" t="s">
        <v>46</v>
      </c>
      <c r="K315" s="12" t="s">
        <v>23</v>
      </c>
      <c r="L315" s="12">
        <v>2</v>
      </c>
      <c r="M315" s="15">
        <v>73393</v>
      </c>
      <c r="N315" s="15">
        <f>G315*4</f>
        <v>41938.68</v>
      </c>
      <c r="O315" s="15">
        <f t="shared" si="20"/>
        <v>115331.68</v>
      </c>
      <c r="P315" s="15">
        <f t="shared" si="21"/>
        <v>11.000029566977309</v>
      </c>
      <c r="Q315" s="14">
        <v>5782</v>
      </c>
      <c r="R315" s="12">
        <v>100</v>
      </c>
      <c r="S315" s="12" t="s">
        <v>522</v>
      </c>
      <c r="T315" s="22">
        <f t="shared" si="22"/>
        <v>10</v>
      </c>
      <c r="U315" s="22">
        <f t="shared" si="23"/>
        <v>2020</v>
      </c>
      <c r="V315" s="22" t="str">
        <f t="shared" si="24"/>
        <v>METROPOLITANA</v>
      </c>
    </row>
    <row r="316" spans="1:22" x14ac:dyDescent="0.2">
      <c r="A316" s="11" t="s">
        <v>521</v>
      </c>
      <c r="B316" s="12" t="s">
        <v>18</v>
      </c>
      <c r="C316" s="12" t="s">
        <v>57</v>
      </c>
      <c r="D316" s="12" t="s">
        <v>41</v>
      </c>
      <c r="E316" s="13" t="s">
        <v>25</v>
      </c>
      <c r="F316" s="12" t="s">
        <v>120</v>
      </c>
      <c r="G316" s="14">
        <v>5229.03</v>
      </c>
      <c r="H316" s="12" t="s">
        <v>43</v>
      </c>
      <c r="I316" s="12">
        <v>0</v>
      </c>
      <c r="J316" s="12" t="s">
        <v>120</v>
      </c>
      <c r="K316" s="12" t="s">
        <v>23</v>
      </c>
      <c r="L316" s="12">
        <v>5</v>
      </c>
      <c r="M316" s="15">
        <v>70000</v>
      </c>
      <c r="N316" s="15">
        <f>G316*3</f>
        <v>15687.09</v>
      </c>
      <c r="O316" s="15">
        <f t="shared" si="20"/>
        <v>85687.09</v>
      </c>
      <c r="P316" s="15">
        <f t="shared" si="21"/>
        <v>16.386804053524269</v>
      </c>
      <c r="Q316" s="14">
        <v>12000</v>
      </c>
      <c r="R316" s="12">
        <v>44</v>
      </c>
      <c r="S316" s="12" t="s">
        <v>523</v>
      </c>
      <c r="T316" s="22">
        <f t="shared" si="22"/>
        <v>10</v>
      </c>
      <c r="U316" s="22">
        <f t="shared" si="23"/>
        <v>2020</v>
      </c>
      <c r="V316" s="22" t="str">
        <f t="shared" si="24"/>
        <v>METROPOLITANA</v>
      </c>
    </row>
    <row r="317" spans="1:22" x14ac:dyDescent="0.2">
      <c r="A317" s="11" t="s">
        <v>521</v>
      </c>
      <c r="B317" s="12" t="s">
        <v>18</v>
      </c>
      <c r="C317" s="12" t="s">
        <v>500</v>
      </c>
      <c r="D317" s="12" t="s">
        <v>38</v>
      </c>
      <c r="E317" s="13" t="s">
        <v>42</v>
      </c>
      <c r="F317" s="12" t="s">
        <v>120</v>
      </c>
      <c r="G317" s="14">
        <v>4035.99</v>
      </c>
      <c r="H317" s="12" t="s">
        <v>43</v>
      </c>
      <c r="I317" s="12">
        <v>0</v>
      </c>
      <c r="J317" s="12" t="s">
        <v>120</v>
      </c>
      <c r="K317" s="12" t="s">
        <v>23</v>
      </c>
      <c r="L317" s="12">
        <v>5</v>
      </c>
      <c r="M317" s="15">
        <v>70000</v>
      </c>
      <c r="N317" s="15">
        <f>G317*3</f>
        <v>12107.97</v>
      </c>
      <c r="O317" s="15">
        <f t="shared" si="20"/>
        <v>82107.97</v>
      </c>
      <c r="P317" s="15">
        <f t="shared" si="21"/>
        <v>20.343947829404932</v>
      </c>
      <c r="Q317" s="14">
        <v>12000</v>
      </c>
      <c r="R317" s="12">
        <v>34</v>
      </c>
      <c r="S317" s="12" t="s">
        <v>524</v>
      </c>
      <c r="T317" s="22">
        <f t="shared" si="22"/>
        <v>10</v>
      </c>
      <c r="U317" s="22">
        <f t="shared" si="23"/>
        <v>2020</v>
      </c>
      <c r="V317" s="22" t="str">
        <f t="shared" si="24"/>
        <v>METROPOLITANA</v>
      </c>
    </row>
    <row r="318" spans="1:22" x14ac:dyDescent="0.2">
      <c r="A318" s="11" t="s">
        <v>521</v>
      </c>
      <c r="B318" s="12" t="s">
        <v>18</v>
      </c>
      <c r="C318" s="12" t="s">
        <v>163</v>
      </c>
      <c r="D318" s="12" t="s">
        <v>47</v>
      </c>
      <c r="E318" s="13" t="s">
        <v>88</v>
      </c>
      <c r="F318" s="12" t="s">
        <v>165</v>
      </c>
      <c r="G318" s="14">
        <v>7172.9400000000014</v>
      </c>
      <c r="H318" s="12" t="s">
        <v>22</v>
      </c>
      <c r="I318" s="12">
        <v>0</v>
      </c>
      <c r="J318" s="12" t="s">
        <v>165</v>
      </c>
      <c r="K318" s="12" t="s">
        <v>23</v>
      </c>
      <c r="L318" s="12">
        <v>3</v>
      </c>
      <c r="M318" s="15">
        <v>50211</v>
      </c>
      <c r="N318" s="15">
        <f>G318*4</f>
        <v>28691.760000000006</v>
      </c>
      <c r="O318" s="15">
        <f t="shared" si="20"/>
        <v>78902.760000000009</v>
      </c>
      <c r="P318" s="15">
        <f t="shared" si="21"/>
        <v>11.000058553396514</v>
      </c>
      <c r="Q318" s="14">
        <v>6868</v>
      </c>
      <c r="R318" s="12">
        <v>100</v>
      </c>
      <c r="S318" s="12" t="s">
        <v>525</v>
      </c>
      <c r="T318" s="22">
        <f t="shared" si="22"/>
        <v>10</v>
      </c>
      <c r="U318" s="22">
        <f t="shared" si="23"/>
        <v>2020</v>
      </c>
      <c r="V318" s="22" t="str">
        <f t="shared" si="24"/>
        <v>METROPOLITANA</v>
      </c>
    </row>
    <row r="319" spans="1:22" x14ac:dyDescent="0.2">
      <c r="A319" s="11" t="s">
        <v>521</v>
      </c>
      <c r="B319" s="12" t="s">
        <v>18</v>
      </c>
      <c r="C319" s="12" t="s">
        <v>44</v>
      </c>
      <c r="D319" s="12" t="s">
        <v>485</v>
      </c>
      <c r="E319" s="13" t="s">
        <v>526</v>
      </c>
      <c r="F319" s="12" t="s">
        <v>39</v>
      </c>
      <c r="G319" s="14">
        <v>18943.560000000001</v>
      </c>
      <c r="H319" s="12" t="s">
        <v>24</v>
      </c>
      <c r="I319" s="12">
        <v>1</v>
      </c>
      <c r="J319" s="12" t="s">
        <v>39</v>
      </c>
      <c r="K319" s="12" t="s">
        <v>23</v>
      </c>
      <c r="L319" s="12">
        <v>1</v>
      </c>
      <c r="M319" s="15">
        <v>132605</v>
      </c>
      <c r="N319" s="15">
        <v>56831</v>
      </c>
      <c r="O319" s="15">
        <f t="shared" si="20"/>
        <v>189436</v>
      </c>
      <c r="P319" s="15">
        <f t="shared" si="21"/>
        <v>10.000021115355297</v>
      </c>
      <c r="Q319" s="14">
        <v>4821</v>
      </c>
      <c r="R319" s="12">
        <v>100</v>
      </c>
      <c r="S319" s="12" t="s">
        <v>527</v>
      </c>
      <c r="T319" s="22">
        <f t="shared" si="22"/>
        <v>10</v>
      </c>
      <c r="U319" s="22">
        <f t="shared" si="23"/>
        <v>2020</v>
      </c>
      <c r="V319" s="22" t="str">
        <f t="shared" si="24"/>
        <v>METROPOLITANA</v>
      </c>
    </row>
    <row r="320" spans="1:22" x14ac:dyDescent="0.2">
      <c r="A320" s="11" t="s">
        <v>521</v>
      </c>
      <c r="B320" s="12" t="s">
        <v>18</v>
      </c>
      <c r="C320" s="12" t="s">
        <v>44</v>
      </c>
      <c r="D320" s="12" t="s">
        <v>20</v>
      </c>
      <c r="E320" s="13" t="s">
        <v>21</v>
      </c>
      <c r="F320" s="12" t="s">
        <v>39</v>
      </c>
      <c r="G320" s="14">
        <v>3694.42</v>
      </c>
      <c r="H320" s="12" t="s">
        <v>22</v>
      </c>
      <c r="I320" s="12">
        <v>0</v>
      </c>
      <c r="J320" s="12" t="s">
        <v>39</v>
      </c>
      <c r="K320" s="12" t="s">
        <v>23</v>
      </c>
      <c r="L320" s="12">
        <v>1</v>
      </c>
      <c r="M320" s="15">
        <v>33750</v>
      </c>
      <c r="N320" s="15">
        <v>14778</v>
      </c>
      <c r="O320" s="15">
        <f t="shared" si="20"/>
        <v>48528</v>
      </c>
      <c r="P320" s="15">
        <f t="shared" si="21"/>
        <v>13.135485407722998</v>
      </c>
      <c r="Q320" s="14">
        <v>4821</v>
      </c>
      <c r="R320" s="12">
        <v>77</v>
      </c>
      <c r="S320" s="12" t="s">
        <v>528</v>
      </c>
      <c r="T320" s="22">
        <f t="shared" si="22"/>
        <v>10</v>
      </c>
      <c r="U320" s="22">
        <f t="shared" si="23"/>
        <v>2020</v>
      </c>
      <c r="V320" s="22" t="str">
        <f t="shared" si="24"/>
        <v>METROPOLITANA</v>
      </c>
    </row>
    <row r="321" spans="1:22" x14ac:dyDescent="0.2">
      <c r="A321" s="11" t="s">
        <v>521</v>
      </c>
      <c r="B321" s="12" t="s">
        <v>33</v>
      </c>
      <c r="C321" s="12" t="s">
        <v>60</v>
      </c>
      <c r="D321" s="12" t="s">
        <v>56</v>
      </c>
      <c r="E321" s="13" t="s">
        <v>49</v>
      </c>
      <c r="F321" s="12" t="s">
        <v>89</v>
      </c>
      <c r="G321" s="14">
        <v>3088.7999999999988</v>
      </c>
      <c r="H321" s="12" t="s">
        <v>22</v>
      </c>
      <c r="I321" s="12">
        <v>0</v>
      </c>
      <c r="J321" s="12" t="s">
        <v>89</v>
      </c>
      <c r="K321" s="12" t="s">
        <v>23</v>
      </c>
      <c r="L321" s="12">
        <v>5</v>
      </c>
      <c r="M321" s="15">
        <v>90000</v>
      </c>
      <c r="N321" s="15">
        <f>G321*4</f>
        <v>12355.199999999995</v>
      </c>
      <c r="O321" s="15">
        <f t="shared" si="20"/>
        <v>102355.2</v>
      </c>
      <c r="P321" s="15">
        <f t="shared" si="21"/>
        <v>33.13752913752915</v>
      </c>
      <c r="Q321" s="14">
        <v>12000</v>
      </c>
      <c r="R321" s="12">
        <v>26</v>
      </c>
      <c r="S321" s="12" t="s">
        <v>529</v>
      </c>
      <c r="T321" s="22">
        <f t="shared" si="22"/>
        <v>10</v>
      </c>
      <c r="U321" s="22">
        <f t="shared" si="23"/>
        <v>2020</v>
      </c>
      <c r="V321" s="22" t="str">
        <f t="shared" si="24"/>
        <v>METROPOLITANA</v>
      </c>
    </row>
    <row r="322" spans="1:22" x14ac:dyDescent="0.2">
      <c r="A322" s="11" t="s">
        <v>521</v>
      </c>
      <c r="B322" s="12" t="s">
        <v>33</v>
      </c>
      <c r="C322" s="12" t="s">
        <v>128</v>
      </c>
      <c r="D322" s="12" t="s">
        <v>35</v>
      </c>
      <c r="E322" s="13" t="s">
        <v>52</v>
      </c>
      <c r="F322" s="12" t="s">
        <v>129</v>
      </c>
      <c r="G322" s="14">
        <v>1425.6</v>
      </c>
      <c r="H322" s="12" t="s">
        <v>22</v>
      </c>
      <c r="I322" s="12">
        <v>0</v>
      </c>
      <c r="J322" s="12" t="s">
        <v>129</v>
      </c>
      <c r="K322" s="12" t="s">
        <v>23</v>
      </c>
      <c r="L322" s="12">
        <v>1</v>
      </c>
      <c r="M322" s="15">
        <v>33750</v>
      </c>
      <c r="N322" s="15">
        <v>5702</v>
      </c>
      <c r="O322" s="15">
        <f t="shared" ref="O322:O385" si="25">SUM(M322:N322)</f>
        <v>39452</v>
      </c>
      <c r="P322" s="15">
        <f t="shared" ref="P322:P385" si="26">O322/G322</f>
        <v>27.673961840628508</v>
      </c>
      <c r="Q322" s="14">
        <v>4821</v>
      </c>
      <c r="R322" s="12">
        <v>30</v>
      </c>
      <c r="S322" s="12" t="s">
        <v>530</v>
      </c>
      <c r="T322" s="22">
        <f t="shared" ref="T322:T385" si="27">MONTH(A322)</f>
        <v>10</v>
      </c>
      <c r="U322" s="22">
        <f t="shared" ref="U322:U385" si="28">YEAR(A322)</f>
        <v>2020</v>
      </c>
      <c r="V322" s="22" t="str">
        <f t="shared" ref="V322:V385" si="29">IF(K322="METROPOLITANA DE SANTIAGO","METROPOLITANA","REGIONES")</f>
        <v>METROPOLITANA</v>
      </c>
    </row>
    <row r="323" spans="1:22" x14ac:dyDescent="0.2">
      <c r="A323" s="11" t="s">
        <v>521</v>
      </c>
      <c r="B323" s="12" t="s">
        <v>33</v>
      </c>
      <c r="C323" s="12" t="s">
        <v>36</v>
      </c>
      <c r="D323" s="12" t="s">
        <v>303</v>
      </c>
      <c r="E323" s="13" t="s">
        <v>304</v>
      </c>
      <c r="F323" s="12" t="s">
        <v>531</v>
      </c>
      <c r="G323" s="14">
        <v>11043.2</v>
      </c>
      <c r="H323" s="12" t="s">
        <v>24</v>
      </c>
      <c r="I323" s="12">
        <v>1</v>
      </c>
      <c r="J323" s="12" t="s">
        <v>531</v>
      </c>
      <c r="K323" s="12" t="s">
        <v>306</v>
      </c>
      <c r="L323" s="12">
        <v>0</v>
      </c>
      <c r="M323" s="15">
        <v>1400000</v>
      </c>
      <c r="N323" s="15">
        <v>0</v>
      </c>
      <c r="O323" s="15">
        <f t="shared" si="25"/>
        <v>1400000</v>
      </c>
      <c r="P323" s="15">
        <f t="shared" si="26"/>
        <v>126.77484787018254</v>
      </c>
      <c r="Q323" s="14">
        <v>25000</v>
      </c>
      <c r="R323" s="12">
        <v>44</v>
      </c>
      <c r="S323" s="12" t="s">
        <v>532</v>
      </c>
      <c r="T323" s="22">
        <f t="shared" si="27"/>
        <v>10</v>
      </c>
      <c r="U323" s="22">
        <f t="shared" si="28"/>
        <v>2020</v>
      </c>
      <c r="V323" s="22" t="str">
        <f t="shared" si="29"/>
        <v>REGIONES</v>
      </c>
    </row>
    <row r="324" spans="1:22" x14ac:dyDescent="0.2">
      <c r="A324" s="11" t="s">
        <v>521</v>
      </c>
      <c r="B324" s="12" t="s">
        <v>33</v>
      </c>
      <c r="C324" s="12" t="s">
        <v>223</v>
      </c>
      <c r="D324" s="12" t="s">
        <v>45</v>
      </c>
      <c r="E324" s="13" t="s">
        <v>21</v>
      </c>
      <c r="F324" s="12" t="s">
        <v>39</v>
      </c>
      <c r="G324" s="14">
        <v>1900.8</v>
      </c>
      <c r="H324" s="12" t="s">
        <v>22</v>
      </c>
      <c r="I324" s="12">
        <v>0</v>
      </c>
      <c r="J324" s="12" t="s">
        <v>39</v>
      </c>
      <c r="K324" s="12" t="s">
        <v>23</v>
      </c>
      <c r="L324" s="12">
        <v>1</v>
      </c>
      <c r="M324" s="15">
        <v>33750</v>
      </c>
      <c r="N324" s="15">
        <f>G324*4</f>
        <v>7603.2</v>
      </c>
      <c r="O324" s="15">
        <f t="shared" si="25"/>
        <v>41353.199999999997</v>
      </c>
      <c r="P324" s="15">
        <f t="shared" si="26"/>
        <v>21.755681818181817</v>
      </c>
      <c r="Q324" s="14">
        <v>4821</v>
      </c>
      <c r="R324" s="12">
        <v>39</v>
      </c>
      <c r="S324" s="12" t="s">
        <v>533</v>
      </c>
      <c r="T324" s="22">
        <f t="shared" si="27"/>
        <v>10</v>
      </c>
      <c r="U324" s="22">
        <f t="shared" si="28"/>
        <v>2020</v>
      </c>
      <c r="V324" s="22" t="str">
        <f t="shared" si="29"/>
        <v>METROPOLITANA</v>
      </c>
    </row>
    <row r="325" spans="1:22" x14ac:dyDescent="0.2">
      <c r="A325" s="11" t="s">
        <v>521</v>
      </c>
      <c r="B325" s="12" t="s">
        <v>33</v>
      </c>
      <c r="C325" s="12" t="s">
        <v>29</v>
      </c>
      <c r="D325" s="12" t="s">
        <v>61</v>
      </c>
      <c r="E325" s="13" t="s">
        <v>62</v>
      </c>
      <c r="F325" s="12" t="s">
        <v>132</v>
      </c>
      <c r="G325" s="14">
        <v>9504.0000000000091</v>
      </c>
      <c r="H325" s="12" t="s">
        <v>85</v>
      </c>
      <c r="I325" s="12">
        <v>1</v>
      </c>
      <c r="J325" s="12" t="s">
        <v>132</v>
      </c>
      <c r="K325" s="12" t="s">
        <v>124</v>
      </c>
      <c r="L325" s="12">
        <v>0</v>
      </c>
      <c r="M325" s="15">
        <v>350000</v>
      </c>
      <c r="N325" s="15">
        <v>0</v>
      </c>
      <c r="O325" s="15">
        <f t="shared" si="25"/>
        <v>350000</v>
      </c>
      <c r="P325" s="15">
        <f t="shared" si="26"/>
        <v>36.826599326599293</v>
      </c>
      <c r="Q325" s="14">
        <v>25000</v>
      </c>
      <c r="R325" s="12">
        <v>38</v>
      </c>
      <c r="S325" s="12" t="s">
        <v>534</v>
      </c>
      <c r="T325" s="22">
        <f t="shared" si="27"/>
        <v>10</v>
      </c>
      <c r="U325" s="22">
        <f t="shared" si="28"/>
        <v>2020</v>
      </c>
      <c r="V325" s="22" t="str">
        <f t="shared" si="29"/>
        <v>REGIONES</v>
      </c>
    </row>
    <row r="326" spans="1:22" x14ac:dyDescent="0.2">
      <c r="A326" s="11" t="s">
        <v>521</v>
      </c>
      <c r="B326" s="12" t="s">
        <v>33</v>
      </c>
      <c r="C326" s="12" t="s">
        <v>44</v>
      </c>
      <c r="D326" s="12" t="s">
        <v>56</v>
      </c>
      <c r="E326" s="13" t="s">
        <v>52</v>
      </c>
      <c r="F326" s="12" t="s">
        <v>137</v>
      </c>
      <c r="G326" s="14">
        <v>436.4</v>
      </c>
      <c r="H326" s="12" t="s">
        <v>22</v>
      </c>
      <c r="I326" s="12">
        <v>0</v>
      </c>
      <c r="J326" s="12" t="s">
        <v>137</v>
      </c>
      <c r="K326" s="12" t="s">
        <v>23</v>
      </c>
      <c r="L326" s="12">
        <v>1</v>
      </c>
      <c r="M326" s="15">
        <v>33750</v>
      </c>
      <c r="N326" s="15">
        <v>1746</v>
      </c>
      <c r="O326" s="15">
        <f t="shared" si="25"/>
        <v>35496</v>
      </c>
      <c r="P326" s="15">
        <f t="shared" si="26"/>
        <v>81.338221814848765</v>
      </c>
      <c r="Q326" s="14">
        <v>4821</v>
      </c>
      <c r="R326" s="12">
        <v>9</v>
      </c>
      <c r="S326" s="12" t="s">
        <v>535</v>
      </c>
      <c r="T326" s="22">
        <f t="shared" si="27"/>
        <v>10</v>
      </c>
      <c r="U326" s="22">
        <f t="shared" si="28"/>
        <v>2020</v>
      </c>
      <c r="V326" s="22" t="str">
        <f t="shared" si="29"/>
        <v>METROPOLITANA</v>
      </c>
    </row>
    <row r="327" spans="1:22" x14ac:dyDescent="0.2">
      <c r="A327" s="11" t="s">
        <v>521</v>
      </c>
      <c r="B327" s="12" t="s">
        <v>33</v>
      </c>
      <c r="C327" s="12" t="s">
        <v>44</v>
      </c>
      <c r="D327" s="12" t="s">
        <v>45</v>
      </c>
      <c r="E327" s="13" t="s">
        <v>88</v>
      </c>
      <c r="F327" s="12" t="s">
        <v>182</v>
      </c>
      <c r="G327" s="14">
        <v>706.4</v>
      </c>
      <c r="H327" s="12" t="s">
        <v>22</v>
      </c>
      <c r="I327" s="12">
        <v>0</v>
      </c>
      <c r="J327" s="12" t="s">
        <v>182</v>
      </c>
      <c r="K327" s="12" t="s">
        <v>23</v>
      </c>
      <c r="L327" s="12">
        <v>4</v>
      </c>
      <c r="M327" s="15">
        <v>56075</v>
      </c>
      <c r="N327" s="15">
        <v>2826</v>
      </c>
      <c r="O327" s="15">
        <f t="shared" si="25"/>
        <v>58901</v>
      </c>
      <c r="P327" s="15">
        <f t="shared" si="26"/>
        <v>83.381936579841451</v>
      </c>
      <c r="Q327" s="14">
        <v>8011</v>
      </c>
      <c r="R327" s="12">
        <v>9</v>
      </c>
      <c r="S327" s="12" t="s">
        <v>536</v>
      </c>
      <c r="T327" s="22">
        <f t="shared" si="27"/>
        <v>10</v>
      </c>
      <c r="U327" s="22">
        <f t="shared" si="28"/>
        <v>2020</v>
      </c>
      <c r="V327" s="22" t="str">
        <f t="shared" si="29"/>
        <v>METROPOLITANA</v>
      </c>
    </row>
    <row r="328" spans="1:22" x14ac:dyDescent="0.2">
      <c r="A328" s="11" t="s">
        <v>521</v>
      </c>
      <c r="B328" s="12" t="s">
        <v>33</v>
      </c>
      <c r="C328" s="12" t="s">
        <v>44</v>
      </c>
      <c r="D328" s="12" t="s">
        <v>47</v>
      </c>
      <c r="E328" s="13" t="s">
        <v>21</v>
      </c>
      <c r="F328" s="12" t="s">
        <v>134</v>
      </c>
      <c r="G328" s="14">
        <v>674</v>
      </c>
      <c r="H328" s="12" t="s">
        <v>22</v>
      </c>
      <c r="I328" s="12">
        <v>0</v>
      </c>
      <c r="J328" s="12" t="s">
        <v>134</v>
      </c>
      <c r="K328" s="12" t="s">
        <v>23</v>
      </c>
      <c r="L328" s="12">
        <v>2</v>
      </c>
      <c r="M328" s="15">
        <v>40475</v>
      </c>
      <c r="N328" s="15">
        <v>2696</v>
      </c>
      <c r="O328" s="15">
        <f t="shared" si="25"/>
        <v>43171</v>
      </c>
      <c r="P328" s="15">
        <f t="shared" si="26"/>
        <v>64.051928783382792</v>
      </c>
      <c r="Q328" s="14">
        <v>5782</v>
      </c>
      <c r="R328" s="12">
        <v>12</v>
      </c>
      <c r="S328" s="12" t="s">
        <v>537</v>
      </c>
      <c r="T328" s="22">
        <f t="shared" si="27"/>
        <v>10</v>
      </c>
      <c r="U328" s="22">
        <f t="shared" si="28"/>
        <v>2020</v>
      </c>
      <c r="V328" s="22" t="str">
        <f t="shared" si="29"/>
        <v>METROPOLITANA</v>
      </c>
    </row>
    <row r="329" spans="1:22" x14ac:dyDescent="0.2">
      <c r="A329" s="11" t="s">
        <v>521</v>
      </c>
      <c r="B329" s="12" t="s">
        <v>33</v>
      </c>
      <c r="C329" s="12" t="s">
        <v>44</v>
      </c>
      <c r="D329" s="12" t="s">
        <v>35</v>
      </c>
      <c r="E329" s="13" t="s">
        <v>49</v>
      </c>
      <c r="F329" s="12" t="s">
        <v>53</v>
      </c>
      <c r="G329" s="14">
        <v>868.4</v>
      </c>
      <c r="H329" s="12" t="s">
        <v>22</v>
      </c>
      <c r="I329" s="12">
        <v>0</v>
      </c>
      <c r="J329" s="12" t="s">
        <v>53</v>
      </c>
      <c r="K329" s="12" t="s">
        <v>23</v>
      </c>
      <c r="L329" s="12">
        <v>3</v>
      </c>
      <c r="M329" s="15">
        <v>48075</v>
      </c>
      <c r="N329" s="15">
        <v>3474</v>
      </c>
      <c r="O329" s="15">
        <f t="shared" si="25"/>
        <v>51549</v>
      </c>
      <c r="P329" s="15">
        <f t="shared" si="26"/>
        <v>59.360893597420542</v>
      </c>
      <c r="Q329" s="14">
        <v>6868</v>
      </c>
      <c r="R329" s="12">
        <v>13</v>
      </c>
      <c r="S329" s="12" t="s">
        <v>538</v>
      </c>
      <c r="T329" s="22">
        <f t="shared" si="27"/>
        <v>10</v>
      </c>
      <c r="U329" s="22">
        <f t="shared" si="28"/>
        <v>2020</v>
      </c>
      <c r="V329" s="22" t="str">
        <f t="shared" si="29"/>
        <v>METROPOLITANA</v>
      </c>
    </row>
    <row r="330" spans="1:22" x14ac:dyDescent="0.2">
      <c r="A330" s="23" t="s">
        <v>539</v>
      </c>
      <c r="B330" s="22" t="s">
        <v>18</v>
      </c>
      <c r="C330" s="22" t="s">
        <v>540</v>
      </c>
      <c r="D330" s="22" t="s">
        <v>41</v>
      </c>
      <c r="E330" s="24" t="s">
        <v>25</v>
      </c>
      <c r="F330" s="22" t="s">
        <v>26</v>
      </c>
      <c r="G330" s="25">
        <v>5200</v>
      </c>
      <c r="H330" s="22" t="s">
        <v>43</v>
      </c>
      <c r="I330" s="22">
        <v>0</v>
      </c>
      <c r="J330" s="22" t="s">
        <v>26</v>
      </c>
      <c r="K330" s="22" t="s">
        <v>23</v>
      </c>
      <c r="L330" s="22">
        <v>3</v>
      </c>
      <c r="M330" s="26">
        <v>48075</v>
      </c>
      <c r="N330" s="26">
        <f>G330*3</f>
        <v>15600</v>
      </c>
      <c r="O330" s="27">
        <f t="shared" si="25"/>
        <v>63675</v>
      </c>
      <c r="P330" s="27">
        <f t="shared" si="26"/>
        <v>12.245192307692308</v>
      </c>
      <c r="Q330" s="25">
        <v>6868</v>
      </c>
      <c r="R330" s="22">
        <v>76</v>
      </c>
      <c r="S330" s="22" t="s">
        <v>541</v>
      </c>
      <c r="T330" s="22">
        <f t="shared" si="27"/>
        <v>11</v>
      </c>
      <c r="U330" s="22">
        <f t="shared" si="28"/>
        <v>2020</v>
      </c>
      <c r="V330" s="22" t="str">
        <f t="shared" si="29"/>
        <v>METROPOLITANA</v>
      </c>
    </row>
    <row r="331" spans="1:22" x14ac:dyDescent="0.2">
      <c r="A331" s="23" t="s">
        <v>539</v>
      </c>
      <c r="B331" s="22" t="s">
        <v>18</v>
      </c>
      <c r="C331" s="22" t="s">
        <v>57</v>
      </c>
      <c r="D331" s="22" t="s">
        <v>80</v>
      </c>
      <c r="E331" s="24" t="s">
        <v>81</v>
      </c>
      <c r="F331" s="22" t="s">
        <v>407</v>
      </c>
      <c r="G331" s="25">
        <v>18562.69000000001</v>
      </c>
      <c r="H331" s="22" t="s">
        <v>85</v>
      </c>
      <c r="I331" s="22">
        <v>1</v>
      </c>
      <c r="J331" s="22" t="s">
        <v>407</v>
      </c>
      <c r="K331" s="22" t="s">
        <v>408</v>
      </c>
      <c r="L331" s="22">
        <v>0</v>
      </c>
      <c r="M331" s="26">
        <v>600000</v>
      </c>
      <c r="N331" s="26">
        <v>0</v>
      </c>
      <c r="O331" s="27">
        <f t="shared" si="25"/>
        <v>600000</v>
      </c>
      <c r="P331" s="27">
        <f t="shared" si="26"/>
        <v>32.32290147602528</v>
      </c>
      <c r="Q331" s="25">
        <v>25000</v>
      </c>
      <c r="R331" s="22">
        <v>74</v>
      </c>
      <c r="S331" s="22" t="s">
        <v>542</v>
      </c>
      <c r="T331" s="22">
        <f t="shared" si="27"/>
        <v>11</v>
      </c>
      <c r="U331" s="22">
        <f t="shared" si="28"/>
        <v>2020</v>
      </c>
      <c r="V331" s="22" t="str">
        <f t="shared" si="29"/>
        <v>REGIONES</v>
      </c>
    </row>
    <row r="332" spans="1:22" x14ac:dyDescent="0.2">
      <c r="A332" s="23" t="s">
        <v>539</v>
      </c>
      <c r="B332" s="22" t="s">
        <v>18</v>
      </c>
      <c r="C332" s="22" t="s">
        <v>57</v>
      </c>
      <c r="D332" s="22" t="s">
        <v>63</v>
      </c>
      <c r="E332" s="24" t="s">
        <v>64</v>
      </c>
      <c r="F332" s="22" t="s">
        <v>46</v>
      </c>
      <c r="G332" s="25">
        <v>5264.52</v>
      </c>
      <c r="H332" s="22" t="s">
        <v>65</v>
      </c>
      <c r="I332" s="22">
        <v>0</v>
      </c>
      <c r="J332" s="22" t="s">
        <v>46</v>
      </c>
      <c r="K332" s="22" t="s">
        <v>23</v>
      </c>
      <c r="L332" s="22">
        <v>2</v>
      </c>
      <c r="M332" s="26">
        <v>40475</v>
      </c>
      <c r="N332" s="26">
        <f>G332*3</f>
        <v>15793.560000000001</v>
      </c>
      <c r="O332" s="27">
        <f t="shared" si="25"/>
        <v>56268.56</v>
      </c>
      <c r="P332" s="27">
        <f t="shared" si="26"/>
        <v>10.688260278239991</v>
      </c>
      <c r="Q332" s="25">
        <v>5782</v>
      </c>
      <c r="R332" s="22">
        <v>91</v>
      </c>
      <c r="S332" s="22" t="s">
        <v>543</v>
      </c>
      <c r="T332" s="22">
        <f t="shared" si="27"/>
        <v>11</v>
      </c>
      <c r="U332" s="22">
        <f t="shared" si="28"/>
        <v>2020</v>
      </c>
      <c r="V332" s="22" t="str">
        <f t="shared" si="29"/>
        <v>METROPOLITANA</v>
      </c>
    </row>
    <row r="333" spans="1:22" x14ac:dyDescent="0.2">
      <c r="A333" s="23" t="s">
        <v>539</v>
      </c>
      <c r="B333" s="22" t="s">
        <v>18</v>
      </c>
      <c r="C333" s="22" t="s">
        <v>478</v>
      </c>
      <c r="D333" s="22" t="s">
        <v>27</v>
      </c>
      <c r="E333" s="24" t="s">
        <v>544</v>
      </c>
      <c r="F333" s="22" t="s">
        <v>225</v>
      </c>
      <c r="G333" s="25">
        <v>15700.94</v>
      </c>
      <c r="H333" s="22" t="s">
        <v>22</v>
      </c>
      <c r="I333" s="22">
        <v>1</v>
      </c>
      <c r="J333" s="22" t="s">
        <v>225</v>
      </c>
      <c r="K333" s="22" t="s">
        <v>23</v>
      </c>
      <c r="L333" s="22">
        <v>3</v>
      </c>
      <c r="M333" s="26">
        <v>109907</v>
      </c>
      <c r="N333" s="26">
        <f>G333*4</f>
        <v>62803.76</v>
      </c>
      <c r="O333" s="27">
        <f t="shared" si="25"/>
        <v>172710.76</v>
      </c>
      <c r="P333" s="27">
        <f t="shared" si="26"/>
        <v>11.000026749990765</v>
      </c>
      <c r="Q333" s="25">
        <v>6868</v>
      </c>
      <c r="R333" s="22">
        <v>100</v>
      </c>
      <c r="S333" s="22" t="s">
        <v>545</v>
      </c>
      <c r="T333" s="22">
        <f t="shared" si="27"/>
        <v>11</v>
      </c>
      <c r="U333" s="22">
        <f t="shared" si="28"/>
        <v>2020</v>
      </c>
      <c r="V333" s="22" t="str">
        <f t="shared" si="29"/>
        <v>METROPOLITANA</v>
      </c>
    </row>
    <row r="334" spans="1:22" x14ac:dyDescent="0.2">
      <c r="A334" s="23" t="s">
        <v>539</v>
      </c>
      <c r="B334" s="22" t="s">
        <v>18</v>
      </c>
      <c r="C334" s="22" t="s">
        <v>163</v>
      </c>
      <c r="D334" s="22" t="s">
        <v>56</v>
      </c>
      <c r="E334" s="24" t="s">
        <v>88</v>
      </c>
      <c r="F334" s="22" t="s">
        <v>165</v>
      </c>
      <c r="G334" s="25">
        <v>1363.06</v>
      </c>
      <c r="H334" s="22" t="s">
        <v>22</v>
      </c>
      <c r="I334" s="22">
        <v>0</v>
      </c>
      <c r="J334" s="22" t="s">
        <v>165</v>
      </c>
      <c r="K334" s="22" t="s">
        <v>23</v>
      </c>
      <c r="L334" s="22">
        <v>3</v>
      </c>
      <c r="M334" s="26">
        <v>48075</v>
      </c>
      <c r="N334" s="26">
        <f>G334*4</f>
        <v>5452.24</v>
      </c>
      <c r="O334" s="27">
        <f t="shared" si="25"/>
        <v>53527.24</v>
      </c>
      <c r="P334" s="27">
        <f t="shared" si="26"/>
        <v>39.269907414200404</v>
      </c>
      <c r="Q334" s="25">
        <v>6868</v>
      </c>
      <c r="R334" s="22">
        <v>20</v>
      </c>
      <c r="S334" s="22" t="s">
        <v>546</v>
      </c>
      <c r="T334" s="22">
        <f t="shared" si="27"/>
        <v>11</v>
      </c>
      <c r="U334" s="22">
        <f t="shared" si="28"/>
        <v>2020</v>
      </c>
      <c r="V334" s="22" t="str">
        <f t="shared" si="29"/>
        <v>METROPOLITANA</v>
      </c>
    </row>
    <row r="335" spans="1:22" x14ac:dyDescent="0.2">
      <c r="A335" s="23" t="s">
        <v>539</v>
      </c>
      <c r="B335" s="22" t="s">
        <v>18</v>
      </c>
      <c r="C335" s="22" t="s">
        <v>163</v>
      </c>
      <c r="D335" s="22" t="s">
        <v>37</v>
      </c>
      <c r="E335" s="24" t="s">
        <v>40</v>
      </c>
      <c r="F335" s="22" t="s">
        <v>165</v>
      </c>
      <c r="G335" s="25">
        <v>13114.4</v>
      </c>
      <c r="H335" s="22" t="s">
        <v>22</v>
      </c>
      <c r="I335" s="22">
        <v>0</v>
      </c>
      <c r="J335" s="22" t="s">
        <v>165</v>
      </c>
      <c r="K335" s="22" t="s">
        <v>23</v>
      </c>
      <c r="L335" s="22">
        <v>3</v>
      </c>
      <c r="M335" s="26">
        <v>91801</v>
      </c>
      <c r="N335" s="26">
        <f>G335*4</f>
        <v>52457.599999999999</v>
      </c>
      <c r="O335" s="27">
        <f t="shared" si="25"/>
        <v>144258.6</v>
      </c>
      <c r="P335" s="27">
        <f t="shared" si="26"/>
        <v>11.000015250411762</v>
      </c>
      <c r="Q335" s="25">
        <v>6868</v>
      </c>
      <c r="R335" s="22">
        <v>100</v>
      </c>
      <c r="S335" s="22" t="s">
        <v>547</v>
      </c>
      <c r="T335" s="22">
        <f t="shared" si="27"/>
        <v>11</v>
      </c>
      <c r="U335" s="22">
        <f t="shared" si="28"/>
        <v>2020</v>
      </c>
      <c r="V335" s="22" t="str">
        <f t="shared" si="29"/>
        <v>METROPOLITANA</v>
      </c>
    </row>
    <row r="336" spans="1:22" x14ac:dyDescent="0.2">
      <c r="A336" s="23" t="s">
        <v>539</v>
      </c>
      <c r="B336" s="22" t="s">
        <v>18</v>
      </c>
      <c r="C336" s="22" t="s">
        <v>128</v>
      </c>
      <c r="D336" s="22" t="s">
        <v>82</v>
      </c>
      <c r="E336" s="24" t="s">
        <v>83</v>
      </c>
      <c r="F336" s="22" t="s">
        <v>34</v>
      </c>
      <c r="G336" s="25">
        <v>8926.6999999999989</v>
      </c>
      <c r="H336" s="22" t="s">
        <v>85</v>
      </c>
      <c r="I336" s="22">
        <v>1</v>
      </c>
      <c r="J336" s="22" t="s">
        <v>34</v>
      </c>
      <c r="K336" s="22" t="s">
        <v>23</v>
      </c>
      <c r="L336" s="22">
        <v>1</v>
      </c>
      <c r="M336" s="26">
        <v>62487</v>
      </c>
      <c r="N336" s="26">
        <v>26780</v>
      </c>
      <c r="O336" s="27">
        <f t="shared" si="25"/>
        <v>89267</v>
      </c>
      <c r="P336" s="27">
        <f t="shared" si="26"/>
        <v>10.000000000000002</v>
      </c>
      <c r="Q336" s="25">
        <v>4821</v>
      </c>
      <c r="R336" s="22">
        <v>100</v>
      </c>
      <c r="S336" s="22" t="s">
        <v>548</v>
      </c>
      <c r="T336" s="22">
        <f t="shared" si="27"/>
        <v>11</v>
      </c>
      <c r="U336" s="22">
        <f t="shared" si="28"/>
        <v>2020</v>
      </c>
      <c r="V336" s="22" t="str">
        <f t="shared" si="29"/>
        <v>METROPOLITANA</v>
      </c>
    </row>
    <row r="337" spans="1:22" x14ac:dyDescent="0.2">
      <c r="A337" s="23" t="s">
        <v>539</v>
      </c>
      <c r="B337" s="22" t="s">
        <v>18</v>
      </c>
      <c r="C337" s="22" t="s">
        <v>29</v>
      </c>
      <c r="D337" s="22" t="s">
        <v>47</v>
      </c>
      <c r="E337" s="24" t="s">
        <v>49</v>
      </c>
      <c r="F337" s="22" t="s">
        <v>134</v>
      </c>
      <c r="G337" s="25">
        <v>3045</v>
      </c>
      <c r="H337" s="22" t="s">
        <v>22</v>
      </c>
      <c r="I337" s="22">
        <v>0</v>
      </c>
      <c r="J337" s="22" t="s">
        <v>134</v>
      </c>
      <c r="K337" s="22" t="s">
        <v>23</v>
      </c>
      <c r="L337" s="22">
        <v>2</v>
      </c>
      <c r="M337" s="26">
        <v>40475</v>
      </c>
      <c r="N337" s="26">
        <v>12180</v>
      </c>
      <c r="O337" s="27">
        <f t="shared" si="25"/>
        <v>52655</v>
      </c>
      <c r="P337" s="27">
        <f t="shared" si="26"/>
        <v>17.292282430213465</v>
      </c>
      <c r="Q337" s="25">
        <v>5782</v>
      </c>
      <c r="R337" s="22">
        <v>53</v>
      </c>
      <c r="S337" s="22" t="s">
        <v>549</v>
      </c>
      <c r="T337" s="22">
        <f t="shared" si="27"/>
        <v>11</v>
      </c>
      <c r="U337" s="22">
        <f t="shared" si="28"/>
        <v>2020</v>
      </c>
      <c r="V337" s="22" t="str">
        <f t="shared" si="29"/>
        <v>METROPOLITANA</v>
      </c>
    </row>
    <row r="338" spans="1:22" x14ac:dyDescent="0.2">
      <c r="A338" s="23" t="s">
        <v>539</v>
      </c>
      <c r="B338" s="22" t="s">
        <v>18</v>
      </c>
      <c r="C338" s="22" t="s">
        <v>44</v>
      </c>
      <c r="D338" s="22" t="s">
        <v>38</v>
      </c>
      <c r="E338" s="24" t="s">
        <v>42</v>
      </c>
      <c r="F338" s="22" t="s">
        <v>39</v>
      </c>
      <c r="G338" s="25">
        <v>5792.6499999999987</v>
      </c>
      <c r="H338" s="22" t="s">
        <v>43</v>
      </c>
      <c r="I338" s="22">
        <v>0</v>
      </c>
      <c r="J338" s="22" t="s">
        <v>39</v>
      </c>
      <c r="K338" s="22" t="s">
        <v>23</v>
      </c>
      <c r="L338" s="22">
        <v>1</v>
      </c>
      <c r="M338" s="26">
        <v>40549</v>
      </c>
      <c r="N338" s="26">
        <v>17378</v>
      </c>
      <c r="O338" s="27">
        <f t="shared" si="25"/>
        <v>57927</v>
      </c>
      <c r="P338" s="27">
        <f t="shared" si="26"/>
        <v>10.000086316280116</v>
      </c>
      <c r="Q338" s="25">
        <v>4821</v>
      </c>
      <c r="R338" s="22">
        <v>100</v>
      </c>
      <c r="S338" s="22" t="s">
        <v>550</v>
      </c>
      <c r="T338" s="22">
        <f t="shared" si="27"/>
        <v>11</v>
      </c>
      <c r="U338" s="22">
        <f t="shared" si="28"/>
        <v>2020</v>
      </c>
      <c r="V338" s="22" t="str">
        <f t="shared" si="29"/>
        <v>METROPOLITANA</v>
      </c>
    </row>
    <row r="339" spans="1:22" x14ac:dyDescent="0.2">
      <c r="A339" s="23" t="s">
        <v>539</v>
      </c>
      <c r="B339" s="22" t="s">
        <v>18</v>
      </c>
      <c r="C339" s="22" t="s">
        <v>44</v>
      </c>
      <c r="D339" s="22" t="s">
        <v>63</v>
      </c>
      <c r="E339" s="24" t="s">
        <v>64</v>
      </c>
      <c r="F339" s="22" t="s">
        <v>39</v>
      </c>
      <c r="G339" s="25">
        <v>2669.01</v>
      </c>
      <c r="H339" s="22" t="s">
        <v>65</v>
      </c>
      <c r="I339" s="22">
        <v>0</v>
      </c>
      <c r="J339" s="22" t="s">
        <v>39</v>
      </c>
      <c r="K339" s="22" t="s">
        <v>23</v>
      </c>
      <c r="L339" s="22">
        <v>1</v>
      </c>
      <c r="M339" s="26">
        <v>33750</v>
      </c>
      <c r="N339" s="26">
        <v>8007</v>
      </c>
      <c r="O339" s="27">
        <f t="shared" si="25"/>
        <v>41757</v>
      </c>
      <c r="P339" s="27">
        <f t="shared" si="26"/>
        <v>15.645126844785144</v>
      </c>
      <c r="Q339" s="25">
        <v>4821</v>
      </c>
      <c r="R339" s="22">
        <v>55</v>
      </c>
      <c r="S339" s="22" t="s">
        <v>551</v>
      </c>
      <c r="T339" s="22">
        <f t="shared" si="27"/>
        <v>11</v>
      </c>
      <c r="U339" s="22">
        <f t="shared" si="28"/>
        <v>2020</v>
      </c>
      <c r="V339" s="22" t="str">
        <f t="shared" si="29"/>
        <v>METROPOLITANA</v>
      </c>
    </row>
    <row r="340" spans="1:22" x14ac:dyDescent="0.2">
      <c r="A340" s="23" t="s">
        <v>539</v>
      </c>
      <c r="B340" s="22" t="s">
        <v>18</v>
      </c>
      <c r="C340" s="22" t="s">
        <v>44</v>
      </c>
      <c r="D340" s="22" t="s">
        <v>20</v>
      </c>
      <c r="E340" s="24" t="s">
        <v>21</v>
      </c>
      <c r="F340" s="22" t="s">
        <v>39</v>
      </c>
      <c r="G340" s="25">
        <v>4566.18</v>
      </c>
      <c r="H340" s="22" t="s">
        <v>22</v>
      </c>
      <c r="I340" s="22">
        <v>0</v>
      </c>
      <c r="J340" s="22" t="s">
        <v>39</v>
      </c>
      <c r="K340" s="22" t="s">
        <v>23</v>
      </c>
      <c r="L340" s="22">
        <v>1</v>
      </c>
      <c r="M340" s="26">
        <v>33750</v>
      </c>
      <c r="N340" s="26">
        <v>18265</v>
      </c>
      <c r="O340" s="27">
        <f t="shared" si="25"/>
        <v>52015</v>
      </c>
      <c r="P340" s="27">
        <f t="shared" si="26"/>
        <v>11.391359955148504</v>
      </c>
      <c r="Q340" s="25">
        <v>4821</v>
      </c>
      <c r="R340" s="22">
        <v>95</v>
      </c>
      <c r="S340" s="22" t="s">
        <v>552</v>
      </c>
      <c r="T340" s="22">
        <f t="shared" si="27"/>
        <v>11</v>
      </c>
      <c r="U340" s="22">
        <f t="shared" si="28"/>
        <v>2020</v>
      </c>
      <c r="V340" s="22" t="str">
        <f t="shared" si="29"/>
        <v>METROPOLITANA</v>
      </c>
    </row>
    <row r="341" spans="1:22" x14ac:dyDescent="0.2">
      <c r="A341" s="23" t="s">
        <v>539</v>
      </c>
      <c r="B341" s="22" t="s">
        <v>33</v>
      </c>
      <c r="C341" s="22" t="s">
        <v>29</v>
      </c>
      <c r="D341" s="22" t="s">
        <v>30</v>
      </c>
      <c r="E341" s="24" t="s">
        <v>31</v>
      </c>
      <c r="F341" s="22" t="s">
        <v>39</v>
      </c>
      <c r="G341" s="25">
        <v>4276.7999999999993</v>
      </c>
      <c r="H341" s="22" t="s">
        <v>32</v>
      </c>
      <c r="I341" s="22">
        <v>0</v>
      </c>
      <c r="J341" s="22" t="s">
        <v>39</v>
      </c>
      <c r="K341" s="22" t="s">
        <v>23</v>
      </c>
      <c r="L341" s="22">
        <v>1</v>
      </c>
      <c r="M341" s="26">
        <v>33750</v>
      </c>
      <c r="N341" s="26">
        <v>8554</v>
      </c>
      <c r="O341" s="27">
        <f t="shared" si="25"/>
        <v>42304</v>
      </c>
      <c r="P341" s="27">
        <f t="shared" si="26"/>
        <v>9.8915076692854491</v>
      </c>
      <c r="Q341" s="25">
        <v>4821</v>
      </c>
      <c r="R341" s="22">
        <v>59</v>
      </c>
      <c r="S341" s="22" t="s">
        <v>553</v>
      </c>
      <c r="T341" s="22">
        <f t="shared" si="27"/>
        <v>11</v>
      </c>
      <c r="U341" s="22">
        <f t="shared" si="28"/>
        <v>2020</v>
      </c>
      <c r="V341" s="22" t="str">
        <f t="shared" si="29"/>
        <v>METROPOLITANA</v>
      </c>
    </row>
    <row r="342" spans="1:22" x14ac:dyDescent="0.2">
      <c r="A342" s="23" t="s">
        <v>539</v>
      </c>
      <c r="B342" s="22" t="s">
        <v>33</v>
      </c>
      <c r="C342" s="22" t="s">
        <v>44</v>
      </c>
      <c r="D342" s="22" t="s">
        <v>56</v>
      </c>
      <c r="E342" s="24" t="s">
        <v>21</v>
      </c>
      <c r="F342" s="22" t="s">
        <v>554</v>
      </c>
      <c r="G342" s="25">
        <v>3560.4</v>
      </c>
      <c r="H342" s="22" t="s">
        <v>22</v>
      </c>
      <c r="I342" s="22">
        <v>0</v>
      </c>
      <c r="J342" s="22" t="s">
        <v>554</v>
      </c>
      <c r="K342" s="22" t="s">
        <v>23</v>
      </c>
      <c r="L342" s="22">
        <v>4</v>
      </c>
      <c r="M342" s="26">
        <v>56075</v>
      </c>
      <c r="N342" s="26">
        <v>14242</v>
      </c>
      <c r="O342" s="27">
        <f t="shared" si="25"/>
        <v>70317</v>
      </c>
      <c r="P342" s="27">
        <f t="shared" si="26"/>
        <v>19.74974721941355</v>
      </c>
      <c r="Q342" s="25">
        <v>8011</v>
      </c>
      <c r="R342" s="22">
        <v>44</v>
      </c>
      <c r="S342" s="22" t="s">
        <v>555</v>
      </c>
      <c r="T342" s="22">
        <f t="shared" si="27"/>
        <v>11</v>
      </c>
      <c r="U342" s="22">
        <f t="shared" si="28"/>
        <v>2020</v>
      </c>
      <c r="V342" s="22" t="str">
        <f t="shared" si="29"/>
        <v>METROPOLITANA</v>
      </c>
    </row>
    <row r="343" spans="1:22" x14ac:dyDescent="0.2">
      <c r="A343" s="23" t="s">
        <v>539</v>
      </c>
      <c r="B343" s="22" t="s">
        <v>33</v>
      </c>
      <c r="C343" s="22" t="s">
        <v>44</v>
      </c>
      <c r="D343" s="22" t="s">
        <v>37</v>
      </c>
      <c r="E343" s="24" t="s">
        <v>40</v>
      </c>
      <c r="F343" s="22" t="s">
        <v>48</v>
      </c>
      <c r="G343" s="25">
        <v>2174.8000000000002</v>
      </c>
      <c r="H343" s="22" t="s">
        <v>22</v>
      </c>
      <c r="I343" s="22">
        <v>0</v>
      </c>
      <c r="J343" s="22" t="s">
        <v>48</v>
      </c>
      <c r="K343" s="22" t="s">
        <v>23</v>
      </c>
      <c r="L343" s="22">
        <v>1</v>
      </c>
      <c r="M343" s="26">
        <v>33750</v>
      </c>
      <c r="N343" s="26">
        <v>8699</v>
      </c>
      <c r="O343" s="27">
        <f t="shared" si="25"/>
        <v>42449</v>
      </c>
      <c r="P343" s="27">
        <f t="shared" si="26"/>
        <v>19.518576420820303</v>
      </c>
      <c r="Q343" s="25">
        <v>4821</v>
      </c>
      <c r="R343" s="22">
        <v>45</v>
      </c>
      <c r="S343" s="22" t="s">
        <v>556</v>
      </c>
      <c r="T343" s="22">
        <f t="shared" si="27"/>
        <v>11</v>
      </c>
      <c r="U343" s="22">
        <f t="shared" si="28"/>
        <v>2020</v>
      </c>
      <c r="V343" s="22" t="str">
        <f t="shared" si="29"/>
        <v>METROPOLITANA</v>
      </c>
    </row>
    <row r="344" spans="1:22" x14ac:dyDescent="0.2">
      <c r="A344" s="23" t="s">
        <v>539</v>
      </c>
      <c r="B344" s="22" t="s">
        <v>33</v>
      </c>
      <c r="C344" s="22" t="s">
        <v>44</v>
      </c>
      <c r="D344" s="22" t="s">
        <v>45</v>
      </c>
      <c r="E344" s="24" t="s">
        <v>88</v>
      </c>
      <c r="F344" s="22" t="s">
        <v>51</v>
      </c>
      <c r="G344" s="25">
        <v>1425.6</v>
      </c>
      <c r="H344" s="22" t="s">
        <v>22</v>
      </c>
      <c r="I344" s="22">
        <v>0</v>
      </c>
      <c r="J344" s="22" t="s">
        <v>51</v>
      </c>
      <c r="K344" s="22" t="s">
        <v>23</v>
      </c>
      <c r="L344" s="22">
        <v>4</v>
      </c>
      <c r="M344" s="26">
        <v>56075</v>
      </c>
      <c r="N344" s="26">
        <v>5702</v>
      </c>
      <c r="O344" s="27">
        <f t="shared" si="25"/>
        <v>61777</v>
      </c>
      <c r="P344" s="27">
        <f t="shared" si="26"/>
        <v>43.334034792368129</v>
      </c>
      <c r="Q344" s="25">
        <v>8011</v>
      </c>
      <c r="R344" s="22">
        <v>18</v>
      </c>
      <c r="S344" s="22" t="s">
        <v>557</v>
      </c>
      <c r="T344" s="22">
        <f t="shared" si="27"/>
        <v>11</v>
      </c>
      <c r="U344" s="22">
        <f t="shared" si="28"/>
        <v>2020</v>
      </c>
      <c r="V344" s="22" t="str">
        <f t="shared" si="29"/>
        <v>METROPOLITANA</v>
      </c>
    </row>
    <row r="345" spans="1:22" x14ac:dyDescent="0.2">
      <c r="A345" s="23" t="s">
        <v>539</v>
      </c>
      <c r="B345" s="22" t="s">
        <v>33</v>
      </c>
      <c r="C345" s="22" t="s">
        <v>44</v>
      </c>
      <c r="D345" s="22" t="s">
        <v>47</v>
      </c>
      <c r="E345" s="24" t="s">
        <v>49</v>
      </c>
      <c r="F345" s="22" t="s">
        <v>26</v>
      </c>
      <c r="G345" s="25">
        <v>911.6</v>
      </c>
      <c r="H345" s="22" t="s">
        <v>22</v>
      </c>
      <c r="I345" s="22">
        <v>0</v>
      </c>
      <c r="J345" s="22" t="s">
        <v>26</v>
      </c>
      <c r="K345" s="22" t="s">
        <v>23</v>
      </c>
      <c r="L345" s="22">
        <v>3</v>
      </c>
      <c r="M345" s="26">
        <v>48075</v>
      </c>
      <c r="N345" s="26">
        <v>3646</v>
      </c>
      <c r="O345" s="27">
        <f t="shared" si="25"/>
        <v>51721</v>
      </c>
      <c r="P345" s="27">
        <f t="shared" si="26"/>
        <v>56.736507240017552</v>
      </c>
      <c r="Q345" s="25">
        <v>6868</v>
      </c>
      <c r="R345" s="22">
        <v>13</v>
      </c>
      <c r="S345" s="22" t="s">
        <v>558</v>
      </c>
      <c r="T345" s="22">
        <f t="shared" si="27"/>
        <v>11</v>
      </c>
      <c r="U345" s="22">
        <f t="shared" si="28"/>
        <v>2020</v>
      </c>
      <c r="V345" s="22" t="str">
        <f t="shared" si="29"/>
        <v>METROPOLITANA</v>
      </c>
    </row>
    <row r="346" spans="1:22" x14ac:dyDescent="0.2">
      <c r="A346" s="23" t="s">
        <v>539</v>
      </c>
      <c r="B346" s="22" t="s">
        <v>33</v>
      </c>
      <c r="C346" s="22" t="s">
        <v>44</v>
      </c>
      <c r="D346" s="22" t="s">
        <v>35</v>
      </c>
      <c r="E346" s="24" t="s">
        <v>52</v>
      </c>
      <c r="F346" s="22" t="s">
        <v>46</v>
      </c>
      <c r="G346" s="25">
        <v>1015.2</v>
      </c>
      <c r="H346" s="22" t="s">
        <v>22</v>
      </c>
      <c r="I346" s="22">
        <v>0</v>
      </c>
      <c r="J346" s="22" t="s">
        <v>46</v>
      </c>
      <c r="K346" s="22" t="s">
        <v>23</v>
      </c>
      <c r="L346" s="22">
        <v>2</v>
      </c>
      <c r="M346" s="26">
        <v>40475</v>
      </c>
      <c r="N346" s="26">
        <v>4061</v>
      </c>
      <c r="O346" s="27">
        <f t="shared" si="25"/>
        <v>44536</v>
      </c>
      <c r="P346" s="27">
        <f t="shared" si="26"/>
        <v>43.869188337273442</v>
      </c>
      <c r="Q346" s="25">
        <v>5782</v>
      </c>
      <c r="R346" s="22">
        <v>18</v>
      </c>
      <c r="S346" s="22" t="s">
        <v>559</v>
      </c>
      <c r="T346" s="22">
        <f t="shared" si="27"/>
        <v>11</v>
      </c>
      <c r="U346" s="22">
        <f t="shared" si="28"/>
        <v>2020</v>
      </c>
      <c r="V346" s="22" t="str">
        <f t="shared" si="29"/>
        <v>METROPOLITANA</v>
      </c>
    </row>
    <row r="347" spans="1:22" x14ac:dyDescent="0.2">
      <c r="A347" s="11" t="s">
        <v>560</v>
      </c>
      <c r="B347" s="12" t="s">
        <v>18</v>
      </c>
      <c r="C347" s="12" t="s">
        <v>540</v>
      </c>
      <c r="D347" s="12" t="s">
        <v>20</v>
      </c>
      <c r="E347" s="13" t="s">
        <v>21</v>
      </c>
      <c r="F347" s="12" t="s">
        <v>26</v>
      </c>
      <c r="G347" s="14">
        <v>2000</v>
      </c>
      <c r="H347" s="12" t="s">
        <v>22</v>
      </c>
      <c r="I347" s="12">
        <v>0</v>
      </c>
      <c r="J347" s="12" t="s">
        <v>26</v>
      </c>
      <c r="K347" s="12" t="s">
        <v>23</v>
      </c>
      <c r="L347" s="12">
        <v>3</v>
      </c>
      <c r="M347" s="15">
        <v>48075</v>
      </c>
      <c r="N347" s="15">
        <f>G347*4</f>
        <v>8000</v>
      </c>
      <c r="O347" s="15">
        <f t="shared" si="25"/>
        <v>56075</v>
      </c>
      <c r="P347" s="15">
        <f t="shared" si="26"/>
        <v>28.037500000000001</v>
      </c>
      <c r="Q347" s="14">
        <v>6868</v>
      </c>
      <c r="R347" s="12">
        <v>29</v>
      </c>
      <c r="S347" s="12" t="s">
        <v>561</v>
      </c>
      <c r="T347" s="22">
        <f t="shared" si="27"/>
        <v>11</v>
      </c>
      <c r="U347" s="22">
        <f t="shared" si="28"/>
        <v>2020</v>
      </c>
      <c r="V347" s="22" t="str">
        <f t="shared" si="29"/>
        <v>METROPOLITANA</v>
      </c>
    </row>
    <row r="348" spans="1:22" x14ac:dyDescent="0.2">
      <c r="A348" s="11" t="s">
        <v>560</v>
      </c>
      <c r="B348" s="12" t="s">
        <v>18</v>
      </c>
      <c r="C348" s="12" t="s">
        <v>57</v>
      </c>
      <c r="D348" s="12" t="s">
        <v>30</v>
      </c>
      <c r="E348" s="13" t="s">
        <v>31</v>
      </c>
      <c r="F348" s="12" t="s">
        <v>251</v>
      </c>
      <c r="G348" s="14">
        <v>7066.1100000000006</v>
      </c>
      <c r="H348" s="12" t="s">
        <v>32</v>
      </c>
      <c r="I348" s="12">
        <v>0</v>
      </c>
      <c r="J348" s="12" t="s">
        <v>251</v>
      </c>
      <c r="K348" s="12" t="s">
        <v>78</v>
      </c>
      <c r="L348" s="12">
        <v>0</v>
      </c>
      <c r="M348" s="15">
        <v>180000</v>
      </c>
      <c r="N348" s="15">
        <v>0</v>
      </c>
      <c r="O348" s="15">
        <f t="shared" si="25"/>
        <v>180000</v>
      </c>
      <c r="P348" s="15">
        <f t="shared" si="26"/>
        <v>25.473704768252968</v>
      </c>
      <c r="Q348" s="14">
        <v>25000</v>
      </c>
      <c r="R348" s="12">
        <v>28</v>
      </c>
      <c r="S348" s="12" t="s">
        <v>562</v>
      </c>
      <c r="T348" s="22">
        <f t="shared" si="27"/>
        <v>11</v>
      </c>
      <c r="U348" s="22">
        <f t="shared" si="28"/>
        <v>2020</v>
      </c>
      <c r="V348" s="22" t="str">
        <f t="shared" si="29"/>
        <v>REGIONES</v>
      </c>
    </row>
    <row r="349" spans="1:22" x14ac:dyDescent="0.2">
      <c r="A349" s="11" t="s">
        <v>560</v>
      </c>
      <c r="B349" s="12" t="s">
        <v>18</v>
      </c>
      <c r="C349" s="12" t="s">
        <v>160</v>
      </c>
      <c r="D349" s="12" t="s">
        <v>27</v>
      </c>
      <c r="E349" s="13" t="s">
        <v>563</v>
      </c>
      <c r="F349" s="12" t="s">
        <v>161</v>
      </c>
      <c r="G349" s="14">
        <v>12657.31</v>
      </c>
      <c r="H349" s="12" t="s">
        <v>22</v>
      </c>
      <c r="I349" s="12">
        <v>1</v>
      </c>
      <c r="J349" s="12" t="s">
        <v>161</v>
      </c>
      <c r="K349" s="12" t="s">
        <v>23</v>
      </c>
      <c r="L349" s="12">
        <v>5</v>
      </c>
      <c r="M349" s="15">
        <v>120000</v>
      </c>
      <c r="N349" s="15"/>
      <c r="O349" s="15">
        <f t="shared" si="25"/>
        <v>120000</v>
      </c>
      <c r="P349" s="15">
        <f t="shared" si="26"/>
        <v>9.4806874446466125</v>
      </c>
      <c r="Q349" s="14">
        <v>12000</v>
      </c>
      <c r="R349" s="12">
        <v>100</v>
      </c>
      <c r="S349" s="12" t="s">
        <v>564</v>
      </c>
      <c r="T349" s="22">
        <f t="shared" si="27"/>
        <v>11</v>
      </c>
      <c r="U349" s="22">
        <f t="shared" si="28"/>
        <v>2020</v>
      </c>
      <c r="V349" s="22" t="str">
        <f t="shared" si="29"/>
        <v>METROPOLITANA</v>
      </c>
    </row>
    <row r="350" spans="1:22" x14ac:dyDescent="0.2">
      <c r="A350" s="11" t="s">
        <v>560</v>
      </c>
      <c r="B350" s="12" t="s">
        <v>18</v>
      </c>
      <c r="C350" s="12" t="s">
        <v>163</v>
      </c>
      <c r="D350" s="12" t="s">
        <v>38</v>
      </c>
      <c r="E350" s="13" t="s">
        <v>42</v>
      </c>
      <c r="F350" s="12" t="s">
        <v>165</v>
      </c>
      <c r="G350" s="14">
        <v>9586.64</v>
      </c>
      <c r="H350" s="12" t="s">
        <v>43</v>
      </c>
      <c r="I350" s="12">
        <v>0</v>
      </c>
      <c r="J350" s="12" t="s">
        <v>165</v>
      </c>
      <c r="K350" s="12" t="s">
        <v>23</v>
      </c>
      <c r="L350" s="12">
        <v>3</v>
      </c>
      <c r="M350" s="15">
        <v>67106</v>
      </c>
      <c r="N350" s="15">
        <f>G350*3</f>
        <v>28759.919999999998</v>
      </c>
      <c r="O350" s="15">
        <f t="shared" si="25"/>
        <v>95865.919999999998</v>
      </c>
      <c r="P350" s="15">
        <f t="shared" si="26"/>
        <v>9.9999499303196959</v>
      </c>
      <c r="Q350" s="14">
        <v>6868</v>
      </c>
      <c r="R350" s="12">
        <v>100</v>
      </c>
      <c r="S350" s="12" t="s">
        <v>565</v>
      </c>
      <c r="T350" s="22">
        <f t="shared" si="27"/>
        <v>11</v>
      </c>
      <c r="U350" s="22">
        <f t="shared" si="28"/>
        <v>2020</v>
      </c>
      <c r="V350" s="22" t="str">
        <f t="shared" si="29"/>
        <v>METROPOLITANA</v>
      </c>
    </row>
    <row r="351" spans="1:22" x14ac:dyDescent="0.2">
      <c r="A351" s="11" t="s">
        <v>560</v>
      </c>
      <c r="B351" s="12" t="s">
        <v>18</v>
      </c>
      <c r="C351" s="12" t="s">
        <v>44</v>
      </c>
      <c r="D351" s="12" t="s">
        <v>41</v>
      </c>
      <c r="E351" s="13" t="s">
        <v>25</v>
      </c>
      <c r="F351" s="12" t="s">
        <v>39</v>
      </c>
      <c r="G351" s="14">
        <v>11283.4</v>
      </c>
      <c r="H351" s="12" t="s">
        <v>43</v>
      </c>
      <c r="I351" s="12">
        <v>0</v>
      </c>
      <c r="J351" s="12" t="s">
        <v>39</v>
      </c>
      <c r="K351" s="12" t="s">
        <v>23</v>
      </c>
      <c r="L351" s="12">
        <v>1</v>
      </c>
      <c r="M351" s="15">
        <v>78984</v>
      </c>
      <c r="N351" s="15">
        <v>33850</v>
      </c>
      <c r="O351" s="15">
        <f t="shared" si="25"/>
        <v>112834</v>
      </c>
      <c r="P351" s="15">
        <f t="shared" si="26"/>
        <v>10</v>
      </c>
      <c r="Q351" s="14">
        <v>4821</v>
      </c>
      <c r="R351" s="12">
        <v>100</v>
      </c>
      <c r="S351" s="12" t="s">
        <v>566</v>
      </c>
      <c r="T351" s="22">
        <f t="shared" si="27"/>
        <v>11</v>
      </c>
      <c r="U351" s="22">
        <f t="shared" si="28"/>
        <v>2020</v>
      </c>
      <c r="V351" s="22" t="str">
        <f t="shared" si="29"/>
        <v>METROPOLITANA</v>
      </c>
    </row>
    <row r="352" spans="1:22" x14ac:dyDescent="0.2">
      <c r="A352" s="11" t="s">
        <v>560</v>
      </c>
      <c r="B352" s="12" t="s">
        <v>33</v>
      </c>
      <c r="C352" s="12" t="s">
        <v>29</v>
      </c>
      <c r="D352" s="12" t="s">
        <v>191</v>
      </c>
      <c r="E352" s="13" t="s">
        <v>192</v>
      </c>
      <c r="F352" s="12" t="s">
        <v>132</v>
      </c>
      <c r="G352" s="14">
        <v>9462</v>
      </c>
      <c r="H352" s="12" t="s">
        <v>85</v>
      </c>
      <c r="I352" s="12">
        <v>1</v>
      </c>
      <c r="J352" s="12" t="s">
        <v>132</v>
      </c>
      <c r="K352" s="12" t="s">
        <v>124</v>
      </c>
      <c r="L352" s="12">
        <v>0</v>
      </c>
      <c r="M352" s="15">
        <v>350000</v>
      </c>
      <c r="N352" s="15">
        <v>0</v>
      </c>
      <c r="O352" s="15">
        <f t="shared" si="25"/>
        <v>350000</v>
      </c>
      <c r="P352" s="15">
        <f t="shared" si="26"/>
        <v>36.990065525258927</v>
      </c>
      <c r="Q352" s="14">
        <v>25000</v>
      </c>
      <c r="R352" s="12">
        <v>38</v>
      </c>
      <c r="S352" s="12" t="s">
        <v>567</v>
      </c>
      <c r="T352" s="22">
        <f t="shared" si="27"/>
        <v>11</v>
      </c>
      <c r="U352" s="22">
        <f t="shared" si="28"/>
        <v>2020</v>
      </c>
      <c r="V352" s="22" t="str">
        <f t="shared" si="29"/>
        <v>REGIONES</v>
      </c>
    </row>
    <row r="353" spans="1:22" x14ac:dyDescent="0.2">
      <c r="A353" s="11" t="s">
        <v>560</v>
      </c>
      <c r="B353" s="12" t="s">
        <v>33</v>
      </c>
      <c r="C353" s="12" t="s">
        <v>29</v>
      </c>
      <c r="D353" s="12" t="s">
        <v>37</v>
      </c>
      <c r="E353" s="13" t="s">
        <v>40</v>
      </c>
      <c r="F353" s="12" t="s">
        <v>134</v>
      </c>
      <c r="G353" s="14">
        <v>8178.800000000002</v>
      </c>
      <c r="H353" s="12" t="s">
        <v>22</v>
      </c>
      <c r="I353" s="12">
        <v>0</v>
      </c>
      <c r="J353" s="12" t="s">
        <v>134</v>
      </c>
      <c r="K353" s="12" t="s">
        <v>23</v>
      </c>
      <c r="L353" s="12">
        <v>2</v>
      </c>
      <c r="M353" s="15">
        <v>57252</v>
      </c>
      <c r="N353" s="15">
        <v>32715</v>
      </c>
      <c r="O353" s="15">
        <f t="shared" si="25"/>
        <v>89967</v>
      </c>
      <c r="P353" s="15">
        <f t="shared" si="26"/>
        <v>11.000024453465054</v>
      </c>
      <c r="Q353" s="14">
        <v>5782</v>
      </c>
      <c r="R353" s="12">
        <v>100</v>
      </c>
      <c r="S353" s="12" t="s">
        <v>568</v>
      </c>
      <c r="T353" s="22">
        <f t="shared" si="27"/>
        <v>11</v>
      </c>
      <c r="U353" s="22">
        <f t="shared" si="28"/>
        <v>2020</v>
      </c>
      <c r="V353" s="22" t="str">
        <f t="shared" si="29"/>
        <v>METROPOLITANA</v>
      </c>
    </row>
    <row r="354" spans="1:22" x14ac:dyDescent="0.2">
      <c r="A354" s="11" t="s">
        <v>560</v>
      </c>
      <c r="B354" s="12" t="s">
        <v>33</v>
      </c>
      <c r="C354" s="12" t="s">
        <v>29</v>
      </c>
      <c r="D354" s="12" t="s">
        <v>118</v>
      </c>
      <c r="E354" s="13" t="s">
        <v>119</v>
      </c>
      <c r="F354" s="12" t="s">
        <v>170</v>
      </c>
      <c r="G354" s="14">
        <v>11255.999999999991</v>
      </c>
      <c r="H354" s="12" t="s">
        <v>85</v>
      </c>
      <c r="I354" s="12">
        <v>1</v>
      </c>
      <c r="J354" s="12" t="s">
        <v>170</v>
      </c>
      <c r="K354" s="12" t="s">
        <v>171</v>
      </c>
      <c r="L354" s="12">
        <v>0</v>
      </c>
      <c r="M354" s="15">
        <v>230000</v>
      </c>
      <c r="N354" s="15">
        <v>0</v>
      </c>
      <c r="O354" s="15">
        <f t="shared" si="25"/>
        <v>230000</v>
      </c>
      <c r="P354" s="15">
        <f t="shared" si="26"/>
        <v>20.433546552949554</v>
      </c>
      <c r="Q354" s="14">
        <v>25000</v>
      </c>
      <c r="R354" s="12">
        <v>45</v>
      </c>
      <c r="S354" s="12" t="s">
        <v>569</v>
      </c>
      <c r="T354" s="22">
        <f t="shared" si="27"/>
        <v>11</v>
      </c>
      <c r="U354" s="22">
        <f t="shared" si="28"/>
        <v>2020</v>
      </c>
      <c r="V354" s="22" t="str">
        <f t="shared" si="29"/>
        <v>REGIONES</v>
      </c>
    </row>
    <row r="355" spans="1:22" x14ac:dyDescent="0.2">
      <c r="A355" s="11" t="s">
        <v>560</v>
      </c>
      <c r="B355" s="12" t="s">
        <v>33</v>
      </c>
      <c r="C355" s="12" t="s">
        <v>29</v>
      </c>
      <c r="D355" s="12" t="s">
        <v>118</v>
      </c>
      <c r="E355" s="13" t="s">
        <v>119</v>
      </c>
      <c r="F355" s="12" t="s">
        <v>39</v>
      </c>
      <c r="G355" s="14">
        <v>4231.5999999999995</v>
      </c>
      <c r="H355" s="12" t="s">
        <v>85</v>
      </c>
      <c r="I355" s="12">
        <v>1</v>
      </c>
      <c r="J355" s="12" t="s">
        <v>39</v>
      </c>
      <c r="K355" s="12" t="s">
        <v>23</v>
      </c>
      <c r="L355" s="12">
        <v>1</v>
      </c>
      <c r="M355" s="15">
        <v>33750</v>
      </c>
      <c r="N355" s="15">
        <v>12695</v>
      </c>
      <c r="O355" s="15">
        <f t="shared" si="25"/>
        <v>46445</v>
      </c>
      <c r="P355" s="15">
        <f t="shared" si="26"/>
        <v>10.975753851970888</v>
      </c>
      <c r="Q355" s="14">
        <v>4821</v>
      </c>
      <c r="R355" s="12">
        <v>88</v>
      </c>
      <c r="S355" s="12" t="s">
        <v>570</v>
      </c>
      <c r="T355" s="22">
        <f t="shared" si="27"/>
        <v>11</v>
      </c>
      <c r="U355" s="22">
        <f t="shared" si="28"/>
        <v>2020</v>
      </c>
      <c r="V355" s="22" t="str">
        <f t="shared" si="29"/>
        <v>METROPOLITANA</v>
      </c>
    </row>
    <row r="356" spans="1:22" x14ac:dyDescent="0.2">
      <c r="A356" s="11" t="s">
        <v>560</v>
      </c>
      <c r="B356" s="12" t="s">
        <v>33</v>
      </c>
      <c r="C356" s="12" t="s">
        <v>29</v>
      </c>
      <c r="D356" s="12" t="s">
        <v>63</v>
      </c>
      <c r="E356" s="13" t="s">
        <v>64</v>
      </c>
      <c r="F356" s="12" t="s">
        <v>134</v>
      </c>
      <c r="G356" s="14">
        <v>16498.400000000009</v>
      </c>
      <c r="H356" s="12" t="s">
        <v>65</v>
      </c>
      <c r="I356" s="12">
        <v>0</v>
      </c>
      <c r="J356" s="12" t="s">
        <v>134</v>
      </c>
      <c r="K356" s="12" t="s">
        <v>23</v>
      </c>
      <c r="L356" s="12">
        <v>2</v>
      </c>
      <c r="M356" s="15">
        <v>115489</v>
      </c>
      <c r="N356" s="15">
        <v>49495</v>
      </c>
      <c r="O356" s="15">
        <f t="shared" si="25"/>
        <v>164984</v>
      </c>
      <c r="P356" s="15">
        <f t="shared" si="26"/>
        <v>9.9999999999999947</v>
      </c>
      <c r="Q356" s="14">
        <v>5782</v>
      </c>
      <c r="R356" s="12">
        <v>100</v>
      </c>
      <c r="S356" s="12" t="s">
        <v>571</v>
      </c>
      <c r="T356" s="22">
        <f t="shared" si="27"/>
        <v>11</v>
      </c>
      <c r="U356" s="22">
        <f t="shared" si="28"/>
        <v>2020</v>
      </c>
      <c r="V356" s="22" t="str">
        <f t="shared" si="29"/>
        <v>METROPOLITANA</v>
      </c>
    </row>
    <row r="357" spans="1:22" x14ac:dyDescent="0.2">
      <c r="A357" s="11" t="s">
        <v>560</v>
      </c>
      <c r="B357" s="12" t="s">
        <v>33</v>
      </c>
      <c r="C357" s="12" t="s">
        <v>29</v>
      </c>
      <c r="D357" s="12" t="s">
        <v>164</v>
      </c>
      <c r="E357" s="13" t="s">
        <v>544</v>
      </c>
      <c r="F357" s="12" t="s">
        <v>173</v>
      </c>
      <c r="G357" s="14">
        <v>14203.2</v>
      </c>
      <c r="H357" s="12" t="s">
        <v>22</v>
      </c>
      <c r="I357" s="12">
        <v>1</v>
      </c>
      <c r="J357" s="12" t="s">
        <v>173</v>
      </c>
      <c r="K357" s="12" t="s">
        <v>23</v>
      </c>
      <c r="L357" s="12">
        <v>5</v>
      </c>
      <c r="M357" s="15">
        <v>120000</v>
      </c>
      <c r="N357" s="15">
        <v>56813</v>
      </c>
      <c r="O357" s="15">
        <f t="shared" si="25"/>
        <v>176813</v>
      </c>
      <c r="P357" s="15">
        <f t="shared" si="26"/>
        <v>12.448814351695392</v>
      </c>
      <c r="Q357" s="14">
        <v>12000</v>
      </c>
      <c r="R357" s="12">
        <v>100</v>
      </c>
      <c r="S357" s="12" t="s">
        <v>572</v>
      </c>
      <c r="T357" s="22">
        <f t="shared" si="27"/>
        <v>11</v>
      </c>
      <c r="U357" s="22">
        <f t="shared" si="28"/>
        <v>2020</v>
      </c>
      <c r="V357" s="22" t="str">
        <f t="shared" si="29"/>
        <v>METROPOLITANA</v>
      </c>
    </row>
    <row r="358" spans="1:22" x14ac:dyDescent="0.2">
      <c r="A358" s="11" t="s">
        <v>560</v>
      </c>
      <c r="B358" s="12" t="s">
        <v>33</v>
      </c>
      <c r="C358" s="12" t="s">
        <v>44</v>
      </c>
      <c r="D358" s="12" t="s">
        <v>56</v>
      </c>
      <c r="E358" s="13" t="s">
        <v>21</v>
      </c>
      <c r="F358" s="12" t="s">
        <v>138</v>
      </c>
      <c r="G358" s="14">
        <v>4073.2000000000012</v>
      </c>
      <c r="H358" s="12" t="s">
        <v>22</v>
      </c>
      <c r="I358" s="12">
        <v>0</v>
      </c>
      <c r="J358" s="12" t="s">
        <v>138</v>
      </c>
      <c r="K358" s="12" t="s">
        <v>23</v>
      </c>
      <c r="L358" s="12">
        <v>3</v>
      </c>
      <c r="M358" s="15">
        <v>48075</v>
      </c>
      <c r="N358" s="15">
        <v>16293</v>
      </c>
      <c r="O358" s="15">
        <f t="shared" si="25"/>
        <v>64368</v>
      </c>
      <c r="P358" s="15">
        <f t="shared" si="26"/>
        <v>15.802808602572911</v>
      </c>
      <c r="Q358" s="14">
        <v>6868</v>
      </c>
      <c r="R358" s="12">
        <v>59</v>
      </c>
      <c r="S358" s="12" t="s">
        <v>573</v>
      </c>
      <c r="T358" s="22">
        <f t="shared" si="27"/>
        <v>11</v>
      </c>
      <c r="U358" s="22">
        <f t="shared" si="28"/>
        <v>2020</v>
      </c>
      <c r="V358" s="22" t="str">
        <f t="shared" si="29"/>
        <v>METROPOLITANA</v>
      </c>
    </row>
    <row r="359" spans="1:22" x14ac:dyDescent="0.2">
      <c r="A359" s="11" t="s">
        <v>560</v>
      </c>
      <c r="B359" s="12" t="s">
        <v>33</v>
      </c>
      <c r="C359" s="12" t="s">
        <v>44</v>
      </c>
      <c r="D359" s="12" t="s">
        <v>45</v>
      </c>
      <c r="E359" s="13" t="s">
        <v>52</v>
      </c>
      <c r="F359" s="12" t="s">
        <v>95</v>
      </c>
      <c r="G359" s="14">
        <v>2964</v>
      </c>
      <c r="H359" s="12" t="s">
        <v>22</v>
      </c>
      <c r="I359" s="12">
        <v>0</v>
      </c>
      <c r="J359" s="12" t="s">
        <v>95</v>
      </c>
      <c r="K359" s="12" t="s">
        <v>23</v>
      </c>
      <c r="L359" s="12">
        <v>1</v>
      </c>
      <c r="M359" s="15">
        <v>33750</v>
      </c>
      <c r="N359" s="15">
        <v>11856</v>
      </c>
      <c r="O359" s="15">
        <f t="shared" si="25"/>
        <v>45606</v>
      </c>
      <c r="P359" s="15">
        <f t="shared" si="26"/>
        <v>15.38663967611336</v>
      </c>
      <c r="Q359" s="14">
        <v>4821</v>
      </c>
      <c r="R359" s="12">
        <v>61</v>
      </c>
      <c r="S359" s="12" t="s">
        <v>574</v>
      </c>
      <c r="T359" s="22">
        <f t="shared" si="27"/>
        <v>11</v>
      </c>
      <c r="U359" s="22">
        <f t="shared" si="28"/>
        <v>2020</v>
      </c>
      <c r="V359" s="22" t="str">
        <f t="shared" si="29"/>
        <v>METROPOLITANA</v>
      </c>
    </row>
    <row r="360" spans="1:22" x14ac:dyDescent="0.2">
      <c r="A360" s="11" t="s">
        <v>560</v>
      </c>
      <c r="B360" s="12" t="s">
        <v>33</v>
      </c>
      <c r="C360" s="12" t="s">
        <v>44</v>
      </c>
      <c r="D360" s="12" t="s">
        <v>47</v>
      </c>
      <c r="E360" s="13" t="s">
        <v>88</v>
      </c>
      <c r="F360" s="12" t="s">
        <v>48</v>
      </c>
      <c r="G360" s="14">
        <v>5451.9999999999991</v>
      </c>
      <c r="H360" s="12" t="s">
        <v>22</v>
      </c>
      <c r="I360" s="12">
        <v>0</v>
      </c>
      <c r="J360" s="12" t="s">
        <v>48</v>
      </c>
      <c r="K360" s="12" t="s">
        <v>23</v>
      </c>
      <c r="L360" s="12">
        <v>1</v>
      </c>
      <c r="M360" s="15">
        <v>38164</v>
      </c>
      <c r="N360" s="15">
        <v>21808</v>
      </c>
      <c r="O360" s="15">
        <f t="shared" si="25"/>
        <v>59972</v>
      </c>
      <c r="P360" s="15">
        <f t="shared" si="26"/>
        <v>11.000000000000002</v>
      </c>
      <c r="Q360" s="14">
        <v>4821</v>
      </c>
      <c r="R360" s="12">
        <v>100</v>
      </c>
      <c r="S360" s="12" t="s">
        <v>575</v>
      </c>
      <c r="T360" s="22">
        <f t="shared" si="27"/>
        <v>11</v>
      </c>
      <c r="U360" s="22">
        <f t="shared" si="28"/>
        <v>2020</v>
      </c>
      <c r="V360" s="22" t="str">
        <f t="shared" si="29"/>
        <v>METROPOLITANA</v>
      </c>
    </row>
    <row r="361" spans="1:22" x14ac:dyDescent="0.2">
      <c r="A361" s="11" t="s">
        <v>560</v>
      </c>
      <c r="B361" s="12" t="s">
        <v>33</v>
      </c>
      <c r="C361" s="12" t="s">
        <v>44</v>
      </c>
      <c r="D361" s="12" t="s">
        <v>35</v>
      </c>
      <c r="E361" s="13" t="s">
        <v>49</v>
      </c>
      <c r="F361" s="12" t="s">
        <v>182</v>
      </c>
      <c r="G361" s="14">
        <v>3913.2</v>
      </c>
      <c r="H361" s="12" t="s">
        <v>22</v>
      </c>
      <c r="I361" s="12">
        <v>0</v>
      </c>
      <c r="J361" s="12" t="s">
        <v>182</v>
      </c>
      <c r="K361" s="12" t="s">
        <v>23</v>
      </c>
      <c r="L361" s="12">
        <v>4</v>
      </c>
      <c r="M361" s="15">
        <v>56075</v>
      </c>
      <c r="N361" s="15">
        <v>15653</v>
      </c>
      <c r="O361" s="15">
        <f t="shared" si="25"/>
        <v>71728</v>
      </c>
      <c r="P361" s="15">
        <f t="shared" si="26"/>
        <v>18.329755698660943</v>
      </c>
      <c r="Q361" s="14">
        <v>8011</v>
      </c>
      <c r="R361" s="12">
        <v>49</v>
      </c>
      <c r="S361" s="12" t="s">
        <v>576</v>
      </c>
      <c r="T361" s="22">
        <f t="shared" si="27"/>
        <v>11</v>
      </c>
      <c r="U361" s="22">
        <f t="shared" si="28"/>
        <v>2020</v>
      </c>
      <c r="V361" s="22" t="str">
        <f t="shared" si="29"/>
        <v>METROPOLITANA</v>
      </c>
    </row>
    <row r="362" spans="1:22" x14ac:dyDescent="0.2">
      <c r="A362" s="23" t="s">
        <v>577</v>
      </c>
      <c r="B362" s="22" t="s">
        <v>54</v>
      </c>
      <c r="C362" s="22" t="s">
        <v>55</v>
      </c>
      <c r="D362" s="22" t="s">
        <v>80</v>
      </c>
      <c r="E362" s="24" t="s">
        <v>81</v>
      </c>
      <c r="F362" s="22" t="s">
        <v>66</v>
      </c>
      <c r="G362" s="25">
        <v>19510.400000000001</v>
      </c>
      <c r="H362" s="22" t="s">
        <v>85</v>
      </c>
      <c r="I362" s="22">
        <v>1</v>
      </c>
      <c r="J362" s="22" t="s">
        <v>66</v>
      </c>
      <c r="K362" s="22" t="s">
        <v>75</v>
      </c>
      <c r="L362" s="22">
        <v>0</v>
      </c>
      <c r="M362" s="26">
        <v>380000</v>
      </c>
      <c r="N362" s="26">
        <v>0</v>
      </c>
      <c r="O362" s="27">
        <f t="shared" si="25"/>
        <v>380000</v>
      </c>
      <c r="P362" s="27">
        <f t="shared" si="26"/>
        <v>19.476791864851563</v>
      </c>
      <c r="Q362" s="25">
        <v>25000</v>
      </c>
      <c r="R362" s="22">
        <v>78</v>
      </c>
      <c r="S362" s="22" t="s">
        <v>578</v>
      </c>
      <c r="T362" s="22">
        <f t="shared" si="27"/>
        <v>11</v>
      </c>
      <c r="U362" s="22">
        <f t="shared" si="28"/>
        <v>2020</v>
      </c>
      <c r="V362" s="22" t="str">
        <f t="shared" si="29"/>
        <v>REGIONES</v>
      </c>
    </row>
    <row r="363" spans="1:22" x14ac:dyDescent="0.2">
      <c r="A363" s="23" t="s">
        <v>577</v>
      </c>
      <c r="B363" s="22" t="s">
        <v>18</v>
      </c>
      <c r="C363" s="22" t="s">
        <v>579</v>
      </c>
      <c r="D363" s="22" t="s">
        <v>30</v>
      </c>
      <c r="E363" s="24" t="s">
        <v>31</v>
      </c>
      <c r="F363" s="22" t="s">
        <v>161</v>
      </c>
      <c r="G363" s="25">
        <v>7041.4800000000014</v>
      </c>
      <c r="H363" s="22" t="s">
        <v>32</v>
      </c>
      <c r="I363" s="22">
        <v>0</v>
      </c>
      <c r="J363" s="22" t="s">
        <v>161</v>
      </c>
      <c r="K363" s="22" t="s">
        <v>23</v>
      </c>
      <c r="L363" s="22">
        <v>5</v>
      </c>
      <c r="M363" s="26">
        <v>70000</v>
      </c>
      <c r="N363" s="26">
        <f>G363*3</f>
        <v>21124.440000000002</v>
      </c>
      <c r="O363" s="27">
        <f t="shared" si="25"/>
        <v>91124.44</v>
      </c>
      <c r="P363" s="27">
        <f t="shared" si="26"/>
        <v>12.941091929537539</v>
      </c>
      <c r="Q363" s="25">
        <v>12000</v>
      </c>
      <c r="R363" s="22">
        <v>59</v>
      </c>
      <c r="S363" s="22" t="s">
        <v>580</v>
      </c>
      <c r="T363" s="22">
        <f t="shared" si="27"/>
        <v>11</v>
      </c>
      <c r="U363" s="22">
        <f t="shared" si="28"/>
        <v>2020</v>
      </c>
      <c r="V363" s="22" t="str">
        <f t="shared" si="29"/>
        <v>METROPOLITANA</v>
      </c>
    </row>
    <row r="364" spans="1:22" x14ac:dyDescent="0.2">
      <c r="A364" s="23" t="s">
        <v>577</v>
      </c>
      <c r="B364" s="22" t="s">
        <v>18</v>
      </c>
      <c r="C364" s="22" t="s">
        <v>57</v>
      </c>
      <c r="D364" s="22" t="s">
        <v>37</v>
      </c>
      <c r="E364" s="24" t="s">
        <v>40</v>
      </c>
      <c r="F364" s="22" t="s">
        <v>46</v>
      </c>
      <c r="G364" s="25">
        <v>8984.7500000000018</v>
      </c>
      <c r="H364" s="22" t="s">
        <v>22</v>
      </c>
      <c r="I364" s="22">
        <v>0</v>
      </c>
      <c r="J364" s="22" t="s">
        <v>46</v>
      </c>
      <c r="K364" s="22" t="s">
        <v>23</v>
      </c>
      <c r="L364" s="22">
        <v>2</v>
      </c>
      <c r="M364" s="26">
        <v>62893</v>
      </c>
      <c r="N364" s="26">
        <f>G364*4</f>
        <v>35939.000000000007</v>
      </c>
      <c r="O364" s="27">
        <f t="shared" si="25"/>
        <v>98832</v>
      </c>
      <c r="P364" s="27">
        <f t="shared" si="26"/>
        <v>10.999972175074429</v>
      </c>
      <c r="Q364" s="25">
        <v>5782</v>
      </c>
      <c r="R364" s="22">
        <v>100</v>
      </c>
      <c r="S364" s="22" t="s">
        <v>581</v>
      </c>
      <c r="T364" s="22">
        <f t="shared" si="27"/>
        <v>11</v>
      </c>
      <c r="U364" s="22">
        <f t="shared" si="28"/>
        <v>2020</v>
      </c>
      <c r="V364" s="22" t="str">
        <f t="shared" si="29"/>
        <v>METROPOLITANA</v>
      </c>
    </row>
    <row r="365" spans="1:22" x14ac:dyDescent="0.2">
      <c r="A365" s="23" t="s">
        <v>577</v>
      </c>
      <c r="B365" s="22" t="s">
        <v>18</v>
      </c>
      <c r="C365" s="22" t="s">
        <v>500</v>
      </c>
      <c r="D365" s="22" t="s">
        <v>63</v>
      </c>
      <c r="E365" s="24" t="s">
        <v>64</v>
      </c>
      <c r="F365" s="22" t="s">
        <v>120</v>
      </c>
      <c r="G365" s="25">
        <v>12058.84</v>
      </c>
      <c r="H365" s="22" t="s">
        <v>65</v>
      </c>
      <c r="I365" s="22">
        <v>0</v>
      </c>
      <c r="J365" s="22" t="s">
        <v>120</v>
      </c>
      <c r="K365" s="22" t="s">
        <v>23</v>
      </c>
      <c r="L365" s="22">
        <v>5</v>
      </c>
      <c r="M365" s="26">
        <v>70000</v>
      </c>
      <c r="N365" s="26">
        <f>G365*3</f>
        <v>36176.520000000004</v>
      </c>
      <c r="O365" s="27">
        <f t="shared" si="25"/>
        <v>106176.52</v>
      </c>
      <c r="P365" s="27">
        <f t="shared" si="26"/>
        <v>8.8048701201773962</v>
      </c>
      <c r="Q365" s="25">
        <v>12000</v>
      </c>
      <c r="R365" s="22">
        <v>100</v>
      </c>
      <c r="S365" s="22" t="s">
        <v>582</v>
      </c>
      <c r="T365" s="22">
        <f t="shared" si="27"/>
        <v>11</v>
      </c>
      <c r="U365" s="22">
        <f t="shared" si="28"/>
        <v>2020</v>
      </c>
      <c r="V365" s="22" t="str">
        <f t="shared" si="29"/>
        <v>METROPOLITANA</v>
      </c>
    </row>
    <row r="366" spans="1:22" x14ac:dyDescent="0.2">
      <c r="A366" s="23" t="s">
        <v>577</v>
      </c>
      <c r="B366" s="22" t="s">
        <v>18</v>
      </c>
      <c r="C366" s="22" t="s">
        <v>163</v>
      </c>
      <c r="D366" s="22" t="s">
        <v>47</v>
      </c>
      <c r="E366" s="24" t="s">
        <v>88</v>
      </c>
      <c r="F366" s="22" t="s">
        <v>165</v>
      </c>
      <c r="G366" s="25">
        <v>8907.36</v>
      </c>
      <c r="H366" s="22" t="s">
        <v>22</v>
      </c>
      <c r="I366" s="22">
        <v>0</v>
      </c>
      <c r="J366" s="22" t="s">
        <v>165</v>
      </c>
      <c r="K366" s="22" t="s">
        <v>23</v>
      </c>
      <c r="L366" s="22">
        <v>3</v>
      </c>
      <c r="M366" s="26">
        <v>62352</v>
      </c>
      <c r="N366" s="26">
        <f>G366*4</f>
        <v>35629.440000000002</v>
      </c>
      <c r="O366" s="27">
        <f t="shared" si="25"/>
        <v>97981.440000000002</v>
      </c>
      <c r="P366" s="27">
        <f t="shared" si="26"/>
        <v>11.000053888020693</v>
      </c>
      <c r="Q366" s="25">
        <v>6868</v>
      </c>
      <c r="R366" s="22">
        <v>100</v>
      </c>
      <c r="S366" s="22" t="s">
        <v>583</v>
      </c>
      <c r="T366" s="22">
        <f t="shared" si="27"/>
        <v>11</v>
      </c>
      <c r="U366" s="22">
        <f t="shared" si="28"/>
        <v>2020</v>
      </c>
      <c r="V366" s="22" t="str">
        <f t="shared" si="29"/>
        <v>METROPOLITANA</v>
      </c>
    </row>
    <row r="367" spans="1:22" x14ac:dyDescent="0.2">
      <c r="A367" s="23" t="s">
        <v>577</v>
      </c>
      <c r="B367" s="22" t="s">
        <v>18</v>
      </c>
      <c r="C367" s="22" t="s">
        <v>44</v>
      </c>
      <c r="D367" s="22" t="s">
        <v>41</v>
      </c>
      <c r="E367" s="24" t="s">
        <v>25</v>
      </c>
      <c r="F367" s="22" t="s">
        <v>39</v>
      </c>
      <c r="G367" s="25">
        <v>6538.48</v>
      </c>
      <c r="H367" s="22" t="s">
        <v>43</v>
      </c>
      <c r="I367" s="22">
        <v>0</v>
      </c>
      <c r="J367" s="22" t="s">
        <v>39</v>
      </c>
      <c r="K367" s="22" t="s">
        <v>23</v>
      </c>
      <c r="L367" s="22">
        <v>1</v>
      </c>
      <c r="M367" s="26">
        <v>45769</v>
      </c>
      <c r="N367" s="26">
        <v>19615</v>
      </c>
      <c r="O367" s="27">
        <f t="shared" si="25"/>
        <v>65384</v>
      </c>
      <c r="P367" s="27">
        <f t="shared" si="26"/>
        <v>9.9998776474042899</v>
      </c>
      <c r="Q367" s="25">
        <v>4821</v>
      </c>
      <c r="R367" s="22">
        <v>100</v>
      </c>
      <c r="S367" s="22" t="s">
        <v>584</v>
      </c>
      <c r="T367" s="22">
        <f t="shared" si="27"/>
        <v>11</v>
      </c>
      <c r="U367" s="22">
        <f t="shared" si="28"/>
        <v>2020</v>
      </c>
      <c r="V367" s="22" t="str">
        <f t="shared" si="29"/>
        <v>METROPOLITANA</v>
      </c>
    </row>
    <row r="368" spans="1:22" x14ac:dyDescent="0.2">
      <c r="A368" s="23" t="s">
        <v>577</v>
      </c>
      <c r="B368" s="22" t="s">
        <v>18</v>
      </c>
      <c r="C368" s="22" t="s">
        <v>44</v>
      </c>
      <c r="D368" s="22" t="s">
        <v>20</v>
      </c>
      <c r="E368" s="24" t="s">
        <v>21</v>
      </c>
      <c r="F368" s="22" t="s">
        <v>39</v>
      </c>
      <c r="G368" s="25">
        <v>5654.6</v>
      </c>
      <c r="H368" s="22" t="s">
        <v>22</v>
      </c>
      <c r="I368" s="22">
        <v>0</v>
      </c>
      <c r="J368" s="22" t="s">
        <v>39</v>
      </c>
      <c r="K368" s="22" t="s">
        <v>23</v>
      </c>
      <c r="L368" s="22">
        <v>1</v>
      </c>
      <c r="M368" s="26">
        <v>39582</v>
      </c>
      <c r="N368" s="26">
        <v>22618</v>
      </c>
      <c r="O368" s="27">
        <f t="shared" si="25"/>
        <v>62200</v>
      </c>
      <c r="P368" s="27">
        <f t="shared" si="26"/>
        <v>10.999893891698793</v>
      </c>
      <c r="Q368" s="25">
        <v>4821</v>
      </c>
      <c r="R368" s="22">
        <v>100</v>
      </c>
      <c r="S368" s="22" t="s">
        <v>585</v>
      </c>
      <c r="T368" s="22">
        <f t="shared" si="27"/>
        <v>11</v>
      </c>
      <c r="U368" s="22">
        <f t="shared" si="28"/>
        <v>2020</v>
      </c>
      <c r="V368" s="22" t="str">
        <f t="shared" si="29"/>
        <v>METROPOLITANA</v>
      </c>
    </row>
    <row r="369" spans="1:22" x14ac:dyDescent="0.2">
      <c r="A369" s="23" t="s">
        <v>577</v>
      </c>
      <c r="B369" s="22" t="s">
        <v>18</v>
      </c>
      <c r="C369" s="22" t="s">
        <v>508</v>
      </c>
      <c r="D369" s="22" t="s">
        <v>27</v>
      </c>
      <c r="E369" s="24" t="s">
        <v>28</v>
      </c>
      <c r="F369" s="22" t="s">
        <v>51</v>
      </c>
      <c r="G369" s="25">
        <v>17134.089999999989</v>
      </c>
      <c r="H369" s="22" t="s">
        <v>22</v>
      </c>
      <c r="I369" s="22">
        <v>1</v>
      </c>
      <c r="J369" s="22" t="s">
        <v>51</v>
      </c>
      <c r="K369" s="22" t="s">
        <v>23</v>
      </c>
      <c r="L369" s="22">
        <v>4</v>
      </c>
      <c r="M369" s="26">
        <v>119939</v>
      </c>
      <c r="N369" s="26">
        <f>G369*4</f>
        <v>68536.359999999957</v>
      </c>
      <c r="O369" s="27">
        <f t="shared" si="25"/>
        <v>188475.35999999996</v>
      </c>
      <c r="P369" s="27">
        <f t="shared" si="26"/>
        <v>11.000021594377062</v>
      </c>
      <c r="Q369" s="25">
        <v>8011</v>
      </c>
      <c r="R369" s="22">
        <v>100</v>
      </c>
      <c r="S369" s="22" t="s">
        <v>586</v>
      </c>
      <c r="T369" s="22">
        <f t="shared" si="27"/>
        <v>11</v>
      </c>
      <c r="U369" s="22">
        <f t="shared" si="28"/>
        <v>2020</v>
      </c>
      <c r="V369" s="22" t="str">
        <f t="shared" si="29"/>
        <v>METROPOLITANA</v>
      </c>
    </row>
    <row r="370" spans="1:22" x14ac:dyDescent="0.2">
      <c r="A370" s="23" t="s">
        <v>577</v>
      </c>
      <c r="B370" s="22" t="s">
        <v>33</v>
      </c>
      <c r="C370" s="22" t="s">
        <v>160</v>
      </c>
      <c r="D370" s="22" t="s">
        <v>45</v>
      </c>
      <c r="E370" s="24" t="s">
        <v>49</v>
      </c>
      <c r="F370" s="22" t="s">
        <v>161</v>
      </c>
      <c r="G370" s="25">
        <v>2930.6000000000008</v>
      </c>
      <c r="H370" s="22" t="s">
        <v>22</v>
      </c>
      <c r="I370" s="22">
        <v>0</v>
      </c>
      <c r="J370" s="22" t="s">
        <v>161</v>
      </c>
      <c r="K370" s="22" t="s">
        <v>23</v>
      </c>
      <c r="L370" s="22">
        <v>5</v>
      </c>
      <c r="M370" s="26">
        <v>70000</v>
      </c>
      <c r="N370" s="26">
        <v>12000</v>
      </c>
      <c r="O370" s="27">
        <f t="shared" si="25"/>
        <v>82000</v>
      </c>
      <c r="P370" s="27">
        <f t="shared" si="26"/>
        <v>27.980618303419089</v>
      </c>
      <c r="Q370" s="25">
        <v>12000</v>
      </c>
      <c r="R370" s="22">
        <v>24</v>
      </c>
      <c r="S370" s="22" t="s">
        <v>587</v>
      </c>
      <c r="T370" s="22">
        <f t="shared" si="27"/>
        <v>11</v>
      </c>
      <c r="U370" s="22">
        <f t="shared" si="28"/>
        <v>2020</v>
      </c>
      <c r="V370" s="22" t="str">
        <f t="shared" si="29"/>
        <v>METROPOLITANA</v>
      </c>
    </row>
    <row r="371" spans="1:22" x14ac:dyDescent="0.2">
      <c r="A371" s="23" t="s">
        <v>577</v>
      </c>
      <c r="B371" s="22" t="s">
        <v>33</v>
      </c>
      <c r="C371" s="22" t="s">
        <v>29</v>
      </c>
      <c r="D371" s="22" t="s">
        <v>38</v>
      </c>
      <c r="E371" s="24" t="s">
        <v>42</v>
      </c>
      <c r="F371" s="22" t="s">
        <v>39</v>
      </c>
      <c r="G371" s="25">
        <v>6528.0000000000027</v>
      </c>
      <c r="H371" s="22" t="s">
        <v>43</v>
      </c>
      <c r="I371" s="22">
        <v>0</v>
      </c>
      <c r="J371" s="22" t="s">
        <v>39</v>
      </c>
      <c r="K371" s="22" t="s">
        <v>23</v>
      </c>
      <c r="L371" s="22">
        <v>1</v>
      </c>
      <c r="M371" s="26">
        <v>45696</v>
      </c>
      <c r="N371" s="26">
        <v>19584</v>
      </c>
      <c r="O371" s="27">
        <f t="shared" si="25"/>
        <v>65280</v>
      </c>
      <c r="P371" s="27">
        <f t="shared" si="26"/>
        <v>9.9999999999999964</v>
      </c>
      <c r="Q371" s="25">
        <v>4821</v>
      </c>
      <c r="R371" s="22">
        <v>100</v>
      </c>
      <c r="S371" s="22" t="s">
        <v>588</v>
      </c>
      <c r="T371" s="22">
        <f t="shared" si="27"/>
        <v>11</v>
      </c>
      <c r="U371" s="22">
        <f t="shared" si="28"/>
        <v>2020</v>
      </c>
      <c r="V371" s="22" t="str">
        <f t="shared" si="29"/>
        <v>METROPOLITANA</v>
      </c>
    </row>
    <row r="372" spans="1:22" x14ac:dyDescent="0.2">
      <c r="A372" s="23" t="s">
        <v>577</v>
      </c>
      <c r="B372" s="22" t="s">
        <v>33</v>
      </c>
      <c r="C372" s="22" t="s">
        <v>29</v>
      </c>
      <c r="D372" s="22" t="s">
        <v>41</v>
      </c>
      <c r="E372" s="24" t="s">
        <v>25</v>
      </c>
      <c r="F372" s="22" t="s">
        <v>39</v>
      </c>
      <c r="G372" s="25">
        <v>4502.3999999999996</v>
      </c>
      <c r="H372" s="22" t="s">
        <v>43</v>
      </c>
      <c r="I372" s="22">
        <v>0</v>
      </c>
      <c r="J372" s="22" t="s">
        <v>39</v>
      </c>
      <c r="K372" s="22" t="s">
        <v>23</v>
      </c>
      <c r="L372" s="22">
        <v>1</v>
      </c>
      <c r="M372" s="26">
        <v>33750</v>
      </c>
      <c r="N372" s="26">
        <v>13507</v>
      </c>
      <c r="O372" s="27">
        <f t="shared" si="25"/>
        <v>47257</v>
      </c>
      <c r="P372" s="27">
        <f t="shared" si="26"/>
        <v>10.495957711442786</v>
      </c>
      <c r="Q372" s="25">
        <v>4821</v>
      </c>
      <c r="R372" s="22">
        <v>93</v>
      </c>
      <c r="S372" s="22" t="s">
        <v>589</v>
      </c>
      <c r="T372" s="22">
        <f t="shared" si="27"/>
        <v>11</v>
      </c>
      <c r="U372" s="22">
        <f t="shared" si="28"/>
        <v>2020</v>
      </c>
      <c r="V372" s="22" t="str">
        <f t="shared" si="29"/>
        <v>METROPOLITANA</v>
      </c>
    </row>
    <row r="373" spans="1:22" x14ac:dyDescent="0.2">
      <c r="A373" s="23" t="s">
        <v>577</v>
      </c>
      <c r="B373" s="22" t="s">
        <v>33</v>
      </c>
      <c r="C373" s="22" t="s">
        <v>44</v>
      </c>
      <c r="D373" s="22" t="s">
        <v>56</v>
      </c>
      <c r="E373" s="24" t="s">
        <v>49</v>
      </c>
      <c r="F373" s="22" t="s">
        <v>48</v>
      </c>
      <c r="G373" s="25">
        <v>3714.4</v>
      </c>
      <c r="H373" s="22" t="s">
        <v>22</v>
      </c>
      <c r="I373" s="22">
        <v>0</v>
      </c>
      <c r="J373" s="22" t="s">
        <v>48</v>
      </c>
      <c r="K373" s="22" t="s">
        <v>23</v>
      </c>
      <c r="L373" s="22">
        <v>1</v>
      </c>
      <c r="M373" s="26">
        <v>33750</v>
      </c>
      <c r="N373" s="26">
        <v>14858</v>
      </c>
      <c r="O373" s="27">
        <f t="shared" si="25"/>
        <v>48608</v>
      </c>
      <c r="P373" s="27">
        <f t="shared" si="26"/>
        <v>13.086366573336205</v>
      </c>
      <c r="Q373" s="25">
        <v>4821</v>
      </c>
      <c r="R373" s="22">
        <v>77</v>
      </c>
      <c r="S373" s="22" t="s">
        <v>590</v>
      </c>
      <c r="T373" s="22">
        <f t="shared" si="27"/>
        <v>11</v>
      </c>
      <c r="U373" s="22">
        <f t="shared" si="28"/>
        <v>2020</v>
      </c>
      <c r="V373" s="22" t="str">
        <f t="shared" si="29"/>
        <v>METROPOLITANA</v>
      </c>
    </row>
    <row r="374" spans="1:22" x14ac:dyDescent="0.2">
      <c r="A374" s="23" t="s">
        <v>577</v>
      </c>
      <c r="B374" s="22" t="s">
        <v>33</v>
      </c>
      <c r="C374" s="22" t="s">
        <v>44</v>
      </c>
      <c r="D374" s="22" t="s">
        <v>38</v>
      </c>
      <c r="E374" s="24" t="s">
        <v>42</v>
      </c>
      <c r="F374" s="22" t="s">
        <v>229</v>
      </c>
      <c r="G374" s="25">
        <v>3989.6</v>
      </c>
      <c r="H374" s="22" t="s">
        <v>43</v>
      </c>
      <c r="I374" s="22">
        <v>0</v>
      </c>
      <c r="J374" s="22" t="s">
        <v>230</v>
      </c>
      <c r="K374" s="22" t="s">
        <v>23</v>
      </c>
      <c r="L374" s="22">
        <v>4</v>
      </c>
      <c r="M374" s="26">
        <v>56075</v>
      </c>
      <c r="N374" s="26">
        <v>11969</v>
      </c>
      <c r="O374" s="27">
        <f t="shared" si="25"/>
        <v>68044</v>
      </c>
      <c r="P374" s="27">
        <f t="shared" si="26"/>
        <v>17.055343894124725</v>
      </c>
      <c r="Q374" s="25">
        <v>8011</v>
      </c>
      <c r="R374" s="22">
        <v>50</v>
      </c>
      <c r="S374" s="22" t="s">
        <v>591</v>
      </c>
      <c r="T374" s="22">
        <f t="shared" si="27"/>
        <v>11</v>
      </c>
      <c r="U374" s="22">
        <f t="shared" si="28"/>
        <v>2020</v>
      </c>
      <c r="V374" s="22" t="str">
        <f t="shared" si="29"/>
        <v>METROPOLITANA</v>
      </c>
    </row>
    <row r="375" spans="1:22" x14ac:dyDescent="0.2">
      <c r="A375" s="23" t="s">
        <v>577</v>
      </c>
      <c r="B375" s="22" t="s">
        <v>33</v>
      </c>
      <c r="C375" s="22" t="s">
        <v>44</v>
      </c>
      <c r="D375" s="22" t="s">
        <v>45</v>
      </c>
      <c r="E375" s="24" t="s">
        <v>52</v>
      </c>
      <c r="F375" s="22" t="s">
        <v>26</v>
      </c>
      <c r="G375" s="25">
        <v>1262.8</v>
      </c>
      <c r="H375" s="22" t="s">
        <v>22</v>
      </c>
      <c r="I375" s="22">
        <v>0</v>
      </c>
      <c r="J375" s="22" t="s">
        <v>26</v>
      </c>
      <c r="K375" s="22" t="s">
        <v>23</v>
      </c>
      <c r="L375" s="22">
        <v>4</v>
      </c>
      <c r="M375" s="26">
        <v>56075</v>
      </c>
      <c r="N375" s="26">
        <v>12000</v>
      </c>
      <c r="O375" s="27">
        <f t="shared" si="25"/>
        <v>68075</v>
      </c>
      <c r="P375" s="27">
        <f t="shared" si="26"/>
        <v>53.907982261640797</v>
      </c>
      <c r="Q375" s="25">
        <v>8011</v>
      </c>
      <c r="R375" s="22">
        <v>16</v>
      </c>
      <c r="S375" s="22" t="s">
        <v>592</v>
      </c>
      <c r="T375" s="22">
        <f t="shared" si="27"/>
        <v>11</v>
      </c>
      <c r="U375" s="22">
        <f t="shared" si="28"/>
        <v>2020</v>
      </c>
      <c r="V375" s="22" t="str">
        <f t="shared" si="29"/>
        <v>METROPOLITANA</v>
      </c>
    </row>
    <row r="376" spans="1:22" x14ac:dyDescent="0.2">
      <c r="A376" s="23" t="s">
        <v>577</v>
      </c>
      <c r="B376" s="22" t="s">
        <v>33</v>
      </c>
      <c r="C376" s="22" t="s">
        <v>44</v>
      </c>
      <c r="D376" s="22" t="s">
        <v>47</v>
      </c>
      <c r="E376" s="24" t="s">
        <v>88</v>
      </c>
      <c r="F376" s="22" t="s">
        <v>67</v>
      </c>
      <c r="G376" s="25">
        <v>1699.6</v>
      </c>
      <c r="H376" s="22" t="s">
        <v>22</v>
      </c>
      <c r="I376" s="22">
        <v>0</v>
      </c>
      <c r="J376" s="22" t="s">
        <v>67</v>
      </c>
      <c r="K376" s="22" t="s">
        <v>23</v>
      </c>
      <c r="L376" s="22">
        <v>2</v>
      </c>
      <c r="M376" s="26">
        <v>40475</v>
      </c>
      <c r="N376" s="26">
        <v>12000</v>
      </c>
      <c r="O376" s="27">
        <f t="shared" si="25"/>
        <v>52475</v>
      </c>
      <c r="P376" s="27">
        <f t="shared" si="26"/>
        <v>30.874911743939752</v>
      </c>
      <c r="Q376" s="25">
        <v>5782</v>
      </c>
      <c r="R376" s="22">
        <v>29</v>
      </c>
      <c r="S376" s="22" t="s">
        <v>593</v>
      </c>
      <c r="T376" s="22">
        <f t="shared" si="27"/>
        <v>11</v>
      </c>
      <c r="U376" s="22">
        <f t="shared" si="28"/>
        <v>2020</v>
      </c>
      <c r="V376" s="22" t="str">
        <f t="shared" si="29"/>
        <v>METROPOLITANA</v>
      </c>
    </row>
    <row r="377" spans="1:22" x14ac:dyDescent="0.2">
      <c r="A377" s="23" t="s">
        <v>577</v>
      </c>
      <c r="B377" s="22" t="s">
        <v>33</v>
      </c>
      <c r="C377" s="22" t="s">
        <v>44</v>
      </c>
      <c r="D377" s="22" t="s">
        <v>35</v>
      </c>
      <c r="E377" s="24" t="s">
        <v>21</v>
      </c>
      <c r="F377" s="22" t="s">
        <v>51</v>
      </c>
      <c r="G377" s="25">
        <v>1738.4</v>
      </c>
      <c r="H377" s="22" t="s">
        <v>22</v>
      </c>
      <c r="I377" s="22">
        <v>0</v>
      </c>
      <c r="J377" s="22" t="s">
        <v>51</v>
      </c>
      <c r="K377" s="22" t="s">
        <v>23</v>
      </c>
      <c r="L377" s="22">
        <v>4</v>
      </c>
      <c r="M377" s="26">
        <v>56075</v>
      </c>
      <c r="N377" s="26">
        <v>12000</v>
      </c>
      <c r="O377" s="27">
        <f t="shared" si="25"/>
        <v>68075</v>
      </c>
      <c r="P377" s="27">
        <f t="shared" si="26"/>
        <v>39.159572020248504</v>
      </c>
      <c r="Q377" s="25">
        <v>8011</v>
      </c>
      <c r="R377" s="22">
        <v>22</v>
      </c>
      <c r="S377" s="22" t="s">
        <v>594</v>
      </c>
      <c r="T377" s="22">
        <f t="shared" si="27"/>
        <v>11</v>
      </c>
      <c r="U377" s="22">
        <f t="shared" si="28"/>
        <v>2020</v>
      </c>
      <c r="V377" s="22" t="str">
        <f t="shared" si="29"/>
        <v>METROPOLITANA</v>
      </c>
    </row>
    <row r="378" spans="1:22" x14ac:dyDescent="0.2">
      <c r="A378" s="11" t="s">
        <v>595</v>
      </c>
      <c r="B378" s="12" t="s">
        <v>18</v>
      </c>
      <c r="C378" s="12" t="s">
        <v>500</v>
      </c>
      <c r="D378" s="12" t="s">
        <v>37</v>
      </c>
      <c r="E378" s="13" t="s">
        <v>40</v>
      </c>
      <c r="F378" s="12" t="s">
        <v>120</v>
      </c>
      <c r="G378" s="14">
        <v>9333.39</v>
      </c>
      <c r="H378" s="12" t="s">
        <v>22</v>
      </c>
      <c r="I378" s="12">
        <v>0</v>
      </c>
      <c r="J378" s="12" t="s">
        <v>120</v>
      </c>
      <c r="K378" s="12" t="s">
        <v>23</v>
      </c>
      <c r="L378" s="12">
        <v>5</v>
      </c>
      <c r="M378" s="15">
        <v>70000</v>
      </c>
      <c r="N378" s="15">
        <f>G378*4</f>
        <v>37333.56</v>
      </c>
      <c r="O378" s="15">
        <f t="shared" si="25"/>
        <v>107333.56</v>
      </c>
      <c r="P378" s="15">
        <f t="shared" si="26"/>
        <v>11.49995446456218</v>
      </c>
      <c r="Q378" s="14">
        <v>12000</v>
      </c>
      <c r="R378" s="12">
        <v>78</v>
      </c>
      <c r="S378" s="12" t="s">
        <v>596</v>
      </c>
      <c r="T378" s="22">
        <f t="shared" si="27"/>
        <v>11</v>
      </c>
      <c r="U378" s="22">
        <f t="shared" si="28"/>
        <v>2020</v>
      </c>
      <c r="V378" s="22" t="str">
        <f t="shared" si="29"/>
        <v>METROPOLITANA</v>
      </c>
    </row>
    <row r="379" spans="1:22" x14ac:dyDescent="0.2">
      <c r="A379" s="11" t="s">
        <v>595</v>
      </c>
      <c r="B379" s="12" t="s">
        <v>18</v>
      </c>
      <c r="C379" s="12" t="s">
        <v>163</v>
      </c>
      <c r="D379" s="12" t="s">
        <v>63</v>
      </c>
      <c r="E379" s="13" t="s">
        <v>64</v>
      </c>
      <c r="F379" s="12" t="s">
        <v>165</v>
      </c>
      <c r="G379" s="14">
        <v>12706.11</v>
      </c>
      <c r="H379" s="12" t="s">
        <v>65</v>
      </c>
      <c r="I379" s="12">
        <v>0</v>
      </c>
      <c r="J379" s="12" t="s">
        <v>165</v>
      </c>
      <c r="K379" s="12" t="s">
        <v>23</v>
      </c>
      <c r="L379" s="12">
        <v>4</v>
      </c>
      <c r="M379" s="15">
        <v>88943</v>
      </c>
      <c r="N379" s="15">
        <f>G379*3</f>
        <v>38118.33</v>
      </c>
      <c r="O379" s="15">
        <f t="shared" si="25"/>
        <v>127061.33</v>
      </c>
      <c r="P379" s="15">
        <f t="shared" si="26"/>
        <v>10.000018101527532</v>
      </c>
      <c r="Q379" s="14">
        <v>8011</v>
      </c>
      <c r="R379" s="12">
        <v>100</v>
      </c>
      <c r="S379" s="12" t="s">
        <v>597</v>
      </c>
      <c r="T379" s="22">
        <f t="shared" si="27"/>
        <v>11</v>
      </c>
      <c r="U379" s="22">
        <f t="shared" si="28"/>
        <v>2020</v>
      </c>
      <c r="V379" s="22" t="str">
        <f t="shared" si="29"/>
        <v>METROPOLITANA</v>
      </c>
    </row>
    <row r="380" spans="1:22" x14ac:dyDescent="0.2">
      <c r="A380" s="11" t="s">
        <v>595</v>
      </c>
      <c r="B380" s="12" t="s">
        <v>18</v>
      </c>
      <c r="C380" s="12" t="s">
        <v>44</v>
      </c>
      <c r="D380" s="12" t="s">
        <v>118</v>
      </c>
      <c r="E380" s="13" t="s">
        <v>119</v>
      </c>
      <c r="F380" s="12" t="s">
        <v>39</v>
      </c>
      <c r="G380" s="14">
        <v>17880.72</v>
      </c>
      <c r="H380" s="12" t="s">
        <v>85</v>
      </c>
      <c r="I380" s="12">
        <v>1</v>
      </c>
      <c r="J380" s="12" t="s">
        <v>39</v>
      </c>
      <c r="K380" s="12" t="s">
        <v>23</v>
      </c>
      <c r="L380" s="12">
        <v>1</v>
      </c>
      <c r="M380" s="15">
        <v>125165</v>
      </c>
      <c r="N380" s="15">
        <v>0</v>
      </c>
      <c r="O380" s="15">
        <f t="shared" si="25"/>
        <v>125165</v>
      </c>
      <c r="P380" s="15">
        <f t="shared" si="26"/>
        <v>6.9999977629536163</v>
      </c>
      <c r="Q380" s="14">
        <v>4821</v>
      </c>
      <c r="R380" s="12">
        <v>100</v>
      </c>
      <c r="S380" s="12" t="s">
        <v>598</v>
      </c>
      <c r="T380" s="22">
        <f t="shared" si="27"/>
        <v>11</v>
      </c>
      <c r="U380" s="22">
        <f t="shared" si="28"/>
        <v>2020</v>
      </c>
      <c r="V380" s="22" t="str">
        <f t="shared" si="29"/>
        <v>METROPOLITANA</v>
      </c>
    </row>
    <row r="381" spans="1:22" x14ac:dyDescent="0.2">
      <c r="A381" s="11" t="s">
        <v>595</v>
      </c>
      <c r="B381" s="12" t="s">
        <v>18</v>
      </c>
      <c r="C381" s="12" t="s">
        <v>44</v>
      </c>
      <c r="D381" s="12" t="s">
        <v>20</v>
      </c>
      <c r="E381" s="13" t="s">
        <v>21</v>
      </c>
      <c r="F381" s="12" t="s">
        <v>39</v>
      </c>
      <c r="G381" s="14">
        <v>6751.2000000000016</v>
      </c>
      <c r="H381" s="12" t="s">
        <v>22</v>
      </c>
      <c r="I381" s="12">
        <v>0</v>
      </c>
      <c r="J381" s="12" t="s">
        <v>39</v>
      </c>
      <c r="K381" s="12" t="s">
        <v>23</v>
      </c>
      <c r="L381" s="12">
        <v>1</v>
      </c>
      <c r="M381" s="15">
        <v>47258</v>
      </c>
      <c r="N381" s="15">
        <v>27005</v>
      </c>
      <c r="O381" s="15">
        <f t="shared" si="25"/>
        <v>74263</v>
      </c>
      <c r="P381" s="15">
        <f t="shared" si="26"/>
        <v>10.999970375636922</v>
      </c>
      <c r="Q381" s="14">
        <v>4821</v>
      </c>
      <c r="R381" s="12">
        <v>100</v>
      </c>
      <c r="S381" s="12" t="s">
        <v>599</v>
      </c>
      <c r="T381" s="22">
        <f t="shared" si="27"/>
        <v>11</v>
      </c>
      <c r="U381" s="22">
        <f t="shared" si="28"/>
        <v>2020</v>
      </c>
      <c r="V381" s="22" t="str">
        <f t="shared" si="29"/>
        <v>METROPOLITANA</v>
      </c>
    </row>
    <row r="382" spans="1:22" x14ac:dyDescent="0.2">
      <c r="A382" s="11" t="s">
        <v>595</v>
      </c>
      <c r="B382" s="12" t="s">
        <v>18</v>
      </c>
      <c r="C382" s="12" t="s">
        <v>508</v>
      </c>
      <c r="D382" s="12" t="s">
        <v>27</v>
      </c>
      <c r="E382" s="13" t="s">
        <v>28</v>
      </c>
      <c r="F382" s="12" t="s">
        <v>51</v>
      </c>
      <c r="G382" s="14">
        <v>18051.62000000001</v>
      </c>
      <c r="H382" s="12" t="s">
        <v>22</v>
      </c>
      <c r="I382" s="12">
        <v>1</v>
      </c>
      <c r="J382" s="12" t="s">
        <v>51</v>
      </c>
      <c r="K382" s="12" t="s">
        <v>23</v>
      </c>
      <c r="L382" s="12">
        <v>4</v>
      </c>
      <c r="M382" s="15">
        <v>126361</v>
      </c>
      <c r="N382" s="15">
        <f>G382*4</f>
        <v>72206.48000000004</v>
      </c>
      <c r="O382" s="15">
        <f t="shared" si="25"/>
        <v>198567.48000000004</v>
      </c>
      <c r="P382" s="15">
        <f t="shared" si="26"/>
        <v>10.999981165125343</v>
      </c>
      <c r="Q382" s="14">
        <v>8011</v>
      </c>
      <c r="R382" s="12">
        <v>100</v>
      </c>
      <c r="S382" s="12" t="s">
        <v>600</v>
      </c>
      <c r="T382" s="22">
        <f t="shared" si="27"/>
        <v>11</v>
      </c>
      <c r="U382" s="22">
        <f t="shared" si="28"/>
        <v>2020</v>
      </c>
      <c r="V382" s="22" t="str">
        <f t="shared" si="29"/>
        <v>METROPOLITANA</v>
      </c>
    </row>
    <row r="383" spans="1:22" x14ac:dyDescent="0.2">
      <c r="A383" s="11" t="s">
        <v>595</v>
      </c>
      <c r="B383" s="12" t="s">
        <v>33</v>
      </c>
      <c r="C383" s="12" t="s">
        <v>270</v>
      </c>
      <c r="D383" s="12" t="s">
        <v>61</v>
      </c>
      <c r="E383" s="13" t="s">
        <v>62</v>
      </c>
      <c r="F383" s="12" t="s">
        <v>120</v>
      </c>
      <c r="G383" s="14">
        <v>21236</v>
      </c>
      <c r="H383" s="12" t="s">
        <v>85</v>
      </c>
      <c r="I383" s="12">
        <v>1</v>
      </c>
      <c r="J383" s="12" t="s">
        <v>120</v>
      </c>
      <c r="K383" s="12" t="s">
        <v>23</v>
      </c>
      <c r="L383" s="12">
        <v>5</v>
      </c>
      <c r="M383" s="15">
        <v>120000</v>
      </c>
      <c r="N383" s="15">
        <v>0</v>
      </c>
      <c r="O383" s="15">
        <f t="shared" si="25"/>
        <v>120000</v>
      </c>
      <c r="P383" s="15">
        <f t="shared" si="26"/>
        <v>5.6507816914673192</v>
      </c>
      <c r="Q383" s="14">
        <v>12000</v>
      </c>
      <c r="R383" s="12">
        <v>100</v>
      </c>
      <c r="S383" s="12" t="s">
        <v>601</v>
      </c>
      <c r="T383" s="22">
        <f t="shared" si="27"/>
        <v>11</v>
      </c>
      <c r="U383" s="22">
        <f t="shared" si="28"/>
        <v>2020</v>
      </c>
      <c r="V383" s="22" t="str">
        <f t="shared" si="29"/>
        <v>METROPOLITANA</v>
      </c>
    </row>
    <row r="384" spans="1:22" x14ac:dyDescent="0.2">
      <c r="A384" s="11" t="s">
        <v>595</v>
      </c>
      <c r="B384" s="12" t="s">
        <v>33</v>
      </c>
      <c r="C384" s="12" t="s">
        <v>50</v>
      </c>
      <c r="D384" s="12" t="s">
        <v>30</v>
      </c>
      <c r="E384" s="13" t="s">
        <v>31</v>
      </c>
      <c r="F384" s="12" t="s">
        <v>26</v>
      </c>
      <c r="G384" s="14">
        <v>18354</v>
      </c>
      <c r="H384" s="12" t="s">
        <v>32</v>
      </c>
      <c r="I384" s="12">
        <v>0</v>
      </c>
      <c r="J384" s="12" t="s">
        <v>26</v>
      </c>
      <c r="K384" s="12" t="s">
        <v>23</v>
      </c>
      <c r="L384" s="12">
        <v>4</v>
      </c>
      <c r="M384" s="15">
        <v>128478</v>
      </c>
      <c r="N384" s="15">
        <f>G384*3</f>
        <v>55062</v>
      </c>
      <c r="O384" s="15">
        <f t="shared" si="25"/>
        <v>183540</v>
      </c>
      <c r="P384" s="15">
        <f t="shared" si="26"/>
        <v>10</v>
      </c>
      <c r="Q384" s="14">
        <v>8011</v>
      </c>
      <c r="R384" s="12">
        <v>100</v>
      </c>
      <c r="S384" s="12" t="s">
        <v>602</v>
      </c>
      <c r="T384" s="22">
        <f t="shared" si="27"/>
        <v>11</v>
      </c>
      <c r="U384" s="22">
        <f t="shared" si="28"/>
        <v>2020</v>
      </c>
      <c r="V384" s="22" t="str">
        <f t="shared" si="29"/>
        <v>METROPOLITANA</v>
      </c>
    </row>
    <row r="385" spans="1:22" x14ac:dyDescent="0.2">
      <c r="A385" s="11" t="s">
        <v>595</v>
      </c>
      <c r="B385" s="12" t="s">
        <v>33</v>
      </c>
      <c r="C385" s="12" t="s">
        <v>60</v>
      </c>
      <c r="D385" s="12" t="s">
        <v>191</v>
      </c>
      <c r="E385" s="13" t="s">
        <v>192</v>
      </c>
      <c r="F385" s="12" t="s">
        <v>603</v>
      </c>
      <c r="G385" s="14">
        <v>19510.400000000001</v>
      </c>
      <c r="H385" s="12" t="s">
        <v>85</v>
      </c>
      <c r="I385" s="12">
        <v>1</v>
      </c>
      <c r="J385" s="12" t="s">
        <v>604</v>
      </c>
      <c r="K385" s="12" t="s">
        <v>171</v>
      </c>
      <c r="L385" s="12">
        <v>0</v>
      </c>
      <c r="M385" s="15">
        <v>230000</v>
      </c>
      <c r="N385" s="15">
        <v>0</v>
      </c>
      <c r="O385" s="15">
        <f t="shared" si="25"/>
        <v>230000</v>
      </c>
      <c r="P385" s="15">
        <f t="shared" si="26"/>
        <v>11.788584549778578</v>
      </c>
      <c r="Q385" s="14">
        <v>25000</v>
      </c>
      <c r="R385" s="12">
        <v>78</v>
      </c>
      <c r="S385" s="12" t="s">
        <v>605</v>
      </c>
      <c r="T385" s="22">
        <f t="shared" si="27"/>
        <v>11</v>
      </c>
      <c r="U385" s="22">
        <f t="shared" si="28"/>
        <v>2020</v>
      </c>
      <c r="V385" s="22" t="str">
        <f t="shared" si="29"/>
        <v>REGIONES</v>
      </c>
    </row>
    <row r="386" spans="1:22" x14ac:dyDescent="0.2">
      <c r="A386" s="11" t="s">
        <v>595</v>
      </c>
      <c r="B386" s="12" t="s">
        <v>33</v>
      </c>
      <c r="C386" s="12" t="s">
        <v>60</v>
      </c>
      <c r="D386" s="12" t="s">
        <v>125</v>
      </c>
      <c r="E386" s="13" t="s">
        <v>126</v>
      </c>
      <c r="F386" s="12" t="s">
        <v>606</v>
      </c>
      <c r="G386" s="14">
        <v>10505.6</v>
      </c>
      <c r="H386" s="12" t="s">
        <v>174</v>
      </c>
      <c r="I386" s="12">
        <v>0</v>
      </c>
      <c r="J386" s="12" t="s">
        <v>51</v>
      </c>
      <c r="K386" s="12" t="s">
        <v>23</v>
      </c>
      <c r="L386" s="12">
        <v>0</v>
      </c>
      <c r="M386" s="15">
        <v>56075</v>
      </c>
      <c r="N386" s="15">
        <f>G386*3</f>
        <v>31516.800000000003</v>
      </c>
      <c r="O386" s="15">
        <f t="shared" ref="O386:O449" si="30">SUM(M386:N386)</f>
        <v>87591.8</v>
      </c>
      <c r="P386" s="15">
        <f t="shared" ref="P386:P449" si="31">O386/G386</f>
        <v>8.3376294547669811</v>
      </c>
      <c r="Q386" s="14">
        <v>25000</v>
      </c>
      <c r="R386" s="12">
        <v>42</v>
      </c>
      <c r="S386" s="12" t="s">
        <v>607</v>
      </c>
      <c r="T386" s="22">
        <f t="shared" ref="T386:T449" si="32">MONTH(A386)</f>
        <v>11</v>
      </c>
      <c r="U386" s="22">
        <f t="shared" ref="U386:U449" si="33">YEAR(A386)</f>
        <v>2020</v>
      </c>
      <c r="V386" s="22" t="str">
        <f t="shared" ref="V386:V449" si="34">IF(K386="METROPOLITANA DE SANTIAGO","METROPOLITANA","REGIONES")</f>
        <v>METROPOLITANA</v>
      </c>
    </row>
    <row r="387" spans="1:22" x14ac:dyDescent="0.2">
      <c r="A387" s="11" t="s">
        <v>595</v>
      </c>
      <c r="B387" s="12" t="s">
        <v>33</v>
      </c>
      <c r="C387" s="12" t="s">
        <v>60</v>
      </c>
      <c r="D387" s="12" t="s">
        <v>41</v>
      </c>
      <c r="E387" s="13" t="s">
        <v>25</v>
      </c>
      <c r="F387" s="12" t="s">
        <v>606</v>
      </c>
      <c r="G387" s="14">
        <v>5252.7999999999984</v>
      </c>
      <c r="H387" s="12" t="s">
        <v>43</v>
      </c>
      <c r="I387" s="12">
        <v>0</v>
      </c>
      <c r="J387" s="12" t="s">
        <v>51</v>
      </c>
      <c r="K387" s="12" t="s">
        <v>23</v>
      </c>
      <c r="L387" s="12">
        <v>0</v>
      </c>
      <c r="M387" s="15">
        <v>56075</v>
      </c>
      <c r="N387" s="15">
        <f>G387*4</f>
        <v>21011.199999999993</v>
      </c>
      <c r="O387" s="15">
        <f t="shared" si="30"/>
        <v>77086.2</v>
      </c>
      <c r="P387" s="15">
        <f t="shared" si="31"/>
        <v>14.675258909533968</v>
      </c>
      <c r="Q387" s="14">
        <v>25000</v>
      </c>
      <c r="R387" s="12">
        <v>21</v>
      </c>
      <c r="S387" s="12" t="s">
        <v>608</v>
      </c>
      <c r="T387" s="22">
        <f t="shared" si="32"/>
        <v>11</v>
      </c>
      <c r="U387" s="22">
        <f t="shared" si="33"/>
        <v>2020</v>
      </c>
      <c r="V387" s="22" t="str">
        <f t="shared" si="34"/>
        <v>METROPOLITANA</v>
      </c>
    </row>
    <row r="388" spans="1:22" x14ac:dyDescent="0.2">
      <c r="A388" s="11" t="s">
        <v>595</v>
      </c>
      <c r="B388" s="12" t="s">
        <v>33</v>
      </c>
      <c r="C388" s="12" t="s">
        <v>223</v>
      </c>
      <c r="D388" s="12" t="s">
        <v>38</v>
      </c>
      <c r="E388" s="13" t="s">
        <v>42</v>
      </c>
      <c r="F388" s="12" t="s">
        <v>39</v>
      </c>
      <c r="G388" s="14">
        <v>7852.7999999999975</v>
      </c>
      <c r="H388" s="12" t="s">
        <v>43</v>
      </c>
      <c r="I388" s="12">
        <v>0</v>
      </c>
      <c r="J388" s="12" t="s">
        <v>39</v>
      </c>
      <c r="K388" s="12" t="s">
        <v>23</v>
      </c>
      <c r="L388" s="12">
        <v>1</v>
      </c>
      <c r="M388" s="15">
        <v>54970</v>
      </c>
      <c r="N388" s="15">
        <f>G388*3</f>
        <v>23558.399999999994</v>
      </c>
      <c r="O388" s="15">
        <f t="shared" si="30"/>
        <v>78528.399999999994</v>
      </c>
      <c r="P388" s="15">
        <f t="shared" si="31"/>
        <v>10.000050937245316</v>
      </c>
      <c r="Q388" s="14">
        <v>4821</v>
      </c>
      <c r="R388" s="12">
        <v>100</v>
      </c>
      <c r="S388" s="12" t="s">
        <v>609</v>
      </c>
      <c r="T388" s="22">
        <f t="shared" si="32"/>
        <v>11</v>
      </c>
      <c r="U388" s="22">
        <f t="shared" si="33"/>
        <v>2020</v>
      </c>
      <c r="V388" s="22" t="str">
        <f t="shared" si="34"/>
        <v>METROPOLITANA</v>
      </c>
    </row>
    <row r="389" spans="1:22" x14ac:dyDescent="0.2">
      <c r="A389" s="11" t="s">
        <v>595</v>
      </c>
      <c r="B389" s="12" t="s">
        <v>33</v>
      </c>
      <c r="C389" s="12" t="s">
        <v>223</v>
      </c>
      <c r="D389" s="12" t="s">
        <v>63</v>
      </c>
      <c r="E389" s="13" t="s">
        <v>64</v>
      </c>
      <c r="F389" s="12" t="s">
        <v>39</v>
      </c>
      <c r="G389" s="14">
        <v>5496.0000000000018</v>
      </c>
      <c r="H389" s="12" t="s">
        <v>65</v>
      </c>
      <c r="I389" s="12">
        <v>0</v>
      </c>
      <c r="J389" s="12" t="s">
        <v>39</v>
      </c>
      <c r="K389" s="12" t="s">
        <v>23</v>
      </c>
      <c r="L389" s="12">
        <v>1</v>
      </c>
      <c r="M389" s="15">
        <v>38472</v>
      </c>
      <c r="N389" s="15">
        <f>G389*3</f>
        <v>16488.000000000007</v>
      </c>
      <c r="O389" s="15">
        <f t="shared" si="30"/>
        <v>54960.000000000007</v>
      </c>
      <c r="P389" s="15">
        <f t="shared" si="31"/>
        <v>9.9999999999999982</v>
      </c>
      <c r="Q389" s="14">
        <v>4821</v>
      </c>
      <c r="R389" s="12">
        <v>100</v>
      </c>
      <c r="S389" s="12" t="s">
        <v>610</v>
      </c>
      <c r="T389" s="22">
        <f t="shared" si="32"/>
        <v>11</v>
      </c>
      <c r="U389" s="22">
        <f t="shared" si="33"/>
        <v>2020</v>
      </c>
      <c r="V389" s="22" t="str">
        <f t="shared" si="34"/>
        <v>METROPOLITANA</v>
      </c>
    </row>
    <row r="390" spans="1:22" x14ac:dyDescent="0.2">
      <c r="A390" s="11" t="s">
        <v>595</v>
      </c>
      <c r="B390" s="12" t="s">
        <v>33</v>
      </c>
      <c r="C390" s="12" t="s">
        <v>357</v>
      </c>
      <c r="D390" s="12" t="s">
        <v>56</v>
      </c>
      <c r="E390" s="13" t="s">
        <v>88</v>
      </c>
      <c r="F390" s="12" t="s">
        <v>51</v>
      </c>
      <c r="G390" s="14">
        <v>4718</v>
      </c>
      <c r="H390" s="12" t="s">
        <v>22</v>
      </c>
      <c r="I390" s="12">
        <v>0</v>
      </c>
      <c r="J390" s="12" t="s">
        <v>51</v>
      </c>
      <c r="K390" s="12" t="s">
        <v>23</v>
      </c>
      <c r="L390" s="12">
        <v>4</v>
      </c>
      <c r="M390" s="15">
        <v>56075</v>
      </c>
      <c r="N390" s="15">
        <f>G390*4</f>
        <v>18872</v>
      </c>
      <c r="O390" s="15">
        <f t="shared" si="30"/>
        <v>74947</v>
      </c>
      <c r="P390" s="15">
        <f t="shared" si="31"/>
        <v>15.885332768122085</v>
      </c>
      <c r="Q390" s="14">
        <v>8011</v>
      </c>
      <c r="R390" s="12">
        <v>59</v>
      </c>
      <c r="S390" s="12" t="s">
        <v>611</v>
      </c>
      <c r="T390" s="22">
        <f t="shared" si="32"/>
        <v>11</v>
      </c>
      <c r="U390" s="22">
        <f t="shared" si="33"/>
        <v>2020</v>
      </c>
      <c r="V390" s="22" t="str">
        <f t="shared" si="34"/>
        <v>METROPOLITANA</v>
      </c>
    </row>
    <row r="391" spans="1:22" x14ac:dyDescent="0.2">
      <c r="A391" s="11" t="s">
        <v>595</v>
      </c>
      <c r="B391" s="12" t="s">
        <v>33</v>
      </c>
      <c r="C391" s="12" t="s">
        <v>44</v>
      </c>
      <c r="D391" s="12" t="s">
        <v>56</v>
      </c>
      <c r="E391" s="13" t="s">
        <v>88</v>
      </c>
      <c r="F391" s="12" t="s">
        <v>137</v>
      </c>
      <c r="G391" s="14">
        <v>2724.4</v>
      </c>
      <c r="H391" s="12" t="s">
        <v>22</v>
      </c>
      <c r="I391" s="12">
        <v>0</v>
      </c>
      <c r="J391" s="12" t="s">
        <v>137</v>
      </c>
      <c r="K391" s="12" t="s">
        <v>23</v>
      </c>
      <c r="L391" s="12">
        <v>1</v>
      </c>
      <c r="M391" s="15">
        <v>33750</v>
      </c>
      <c r="N391" s="15">
        <v>10898</v>
      </c>
      <c r="O391" s="15">
        <f t="shared" si="30"/>
        <v>44648</v>
      </c>
      <c r="P391" s="15">
        <f t="shared" si="31"/>
        <v>16.388195565996181</v>
      </c>
      <c r="Q391" s="14">
        <v>4821</v>
      </c>
      <c r="R391" s="12">
        <v>57</v>
      </c>
      <c r="S391" s="12" t="s">
        <v>612</v>
      </c>
      <c r="T391" s="22">
        <f t="shared" si="32"/>
        <v>11</v>
      </c>
      <c r="U391" s="22">
        <f t="shared" si="33"/>
        <v>2020</v>
      </c>
      <c r="V391" s="22" t="str">
        <f t="shared" si="34"/>
        <v>METROPOLITANA</v>
      </c>
    </row>
    <row r="392" spans="1:22" x14ac:dyDescent="0.2">
      <c r="A392" s="11" t="s">
        <v>595</v>
      </c>
      <c r="B392" s="12" t="s">
        <v>33</v>
      </c>
      <c r="C392" s="12" t="s">
        <v>44</v>
      </c>
      <c r="D392" s="12" t="s">
        <v>38</v>
      </c>
      <c r="E392" s="13" t="s">
        <v>42</v>
      </c>
      <c r="F392" s="12" t="s">
        <v>182</v>
      </c>
      <c r="G392" s="14">
        <v>2037</v>
      </c>
      <c r="H392" s="12" t="s">
        <v>43</v>
      </c>
      <c r="I392" s="12">
        <v>0</v>
      </c>
      <c r="J392" s="12" t="s">
        <v>182</v>
      </c>
      <c r="K392" s="12" t="s">
        <v>23</v>
      </c>
      <c r="L392" s="12">
        <v>4</v>
      </c>
      <c r="M392" s="15">
        <v>56075</v>
      </c>
      <c r="N392" s="15">
        <v>6111</v>
      </c>
      <c r="O392" s="15">
        <f t="shared" si="30"/>
        <v>62186</v>
      </c>
      <c r="P392" s="15">
        <f t="shared" si="31"/>
        <v>30.528227785959746</v>
      </c>
      <c r="Q392" s="14">
        <v>8011</v>
      </c>
      <c r="R392" s="12">
        <v>25</v>
      </c>
      <c r="S392" s="12" t="s">
        <v>613</v>
      </c>
      <c r="T392" s="22">
        <f t="shared" si="32"/>
        <v>11</v>
      </c>
      <c r="U392" s="22">
        <f t="shared" si="33"/>
        <v>2020</v>
      </c>
      <c r="V392" s="22" t="str">
        <f t="shared" si="34"/>
        <v>METROPOLITANA</v>
      </c>
    </row>
    <row r="393" spans="1:22" x14ac:dyDescent="0.2">
      <c r="A393" s="11" t="s">
        <v>595</v>
      </c>
      <c r="B393" s="12" t="s">
        <v>33</v>
      </c>
      <c r="C393" s="12" t="s">
        <v>44</v>
      </c>
      <c r="D393" s="12" t="s">
        <v>45</v>
      </c>
      <c r="E393" s="13" t="s">
        <v>52</v>
      </c>
      <c r="F393" s="12" t="s">
        <v>34</v>
      </c>
      <c r="G393" s="14">
        <v>1937.2</v>
      </c>
      <c r="H393" s="12" t="s">
        <v>22</v>
      </c>
      <c r="I393" s="12">
        <v>0</v>
      </c>
      <c r="J393" s="12" t="s">
        <v>34</v>
      </c>
      <c r="K393" s="12" t="s">
        <v>23</v>
      </c>
      <c r="L393" s="12">
        <v>1</v>
      </c>
      <c r="M393" s="15">
        <v>33750</v>
      </c>
      <c r="N393" s="15">
        <v>12000</v>
      </c>
      <c r="O393" s="15">
        <f t="shared" si="30"/>
        <v>45750</v>
      </c>
      <c r="P393" s="15">
        <f t="shared" si="31"/>
        <v>23.616559983481313</v>
      </c>
      <c r="Q393" s="14">
        <v>4821</v>
      </c>
      <c r="R393" s="12">
        <v>40</v>
      </c>
      <c r="S393" s="12" t="s">
        <v>614</v>
      </c>
      <c r="T393" s="22">
        <f t="shared" si="32"/>
        <v>11</v>
      </c>
      <c r="U393" s="22">
        <f t="shared" si="33"/>
        <v>2020</v>
      </c>
      <c r="V393" s="22" t="str">
        <f t="shared" si="34"/>
        <v>METROPOLITANA</v>
      </c>
    </row>
    <row r="394" spans="1:22" x14ac:dyDescent="0.2">
      <c r="A394" s="11" t="s">
        <v>595</v>
      </c>
      <c r="B394" s="12" t="s">
        <v>33</v>
      </c>
      <c r="C394" s="12" t="s">
        <v>44</v>
      </c>
      <c r="D394" s="12" t="s">
        <v>47</v>
      </c>
      <c r="E394" s="13" t="s">
        <v>21</v>
      </c>
      <c r="F394" s="12" t="s">
        <v>48</v>
      </c>
      <c r="G394" s="14">
        <v>4537.6000000000004</v>
      </c>
      <c r="H394" s="12" t="s">
        <v>22</v>
      </c>
      <c r="I394" s="12">
        <v>0</v>
      </c>
      <c r="J394" s="12" t="s">
        <v>48</v>
      </c>
      <c r="K394" s="12" t="s">
        <v>23</v>
      </c>
      <c r="L394" s="12">
        <v>1</v>
      </c>
      <c r="M394" s="15">
        <v>33750</v>
      </c>
      <c r="N394" s="15">
        <v>18150</v>
      </c>
      <c r="O394" s="15">
        <f t="shared" si="30"/>
        <v>51900</v>
      </c>
      <c r="P394" s="15">
        <f t="shared" si="31"/>
        <v>11.437764456981663</v>
      </c>
      <c r="Q394" s="14">
        <v>4821</v>
      </c>
      <c r="R394" s="12">
        <v>94</v>
      </c>
      <c r="S394" s="12" t="s">
        <v>615</v>
      </c>
      <c r="T394" s="22">
        <f t="shared" si="32"/>
        <v>11</v>
      </c>
      <c r="U394" s="22">
        <f t="shared" si="33"/>
        <v>2020</v>
      </c>
      <c r="V394" s="22" t="str">
        <f t="shared" si="34"/>
        <v>METROPOLITANA</v>
      </c>
    </row>
    <row r="395" spans="1:22" x14ac:dyDescent="0.2">
      <c r="A395" s="11" t="s">
        <v>595</v>
      </c>
      <c r="B395" s="12" t="s">
        <v>33</v>
      </c>
      <c r="C395" s="12" t="s">
        <v>44</v>
      </c>
      <c r="D395" s="12" t="s">
        <v>35</v>
      </c>
      <c r="E395" s="13" t="s">
        <v>49</v>
      </c>
      <c r="F395" s="12" t="s">
        <v>46</v>
      </c>
      <c r="G395" s="14">
        <v>2964</v>
      </c>
      <c r="H395" s="12" t="s">
        <v>22</v>
      </c>
      <c r="I395" s="12">
        <v>0</v>
      </c>
      <c r="J395" s="12" t="s">
        <v>46</v>
      </c>
      <c r="K395" s="12" t="s">
        <v>23</v>
      </c>
      <c r="L395" s="12">
        <v>2</v>
      </c>
      <c r="M395" s="15">
        <v>40475</v>
      </c>
      <c r="N395" s="15">
        <v>12000</v>
      </c>
      <c r="O395" s="15">
        <f t="shared" si="30"/>
        <v>52475</v>
      </c>
      <c r="P395" s="15">
        <f t="shared" si="31"/>
        <v>17.704116059379217</v>
      </c>
      <c r="Q395" s="14">
        <v>5782</v>
      </c>
      <c r="R395" s="12">
        <v>51</v>
      </c>
      <c r="S395" s="12" t="s">
        <v>616</v>
      </c>
      <c r="T395" s="22">
        <f t="shared" si="32"/>
        <v>11</v>
      </c>
      <c r="U395" s="22">
        <f t="shared" si="33"/>
        <v>2020</v>
      </c>
      <c r="V395" s="22" t="str">
        <f t="shared" si="34"/>
        <v>METROPOLITANA</v>
      </c>
    </row>
    <row r="396" spans="1:22" x14ac:dyDescent="0.2">
      <c r="A396" s="23" t="s">
        <v>617</v>
      </c>
      <c r="B396" s="22" t="s">
        <v>18</v>
      </c>
      <c r="C396" s="22" t="s">
        <v>579</v>
      </c>
      <c r="D396" s="22" t="s">
        <v>30</v>
      </c>
      <c r="E396" s="24" t="s">
        <v>31</v>
      </c>
      <c r="F396" s="22" t="s">
        <v>161</v>
      </c>
      <c r="G396" s="25">
        <v>3639.79</v>
      </c>
      <c r="H396" s="22" t="s">
        <v>32</v>
      </c>
      <c r="I396" s="22">
        <v>0</v>
      </c>
      <c r="J396" s="22" t="s">
        <v>161</v>
      </c>
      <c r="K396" s="22" t="s">
        <v>23</v>
      </c>
      <c r="L396" s="22">
        <v>5</v>
      </c>
      <c r="M396" s="26">
        <v>70000</v>
      </c>
      <c r="N396" s="26">
        <f>G396*3</f>
        <v>10919.369999999999</v>
      </c>
      <c r="O396" s="27">
        <f t="shared" si="30"/>
        <v>80919.37</v>
      </c>
      <c r="P396" s="27">
        <f t="shared" si="31"/>
        <v>22.231878762236281</v>
      </c>
      <c r="Q396" s="25">
        <v>12000</v>
      </c>
      <c r="R396" s="22">
        <v>30</v>
      </c>
      <c r="S396" s="22" t="s">
        <v>618</v>
      </c>
      <c r="T396" s="22">
        <f t="shared" si="32"/>
        <v>11</v>
      </c>
      <c r="U396" s="22">
        <f t="shared" si="33"/>
        <v>2020</v>
      </c>
      <c r="V396" s="22" t="str">
        <f t="shared" si="34"/>
        <v>METROPOLITANA</v>
      </c>
    </row>
    <row r="397" spans="1:22" x14ac:dyDescent="0.2">
      <c r="A397" s="23" t="s">
        <v>617</v>
      </c>
      <c r="B397" s="22" t="s">
        <v>18</v>
      </c>
      <c r="C397" s="22" t="s">
        <v>57</v>
      </c>
      <c r="D397" s="22" t="s">
        <v>63</v>
      </c>
      <c r="E397" s="24" t="s">
        <v>64</v>
      </c>
      <c r="F397" s="22" t="s">
        <v>46</v>
      </c>
      <c r="G397" s="25">
        <v>7413.73</v>
      </c>
      <c r="H397" s="22" t="s">
        <v>65</v>
      </c>
      <c r="I397" s="22">
        <v>0</v>
      </c>
      <c r="J397" s="22" t="s">
        <v>46</v>
      </c>
      <c r="K397" s="22" t="s">
        <v>23</v>
      </c>
      <c r="L397" s="22">
        <v>2</v>
      </c>
      <c r="M397" s="26">
        <v>51896</v>
      </c>
      <c r="N397" s="26">
        <f>G397*3</f>
        <v>22241.19</v>
      </c>
      <c r="O397" s="27">
        <f t="shared" si="30"/>
        <v>74137.19</v>
      </c>
      <c r="P397" s="27">
        <f t="shared" si="31"/>
        <v>9.9999851626644087</v>
      </c>
      <c r="Q397" s="25">
        <v>5782</v>
      </c>
      <c r="R397" s="22">
        <v>100</v>
      </c>
      <c r="S397" s="22" t="s">
        <v>619</v>
      </c>
      <c r="T397" s="22">
        <f t="shared" si="32"/>
        <v>11</v>
      </c>
      <c r="U397" s="22">
        <f t="shared" si="33"/>
        <v>2020</v>
      </c>
      <c r="V397" s="22" t="str">
        <f t="shared" si="34"/>
        <v>METROPOLITANA</v>
      </c>
    </row>
    <row r="398" spans="1:22" x14ac:dyDescent="0.2">
      <c r="A398" s="23" t="s">
        <v>617</v>
      </c>
      <c r="B398" s="22" t="s">
        <v>18</v>
      </c>
      <c r="C398" s="22" t="s">
        <v>500</v>
      </c>
      <c r="D398" s="22" t="s">
        <v>37</v>
      </c>
      <c r="E398" s="24" t="s">
        <v>40</v>
      </c>
      <c r="F398" s="22" t="s">
        <v>120</v>
      </c>
      <c r="G398" s="25">
        <v>9854.2199999999993</v>
      </c>
      <c r="H398" s="22" t="s">
        <v>22</v>
      </c>
      <c r="I398" s="22">
        <v>0</v>
      </c>
      <c r="J398" s="22" t="s">
        <v>120</v>
      </c>
      <c r="K398" s="22" t="s">
        <v>23</v>
      </c>
      <c r="L398" s="22">
        <v>5</v>
      </c>
      <c r="M398" s="26">
        <v>70000</v>
      </c>
      <c r="N398" s="26">
        <f>G398*4</f>
        <v>39416.879999999997</v>
      </c>
      <c r="O398" s="27">
        <f t="shared" si="30"/>
        <v>109416.88</v>
      </c>
      <c r="P398" s="27">
        <f t="shared" si="31"/>
        <v>11.103555634032933</v>
      </c>
      <c r="Q398" s="25">
        <v>12000</v>
      </c>
      <c r="R398" s="22">
        <v>82</v>
      </c>
      <c r="S398" s="22" t="s">
        <v>620</v>
      </c>
      <c r="T398" s="22">
        <f t="shared" si="32"/>
        <v>11</v>
      </c>
      <c r="U398" s="22">
        <f t="shared" si="33"/>
        <v>2020</v>
      </c>
      <c r="V398" s="22" t="str">
        <f t="shared" si="34"/>
        <v>METROPOLITANA</v>
      </c>
    </row>
    <row r="399" spans="1:22" x14ac:dyDescent="0.2">
      <c r="A399" s="23" t="s">
        <v>617</v>
      </c>
      <c r="B399" s="22" t="s">
        <v>18</v>
      </c>
      <c r="C399" s="22" t="s">
        <v>500</v>
      </c>
      <c r="D399" s="22" t="s">
        <v>27</v>
      </c>
      <c r="E399" s="24" t="s">
        <v>28</v>
      </c>
      <c r="F399" s="22" t="s">
        <v>120</v>
      </c>
      <c r="G399" s="25">
        <v>11116.53</v>
      </c>
      <c r="H399" s="22" t="s">
        <v>22</v>
      </c>
      <c r="I399" s="22">
        <v>1</v>
      </c>
      <c r="J399" s="22" t="s">
        <v>120</v>
      </c>
      <c r="K399" s="22" t="s">
        <v>23</v>
      </c>
      <c r="L399" s="22">
        <v>5</v>
      </c>
      <c r="M399" s="26">
        <v>120000</v>
      </c>
      <c r="N399" s="26">
        <f>G399*4</f>
        <v>44466.12</v>
      </c>
      <c r="O399" s="27">
        <f t="shared" si="30"/>
        <v>164466.12</v>
      </c>
      <c r="P399" s="27">
        <f t="shared" si="31"/>
        <v>14.79473540754174</v>
      </c>
      <c r="Q399" s="25">
        <v>12000</v>
      </c>
      <c r="R399" s="22">
        <v>93</v>
      </c>
      <c r="S399" s="22" t="s">
        <v>621</v>
      </c>
      <c r="T399" s="22">
        <f t="shared" si="32"/>
        <v>11</v>
      </c>
      <c r="U399" s="22">
        <f t="shared" si="33"/>
        <v>2020</v>
      </c>
      <c r="V399" s="22" t="str">
        <f t="shared" si="34"/>
        <v>METROPOLITANA</v>
      </c>
    </row>
    <row r="400" spans="1:22" x14ac:dyDescent="0.2">
      <c r="A400" s="23" t="s">
        <v>617</v>
      </c>
      <c r="B400" s="22" t="s">
        <v>18</v>
      </c>
      <c r="C400" s="22" t="s">
        <v>44</v>
      </c>
      <c r="D400" s="22" t="s">
        <v>130</v>
      </c>
      <c r="E400" s="24" t="s">
        <v>131</v>
      </c>
      <c r="F400" s="22" t="s">
        <v>39</v>
      </c>
      <c r="G400" s="25">
        <v>17818.2</v>
      </c>
      <c r="H400" s="22" t="s">
        <v>85</v>
      </c>
      <c r="I400" s="22">
        <v>1</v>
      </c>
      <c r="J400" s="22" t="s">
        <v>39</v>
      </c>
      <c r="K400" s="22" t="s">
        <v>23</v>
      </c>
      <c r="L400" s="22">
        <v>1</v>
      </c>
      <c r="M400" s="26">
        <v>124727</v>
      </c>
      <c r="N400" s="26">
        <v>53455</v>
      </c>
      <c r="O400" s="27">
        <f t="shared" si="30"/>
        <v>178182</v>
      </c>
      <c r="P400" s="27">
        <f t="shared" si="31"/>
        <v>10</v>
      </c>
      <c r="Q400" s="25">
        <v>4821</v>
      </c>
      <c r="R400" s="22">
        <v>100</v>
      </c>
      <c r="S400" s="22" t="s">
        <v>622</v>
      </c>
      <c r="T400" s="22">
        <f t="shared" si="32"/>
        <v>11</v>
      </c>
      <c r="U400" s="22">
        <f t="shared" si="33"/>
        <v>2020</v>
      </c>
      <c r="V400" s="22" t="str">
        <f t="shared" si="34"/>
        <v>METROPOLITANA</v>
      </c>
    </row>
    <row r="401" spans="1:22" x14ac:dyDescent="0.2">
      <c r="A401" s="23" t="s">
        <v>617</v>
      </c>
      <c r="B401" s="22" t="s">
        <v>33</v>
      </c>
      <c r="C401" s="22" t="s">
        <v>60</v>
      </c>
      <c r="D401" s="22" t="s">
        <v>41</v>
      </c>
      <c r="E401" s="24" t="s">
        <v>25</v>
      </c>
      <c r="F401" s="22" t="s">
        <v>89</v>
      </c>
      <c r="G401" s="25">
        <v>7503.9999999999973</v>
      </c>
      <c r="H401" s="22" t="s">
        <v>43</v>
      </c>
      <c r="I401" s="22">
        <v>0</v>
      </c>
      <c r="J401" s="22" t="s">
        <v>89</v>
      </c>
      <c r="K401" s="22" t="s">
        <v>23</v>
      </c>
      <c r="L401" s="22">
        <v>5</v>
      </c>
      <c r="M401" s="26">
        <v>90000</v>
      </c>
      <c r="N401" s="26">
        <f>G401*3</f>
        <v>22511.999999999993</v>
      </c>
      <c r="O401" s="27">
        <f t="shared" si="30"/>
        <v>112512</v>
      </c>
      <c r="P401" s="27">
        <f t="shared" si="31"/>
        <v>14.993603411513865</v>
      </c>
      <c r="Q401" s="25">
        <v>12000</v>
      </c>
      <c r="R401" s="22">
        <v>63</v>
      </c>
      <c r="S401" s="22" t="s">
        <v>623</v>
      </c>
      <c r="T401" s="22">
        <f t="shared" si="32"/>
        <v>11</v>
      </c>
      <c r="U401" s="22">
        <f t="shared" si="33"/>
        <v>2020</v>
      </c>
      <c r="V401" s="22" t="str">
        <f t="shared" si="34"/>
        <v>METROPOLITANA</v>
      </c>
    </row>
    <row r="402" spans="1:22" x14ac:dyDescent="0.2">
      <c r="A402" s="23" t="s">
        <v>617</v>
      </c>
      <c r="B402" s="22" t="s">
        <v>33</v>
      </c>
      <c r="C402" s="22" t="s">
        <v>128</v>
      </c>
      <c r="D402" s="22" t="s">
        <v>20</v>
      </c>
      <c r="E402" s="24" t="s">
        <v>21</v>
      </c>
      <c r="F402" s="22" t="s">
        <v>129</v>
      </c>
      <c r="G402" s="25">
        <v>8176.7999999999984</v>
      </c>
      <c r="H402" s="22" t="s">
        <v>22</v>
      </c>
      <c r="I402" s="22">
        <v>0</v>
      </c>
      <c r="J402" s="22" t="s">
        <v>129</v>
      </c>
      <c r="K402" s="22" t="s">
        <v>23</v>
      </c>
      <c r="L402" s="22">
        <v>1</v>
      </c>
      <c r="M402" s="26">
        <v>57238</v>
      </c>
      <c r="N402" s="26">
        <v>32707</v>
      </c>
      <c r="O402" s="27">
        <f t="shared" si="30"/>
        <v>89945</v>
      </c>
      <c r="P402" s="27">
        <f t="shared" si="31"/>
        <v>11.000024459446241</v>
      </c>
      <c r="Q402" s="25">
        <v>4821</v>
      </c>
      <c r="R402" s="22">
        <v>100</v>
      </c>
      <c r="S402" s="22" t="s">
        <v>624</v>
      </c>
      <c r="T402" s="22">
        <f t="shared" si="32"/>
        <v>11</v>
      </c>
      <c r="U402" s="22">
        <f t="shared" si="33"/>
        <v>2020</v>
      </c>
      <c r="V402" s="22" t="str">
        <f t="shared" si="34"/>
        <v>METROPOLITANA</v>
      </c>
    </row>
    <row r="403" spans="1:22" x14ac:dyDescent="0.2">
      <c r="A403" s="23" t="s">
        <v>617</v>
      </c>
      <c r="B403" s="22" t="s">
        <v>33</v>
      </c>
      <c r="C403" s="22" t="s">
        <v>29</v>
      </c>
      <c r="D403" s="22" t="s">
        <v>41</v>
      </c>
      <c r="E403" s="24" t="s">
        <v>25</v>
      </c>
      <c r="F403" s="22" t="s">
        <v>39</v>
      </c>
      <c r="G403" s="25">
        <v>7503.9999999999973</v>
      </c>
      <c r="H403" s="22" t="s">
        <v>43</v>
      </c>
      <c r="I403" s="22">
        <v>0</v>
      </c>
      <c r="J403" s="22" t="s">
        <v>39</v>
      </c>
      <c r="K403" s="22" t="s">
        <v>23</v>
      </c>
      <c r="L403" s="22">
        <v>1</v>
      </c>
      <c r="M403" s="26">
        <v>52528</v>
      </c>
      <c r="N403" s="26">
        <v>22512</v>
      </c>
      <c r="O403" s="27">
        <f t="shared" si="30"/>
        <v>75040</v>
      </c>
      <c r="P403" s="27">
        <f t="shared" si="31"/>
        <v>10.000000000000004</v>
      </c>
      <c r="Q403" s="25">
        <v>4821</v>
      </c>
      <c r="R403" s="22">
        <v>100</v>
      </c>
      <c r="S403" s="22" t="s">
        <v>625</v>
      </c>
      <c r="T403" s="22">
        <f t="shared" si="32"/>
        <v>11</v>
      </c>
      <c r="U403" s="22">
        <f t="shared" si="33"/>
        <v>2020</v>
      </c>
      <c r="V403" s="22" t="str">
        <f t="shared" si="34"/>
        <v>METROPOLITANA</v>
      </c>
    </row>
    <row r="404" spans="1:22" x14ac:dyDescent="0.2">
      <c r="A404" s="23" t="s">
        <v>617</v>
      </c>
      <c r="B404" s="22" t="s">
        <v>33</v>
      </c>
      <c r="C404" s="22" t="s">
        <v>44</v>
      </c>
      <c r="D404" s="22" t="s">
        <v>56</v>
      </c>
      <c r="E404" s="24" t="s">
        <v>52</v>
      </c>
      <c r="F404" s="22" t="s">
        <v>48</v>
      </c>
      <c r="G404" s="25">
        <v>4100.8</v>
      </c>
      <c r="H404" s="22" t="s">
        <v>22</v>
      </c>
      <c r="I404" s="22">
        <v>0</v>
      </c>
      <c r="J404" s="22" t="s">
        <v>48</v>
      </c>
      <c r="K404" s="22" t="s">
        <v>23</v>
      </c>
      <c r="L404" s="22">
        <v>1</v>
      </c>
      <c r="M404" s="26">
        <v>33750</v>
      </c>
      <c r="N404" s="26">
        <v>16403</v>
      </c>
      <c r="O404" s="27">
        <f t="shared" si="30"/>
        <v>50153</v>
      </c>
      <c r="P404" s="27">
        <f t="shared" si="31"/>
        <v>12.230052672649238</v>
      </c>
      <c r="Q404" s="25">
        <v>4821</v>
      </c>
      <c r="R404" s="22">
        <v>85</v>
      </c>
      <c r="S404" s="22" t="s">
        <v>626</v>
      </c>
      <c r="T404" s="22">
        <f t="shared" si="32"/>
        <v>11</v>
      </c>
      <c r="U404" s="22">
        <f t="shared" si="33"/>
        <v>2020</v>
      </c>
      <c r="V404" s="22" t="str">
        <f t="shared" si="34"/>
        <v>METROPOLITANA</v>
      </c>
    </row>
    <row r="405" spans="1:22" x14ac:dyDescent="0.2">
      <c r="A405" s="23" t="s">
        <v>617</v>
      </c>
      <c r="B405" s="22" t="s">
        <v>33</v>
      </c>
      <c r="C405" s="22" t="s">
        <v>44</v>
      </c>
      <c r="D405" s="22" t="s">
        <v>45</v>
      </c>
      <c r="E405" s="24" t="s">
        <v>88</v>
      </c>
      <c r="F405" s="22" t="s">
        <v>225</v>
      </c>
      <c r="G405" s="25">
        <v>1600.6</v>
      </c>
      <c r="H405" s="22" t="s">
        <v>22</v>
      </c>
      <c r="I405" s="22">
        <v>0</v>
      </c>
      <c r="J405" s="22" t="s">
        <v>225</v>
      </c>
      <c r="K405" s="22" t="s">
        <v>23</v>
      </c>
      <c r="L405" s="22">
        <v>3</v>
      </c>
      <c r="M405" s="26">
        <v>48075</v>
      </c>
      <c r="N405" s="26">
        <v>12000</v>
      </c>
      <c r="O405" s="27">
        <f t="shared" si="30"/>
        <v>60075</v>
      </c>
      <c r="P405" s="27">
        <f t="shared" si="31"/>
        <v>37.532800199925028</v>
      </c>
      <c r="Q405" s="25">
        <v>6868</v>
      </c>
      <c r="R405" s="22">
        <v>23</v>
      </c>
      <c r="S405" s="22" t="s">
        <v>627</v>
      </c>
      <c r="T405" s="22">
        <f t="shared" si="32"/>
        <v>11</v>
      </c>
      <c r="U405" s="22">
        <f t="shared" si="33"/>
        <v>2020</v>
      </c>
      <c r="V405" s="22" t="str">
        <f t="shared" si="34"/>
        <v>METROPOLITANA</v>
      </c>
    </row>
    <row r="406" spans="1:22" x14ac:dyDescent="0.2">
      <c r="A406" s="23" t="s">
        <v>617</v>
      </c>
      <c r="B406" s="22" t="s">
        <v>33</v>
      </c>
      <c r="C406" s="22" t="s">
        <v>44</v>
      </c>
      <c r="D406" s="22" t="s">
        <v>35</v>
      </c>
      <c r="E406" s="24" t="s">
        <v>49</v>
      </c>
      <c r="F406" s="22" t="s">
        <v>182</v>
      </c>
      <c r="G406" s="25">
        <v>1975.2</v>
      </c>
      <c r="H406" s="22" t="s">
        <v>22</v>
      </c>
      <c r="I406" s="22">
        <v>0</v>
      </c>
      <c r="J406" s="22" t="s">
        <v>182</v>
      </c>
      <c r="K406" s="22" t="s">
        <v>23</v>
      </c>
      <c r="L406" s="22">
        <v>4</v>
      </c>
      <c r="M406" s="26">
        <v>56075</v>
      </c>
      <c r="N406" s="26">
        <v>12000</v>
      </c>
      <c r="O406" s="27">
        <f t="shared" si="30"/>
        <v>68075</v>
      </c>
      <c r="P406" s="27">
        <f t="shared" si="31"/>
        <v>34.464864317537462</v>
      </c>
      <c r="Q406" s="25">
        <v>8011</v>
      </c>
      <c r="R406" s="22">
        <v>25</v>
      </c>
      <c r="S406" s="22" t="s">
        <v>628</v>
      </c>
      <c r="T406" s="22">
        <f t="shared" si="32"/>
        <v>11</v>
      </c>
      <c r="U406" s="22">
        <f t="shared" si="33"/>
        <v>2020</v>
      </c>
      <c r="V406" s="22" t="str">
        <f t="shared" si="34"/>
        <v>METROPOLITANA</v>
      </c>
    </row>
    <row r="407" spans="1:22" x14ac:dyDescent="0.2">
      <c r="A407" s="11" t="s">
        <v>629</v>
      </c>
      <c r="B407" s="12" t="s">
        <v>54</v>
      </c>
      <c r="C407" s="12" t="s">
        <v>55</v>
      </c>
      <c r="D407" s="12" t="s">
        <v>303</v>
      </c>
      <c r="E407" s="13" t="s">
        <v>304</v>
      </c>
      <c r="F407" s="12" t="s">
        <v>66</v>
      </c>
      <c r="G407" s="14">
        <v>17481.19999999999</v>
      </c>
      <c r="H407" s="12" t="s">
        <v>24</v>
      </c>
      <c r="I407" s="12">
        <v>1</v>
      </c>
      <c r="J407" s="12" t="s">
        <v>66</v>
      </c>
      <c r="K407" s="12" t="s">
        <v>75</v>
      </c>
      <c r="L407" s="12">
        <v>0</v>
      </c>
      <c r="M407" s="15">
        <v>380000</v>
      </c>
      <c r="N407" s="15">
        <v>0</v>
      </c>
      <c r="O407" s="15">
        <f t="shared" si="30"/>
        <v>380000</v>
      </c>
      <c r="P407" s="15">
        <f t="shared" si="31"/>
        <v>21.737638148410877</v>
      </c>
      <c r="Q407" s="14">
        <v>25000</v>
      </c>
      <c r="R407" s="12">
        <v>70</v>
      </c>
      <c r="S407" s="12" t="s">
        <v>630</v>
      </c>
      <c r="T407" s="22">
        <f t="shared" si="32"/>
        <v>11</v>
      </c>
      <c r="U407" s="22">
        <f t="shared" si="33"/>
        <v>2020</v>
      </c>
      <c r="V407" s="22" t="str">
        <f t="shared" si="34"/>
        <v>REGIONES</v>
      </c>
    </row>
    <row r="408" spans="1:22" x14ac:dyDescent="0.2">
      <c r="A408" s="11" t="s">
        <v>629</v>
      </c>
      <c r="B408" s="12" t="s">
        <v>18</v>
      </c>
      <c r="C408" s="12" t="s">
        <v>57</v>
      </c>
      <c r="D408" s="12" t="s">
        <v>38</v>
      </c>
      <c r="E408" s="13" t="s">
        <v>42</v>
      </c>
      <c r="F408" s="12" t="s">
        <v>120</v>
      </c>
      <c r="G408" s="14">
        <v>3720.12</v>
      </c>
      <c r="H408" s="12" t="s">
        <v>43</v>
      </c>
      <c r="I408" s="12">
        <v>0</v>
      </c>
      <c r="J408" s="12" t="s">
        <v>120</v>
      </c>
      <c r="K408" s="12" t="s">
        <v>23</v>
      </c>
      <c r="L408" s="12">
        <v>5</v>
      </c>
      <c r="M408" s="15">
        <v>70000</v>
      </c>
      <c r="N408" s="15">
        <f>G408*3</f>
        <v>11160.36</v>
      </c>
      <c r="O408" s="15">
        <f t="shared" si="30"/>
        <v>81160.36</v>
      </c>
      <c r="P408" s="15">
        <f t="shared" si="31"/>
        <v>21.816597314065138</v>
      </c>
      <c r="Q408" s="14">
        <v>12000</v>
      </c>
      <c r="R408" s="12">
        <v>31</v>
      </c>
      <c r="S408" s="12" t="s">
        <v>631</v>
      </c>
      <c r="T408" s="22">
        <f t="shared" si="32"/>
        <v>11</v>
      </c>
      <c r="U408" s="22">
        <f t="shared" si="33"/>
        <v>2020</v>
      </c>
      <c r="V408" s="22" t="str">
        <f t="shared" si="34"/>
        <v>METROPOLITANA</v>
      </c>
    </row>
    <row r="409" spans="1:22" x14ac:dyDescent="0.2">
      <c r="A409" s="11" t="s">
        <v>629</v>
      </c>
      <c r="B409" s="12" t="s">
        <v>18</v>
      </c>
      <c r="C409" s="12" t="s">
        <v>57</v>
      </c>
      <c r="D409" s="12" t="s">
        <v>37</v>
      </c>
      <c r="E409" s="13" t="s">
        <v>40</v>
      </c>
      <c r="F409" s="12" t="s">
        <v>120</v>
      </c>
      <c r="G409" s="14">
        <v>8389.14</v>
      </c>
      <c r="H409" s="12" t="s">
        <v>22</v>
      </c>
      <c r="I409" s="12">
        <v>0</v>
      </c>
      <c r="J409" s="12" t="s">
        <v>120</v>
      </c>
      <c r="K409" s="12" t="s">
        <v>23</v>
      </c>
      <c r="L409" s="12">
        <v>5</v>
      </c>
      <c r="M409" s="15">
        <v>70000</v>
      </c>
      <c r="N409" s="15">
        <f>G409*4</f>
        <v>33556.559999999998</v>
      </c>
      <c r="O409" s="15">
        <f t="shared" si="30"/>
        <v>103556.56</v>
      </c>
      <c r="P409" s="15">
        <f t="shared" si="31"/>
        <v>12.344121089885258</v>
      </c>
      <c r="Q409" s="14">
        <v>12000</v>
      </c>
      <c r="R409" s="12">
        <v>70</v>
      </c>
      <c r="S409" s="12" t="s">
        <v>632</v>
      </c>
      <c r="T409" s="22">
        <f t="shared" si="32"/>
        <v>11</v>
      </c>
      <c r="U409" s="22">
        <f t="shared" si="33"/>
        <v>2020</v>
      </c>
      <c r="V409" s="22" t="str">
        <f t="shared" si="34"/>
        <v>METROPOLITANA</v>
      </c>
    </row>
    <row r="410" spans="1:22" x14ac:dyDescent="0.2">
      <c r="A410" s="11" t="s">
        <v>629</v>
      </c>
      <c r="B410" s="12" t="s">
        <v>18</v>
      </c>
      <c r="C410" s="12" t="s">
        <v>500</v>
      </c>
      <c r="D410" s="12" t="s">
        <v>63</v>
      </c>
      <c r="E410" s="13" t="s">
        <v>64</v>
      </c>
      <c r="F410" s="12" t="s">
        <v>120</v>
      </c>
      <c r="G410" s="14">
        <v>7098.9600000000009</v>
      </c>
      <c r="H410" s="12" t="s">
        <v>65</v>
      </c>
      <c r="I410" s="12">
        <v>0</v>
      </c>
      <c r="J410" s="12" t="s">
        <v>120</v>
      </c>
      <c r="K410" s="12" t="s">
        <v>23</v>
      </c>
      <c r="L410" s="12">
        <v>5</v>
      </c>
      <c r="M410" s="15">
        <v>70000</v>
      </c>
      <c r="N410" s="15">
        <f>G410*3</f>
        <v>21296.880000000005</v>
      </c>
      <c r="O410" s="15">
        <f t="shared" si="30"/>
        <v>91296.88</v>
      </c>
      <c r="P410" s="15">
        <f t="shared" si="31"/>
        <v>12.860599299052254</v>
      </c>
      <c r="Q410" s="14">
        <v>12000</v>
      </c>
      <c r="R410" s="12">
        <v>59</v>
      </c>
      <c r="S410" s="12" t="s">
        <v>633</v>
      </c>
      <c r="T410" s="22">
        <f t="shared" si="32"/>
        <v>11</v>
      </c>
      <c r="U410" s="22">
        <f t="shared" si="33"/>
        <v>2020</v>
      </c>
      <c r="V410" s="22" t="str">
        <f t="shared" si="34"/>
        <v>METROPOLITANA</v>
      </c>
    </row>
    <row r="411" spans="1:22" x14ac:dyDescent="0.2">
      <c r="A411" s="11" t="s">
        <v>629</v>
      </c>
      <c r="B411" s="12" t="s">
        <v>18</v>
      </c>
      <c r="C411" s="12" t="s">
        <v>163</v>
      </c>
      <c r="D411" s="12" t="s">
        <v>41</v>
      </c>
      <c r="E411" s="13" t="s">
        <v>25</v>
      </c>
      <c r="F411" s="12" t="s">
        <v>165</v>
      </c>
      <c r="G411" s="14">
        <v>4841.1000000000004</v>
      </c>
      <c r="H411" s="12" t="s">
        <v>43</v>
      </c>
      <c r="I411" s="12">
        <v>0</v>
      </c>
      <c r="J411" s="12" t="s">
        <v>165</v>
      </c>
      <c r="K411" s="12" t="s">
        <v>23</v>
      </c>
      <c r="L411" s="12">
        <v>4</v>
      </c>
      <c r="M411" s="15">
        <v>56075</v>
      </c>
      <c r="N411" s="15">
        <f>G411*3</f>
        <v>14523.300000000001</v>
      </c>
      <c r="O411" s="15">
        <f t="shared" si="30"/>
        <v>70598.3</v>
      </c>
      <c r="P411" s="15">
        <f t="shared" si="31"/>
        <v>14.583111276362809</v>
      </c>
      <c r="Q411" s="14">
        <v>8011</v>
      </c>
      <c r="R411" s="12">
        <v>60</v>
      </c>
      <c r="S411" s="12" t="s">
        <v>634</v>
      </c>
      <c r="T411" s="22">
        <f t="shared" si="32"/>
        <v>11</v>
      </c>
      <c r="U411" s="22">
        <f t="shared" si="33"/>
        <v>2020</v>
      </c>
      <c r="V411" s="22" t="str">
        <f t="shared" si="34"/>
        <v>METROPOLITANA</v>
      </c>
    </row>
    <row r="412" spans="1:22" x14ac:dyDescent="0.2">
      <c r="A412" s="11" t="s">
        <v>629</v>
      </c>
      <c r="B412" s="12" t="s">
        <v>18</v>
      </c>
      <c r="C412" s="12" t="s">
        <v>163</v>
      </c>
      <c r="D412" s="12" t="s">
        <v>20</v>
      </c>
      <c r="E412" s="13" t="s">
        <v>40</v>
      </c>
      <c r="F412" s="12" t="s">
        <v>165</v>
      </c>
      <c r="G412" s="14">
        <v>4588.6400000000003</v>
      </c>
      <c r="H412" s="12" t="s">
        <v>22</v>
      </c>
      <c r="I412" s="12">
        <v>0</v>
      </c>
      <c r="J412" s="12" t="s">
        <v>165</v>
      </c>
      <c r="K412" s="12" t="s">
        <v>23</v>
      </c>
      <c r="L412" s="12">
        <v>4</v>
      </c>
      <c r="M412" s="15">
        <v>56075</v>
      </c>
      <c r="N412" s="15">
        <f>G412*4</f>
        <v>18354.560000000001</v>
      </c>
      <c r="O412" s="15">
        <f t="shared" si="30"/>
        <v>74429.56</v>
      </c>
      <c r="P412" s="15">
        <f t="shared" si="31"/>
        <v>16.220396457338122</v>
      </c>
      <c r="Q412" s="14">
        <v>8011</v>
      </c>
      <c r="R412" s="12">
        <v>57</v>
      </c>
      <c r="S412" s="12" t="s">
        <v>635</v>
      </c>
      <c r="T412" s="22">
        <f t="shared" si="32"/>
        <v>11</v>
      </c>
      <c r="U412" s="22">
        <f t="shared" si="33"/>
        <v>2020</v>
      </c>
      <c r="V412" s="22" t="str">
        <f t="shared" si="34"/>
        <v>METROPOLITANA</v>
      </c>
    </row>
    <row r="413" spans="1:22" x14ac:dyDescent="0.2">
      <c r="A413" s="11" t="s">
        <v>629</v>
      </c>
      <c r="B413" s="12" t="s">
        <v>18</v>
      </c>
      <c r="C413" s="12" t="s">
        <v>44</v>
      </c>
      <c r="D413" s="12" t="s">
        <v>636</v>
      </c>
      <c r="E413" s="13" t="s">
        <v>637</v>
      </c>
      <c r="F413" s="12" t="s">
        <v>39</v>
      </c>
      <c r="G413" s="14">
        <v>12191.4</v>
      </c>
      <c r="H413" s="12" t="s">
        <v>85</v>
      </c>
      <c r="I413" s="12">
        <v>1</v>
      </c>
      <c r="J413" s="12" t="s">
        <v>39</v>
      </c>
      <c r="K413" s="12" t="s">
        <v>23</v>
      </c>
      <c r="L413" s="12">
        <v>1</v>
      </c>
      <c r="M413" s="15">
        <v>85340</v>
      </c>
      <c r="N413" s="15">
        <v>36574</v>
      </c>
      <c r="O413" s="15">
        <f t="shared" si="30"/>
        <v>121914</v>
      </c>
      <c r="P413" s="15">
        <f t="shared" si="31"/>
        <v>10</v>
      </c>
      <c r="Q413" s="14">
        <v>4821</v>
      </c>
      <c r="R413" s="12">
        <v>100</v>
      </c>
      <c r="S413" s="12" t="s">
        <v>638</v>
      </c>
      <c r="T413" s="22">
        <f t="shared" si="32"/>
        <v>11</v>
      </c>
      <c r="U413" s="22">
        <f t="shared" si="33"/>
        <v>2020</v>
      </c>
      <c r="V413" s="22" t="str">
        <f t="shared" si="34"/>
        <v>METROPOLITANA</v>
      </c>
    </row>
    <row r="414" spans="1:22" x14ac:dyDescent="0.2">
      <c r="A414" s="11" t="s">
        <v>629</v>
      </c>
      <c r="B414" s="12" t="s">
        <v>18</v>
      </c>
      <c r="C414" s="12" t="s">
        <v>44</v>
      </c>
      <c r="D414" s="12" t="s">
        <v>636</v>
      </c>
      <c r="E414" s="13" t="s">
        <v>639</v>
      </c>
      <c r="F414" s="12" t="s">
        <v>39</v>
      </c>
      <c r="G414" s="14">
        <v>7314.8400000000011</v>
      </c>
      <c r="H414" s="12" t="s">
        <v>85</v>
      </c>
      <c r="I414" s="12">
        <v>1</v>
      </c>
      <c r="J414" s="12" t="s">
        <v>39</v>
      </c>
      <c r="K414" s="12" t="s">
        <v>23</v>
      </c>
      <c r="L414" s="12">
        <v>1</v>
      </c>
      <c r="M414" s="15">
        <v>51204</v>
      </c>
      <c r="N414" s="15">
        <v>21945</v>
      </c>
      <c r="O414" s="15">
        <f t="shared" si="30"/>
        <v>73149</v>
      </c>
      <c r="P414" s="15">
        <f t="shared" si="31"/>
        <v>10.00008202503404</v>
      </c>
      <c r="Q414" s="14">
        <v>4821</v>
      </c>
      <c r="R414" s="12">
        <v>100</v>
      </c>
      <c r="S414" s="12" t="s">
        <v>640</v>
      </c>
      <c r="T414" s="22">
        <f t="shared" si="32"/>
        <v>11</v>
      </c>
      <c r="U414" s="22">
        <f t="shared" si="33"/>
        <v>2020</v>
      </c>
      <c r="V414" s="22" t="str">
        <f t="shared" si="34"/>
        <v>METROPOLITANA</v>
      </c>
    </row>
    <row r="415" spans="1:22" x14ac:dyDescent="0.2">
      <c r="A415" s="11" t="s">
        <v>629</v>
      </c>
      <c r="B415" s="12" t="s">
        <v>18</v>
      </c>
      <c r="C415" s="12" t="s">
        <v>44</v>
      </c>
      <c r="D415" s="12" t="s">
        <v>80</v>
      </c>
      <c r="E415" s="13" t="s">
        <v>81</v>
      </c>
      <c r="F415" s="12" t="s">
        <v>39</v>
      </c>
      <c r="G415" s="14">
        <v>17880.72</v>
      </c>
      <c r="H415" s="12" t="s">
        <v>85</v>
      </c>
      <c r="I415" s="12">
        <v>1</v>
      </c>
      <c r="J415" s="12" t="s">
        <v>39</v>
      </c>
      <c r="K415" s="12" t="s">
        <v>23</v>
      </c>
      <c r="L415" s="12">
        <v>1</v>
      </c>
      <c r="M415" s="15">
        <v>125165</v>
      </c>
      <c r="N415" s="15">
        <v>53642</v>
      </c>
      <c r="O415" s="15">
        <f t="shared" si="30"/>
        <v>178807</v>
      </c>
      <c r="P415" s="15">
        <f t="shared" si="31"/>
        <v>9.9999888147680842</v>
      </c>
      <c r="Q415" s="14">
        <v>4821</v>
      </c>
      <c r="R415" s="12">
        <v>100</v>
      </c>
      <c r="S415" s="12" t="s">
        <v>641</v>
      </c>
      <c r="T415" s="22">
        <f t="shared" si="32"/>
        <v>11</v>
      </c>
      <c r="U415" s="22">
        <f t="shared" si="33"/>
        <v>2020</v>
      </c>
      <c r="V415" s="22" t="str">
        <f t="shared" si="34"/>
        <v>METROPOLITANA</v>
      </c>
    </row>
    <row r="416" spans="1:22" x14ac:dyDescent="0.2">
      <c r="A416" s="11" t="s">
        <v>629</v>
      </c>
      <c r="B416" s="12" t="s">
        <v>18</v>
      </c>
      <c r="C416" s="12" t="s">
        <v>44</v>
      </c>
      <c r="D416" s="12" t="s">
        <v>30</v>
      </c>
      <c r="E416" s="13" t="s">
        <v>31</v>
      </c>
      <c r="F416" s="12" t="s">
        <v>39</v>
      </c>
      <c r="G416" s="14">
        <v>4154.13</v>
      </c>
      <c r="H416" s="12" t="s">
        <v>32</v>
      </c>
      <c r="I416" s="12">
        <v>0</v>
      </c>
      <c r="J416" s="12" t="s">
        <v>39</v>
      </c>
      <c r="K416" s="12" t="s">
        <v>23</v>
      </c>
      <c r="L416" s="12">
        <v>1</v>
      </c>
      <c r="M416" s="15">
        <v>33750</v>
      </c>
      <c r="N416" s="15">
        <v>12462</v>
      </c>
      <c r="O416" s="15">
        <f t="shared" si="30"/>
        <v>46212</v>
      </c>
      <c r="P416" s="15">
        <f t="shared" si="31"/>
        <v>11.124350947129724</v>
      </c>
      <c r="Q416" s="14">
        <v>4821</v>
      </c>
      <c r="R416" s="12">
        <v>86</v>
      </c>
      <c r="S416" s="12" t="s">
        <v>642</v>
      </c>
      <c r="T416" s="22">
        <f t="shared" si="32"/>
        <v>11</v>
      </c>
      <c r="U416" s="22">
        <f t="shared" si="33"/>
        <v>2020</v>
      </c>
      <c r="V416" s="22" t="str">
        <f t="shared" si="34"/>
        <v>METROPOLITANA</v>
      </c>
    </row>
    <row r="417" spans="1:22" x14ac:dyDescent="0.2">
      <c r="A417" s="11" t="s">
        <v>629</v>
      </c>
      <c r="B417" s="12" t="s">
        <v>33</v>
      </c>
      <c r="C417" s="12" t="s">
        <v>60</v>
      </c>
      <c r="D417" s="12" t="s">
        <v>56</v>
      </c>
      <c r="E417" s="13" t="s">
        <v>49</v>
      </c>
      <c r="F417" s="12" t="s">
        <v>161</v>
      </c>
      <c r="G417" s="14">
        <v>7503.9999999999973</v>
      </c>
      <c r="H417" s="12" t="s">
        <v>22</v>
      </c>
      <c r="I417" s="12">
        <v>0</v>
      </c>
      <c r="J417" s="12" t="s">
        <v>161</v>
      </c>
      <c r="K417" s="12" t="s">
        <v>23</v>
      </c>
      <c r="L417" s="12">
        <v>5</v>
      </c>
      <c r="M417" s="15">
        <v>70000</v>
      </c>
      <c r="N417" s="15">
        <f>G417*4</f>
        <v>30015.999999999989</v>
      </c>
      <c r="O417" s="15">
        <f t="shared" si="30"/>
        <v>100015.99999999999</v>
      </c>
      <c r="P417" s="15">
        <f t="shared" si="31"/>
        <v>13.328358208955226</v>
      </c>
      <c r="Q417" s="14">
        <v>12000</v>
      </c>
      <c r="R417" s="12">
        <v>63</v>
      </c>
      <c r="S417" s="12" t="s">
        <v>643</v>
      </c>
      <c r="T417" s="22">
        <f t="shared" si="32"/>
        <v>11</v>
      </c>
      <c r="U417" s="22">
        <f t="shared" si="33"/>
        <v>2020</v>
      </c>
      <c r="V417" s="22" t="str">
        <f t="shared" si="34"/>
        <v>METROPOLITANA</v>
      </c>
    </row>
    <row r="418" spans="1:22" x14ac:dyDescent="0.2">
      <c r="A418" s="11" t="s">
        <v>629</v>
      </c>
      <c r="B418" s="12" t="s">
        <v>33</v>
      </c>
      <c r="C418" s="12" t="s">
        <v>60</v>
      </c>
      <c r="D418" s="12" t="s">
        <v>27</v>
      </c>
      <c r="E418" s="13" t="s">
        <v>28</v>
      </c>
      <c r="F418" s="12" t="s">
        <v>173</v>
      </c>
      <c r="G418" s="14">
        <v>18760</v>
      </c>
      <c r="H418" s="12" t="s">
        <v>22</v>
      </c>
      <c r="I418" s="12">
        <v>1</v>
      </c>
      <c r="J418" s="12" t="s">
        <v>173</v>
      </c>
      <c r="K418" s="12" t="s">
        <v>23</v>
      </c>
      <c r="L418" s="12">
        <v>5</v>
      </c>
      <c r="M418" s="15">
        <v>120000</v>
      </c>
      <c r="N418" s="15">
        <f>G418*4</f>
        <v>75040</v>
      </c>
      <c r="O418" s="15">
        <f t="shared" si="30"/>
        <v>195040</v>
      </c>
      <c r="P418" s="15">
        <f t="shared" si="31"/>
        <v>10.396588486140725</v>
      </c>
      <c r="Q418" s="14">
        <v>12000</v>
      </c>
      <c r="R418" s="12">
        <v>100</v>
      </c>
      <c r="S418" s="12" t="s">
        <v>644</v>
      </c>
      <c r="T418" s="22">
        <f t="shared" si="32"/>
        <v>11</v>
      </c>
      <c r="U418" s="22">
        <f t="shared" si="33"/>
        <v>2020</v>
      </c>
      <c r="V418" s="22" t="str">
        <f t="shared" si="34"/>
        <v>METROPOLITANA</v>
      </c>
    </row>
    <row r="419" spans="1:22" x14ac:dyDescent="0.2">
      <c r="A419" s="11" t="s">
        <v>629</v>
      </c>
      <c r="B419" s="12" t="s">
        <v>33</v>
      </c>
      <c r="C419" s="12" t="s">
        <v>128</v>
      </c>
      <c r="D419" s="12" t="s">
        <v>47</v>
      </c>
      <c r="E419" s="13" t="s">
        <v>52</v>
      </c>
      <c r="F419" s="12" t="s">
        <v>129</v>
      </c>
      <c r="G419" s="14">
        <v>9577.7999999999956</v>
      </c>
      <c r="H419" s="12" t="s">
        <v>22</v>
      </c>
      <c r="I419" s="12">
        <v>0</v>
      </c>
      <c r="J419" s="12" t="s">
        <v>129</v>
      </c>
      <c r="K419" s="12" t="s">
        <v>23</v>
      </c>
      <c r="L419" s="12">
        <v>1</v>
      </c>
      <c r="M419" s="15">
        <v>67045</v>
      </c>
      <c r="N419" s="15">
        <v>38311</v>
      </c>
      <c r="O419" s="15">
        <f t="shared" si="30"/>
        <v>105356</v>
      </c>
      <c r="P419" s="15">
        <f t="shared" si="31"/>
        <v>11.00002088162209</v>
      </c>
      <c r="Q419" s="14">
        <v>4821</v>
      </c>
      <c r="R419" s="12">
        <v>100</v>
      </c>
      <c r="S419" s="12" t="s">
        <v>645</v>
      </c>
      <c r="T419" s="22">
        <f t="shared" si="32"/>
        <v>11</v>
      </c>
      <c r="U419" s="22">
        <f t="shared" si="33"/>
        <v>2020</v>
      </c>
      <c r="V419" s="22" t="str">
        <f t="shared" si="34"/>
        <v>METROPOLITANA</v>
      </c>
    </row>
    <row r="420" spans="1:22" x14ac:dyDescent="0.2">
      <c r="A420" s="11" t="s">
        <v>629</v>
      </c>
      <c r="B420" s="12" t="s">
        <v>33</v>
      </c>
      <c r="C420" s="12" t="s">
        <v>29</v>
      </c>
      <c r="D420" s="12" t="s">
        <v>38</v>
      </c>
      <c r="E420" s="13" t="s">
        <v>25</v>
      </c>
      <c r="F420" s="12" t="s">
        <v>39</v>
      </c>
      <c r="G420" s="14">
        <v>6827.5999999999995</v>
      </c>
      <c r="H420" s="12" t="s">
        <v>43</v>
      </c>
      <c r="I420" s="12">
        <v>0</v>
      </c>
      <c r="J420" s="12" t="s">
        <v>39</v>
      </c>
      <c r="K420" s="12" t="s">
        <v>23</v>
      </c>
      <c r="L420" s="12">
        <v>1</v>
      </c>
      <c r="M420" s="15">
        <v>47793</v>
      </c>
      <c r="N420" s="15">
        <v>20483</v>
      </c>
      <c r="O420" s="15">
        <f t="shared" si="30"/>
        <v>68276</v>
      </c>
      <c r="P420" s="15">
        <f t="shared" si="31"/>
        <v>10</v>
      </c>
      <c r="Q420" s="14">
        <v>4821</v>
      </c>
      <c r="R420" s="12">
        <v>100</v>
      </c>
      <c r="S420" s="12" t="s">
        <v>646</v>
      </c>
      <c r="T420" s="22">
        <f t="shared" si="32"/>
        <v>11</v>
      </c>
      <c r="U420" s="22">
        <f t="shared" si="33"/>
        <v>2020</v>
      </c>
      <c r="V420" s="22" t="str">
        <f t="shared" si="34"/>
        <v>METROPOLITANA</v>
      </c>
    </row>
    <row r="421" spans="1:22" x14ac:dyDescent="0.2">
      <c r="A421" s="11" t="s">
        <v>629</v>
      </c>
      <c r="B421" s="12" t="s">
        <v>33</v>
      </c>
      <c r="C421" s="12" t="s">
        <v>29</v>
      </c>
      <c r="D421" s="12" t="s">
        <v>41</v>
      </c>
      <c r="E421" s="13" t="s">
        <v>42</v>
      </c>
      <c r="F421" s="12" t="s">
        <v>39</v>
      </c>
      <c r="G421" s="14">
        <v>8254.3999999999978</v>
      </c>
      <c r="H421" s="12" t="s">
        <v>43</v>
      </c>
      <c r="I421" s="12">
        <v>0</v>
      </c>
      <c r="J421" s="12" t="s">
        <v>39</v>
      </c>
      <c r="K421" s="12" t="s">
        <v>23</v>
      </c>
      <c r="L421" s="12">
        <v>1</v>
      </c>
      <c r="M421" s="15">
        <v>57781</v>
      </c>
      <c r="N421" s="15">
        <v>24763</v>
      </c>
      <c r="O421" s="15">
        <f t="shared" si="30"/>
        <v>82544</v>
      </c>
      <c r="P421" s="15">
        <f t="shared" si="31"/>
        <v>10.000000000000002</v>
      </c>
      <c r="Q421" s="14">
        <v>4821</v>
      </c>
      <c r="R421" s="12">
        <v>100</v>
      </c>
      <c r="S421" s="12" t="s">
        <v>647</v>
      </c>
      <c r="T421" s="22">
        <f t="shared" si="32"/>
        <v>11</v>
      </c>
      <c r="U421" s="22">
        <f t="shared" si="33"/>
        <v>2020</v>
      </c>
      <c r="V421" s="22" t="str">
        <f t="shared" si="34"/>
        <v>METROPOLITANA</v>
      </c>
    </row>
    <row r="422" spans="1:22" x14ac:dyDescent="0.2">
      <c r="A422" s="11" t="s">
        <v>629</v>
      </c>
      <c r="B422" s="12" t="s">
        <v>33</v>
      </c>
      <c r="C422" s="12" t="s">
        <v>29</v>
      </c>
      <c r="D422" s="12" t="s">
        <v>164</v>
      </c>
      <c r="E422" s="13" t="s">
        <v>544</v>
      </c>
      <c r="F422" s="12" t="s">
        <v>173</v>
      </c>
      <c r="G422" s="14">
        <v>16656.8</v>
      </c>
      <c r="H422" s="12" t="s">
        <v>22</v>
      </c>
      <c r="I422" s="12">
        <v>1</v>
      </c>
      <c r="J422" s="12" t="s">
        <v>173</v>
      </c>
      <c r="K422" s="12" t="s">
        <v>23</v>
      </c>
      <c r="L422" s="12">
        <v>5</v>
      </c>
      <c r="M422" s="15">
        <v>120000</v>
      </c>
      <c r="N422" s="15">
        <v>66627</v>
      </c>
      <c r="O422" s="15">
        <f t="shared" si="30"/>
        <v>186627</v>
      </c>
      <c r="P422" s="15">
        <f t="shared" si="31"/>
        <v>11.204252917727295</v>
      </c>
      <c r="Q422" s="14">
        <v>12000</v>
      </c>
      <c r="R422" s="12">
        <v>100</v>
      </c>
      <c r="S422" s="12" t="s">
        <v>648</v>
      </c>
      <c r="T422" s="22">
        <f t="shared" si="32"/>
        <v>11</v>
      </c>
      <c r="U422" s="22">
        <f t="shared" si="33"/>
        <v>2020</v>
      </c>
      <c r="V422" s="22" t="str">
        <f t="shared" si="34"/>
        <v>METROPOLITANA</v>
      </c>
    </row>
    <row r="423" spans="1:22" x14ac:dyDescent="0.2">
      <c r="A423" s="11" t="s">
        <v>629</v>
      </c>
      <c r="B423" s="12" t="s">
        <v>33</v>
      </c>
      <c r="C423" s="12" t="s">
        <v>29</v>
      </c>
      <c r="D423" s="12" t="s">
        <v>20</v>
      </c>
      <c r="E423" s="13" t="s">
        <v>21</v>
      </c>
      <c r="F423" s="12" t="s">
        <v>39</v>
      </c>
      <c r="G423" s="14">
        <v>5950.4000000000005</v>
      </c>
      <c r="H423" s="12" t="s">
        <v>22</v>
      </c>
      <c r="I423" s="12">
        <v>0</v>
      </c>
      <c r="J423" s="12" t="s">
        <v>39</v>
      </c>
      <c r="K423" s="12" t="s">
        <v>23</v>
      </c>
      <c r="L423" s="12">
        <v>1</v>
      </c>
      <c r="M423" s="15">
        <v>41653</v>
      </c>
      <c r="N423" s="15">
        <v>23802</v>
      </c>
      <c r="O423" s="15">
        <f t="shared" si="30"/>
        <v>65455</v>
      </c>
      <c r="P423" s="15">
        <f t="shared" si="31"/>
        <v>11.000100833557408</v>
      </c>
      <c r="Q423" s="14">
        <v>4821</v>
      </c>
      <c r="R423" s="12">
        <v>100</v>
      </c>
      <c r="S423" s="12" t="s">
        <v>649</v>
      </c>
      <c r="T423" s="22">
        <f t="shared" si="32"/>
        <v>11</v>
      </c>
      <c r="U423" s="22">
        <f t="shared" si="33"/>
        <v>2020</v>
      </c>
      <c r="V423" s="22" t="str">
        <f t="shared" si="34"/>
        <v>METROPOLITANA</v>
      </c>
    </row>
    <row r="424" spans="1:22" x14ac:dyDescent="0.2">
      <c r="A424" s="11" t="s">
        <v>629</v>
      </c>
      <c r="B424" s="12" t="s">
        <v>33</v>
      </c>
      <c r="C424" s="12" t="s">
        <v>44</v>
      </c>
      <c r="D424" s="12" t="s">
        <v>56</v>
      </c>
      <c r="E424" s="13" t="s">
        <v>28</v>
      </c>
      <c r="F424" s="12" t="s">
        <v>26</v>
      </c>
      <c r="G424" s="14">
        <v>2724.8</v>
      </c>
      <c r="H424" s="12" t="s">
        <v>22</v>
      </c>
      <c r="I424" s="12">
        <v>0</v>
      </c>
      <c r="J424" s="12" t="s">
        <v>26</v>
      </c>
      <c r="K424" s="12" t="s">
        <v>23</v>
      </c>
      <c r="L424" s="12">
        <v>4</v>
      </c>
      <c r="M424" s="15">
        <v>56075</v>
      </c>
      <c r="N424" s="15">
        <v>10899</v>
      </c>
      <c r="O424" s="15">
        <f t="shared" si="30"/>
        <v>66974</v>
      </c>
      <c r="P424" s="15">
        <f t="shared" si="31"/>
        <v>24.579418672930121</v>
      </c>
      <c r="Q424" s="14">
        <v>8011</v>
      </c>
      <c r="R424" s="12">
        <v>34</v>
      </c>
      <c r="S424" s="12" t="s">
        <v>650</v>
      </c>
      <c r="T424" s="22">
        <f t="shared" si="32"/>
        <v>11</v>
      </c>
      <c r="U424" s="22">
        <f t="shared" si="33"/>
        <v>2020</v>
      </c>
      <c r="V424" s="22" t="str">
        <f t="shared" si="34"/>
        <v>METROPOLITANA</v>
      </c>
    </row>
    <row r="425" spans="1:22" x14ac:dyDescent="0.2">
      <c r="A425" s="11" t="s">
        <v>629</v>
      </c>
      <c r="B425" s="12" t="s">
        <v>33</v>
      </c>
      <c r="C425" s="12" t="s">
        <v>44</v>
      </c>
      <c r="D425" s="12" t="s">
        <v>30</v>
      </c>
      <c r="E425" s="13" t="s">
        <v>52</v>
      </c>
      <c r="F425" s="12" t="s">
        <v>95</v>
      </c>
      <c r="G425" s="14">
        <v>3200.4</v>
      </c>
      <c r="H425" s="12" t="s">
        <v>32</v>
      </c>
      <c r="I425" s="12">
        <v>0</v>
      </c>
      <c r="J425" s="12" t="s">
        <v>95</v>
      </c>
      <c r="K425" s="12" t="s">
        <v>23</v>
      </c>
      <c r="L425" s="12">
        <v>4</v>
      </c>
      <c r="M425" s="15">
        <v>56075</v>
      </c>
      <c r="N425" s="15">
        <v>9601</v>
      </c>
      <c r="O425" s="15">
        <f t="shared" si="30"/>
        <v>65676</v>
      </c>
      <c r="P425" s="15">
        <f t="shared" si="31"/>
        <v>20.521184851893512</v>
      </c>
      <c r="Q425" s="14">
        <v>8011</v>
      </c>
      <c r="R425" s="12">
        <v>40</v>
      </c>
      <c r="S425" s="12" t="s">
        <v>651</v>
      </c>
      <c r="T425" s="22">
        <f t="shared" si="32"/>
        <v>11</v>
      </c>
      <c r="U425" s="22">
        <f t="shared" si="33"/>
        <v>2020</v>
      </c>
      <c r="V425" s="22" t="str">
        <f t="shared" si="34"/>
        <v>METROPOLITANA</v>
      </c>
    </row>
    <row r="426" spans="1:22" x14ac:dyDescent="0.2">
      <c r="A426" s="11" t="s">
        <v>629</v>
      </c>
      <c r="B426" s="12" t="s">
        <v>33</v>
      </c>
      <c r="C426" s="12" t="s">
        <v>44</v>
      </c>
      <c r="D426" s="12" t="s">
        <v>47</v>
      </c>
      <c r="E426" s="13" t="s">
        <v>49</v>
      </c>
      <c r="F426" s="12" t="s">
        <v>95</v>
      </c>
      <c r="G426" s="14">
        <v>2450.8000000000002</v>
      </c>
      <c r="H426" s="12" t="s">
        <v>22</v>
      </c>
      <c r="I426" s="12">
        <v>0</v>
      </c>
      <c r="J426" s="12" t="s">
        <v>95</v>
      </c>
      <c r="K426" s="12" t="s">
        <v>23</v>
      </c>
      <c r="L426" s="12">
        <v>4</v>
      </c>
      <c r="M426" s="15">
        <v>56075</v>
      </c>
      <c r="N426" s="15">
        <v>9803</v>
      </c>
      <c r="O426" s="15">
        <f t="shared" si="30"/>
        <v>65878</v>
      </c>
      <c r="P426" s="15">
        <f t="shared" si="31"/>
        <v>26.88020238289538</v>
      </c>
      <c r="Q426" s="14">
        <v>8011</v>
      </c>
      <c r="R426" s="12">
        <v>31</v>
      </c>
      <c r="S426" s="12" t="s">
        <v>652</v>
      </c>
      <c r="T426" s="22">
        <f t="shared" si="32"/>
        <v>11</v>
      </c>
      <c r="U426" s="22">
        <f t="shared" si="33"/>
        <v>2020</v>
      </c>
      <c r="V426" s="22" t="str">
        <f t="shared" si="34"/>
        <v>METROPOLITANA</v>
      </c>
    </row>
    <row r="427" spans="1:22" x14ac:dyDescent="0.2">
      <c r="A427" s="11" t="s">
        <v>629</v>
      </c>
      <c r="B427" s="12" t="s">
        <v>33</v>
      </c>
      <c r="C427" s="12" t="s">
        <v>44</v>
      </c>
      <c r="D427" s="12" t="s">
        <v>35</v>
      </c>
      <c r="E427" s="13" t="s">
        <v>88</v>
      </c>
      <c r="F427" s="12" t="s">
        <v>53</v>
      </c>
      <c r="G427" s="14">
        <v>3001.6</v>
      </c>
      <c r="H427" s="12" t="s">
        <v>22</v>
      </c>
      <c r="I427" s="12">
        <v>0</v>
      </c>
      <c r="J427" s="12" t="s">
        <v>53</v>
      </c>
      <c r="K427" s="12" t="s">
        <v>23</v>
      </c>
      <c r="L427" s="12">
        <v>3</v>
      </c>
      <c r="M427" s="15">
        <v>48075</v>
      </c>
      <c r="N427" s="15">
        <v>12006</v>
      </c>
      <c r="O427" s="15">
        <f t="shared" si="30"/>
        <v>60081</v>
      </c>
      <c r="P427" s="15">
        <f t="shared" si="31"/>
        <v>20.016324626865671</v>
      </c>
      <c r="Q427" s="14">
        <v>6868</v>
      </c>
      <c r="R427" s="12">
        <v>44</v>
      </c>
      <c r="S427" s="12" t="s">
        <v>653</v>
      </c>
      <c r="T427" s="22">
        <f t="shared" si="32"/>
        <v>11</v>
      </c>
      <c r="U427" s="22">
        <f t="shared" si="33"/>
        <v>2020</v>
      </c>
      <c r="V427" s="22" t="str">
        <f t="shared" si="34"/>
        <v>METROPOLITANA</v>
      </c>
    </row>
    <row r="428" spans="1:22" x14ac:dyDescent="0.2">
      <c r="A428" s="11" t="s">
        <v>629</v>
      </c>
      <c r="B428" s="12" t="s">
        <v>33</v>
      </c>
      <c r="C428" s="12" t="s">
        <v>44</v>
      </c>
      <c r="D428" s="12" t="s">
        <v>20</v>
      </c>
      <c r="E428" s="13" t="s">
        <v>21</v>
      </c>
      <c r="F428" s="12" t="s">
        <v>51</v>
      </c>
      <c r="G428" s="14">
        <v>4701.2</v>
      </c>
      <c r="H428" s="12" t="s">
        <v>22</v>
      </c>
      <c r="I428" s="12">
        <v>0</v>
      </c>
      <c r="J428" s="12" t="s">
        <v>51</v>
      </c>
      <c r="K428" s="12" t="s">
        <v>23</v>
      </c>
      <c r="L428" s="12">
        <v>4</v>
      </c>
      <c r="M428" s="15">
        <v>56075</v>
      </c>
      <c r="N428" s="15">
        <v>18805</v>
      </c>
      <c r="O428" s="15">
        <f t="shared" si="30"/>
        <v>74880</v>
      </c>
      <c r="P428" s="15">
        <f t="shared" si="31"/>
        <v>15.927848208967923</v>
      </c>
      <c r="Q428" s="14">
        <v>8011</v>
      </c>
      <c r="R428" s="12">
        <v>59</v>
      </c>
      <c r="S428" s="12" t="s">
        <v>654</v>
      </c>
      <c r="T428" s="22">
        <f t="shared" si="32"/>
        <v>11</v>
      </c>
      <c r="U428" s="22">
        <f t="shared" si="33"/>
        <v>2020</v>
      </c>
      <c r="V428" s="22" t="str">
        <f t="shared" si="34"/>
        <v>METROPOLITANA</v>
      </c>
    </row>
    <row r="429" spans="1:22" x14ac:dyDescent="0.2">
      <c r="A429" s="23" t="s">
        <v>655</v>
      </c>
      <c r="B429" s="22" t="s">
        <v>54</v>
      </c>
      <c r="C429" s="22" t="s">
        <v>55</v>
      </c>
      <c r="D429" s="22" t="s">
        <v>130</v>
      </c>
      <c r="E429" s="24" t="s">
        <v>131</v>
      </c>
      <c r="F429" s="22" t="s">
        <v>66</v>
      </c>
      <c r="G429" s="25">
        <v>11773.999999999991</v>
      </c>
      <c r="H429" s="22" t="s">
        <v>85</v>
      </c>
      <c r="I429" s="22">
        <v>1</v>
      </c>
      <c r="J429" s="22" t="s">
        <v>66</v>
      </c>
      <c r="K429" s="22" t="s">
        <v>75</v>
      </c>
      <c r="L429" s="22">
        <v>0</v>
      </c>
      <c r="M429" s="26">
        <v>380000</v>
      </c>
      <c r="N429" s="26">
        <v>0</v>
      </c>
      <c r="O429" s="27">
        <f t="shared" si="30"/>
        <v>380000</v>
      </c>
      <c r="P429" s="27">
        <f t="shared" si="31"/>
        <v>32.274503142517439</v>
      </c>
      <c r="Q429" s="25">
        <v>25000</v>
      </c>
      <c r="R429" s="22">
        <v>47</v>
      </c>
      <c r="S429" s="22" t="s">
        <v>656</v>
      </c>
      <c r="T429" s="22">
        <f t="shared" si="32"/>
        <v>11</v>
      </c>
      <c r="U429" s="22">
        <f t="shared" si="33"/>
        <v>2020</v>
      </c>
      <c r="V429" s="22" t="str">
        <f t="shared" si="34"/>
        <v>REGIONES</v>
      </c>
    </row>
    <row r="430" spans="1:22" x14ac:dyDescent="0.2">
      <c r="A430" s="23" t="s">
        <v>655</v>
      </c>
      <c r="B430" s="22" t="s">
        <v>18</v>
      </c>
      <c r="C430" s="22" t="s">
        <v>579</v>
      </c>
      <c r="D430" s="22" t="s">
        <v>20</v>
      </c>
      <c r="E430" s="24" t="s">
        <v>21</v>
      </c>
      <c r="F430" s="22" t="s">
        <v>161</v>
      </c>
      <c r="G430" s="25">
        <v>3942.24</v>
      </c>
      <c r="H430" s="22" t="s">
        <v>22</v>
      </c>
      <c r="I430" s="22">
        <v>0</v>
      </c>
      <c r="J430" s="22" t="s">
        <v>161</v>
      </c>
      <c r="K430" s="22" t="s">
        <v>23</v>
      </c>
      <c r="L430" s="22">
        <v>5</v>
      </c>
      <c r="M430" s="26">
        <v>70000</v>
      </c>
      <c r="N430" s="26">
        <f>G430*4</f>
        <v>15768.96</v>
      </c>
      <c r="O430" s="27">
        <f t="shared" si="30"/>
        <v>85768.959999999992</v>
      </c>
      <c r="P430" s="27">
        <f t="shared" si="31"/>
        <v>21.756402451398188</v>
      </c>
      <c r="Q430" s="25">
        <v>12000</v>
      </c>
      <c r="R430" s="22">
        <v>33</v>
      </c>
      <c r="S430" s="22" t="s">
        <v>657</v>
      </c>
      <c r="T430" s="22">
        <f t="shared" si="32"/>
        <v>11</v>
      </c>
      <c r="U430" s="22">
        <f t="shared" si="33"/>
        <v>2020</v>
      </c>
      <c r="V430" s="22" t="str">
        <f t="shared" si="34"/>
        <v>METROPOLITANA</v>
      </c>
    </row>
    <row r="431" spans="1:22" x14ac:dyDescent="0.2">
      <c r="A431" s="23" t="s">
        <v>655</v>
      </c>
      <c r="B431" s="22" t="s">
        <v>18</v>
      </c>
      <c r="C431" s="22" t="s">
        <v>57</v>
      </c>
      <c r="D431" s="22" t="s">
        <v>30</v>
      </c>
      <c r="E431" s="24" t="s">
        <v>31</v>
      </c>
      <c r="F431" s="22" t="s">
        <v>251</v>
      </c>
      <c r="G431" s="25">
        <v>6943.17</v>
      </c>
      <c r="H431" s="22" t="s">
        <v>32</v>
      </c>
      <c r="I431" s="22">
        <v>0</v>
      </c>
      <c r="J431" s="22" t="s">
        <v>251</v>
      </c>
      <c r="K431" s="22" t="s">
        <v>78</v>
      </c>
      <c r="L431" s="22">
        <v>0</v>
      </c>
      <c r="M431" s="26">
        <v>180000</v>
      </c>
      <c r="N431" s="26">
        <f>G431*3</f>
        <v>20829.510000000002</v>
      </c>
      <c r="O431" s="27">
        <f t="shared" si="30"/>
        <v>200829.51</v>
      </c>
      <c r="P431" s="27">
        <f t="shared" si="31"/>
        <v>28.924757711535221</v>
      </c>
      <c r="Q431" s="25">
        <v>25000</v>
      </c>
      <c r="R431" s="22">
        <v>28</v>
      </c>
      <c r="S431" s="22" t="s">
        <v>658</v>
      </c>
      <c r="T431" s="22">
        <f t="shared" si="32"/>
        <v>11</v>
      </c>
      <c r="U431" s="22">
        <f t="shared" si="33"/>
        <v>2020</v>
      </c>
      <c r="V431" s="22" t="str">
        <f t="shared" si="34"/>
        <v>REGIONES</v>
      </c>
    </row>
    <row r="432" spans="1:22" x14ac:dyDescent="0.2">
      <c r="A432" s="23" t="s">
        <v>655</v>
      </c>
      <c r="B432" s="22" t="s">
        <v>18</v>
      </c>
      <c r="C432" s="22" t="s">
        <v>457</v>
      </c>
      <c r="D432" s="22" t="s">
        <v>118</v>
      </c>
      <c r="E432" s="24" t="s">
        <v>119</v>
      </c>
      <c r="F432" s="22" t="s">
        <v>458</v>
      </c>
      <c r="G432" s="25">
        <v>18373.990000000002</v>
      </c>
      <c r="H432" s="22" t="s">
        <v>85</v>
      </c>
      <c r="I432" s="22">
        <v>1</v>
      </c>
      <c r="J432" s="22" t="s">
        <v>458</v>
      </c>
      <c r="K432" s="22" t="s">
        <v>75</v>
      </c>
      <c r="L432" s="22">
        <v>0</v>
      </c>
      <c r="M432" s="26">
        <v>380000</v>
      </c>
      <c r="N432" s="26">
        <v>0</v>
      </c>
      <c r="O432" s="27">
        <f t="shared" si="30"/>
        <v>380000</v>
      </c>
      <c r="P432" s="27">
        <f t="shared" si="31"/>
        <v>20.681408882882813</v>
      </c>
      <c r="Q432" s="25">
        <v>25000</v>
      </c>
      <c r="R432" s="22">
        <v>73</v>
      </c>
      <c r="S432" s="22" t="s">
        <v>659</v>
      </c>
      <c r="T432" s="22">
        <f t="shared" si="32"/>
        <v>11</v>
      </c>
      <c r="U432" s="22">
        <f t="shared" si="33"/>
        <v>2020</v>
      </c>
      <c r="V432" s="22" t="str">
        <f t="shared" si="34"/>
        <v>REGIONES</v>
      </c>
    </row>
    <row r="433" spans="1:22" x14ac:dyDescent="0.2">
      <c r="A433" s="23" t="s">
        <v>655</v>
      </c>
      <c r="B433" s="22" t="s">
        <v>18</v>
      </c>
      <c r="C433" s="22" t="s">
        <v>500</v>
      </c>
      <c r="D433" s="22" t="s">
        <v>37</v>
      </c>
      <c r="E433" s="24" t="s">
        <v>40</v>
      </c>
      <c r="F433" s="22" t="s">
        <v>120</v>
      </c>
      <c r="G433" s="25">
        <v>7696.9299999999976</v>
      </c>
      <c r="H433" s="22" t="s">
        <v>22</v>
      </c>
      <c r="I433" s="22">
        <v>0</v>
      </c>
      <c r="J433" s="22" t="s">
        <v>120</v>
      </c>
      <c r="K433" s="22" t="s">
        <v>23</v>
      </c>
      <c r="L433" s="22">
        <v>5</v>
      </c>
      <c r="M433" s="26">
        <v>70000</v>
      </c>
      <c r="N433" s="26">
        <f>G433*4</f>
        <v>30787.71999999999</v>
      </c>
      <c r="O433" s="27">
        <f t="shared" si="30"/>
        <v>100787.71999999999</v>
      </c>
      <c r="P433" s="27">
        <f t="shared" si="31"/>
        <v>13.094535093862101</v>
      </c>
      <c r="Q433" s="25">
        <v>12000</v>
      </c>
      <c r="R433" s="22">
        <v>64</v>
      </c>
      <c r="S433" s="22" t="s">
        <v>660</v>
      </c>
      <c r="T433" s="22">
        <f t="shared" si="32"/>
        <v>11</v>
      </c>
      <c r="U433" s="22">
        <f t="shared" si="33"/>
        <v>2020</v>
      </c>
      <c r="V433" s="22" t="str">
        <f t="shared" si="34"/>
        <v>METROPOLITANA</v>
      </c>
    </row>
    <row r="434" spans="1:22" x14ac:dyDescent="0.2">
      <c r="A434" s="23" t="s">
        <v>655</v>
      </c>
      <c r="B434" s="22" t="s">
        <v>18</v>
      </c>
      <c r="C434" s="22" t="s">
        <v>163</v>
      </c>
      <c r="D434" s="22" t="s">
        <v>27</v>
      </c>
      <c r="E434" s="24" t="s">
        <v>28</v>
      </c>
      <c r="F434" s="22" t="s">
        <v>165</v>
      </c>
      <c r="G434" s="25">
        <v>16137.000000000009</v>
      </c>
      <c r="H434" s="22" t="s">
        <v>22</v>
      </c>
      <c r="I434" s="22">
        <v>1</v>
      </c>
      <c r="J434" s="22" t="s">
        <v>165</v>
      </c>
      <c r="K434" s="22" t="s">
        <v>23</v>
      </c>
      <c r="L434" s="22">
        <v>4</v>
      </c>
      <c r="M434" s="26">
        <v>112959</v>
      </c>
      <c r="N434" s="26">
        <f>G434*4</f>
        <v>64548.000000000036</v>
      </c>
      <c r="O434" s="27">
        <f t="shared" si="30"/>
        <v>177507.00000000003</v>
      </c>
      <c r="P434" s="27">
        <f t="shared" si="31"/>
        <v>10.999999999999996</v>
      </c>
      <c r="Q434" s="25">
        <v>8011</v>
      </c>
      <c r="R434" s="22">
        <v>100</v>
      </c>
      <c r="S434" s="22" t="s">
        <v>661</v>
      </c>
      <c r="T434" s="22">
        <f t="shared" si="32"/>
        <v>11</v>
      </c>
      <c r="U434" s="22">
        <f t="shared" si="33"/>
        <v>2020</v>
      </c>
      <c r="V434" s="22" t="str">
        <f t="shared" si="34"/>
        <v>METROPOLITANA</v>
      </c>
    </row>
    <row r="435" spans="1:22" x14ac:dyDescent="0.2">
      <c r="A435" s="23" t="s">
        <v>655</v>
      </c>
      <c r="B435" s="22" t="s">
        <v>33</v>
      </c>
      <c r="C435" s="22" t="s">
        <v>60</v>
      </c>
      <c r="D435" s="22" t="s">
        <v>38</v>
      </c>
      <c r="E435" s="24" t="s">
        <v>42</v>
      </c>
      <c r="F435" s="22" t="s">
        <v>51</v>
      </c>
      <c r="G435" s="25">
        <v>9854.9999999999982</v>
      </c>
      <c r="H435" s="22" t="s">
        <v>43</v>
      </c>
      <c r="I435" s="22">
        <v>0</v>
      </c>
      <c r="J435" s="22" t="s">
        <v>51</v>
      </c>
      <c r="K435" s="22" t="s">
        <v>23</v>
      </c>
      <c r="L435" s="22">
        <v>4</v>
      </c>
      <c r="M435" s="26">
        <v>68985</v>
      </c>
      <c r="N435" s="26">
        <f>G435*3</f>
        <v>29564.999999999993</v>
      </c>
      <c r="O435" s="27">
        <f t="shared" si="30"/>
        <v>98550</v>
      </c>
      <c r="P435" s="27">
        <f t="shared" si="31"/>
        <v>10.000000000000002</v>
      </c>
      <c r="Q435" s="25">
        <v>8011</v>
      </c>
      <c r="R435" s="22">
        <v>100</v>
      </c>
      <c r="S435" s="22" t="s">
        <v>662</v>
      </c>
      <c r="T435" s="22">
        <f t="shared" si="32"/>
        <v>11</v>
      </c>
      <c r="U435" s="22">
        <f t="shared" si="33"/>
        <v>2020</v>
      </c>
      <c r="V435" s="22" t="str">
        <f t="shared" si="34"/>
        <v>METROPOLITANA</v>
      </c>
    </row>
    <row r="436" spans="1:22" x14ac:dyDescent="0.2">
      <c r="A436" s="23" t="s">
        <v>655</v>
      </c>
      <c r="B436" s="22" t="s">
        <v>33</v>
      </c>
      <c r="C436" s="22" t="s">
        <v>60</v>
      </c>
      <c r="D436" s="22" t="s">
        <v>41</v>
      </c>
      <c r="E436" s="24" t="s">
        <v>25</v>
      </c>
      <c r="F436" s="22" t="s">
        <v>51</v>
      </c>
      <c r="G436" s="25">
        <v>9755.1999999999971</v>
      </c>
      <c r="H436" s="22" t="s">
        <v>43</v>
      </c>
      <c r="I436" s="22">
        <v>0</v>
      </c>
      <c r="J436" s="22" t="s">
        <v>51</v>
      </c>
      <c r="K436" s="22" t="s">
        <v>23</v>
      </c>
      <c r="L436" s="22">
        <v>4</v>
      </c>
      <c r="M436" s="26">
        <v>68286</v>
      </c>
      <c r="N436" s="26">
        <f>G436*3</f>
        <v>29265.599999999991</v>
      </c>
      <c r="O436" s="27">
        <f t="shared" si="30"/>
        <v>97551.599999999991</v>
      </c>
      <c r="P436" s="27">
        <f t="shared" si="31"/>
        <v>9.9999589962276545</v>
      </c>
      <c r="Q436" s="25">
        <v>8011</v>
      </c>
      <c r="R436" s="22">
        <v>100</v>
      </c>
      <c r="S436" s="22" t="s">
        <v>663</v>
      </c>
      <c r="T436" s="22">
        <f t="shared" si="32"/>
        <v>11</v>
      </c>
      <c r="U436" s="22">
        <f t="shared" si="33"/>
        <v>2020</v>
      </c>
      <c r="V436" s="22" t="str">
        <f t="shared" si="34"/>
        <v>METROPOLITANA</v>
      </c>
    </row>
    <row r="437" spans="1:22" x14ac:dyDescent="0.2">
      <c r="A437" s="23" t="s">
        <v>655</v>
      </c>
      <c r="B437" s="22" t="s">
        <v>33</v>
      </c>
      <c r="C437" s="22" t="s">
        <v>36</v>
      </c>
      <c r="D437" s="22" t="s">
        <v>191</v>
      </c>
      <c r="E437" s="24" t="s">
        <v>192</v>
      </c>
      <c r="F437" s="22" t="s">
        <v>92</v>
      </c>
      <c r="G437" s="25">
        <v>7503.9999999999973</v>
      </c>
      <c r="H437" s="22" t="s">
        <v>85</v>
      </c>
      <c r="I437" s="22">
        <v>1</v>
      </c>
      <c r="J437" s="22" t="s">
        <v>92</v>
      </c>
      <c r="K437" s="22" t="s">
        <v>93</v>
      </c>
      <c r="L437" s="22">
        <v>0</v>
      </c>
      <c r="M437" s="26">
        <v>620000</v>
      </c>
      <c r="N437" s="26">
        <v>0</v>
      </c>
      <c r="O437" s="27">
        <f t="shared" si="30"/>
        <v>620000</v>
      </c>
      <c r="P437" s="27">
        <f t="shared" si="31"/>
        <v>82.62260127931772</v>
      </c>
      <c r="Q437" s="25">
        <v>25000</v>
      </c>
      <c r="R437" s="22">
        <v>30</v>
      </c>
      <c r="S437" s="22" t="s">
        <v>664</v>
      </c>
      <c r="T437" s="22">
        <f t="shared" si="32"/>
        <v>11</v>
      </c>
      <c r="U437" s="22">
        <f t="shared" si="33"/>
        <v>2020</v>
      </c>
      <c r="V437" s="22" t="str">
        <f t="shared" si="34"/>
        <v>REGIONES</v>
      </c>
    </row>
    <row r="438" spans="1:22" x14ac:dyDescent="0.2">
      <c r="A438" s="23" t="s">
        <v>655</v>
      </c>
      <c r="B438" s="22" t="s">
        <v>33</v>
      </c>
      <c r="C438" s="22" t="s">
        <v>36</v>
      </c>
      <c r="D438" s="22" t="s">
        <v>45</v>
      </c>
      <c r="E438" s="24" t="s">
        <v>49</v>
      </c>
      <c r="F438" s="22" t="s">
        <v>67</v>
      </c>
      <c r="G438" s="25">
        <v>2561.610000000001</v>
      </c>
      <c r="H438" s="22" t="s">
        <v>22</v>
      </c>
      <c r="I438" s="22">
        <v>0</v>
      </c>
      <c r="J438" s="22" t="s">
        <v>67</v>
      </c>
      <c r="K438" s="22" t="s">
        <v>23</v>
      </c>
      <c r="L438" s="22">
        <v>2</v>
      </c>
      <c r="M438" s="26">
        <v>40475</v>
      </c>
      <c r="N438" s="26">
        <v>12000</v>
      </c>
      <c r="O438" s="27">
        <f t="shared" si="30"/>
        <v>52475</v>
      </c>
      <c r="P438" s="27">
        <f t="shared" si="31"/>
        <v>20.485163627562343</v>
      </c>
      <c r="Q438" s="25">
        <v>5782</v>
      </c>
      <c r="R438" s="22">
        <v>44</v>
      </c>
      <c r="S438" s="22" t="s">
        <v>665</v>
      </c>
      <c r="T438" s="22">
        <f t="shared" si="32"/>
        <v>11</v>
      </c>
      <c r="U438" s="22">
        <f t="shared" si="33"/>
        <v>2020</v>
      </c>
      <c r="V438" s="22" t="str">
        <f t="shared" si="34"/>
        <v>METROPOLITANA</v>
      </c>
    </row>
    <row r="439" spans="1:22" x14ac:dyDescent="0.2">
      <c r="A439" s="23" t="s">
        <v>655</v>
      </c>
      <c r="B439" s="22" t="s">
        <v>33</v>
      </c>
      <c r="C439" s="22" t="s">
        <v>357</v>
      </c>
      <c r="D439" s="22" t="s">
        <v>47</v>
      </c>
      <c r="E439" s="24" t="s">
        <v>49</v>
      </c>
      <c r="F439" s="22" t="s">
        <v>51</v>
      </c>
      <c r="G439" s="25">
        <v>9163</v>
      </c>
      <c r="H439" s="22" t="s">
        <v>22</v>
      </c>
      <c r="I439" s="22">
        <v>0</v>
      </c>
      <c r="J439" s="22" t="s">
        <v>51</v>
      </c>
      <c r="K439" s="22" t="s">
        <v>23</v>
      </c>
      <c r="L439" s="22">
        <v>4</v>
      </c>
      <c r="M439" s="26">
        <v>64141</v>
      </c>
      <c r="N439" s="26">
        <f>G439*4</f>
        <v>36652</v>
      </c>
      <c r="O439" s="27">
        <f t="shared" si="30"/>
        <v>100793</v>
      </c>
      <c r="P439" s="27">
        <f t="shared" si="31"/>
        <v>11</v>
      </c>
      <c r="Q439" s="25">
        <v>8011</v>
      </c>
      <c r="R439" s="22">
        <v>100</v>
      </c>
      <c r="S439" s="22" t="s">
        <v>666</v>
      </c>
      <c r="T439" s="22">
        <f t="shared" si="32"/>
        <v>11</v>
      </c>
      <c r="U439" s="22">
        <f t="shared" si="33"/>
        <v>2020</v>
      </c>
      <c r="V439" s="22" t="str">
        <f t="shared" si="34"/>
        <v>METROPOLITANA</v>
      </c>
    </row>
    <row r="440" spans="1:22" x14ac:dyDescent="0.2">
      <c r="A440" s="23" t="s">
        <v>655</v>
      </c>
      <c r="B440" s="22" t="s">
        <v>33</v>
      </c>
      <c r="C440" s="22" t="s">
        <v>667</v>
      </c>
      <c r="D440" s="22" t="s">
        <v>61</v>
      </c>
      <c r="E440" s="24" t="s">
        <v>62</v>
      </c>
      <c r="F440" s="22" t="s">
        <v>668</v>
      </c>
      <c r="G440" s="25">
        <v>22717.399999999991</v>
      </c>
      <c r="H440" s="22" t="s">
        <v>85</v>
      </c>
      <c r="I440" s="22">
        <v>1</v>
      </c>
      <c r="J440" s="22" t="s">
        <v>668</v>
      </c>
      <c r="K440" s="22" t="s">
        <v>93</v>
      </c>
      <c r="L440" s="22">
        <v>0</v>
      </c>
      <c r="M440" s="26">
        <v>600000</v>
      </c>
      <c r="N440" s="26">
        <v>0</v>
      </c>
      <c r="O440" s="27">
        <f t="shared" si="30"/>
        <v>600000</v>
      </c>
      <c r="P440" s="27">
        <f t="shared" si="31"/>
        <v>26.411473143933737</v>
      </c>
      <c r="Q440" s="25">
        <v>25000</v>
      </c>
      <c r="R440" s="22">
        <v>91</v>
      </c>
      <c r="S440" s="22" t="s">
        <v>669</v>
      </c>
      <c r="T440" s="22">
        <f t="shared" si="32"/>
        <v>11</v>
      </c>
      <c r="U440" s="22">
        <f t="shared" si="33"/>
        <v>2020</v>
      </c>
      <c r="V440" s="22" t="str">
        <f t="shared" si="34"/>
        <v>REGIONES</v>
      </c>
    </row>
    <row r="441" spans="1:22" x14ac:dyDescent="0.2">
      <c r="A441" s="23" t="s">
        <v>655</v>
      </c>
      <c r="B441" s="22" t="s">
        <v>33</v>
      </c>
      <c r="C441" s="22" t="s">
        <v>29</v>
      </c>
      <c r="D441" s="22" t="s">
        <v>670</v>
      </c>
      <c r="E441" s="24" t="s">
        <v>671</v>
      </c>
      <c r="F441" s="22" t="s">
        <v>132</v>
      </c>
      <c r="G441" s="25">
        <v>15304</v>
      </c>
      <c r="H441" s="22" t="s">
        <v>24</v>
      </c>
      <c r="I441" s="22">
        <v>1</v>
      </c>
      <c r="J441" s="22" t="s">
        <v>132</v>
      </c>
      <c r="K441" s="22" t="s">
        <v>124</v>
      </c>
      <c r="L441" s="22">
        <v>0</v>
      </c>
      <c r="M441" s="26">
        <v>350000</v>
      </c>
      <c r="N441" s="26">
        <v>0</v>
      </c>
      <c r="O441" s="27">
        <f t="shared" si="30"/>
        <v>350000</v>
      </c>
      <c r="P441" s="27">
        <f t="shared" si="31"/>
        <v>22.869837950862518</v>
      </c>
      <c r="Q441" s="25">
        <v>25000</v>
      </c>
      <c r="R441" s="22">
        <v>48</v>
      </c>
      <c r="S441" s="22" t="s">
        <v>672</v>
      </c>
      <c r="T441" s="22">
        <f t="shared" si="32"/>
        <v>11</v>
      </c>
      <c r="U441" s="22">
        <f t="shared" si="33"/>
        <v>2020</v>
      </c>
      <c r="V441" s="22" t="str">
        <f t="shared" si="34"/>
        <v>REGIONES</v>
      </c>
    </row>
    <row r="442" spans="1:22" x14ac:dyDescent="0.2">
      <c r="A442" s="23" t="s">
        <v>655</v>
      </c>
      <c r="B442" s="22" t="s">
        <v>33</v>
      </c>
      <c r="C442" s="22" t="s">
        <v>29</v>
      </c>
      <c r="D442" s="22" t="s">
        <v>673</v>
      </c>
      <c r="E442" s="24" t="s">
        <v>312</v>
      </c>
      <c r="F442" s="22" t="s">
        <v>132</v>
      </c>
      <c r="G442" s="25">
        <v>8244.0000000000036</v>
      </c>
      <c r="H442" s="22" t="s">
        <v>24</v>
      </c>
      <c r="I442" s="22">
        <v>1</v>
      </c>
      <c r="J442" s="22" t="s">
        <v>132</v>
      </c>
      <c r="K442" s="22" t="s">
        <v>124</v>
      </c>
      <c r="L442" s="22">
        <v>0</v>
      </c>
      <c r="M442" s="26">
        <v>350000</v>
      </c>
      <c r="N442" s="26">
        <v>0</v>
      </c>
      <c r="O442" s="27">
        <f t="shared" si="30"/>
        <v>350000</v>
      </c>
      <c r="P442" s="27">
        <f t="shared" si="31"/>
        <v>42.455118874332832</v>
      </c>
      <c r="Q442" s="25">
        <v>25000</v>
      </c>
      <c r="R442" s="22">
        <v>33</v>
      </c>
      <c r="S442" s="22" t="s">
        <v>674</v>
      </c>
      <c r="T442" s="22">
        <f t="shared" si="32"/>
        <v>11</v>
      </c>
      <c r="U442" s="22">
        <f t="shared" si="33"/>
        <v>2020</v>
      </c>
      <c r="V442" s="22" t="str">
        <f t="shared" si="34"/>
        <v>REGIONES</v>
      </c>
    </row>
    <row r="443" spans="1:22" x14ac:dyDescent="0.2">
      <c r="A443" s="23" t="s">
        <v>655</v>
      </c>
      <c r="B443" s="22" t="s">
        <v>33</v>
      </c>
      <c r="C443" s="22" t="s">
        <v>29</v>
      </c>
      <c r="D443" s="22" t="s">
        <v>37</v>
      </c>
      <c r="E443" s="24" t="s">
        <v>40</v>
      </c>
      <c r="F443" s="22" t="s">
        <v>39</v>
      </c>
      <c r="G443" s="25">
        <v>7503.9999999999973</v>
      </c>
      <c r="H443" s="22" t="s">
        <v>22</v>
      </c>
      <c r="I443" s="22">
        <v>0</v>
      </c>
      <c r="J443" s="22" t="s">
        <v>39</v>
      </c>
      <c r="K443" s="22" t="s">
        <v>23</v>
      </c>
      <c r="L443" s="22">
        <v>1</v>
      </c>
      <c r="M443" s="26">
        <v>52528</v>
      </c>
      <c r="N443" s="26">
        <v>30016</v>
      </c>
      <c r="O443" s="27">
        <f t="shared" si="30"/>
        <v>82544</v>
      </c>
      <c r="P443" s="27">
        <f t="shared" si="31"/>
        <v>11.000000000000004</v>
      </c>
      <c r="Q443" s="25">
        <v>4821</v>
      </c>
      <c r="R443" s="22">
        <v>100</v>
      </c>
      <c r="S443" s="22" t="s">
        <v>675</v>
      </c>
      <c r="T443" s="22">
        <f t="shared" si="32"/>
        <v>11</v>
      </c>
      <c r="U443" s="22">
        <f t="shared" si="33"/>
        <v>2020</v>
      </c>
      <c r="V443" s="22" t="str">
        <f t="shared" si="34"/>
        <v>METROPOLITANA</v>
      </c>
    </row>
    <row r="444" spans="1:22" x14ac:dyDescent="0.2">
      <c r="A444" s="23" t="s">
        <v>655</v>
      </c>
      <c r="B444" s="22" t="s">
        <v>33</v>
      </c>
      <c r="C444" s="22" t="s">
        <v>29</v>
      </c>
      <c r="D444" s="22" t="s">
        <v>63</v>
      </c>
      <c r="E444" s="24" t="s">
        <v>64</v>
      </c>
      <c r="F444" s="22" t="s">
        <v>39</v>
      </c>
      <c r="G444" s="25">
        <v>6299.2000000000025</v>
      </c>
      <c r="H444" s="22" t="s">
        <v>65</v>
      </c>
      <c r="I444" s="22">
        <v>0</v>
      </c>
      <c r="J444" s="22" t="s">
        <v>39</v>
      </c>
      <c r="K444" s="22" t="s">
        <v>23</v>
      </c>
      <c r="L444" s="22">
        <v>1</v>
      </c>
      <c r="M444" s="26">
        <v>44094</v>
      </c>
      <c r="N444" s="26">
        <v>18898</v>
      </c>
      <c r="O444" s="27">
        <f t="shared" si="30"/>
        <v>62992</v>
      </c>
      <c r="P444" s="27">
        <f t="shared" si="31"/>
        <v>9.9999999999999964</v>
      </c>
      <c r="Q444" s="25">
        <v>4821</v>
      </c>
      <c r="R444" s="22">
        <v>100</v>
      </c>
      <c r="S444" s="22" t="s">
        <v>676</v>
      </c>
      <c r="T444" s="22">
        <f t="shared" si="32"/>
        <v>11</v>
      </c>
      <c r="U444" s="22">
        <f t="shared" si="33"/>
        <v>2020</v>
      </c>
      <c r="V444" s="22" t="str">
        <f t="shared" si="34"/>
        <v>METROPOLITANA</v>
      </c>
    </row>
    <row r="445" spans="1:22" x14ac:dyDescent="0.2">
      <c r="A445" s="23" t="s">
        <v>655</v>
      </c>
      <c r="B445" s="22" t="s">
        <v>33</v>
      </c>
      <c r="C445" s="22" t="s">
        <v>29</v>
      </c>
      <c r="D445" s="22" t="s">
        <v>164</v>
      </c>
      <c r="E445" s="24" t="s">
        <v>544</v>
      </c>
      <c r="F445" s="22" t="s">
        <v>39</v>
      </c>
      <c r="G445" s="25">
        <v>16542.299999999988</v>
      </c>
      <c r="H445" s="22" t="s">
        <v>22</v>
      </c>
      <c r="I445" s="22">
        <v>1</v>
      </c>
      <c r="J445" s="22" t="s">
        <v>39</v>
      </c>
      <c r="K445" s="22" t="s">
        <v>23</v>
      </c>
      <c r="L445" s="22">
        <v>1</v>
      </c>
      <c r="M445" s="26">
        <v>115796</v>
      </c>
      <c r="N445" s="26">
        <v>66169</v>
      </c>
      <c r="O445" s="27">
        <f t="shared" si="30"/>
        <v>181965</v>
      </c>
      <c r="P445" s="27">
        <f t="shared" si="31"/>
        <v>10.999981864674206</v>
      </c>
      <c r="Q445" s="25">
        <v>4821</v>
      </c>
      <c r="R445" s="22">
        <v>100</v>
      </c>
      <c r="S445" s="22" t="s">
        <v>677</v>
      </c>
      <c r="T445" s="22">
        <f t="shared" si="32"/>
        <v>11</v>
      </c>
      <c r="U445" s="22">
        <f t="shared" si="33"/>
        <v>2020</v>
      </c>
      <c r="V445" s="22" t="str">
        <f t="shared" si="34"/>
        <v>METROPOLITANA</v>
      </c>
    </row>
    <row r="446" spans="1:22" x14ac:dyDescent="0.2">
      <c r="A446" s="23" t="s">
        <v>655</v>
      </c>
      <c r="B446" s="22" t="s">
        <v>33</v>
      </c>
      <c r="C446" s="22" t="s">
        <v>44</v>
      </c>
      <c r="D446" s="22" t="s">
        <v>56</v>
      </c>
      <c r="E446" s="24" t="s">
        <v>28</v>
      </c>
      <c r="F446" s="22" t="s">
        <v>138</v>
      </c>
      <c r="G446" s="25">
        <v>1138.81</v>
      </c>
      <c r="H446" s="22" t="s">
        <v>22</v>
      </c>
      <c r="I446" s="22">
        <v>0</v>
      </c>
      <c r="J446" s="22" t="s">
        <v>138</v>
      </c>
      <c r="K446" s="22" t="s">
        <v>23</v>
      </c>
      <c r="L446" s="22">
        <v>3</v>
      </c>
      <c r="M446" s="26">
        <v>48075</v>
      </c>
      <c r="N446" s="26">
        <v>4555</v>
      </c>
      <c r="O446" s="27">
        <f t="shared" si="30"/>
        <v>52630</v>
      </c>
      <c r="P446" s="27">
        <f t="shared" si="31"/>
        <v>46.214908544884572</v>
      </c>
      <c r="Q446" s="25">
        <v>6868</v>
      </c>
      <c r="R446" s="22">
        <v>17</v>
      </c>
      <c r="S446" s="22" t="s">
        <v>678</v>
      </c>
      <c r="T446" s="22">
        <f t="shared" si="32"/>
        <v>11</v>
      </c>
      <c r="U446" s="22">
        <f t="shared" si="33"/>
        <v>2020</v>
      </c>
      <c r="V446" s="22" t="str">
        <f t="shared" si="34"/>
        <v>METROPOLITANA</v>
      </c>
    </row>
    <row r="447" spans="1:22" x14ac:dyDescent="0.2">
      <c r="A447" s="23" t="s">
        <v>655</v>
      </c>
      <c r="B447" s="22" t="s">
        <v>33</v>
      </c>
      <c r="C447" s="22" t="s">
        <v>44</v>
      </c>
      <c r="D447" s="22" t="s">
        <v>130</v>
      </c>
      <c r="E447" s="24" t="s">
        <v>131</v>
      </c>
      <c r="F447" s="22" t="s">
        <v>66</v>
      </c>
      <c r="G447" s="25">
        <v>7150</v>
      </c>
      <c r="H447" s="22" t="s">
        <v>85</v>
      </c>
      <c r="I447" s="22">
        <v>1</v>
      </c>
      <c r="J447" s="22" t="s">
        <v>66</v>
      </c>
      <c r="K447" s="22" t="s">
        <v>75</v>
      </c>
      <c r="L447" s="22">
        <v>0</v>
      </c>
      <c r="M447" s="26">
        <v>380000</v>
      </c>
      <c r="N447" s="26">
        <v>0</v>
      </c>
      <c r="O447" s="27">
        <f t="shared" si="30"/>
        <v>380000</v>
      </c>
      <c r="P447" s="27">
        <f t="shared" si="31"/>
        <v>53.146853146853147</v>
      </c>
      <c r="Q447" s="25">
        <v>25000</v>
      </c>
      <c r="R447" s="22">
        <v>29</v>
      </c>
      <c r="S447" s="22" t="s">
        <v>679</v>
      </c>
      <c r="T447" s="22">
        <f t="shared" si="32"/>
        <v>11</v>
      </c>
      <c r="U447" s="22">
        <f t="shared" si="33"/>
        <v>2020</v>
      </c>
      <c r="V447" s="22" t="str">
        <f t="shared" si="34"/>
        <v>REGIONES</v>
      </c>
    </row>
    <row r="448" spans="1:22" x14ac:dyDescent="0.2">
      <c r="A448" s="23" t="s">
        <v>655</v>
      </c>
      <c r="B448" s="22" t="s">
        <v>33</v>
      </c>
      <c r="C448" s="22" t="s">
        <v>44</v>
      </c>
      <c r="D448" s="22" t="s">
        <v>47</v>
      </c>
      <c r="E448" s="24" t="s">
        <v>88</v>
      </c>
      <c r="F448" s="22" t="s">
        <v>94</v>
      </c>
      <c r="G448" s="25">
        <v>8801.6</v>
      </c>
      <c r="H448" s="22" t="s">
        <v>22</v>
      </c>
      <c r="I448" s="22">
        <v>0</v>
      </c>
      <c r="J448" s="22" t="s">
        <v>59</v>
      </c>
      <c r="K448" s="22" t="s">
        <v>78</v>
      </c>
      <c r="L448" s="22">
        <v>0</v>
      </c>
      <c r="M448" s="26">
        <v>180000</v>
      </c>
      <c r="N448" s="26">
        <f>G448*4</f>
        <v>35206.400000000001</v>
      </c>
      <c r="O448" s="27">
        <f t="shared" si="30"/>
        <v>215206.39999999999</v>
      </c>
      <c r="P448" s="27">
        <f t="shared" si="31"/>
        <v>24.450827122341391</v>
      </c>
      <c r="Q448" s="25">
        <v>25000</v>
      </c>
      <c r="R448" s="22">
        <v>35</v>
      </c>
      <c r="S448" s="22" t="s">
        <v>680</v>
      </c>
      <c r="T448" s="22">
        <f t="shared" si="32"/>
        <v>11</v>
      </c>
      <c r="U448" s="22">
        <f t="shared" si="33"/>
        <v>2020</v>
      </c>
      <c r="V448" s="22" t="str">
        <f t="shared" si="34"/>
        <v>REGIONES</v>
      </c>
    </row>
    <row r="449" spans="1:22" x14ac:dyDescent="0.2">
      <c r="A449" s="23" t="s">
        <v>655</v>
      </c>
      <c r="B449" s="22" t="s">
        <v>33</v>
      </c>
      <c r="C449" s="22" t="s">
        <v>44</v>
      </c>
      <c r="D449" s="22" t="s">
        <v>35</v>
      </c>
      <c r="E449" s="24" t="s">
        <v>52</v>
      </c>
      <c r="F449" s="22" t="s">
        <v>182</v>
      </c>
      <c r="G449" s="25">
        <v>1600.6</v>
      </c>
      <c r="H449" s="22" t="s">
        <v>22</v>
      </c>
      <c r="I449" s="22">
        <v>0</v>
      </c>
      <c r="J449" s="22" t="s">
        <v>182</v>
      </c>
      <c r="K449" s="22" t="s">
        <v>23</v>
      </c>
      <c r="L449" s="22">
        <v>4</v>
      </c>
      <c r="M449" s="26">
        <v>56075</v>
      </c>
      <c r="N449" s="26">
        <v>12000</v>
      </c>
      <c r="O449" s="27">
        <f t="shared" si="30"/>
        <v>68075</v>
      </c>
      <c r="P449" s="27">
        <f t="shared" si="31"/>
        <v>42.530925902786457</v>
      </c>
      <c r="Q449" s="25">
        <v>8011</v>
      </c>
      <c r="R449" s="22">
        <v>20</v>
      </c>
      <c r="S449" s="22" t="s">
        <v>681</v>
      </c>
      <c r="T449" s="22">
        <f t="shared" si="32"/>
        <v>11</v>
      </c>
      <c r="U449" s="22">
        <f t="shared" si="33"/>
        <v>2020</v>
      </c>
      <c r="V449" s="22" t="str">
        <f t="shared" si="34"/>
        <v>METROPOLITANA</v>
      </c>
    </row>
    <row r="450" spans="1:22" x14ac:dyDescent="0.2">
      <c r="A450" s="23" t="s">
        <v>655</v>
      </c>
      <c r="B450" s="22" t="s">
        <v>33</v>
      </c>
      <c r="C450" s="22" t="s">
        <v>44</v>
      </c>
      <c r="D450" s="22" t="s">
        <v>20</v>
      </c>
      <c r="E450" s="24" t="s">
        <v>21</v>
      </c>
      <c r="F450" s="22" t="s">
        <v>34</v>
      </c>
      <c r="G450" s="25">
        <v>2707.7</v>
      </c>
      <c r="H450" s="22" t="s">
        <v>22</v>
      </c>
      <c r="I450" s="22">
        <v>0</v>
      </c>
      <c r="J450" s="22" t="s">
        <v>34</v>
      </c>
      <c r="K450" s="22" t="s">
        <v>23</v>
      </c>
      <c r="L450" s="22">
        <v>1</v>
      </c>
      <c r="M450" s="26">
        <v>33750</v>
      </c>
      <c r="N450" s="26">
        <v>12000</v>
      </c>
      <c r="O450" s="27">
        <f t="shared" ref="O450:O513" si="35">SUM(M450:N450)</f>
        <v>45750</v>
      </c>
      <c r="P450" s="27">
        <f t="shared" ref="P450:P513" si="36">O450/G450</f>
        <v>16.896258817446544</v>
      </c>
      <c r="Q450" s="25">
        <v>4821</v>
      </c>
      <c r="R450" s="22">
        <v>56</v>
      </c>
      <c r="S450" s="22" t="s">
        <v>682</v>
      </c>
      <c r="T450" s="22">
        <f t="shared" ref="T450:T513" si="37">MONTH(A450)</f>
        <v>11</v>
      </c>
      <c r="U450" s="22">
        <f t="shared" ref="U450:U513" si="38">YEAR(A450)</f>
        <v>2020</v>
      </c>
      <c r="V450" s="22" t="str">
        <f t="shared" ref="V450:V513" si="39">IF(K450="METROPOLITANA DE SANTIAGO","METROPOLITANA","REGIONES")</f>
        <v>METROPOLITANA</v>
      </c>
    </row>
    <row r="451" spans="1:22" x14ac:dyDescent="0.2">
      <c r="A451" s="11" t="s">
        <v>683</v>
      </c>
      <c r="B451" s="12" t="s">
        <v>18</v>
      </c>
      <c r="C451" s="12" t="s">
        <v>579</v>
      </c>
      <c r="D451" s="12" t="s">
        <v>38</v>
      </c>
      <c r="E451" s="13" t="s">
        <v>42</v>
      </c>
      <c r="F451" s="12" t="s">
        <v>161</v>
      </c>
      <c r="G451" s="14">
        <v>4875.0200000000004</v>
      </c>
      <c r="H451" s="12" t="s">
        <v>43</v>
      </c>
      <c r="I451" s="12">
        <v>0</v>
      </c>
      <c r="J451" s="12" t="s">
        <v>161</v>
      </c>
      <c r="K451" s="12" t="s">
        <v>23</v>
      </c>
      <c r="L451" s="12">
        <v>5</v>
      </c>
      <c r="M451" s="15">
        <v>70000</v>
      </c>
      <c r="N451" s="15">
        <f>G451*3</f>
        <v>14625.060000000001</v>
      </c>
      <c r="O451" s="15">
        <f t="shared" si="35"/>
        <v>84625.06</v>
      </c>
      <c r="P451" s="15">
        <f t="shared" si="36"/>
        <v>17.358915450603277</v>
      </c>
      <c r="Q451" s="14">
        <v>12000</v>
      </c>
      <c r="R451" s="12">
        <v>41</v>
      </c>
      <c r="S451" s="12" t="s">
        <v>684</v>
      </c>
      <c r="T451" s="22">
        <f t="shared" si="37"/>
        <v>11</v>
      </c>
      <c r="U451" s="22">
        <f t="shared" si="38"/>
        <v>2020</v>
      </c>
      <c r="V451" s="22" t="str">
        <f t="shared" si="39"/>
        <v>METROPOLITANA</v>
      </c>
    </row>
    <row r="452" spans="1:22" x14ac:dyDescent="0.2">
      <c r="A452" s="11" t="s">
        <v>683</v>
      </c>
      <c r="B452" s="12" t="s">
        <v>18</v>
      </c>
      <c r="C452" s="12" t="s">
        <v>57</v>
      </c>
      <c r="D452" s="12" t="s">
        <v>41</v>
      </c>
      <c r="E452" s="13" t="s">
        <v>25</v>
      </c>
      <c r="F452" s="12" t="s">
        <v>46</v>
      </c>
      <c r="G452" s="14">
        <v>2608.7200000000012</v>
      </c>
      <c r="H452" s="12" t="s">
        <v>43</v>
      </c>
      <c r="I452" s="12">
        <v>0</v>
      </c>
      <c r="J452" s="12" t="s">
        <v>46</v>
      </c>
      <c r="K452" s="12" t="s">
        <v>23</v>
      </c>
      <c r="L452" s="12">
        <v>2</v>
      </c>
      <c r="M452" s="15">
        <v>40475</v>
      </c>
      <c r="N452" s="15">
        <f>G452*3</f>
        <v>7826.1600000000035</v>
      </c>
      <c r="O452" s="15">
        <f t="shared" si="35"/>
        <v>48301.16</v>
      </c>
      <c r="P452" s="15">
        <f t="shared" si="36"/>
        <v>18.515271857462658</v>
      </c>
      <c r="Q452" s="14">
        <v>5782</v>
      </c>
      <c r="R452" s="12">
        <v>45</v>
      </c>
      <c r="S452" s="12" t="s">
        <v>685</v>
      </c>
      <c r="T452" s="22">
        <f t="shared" si="37"/>
        <v>11</v>
      </c>
      <c r="U452" s="22">
        <f t="shared" si="38"/>
        <v>2020</v>
      </c>
      <c r="V452" s="22" t="str">
        <f t="shared" si="39"/>
        <v>METROPOLITANA</v>
      </c>
    </row>
    <row r="453" spans="1:22" x14ac:dyDescent="0.2">
      <c r="A453" s="11" t="s">
        <v>683</v>
      </c>
      <c r="B453" s="12" t="s">
        <v>18</v>
      </c>
      <c r="C453" s="12" t="s">
        <v>163</v>
      </c>
      <c r="D453" s="12" t="s">
        <v>27</v>
      </c>
      <c r="E453" s="13" t="s">
        <v>28</v>
      </c>
      <c r="F453" s="12" t="s">
        <v>165</v>
      </c>
      <c r="G453" s="14">
        <v>16137.000000000009</v>
      </c>
      <c r="H453" s="12" t="s">
        <v>22</v>
      </c>
      <c r="I453" s="12">
        <v>1</v>
      </c>
      <c r="J453" s="12" t="s">
        <v>165</v>
      </c>
      <c r="K453" s="12" t="s">
        <v>23</v>
      </c>
      <c r="L453" s="12">
        <v>4</v>
      </c>
      <c r="M453" s="15">
        <v>112959</v>
      </c>
      <c r="N453" s="15">
        <f>G453*4</f>
        <v>64548.000000000036</v>
      </c>
      <c r="O453" s="15">
        <f t="shared" si="35"/>
        <v>177507.00000000003</v>
      </c>
      <c r="P453" s="15">
        <f t="shared" si="36"/>
        <v>10.999999999999996</v>
      </c>
      <c r="Q453" s="14">
        <v>8011</v>
      </c>
      <c r="R453" s="12">
        <v>100</v>
      </c>
      <c r="S453" s="12" t="s">
        <v>686</v>
      </c>
      <c r="T453" s="22">
        <f t="shared" si="37"/>
        <v>11</v>
      </c>
      <c r="U453" s="22">
        <f t="shared" si="38"/>
        <v>2020</v>
      </c>
      <c r="V453" s="22" t="str">
        <f t="shared" si="39"/>
        <v>METROPOLITANA</v>
      </c>
    </row>
    <row r="454" spans="1:22" x14ac:dyDescent="0.2">
      <c r="A454" s="11" t="s">
        <v>683</v>
      </c>
      <c r="B454" s="12" t="s">
        <v>18</v>
      </c>
      <c r="C454" s="12" t="s">
        <v>163</v>
      </c>
      <c r="D454" s="12" t="s">
        <v>30</v>
      </c>
      <c r="E454" s="13" t="s">
        <v>31</v>
      </c>
      <c r="F454" s="12" t="s">
        <v>165</v>
      </c>
      <c r="G454" s="14">
        <v>9299.2900000000009</v>
      </c>
      <c r="H454" s="12" t="s">
        <v>32</v>
      </c>
      <c r="I454" s="12">
        <v>0</v>
      </c>
      <c r="J454" s="12" t="s">
        <v>165</v>
      </c>
      <c r="K454" s="12" t="s">
        <v>23</v>
      </c>
      <c r="L454" s="12">
        <v>4</v>
      </c>
      <c r="M454" s="15">
        <v>65095</v>
      </c>
      <c r="N454" s="15">
        <f>G454*3</f>
        <v>27897.870000000003</v>
      </c>
      <c r="O454" s="15">
        <f t="shared" si="35"/>
        <v>92992.87</v>
      </c>
      <c r="P454" s="15">
        <f t="shared" si="36"/>
        <v>9.9999967739472577</v>
      </c>
      <c r="Q454" s="14">
        <v>8011</v>
      </c>
      <c r="R454" s="12">
        <v>100</v>
      </c>
      <c r="S454" s="12" t="s">
        <v>687</v>
      </c>
      <c r="T454" s="22">
        <f t="shared" si="37"/>
        <v>11</v>
      </c>
      <c r="U454" s="22">
        <f t="shared" si="38"/>
        <v>2020</v>
      </c>
      <c r="V454" s="22" t="str">
        <f t="shared" si="39"/>
        <v>METROPOLITANA</v>
      </c>
    </row>
    <row r="455" spans="1:22" x14ac:dyDescent="0.2">
      <c r="A455" s="11" t="s">
        <v>683</v>
      </c>
      <c r="B455" s="12" t="s">
        <v>18</v>
      </c>
      <c r="C455" s="12" t="s">
        <v>44</v>
      </c>
      <c r="D455" s="12" t="s">
        <v>20</v>
      </c>
      <c r="E455" s="13" t="s">
        <v>21</v>
      </c>
      <c r="F455" s="12" t="s">
        <v>39</v>
      </c>
      <c r="G455" s="14">
        <v>4712.7</v>
      </c>
      <c r="H455" s="12" t="s">
        <v>22</v>
      </c>
      <c r="I455" s="12">
        <v>0</v>
      </c>
      <c r="J455" s="12" t="s">
        <v>39</v>
      </c>
      <c r="K455" s="12" t="s">
        <v>23</v>
      </c>
      <c r="L455" s="12">
        <v>1</v>
      </c>
      <c r="M455" s="15">
        <v>33750</v>
      </c>
      <c r="N455" s="15">
        <v>18851</v>
      </c>
      <c r="O455" s="15">
        <f t="shared" si="35"/>
        <v>52601</v>
      </c>
      <c r="P455" s="15">
        <f t="shared" si="36"/>
        <v>11.161542215714983</v>
      </c>
      <c r="Q455" s="14">
        <v>4821</v>
      </c>
      <c r="R455" s="12">
        <v>98</v>
      </c>
      <c r="S455" s="12" t="s">
        <v>688</v>
      </c>
      <c r="T455" s="22">
        <f t="shared" si="37"/>
        <v>11</v>
      </c>
      <c r="U455" s="22">
        <f t="shared" si="38"/>
        <v>2020</v>
      </c>
      <c r="V455" s="22" t="str">
        <f t="shared" si="39"/>
        <v>METROPOLITANA</v>
      </c>
    </row>
    <row r="456" spans="1:22" x14ac:dyDescent="0.2">
      <c r="A456" s="11" t="s">
        <v>683</v>
      </c>
      <c r="B456" s="12" t="s">
        <v>33</v>
      </c>
      <c r="C456" s="12" t="s">
        <v>36</v>
      </c>
      <c r="D456" s="12" t="s">
        <v>76</v>
      </c>
      <c r="E456" s="13" t="s">
        <v>77</v>
      </c>
      <c r="F456" s="12" t="s">
        <v>308</v>
      </c>
      <c r="G456" s="14">
        <v>9849.8199999999961</v>
      </c>
      <c r="H456" s="12" t="s">
        <v>24</v>
      </c>
      <c r="I456" s="12">
        <v>1</v>
      </c>
      <c r="J456" s="12" t="s">
        <v>308</v>
      </c>
      <c r="K456" s="12" t="s">
        <v>78</v>
      </c>
      <c r="L456" s="12">
        <v>0</v>
      </c>
      <c r="M456" s="15">
        <v>230000</v>
      </c>
      <c r="N456" s="15">
        <v>0</v>
      </c>
      <c r="O456" s="15">
        <f t="shared" si="35"/>
        <v>230000</v>
      </c>
      <c r="P456" s="15">
        <f t="shared" si="36"/>
        <v>23.350680520050123</v>
      </c>
      <c r="Q456" s="14">
        <v>25000</v>
      </c>
      <c r="R456" s="12">
        <v>39</v>
      </c>
      <c r="S456" s="12" t="s">
        <v>689</v>
      </c>
      <c r="T456" s="22">
        <f t="shared" si="37"/>
        <v>11</v>
      </c>
      <c r="U456" s="22">
        <f t="shared" si="38"/>
        <v>2020</v>
      </c>
      <c r="V456" s="22" t="str">
        <f t="shared" si="39"/>
        <v>REGIONES</v>
      </c>
    </row>
    <row r="457" spans="1:22" x14ac:dyDescent="0.2">
      <c r="A457" s="11" t="s">
        <v>683</v>
      </c>
      <c r="B457" s="12" t="s">
        <v>33</v>
      </c>
      <c r="C457" s="12" t="s">
        <v>29</v>
      </c>
      <c r="D457" s="12" t="s">
        <v>121</v>
      </c>
      <c r="E457" s="13" t="s">
        <v>122</v>
      </c>
      <c r="F457" s="12" t="s">
        <v>132</v>
      </c>
      <c r="G457" s="14">
        <v>16490.75</v>
      </c>
      <c r="H457" s="12" t="s">
        <v>85</v>
      </c>
      <c r="I457" s="12">
        <v>1</v>
      </c>
      <c r="J457" s="12" t="s">
        <v>132</v>
      </c>
      <c r="K457" s="12" t="s">
        <v>124</v>
      </c>
      <c r="L457" s="12">
        <v>0</v>
      </c>
      <c r="M457" s="15">
        <v>350000</v>
      </c>
      <c r="N457" s="15">
        <v>0</v>
      </c>
      <c r="O457" s="15">
        <f t="shared" si="35"/>
        <v>350000</v>
      </c>
      <c r="P457" s="15">
        <f t="shared" si="36"/>
        <v>21.224019526097965</v>
      </c>
      <c r="Q457" s="14">
        <v>25000</v>
      </c>
      <c r="R457" s="12">
        <v>66</v>
      </c>
      <c r="S457" s="12" t="s">
        <v>690</v>
      </c>
      <c r="T457" s="22">
        <f t="shared" si="37"/>
        <v>11</v>
      </c>
      <c r="U457" s="22">
        <f t="shared" si="38"/>
        <v>2020</v>
      </c>
      <c r="V457" s="22" t="str">
        <f t="shared" si="39"/>
        <v>REGIONES</v>
      </c>
    </row>
    <row r="458" spans="1:22" x14ac:dyDescent="0.2">
      <c r="A458" s="11" t="s">
        <v>683</v>
      </c>
      <c r="B458" s="12" t="s">
        <v>33</v>
      </c>
      <c r="C458" s="12" t="s">
        <v>29</v>
      </c>
      <c r="D458" s="12" t="s">
        <v>38</v>
      </c>
      <c r="E458" s="13" t="s">
        <v>42</v>
      </c>
      <c r="F458" s="12" t="s">
        <v>691</v>
      </c>
      <c r="G458" s="14">
        <v>7377.2</v>
      </c>
      <c r="H458" s="12" t="s">
        <v>43</v>
      </c>
      <c r="I458" s="12">
        <v>0</v>
      </c>
      <c r="J458" s="12" t="s">
        <v>39</v>
      </c>
      <c r="K458" s="12" t="s">
        <v>23</v>
      </c>
      <c r="L458" s="12">
        <v>0</v>
      </c>
      <c r="M458" s="15">
        <f>G458*7</f>
        <v>51640.4</v>
      </c>
      <c r="N458" s="15">
        <f>G458*3</f>
        <v>22131.599999999999</v>
      </c>
      <c r="O458" s="15">
        <f t="shared" si="35"/>
        <v>73772</v>
      </c>
      <c r="P458" s="15">
        <f t="shared" si="36"/>
        <v>10</v>
      </c>
      <c r="Q458" s="14">
        <v>25000</v>
      </c>
      <c r="R458" s="12">
        <v>30</v>
      </c>
      <c r="S458" s="12" t="s">
        <v>692</v>
      </c>
      <c r="T458" s="22">
        <f t="shared" si="37"/>
        <v>11</v>
      </c>
      <c r="U458" s="22">
        <f t="shared" si="38"/>
        <v>2020</v>
      </c>
      <c r="V458" s="22" t="str">
        <f t="shared" si="39"/>
        <v>METROPOLITANA</v>
      </c>
    </row>
    <row r="459" spans="1:22" x14ac:dyDescent="0.2">
      <c r="A459" s="11" t="s">
        <v>683</v>
      </c>
      <c r="B459" s="12" t="s">
        <v>33</v>
      </c>
      <c r="C459" s="12" t="s">
        <v>29</v>
      </c>
      <c r="D459" s="12" t="s">
        <v>37</v>
      </c>
      <c r="E459" s="13" t="s">
        <v>40</v>
      </c>
      <c r="F459" s="12" t="s">
        <v>691</v>
      </c>
      <c r="G459" s="14">
        <v>7303.1999999999989</v>
      </c>
      <c r="H459" s="12" t="s">
        <v>22</v>
      </c>
      <c r="I459" s="12">
        <v>0</v>
      </c>
      <c r="J459" s="12" t="s">
        <v>39</v>
      </c>
      <c r="K459" s="12" t="s">
        <v>23</v>
      </c>
      <c r="L459" s="12">
        <v>0</v>
      </c>
      <c r="M459" s="15">
        <f>G459*7</f>
        <v>51122.399999999994</v>
      </c>
      <c r="N459" s="15">
        <f>G459*4</f>
        <v>29212.799999999996</v>
      </c>
      <c r="O459" s="15">
        <f t="shared" si="35"/>
        <v>80335.199999999983</v>
      </c>
      <c r="P459" s="15">
        <f t="shared" si="36"/>
        <v>11</v>
      </c>
      <c r="Q459" s="14">
        <v>25000</v>
      </c>
      <c r="R459" s="12">
        <v>29</v>
      </c>
      <c r="S459" s="12" t="s">
        <v>693</v>
      </c>
      <c r="T459" s="22">
        <f t="shared" si="37"/>
        <v>11</v>
      </c>
      <c r="U459" s="22">
        <f t="shared" si="38"/>
        <v>2020</v>
      </c>
      <c r="V459" s="22" t="str">
        <f t="shared" si="39"/>
        <v>METROPOLITANA</v>
      </c>
    </row>
    <row r="460" spans="1:22" x14ac:dyDescent="0.2">
      <c r="A460" s="11" t="s">
        <v>683</v>
      </c>
      <c r="B460" s="12" t="s">
        <v>33</v>
      </c>
      <c r="C460" s="12" t="s">
        <v>29</v>
      </c>
      <c r="D460" s="12" t="s">
        <v>63</v>
      </c>
      <c r="E460" s="13" t="s">
        <v>64</v>
      </c>
      <c r="F460" s="12" t="s">
        <v>691</v>
      </c>
      <c r="G460" s="14">
        <v>7377.2</v>
      </c>
      <c r="H460" s="12" t="s">
        <v>65</v>
      </c>
      <c r="I460" s="12">
        <v>0</v>
      </c>
      <c r="J460" s="12" t="s">
        <v>39</v>
      </c>
      <c r="K460" s="12" t="s">
        <v>23</v>
      </c>
      <c r="L460" s="12">
        <v>0</v>
      </c>
      <c r="M460" s="15">
        <f>G460*7</f>
        <v>51640.4</v>
      </c>
      <c r="N460" s="15">
        <f>G460*3</f>
        <v>22131.599999999999</v>
      </c>
      <c r="O460" s="15">
        <f t="shared" si="35"/>
        <v>73772</v>
      </c>
      <c r="P460" s="15">
        <f t="shared" si="36"/>
        <v>10</v>
      </c>
      <c r="Q460" s="14">
        <v>25000</v>
      </c>
      <c r="R460" s="12">
        <v>30</v>
      </c>
      <c r="S460" s="12" t="s">
        <v>694</v>
      </c>
      <c r="T460" s="22">
        <f t="shared" si="37"/>
        <v>11</v>
      </c>
      <c r="U460" s="22">
        <f t="shared" si="38"/>
        <v>2020</v>
      </c>
      <c r="V460" s="22" t="str">
        <f t="shared" si="39"/>
        <v>METROPOLITANA</v>
      </c>
    </row>
    <row r="461" spans="1:22" x14ac:dyDescent="0.2">
      <c r="A461" s="11" t="s">
        <v>683</v>
      </c>
      <c r="B461" s="12" t="s">
        <v>33</v>
      </c>
      <c r="C461" s="12" t="s">
        <v>29</v>
      </c>
      <c r="D461" s="12" t="s">
        <v>41</v>
      </c>
      <c r="E461" s="13" t="s">
        <v>25</v>
      </c>
      <c r="F461" s="12" t="s">
        <v>691</v>
      </c>
      <c r="G461" s="14">
        <v>7377.2</v>
      </c>
      <c r="H461" s="12" t="s">
        <v>43</v>
      </c>
      <c r="I461" s="12">
        <v>0</v>
      </c>
      <c r="J461" s="12" t="s">
        <v>691</v>
      </c>
      <c r="K461" s="12" t="s">
        <v>23</v>
      </c>
      <c r="L461" s="12">
        <v>0</v>
      </c>
      <c r="M461" s="15">
        <f>G461*7</f>
        <v>51640.4</v>
      </c>
      <c r="N461" s="15">
        <f>G461*3</f>
        <v>22131.599999999999</v>
      </c>
      <c r="O461" s="15">
        <f t="shared" si="35"/>
        <v>73772</v>
      </c>
      <c r="P461" s="15">
        <f t="shared" si="36"/>
        <v>10</v>
      </c>
      <c r="Q461" s="14">
        <v>25000</v>
      </c>
      <c r="R461" s="12">
        <v>30</v>
      </c>
      <c r="S461" s="12" t="s">
        <v>695</v>
      </c>
      <c r="T461" s="22">
        <f t="shared" si="37"/>
        <v>11</v>
      </c>
      <c r="U461" s="22">
        <f t="shared" si="38"/>
        <v>2020</v>
      </c>
      <c r="V461" s="22" t="str">
        <f t="shared" si="39"/>
        <v>METROPOLITANA</v>
      </c>
    </row>
    <row r="462" spans="1:22" x14ac:dyDescent="0.2">
      <c r="A462" s="11" t="s">
        <v>683</v>
      </c>
      <c r="B462" s="12" t="s">
        <v>33</v>
      </c>
      <c r="C462" s="12" t="s">
        <v>29</v>
      </c>
      <c r="D462" s="12" t="s">
        <v>164</v>
      </c>
      <c r="E462" s="13" t="s">
        <v>544</v>
      </c>
      <c r="F462" s="12" t="s">
        <v>173</v>
      </c>
      <c r="G462" s="14">
        <v>9952.1999999999971</v>
      </c>
      <c r="H462" s="12" t="s">
        <v>22</v>
      </c>
      <c r="I462" s="12">
        <v>1</v>
      </c>
      <c r="J462" s="12" t="s">
        <v>173</v>
      </c>
      <c r="K462" s="12" t="s">
        <v>23</v>
      </c>
      <c r="L462" s="12">
        <v>5</v>
      </c>
      <c r="M462" s="15">
        <v>120000</v>
      </c>
      <c r="N462" s="15">
        <v>39809</v>
      </c>
      <c r="O462" s="15">
        <f t="shared" si="35"/>
        <v>159809</v>
      </c>
      <c r="P462" s="15">
        <f t="shared" si="36"/>
        <v>16.057655593738072</v>
      </c>
      <c r="Q462" s="14">
        <v>12000</v>
      </c>
      <c r="R462" s="12">
        <v>83</v>
      </c>
      <c r="S462" s="12" t="s">
        <v>696</v>
      </c>
      <c r="T462" s="22">
        <f t="shared" si="37"/>
        <v>11</v>
      </c>
      <c r="U462" s="22">
        <f t="shared" si="38"/>
        <v>2020</v>
      </c>
      <c r="V462" s="22" t="str">
        <f t="shared" si="39"/>
        <v>METROPOLITANA</v>
      </c>
    </row>
    <row r="463" spans="1:22" x14ac:dyDescent="0.2">
      <c r="A463" s="11" t="s">
        <v>683</v>
      </c>
      <c r="B463" s="12" t="s">
        <v>33</v>
      </c>
      <c r="C463" s="12" t="s">
        <v>29</v>
      </c>
      <c r="D463" s="12" t="s">
        <v>164</v>
      </c>
      <c r="E463" s="13" t="s">
        <v>697</v>
      </c>
      <c r="F463" s="12" t="s">
        <v>173</v>
      </c>
      <c r="G463" s="14">
        <v>1500.8</v>
      </c>
      <c r="H463" s="12" t="s">
        <v>22</v>
      </c>
      <c r="I463" s="12">
        <v>1</v>
      </c>
      <c r="J463" s="12" t="s">
        <v>173</v>
      </c>
      <c r="K463" s="12" t="s">
        <v>23</v>
      </c>
      <c r="L463" s="12">
        <v>5</v>
      </c>
      <c r="M463" s="15">
        <v>120000</v>
      </c>
      <c r="N463" s="15">
        <v>12000</v>
      </c>
      <c r="O463" s="15">
        <f t="shared" si="35"/>
        <v>132000</v>
      </c>
      <c r="P463" s="15">
        <f t="shared" si="36"/>
        <v>87.953091684434966</v>
      </c>
      <c r="Q463" s="14">
        <v>12000</v>
      </c>
      <c r="R463" s="12">
        <v>13</v>
      </c>
      <c r="S463" s="12" t="s">
        <v>698</v>
      </c>
      <c r="T463" s="22">
        <f t="shared" si="37"/>
        <v>11</v>
      </c>
      <c r="U463" s="22">
        <f t="shared" si="38"/>
        <v>2020</v>
      </c>
      <c r="V463" s="22" t="str">
        <f t="shared" si="39"/>
        <v>METROPOLITANA</v>
      </c>
    </row>
    <row r="464" spans="1:22" x14ac:dyDescent="0.2">
      <c r="A464" s="11" t="s">
        <v>683</v>
      </c>
      <c r="B464" s="12" t="s">
        <v>33</v>
      </c>
      <c r="C464" s="12" t="s">
        <v>44</v>
      </c>
      <c r="D464" s="12" t="s">
        <v>47</v>
      </c>
      <c r="E464" s="13" t="s">
        <v>52</v>
      </c>
      <c r="F464" s="12" t="s">
        <v>134</v>
      </c>
      <c r="G464" s="14">
        <v>3001.6</v>
      </c>
      <c r="H464" s="12" t="s">
        <v>22</v>
      </c>
      <c r="I464" s="12">
        <v>0</v>
      </c>
      <c r="J464" s="12" t="s">
        <v>134</v>
      </c>
      <c r="K464" s="12" t="s">
        <v>23</v>
      </c>
      <c r="L464" s="12">
        <v>2</v>
      </c>
      <c r="M464" s="15">
        <v>40475</v>
      </c>
      <c r="N464" s="15">
        <v>12006</v>
      </c>
      <c r="O464" s="15">
        <f t="shared" si="35"/>
        <v>52481</v>
      </c>
      <c r="P464" s="15">
        <f t="shared" si="36"/>
        <v>17.48434168443497</v>
      </c>
      <c r="Q464" s="14">
        <v>5782</v>
      </c>
      <c r="R464" s="12">
        <v>52</v>
      </c>
      <c r="S464" s="12" t="s">
        <v>699</v>
      </c>
      <c r="T464" s="22">
        <f t="shared" si="37"/>
        <v>11</v>
      </c>
      <c r="U464" s="22">
        <f t="shared" si="38"/>
        <v>2020</v>
      </c>
      <c r="V464" s="22" t="str">
        <f t="shared" si="39"/>
        <v>METROPOLITANA</v>
      </c>
    </row>
    <row r="465" spans="1:22" x14ac:dyDescent="0.2">
      <c r="A465" s="11" t="s">
        <v>683</v>
      </c>
      <c r="B465" s="12" t="s">
        <v>33</v>
      </c>
      <c r="C465" s="12" t="s">
        <v>44</v>
      </c>
      <c r="D465" s="12" t="s">
        <v>35</v>
      </c>
      <c r="E465" s="13" t="s">
        <v>88</v>
      </c>
      <c r="F465" s="12" t="s">
        <v>26</v>
      </c>
      <c r="G465" s="14">
        <v>1224</v>
      </c>
      <c r="H465" s="12" t="s">
        <v>22</v>
      </c>
      <c r="I465" s="12">
        <v>0</v>
      </c>
      <c r="J465" s="12" t="s">
        <v>26</v>
      </c>
      <c r="K465" s="12" t="s">
        <v>23</v>
      </c>
      <c r="L465" s="12">
        <v>4</v>
      </c>
      <c r="M465" s="15">
        <v>56075</v>
      </c>
      <c r="N465" s="15">
        <v>12000</v>
      </c>
      <c r="O465" s="15">
        <f t="shared" si="35"/>
        <v>68075</v>
      </c>
      <c r="P465" s="15">
        <f t="shared" si="36"/>
        <v>55.61683006535948</v>
      </c>
      <c r="Q465" s="14">
        <v>8011</v>
      </c>
      <c r="R465" s="12">
        <v>15</v>
      </c>
      <c r="S465" s="12" t="s">
        <v>700</v>
      </c>
      <c r="T465" s="22">
        <f t="shared" si="37"/>
        <v>11</v>
      </c>
      <c r="U465" s="22">
        <f t="shared" si="38"/>
        <v>2020</v>
      </c>
      <c r="V465" s="22" t="str">
        <f t="shared" si="39"/>
        <v>METROPOLITANA</v>
      </c>
    </row>
    <row r="466" spans="1:22" x14ac:dyDescent="0.2">
      <c r="A466" s="23" t="s">
        <v>701</v>
      </c>
      <c r="B466" s="22" t="s">
        <v>18</v>
      </c>
      <c r="C466" s="22" t="s">
        <v>57</v>
      </c>
      <c r="D466" s="22" t="s">
        <v>702</v>
      </c>
      <c r="E466" s="24" t="s">
        <v>703</v>
      </c>
      <c r="F466" s="22" t="s">
        <v>407</v>
      </c>
      <c r="G466" s="25">
        <v>8126.54</v>
      </c>
      <c r="H466" s="22" t="s">
        <v>24</v>
      </c>
      <c r="I466" s="22">
        <v>1</v>
      </c>
      <c r="J466" s="22" t="s">
        <v>407</v>
      </c>
      <c r="K466" s="22" t="s">
        <v>408</v>
      </c>
      <c r="L466" s="22">
        <v>0</v>
      </c>
      <c r="M466" s="26">
        <v>600000</v>
      </c>
      <c r="N466" s="26">
        <v>0</v>
      </c>
      <c r="O466" s="27">
        <f t="shared" si="35"/>
        <v>600000</v>
      </c>
      <c r="P466" s="27">
        <f t="shared" si="36"/>
        <v>73.832159812170985</v>
      </c>
      <c r="Q466" s="25">
        <v>25000</v>
      </c>
      <c r="R466" s="22">
        <v>33</v>
      </c>
      <c r="S466" s="22" t="s">
        <v>704</v>
      </c>
      <c r="T466" s="22">
        <f t="shared" si="37"/>
        <v>11</v>
      </c>
      <c r="U466" s="22">
        <f t="shared" si="38"/>
        <v>2020</v>
      </c>
      <c r="V466" s="22" t="str">
        <f t="shared" si="39"/>
        <v>REGIONES</v>
      </c>
    </row>
    <row r="467" spans="1:22" x14ac:dyDescent="0.2">
      <c r="A467" s="23" t="s">
        <v>701</v>
      </c>
      <c r="B467" s="22" t="s">
        <v>18</v>
      </c>
      <c r="C467" s="22" t="s">
        <v>57</v>
      </c>
      <c r="D467" s="22" t="s">
        <v>80</v>
      </c>
      <c r="E467" s="24" t="s">
        <v>81</v>
      </c>
      <c r="F467" s="22" t="s">
        <v>407</v>
      </c>
      <c r="G467" s="25">
        <v>10622</v>
      </c>
      <c r="H467" s="22" t="s">
        <v>85</v>
      </c>
      <c r="I467" s="22">
        <v>1</v>
      </c>
      <c r="J467" s="22" t="s">
        <v>407</v>
      </c>
      <c r="K467" s="22" t="s">
        <v>408</v>
      </c>
      <c r="L467" s="22">
        <v>0</v>
      </c>
      <c r="M467" s="26">
        <v>600000</v>
      </c>
      <c r="N467" s="26">
        <v>0</v>
      </c>
      <c r="O467" s="27">
        <f t="shared" si="35"/>
        <v>600000</v>
      </c>
      <c r="P467" s="27">
        <f t="shared" si="36"/>
        <v>56.486537375258898</v>
      </c>
      <c r="Q467" s="25">
        <v>25000</v>
      </c>
      <c r="R467" s="22">
        <v>42</v>
      </c>
      <c r="S467" s="22" t="s">
        <v>705</v>
      </c>
      <c r="T467" s="22">
        <f t="shared" si="37"/>
        <v>11</v>
      </c>
      <c r="U467" s="22">
        <f t="shared" si="38"/>
        <v>2020</v>
      </c>
      <c r="V467" s="22" t="str">
        <f t="shared" si="39"/>
        <v>REGIONES</v>
      </c>
    </row>
    <row r="468" spans="1:22" x14ac:dyDescent="0.2">
      <c r="A468" s="23" t="s">
        <v>701</v>
      </c>
      <c r="B468" s="22" t="s">
        <v>18</v>
      </c>
      <c r="C468" s="22" t="s">
        <v>57</v>
      </c>
      <c r="D468" s="22" t="s">
        <v>20</v>
      </c>
      <c r="E468" s="24" t="s">
        <v>21</v>
      </c>
      <c r="F468" s="22" t="s">
        <v>58</v>
      </c>
      <c r="G468" s="25">
        <v>4456.7999999999984</v>
      </c>
      <c r="H468" s="22" t="s">
        <v>22</v>
      </c>
      <c r="I468" s="22">
        <v>0</v>
      </c>
      <c r="J468" s="22" t="s">
        <v>58</v>
      </c>
      <c r="K468" s="22" t="s">
        <v>23</v>
      </c>
      <c r="L468" s="22">
        <v>5</v>
      </c>
      <c r="M468" s="26">
        <v>70000</v>
      </c>
      <c r="N468" s="26">
        <f>G468*4</f>
        <v>17827.199999999993</v>
      </c>
      <c r="O468" s="27">
        <f t="shared" si="35"/>
        <v>87827.199999999997</v>
      </c>
      <c r="P468" s="27">
        <f t="shared" si="36"/>
        <v>19.706336384850122</v>
      </c>
      <c r="Q468" s="25">
        <v>12000</v>
      </c>
      <c r="R468" s="22">
        <v>37</v>
      </c>
      <c r="S468" s="22" t="s">
        <v>706</v>
      </c>
      <c r="T468" s="22">
        <f t="shared" si="37"/>
        <v>11</v>
      </c>
      <c r="U468" s="22">
        <f t="shared" si="38"/>
        <v>2020</v>
      </c>
      <c r="V468" s="22" t="str">
        <f t="shared" si="39"/>
        <v>METROPOLITANA</v>
      </c>
    </row>
    <row r="469" spans="1:22" x14ac:dyDescent="0.2">
      <c r="A469" s="23" t="s">
        <v>701</v>
      </c>
      <c r="B469" s="22" t="s">
        <v>18</v>
      </c>
      <c r="C469" s="22" t="s">
        <v>457</v>
      </c>
      <c r="D469" s="22" t="s">
        <v>90</v>
      </c>
      <c r="E469" s="24" t="s">
        <v>91</v>
      </c>
      <c r="F469" s="22" t="s">
        <v>458</v>
      </c>
      <c r="G469" s="25">
        <v>19206.46000000001</v>
      </c>
      <c r="H469" s="22" t="s">
        <v>24</v>
      </c>
      <c r="I469" s="22">
        <v>1</v>
      </c>
      <c r="J469" s="22" t="s">
        <v>458</v>
      </c>
      <c r="K469" s="22" t="s">
        <v>75</v>
      </c>
      <c r="L469" s="22">
        <v>0</v>
      </c>
      <c r="M469" s="26">
        <v>380000</v>
      </c>
      <c r="N469" s="26">
        <v>0</v>
      </c>
      <c r="O469" s="27">
        <f t="shared" si="35"/>
        <v>380000</v>
      </c>
      <c r="P469" s="27">
        <f t="shared" si="36"/>
        <v>19.785009835232511</v>
      </c>
      <c r="Q469" s="25">
        <v>25000</v>
      </c>
      <c r="R469" s="22">
        <v>77</v>
      </c>
      <c r="S469" s="22" t="s">
        <v>707</v>
      </c>
      <c r="T469" s="22">
        <f t="shared" si="37"/>
        <v>11</v>
      </c>
      <c r="U469" s="22">
        <f t="shared" si="38"/>
        <v>2020</v>
      </c>
      <c r="V469" s="22" t="str">
        <f t="shared" si="39"/>
        <v>REGIONES</v>
      </c>
    </row>
    <row r="470" spans="1:22" x14ac:dyDescent="0.2">
      <c r="A470" s="23" t="s">
        <v>701</v>
      </c>
      <c r="B470" s="22" t="s">
        <v>18</v>
      </c>
      <c r="C470" s="22" t="s">
        <v>160</v>
      </c>
      <c r="D470" s="22" t="s">
        <v>38</v>
      </c>
      <c r="E470" s="24" t="s">
        <v>42</v>
      </c>
      <c r="F470" s="22" t="s">
        <v>161</v>
      </c>
      <c r="G470" s="25">
        <v>3126.93</v>
      </c>
      <c r="H470" s="22" t="s">
        <v>43</v>
      </c>
      <c r="I470" s="22">
        <v>0</v>
      </c>
      <c r="J470" s="22" t="s">
        <v>161</v>
      </c>
      <c r="K470" s="22" t="s">
        <v>23</v>
      </c>
      <c r="L470" s="22">
        <v>5</v>
      </c>
      <c r="M470" s="26">
        <v>70000</v>
      </c>
      <c r="N470" s="26">
        <f>G470*3</f>
        <v>9380.7899999999991</v>
      </c>
      <c r="O470" s="27">
        <f t="shared" si="35"/>
        <v>79380.789999999994</v>
      </c>
      <c r="P470" s="27">
        <f t="shared" si="36"/>
        <v>25.38617429875309</v>
      </c>
      <c r="Q470" s="25">
        <v>12000</v>
      </c>
      <c r="R470" s="22">
        <v>26</v>
      </c>
      <c r="S470" s="22" t="s">
        <v>708</v>
      </c>
      <c r="T470" s="22">
        <f t="shared" si="37"/>
        <v>11</v>
      </c>
      <c r="U470" s="22">
        <f t="shared" si="38"/>
        <v>2020</v>
      </c>
      <c r="V470" s="22" t="str">
        <f t="shared" si="39"/>
        <v>METROPOLITANA</v>
      </c>
    </row>
    <row r="471" spans="1:22" x14ac:dyDescent="0.2">
      <c r="A471" s="23" t="s">
        <v>701</v>
      </c>
      <c r="B471" s="22" t="s">
        <v>18</v>
      </c>
      <c r="C471" s="22" t="s">
        <v>163</v>
      </c>
      <c r="D471" s="22" t="s">
        <v>27</v>
      </c>
      <c r="E471" s="24" t="s">
        <v>28</v>
      </c>
      <c r="F471" s="22" t="s">
        <v>165</v>
      </c>
      <c r="G471" s="25">
        <v>11295.900000000011</v>
      </c>
      <c r="H471" s="22" t="s">
        <v>22</v>
      </c>
      <c r="I471" s="22">
        <v>1</v>
      </c>
      <c r="J471" s="22" t="s">
        <v>165</v>
      </c>
      <c r="K471" s="22" t="s">
        <v>23</v>
      </c>
      <c r="L471" s="22">
        <v>4</v>
      </c>
      <c r="M471" s="26">
        <v>79071</v>
      </c>
      <c r="N471" s="26">
        <f>G471*4</f>
        <v>45183.600000000042</v>
      </c>
      <c r="O471" s="27">
        <f t="shared" si="35"/>
        <v>124254.60000000003</v>
      </c>
      <c r="P471" s="27">
        <f t="shared" si="36"/>
        <v>10.999973441691226</v>
      </c>
      <c r="Q471" s="25">
        <v>8011</v>
      </c>
      <c r="R471" s="22">
        <v>100</v>
      </c>
      <c r="S471" s="22" t="s">
        <v>709</v>
      </c>
      <c r="T471" s="22">
        <f t="shared" si="37"/>
        <v>11</v>
      </c>
      <c r="U471" s="22">
        <f t="shared" si="38"/>
        <v>2020</v>
      </c>
      <c r="V471" s="22" t="str">
        <f t="shared" si="39"/>
        <v>METROPOLITANA</v>
      </c>
    </row>
    <row r="472" spans="1:22" x14ac:dyDescent="0.2">
      <c r="A472" s="23" t="s">
        <v>701</v>
      </c>
      <c r="B472" s="22" t="s">
        <v>18</v>
      </c>
      <c r="C472" s="22" t="s">
        <v>163</v>
      </c>
      <c r="D472" s="22" t="s">
        <v>41</v>
      </c>
      <c r="E472" s="24" t="s">
        <v>25</v>
      </c>
      <c r="F472" s="22" t="s">
        <v>165</v>
      </c>
      <c r="G472" s="25">
        <v>4226.95</v>
      </c>
      <c r="H472" s="22" t="s">
        <v>43</v>
      </c>
      <c r="I472" s="22">
        <v>0</v>
      </c>
      <c r="J472" s="22" t="s">
        <v>165</v>
      </c>
      <c r="K472" s="22" t="s">
        <v>23</v>
      </c>
      <c r="L472" s="22">
        <v>4</v>
      </c>
      <c r="M472" s="26">
        <v>56075</v>
      </c>
      <c r="N472" s="26">
        <f>G472*3</f>
        <v>12680.849999999999</v>
      </c>
      <c r="O472" s="27">
        <f t="shared" si="35"/>
        <v>68755.850000000006</v>
      </c>
      <c r="P472" s="27">
        <f t="shared" si="36"/>
        <v>16.266066549166659</v>
      </c>
      <c r="Q472" s="25">
        <v>8011</v>
      </c>
      <c r="R472" s="22">
        <v>53</v>
      </c>
      <c r="S472" s="22" t="s">
        <v>710</v>
      </c>
      <c r="T472" s="22">
        <f t="shared" si="37"/>
        <v>11</v>
      </c>
      <c r="U472" s="22">
        <f t="shared" si="38"/>
        <v>2020</v>
      </c>
      <c r="V472" s="22" t="str">
        <f t="shared" si="39"/>
        <v>METROPOLITANA</v>
      </c>
    </row>
    <row r="473" spans="1:22" x14ac:dyDescent="0.2">
      <c r="A473" s="23" t="s">
        <v>701</v>
      </c>
      <c r="B473" s="22" t="s">
        <v>33</v>
      </c>
      <c r="C473" s="22" t="s">
        <v>270</v>
      </c>
      <c r="D473" s="22" t="s">
        <v>164</v>
      </c>
      <c r="E473" s="24" t="s">
        <v>544</v>
      </c>
      <c r="F473" s="22" t="s">
        <v>120</v>
      </c>
      <c r="G473" s="25">
        <v>17519.7</v>
      </c>
      <c r="H473" s="22" t="s">
        <v>22</v>
      </c>
      <c r="I473" s="22">
        <v>1</v>
      </c>
      <c r="J473" s="22" t="s">
        <v>120</v>
      </c>
      <c r="K473" s="22" t="s">
        <v>23</v>
      </c>
      <c r="L473" s="22">
        <v>5</v>
      </c>
      <c r="M473" s="26">
        <v>120000</v>
      </c>
      <c r="N473" s="26">
        <f>G473*4</f>
        <v>70078.8</v>
      </c>
      <c r="O473" s="27">
        <f t="shared" si="35"/>
        <v>190078.8</v>
      </c>
      <c r="P473" s="27">
        <f t="shared" si="36"/>
        <v>10.84943235329372</v>
      </c>
      <c r="Q473" s="25">
        <v>12000</v>
      </c>
      <c r="R473" s="22">
        <v>100</v>
      </c>
      <c r="S473" s="22" t="s">
        <v>711</v>
      </c>
      <c r="T473" s="22">
        <f t="shared" si="37"/>
        <v>11</v>
      </c>
      <c r="U473" s="22">
        <f t="shared" si="38"/>
        <v>2020</v>
      </c>
      <c r="V473" s="22" t="str">
        <f t="shared" si="39"/>
        <v>METROPOLITANA</v>
      </c>
    </row>
    <row r="474" spans="1:22" x14ac:dyDescent="0.2">
      <c r="A474" s="23" t="s">
        <v>701</v>
      </c>
      <c r="B474" s="22" t="s">
        <v>33</v>
      </c>
      <c r="C474" s="22" t="s">
        <v>50</v>
      </c>
      <c r="D474" s="22" t="s">
        <v>30</v>
      </c>
      <c r="E474" s="24" t="s">
        <v>31</v>
      </c>
      <c r="F474" s="22" t="s">
        <v>26</v>
      </c>
      <c r="G474" s="25">
        <v>11483</v>
      </c>
      <c r="H474" s="22" t="s">
        <v>32</v>
      </c>
      <c r="I474" s="22">
        <v>0</v>
      </c>
      <c r="J474" s="22" t="s">
        <v>26</v>
      </c>
      <c r="K474" s="22" t="s">
        <v>23</v>
      </c>
      <c r="L474" s="22">
        <v>4</v>
      </c>
      <c r="M474" s="26">
        <v>80381</v>
      </c>
      <c r="N474" s="26">
        <f>G474*3</f>
        <v>34449</v>
      </c>
      <c r="O474" s="27">
        <f t="shared" si="35"/>
        <v>114830</v>
      </c>
      <c r="P474" s="27">
        <f t="shared" si="36"/>
        <v>10</v>
      </c>
      <c r="Q474" s="25">
        <v>8011</v>
      </c>
      <c r="R474" s="22">
        <v>100</v>
      </c>
      <c r="S474" s="22" t="s">
        <v>712</v>
      </c>
      <c r="T474" s="22">
        <f t="shared" si="37"/>
        <v>11</v>
      </c>
      <c r="U474" s="22">
        <f t="shared" si="38"/>
        <v>2020</v>
      </c>
      <c r="V474" s="22" t="str">
        <f t="shared" si="39"/>
        <v>METROPOLITANA</v>
      </c>
    </row>
    <row r="475" spans="1:22" x14ac:dyDescent="0.2">
      <c r="A475" s="23" t="s">
        <v>701</v>
      </c>
      <c r="B475" s="22" t="s">
        <v>33</v>
      </c>
      <c r="C475" s="22" t="s">
        <v>163</v>
      </c>
      <c r="D475" s="22" t="s">
        <v>41</v>
      </c>
      <c r="E475" s="24" t="s">
        <v>25</v>
      </c>
      <c r="F475" s="22" t="s">
        <v>165</v>
      </c>
      <c r="G475" s="25">
        <v>5309</v>
      </c>
      <c r="H475" s="22" t="s">
        <v>43</v>
      </c>
      <c r="I475" s="22">
        <v>0</v>
      </c>
      <c r="J475" s="22" t="s">
        <v>165</v>
      </c>
      <c r="K475" s="22" t="s">
        <v>23</v>
      </c>
      <c r="L475" s="22">
        <v>4</v>
      </c>
      <c r="M475" s="26">
        <v>56075</v>
      </c>
      <c r="N475" s="26">
        <f>G475*3</f>
        <v>15927</v>
      </c>
      <c r="O475" s="27">
        <f t="shared" si="35"/>
        <v>72002</v>
      </c>
      <c r="P475" s="27">
        <f t="shared" si="36"/>
        <v>13.562252778300998</v>
      </c>
      <c r="Q475" s="25">
        <v>8011</v>
      </c>
      <c r="R475" s="22">
        <v>66</v>
      </c>
      <c r="S475" s="22" t="s">
        <v>713</v>
      </c>
      <c r="T475" s="22">
        <f t="shared" si="37"/>
        <v>11</v>
      </c>
      <c r="U475" s="22">
        <f t="shared" si="38"/>
        <v>2020</v>
      </c>
      <c r="V475" s="22" t="str">
        <f t="shared" si="39"/>
        <v>METROPOLITANA</v>
      </c>
    </row>
    <row r="476" spans="1:22" x14ac:dyDescent="0.2">
      <c r="A476" s="23" t="s">
        <v>701</v>
      </c>
      <c r="B476" s="22" t="s">
        <v>33</v>
      </c>
      <c r="C476" s="22" t="s">
        <v>29</v>
      </c>
      <c r="D476" s="22" t="s">
        <v>37</v>
      </c>
      <c r="E476" s="24" t="s">
        <v>64</v>
      </c>
      <c r="F476" s="22" t="s">
        <v>39</v>
      </c>
      <c r="G476" s="25">
        <v>1374</v>
      </c>
      <c r="H476" s="22" t="s">
        <v>22</v>
      </c>
      <c r="I476" s="22">
        <v>0</v>
      </c>
      <c r="J476" s="22" t="s">
        <v>39</v>
      </c>
      <c r="K476" s="22" t="s">
        <v>23</v>
      </c>
      <c r="L476" s="22">
        <v>1</v>
      </c>
      <c r="M476" s="26">
        <v>33750</v>
      </c>
      <c r="N476" s="26">
        <v>12000</v>
      </c>
      <c r="O476" s="27">
        <f t="shared" si="35"/>
        <v>45750</v>
      </c>
      <c r="P476" s="27">
        <f t="shared" si="36"/>
        <v>33.296943231441048</v>
      </c>
      <c r="Q476" s="25">
        <v>4821</v>
      </c>
      <c r="R476" s="22">
        <v>29</v>
      </c>
      <c r="S476" s="22" t="s">
        <v>714</v>
      </c>
      <c r="T476" s="22">
        <f t="shared" si="37"/>
        <v>11</v>
      </c>
      <c r="U476" s="22">
        <f t="shared" si="38"/>
        <v>2020</v>
      </c>
      <c r="V476" s="22" t="str">
        <f t="shared" si="39"/>
        <v>METROPOLITANA</v>
      </c>
    </row>
    <row r="477" spans="1:22" x14ac:dyDescent="0.2">
      <c r="A477" s="23" t="s">
        <v>701</v>
      </c>
      <c r="B477" s="22" t="s">
        <v>33</v>
      </c>
      <c r="C477" s="22" t="s">
        <v>29</v>
      </c>
      <c r="D477" s="22" t="s">
        <v>37</v>
      </c>
      <c r="E477" s="24" t="s">
        <v>40</v>
      </c>
      <c r="F477" s="22" t="s">
        <v>39</v>
      </c>
      <c r="G477" s="25">
        <v>7377.2</v>
      </c>
      <c r="H477" s="22" t="s">
        <v>22</v>
      </c>
      <c r="I477" s="22">
        <v>0</v>
      </c>
      <c r="J477" s="22" t="s">
        <v>39</v>
      </c>
      <c r="K477" s="22" t="s">
        <v>23</v>
      </c>
      <c r="L477" s="22">
        <v>1</v>
      </c>
      <c r="M477" s="26">
        <v>51640</v>
      </c>
      <c r="N477" s="26">
        <v>29509</v>
      </c>
      <c r="O477" s="27">
        <f t="shared" si="35"/>
        <v>81149</v>
      </c>
      <c r="P477" s="27">
        <f t="shared" si="36"/>
        <v>10.99997288944315</v>
      </c>
      <c r="Q477" s="25">
        <v>4821</v>
      </c>
      <c r="R477" s="22">
        <v>100</v>
      </c>
      <c r="S477" s="22" t="s">
        <v>715</v>
      </c>
      <c r="T477" s="22">
        <f t="shared" si="37"/>
        <v>11</v>
      </c>
      <c r="U477" s="22">
        <f t="shared" si="38"/>
        <v>2020</v>
      </c>
      <c r="V477" s="22" t="str">
        <f t="shared" si="39"/>
        <v>METROPOLITANA</v>
      </c>
    </row>
    <row r="478" spans="1:22" x14ac:dyDescent="0.2">
      <c r="A478" s="23" t="s">
        <v>701</v>
      </c>
      <c r="B478" s="22" t="s">
        <v>33</v>
      </c>
      <c r="C478" s="22" t="s">
        <v>29</v>
      </c>
      <c r="D478" s="22" t="s">
        <v>63</v>
      </c>
      <c r="E478" s="24" t="s">
        <v>64</v>
      </c>
      <c r="F478" s="22" t="s">
        <v>39</v>
      </c>
      <c r="G478" s="25">
        <v>6003.1999999999989</v>
      </c>
      <c r="H478" s="22" t="s">
        <v>65</v>
      </c>
      <c r="I478" s="22">
        <v>0</v>
      </c>
      <c r="J478" s="22" t="s">
        <v>39</v>
      </c>
      <c r="K478" s="22" t="s">
        <v>23</v>
      </c>
      <c r="L478" s="22">
        <v>1</v>
      </c>
      <c r="M478" s="26">
        <v>42022</v>
      </c>
      <c r="N478" s="26">
        <v>18010</v>
      </c>
      <c r="O478" s="27">
        <f t="shared" si="35"/>
        <v>60032</v>
      </c>
      <c r="P478" s="27">
        <f t="shared" si="36"/>
        <v>10.000000000000002</v>
      </c>
      <c r="Q478" s="25">
        <v>4821</v>
      </c>
      <c r="R478" s="22">
        <v>100</v>
      </c>
      <c r="S478" s="22" t="s">
        <v>716</v>
      </c>
      <c r="T478" s="22">
        <f t="shared" si="37"/>
        <v>11</v>
      </c>
      <c r="U478" s="22">
        <f t="shared" si="38"/>
        <v>2020</v>
      </c>
      <c r="V478" s="22" t="str">
        <f t="shared" si="39"/>
        <v>METROPOLITANA</v>
      </c>
    </row>
    <row r="479" spans="1:22" x14ac:dyDescent="0.2">
      <c r="A479" s="23" t="s">
        <v>701</v>
      </c>
      <c r="B479" s="22" t="s">
        <v>33</v>
      </c>
      <c r="C479" s="22" t="s">
        <v>44</v>
      </c>
      <c r="D479" s="22" t="s">
        <v>56</v>
      </c>
      <c r="E479" s="24" t="s">
        <v>88</v>
      </c>
      <c r="F479" s="22" t="s">
        <v>26</v>
      </c>
      <c r="G479" s="25">
        <v>1600.6</v>
      </c>
      <c r="H479" s="22" t="s">
        <v>22</v>
      </c>
      <c r="I479" s="22">
        <v>0</v>
      </c>
      <c r="J479" s="22" t="s">
        <v>26</v>
      </c>
      <c r="K479" s="22" t="s">
        <v>23</v>
      </c>
      <c r="L479" s="22">
        <v>4</v>
      </c>
      <c r="M479" s="26">
        <v>56075</v>
      </c>
      <c r="N479" s="26">
        <v>12000</v>
      </c>
      <c r="O479" s="27">
        <f t="shared" si="35"/>
        <v>68075</v>
      </c>
      <c r="P479" s="27">
        <f t="shared" si="36"/>
        <v>42.530925902786457</v>
      </c>
      <c r="Q479" s="25">
        <v>8011</v>
      </c>
      <c r="R479" s="22">
        <v>20</v>
      </c>
      <c r="S479" s="22" t="s">
        <v>717</v>
      </c>
      <c r="T479" s="22">
        <f t="shared" si="37"/>
        <v>11</v>
      </c>
      <c r="U479" s="22">
        <f t="shared" si="38"/>
        <v>2020</v>
      </c>
      <c r="V479" s="22" t="str">
        <f t="shared" si="39"/>
        <v>METROPOLITANA</v>
      </c>
    </row>
    <row r="480" spans="1:22" x14ac:dyDescent="0.2">
      <c r="A480" s="23" t="s">
        <v>701</v>
      </c>
      <c r="B480" s="22" t="s">
        <v>33</v>
      </c>
      <c r="C480" s="22" t="s">
        <v>44</v>
      </c>
      <c r="D480" s="22" t="s">
        <v>45</v>
      </c>
      <c r="E480" s="24" t="s">
        <v>21</v>
      </c>
      <c r="F480" s="22" t="s">
        <v>46</v>
      </c>
      <c r="G480" s="25">
        <v>3400</v>
      </c>
      <c r="H480" s="22" t="s">
        <v>22</v>
      </c>
      <c r="I480" s="22">
        <v>0</v>
      </c>
      <c r="J480" s="22" t="s">
        <v>46</v>
      </c>
      <c r="K480" s="22" t="s">
        <v>23</v>
      </c>
      <c r="L480" s="22">
        <v>2</v>
      </c>
      <c r="M480" s="26">
        <v>40475</v>
      </c>
      <c r="N480" s="26">
        <v>13600</v>
      </c>
      <c r="O480" s="27">
        <f t="shared" si="35"/>
        <v>54075</v>
      </c>
      <c r="P480" s="27">
        <f t="shared" si="36"/>
        <v>15.904411764705882</v>
      </c>
      <c r="Q480" s="25">
        <v>5782</v>
      </c>
      <c r="R480" s="22">
        <v>59</v>
      </c>
      <c r="S480" s="22" t="s">
        <v>718</v>
      </c>
      <c r="T480" s="22">
        <f t="shared" si="37"/>
        <v>11</v>
      </c>
      <c r="U480" s="22">
        <f t="shared" si="38"/>
        <v>2020</v>
      </c>
      <c r="V480" s="22" t="str">
        <f t="shared" si="39"/>
        <v>METROPOLITANA</v>
      </c>
    </row>
    <row r="481" spans="1:22" x14ac:dyDescent="0.2">
      <c r="A481" s="23" t="s">
        <v>701</v>
      </c>
      <c r="B481" s="22" t="s">
        <v>33</v>
      </c>
      <c r="C481" s="22" t="s">
        <v>44</v>
      </c>
      <c r="D481" s="22" t="s">
        <v>47</v>
      </c>
      <c r="E481" s="24" t="s">
        <v>52</v>
      </c>
      <c r="F481" s="22" t="s">
        <v>53</v>
      </c>
      <c r="G481" s="25">
        <v>1699.6</v>
      </c>
      <c r="H481" s="22" t="s">
        <v>22</v>
      </c>
      <c r="I481" s="22">
        <v>0</v>
      </c>
      <c r="J481" s="22" t="s">
        <v>53</v>
      </c>
      <c r="K481" s="22" t="s">
        <v>23</v>
      </c>
      <c r="L481" s="22">
        <v>3</v>
      </c>
      <c r="M481" s="26">
        <v>48075</v>
      </c>
      <c r="N481" s="26">
        <v>12000</v>
      </c>
      <c r="O481" s="27">
        <f t="shared" si="35"/>
        <v>60075</v>
      </c>
      <c r="P481" s="27">
        <f t="shared" si="36"/>
        <v>35.346552129912922</v>
      </c>
      <c r="Q481" s="25">
        <v>6868</v>
      </c>
      <c r="R481" s="22">
        <v>25</v>
      </c>
      <c r="S481" s="22" t="s">
        <v>719</v>
      </c>
      <c r="T481" s="22">
        <f t="shared" si="37"/>
        <v>11</v>
      </c>
      <c r="U481" s="22">
        <f t="shared" si="38"/>
        <v>2020</v>
      </c>
      <c r="V481" s="22" t="str">
        <f t="shared" si="39"/>
        <v>METROPOLITANA</v>
      </c>
    </row>
    <row r="482" spans="1:22" x14ac:dyDescent="0.2">
      <c r="A482" s="23" t="s">
        <v>701</v>
      </c>
      <c r="B482" s="22" t="s">
        <v>33</v>
      </c>
      <c r="C482" s="22" t="s">
        <v>44</v>
      </c>
      <c r="D482" s="22" t="s">
        <v>35</v>
      </c>
      <c r="E482" s="24" t="s">
        <v>49</v>
      </c>
      <c r="F482" s="22" t="s">
        <v>129</v>
      </c>
      <c r="G482" s="25">
        <v>1975.2</v>
      </c>
      <c r="H482" s="22" t="s">
        <v>22</v>
      </c>
      <c r="I482" s="22">
        <v>0</v>
      </c>
      <c r="J482" s="22" t="s">
        <v>129</v>
      </c>
      <c r="K482" s="22" t="s">
        <v>23</v>
      </c>
      <c r="L482" s="22">
        <v>1</v>
      </c>
      <c r="M482" s="26">
        <v>33750</v>
      </c>
      <c r="N482" s="26">
        <v>12000</v>
      </c>
      <c r="O482" s="27">
        <f t="shared" si="35"/>
        <v>45750</v>
      </c>
      <c r="P482" s="27">
        <f t="shared" si="36"/>
        <v>23.162211421628189</v>
      </c>
      <c r="Q482" s="25">
        <v>4821</v>
      </c>
      <c r="R482" s="22">
        <v>41</v>
      </c>
      <c r="S482" s="22" t="s">
        <v>720</v>
      </c>
      <c r="T482" s="22">
        <f t="shared" si="37"/>
        <v>11</v>
      </c>
      <c r="U482" s="22">
        <f t="shared" si="38"/>
        <v>2020</v>
      </c>
      <c r="V482" s="22" t="str">
        <f t="shared" si="39"/>
        <v>METROPOLITANA</v>
      </c>
    </row>
    <row r="483" spans="1:22" x14ac:dyDescent="0.2">
      <c r="A483" s="23" t="s">
        <v>701</v>
      </c>
      <c r="B483" s="22" t="s">
        <v>33</v>
      </c>
      <c r="C483" s="22" t="s">
        <v>44</v>
      </c>
      <c r="D483" s="22" t="s">
        <v>20</v>
      </c>
      <c r="E483" s="24" t="s">
        <v>28</v>
      </c>
      <c r="F483" s="22" t="s">
        <v>48</v>
      </c>
      <c r="G483" s="25">
        <v>5326.8</v>
      </c>
      <c r="H483" s="22" t="s">
        <v>22</v>
      </c>
      <c r="I483" s="22">
        <v>0</v>
      </c>
      <c r="J483" s="22" t="s">
        <v>48</v>
      </c>
      <c r="K483" s="22" t="s">
        <v>23</v>
      </c>
      <c r="L483" s="22">
        <v>1</v>
      </c>
      <c r="M483" s="26">
        <v>37288</v>
      </c>
      <c r="N483" s="26">
        <v>21307</v>
      </c>
      <c r="O483" s="27">
        <f t="shared" si="35"/>
        <v>58595</v>
      </c>
      <c r="P483" s="27">
        <f t="shared" si="36"/>
        <v>11.000037545993843</v>
      </c>
      <c r="Q483" s="25">
        <v>4821</v>
      </c>
      <c r="R483" s="22">
        <v>100</v>
      </c>
      <c r="S483" s="22" t="s">
        <v>721</v>
      </c>
      <c r="T483" s="22">
        <f t="shared" si="37"/>
        <v>11</v>
      </c>
      <c r="U483" s="22">
        <f t="shared" si="38"/>
        <v>2020</v>
      </c>
      <c r="V483" s="22" t="str">
        <f t="shared" si="39"/>
        <v>METROPOLITANA</v>
      </c>
    </row>
    <row r="484" spans="1:22" x14ac:dyDescent="0.2">
      <c r="A484" s="11" t="s">
        <v>722</v>
      </c>
      <c r="B484" s="12" t="s">
        <v>54</v>
      </c>
      <c r="C484" s="12" t="s">
        <v>55</v>
      </c>
      <c r="D484" s="12" t="s">
        <v>723</v>
      </c>
      <c r="E484" s="13" t="s">
        <v>724</v>
      </c>
      <c r="F484" s="12" t="s">
        <v>66</v>
      </c>
      <c r="G484" s="14">
        <v>14627.599999999989</v>
      </c>
      <c r="H484" s="12" t="s">
        <v>24</v>
      </c>
      <c r="I484" s="12">
        <v>1</v>
      </c>
      <c r="J484" s="12" t="s">
        <v>66</v>
      </c>
      <c r="K484" s="12" t="s">
        <v>75</v>
      </c>
      <c r="L484" s="12">
        <v>0</v>
      </c>
      <c r="M484" s="15">
        <v>380000</v>
      </c>
      <c r="N484" s="15">
        <v>0</v>
      </c>
      <c r="O484" s="15">
        <f t="shared" si="35"/>
        <v>380000</v>
      </c>
      <c r="P484" s="15">
        <f t="shared" si="36"/>
        <v>25.978287620662329</v>
      </c>
      <c r="Q484" s="14">
        <v>25000</v>
      </c>
      <c r="R484" s="12">
        <v>59</v>
      </c>
      <c r="S484" s="12" t="s">
        <v>725</v>
      </c>
      <c r="T484" s="22">
        <f t="shared" si="37"/>
        <v>11</v>
      </c>
      <c r="U484" s="22">
        <f t="shared" si="38"/>
        <v>2020</v>
      </c>
      <c r="V484" s="22" t="str">
        <f t="shared" si="39"/>
        <v>REGIONES</v>
      </c>
    </row>
    <row r="485" spans="1:22" x14ac:dyDescent="0.2">
      <c r="A485" s="11" t="s">
        <v>722</v>
      </c>
      <c r="B485" s="12" t="s">
        <v>18</v>
      </c>
      <c r="C485" s="12" t="s">
        <v>726</v>
      </c>
      <c r="D485" s="12" t="s">
        <v>37</v>
      </c>
      <c r="E485" s="13" t="s">
        <v>40</v>
      </c>
      <c r="F485" s="12" t="s">
        <v>727</v>
      </c>
      <c r="G485" s="14">
        <v>12969.999999999991</v>
      </c>
      <c r="H485" s="12" t="s">
        <v>22</v>
      </c>
      <c r="I485" s="12">
        <v>0</v>
      </c>
      <c r="J485" s="12" t="s">
        <v>727</v>
      </c>
      <c r="K485" s="12" t="s">
        <v>23</v>
      </c>
      <c r="L485" s="12">
        <v>1</v>
      </c>
      <c r="M485" s="15">
        <v>90790</v>
      </c>
      <c r="N485" s="15">
        <f>G485*4</f>
        <v>51879.999999999964</v>
      </c>
      <c r="O485" s="15">
        <f t="shared" si="35"/>
        <v>142669.99999999997</v>
      </c>
      <c r="P485" s="15">
        <f t="shared" si="36"/>
        <v>11.000000000000005</v>
      </c>
      <c r="Q485" s="14">
        <v>4821</v>
      </c>
      <c r="R485" s="12">
        <v>100</v>
      </c>
      <c r="S485" s="12" t="s">
        <v>728</v>
      </c>
      <c r="T485" s="22">
        <f t="shared" si="37"/>
        <v>11</v>
      </c>
      <c r="U485" s="22">
        <f t="shared" si="38"/>
        <v>2020</v>
      </c>
      <c r="V485" s="22" t="str">
        <f t="shared" si="39"/>
        <v>METROPOLITANA</v>
      </c>
    </row>
    <row r="486" spans="1:22" x14ac:dyDescent="0.2">
      <c r="A486" s="11" t="s">
        <v>722</v>
      </c>
      <c r="B486" s="12" t="s">
        <v>18</v>
      </c>
      <c r="C486" s="12" t="s">
        <v>57</v>
      </c>
      <c r="D486" s="12" t="s">
        <v>20</v>
      </c>
      <c r="E486" s="13" t="s">
        <v>21</v>
      </c>
      <c r="F486" s="12" t="s">
        <v>58</v>
      </c>
      <c r="G486" s="14">
        <v>3121.2</v>
      </c>
      <c r="H486" s="12" t="s">
        <v>22</v>
      </c>
      <c r="I486" s="12">
        <v>0</v>
      </c>
      <c r="J486" s="12" t="s">
        <v>58</v>
      </c>
      <c r="K486" s="12" t="s">
        <v>23</v>
      </c>
      <c r="L486" s="12">
        <v>5</v>
      </c>
      <c r="M486" s="15">
        <v>70000</v>
      </c>
      <c r="N486" s="15">
        <f>G486*4</f>
        <v>12484.8</v>
      </c>
      <c r="O486" s="15">
        <f t="shared" si="35"/>
        <v>82484.800000000003</v>
      </c>
      <c r="P486" s="15">
        <f t="shared" si="36"/>
        <v>26.427271562219662</v>
      </c>
      <c r="Q486" s="14">
        <v>12000</v>
      </c>
      <c r="R486" s="12">
        <v>26</v>
      </c>
      <c r="S486" s="12" t="s">
        <v>729</v>
      </c>
      <c r="T486" s="22">
        <f t="shared" si="37"/>
        <v>11</v>
      </c>
      <c r="U486" s="22">
        <f t="shared" si="38"/>
        <v>2020</v>
      </c>
      <c r="V486" s="22" t="str">
        <f t="shared" si="39"/>
        <v>METROPOLITANA</v>
      </c>
    </row>
    <row r="487" spans="1:22" x14ac:dyDescent="0.2">
      <c r="A487" s="11" t="s">
        <v>722</v>
      </c>
      <c r="B487" s="12" t="s">
        <v>18</v>
      </c>
      <c r="C487" s="12" t="s">
        <v>57</v>
      </c>
      <c r="D487" s="12" t="s">
        <v>730</v>
      </c>
      <c r="E487" s="13" t="s">
        <v>731</v>
      </c>
      <c r="F487" s="12" t="s">
        <v>458</v>
      </c>
      <c r="G487" s="14">
        <v>10994.029999999999</v>
      </c>
      <c r="H487" s="12" t="s">
        <v>24</v>
      </c>
      <c r="I487" s="12">
        <v>1</v>
      </c>
      <c r="J487" s="12" t="s">
        <v>458</v>
      </c>
      <c r="K487" s="12" t="s">
        <v>75</v>
      </c>
      <c r="L487" s="12">
        <v>0</v>
      </c>
      <c r="M487" s="15">
        <v>380000</v>
      </c>
      <c r="N487" s="15">
        <v>0</v>
      </c>
      <c r="O487" s="15">
        <f t="shared" si="35"/>
        <v>380000</v>
      </c>
      <c r="P487" s="15">
        <f t="shared" si="36"/>
        <v>34.564213486774186</v>
      </c>
      <c r="Q487" s="14">
        <v>25000</v>
      </c>
      <c r="R487" s="12">
        <v>29</v>
      </c>
      <c r="S487" s="12" t="s">
        <v>732</v>
      </c>
      <c r="T487" s="22">
        <f t="shared" si="37"/>
        <v>11</v>
      </c>
      <c r="U487" s="22">
        <f t="shared" si="38"/>
        <v>2020</v>
      </c>
      <c r="V487" s="22" t="str">
        <f t="shared" si="39"/>
        <v>REGIONES</v>
      </c>
    </row>
    <row r="488" spans="1:22" x14ac:dyDescent="0.2">
      <c r="A488" s="11" t="s">
        <v>722</v>
      </c>
      <c r="B488" s="12" t="s">
        <v>18</v>
      </c>
      <c r="C488" s="12" t="s">
        <v>163</v>
      </c>
      <c r="D488" s="12" t="s">
        <v>27</v>
      </c>
      <c r="E488" s="13" t="s">
        <v>28</v>
      </c>
      <c r="F488" s="12" t="s">
        <v>165</v>
      </c>
      <c r="G488" s="14">
        <v>17049.000000000011</v>
      </c>
      <c r="H488" s="12" t="s">
        <v>22</v>
      </c>
      <c r="I488" s="12">
        <v>1</v>
      </c>
      <c r="J488" s="12" t="s">
        <v>165</v>
      </c>
      <c r="K488" s="12" t="s">
        <v>23</v>
      </c>
      <c r="L488" s="12">
        <v>4</v>
      </c>
      <c r="M488" s="15">
        <v>119343</v>
      </c>
      <c r="N488" s="15">
        <f>G488*4</f>
        <v>68196.000000000044</v>
      </c>
      <c r="O488" s="15">
        <f t="shared" si="35"/>
        <v>187539.00000000006</v>
      </c>
      <c r="P488" s="15">
        <f t="shared" si="36"/>
        <v>10.999999999999996</v>
      </c>
      <c r="Q488" s="14">
        <v>8011</v>
      </c>
      <c r="R488" s="12">
        <v>100</v>
      </c>
      <c r="S488" s="12" t="s">
        <v>733</v>
      </c>
      <c r="T488" s="22">
        <f t="shared" si="37"/>
        <v>11</v>
      </c>
      <c r="U488" s="22">
        <f t="shared" si="38"/>
        <v>2020</v>
      </c>
      <c r="V488" s="22" t="str">
        <f t="shared" si="39"/>
        <v>METROPOLITANA</v>
      </c>
    </row>
    <row r="489" spans="1:22" x14ac:dyDescent="0.2">
      <c r="A489" s="11" t="s">
        <v>722</v>
      </c>
      <c r="B489" s="12" t="s">
        <v>18</v>
      </c>
      <c r="C489" s="12" t="s">
        <v>44</v>
      </c>
      <c r="D489" s="12" t="s">
        <v>41</v>
      </c>
      <c r="E489" s="13" t="s">
        <v>25</v>
      </c>
      <c r="F489" s="12" t="s">
        <v>39</v>
      </c>
      <c r="G489" s="14">
        <v>6477.35</v>
      </c>
      <c r="H489" s="12" t="s">
        <v>43</v>
      </c>
      <c r="I489" s="12">
        <v>0</v>
      </c>
      <c r="J489" s="12" t="s">
        <v>39</v>
      </c>
      <c r="K489" s="12" t="s">
        <v>23</v>
      </c>
      <c r="L489" s="12">
        <v>1</v>
      </c>
      <c r="M489" s="15">
        <v>45341</v>
      </c>
      <c r="N489" s="15">
        <v>19432</v>
      </c>
      <c r="O489" s="15">
        <f t="shared" si="35"/>
        <v>64773</v>
      </c>
      <c r="P489" s="15">
        <f t="shared" si="36"/>
        <v>9.9999228079384306</v>
      </c>
      <c r="Q489" s="14">
        <v>4821</v>
      </c>
      <c r="R489" s="12">
        <v>100</v>
      </c>
      <c r="S489" s="12" t="s">
        <v>734</v>
      </c>
      <c r="T489" s="22">
        <f t="shared" si="37"/>
        <v>11</v>
      </c>
      <c r="U489" s="22">
        <f t="shared" si="38"/>
        <v>2020</v>
      </c>
      <c r="V489" s="22" t="str">
        <f t="shared" si="39"/>
        <v>METROPOLITANA</v>
      </c>
    </row>
    <row r="490" spans="1:22" x14ac:dyDescent="0.2">
      <c r="A490" s="11" t="s">
        <v>722</v>
      </c>
      <c r="B490" s="12" t="s">
        <v>33</v>
      </c>
      <c r="C490" s="12" t="s">
        <v>50</v>
      </c>
      <c r="D490" s="12" t="s">
        <v>63</v>
      </c>
      <c r="E490" s="13" t="s">
        <v>64</v>
      </c>
      <c r="F490" s="12" t="s">
        <v>26</v>
      </c>
      <c r="G490" s="14">
        <v>14909.92</v>
      </c>
      <c r="H490" s="12" t="s">
        <v>65</v>
      </c>
      <c r="I490" s="12">
        <v>0</v>
      </c>
      <c r="J490" s="12" t="s">
        <v>26</v>
      </c>
      <c r="K490" s="12" t="s">
        <v>23</v>
      </c>
      <c r="L490" s="12">
        <v>4</v>
      </c>
      <c r="M490" s="15">
        <v>104369</v>
      </c>
      <c r="N490" s="15">
        <f>G490*3</f>
        <v>44729.760000000002</v>
      </c>
      <c r="O490" s="15">
        <f t="shared" si="35"/>
        <v>149098.76</v>
      </c>
      <c r="P490" s="15">
        <f t="shared" si="36"/>
        <v>9.9999704894459533</v>
      </c>
      <c r="Q490" s="14">
        <v>8011</v>
      </c>
      <c r="R490" s="12">
        <v>100</v>
      </c>
      <c r="S490" s="12" t="s">
        <v>735</v>
      </c>
      <c r="T490" s="22">
        <f t="shared" si="37"/>
        <v>11</v>
      </c>
      <c r="U490" s="22">
        <f t="shared" si="38"/>
        <v>2020</v>
      </c>
      <c r="V490" s="22" t="str">
        <f t="shared" si="39"/>
        <v>METROPOLITANA</v>
      </c>
    </row>
    <row r="491" spans="1:22" x14ac:dyDescent="0.2">
      <c r="A491" s="11" t="s">
        <v>722</v>
      </c>
      <c r="B491" s="12" t="s">
        <v>33</v>
      </c>
      <c r="C491" s="12" t="s">
        <v>736</v>
      </c>
      <c r="D491" s="12" t="s">
        <v>35</v>
      </c>
      <c r="E491" s="13" t="s">
        <v>49</v>
      </c>
      <c r="F491" s="12" t="s">
        <v>737</v>
      </c>
      <c r="G491" s="14">
        <v>4004</v>
      </c>
      <c r="H491" s="12" t="s">
        <v>22</v>
      </c>
      <c r="I491" s="12">
        <v>0</v>
      </c>
      <c r="J491" s="12" t="s">
        <v>737</v>
      </c>
      <c r="K491" s="12" t="s">
        <v>78</v>
      </c>
      <c r="L491" s="12">
        <v>0</v>
      </c>
      <c r="M491" s="15">
        <v>180000</v>
      </c>
      <c r="N491" s="15">
        <f>G491*4</f>
        <v>16016</v>
      </c>
      <c r="O491" s="15">
        <f t="shared" si="35"/>
        <v>196016</v>
      </c>
      <c r="P491" s="15">
        <f t="shared" si="36"/>
        <v>48.955044955044954</v>
      </c>
      <c r="Q491" s="14">
        <v>25000</v>
      </c>
      <c r="R491" s="12">
        <v>16</v>
      </c>
      <c r="S491" s="12" t="s">
        <v>738</v>
      </c>
      <c r="T491" s="22">
        <f t="shared" si="37"/>
        <v>11</v>
      </c>
      <c r="U491" s="22">
        <f t="shared" si="38"/>
        <v>2020</v>
      </c>
      <c r="V491" s="22" t="str">
        <f t="shared" si="39"/>
        <v>REGIONES</v>
      </c>
    </row>
    <row r="492" spans="1:22" x14ac:dyDescent="0.2">
      <c r="A492" s="11" t="s">
        <v>722</v>
      </c>
      <c r="B492" s="12" t="s">
        <v>33</v>
      </c>
      <c r="C492" s="12" t="s">
        <v>36</v>
      </c>
      <c r="D492" s="12" t="s">
        <v>56</v>
      </c>
      <c r="E492" s="13" t="s">
        <v>88</v>
      </c>
      <c r="F492" s="12" t="s">
        <v>230</v>
      </c>
      <c r="G492" s="14">
        <v>4602.2</v>
      </c>
      <c r="H492" s="12" t="s">
        <v>22</v>
      </c>
      <c r="I492" s="12">
        <v>0</v>
      </c>
      <c r="J492" s="12" t="s">
        <v>230</v>
      </c>
      <c r="K492" s="12" t="s">
        <v>23</v>
      </c>
      <c r="L492" s="12">
        <v>4</v>
      </c>
      <c r="M492" s="15">
        <v>56075</v>
      </c>
      <c r="N492" s="15">
        <f>G492*4</f>
        <v>18408.8</v>
      </c>
      <c r="O492" s="15">
        <f t="shared" si="35"/>
        <v>74483.8</v>
      </c>
      <c r="P492" s="15">
        <f t="shared" si="36"/>
        <v>16.184390074312287</v>
      </c>
      <c r="Q492" s="14">
        <v>8011</v>
      </c>
      <c r="R492" s="12">
        <v>57</v>
      </c>
      <c r="S492" s="12" t="s">
        <v>739</v>
      </c>
      <c r="T492" s="22">
        <f t="shared" si="37"/>
        <v>11</v>
      </c>
      <c r="U492" s="22">
        <f t="shared" si="38"/>
        <v>2020</v>
      </c>
      <c r="V492" s="22" t="str">
        <f t="shared" si="39"/>
        <v>METROPOLITANA</v>
      </c>
    </row>
    <row r="493" spans="1:22" x14ac:dyDescent="0.2">
      <c r="A493" s="11" t="s">
        <v>722</v>
      </c>
      <c r="B493" s="12" t="s">
        <v>33</v>
      </c>
      <c r="C493" s="12" t="s">
        <v>223</v>
      </c>
      <c r="D493" s="12" t="s">
        <v>38</v>
      </c>
      <c r="E493" s="13" t="s">
        <v>42</v>
      </c>
      <c r="F493" s="12" t="s">
        <v>39</v>
      </c>
      <c r="G493" s="14">
        <v>19510.400000000001</v>
      </c>
      <c r="H493" s="12" t="s">
        <v>43</v>
      </c>
      <c r="I493" s="12">
        <v>0</v>
      </c>
      <c r="J493" s="12" t="s">
        <v>39</v>
      </c>
      <c r="K493" s="12" t="s">
        <v>23</v>
      </c>
      <c r="L493" s="12">
        <v>1</v>
      </c>
      <c r="M493" s="15">
        <v>136573</v>
      </c>
      <c r="N493" s="15">
        <f>G493*3</f>
        <v>58531.200000000004</v>
      </c>
      <c r="O493" s="15">
        <f t="shared" si="35"/>
        <v>195104.2</v>
      </c>
      <c r="P493" s="15">
        <f t="shared" si="36"/>
        <v>10.000010250943086</v>
      </c>
      <c r="Q493" s="14">
        <v>4821</v>
      </c>
      <c r="R493" s="12">
        <v>100</v>
      </c>
      <c r="S493" s="12" t="s">
        <v>740</v>
      </c>
      <c r="T493" s="22">
        <f t="shared" si="37"/>
        <v>11</v>
      </c>
      <c r="U493" s="22">
        <f t="shared" si="38"/>
        <v>2020</v>
      </c>
      <c r="V493" s="22" t="str">
        <f t="shared" si="39"/>
        <v>METROPOLITANA</v>
      </c>
    </row>
    <row r="494" spans="1:22" x14ac:dyDescent="0.2">
      <c r="A494" s="11" t="s">
        <v>722</v>
      </c>
      <c r="B494" s="12" t="s">
        <v>33</v>
      </c>
      <c r="C494" s="12" t="s">
        <v>29</v>
      </c>
      <c r="D494" s="12" t="s">
        <v>61</v>
      </c>
      <c r="E494" s="13" t="s">
        <v>62</v>
      </c>
      <c r="F494" s="12" t="s">
        <v>132</v>
      </c>
      <c r="G494" s="14">
        <v>16102.399999999991</v>
      </c>
      <c r="H494" s="12" t="s">
        <v>85</v>
      </c>
      <c r="I494" s="12">
        <v>1</v>
      </c>
      <c r="J494" s="12" t="s">
        <v>132</v>
      </c>
      <c r="K494" s="12" t="s">
        <v>124</v>
      </c>
      <c r="L494" s="12">
        <v>0</v>
      </c>
      <c r="M494" s="15">
        <v>350000</v>
      </c>
      <c r="N494" s="15">
        <v>0</v>
      </c>
      <c r="O494" s="15">
        <f t="shared" si="35"/>
        <v>350000</v>
      </c>
      <c r="P494" s="15">
        <f t="shared" si="36"/>
        <v>21.735890302066785</v>
      </c>
      <c r="Q494" s="14">
        <v>25000</v>
      </c>
      <c r="R494" s="12">
        <v>64</v>
      </c>
      <c r="S494" s="12" t="s">
        <v>741</v>
      </c>
      <c r="T494" s="22">
        <f t="shared" si="37"/>
        <v>11</v>
      </c>
      <c r="U494" s="22">
        <f t="shared" si="38"/>
        <v>2020</v>
      </c>
      <c r="V494" s="22" t="str">
        <f t="shared" si="39"/>
        <v>REGIONES</v>
      </c>
    </row>
    <row r="495" spans="1:22" x14ac:dyDescent="0.2">
      <c r="A495" s="11" t="s">
        <v>722</v>
      </c>
      <c r="B495" s="12" t="s">
        <v>33</v>
      </c>
      <c r="C495" s="12" t="s">
        <v>29</v>
      </c>
      <c r="D495" s="12" t="s">
        <v>37</v>
      </c>
      <c r="E495" s="13" t="s">
        <v>40</v>
      </c>
      <c r="F495" s="12" t="s">
        <v>39</v>
      </c>
      <c r="G495" s="14">
        <v>7377.2</v>
      </c>
      <c r="H495" s="12" t="s">
        <v>22</v>
      </c>
      <c r="I495" s="12">
        <v>0</v>
      </c>
      <c r="J495" s="12" t="s">
        <v>39</v>
      </c>
      <c r="K495" s="12" t="s">
        <v>23</v>
      </c>
      <c r="L495" s="12">
        <v>1</v>
      </c>
      <c r="M495" s="15">
        <v>51640</v>
      </c>
      <c r="N495" s="15">
        <v>29509</v>
      </c>
      <c r="O495" s="15">
        <f t="shared" si="35"/>
        <v>81149</v>
      </c>
      <c r="P495" s="15">
        <f t="shared" si="36"/>
        <v>10.99997288944315</v>
      </c>
      <c r="Q495" s="14">
        <v>4821</v>
      </c>
      <c r="R495" s="12">
        <v>100</v>
      </c>
      <c r="S495" s="12" t="s">
        <v>742</v>
      </c>
      <c r="T495" s="22">
        <f t="shared" si="37"/>
        <v>11</v>
      </c>
      <c r="U495" s="22">
        <f t="shared" si="38"/>
        <v>2020</v>
      </c>
      <c r="V495" s="22" t="str">
        <f t="shared" si="39"/>
        <v>METROPOLITANA</v>
      </c>
    </row>
    <row r="496" spans="1:22" x14ac:dyDescent="0.2">
      <c r="A496" s="11" t="s">
        <v>722</v>
      </c>
      <c r="B496" s="12" t="s">
        <v>33</v>
      </c>
      <c r="C496" s="12" t="s">
        <v>29</v>
      </c>
      <c r="D496" s="12" t="s">
        <v>63</v>
      </c>
      <c r="E496" s="13" t="s">
        <v>64</v>
      </c>
      <c r="F496" s="12" t="s">
        <v>39</v>
      </c>
      <c r="G496" s="14">
        <v>7377.2</v>
      </c>
      <c r="H496" s="12" t="s">
        <v>65</v>
      </c>
      <c r="I496" s="12">
        <v>0</v>
      </c>
      <c r="J496" s="12" t="s">
        <v>39</v>
      </c>
      <c r="K496" s="12" t="s">
        <v>23</v>
      </c>
      <c r="L496" s="12">
        <v>1</v>
      </c>
      <c r="M496" s="15">
        <v>51640</v>
      </c>
      <c r="N496" s="15">
        <v>22132</v>
      </c>
      <c r="O496" s="15">
        <f t="shared" si="35"/>
        <v>73772</v>
      </c>
      <c r="P496" s="15">
        <f t="shared" si="36"/>
        <v>10</v>
      </c>
      <c r="Q496" s="14">
        <v>4821</v>
      </c>
      <c r="R496" s="12">
        <v>100</v>
      </c>
      <c r="S496" s="12" t="s">
        <v>743</v>
      </c>
      <c r="T496" s="22">
        <f t="shared" si="37"/>
        <v>11</v>
      </c>
      <c r="U496" s="22">
        <f t="shared" si="38"/>
        <v>2020</v>
      </c>
      <c r="V496" s="22" t="str">
        <f t="shared" si="39"/>
        <v>METROPOLITANA</v>
      </c>
    </row>
    <row r="497" spans="1:22" x14ac:dyDescent="0.2">
      <c r="A497" s="11" t="s">
        <v>722</v>
      </c>
      <c r="B497" s="12" t="s">
        <v>33</v>
      </c>
      <c r="C497" s="12" t="s">
        <v>44</v>
      </c>
      <c r="D497" s="12" t="s">
        <v>45</v>
      </c>
      <c r="E497" s="13" t="s">
        <v>52</v>
      </c>
      <c r="F497" s="12" t="s">
        <v>225</v>
      </c>
      <c r="G497" s="14">
        <v>1799.4</v>
      </c>
      <c r="H497" s="12" t="s">
        <v>22</v>
      </c>
      <c r="I497" s="12">
        <v>1</v>
      </c>
      <c r="J497" s="12" t="s">
        <v>225</v>
      </c>
      <c r="K497" s="12" t="s">
        <v>23</v>
      </c>
      <c r="L497" s="12">
        <v>3</v>
      </c>
      <c r="M497" s="15">
        <v>48075</v>
      </c>
      <c r="N497" s="15">
        <v>12000</v>
      </c>
      <c r="O497" s="15">
        <f t="shared" si="35"/>
        <v>60075</v>
      </c>
      <c r="P497" s="15">
        <f t="shared" si="36"/>
        <v>33.386128709569853</v>
      </c>
      <c r="Q497" s="14">
        <v>6868</v>
      </c>
      <c r="R497" s="12">
        <v>26</v>
      </c>
      <c r="S497" s="12" t="s">
        <v>744</v>
      </c>
      <c r="T497" s="22">
        <f t="shared" si="37"/>
        <v>11</v>
      </c>
      <c r="U497" s="22">
        <f t="shared" si="38"/>
        <v>2020</v>
      </c>
      <c r="V497" s="22" t="str">
        <f t="shared" si="39"/>
        <v>METROPOLITANA</v>
      </c>
    </row>
    <row r="498" spans="1:22" x14ac:dyDescent="0.2">
      <c r="A498" s="11" t="s">
        <v>722</v>
      </c>
      <c r="B498" s="12" t="s">
        <v>33</v>
      </c>
      <c r="C498" s="12" t="s">
        <v>44</v>
      </c>
      <c r="D498" s="12" t="s">
        <v>47</v>
      </c>
      <c r="E498" s="13" t="s">
        <v>21</v>
      </c>
      <c r="F498" s="12" t="s">
        <v>48</v>
      </c>
      <c r="G498" s="14">
        <v>4661.01</v>
      </c>
      <c r="H498" s="12" t="s">
        <v>22</v>
      </c>
      <c r="I498" s="12">
        <v>0</v>
      </c>
      <c r="J498" s="12" t="s">
        <v>48</v>
      </c>
      <c r="K498" s="12" t="s">
        <v>23</v>
      </c>
      <c r="L498" s="12">
        <v>1</v>
      </c>
      <c r="M498" s="15">
        <v>33750</v>
      </c>
      <c r="N498" s="15">
        <v>18644</v>
      </c>
      <c r="O498" s="15">
        <f t="shared" si="35"/>
        <v>52394</v>
      </c>
      <c r="P498" s="15">
        <f t="shared" si="36"/>
        <v>11.2409113046314</v>
      </c>
      <c r="Q498" s="14">
        <v>4821</v>
      </c>
      <c r="R498" s="12">
        <v>97</v>
      </c>
      <c r="S498" s="12" t="s">
        <v>745</v>
      </c>
      <c r="T498" s="22">
        <f t="shared" si="37"/>
        <v>11</v>
      </c>
      <c r="U498" s="22">
        <f t="shared" si="38"/>
        <v>2020</v>
      </c>
      <c r="V498" s="22" t="str">
        <f t="shared" si="39"/>
        <v>METROPOLITANA</v>
      </c>
    </row>
    <row r="499" spans="1:22" x14ac:dyDescent="0.2">
      <c r="A499" s="11" t="s">
        <v>722</v>
      </c>
      <c r="B499" s="12" t="s">
        <v>33</v>
      </c>
      <c r="C499" s="12" t="s">
        <v>44</v>
      </c>
      <c r="D499" s="12" t="s">
        <v>20</v>
      </c>
      <c r="E499" s="13" t="s">
        <v>49</v>
      </c>
      <c r="F499" s="12" t="s">
        <v>137</v>
      </c>
      <c r="G499" s="14">
        <v>2074.2000000000012</v>
      </c>
      <c r="H499" s="12" t="s">
        <v>22</v>
      </c>
      <c r="I499" s="12">
        <v>0</v>
      </c>
      <c r="J499" s="12" t="s">
        <v>137</v>
      </c>
      <c r="K499" s="12" t="s">
        <v>23</v>
      </c>
      <c r="L499" s="12">
        <v>1</v>
      </c>
      <c r="M499" s="15">
        <v>33750</v>
      </c>
      <c r="N499" s="15">
        <v>12000</v>
      </c>
      <c r="O499" s="15">
        <f t="shared" si="35"/>
        <v>45750</v>
      </c>
      <c r="P499" s="15">
        <f t="shared" si="36"/>
        <v>22.056696557708985</v>
      </c>
      <c r="Q499" s="14">
        <v>4821</v>
      </c>
      <c r="R499" s="12">
        <v>43</v>
      </c>
      <c r="S499" s="12" t="s">
        <v>746</v>
      </c>
      <c r="T499" s="22">
        <f t="shared" si="37"/>
        <v>11</v>
      </c>
      <c r="U499" s="22">
        <f t="shared" si="38"/>
        <v>2020</v>
      </c>
      <c r="V499" s="22" t="str">
        <f t="shared" si="39"/>
        <v>METROPOLITANA</v>
      </c>
    </row>
    <row r="500" spans="1:22" x14ac:dyDescent="0.2">
      <c r="A500" s="23" t="s">
        <v>747</v>
      </c>
      <c r="B500" s="22" t="s">
        <v>18</v>
      </c>
      <c r="C500" s="22" t="s">
        <v>726</v>
      </c>
      <c r="D500" s="22" t="s">
        <v>38</v>
      </c>
      <c r="E500" s="24" t="s">
        <v>42</v>
      </c>
      <c r="F500" s="22" t="s">
        <v>727</v>
      </c>
      <c r="G500" s="25">
        <v>15174.9</v>
      </c>
      <c r="H500" s="22" t="s">
        <v>43</v>
      </c>
      <c r="I500" s="22">
        <v>0</v>
      </c>
      <c r="J500" s="22" t="s">
        <v>727</v>
      </c>
      <c r="K500" s="22" t="s">
        <v>23</v>
      </c>
      <c r="L500" s="22">
        <v>1</v>
      </c>
      <c r="M500" s="26">
        <v>106224</v>
      </c>
      <c r="N500" s="26">
        <f>G500*3</f>
        <v>45524.7</v>
      </c>
      <c r="O500" s="15">
        <f t="shared" si="35"/>
        <v>151748.70000000001</v>
      </c>
      <c r="P500" s="15">
        <f t="shared" si="36"/>
        <v>9.9999802305122287</v>
      </c>
      <c r="Q500" s="25">
        <v>4821</v>
      </c>
      <c r="R500" s="22">
        <v>100</v>
      </c>
      <c r="S500" s="22" t="s">
        <v>748</v>
      </c>
      <c r="T500" s="22">
        <f t="shared" si="37"/>
        <v>11</v>
      </c>
      <c r="U500" s="22">
        <f t="shared" si="38"/>
        <v>2020</v>
      </c>
      <c r="V500" s="22" t="str">
        <f t="shared" si="39"/>
        <v>METROPOLITANA</v>
      </c>
    </row>
    <row r="501" spans="1:22" x14ac:dyDescent="0.2">
      <c r="A501" s="23" t="s">
        <v>747</v>
      </c>
      <c r="B501" s="22" t="s">
        <v>18</v>
      </c>
      <c r="C501" s="22" t="s">
        <v>726</v>
      </c>
      <c r="D501" s="22" t="s">
        <v>37</v>
      </c>
      <c r="E501" s="24" t="s">
        <v>40</v>
      </c>
      <c r="F501" s="22" t="s">
        <v>727</v>
      </c>
      <c r="G501" s="25">
        <v>11802.7</v>
      </c>
      <c r="H501" s="22" t="s">
        <v>22</v>
      </c>
      <c r="I501" s="22">
        <v>0</v>
      </c>
      <c r="J501" s="22" t="s">
        <v>727</v>
      </c>
      <c r="K501" s="22" t="s">
        <v>23</v>
      </c>
      <c r="L501" s="22">
        <v>1</v>
      </c>
      <c r="M501" s="26">
        <v>82619</v>
      </c>
      <c r="N501" s="26">
        <f>G501*4</f>
        <v>47210.8</v>
      </c>
      <c r="O501" s="15">
        <f t="shared" si="35"/>
        <v>129829.8</v>
      </c>
      <c r="P501" s="15">
        <f t="shared" si="36"/>
        <v>11.000008472637615</v>
      </c>
      <c r="Q501" s="25">
        <v>4821</v>
      </c>
      <c r="R501" s="22">
        <v>100</v>
      </c>
      <c r="S501" s="22" t="s">
        <v>749</v>
      </c>
      <c r="T501" s="22">
        <f t="shared" si="37"/>
        <v>11</v>
      </c>
      <c r="U501" s="22">
        <f t="shared" si="38"/>
        <v>2020</v>
      </c>
      <c r="V501" s="22" t="str">
        <f t="shared" si="39"/>
        <v>METROPOLITANA</v>
      </c>
    </row>
    <row r="502" spans="1:22" x14ac:dyDescent="0.2">
      <c r="A502" s="23" t="s">
        <v>747</v>
      </c>
      <c r="B502" s="22" t="s">
        <v>18</v>
      </c>
      <c r="C502" s="22" t="s">
        <v>57</v>
      </c>
      <c r="D502" s="22" t="s">
        <v>636</v>
      </c>
      <c r="E502" s="24" t="s">
        <v>750</v>
      </c>
      <c r="F502" s="22" t="s">
        <v>407</v>
      </c>
      <c r="G502" s="25">
        <v>6411.5</v>
      </c>
      <c r="H502" s="22" t="s">
        <v>85</v>
      </c>
      <c r="I502" s="22">
        <v>1</v>
      </c>
      <c r="J502" s="22" t="s">
        <v>407</v>
      </c>
      <c r="K502" s="22" t="s">
        <v>408</v>
      </c>
      <c r="L502" s="22">
        <v>0</v>
      </c>
      <c r="M502" s="26">
        <v>600000</v>
      </c>
      <c r="N502" s="26">
        <v>0</v>
      </c>
      <c r="O502" s="15">
        <f t="shared" si="35"/>
        <v>600000</v>
      </c>
      <c r="P502" s="15">
        <f t="shared" si="36"/>
        <v>93.581845122046317</v>
      </c>
      <c r="Q502" s="25">
        <v>25000</v>
      </c>
      <c r="R502" s="22">
        <v>26</v>
      </c>
      <c r="S502" s="22" t="s">
        <v>751</v>
      </c>
      <c r="T502" s="22">
        <f t="shared" si="37"/>
        <v>11</v>
      </c>
      <c r="U502" s="22">
        <f t="shared" si="38"/>
        <v>2020</v>
      </c>
      <c r="V502" s="22" t="str">
        <f t="shared" si="39"/>
        <v>REGIONES</v>
      </c>
    </row>
    <row r="503" spans="1:22" x14ac:dyDescent="0.2">
      <c r="A503" s="23" t="s">
        <v>747</v>
      </c>
      <c r="B503" s="22" t="s">
        <v>18</v>
      </c>
      <c r="C503" s="22" t="s">
        <v>19</v>
      </c>
      <c r="D503" s="22" t="s">
        <v>164</v>
      </c>
      <c r="E503" s="24" t="s">
        <v>544</v>
      </c>
      <c r="F503" s="22" t="s">
        <v>67</v>
      </c>
      <c r="G503" s="25">
        <v>11907.409999999991</v>
      </c>
      <c r="H503" s="22" t="s">
        <v>22</v>
      </c>
      <c r="I503" s="22">
        <v>1</v>
      </c>
      <c r="J503" s="22" t="s">
        <v>67</v>
      </c>
      <c r="K503" s="22" t="s">
        <v>23</v>
      </c>
      <c r="L503" s="22">
        <v>2</v>
      </c>
      <c r="M503" s="26">
        <v>83352</v>
      </c>
      <c r="N503" s="26">
        <f>G503*4</f>
        <v>47629.639999999963</v>
      </c>
      <c r="O503" s="15">
        <f t="shared" si="35"/>
        <v>130981.63999999996</v>
      </c>
      <c r="P503" s="15">
        <f t="shared" si="36"/>
        <v>11.000010917571501</v>
      </c>
      <c r="Q503" s="25">
        <v>5782</v>
      </c>
      <c r="R503" s="22">
        <v>100</v>
      </c>
      <c r="S503" s="22" t="s">
        <v>752</v>
      </c>
      <c r="T503" s="22">
        <f t="shared" si="37"/>
        <v>11</v>
      </c>
      <c r="U503" s="22">
        <f t="shared" si="38"/>
        <v>2020</v>
      </c>
      <c r="V503" s="22" t="str">
        <f t="shared" si="39"/>
        <v>METROPOLITANA</v>
      </c>
    </row>
    <row r="504" spans="1:22" x14ac:dyDescent="0.2">
      <c r="A504" s="23" t="s">
        <v>747</v>
      </c>
      <c r="B504" s="22" t="s">
        <v>33</v>
      </c>
      <c r="C504" s="22" t="s">
        <v>60</v>
      </c>
      <c r="D504" s="22" t="s">
        <v>30</v>
      </c>
      <c r="E504" s="24" t="s">
        <v>31</v>
      </c>
      <c r="F504" s="22" t="s">
        <v>753</v>
      </c>
      <c r="G504" s="25">
        <v>7503.9999999999973</v>
      </c>
      <c r="H504" s="22" t="s">
        <v>32</v>
      </c>
      <c r="I504" s="22">
        <v>0</v>
      </c>
      <c r="J504" s="22" t="s">
        <v>39</v>
      </c>
      <c r="K504" s="22" t="s">
        <v>23</v>
      </c>
      <c r="L504" s="22">
        <v>1</v>
      </c>
      <c r="M504" s="26">
        <v>52528</v>
      </c>
      <c r="N504" s="26">
        <f>G504*3</f>
        <v>22511.999999999993</v>
      </c>
      <c r="O504" s="15">
        <f t="shared" si="35"/>
        <v>75040</v>
      </c>
      <c r="P504" s="15">
        <f t="shared" si="36"/>
        <v>10.000000000000004</v>
      </c>
      <c r="Q504" s="25">
        <v>4821</v>
      </c>
      <c r="R504" s="22">
        <v>100</v>
      </c>
      <c r="S504" s="22" t="s">
        <v>754</v>
      </c>
      <c r="T504" s="22">
        <f t="shared" si="37"/>
        <v>11</v>
      </c>
      <c r="U504" s="22">
        <f t="shared" si="38"/>
        <v>2020</v>
      </c>
      <c r="V504" s="22" t="str">
        <f t="shared" si="39"/>
        <v>METROPOLITANA</v>
      </c>
    </row>
    <row r="505" spans="1:22" x14ac:dyDescent="0.2">
      <c r="A505" s="23" t="s">
        <v>747</v>
      </c>
      <c r="B505" s="22" t="s">
        <v>33</v>
      </c>
      <c r="C505" s="22" t="s">
        <v>163</v>
      </c>
      <c r="D505" s="22" t="s">
        <v>37</v>
      </c>
      <c r="E505" s="24" t="s">
        <v>40</v>
      </c>
      <c r="F505" s="22" t="s">
        <v>165</v>
      </c>
      <c r="G505" s="25">
        <v>7224.5599999999995</v>
      </c>
      <c r="H505" s="22" t="s">
        <v>22</v>
      </c>
      <c r="I505" s="22">
        <v>0</v>
      </c>
      <c r="J505" s="22" t="s">
        <v>165</v>
      </c>
      <c r="K505" s="22" t="s">
        <v>23</v>
      </c>
      <c r="L505" s="22">
        <v>4</v>
      </c>
      <c r="M505" s="26">
        <v>56075</v>
      </c>
      <c r="N505" s="26">
        <f>G505*4</f>
        <v>28898.239999999998</v>
      </c>
      <c r="O505" s="15">
        <f t="shared" si="35"/>
        <v>84973.239999999991</v>
      </c>
      <c r="P505" s="15">
        <f t="shared" si="36"/>
        <v>11.761718360702934</v>
      </c>
      <c r="Q505" s="25">
        <v>8011</v>
      </c>
      <c r="R505" s="22">
        <v>78</v>
      </c>
      <c r="S505" s="22" t="s">
        <v>755</v>
      </c>
      <c r="T505" s="22">
        <f t="shared" si="37"/>
        <v>11</v>
      </c>
      <c r="U505" s="22">
        <f t="shared" si="38"/>
        <v>2020</v>
      </c>
      <c r="V505" s="22" t="str">
        <f t="shared" si="39"/>
        <v>METROPOLITANA</v>
      </c>
    </row>
    <row r="506" spans="1:22" x14ac:dyDescent="0.2">
      <c r="A506" s="23" t="s">
        <v>747</v>
      </c>
      <c r="B506" s="22" t="s">
        <v>33</v>
      </c>
      <c r="C506" s="22" t="s">
        <v>163</v>
      </c>
      <c r="D506" s="22" t="s">
        <v>27</v>
      </c>
      <c r="E506" s="24" t="s">
        <v>28</v>
      </c>
      <c r="F506" s="22" t="s">
        <v>165</v>
      </c>
      <c r="G506" s="25">
        <v>18354</v>
      </c>
      <c r="H506" s="22" t="s">
        <v>22</v>
      </c>
      <c r="I506" s="22">
        <v>1</v>
      </c>
      <c r="J506" s="22" t="s">
        <v>165</v>
      </c>
      <c r="K506" s="22" t="s">
        <v>23</v>
      </c>
      <c r="L506" s="22">
        <v>4</v>
      </c>
      <c r="M506" s="26">
        <v>128478</v>
      </c>
      <c r="N506" s="26">
        <f>G506*4</f>
        <v>73416</v>
      </c>
      <c r="O506" s="15">
        <f t="shared" si="35"/>
        <v>201894</v>
      </c>
      <c r="P506" s="15">
        <f t="shared" si="36"/>
        <v>11</v>
      </c>
      <c r="Q506" s="25">
        <v>8011</v>
      </c>
      <c r="R506" s="22">
        <v>100</v>
      </c>
      <c r="S506" s="22" t="s">
        <v>756</v>
      </c>
      <c r="T506" s="22">
        <f t="shared" si="37"/>
        <v>11</v>
      </c>
      <c r="U506" s="22">
        <f t="shared" si="38"/>
        <v>2020</v>
      </c>
      <c r="V506" s="22" t="str">
        <f t="shared" si="39"/>
        <v>METROPOLITANA</v>
      </c>
    </row>
    <row r="507" spans="1:22" x14ac:dyDescent="0.2">
      <c r="A507" s="23" t="s">
        <v>747</v>
      </c>
      <c r="B507" s="22" t="s">
        <v>33</v>
      </c>
      <c r="C507" s="22" t="s">
        <v>44</v>
      </c>
      <c r="D507" s="22" t="s">
        <v>56</v>
      </c>
      <c r="E507" s="24" t="s">
        <v>52</v>
      </c>
      <c r="F507" s="22" t="s">
        <v>26</v>
      </c>
      <c r="G507" s="25">
        <v>1699.6</v>
      </c>
      <c r="H507" s="22" t="s">
        <v>22</v>
      </c>
      <c r="I507" s="22">
        <v>0</v>
      </c>
      <c r="J507" s="22" t="s">
        <v>26</v>
      </c>
      <c r="K507" s="22" t="s">
        <v>23</v>
      </c>
      <c r="L507" s="22">
        <v>4</v>
      </c>
      <c r="M507" s="26">
        <v>56075</v>
      </c>
      <c r="N507" s="26">
        <v>6798</v>
      </c>
      <c r="O507" s="15">
        <f t="shared" si="35"/>
        <v>62873</v>
      </c>
      <c r="P507" s="15">
        <f t="shared" si="36"/>
        <v>36.992821840433045</v>
      </c>
      <c r="Q507" s="25">
        <v>8011</v>
      </c>
      <c r="R507" s="22">
        <v>21</v>
      </c>
      <c r="S507" s="22" t="s">
        <v>757</v>
      </c>
      <c r="T507" s="22">
        <f t="shared" si="37"/>
        <v>11</v>
      </c>
      <c r="U507" s="22">
        <f t="shared" si="38"/>
        <v>2020</v>
      </c>
      <c r="V507" s="22" t="str">
        <f t="shared" si="39"/>
        <v>METROPOLITANA</v>
      </c>
    </row>
    <row r="508" spans="1:22" x14ac:dyDescent="0.2">
      <c r="A508" s="23" t="s">
        <v>747</v>
      </c>
      <c r="B508" s="22" t="s">
        <v>33</v>
      </c>
      <c r="C508" s="22" t="s">
        <v>44</v>
      </c>
      <c r="D508" s="22" t="s">
        <v>45</v>
      </c>
      <c r="E508" s="24" t="s">
        <v>21</v>
      </c>
      <c r="F508" s="22" t="s">
        <v>51</v>
      </c>
      <c r="G508" s="25">
        <v>2526</v>
      </c>
      <c r="H508" s="22" t="s">
        <v>22</v>
      </c>
      <c r="I508" s="22">
        <v>0</v>
      </c>
      <c r="J508" s="22" t="s">
        <v>51</v>
      </c>
      <c r="K508" s="22" t="s">
        <v>23</v>
      </c>
      <c r="L508" s="22">
        <v>4</v>
      </c>
      <c r="M508" s="26">
        <v>56075</v>
      </c>
      <c r="N508" s="26">
        <v>10104</v>
      </c>
      <c r="O508" s="15">
        <f t="shared" si="35"/>
        <v>66179</v>
      </c>
      <c r="P508" s="15">
        <f t="shared" si="36"/>
        <v>26.199129057798892</v>
      </c>
      <c r="Q508" s="25">
        <v>8011</v>
      </c>
      <c r="R508" s="22">
        <v>32</v>
      </c>
      <c r="S508" s="22" t="s">
        <v>758</v>
      </c>
      <c r="T508" s="22">
        <f t="shared" si="37"/>
        <v>11</v>
      </c>
      <c r="U508" s="22">
        <f t="shared" si="38"/>
        <v>2020</v>
      </c>
      <c r="V508" s="22" t="str">
        <f t="shared" si="39"/>
        <v>METROPOLITANA</v>
      </c>
    </row>
    <row r="509" spans="1:22" x14ac:dyDescent="0.2">
      <c r="A509" s="23" t="s">
        <v>747</v>
      </c>
      <c r="B509" s="22" t="s">
        <v>33</v>
      </c>
      <c r="C509" s="22" t="s">
        <v>44</v>
      </c>
      <c r="D509" s="22" t="s">
        <v>47</v>
      </c>
      <c r="E509" s="24" t="s">
        <v>88</v>
      </c>
      <c r="F509" s="22" t="s">
        <v>48</v>
      </c>
      <c r="G509" s="25">
        <v>3939.610000000001</v>
      </c>
      <c r="H509" s="22" t="s">
        <v>22</v>
      </c>
      <c r="I509" s="22">
        <v>0</v>
      </c>
      <c r="J509" s="22" t="s">
        <v>48</v>
      </c>
      <c r="K509" s="22" t="s">
        <v>23</v>
      </c>
      <c r="L509" s="22">
        <v>1</v>
      </c>
      <c r="M509" s="26">
        <v>33750</v>
      </c>
      <c r="N509" s="26">
        <v>15758</v>
      </c>
      <c r="O509" s="15">
        <f t="shared" si="35"/>
        <v>49508</v>
      </c>
      <c r="P509" s="15">
        <f t="shared" si="36"/>
        <v>12.566726148019724</v>
      </c>
      <c r="Q509" s="25">
        <v>4821</v>
      </c>
      <c r="R509" s="22">
        <v>82</v>
      </c>
      <c r="S509" s="22" t="s">
        <v>759</v>
      </c>
      <c r="T509" s="22">
        <f t="shared" si="37"/>
        <v>11</v>
      </c>
      <c r="U509" s="22">
        <f t="shared" si="38"/>
        <v>2020</v>
      </c>
      <c r="V509" s="22" t="str">
        <f t="shared" si="39"/>
        <v>METROPOLITANA</v>
      </c>
    </row>
    <row r="510" spans="1:22" x14ac:dyDescent="0.2">
      <c r="A510" s="23" t="s">
        <v>747</v>
      </c>
      <c r="B510" s="22" t="s">
        <v>33</v>
      </c>
      <c r="C510" s="22" t="s">
        <v>44</v>
      </c>
      <c r="D510" s="22" t="s">
        <v>35</v>
      </c>
      <c r="E510" s="24" t="s">
        <v>49</v>
      </c>
      <c r="F510" s="22" t="s">
        <v>95</v>
      </c>
      <c r="G510" s="25">
        <v>2251.1999999999998</v>
      </c>
      <c r="H510" s="22" t="s">
        <v>22</v>
      </c>
      <c r="I510" s="22">
        <v>0</v>
      </c>
      <c r="J510" s="22" t="s">
        <v>95</v>
      </c>
      <c r="K510" s="22" t="s">
        <v>23</v>
      </c>
      <c r="L510" s="22">
        <v>4</v>
      </c>
      <c r="M510" s="26">
        <v>56075</v>
      </c>
      <c r="N510" s="26">
        <v>9005</v>
      </c>
      <c r="O510" s="15">
        <f t="shared" si="35"/>
        <v>65080</v>
      </c>
      <c r="P510" s="15">
        <f t="shared" si="36"/>
        <v>28.909026297086001</v>
      </c>
      <c r="Q510" s="25">
        <v>8011</v>
      </c>
      <c r="R510" s="22">
        <v>28</v>
      </c>
      <c r="S510" s="22" t="s">
        <v>760</v>
      </c>
      <c r="T510" s="22">
        <f t="shared" si="37"/>
        <v>11</v>
      </c>
      <c r="U510" s="22">
        <f t="shared" si="38"/>
        <v>2020</v>
      </c>
      <c r="V510" s="22" t="str">
        <f t="shared" si="39"/>
        <v>METROPOLITANA</v>
      </c>
    </row>
    <row r="511" spans="1:22" x14ac:dyDescent="0.2">
      <c r="A511" s="23" t="s">
        <v>747</v>
      </c>
      <c r="B511" s="22" t="s">
        <v>33</v>
      </c>
      <c r="C511" s="22" t="s">
        <v>44</v>
      </c>
      <c r="D511" s="22" t="s">
        <v>20</v>
      </c>
      <c r="E511" s="24" t="s">
        <v>28</v>
      </c>
      <c r="F511" s="22" t="s">
        <v>46</v>
      </c>
      <c r="G511" s="25">
        <v>1025.2</v>
      </c>
      <c r="H511" s="22" t="s">
        <v>22</v>
      </c>
      <c r="I511" s="22">
        <v>0</v>
      </c>
      <c r="J511" s="22" t="s">
        <v>46</v>
      </c>
      <c r="K511" s="22" t="s">
        <v>23</v>
      </c>
      <c r="L511" s="22">
        <v>2</v>
      </c>
      <c r="M511" s="26">
        <v>40475</v>
      </c>
      <c r="N511" s="26">
        <v>4101</v>
      </c>
      <c r="O511" s="15">
        <f t="shared" si="35"/>
        <v>44576</v>
      </c>
      <c r="P511" s="15">
        <f t="shared" si="36"/>
        <v>43.480296527506823</v>
      </c>
      <c r="Q511" s="25">
        <v>5782</v>
      </c>
      <c r="R511" s="22">
        <v>18</v>
      </c>
      <c r="S511" s="22" t="s">
        <v>761</v>
      </c>
      <c r="T511" s="22">
        <f t="shared" si="37"/>
        <v>11</v>
      </c>
      <c r="U511" s="22">
        <f t="shared" si="38"/>
        <v>2020</v>
      </c>
      <c r="V511" s="22" t="str">
        <f t="shared" si="39"/>
        <v>METROPOLITANA</v>
      </c>
    </row>
    <row r="512" spans="1:22" x14ac:dyDescent="0.2">
      <c r="A512" s="11" t="s">
        <v>762</v>
      </c>
      <c r="B512" s="12" t="s">
        <v>54</v>
      </c>
      <c r="C512" s="12" t="s">
        <v>55</v>
      </c>
      <c r="D512" s="12" t="s">
        <v>763</v>
      </c>
      <c r="E512" s="13" t="s">
        <v>764</v>
      </c>
      <c r="F512" s="12" t="s">
        <v>66</v>
      </c>
      <c r="G512" s="14">
        <v>5496.0000000000018</v>
      </c>
      <c r="H512" s="12" t="s">
        <v>24</v>
      </c>
      <c r="I512" s="12">
        <v>1</v>
      </c>
      <c r="J512" s="12" t="s">
        <v>66</v>
      </c>
      <c r="K512" s="12" t="s">
        <v>75</v>
      </c>
      <c r="L512" s="12">
        <v>0</v>
      </c>
      <c r="M512" s="15">
        <v>380000</v>
      </c>
      <c r="N512" s="15">
        <v>0</v>
      </c>
      <c r="O512" s="15">
        <f t="shared" si="35"/>
        <v>380000</v>
      </c>
      <c r="P512" s="15">
        <f t="shared" si="36"/>
        <v>69.141193595342045</v>
      </c>
      <c r="Q512" s="14">
        <v>25000</v>
      </c>
      <c r="R512" s="12">
        <v>22</v>
      </c>
      <c r="S512" s="12" t="s">
        <v>765</v>
      </c>
      <c r="T512" s="22">
        <f t="shared" si="37"/>
        <v>11</v>
      </c>
      <c r="U512" s="22">
        <f t="shared" si="38"/>
        <v>2020</v>
      </c>
      <c r="V512" s="22" t="str">
        <f t="shared" si="39"/>
        <v>REGIONES</v>
      </c>
    </row>
    <row r="513" spans="1:22" x14ac:dyDescent="0.2">
      <c r="A513" s="11" t="s">
        <v>762</v>
      </c>
      <c r="B513" s="12" t="s">
        <v>18</v>
      </c>
      <c r="C513" s="12" t="s">
        <v>270</v>
      </c>
      <c r="D513" s="12" t="s">
        <v>37</v>
      </c>
      <c r="E513" s="13" t="s">
        <v>40</v>
      </c>
      <c r="F513" s="12" t="s">
        <v>120</v>
      </c>
      <c r="G513" s="14">
        <v>3588</v>
      </c>
      <c r="H513" s="12" t="s">
        <v>22</v>
      </c>
      <c r="I513" s="12">
        <v>0</v>
      </c>
      <c r="J513" s="12" t="s">
        <v>120</v>
      </c>
      <c r="K513" s="12" t="s">
        <v>23</v>
      </c>
      <c r="L513" s="12">
        <v>5</v>
      </c>
      <c r="M513" s="15">
        <v>70000</v>
      </c>
      <c r="N513" s="15">
        <f>G513*4</f>
        <v>14352</v>
      </c>
      <c r="O513" s="15">
        <f t="shared" si="35"/>
        <v>84352</v>
      </c>
      <c r="P513" s="15">
        <f t="shared" si="36"/>
        <v>23.509476031215161</v>
      </c>
      <c r="Q513" s="14">
        <v>12000</v>
      </c>
      <c r="R513" s="12">
        <v>30</v>
      </c>
      <c r="S513" s="12" t="s">
        <v>766</v>
      </c>
      <c r="T513" s="22">
        <f t="shared" si="37"/>
        <v>11</v>
      </c>
      <c r="U513" s="22">
        <f t="shared" si="38"/>
        <v>2020</v>
      </c>
      <c r="V513" s="22" t="str">
        <f t="shared" si="39"/>
        <v>METROPOLITANA</v>
      </c>
    </row>
    <row r="514" spans="1:22" x14ac:dyDescent="0.2">
      <c r="A514" s="11" t="s">
        <v>762</v>
      </c>
      <c r="B514" s="12" t="s">
        <v>18</v>
      </c>
      <c r="C514" s="12" t="s">
        <v>270</v>
      </c>
      <c r="D514" s="12" t="s">
        <v>20</v>
      </c>
      <c r="E514" s="13" t="s">
        <v>21</v>
      </c>
      <c r="F514" s="12" t="s">
        <v>120</v>
      </c>
      <c r="G514" s="14">
        <v>3887</v>
      </c>
      <c r="H514" s="12" t="s">
        <v>22</v>
      </c>
      <c r="I514" s="12">
        <v>0</v>
      </c>
      <c r="J514" s="12" t="s">
        <v>120</v>
      </c>
      <c r="K514" s="12" t="s">
        <v>23</v>
      </c>
      <c r="L514" s="12">
        <v>5</v>
      </c>
      <c r="M514" s="15">
        <v>70000</v>
      </c>
      <c r="N514" s="15">
        <f>G514*4</f>
        <v>15548</v>
      </c>
      <c r="O514" s="15">
        <f t="shared" ref="O514:O577" si="40">SUM(M514:N514)</f>
        <v>85548</v>
      </c>
      <c r="P514" s="15">
        <f t="shared" ref="P514:P577" si="41">O514/G514</f>
        <v>22.008747105737072</v>
      </c>
      <c r="Q514" s="14">
        <v>12000</v>
      </c>
      <c r="R514" s="12">
        <v>32</v>
      </c>
      <c r="S514" s="12" t="s">
        <v>767</v>
      </c>
      <c r="T514" s="22">
        <f t="shared" ref="T514:T577" si="42">MONTH(A514)</f>
        <v>11</v>
      </c>
      <c r="U514" s="22">
        <f t="shared" ref="U514:U577" si="43">YEAR(A514)</f>
        <v>2020</v>
      </c>
      <c r="V514" s="22" t="str">
        <f t="shared" ref="V514:V577" si="44">IF(K514="METROPOLITANA DE SANTIAGO","METROPOLITANA","REGIONES")</f>
        <v>METROPOLITANA</v>
      </c>
    </row>
    <row r="515" spans="1:22" x14ac:dyDescent="0.2">
      <c r="A515" s="11" t="s">
        <v>762</v>
      </c>
      <c r="B515" s="12" t="s">
        <v>18</v>
      </c>
      <c r="C515" s="12" t="s">
        <v>19</v>
      </c>
      <c r="D515" s="12" t="s">
        <v>164</v>
      </c>
      <c r="E515" s="13" t="s">
        <v>544</v>
      </c>
      <c r="F515" s="12" t="s">
        <v>67</v>
      </c>
      <c r="G515" s="14">
        <v>12596.499999999991</v>
      </c>
      <c r="H515" s="12" t="s">
        <v>22</v>
      </c>
      <c r="I515" s="12">
        <v>1</v>
      </c>
      <c r="J515" s="12" t="s">
        <v>67</v>
      </c>
      <c r="K515" s="12" t="s">
        <v>23</v>
      </c>
      <c r="L515" s="12">
        <v>2</v>
      </c>
      <c r="M515" s="15">
        <v>88175</v>
      </c>
      <c r="N515" s="15">
        <f>G515*4</f>
        <v>50385.999999999964</v>
      </c>
      <c r="O515" s="15">
        <f t="shared" si="40"/>
        <v>138560.99999999997</v>
      </c>
      <c r="P515" s="15">
        <f t="shared" si="41"/>
        <v>10.999960306434332</v>
      </c>
      <c r="Q515" s="14">
        <v>5782</v>
      </c>
      <c r="R515" s="12">
        <v>100</v>
      </c>
      <c r="S515" s="12" t="s">
        <v>768</v>
      </c>
      <c r="T515" s="22">
        <f t="shared" si="42"/>
        <v>11</v>
      </c>
      <c r="U515" s="22">
        <f t="shared" si="43"/>
        <v>2020</v>
      </c>
      <c r="V515" s="22" t="str">
        <f t="shared" si="44"/>
        <v>METROPOLITANA</v>
      </c>
    </row>
    <row r="516" spans="1:22" x14ac:dyDescent="0.2">
      <c r="A516" s="11" t="s">
        <v>762</v>
      </c>
      <c r="B516" s="12" t="s">
        <v>18</v>
      </c>
      <c r="C516" s="12" t="s">
        <v>44</v>
      </c>
      <c r="D516" s="12" t="s">
        <v>27</v>
      </c>
      <c r="E516" s="13" t="s">
        <v>28</v>
      </c>
      <c r="F516" s="12" t="s">
        <v>39</v>
      </c>
      <c r="G516" s="14">
        <v>13366.8</v>
      </c>
      <c r="H516" s="12" t="s">
        <v>22</v>
      </c>
      <c r="I516" s="12">
        <v>1</v>
      </c>
      <c r="J516" s="12" t="s">
        <v>39</v>
      </c>
      <c r="K516" s="12" t="s">
        <v>23</v>
      </c>
      <c r="L516" s="12">
        <v>1</v>
      </c>
      <c r="M516" s="15">
        <v>93568</v>
      </c>
      <c r="N516" s="15">
        <v>53467</v>
      </c>
      <c r="O516" s="15">
        <f t="shared" si="40"/>
        <v>147035</v>
      </c>
      <c r="P516" s="15">
        <f t="shared" si="41"/>
        <v>11.000014962444265</v>
      </c>
      <c r="Q516" s="14">
        <v>4821</v>
      </c>
      <c r="R516" s="12">
        <v>100</v>
      </c>
      <c r="S516" s="12" t="s">
        <v>769</v>
      </c>
      <c r="T516" s="22">
        <f t="shared" si="42"/>
        <v>11</v>
      </c>
      <c r="U516" s="22">
        <f t="shared" si="43"/>
        <v>2020</v>
      </c>
      <c r="V516" s="22" t="str">
        <f t="shared" si="44"/>
        <v>METROPOLITANA</v>
      </c>
    </row>
    <row r="517" spans="1:22" x14ac:dyDescent="0.2">
      <c r="A517" s="11" t="s">
        <v>762</v>
      </c>
      <c r="B517" s="12" t="s">
        <v>33</v>
      </c>
      <c r="C517" s="12" t="s">
        <v>50</v>
      </c>
      <c r="D517" s="12" t="s">
        <v>63</v>
      </c>
      <c r="E517" s="13" t="s">
        <v>64</v>
      </c>
      <c r="F517" s="12" t="s">
        <v>26</v>
      </c>
      <c r="G517" s="14">
        <v>14394.319999999991</v>
      </c>
      <c r="H517" s="12" t="s">
        <v>65</v>
      </c>
      <c r="I517" s="12">
        <v>0</v>
      </c>
      <c r="J517" s="12" t="s">
        <v>26</v>
      </c>
      <c r="K517" s="12" t="s">
        <v>23</v>
      </c>
      <c r="L517" s="12">
        <v>4</v>
      </c>
      <c r="M517" s="15">
        <v>100760</v>
      </c>
      <c r="N517" s="15">
        <f>G517*3</f>
        <v>43182.95999999997</v>
      </c>
      <c r="O517" s="15">
        <f t="shared" si="40"/>
        <v>143942.95999999996</v>
      </c>
      <c r="P517" s="15">
        <f t="shared" si="41"/>
        <v>9.9999833267566682</v>
      </c>
      <c r="Q517" s="14">
        <v>8011</v>
      </c>
      <c r="R517" s="12">
        <v>100</v>
      </c>
      <c r="S517" s="12" t="s">
        <v>770</v>
      </c>
      <c r="T517" s="22">
        <f t="shared" si="42"/>
        <v>11</v>
      </c>
      <c r="U517" s="22">
        <f t="shared" si="43"/>
        <v>2020</v>
      </c>
      <c r="V517" s="22" t="str">
        <f t="shared" si="44"/>
        <v>METROPOLITANA</v>
      </c>
    </row>
    <row r="518" spans="1:22" x14ac:dyDescent="0.2">
      <c r="A518" s="11" t="s">
        <v>762</v>
      </c>
      <c r="B518" s="12" t="s">
        <v>33</v>
      </c>
      <c r="C518" s="12" t="s">
        <v>163</v>
      </c>
      <c r="D518" s="12" t="s">
        <v>63</v>
      </c>
      <c r="E518" s="13" t="s">
        <v>64</v>
      </c>
      <c r="F518" s="12" t="s">
        <v>165</v>
      </c>
      <c r="G518" s="14">
        <v>16885.68</v>
      </c>
      <c r="H518" s="12" t="s">
        <v>65</v>
      </c>
      <c r="I518" s="12">
        <v>1</v>
      </c>
      <c r="J518" s="12" t="s">
        <v>165</v>
      </c>
      <c r="K518" s="12" t="s">
        <v>23</v>
      </c>
      <c r="L518" s="12">
        <v>4</v>
      </c>
      <c r="M518" s="15">
        <v>118200</v>
      </c>
      <c r="N518" s="15">
        <f>G518*3</f>
        <v>50657.04</v>
      </c>
      <c r="O518" s="15">
        <f t="shared" si="40"/>
        <v>168857.04</v>
      </c>
      <c r="P518" s="15">
        <f t="shared" si="41"/>
        <v>10.000014213226828</v>
      </c>
      <c r="Q518" s="14">
        <v>8011</v>
      </c>
      <c r="R518" s="12">
        <v>100</v>
      </c>
      <c r="S518" s="12" t="s">
        <v>771</v>
      </c>
      <c r="T518" s="22">
        <f t="shared" si="42"/>
        <v>11</v>
      </c>
      <c r="U518" s="22">
        <f t="shared" si="43"/>
        <v>2020</v>
      </c>
      <c r="V518" s="22" t="str">
        <f t="shared" si="44"/>
        <v>METROPOLITANA</v>
      </c>
    </row>
    <row r="519" spans="1:22" x14ac:dyDescent="0.2">
      <c r="A519" s="11" t="s">
        <v>762</v>
      </c>
      <c r="B519" s="12" t="s">
        <v>33</v>
      </c>
      <c r="C519" s="12" t="s">
        <v>223</v>
      </c>
      <c r="D519" s="12" t="s">
        <v>38</v>
      </c>
      <c r="E519" s="13" t="s">
        <v>25</v>
      </c>
      <c r="F519" s="12" t="s">
        <v>67</v>
      </c>
      <c r="G519" s="14">
        <v>9379.9999999999982</v>
      </c>
      <c r="H519" s="12" t="s">
        <v>43</v>
      </c>
      <c r="I519" s="12">
        <v>0</v>
      </c>
      <c r="J519" s="12" t="s">
        <v>67</v>
      </c>
      <c r="K519" s="12" t="s">
        <v>23</v>
      </c>
      <c r="L519" s="12">
        <v>2</v>
      </c>
      <c r="M519" s="15">
        <v>65660</v>
      </c>
      <c r="N519" s="15">
        <f>G519*3</f>
        <v>28139.999999999993</v>
      </c>
      <c r="O519" s="15">
        <f t="shared" si="40"/>
        <v>93800</v>
      </c>
      <c r="P519" s="15">
        <f t="shared" si="41"/>
        <v>10.000000000000002</v>
      </c>
      <c r="Q519" s="14">
        <v>5782</v>
      </c>
      <c r="R519" s="12">
        <v>100</v>
      </c>
      <c r="S519" s="12" t="s">
        <v>772</v>
      </c>
      <c r="T519" s="22">
        <f t="shared" si="42"/>
        <v>11</v>
      </c>
      <c r="U519" s="22">
        <f t="shared" si="43"/>
        <v>2020</v>
      </c>
      <c r="V519" s="22" t="str">
        <f t="shared" si="44"/>
        <v>METROPOLITANA</v>
      </c>
    </row>
    <row r="520" spans="1:22" x14ac:dyDescent="0.2">
      <c r="A520" s="11" t="s">
        <v>762</v>
      </c>
      <c r="B520" s="12" t="s">
        <v>33</v>
      </c>
      <c r="C520" s="12" t="s">
        <v>44</v>
      </c>
      <c r="D520" s="12" t="s">
        <v>56</v>
      </c>
      <c r="E520" s="13" t="s">
        <v>52</v>
      </c>
      <c r="F520" s="12" t="s">
        <v>229</v>
      </c>
      <c r="G520" s="14">
        <v>750.4</v>
      </c>
      <c r="H520" s="12" t="s">
        <v>22</v>
      </c>
      <c r="I520" s="12">
        <v>0</v>
      </c>
      <c r="J520" s="12" t="s">
        <v>230</v>
      </c>
      <c r="K520" s="12" t="s">
        <v>23</v>
      </c>
      <c r="L520" s="12">
        <v>4</v>
      </c>
      <c r="M520" s="15">
        <v>56075</v>
      </c>
      <c r="N520" s="15">
        <v>12000</v>
      </c>
      <c r="O520" s="15">
        <f t="shared" si="40"/>
        <v>68075</v>
      </c>
      <c r="P520" s="15">
        <f t="shared" si="41"/>
        <v>90.718283582089555</v>
      </c>
      <c r="Q520" s="14">
        <v>8011</v>
      </c>
      <c r="R520" s="12">
        <v>9</v>
      </c>
      <c r="S520" s="12" t="s">
        <v>773</v>
      </c>
      <c r="T520" s="22">
        <f t="shared" si="42"/>
        <v>11</v>
      </c>
      <c r="U520" s="22">
        <f t="shared" si="43"/>
        <v>2020</v>
      </c>
      <c r="V520" s="22" t="str">
        <f t="shared" si="44"/>
        <v>METROPOLITANA</v>
      </c>
    </row>
    <row r="521" spans="1:22" x14ac:dyDescent="0.2">
      <c r="A521" s="11" t="s">
        <v>762</v>
      </c>
      <c r="B521" s="12" t="s">
        <v>33</v>
      </c>
      <c r="C521" s="12" t="s">
        <v>44</v>
      </c>
      <c r="D521" s="12" t="s">
        <v>45</v>
      </c>
      <c r="E521" s="13" t="s">
        <v>88</v>
      </c>
      <c r="F521" s="12" t="s">
        <v>67</v>
      </c>
      <c r="G521" s="14">
        <v>1898.4</v>
      </c>
      <c r="H521" s="12" t="s">
        <v>22</v>
      </c>
      <c r="I521" s="12">
        <v>0</v>
      </c>
      <c r="J521" s="12" t="s">
        <v>67</v>
      </c>
      <c r="K521" s="12" t="s">
        <v>23</v>
      </c>
      <c r="L521" s="12">
        <v>2</v>
      </c>
      <c r="M521" s="15">
        <v>40475</v>
      </c>
      <c r="N521" s="15">
        <v>12000</v>
      </c>
      <c r="O521" s="15">
        <f t="shared" si="40"/>
        <v>52475</v>
      </c>
      <c r="P521" s="15">
        <f t="shared" si="41"/>
        <v>27.641698272229245</v>
      </c>
      <c r="Q521" s="14">
        <v>5782</v>
      </c>
      <c r="R521" s="12">
        <v>33</v>
      </c>
      <c r="S521" s="12" t="s">
        <v>774</v>
      </c>
      <c r="T521" s="22">
        <f t="shared" si="42"/>
        <v>11</v>
      </c>
      <c r="U521" s="22">
        <f t="shared" si="43"/>
        <v>2020</v>
      </c>
      <c r="V521" s="22" t="str">
        <f t="shared" si="44"/>
        <v>METROPOLITANA</v>
      </c>
    </row>
    <row r="522" spans="1:22" x14ac:dyDescent="0.2">
      <c r="A522" s="11" t="s">
        <v>762</v>
      </c>
      <c r="B522" s="12" t="s">
        <v>33</v>
      </c>
      <c r="C522" s="12" t="s">
        <v>44</v>
      </c>
      <c r="D522" s="12" t="s">
        <v>47</v>
      </c>
      <c r="E522" s="13" t="s">
        <v>21</v>
      </c>
      <c r="F522" s="12" t="s">
        <v>48</v>
      </c>
      <c r="G522" s="14">
        <v>2526</v>
      </c>
      <c r="H522" s="12" t="s">
        <v>22</v>
      </c>
      <c r="I522" s="12">
        <v>0</v>
      </c>
      <c r="J522" s="12" t="s">
        <v>48</v>
      </c>
      <c r="K522" s="12" t="s">
        <v>23</v>
      </c>
      <c r="L522" s="12">
        <v>1</v>
      </c>
      <c r="M522" s="15">
        <v>33750</v>
      </c>
      <c r="N522" s="15">
        <v>12000</v>
      </c>
      <c r="O522" s="15">
        <f t="shared" si="40"/>
        <v>45750</v>
      </c>
      <c r="P522" s="15">
        <f t="shared" si="41"/>
        <v>18.11163895486936</v>
      </c>
      <c r="Q522" s="14">
        <v>4821</v>
      </c>
      <c r="R522" s="12">
        <v>52</v>
      </c>
      <c r="S522" s="12" t="s">
        <v>775</v>
      </c>
      <c r="T522" s="22">
        <f t="shared" si="42"/>
        <v>11</v>
      </c>
      <c r="U522" s="22">
        <f t="shared" si="43"/>
        <v>2020</v>
      </c>
      <c r="V522" s="22" t="str">
        <f t="shared" si="44"/>
        <v>METROPOLITANA</v>
      </c>
    </row>
    <row r="523" spans="1:22" x14ac:dyDescent="0.2">
      <c r="A523" s="11" t="s">
        <v>762</v>
      </c>
      <c r="B523" s="12" t="s">
        <v>33</v>
      </c>
      <c r="C523" s="12" t="s">
        <v>44</v>
      </c>
      <c r="D523" s="12" t="s">
        <v>35</v>
      </c>
      <c r="E523" s="13" t="s">
        <v>49</v>
      </c>
      <c r="F523" s="12" t="s">
        <v>46</v>
      </c>
      <c r="G523" s="14">
        <v>1775.6</v>
      </c>
      <c r="H523" s="12" t="s">
        <v>22</v>
      </c>
      <c r="I523" s="12">
        <v>0</v>
      </c>
      <c r="J523" s="12" t="s">
        <v>46</v>
      </c>
      <c r="K523" s="12" t="s">
        <v>23</v>
      </c>
      <c r="L523" s="12">
        <v>2</v>
      </c>
      <c r="M523" s="15">
        <v>40475</v>
      </c>
      <c r="N523" s="15">
        <v>12000</v>
      </c>
      <c r="O523" s="15">
        <f t="shared" si="40"/>
        <v>52475</v>
      </c>
      <c r="P523" s="15">
        <f t="shared" si="41"/>
        <v>29.553390403243977</v>
      </c>
      <c r="Q523" s="14">
        <v>5782</v>
      </c>
      <c r="R523" s="12">
        <v>31</v>
      </c>
      <c r="S523" s="12" t="s">
        <v>776</v>
      </c>
      <c r="T523" s="22">
        <f t="shared" si="42"/>
        <v>11</v>
      </c>
      <c r="U523" s="22">
        <f t="shared" si="43"/>
        <v>2020</v>
      </c>
      <c r="V523" s="22" t="str">
        <f t="shared" si="44"/>
        <v>METROPOLITANA</v>
      </c>
    </row>
    <row r="524" spans="1:22" x14ac:dyDescent="0.2">
      <c r="A524" s="23" t="s">
        <v>777</v>
      </c>
      <c r="B524" s="22" t="s">
        <v>18</v>
      </c>
      <c r="C524" s="22" t="s">
        <v>50</v>
      </c>
      <c r="D524" s="22" t="s">
        <v>30</v>
      </c>
      <c r="E524" s="24" t="s">
        <v>31</v>
      </c>
      <c r="F524" s="22" t="s">
        <v>26</v>
      </c>
      <c r="G524" s="25">
        <v>11412.94</v>
      </c>
      <c r="H524" s="22" t="s">
        <v>32</v>
      </c>
      <c r="I524" s="22">
        <v>0</v>
      </c>
      <c r="J524" s="22" t="s">
        <v>26</v>
      </c>
      <c r="K524" s="22" t="s">
        <v>23</v>
      </c>
      <c r="L524" s="22">
        <v>4</v>
      </c>
      <c r="M524" s="26">
        <v>79891</v>
      </c>
      <c r="N524" s="26">
        <f>G524*3</f>
        <v>34238.82</v>
      </c>
      <c r="O524" s="15">
        <f t="shared" si="40"/>
        <v>114129.82</v>
      </c>
      <c r="P524" s="15">
        <f t="shared" si="41"/>
        <v>10.000036800333657</v>
      </c>
      <c r="Q524" s="25">
        <v>8011</v>
      </c>
      <c r="R524" s="22">
        <v>100</v>
      </c>
      <c r="S524" s="22" t="s">
        <v>778</v>
      </c>
      <c r="T524" s="22">
        <f t="shared" si="42"/>
        <v>11</v>
      </c>
      <c r="U524" s="22">
        <f t="shared" si="43"/>
        <v>2020</v>
      </c>
      <c r="V524" s="22" t="str">
        <f t="shared" si="44"/>
        <v>METROPOLITANA</v>
      </c>
    </row>
    <row r="525" spans="1:22" x14ac:dyDescent="0.2">
      <c r="A525" s="23" t="s">
        <v>777</v>
      </c>
      <c r="B525" s="22" t="s">
        <v>18</v>
      </c>
      <c r="C525" s="22" t="s">
        <v>50</v>
      </c>
      <c r="D525" s="22" t="s">
        <v>41</v>
      </c>
      <c r="E525" s="24" t="s">
        <v>25</v>
      </c>
      <c r="F525" s="22" t="s">
        <v>26</v>
      </c>
      <c r="G525" s="25">
        <v>10820.06</v>
      </c>
      <c r="H525" s="22" t="s">
        <v>43</v>
      </c>
      <c r="I525" s="22">
        <v>0</v>
      </c>
      <c r="J525" s="22" t="s">
        <v>26</v>
      </c>
      <c r="K525" s="22" t="s">
        <v>23</v>
      </c>
      <c r="L525" s="22">
        <v>4</v>
      </c>
      <c r="M525" s="26">
        <v>75740</v>
      </c>
      <c r="N525" s="26">
        <f>G525*3</f>
        <v>32460.18</v>
      </c>
      <c r="O525" s="15">
        <f t="shared" si="40"/>
        <v>108200.18</v>
      </c>
      <c r="P525" s="15">
        <f t="shared" si="41"/>
        <v>9.9999611832097042</v>
      </c>
      <c r="Q525" s="25">
        <v>8011</v>
      </c>
      <c r="R525" s="22">
        <v>100</v>
      </c>
      <c r="S525" s="22" t="s">
        <v>779</v>
      </c>
      <c r="T525" s="22">
        <f t="shared" si="42"/>
        <v>11</v>
      </c>
      <c r="U525" s="22">
        <f t="shared" si="43"/>
        <v>2020</v>
      </c>
      <c r="V525" s="22" t="str">
        <f t="shared" si="44"/>
        <v>METROPOLITANA</v>
      </c>
    </row>
    <row r="526" spans="1:22" x14ac:dyDescent="0.2">
      <c r="A526" s="23" t="s">
        <v>777</v>
      </c>
      <c r="B526" s="22" t="s">
        <v>18</v>
      </c>
      <c r="C526" s="22" t="s">
        <v>57</v>
      </c>
      <c r="D526" s="22" t="s">
        <v>63</v>
      </c>
      <c r="E526" s="24" t="s">
        <v>64</v>
      </c>
      <c r="F526" s="22" t="s">
        <v>58</v>
      </c>
      <c r="G526" s="25">
        <v>6306.3</v>
      </c>
      <c r="H526" s="22" t="s">
        <v>65</v>
      </c>
      <c r="I526" s="22">
        <v>0</v>
      </c>
      <c r="J526" s="22" t="s">
        <v>58</v>
      </c>
      <c r="K526" s="22" t="s">
        <v>23</v>
      </c>
      <c r="L526" s="22">
        <v>5</v>
      </c>
      <c r="M526" s="26">
        <v>70000</v>
      </c>
      <c r="N526" s="26">
        <f>G526*3</f>
        <v>18918.900000000001</v>
      </c>
      <c r="O526" s="15">
        <f t="shared" si="40"/>
        <v>88918.9</v>
      </c>
      <c r="P526" s="15">
        <f t="shared" si="41"/>
        <v>14.100011100011098</v>
      </c>
      <c r="Q526" s="25">
        <v>12000</v>
      </c>
      <c r="R526" s="22">
        <v>53</v>
      </c>
      <c r="S526" s="22" t="s">
        <v>780</v>
      </c>
      <c r="T526" s="22">
        <f t="shared" si="42"/>
        <v>11</v>
      </c>
      <c r="U526" s="22">
        <f t="shared" si="43"/>
        <v>2020</v>
      </c>
      <c r="V526" s="22" t="str">
        <f t="shared" si="44"/>
        <v>METROPOLITANA</v>
      </c>
    </row>
    <row r="527" spans="1:22" x14ac:dyDescent="0.2">
      <c r="A527" s="23" t="s">
        <v>777</v>
      </c>
      <c r="B527" s="22" t="s">
        <v>18</v>
      </c>
      <c r="C527" s="22" t="s">
        <v>500</v>
      </c>
      <c r="D527" s="22" t="s">
        <v>20</v>
      </c>
      <c r="E527" s="24" t="s">
        <v>21</v>
      </c>
      <c r="F527" s="22" t="s">
        <v>120</v>
      </c>
      <c r="G527" s="25">
        <v>6791.6900000000014</v>
      </c>
      <c r="H527" s="22" t="s">
        <v>22</v>
      </c>
      <c r="I527" s="22">
        <v>0</v>
      </c>
      <c r="J527" s="22" t="s">
        <v>120</v>
      </c>
      <c r="K527" s="22" t="s">
        <v>23</v>
      </c>
      <c r="L527" s="22">
        <v>5</v>
      </c>
      <c r="M527" s="26">
        <v>70000</v>
      </c>
      <c r="N527" s="26">
        <f>G527*4</f>
        <v>27166.760000000006</v>
      </c>
      <c r="O527" s="15">
        <f t="shared" si="40"/>
        <v>97166.760000000009</v>
      </c>
      <c r="P527" s="15">
        <f t="shared" si="41"/>
        <v>14.306713056691338</v>
      </c>
      <c r="Q527" s="25">
        <v>12000</v>
      </c>
      <c r="R527" s="22">
        <v>57</v>
      </c>
      <c r="S527" s="22" t="s">
        <v>781</v>
      </c>
      <c r="T527" s="22">
        <f t="shared" si="42"/>
        <v>11</v>
      </c>
      <c r="U527" s="22">
        <f t="shared" si="43"/>
        <v>2020</v>
      </c>
      <c r="V527" s="22" t="str">
        <f t="shared" si="44"/>
        <v>METROPOLITANA</v>
      </c>
    </row>
    <row r="528" spans="1:22" x14ac:dyDescent="0.2">
      <c r="A528" s="23" t="s">
        <v>777</v>
      </c>
      <c r="B528" s="22" t="s">
        <v>18</v>
      </c>
      <c r="C528" s="22" t="s">
        <v>160</v>
      </c>
      <c r="D528" s="22" t="s">
        <v>37</v>
      </c>
      <c r="E528" s="24" t="s">
        <v>40</v>
      </c>
      <c r="F528" s="22" t="s">
        <v>161</v>
      </c>
      <c r="G528" s="25">
        <v>4491.5600000000004</v>
      </c>
      <c r="H528" s="22" t="s">
        <v>22</v>
      </c>
      <c r="I528" s="22">
        <v>0</v>
      </c>
      <c r="J528" s="22" t="s">
        <v>161</v>
      </c>
      <c r="K528" s="22" t="s">
        <v>23</v>
      </c>
      <c r="L528" s="22">
        <v>5</v>
      </c>
      <c r="M528" s="26">
        <v>70000</v>
      </c>
      <c r="N528" s="26">
        <f>G528*4</f>
        <v>17966.240000000002</v>
      </c>
      <c r="O528" s="15">
        <f t="shared" si="40"/>
        <v>87966.24</v>
      </c>
      <c r="P528" s="15">
        <f t="shared" si="41"/>
        <v>19.584785686932825</v>
      </c>
      <c r="Q528" s="25">
        <v>12000</v>
      </c>
      <c r="R528" s="22">
        <v>37</v>
      </c>
      <c r="S528" s="22" t="s">
        <v>782</v>
      </c>
      <c r="T528" s="22">
        <f t="shared" si="42"/>
        <v>11</v>
      </c>
      <c r="U528" s="22">
        <f t="shared" si="43"/>
        <v>2020</v>
      </c>
      <c r="V528" s="22" t="str">
        <f t="shared" si="44"/>
        <v>METROPOLITANA</v>
      </c>
    </row>
    <row r="529" spans="1:22" x14ac:dyDescent="0.2">
      <c r="A529" s="23" t="s">
        <v>777</v>
      </c>
      <c r="B529" s="22" t="s">
        <v>18</v>
      </c>
      <c r="C529" s="22" t="s">
        <v>19</v>
      </c>
      <c r="D529" s="22" t="s">
        <v>636</v>
      </c>
      <c r="E529" s="24" t="s">
        <v>639</v>
      </c>
      <c r="F529" s="22" t="s">
        <v>92</v>
      </c>
      <c r="G529" s="25">
        <v>10449.459999999999</v>
      </c>
      <c r="H529" s="22" t="s">
        <v>85</v>
      </c>
      <c r="I529" s="22">
        <v>1</v>
      </c>
      <c r="J529" s="22" t="s">
        <v>92</v>
      </c>
      <c r="K529" s="22" t="s">
        <v>93</v>
      </c>
      <c r="L529" s="22">
        <v>0</v>
      </c>
      <c r="M529" s="26">
        <v>620000</v>
      </c>
      <c r="N529" s="26">
        <v>0</v>
      </c>
      <c r="O529" s="15">
        <f t="shared" si="40"/>
        <v>620000</v>
      </c>
      <c r="P529" s="15">
        <f t="shared" si="41"/>
        <v>59.333209562982205</v>
      </c>
      <c r="Q529" s="25">
        <v>25000</v>
      </c>
      <c r="R529" s="22">
        <v>19</v>
      </c>
      <c r="S529" s="22" t="s">
        <v>783</v>
      </c>
      <c r="T529" s="22">
        <f t="shared" si="42"/>
        <v>11</v>
      </c>
      <c r="U529" s="22">
        <f t="shared" si="43"/>
        <v>2020</v>
      </c>
      <c r="V529" s="22" t="str">
        <f t="shared" si="44"/>
        <v>REGIONES</v>
      </c>
    </row>
    <row r="530" spans="1:22" x14ac:dyDescent="0.2">
      <c r="A530" s="23" t="s">
        <v>777</v>
      </c>
      <c r="B530" s="22" t="s">
        <v>18</v>
      </c>
      <c r="C530" s="22" t="s">
        <v>44</v>
      </c>
      <c r="D530" s="22" t="s">
        <v>20</v>
      </c>
      <c r="E530" s="24" t="s">
        <v>21</v>
      </c>
      <c r="F530" s="22" t="s">
        <v>39</v>
      </c>
      <c r="G530" s="25">
        <v>4009.48</v>
      </c>
      <c r="H530" s="22" t="s">
        <v>22</v>
      </c>
      <c r="I530" s="22">
        <v>0</v>
      </c>
      <c r="J530" s="22" t="s">
        <v>39</v>
      </c>
      <c r="K530" s="22" t="s">
        <v>23</v>
      </c>
      <c r="L530" s="22">
        <v>1</v>
      </c>
      <c r="M530" s="26">
        <v>33750</v>
      </c>
      <c r="N530" s="26">
        <v>16038</v>
      </c>
      <c r="O530" s="15">
        <f t="shared" si="40"/>
        <v>49788</v>
      </c>
      <c r="P530" s="15">
        <f t="shared" si="41"/>
        <v>12.417570358250945</v>
      </c>
      <c r="Q530" s="25">
        <v>4821</v>
      </c>
      <c r="R530" s="22">
        <v>83</v>
      </c>
      <c r="S530" s="22" t="s">
        <v>784</v>
      </c>
      <c r="T530" s="22">
        <f t="shared" si="42"/>
        <v>11</v>
      </c>
      <c r="U530" s="22">
        <f t="shared" si="43"/>
        <v>2020</v>
      </c>
      <c r="V530" s="22" t="str">
        <f t="shared" si="44"/>
        <v>METROPOLITANA</v>
      </c>
    </row>
    <row r="531" spans="1:22" x14ac:dyDescent="0.2">
      <c r="A531" s="23" t="s">
        <v>777</v>
      </c>
      <c r="B531" s="22" t="s">
        <v>33</v>
      </c>
      <c r="C531" s="22" t="s">
        <v>60</v>
      </c>
      <c r="D531" s="22" t="s">
        <v>38</v>
      </c>
      <c r="E531" s="24" t="s">
        <v>42</v>
      </c>
      <c r="F531" s="22" t="s">
        <v>606</v>
      </c>
      <c r="G531" s="25">
        <v>11709.000000000009</v>
      </c>
      <c r="H531" s="22" t="s">
        <v>43</v>
      </c>
      <c r="I531" s="22">
        <v>0</v>
      </c>
      <c r="J531" s="22" t="s">
        <v>39</v>
      </c>
      <c r="K531" s="22" t="s">
        <v>23</v>
      </c>
      <c r="L531" s="22">
        <v>0</v>
      </c>
      <c r="M531" s="26">
        <v>33750</v>
      </c>
      <c r="N531" s="26">
        <v>16038</v>
      </c>
      <c r="O531" s="15">
        <f t="shared" si="40"/>
        <v>49788</v>
      </c>
      <c r="P531" s="15">
        <f t="shared" si="41"/>
        <v>4.2521137586471909</v>
      </c>
      <c r="Q531" s="25">
        <v>25000</v>
      </c>
      <c r="R531" s="22">
        <v>47</v>
      </c>
      <c r="S531" s="22" t="s">
        <v>785</v>
      </c>
      <c r="T531" s="22">
        <f t="shared" si="42"/>
        <v>11</v>
      </c>
      <c r="U531" s="22">
        <f t="shared" si="43"/>
        <v>2020</v>
      </c>
      <c r="V531" s="22" t="str">
        <f t="shared" si="44"/>
        <v>METROPOLITANA</v>
      </c>
    </row>
    <row r="532" spans="1:22" x14ac:dyDescent="0.2">
      <c r="A532" s="23" t="s">
        <v>777</v>
      </c>
      <c r="B532" s="22" t="s">
        <v>33</v>
      </c>
      <c r="C532" s="22" t="s">
        <v>29</v>
      </c>
      <c r="D532" s="22" t="s">
        <v>786</v>
      </c>
      <c r="E532" s="24" t="s">
        <v>787</v>
      </c>
      <c r="F532" s="22" t="s">
        <v>173</v>
      </c>
      <c r="G532" s="25">
        <v>9433.2000000000044</v>
      </c>
      <c r="H532" s="22" t="s">
        <v>788</v>
      </c>
      <c r="I532" s="22">
        <v>1</v>
      </c>
      <c r="J532" s="22" t="s">
        <v>173</v>
      </c>
      <c r="K532" s="22" t="s">
        <v>23</v>
      </c>
      <c r="L532" s="22">
        <v>5</v>
      </c>
      <c r="M532" s="26">
        <v>120000</v>
      </c>
      <c r="N532" s="26">
        <v>28300</v>
      </c>
      <c r="O532" s="15">
        <f t="shared" si="40"/>
        <v>148300</v>
      </c>
      <c r="P532" s="15">
        <f t="shared" si="41"/>
        <v>15.7210702624772</v>
      </c>
      <c r="Q532" s="25">
        <v>12000</v>
      </c>
      <c r="R532" s="22">
        <v>79</v>
      </c>
      <c r="S532" s="22" t="s">
        <v>789</v>
      </c>
      <c r="T532" s="22">
        <f t="shared" si="42"/>
        <v>11</v>
      </c>
      <c r="U532" s="22">
        <f t="shared" si="43"/>
        <v>2020</v>
      </c>
      <c r="V532" s="22" t="str">
        <f t="shared" si="44"/>
        <v>METROPOLITANA</v>
      </c>
    </row>
    <row r="533" spans="1:22" x14ac:dyDescent="0.2">
      <c r="A533" s="11" t="s">
        <v>790</v>
      </c>
      <c r="B533" s="12" t="s">
        <v>54</v>
      </c>
      <c r="C533" s="12" t="s">
        <v>55</v>
      </c>
      <c r="D533" s="12" t="s">
        <v>786</v>
      </c>
      <c r="E533" s="13" t="s">
        <v>787</v>
      </c>
      <c r="F533" s="12" t="s">
        <v>66</v>
      </c>
      <c r="G533" s="14">
        <v>8244.0000000000036</v>
      </c>
      <c r="H533" s="12" t="s">
        <v>788</v>
      </c>
      <c r="I533" s="12">
        <v>1</v>
      </c>
      <c r="J533" s="12" t="s">
        <v>66</v>
      </c>
      <c r="K533" s="12" t="s">
        <v>75</v>
      </c>
      <c r="L533" s="12">
        <v>0</v>
      </c>
      <c r="M533" s="15">
        <v>380000</v>
      </c>
      <c r="N533" s="15">
        <v>0</v>
      </c>
      <c r="O533" s="15">
        <f t="shared" si="40"/>
        <v>380000</v>
      </c>
      <c r="P533" s="15">
        <f t="shared" si="41"/>
        <v>46.094129063561354</v>
      </c>
      <c r="Q533" s="14">
        <v>25000</v>
      </c>
      <c r="R533" s="12">
        <v>33</v>
      </c>
      <c r="S533" s="12" t="s">
        <v>791</v>
      </c>
      <c r="T533" s="22">
        <f t="shared" si="42"/>
        <v>11</v>
      </c>
      <c r="U533" s="22">
        <f t="shared" si="43"/>
        <v>2020</v>
      </c>
      <c r="V533" s="22" t="str">
        <f t="shared" si="44"/>
        <v>REGIONES</v>
      </c>
    </row>
    <row r="534" spans="1:22" x14ac:dyDescent="0.2">
      <c r="A534" s="11" t="s">
        <v>790</v>
      </c>
      <c r="B534" s="12" t="s">
        <v>18</v>
      </c>
      <c r="C534" s="12" t="s">
        <v>187</v>
      </c>
      <c r="D534" s="12" t="s">
        <v>56</v>
      </c>
      <c r="E534" s="13" t="s">
        <v>49</v>
      </c>
      <c r="F534" s="12" t="s">
        <v>129</v>
      </c>
      <c r="G534" s="14">
        <v>823</v>
      </c>
      <c r="H534" s="12" t="s">
        <v>22</v>
      </c>
      <c r="I534" s="12">
        <v>0</v>
      </c>
      <c r="J534" s="12" t="s">
        <v>129</v>
      </c>
      <c r="K534" s="12" t="s">
        <v>23</v>
      </c>
      <c r="L534" s="12">
        <v>1</v>
      </c>
      <c r="M534" s="15">
        <v>33750</v>
      </c>
      <c r="N534" s="15">
        <v>12000</v>
      </c>
      <c r="O534" s="15">
        <f t="shared" si="40"/>
        <v>45750</v>
      </c>
      <c r="P534" s="15">
        <f t="shared" si="41"/>
        <v>55.589307411907654</v>
      </c>
      <c r="Q534" s="14">
        <v>4821</v>
      </c>
      <c r="R534" s="12">
        <v>14</v>
      </c>
      <c r="S534" s="12" t="s">
        <v>792</v>
      </c>
      <c r="T534" s="22">
        <f t="shared" si="42"/>
        <v>11</v>
      </c>
      <c r="U534" s="22">
        <f t="shared" si="43"/>
        <v>2020</v>
      </c>
      <c r="V534" s="22" t="str">
        <f t="shared" si="44"/>
        <v>METROPOLITANA</v>
      </c>
    </row>
    <row r="535" spans="1:22" x14ac:dyDescent="0.2">
      <c r="A535" s="11" t="s">
        <v>790</v>
      </c>
      <c r="B535" s="12" t="s">
        <v>18</v>
      </c>
      <c r="C535" s="12" t="s">
        <v>50</v>
      </c>
      <c r="D535" s="12" t="s">
        <v>20</v>
      </c>
      <c r="E535" s="13" t="s">
        <v>21</v>
      </c>
      <c r="F535" s="12" t="s">
        <v>26</v>
      </c>
      <c r="G535" s="14">
        <v>9554.4</v>
      </c>
      <c r="H535" s="12" t="s">
        <v>22</v>
      </c>
      <c r="I535" s="12">
        <v>0</v>
      </c>
      <c r="J535" s="12" t="s">
        <v>26</v>
      </c>
      <c r="K535" s="12" t="s">
        <v>23</v>
      </c>
      <c r="L535" s="12">
        <v>4</v>
      </c>
      <c r="M535" s="15">
        <v>66881</v>
      </c>
      <c r="N535" s="15">
        <f>G535*4</f>
        <v>38217.599999999999</v>
      </c>
      <c r="O535" s="15">
        <f t="shared" si="40"/>
        <v>105098.6</v>
      </c>
      <c r="P535" s="15">
        <f t="shared" si="41"/>
        <v>11.000020932763963</v>
      </c>
      <c r="Q535" s="14">
        <v>8011</v>
      </c>
      <c r="R535" s="12">
        <v>100</v>
      </c>
      <c r="S535" s="12" t="s">
        <v>793</v>
      </c>
      <c r="T535" s="22">
        <f t="shared" si="42"/>
        <v>11</v>
      </c>
      <c r="U535" s="22">
        <f t="shared" si="43"/>
        <v>2020</v>
      </c>
      <c r="V535" s="22" t="str">
        <f t="shared" si="44"/>
        <v>METROPOLITANA</v>
      </c>
    </row>
    <row r="536" spans="1:22" x14ac:dyDescent="0.2">
      <c r="A536" s="11" t="s">
        <v>790</v>
      </c>
      <c r="B536" s="12" t="s">
        <v>18</v>
      </c>
      <c r="C536" s="12" t="s">
        <v>57</v>
      </c>
      <c r="D536" s="12" t="s">
        <v>80</v>
      </c>
      <c r="E536" s="13" t="s">
        <v>794</v>
      </c>
      <c r="F536" s="12" t="s">
        <v>458</v>
      </c>
      <c r="G536" s="14">
        <v>17473.489999999998</v>
      </c>
      <c r="H536" s="12" t="s">
        <v>85</v>
      </c>
      <c r="I536" s="12">
        <v>1</v>
      </c>
      <c r="J536" s="12" t="s">
        <v>458</v>
      </c>
      <c r="K536" s="12" t="s">
        <v>75</v>
      </c>
      <c r="L536" s="12">
        <v>0</v>
      </c>
      <c r="M536" s="15">
        <v>380000</v>
      </c>
      <c r="N536" s="15">
        <v>0</v>
      </c>
      <c r="O536" s="15">
        <f t="shared" si="40"/>
        <v>380000</v>
      </c>
      <c r="P536" s="15">
        <f t="shared" si="41"/>
        <v>21.74722966047424</v>
      </c>
      <c r="Q536" s="14">
        <v>25000</v>
      </c>
      <c r="R536" s="12">
        <v>22</v>
      </c>
      <c r="S536" s="12" t="s">
        <v>795</v>
      </c>
      <c r="T536" s="22">
        <f t="shared" si="42"/>
        <v>11</v>
      </c>
      <c r="U536" s="22">
        <f t="shared" si="43"/>
        <v>2020</v>
      </c>
      <c r="V536" s="22" t="str">
        <f t="shared" si="44"/>
        <v>REGIONES</v>
      </c>
    </row>
    <row r="537" spans="1:22" x14ac:dyDescent="0.2">
      <c r="A537" s="11" t="s">
        <v>790</v>
      </c>
      <c r="B537" s="12" t="s">
        <v>18</v>
      </c>
      <c r="C537" s="12" t="s">
        <v>500</v>
      </c>
      <c r="D537" s="12" t="s">
        <v>27</v>
      </c>
      <c r="E537" s="13" t="s">
        <v>28</v>
      </c>
      <c r="F537" s="12" t="s">
        <v>120</v>
      </c>
      <c r="G537" s="14">
        <v>9499.98</v>
      </c>
      <c r="H537" s="12" t="s">
        <v>22</v>
      </c>
      <c r="I537" s="12">
        <v>1</v>
      </c>
      <c r="J537" s="12" t="s">
        <v>120</v>
      </c>
      <c r="K537" s="12" t="s">
        <v>23</v>
      </c>
      <c r="L537" s="12">
        <v>5</v>
      </c>
      <c r="M537" s="15">
        <v>120000</v>
      </c>
      <c r="N537" s="15">
        <f>G537*4</f>
        <v>37999.919999999998</v>
      </c>
      <c r="O537" s="15">
        <f t="shared" si="40"/>
        <v>157999.91999999998</v>
      </c>
      <c r="P537" s="15">
        <f t="shared" si="41"/>
        <v>16.631605540222189</v>
      </c>
      <c r="Q537" s="14">
        <v>12000</v>
      </c>
      <c r="R537" s="12">
        <v>79</v>
      </c>
      <c r="S537" s="12" t="s">
        <v>796</v>
      </c>
      <c r="T537" s="22">
        <f t="shared" si="42"/>
        <v>11</v>
      </c>
      <c r="U537" s="22">
        <f t="shared" si="43"/>
        <v>2020</v>
      </c>
      <c r="V537" s="22" t="str">
        <f t="shared" si="44"/>
        <v>METROPOLITANA</v>
      </c>
    </row>
    <row r="538" spans="1:22" x14ac:dyDescent="0.2">
      <c r="A538" s="11" t="s">
        <v>790</v>
      </c>
      <c r="B538" s="12" t="s">
        <v>18</v>
      </c>
      <c r="C538" s="12" t="s">
        <v>500</v>
      </c>
      <c r="D538" s="12" t="s">
        <v>164</v>
      </c>
      <c r="E538" s="13" t="s">
        <v>126</v>
      </c>
      <c r="F538" s="12" t="s">
        <v>120</v>
      </c>
      <c r="G538" s="14">
        <v>7652.79</v>
      </c>
      <c r="H538" s="12" t="s">
        <v>22</v>
      </c>
      <c r="I538" s="12">
        <v>1</v>
      </c>
      <c r="J538" s="12" t="s">
        <v>120</v>
      </c>
      <c r="K538" s="12" t="s">
        <v>23</v>
      </c>
      <c r="L538" s="12">
        <v>5</v>
      </c>
      <c r="M538" s="15">
        <v>120000</v>
      </c>
      <c r="N538" s="15">
        <f>G538*4</f>
        <v>30611.16</v>
      </c>
      <c r="O538" s="15">
        <f t="shared" si="40"/>
        <v>150611.16</v>
      </c>
      <c r="P538" s="15">
        <f t="shared" si="41"/>
        <v>19.680555718894677</v>
      </c>
      <c r="Q538" s="14">
        <v>12000</v>
      </c>
      <c r="R538" s="12">
        <v>64</v>
      </c>
      <c r="S538" s="12" t="s">
        <v>797</v>
      </c>
      <c r="T538" s="22">
        <f t="shared" si="42"/>
        <v>11</v>
      </c>
      <c r="U538" s="22">
        <f t="shared" si="43"/>
        <v>2020</v>
      </c>
      <c r="V538" s="22" t="str">
        <f t="shared" si="44"/>
        <v>METROPOLITANA</v>
      </c>
    </row>
    <row r="539" spans="1:22" x14ac:dyDescent="0.2">
      <c r="A539" s="11" t="s">
        <v>790</v>
      </c>
      <c r="B539" s="12" t="s">
        <v>18</v>
      </c>
      <c r="C539" s="12" t="s">
        <v>44</v>
      </c>
      <c r="D539" s="12" t="s">
        <v>30</v>
      </c>
      <c r="E539" s="13" t="s">
        <v>31</v>
      </c>
      <c r="F539" s="12" t="s">
        <v>39</v>
      </c>
      <c r="G539" s="14">
        <v>4840.32</v>
      </c>
      <c r="H539" s="12" t="s">
        <v>32</v>
      </c>
      <c r="I539" s="12">
        <v>0</v>
      </c>
      <c r="J539" s="12" t="s">
        <v>39</v>
      </c>
      <c r="K539" s="12" t="s">
        <v>23</v>
      </c>
      <c r="L539" s="12">
        <v>1</v>
      </c>
      <c r="M539" s="15">
        <v>33882</v>
      </c>
      <c r="N539" s="15">
        <v>14521</v>
      </c>
      <c r="O539" s="15">
        <f t="shared" si="40"/>
        <v>48403</v>
      </c>
      <c r="P539" s="15">
        <f t="shared" si="41"/>
        <v>9.9999586804178247</v>
      </c>
      <c r="Q539" s="14">
        <v>4821</v>
      </c>
      <c r="R539" s="12">
        <v>100</v>
      </c>
      <c r="S539" s="12" t="s">
        <v>798</v>
      </c>
      <c r="T539" s="22">
        <f t="shared" si="42"/>
        <v>11</v>
      </c>
      <c r="U539" s="22">
        <f t="shared" si="43"/>
        <v>2020</v>
      </c>
      <c r="V539" s="22" t="str">
        <f t="shared" si="44"/>
        <v>METROPOLITANA</v>
      </c>
    </row>
    <row r="540" spans="1:22" x14ac:dyDescent="0.2">
      <c r="A540" s="11" t="s">
        <v>790</v>
      </c>
      <c r="B540" s="12" t="s">
        <v>33</v>
      </c>
      <c r="C540" s="12" t="s">
        <v>799</v>
      </c>
      <c r="D540" s="12" t="s">
        <v>63</v>
      </c>
      <c r="E540" s="13" t="s">
        <v>64</v>
      </c>
      <c r="F540" s="12" t="s">
        <v>800</v>
      </c>
      <c r="G540" s="14">
        <v>11709.000000000009</v>
      </c>
      <c r="H540" s="12" t="s">
        <v>65</v>
      </c>
      <c r="I540" s="12">
        <v>0</v>
      </c>
      <c r="J540" s="12" t="s">
        <v>800</v>
      </c>
      <c r="K540" s="12" t="s">
        <v>23</v>
      </c>
      <c r="L540" s="12">
        <v>5</v>
      </c>
      <c r="M540" s="15">
        <v>90000</v>
      </c>
      <c r="N540" s="15">
        <f>G540*3</f>
        <v>35127.000000000029</v>
      </c>
      <c r="O540" s="15">
        <f t="shared" si="40"/>
        <v>125127.00000000003</v>
      </c>
      <c r="P540" s="15">
        <f t="shared" si="41"/>
        <v>10.686395080707143</v>
      </c>
      <c r="Q540" s="14">
        <v>12000</v>
      </c>
      <c r="R540" s="12">
        <v>98</v>
      </c>
      <c r="S540" s="12" t="s">
        <v>801</v>
      </c>
      <c r="T540" s="22">
        <f t="shared" si="42"/>
        <v>11</v>
      </c>
      <c r="U540" s="22">
        <f t="shared" si="43"/>
        <v>2020</v>
      </c>
      <c r="V540" s="22" t="str">
        <f t="shared" si="44"/>
        <v>METROPOLITANA</v>
      </c>
    </row>
    <row r="541" spans="1:22" x14ac:dyDescent="0.2">
      <c r="A541" s="11" t="s">
        <v>790</v>
      </c>
      <c r="B541" s="12" t="s">
        <v>33</v>
      </c>
      <c r="C541" s="12" t="s">
        <v>29</v>
      </c>
      <c r="D541" s="12" t="s">
        <v>61</v>
      </c>
      <c r="E541" s="13" t="s">
        <v>802</v>
      </c>
      <c r="F541" s="12" t="s">
        <v>132</v>
      </c>
      <c r="G541" s="14">
        <v>8244.0000000000036</v>
      </c>
      <c r="H541" s="12" t="s">
        <v>85</v>
      </c>
      <c r="I541" s="12">
        <v>1</v>
      </c>
      <c r="J541" s="12" t="s">
        <v>132</v>
      </c>
      <c r="K541" s="12" t="s">
        <v>124</v>
      </c>
      <c r="L541" s="12">
        <v>0</v>
      </c>
      <c r="M541" s="15">
        <v>350000</v>
      </c>
      <c r="N541" s="15">
        <f>G541*3</f>
        <v>24732.000000000011</v>
      </c>
      <c r="O541" s="15">
        <f t="shared" si="40"/>
        <v>374732</v>
      </c>
      <c r="P541" s="15">
        <f t="shared" si="41"/>
        <v>45.455118874332825</v>
      </c>
      <c r="Q541" s="14">
        <v>25000</v>
      </c>
      <c r="R541" s="12">
        <v>33</v>
      </c>
      <c r="S541" s="12" t="s">
        <v>803</v>
      </c>
      <c r="T541" s="22">
        <f t="shared" si="42"/>
        <v>11</v>
      </c>
      <c r="U541" s="22">
        <f t="shared" si="43"/>
        <v>2020</v>
      </c>
      <c r="V541" s="22" t="str">
        <f t="shared" si="44"/>
        <v>REGIONES</v>
      </c>
    </row>
    <row r="542" spans="1:22" x14ac:dyDescent="0.2">
      <c r="A542" s="11" t="s">
        <v>790</v>
      </c>
      <c r="B542" s="12" t="s">
        <v>33</v>
      </c>
      <c r="C542" s="12" t="s">
        <v>29</v>
      </c>
      <c r="D542" s="12" t="s">
        <v>38</v>
      </c>
      <c r="E542" s="13" t="s">
        <v>42</v>
      </c>
      <c r="F542" s="12" t="s">
        <v>134</v>
      </c>
      <c r="G542" s="14">
        <v>6998.4000000000024</v>
      </c>
      <c r="H542" s="12" t="s">
        <v>43</v>
      </c>
      <c r="I542" s="12">
        <v>0</v>
      </c>
      <c r="J542" s="12" t="s">
        <v>134</v>
      </c>
      <c r="K542" s="12" t="s">
        <v>23</v>
      </c>
      <c r="L542" s="12">
        <v>2</v>
      </c>
      <c r="M542" s="15">
        <v>48989</v>
      </c>
      <c r="N542" s="15">
        <v>20995</v>
      </c>
      <c r="O542" s="15">
        <f t="shared" si="40"/>
        <v>69984</v>
      </c>
      <c r="P542" s="15">
        <f t="shared" si="41"/>
        <v>9.9999999999999964</v>
      </c>
      <c r="Q542" s="14">
        <v>5782</v>
      </c>
      <c r="R542" s="12">
        <v>100</v>
      </c>
      <c r="S542" s="12" t="s">
        <v>804</v>
      </c>
      <c r="T542" s="22">
        <f t="shared" si="42"/>
        <v>11</v>
      </c>
      <c r="U542" s="22">
        <f t="shared" si="43"/>
        <v>2020</v>
      </c>
      <c r="V542" s="22" t="str">
        <f t="shared" si="44"/>
        <v>METROPOLITANA</v>
      </c>
    </row>
    <row r="543" spans="1:22" x14ac:dyDescent="0.2">
      <c r="A543" s="11" t="s">
        <v>790</v>
      </c>
      <c r="B543" s="12" t="s">
        <v>33</v>
      </c>
      <c r="C543" s="12" t="s">
        <v>29</v>
      </c>
      <c r="D543" s="12" t="s">
        <v>37</v>
      </c>
      <c r="E543" s="13" t="s">
        <v>40</v>
      </c>
      <c r="F543" s="12" t="s">
        <v>134</v>
      </c>
      <c r="G543" s="14">
        <v>7656</v>
      </c>
      <c r="H543" s="12" t="s">
        <v>22</v>
      </c>
      <c r="I543" s="12">
        <v>0</v>
      </c>
      <c r="J543" s="12" t="s">
        <v>134</v>
      </c>
      <c r="K543" s="12" t="s">
        <v>23</v>
      </c>
      <c r="L543" s="12">
        <v>2</v>
      </c>
      <c r="M543" s="15">
        <v>53592</v>
      </c>
      <c r="N543" s="15">
        <v>30624</v>
      </c>
      <c r="O543" s="15">
        <f t="shared" si="40"/>
        <v>84216</v>
      </c>
      <c r="P543" s="15">
        <f t="shared" si="41"/>
        <v>11</v>
      </c>
      <c r="Q543" s="14">
        <v>5782</v>
      </c>
      <c r="R543" s="12">
        <v>100</v>
      </c>
      <c r="S543" s="12" t="s">
        <v>805</v>
      </c>
      <c r="T543" s="22">
        <f t="shared" si="42"/>
        <v>11</v>
      </c>
      <c r="U543" s="22">
        <f t="shared" si="43"/>
        <v>2020</v>
      </c>
      <c r="V543" s="22" t="str">
        <f t="shared" si="44"/>
        <v>METROPOLITANA</v>
      </c>
    </row>
    <row r="544" spans="1:22" x14ac:dyDescent="0.2">
      <c r="A544" s="11" t="s">
        <v>790</v>
      </c>
      <c r="B544" s="12" t="s">
        <v>33</v>
      </c>
      <c r="C544" s="12" t="s">
        <v>44</v>
      </c>
      <c r="D544" s="12" t="s">
        <v>47</v>
      </c>
      <c r="E544" s="13" t="s">
        <v>88</v>
      </c>
      <c r="F544" s="12" t="s">
        <v>48</v>
      </c>
      <c r="G544" s="14">
        <v>2762.4</v>
      </c>
      <c r="H544" s="12" t="s">
        <v>22</v>
      </c>
      <c r="I544" s="12">
        <v>0</v>
      </c>
      <c r="J544" s="12" t="s">
        <v>48</v>
      </c>
      <c r="K544" s="12" t="s">
        <v>23</v>
      </c>
      <c r="L544" s="12">
        <v>1</v>
      </c>
      <c r="M544" s="15">
        <v>33750</v>
      </c>
      <c r="N544" s="15">
        <v>12000</v>
      </c>
      <c r="O544" s="15">
        <f t="shared" si="40"/>
        <v>45750</v>
      </c>
      <c r="P544" s="15">
        <f t="shared" si="41"/>
        <v>16.561685490877498</v>
      </c>
      <c r="Q544" s="14">
        <v>4821</v>
      </c>
      <c r="R544" s="12">
        <v>57</v>
      </c>
      <c r="S544" s="12" t="s">
        <v>806</v>
      </c>
      <c r="T544" s="22">
        <f t="shared" si="42"/>
        <v>11</v>
      </c>
      <c r="U544" s="22">
        <f t="shared" si="43"/>
        <v>2020</v>
      </c>
      <c r="V544" s="22" t="str">
        <f t="shared" si="44"/>
        <v>METROPOLITANA</v>
      </c>
    </row>
    <row r="545" spans="1:22" x14ac:dyDescent="0.2">
      <c r="A545" s="23" t="s">
        <v>807</v>
      </c>
      <c r="B545" s="22" t="s">
        <v>54</v>
      </c>
      <c r="C545" s="22" t="s">
        <v>55</v>
      </c>
      <c r="D545" s="22" t="s">
        <v>485</v>
      </c>
      <c r="E545" s="24" t="s">
        <v>526</v>
      </c>
      <c r="F545" s="22" t="s">
        <v>66</v>
      </c>
      <c r="G545" s="25">
        <v>13096.8</v>
      </c>
      <c r="H545" s="22" t="s">
        <v>24</v>
      </c>
      <c r="I545" s="22">
        <v>1</v>
      </c>
      <c r="J545" s="22" t="s">
        <v>66</v>
      </c>
      <c r="K545" s="22" t="s">
        <v>75</v>
      </c>
      <c r="L545" s="22">
        <v>0</v>
      </c>
      <c r="M545" s="26">
        <v>380000</v>
      </c>
      <c r="N545" s="26">
        <v>0</v>
      </c>
      <c r="O545" s="15">
        <f t="shared" si="40"/>
        <v>380000</v>
      </c>
      <c r="P545" s="15">
        <f t="shared" si="41"/>
        <v>29.014721153258812</v>
      </c>
      <c r="Q545" s="25">
        <v>25000</v>
      </c>
      <c r="R545" s="22">
        <v>52</v>
      </c>
      <c r="S545" s="22" t="s">
        <v>808</v>
      </c>
      <c r="T545" s="22">
        <f t="shared" si="42"/>
        <v>11</v>
      </c>
      <c r="U545" s="22">
        <f t="shared" si="43"/>
        <v>2020</v>
      </c>
      <c r="V545" s="22" t="str">
        <f t="shared" si="44"/>
        <v>REGIONES</v>
      </c>
    </row>
    <row r="546" spans="1:22" x14ac:dyDescent="0.2">
      <c r="A546" s="23" t="s">
        <v>807</v>
      </c>
      <c r="B546" s="22" t="s">
        <v>18</v>
      </c>
      <c r="C546" s="22" t="s">
        <v>50</v>
      </c>
      <c r="D546" s="22" t="s">
        <v>63</v>
      </c>
      <c r="E546" s="24" t="s">
        <v>64</v>
      </c>
      <c r="F546" s="22" t="s">
        <v>26</v>
      </c>
      <c r="G546" s="25">
        <v>9581.9999999999982</v>
      </c>
      <c r="H546" s="22" t="s">
        <v>65</v>
      </c>
      <c r="I546" s="22">
        <v>0</v>
      </c>
      <c r="J546" s="22" t="s">
        <v>26</v>
      </c>
      <c r="K546" s="22" t="s">
        <v>23</v>
      </c>
      <c r="L546" s="22">
        <v>4</v>
      </c>
      <c r="M546" s="26">
        <v>67074</v>
      </c>
      <c r="N546" s="26">
        <f>G546*3</f>
        <v>28745.999999999993</v>
      </c>
      <c r="O546" s="15">
        <f t="shared" si="40"/>
        <v>95820</v>
      </c>
      <c r="P546" s="15">
        <f t="shared" si="41"/>
        <v>10.000000000000002</v>
      </c>
      <c r="Q546" s="25">
        <v>8011</v>
      </c>
      <c r="R546" s="22">
        <v>100</v>
      </c>
      <c r="S546" s="22" t="s">
        <v>809</v>
      </c>
      <c r="T546" s="22">
        <f t="shared" si="42"/>
        <v>11</v>
      </c>
      <c r="U546" s="22">
        <f t="shared" si="43"/>
        <v>2020</v>
      </c>
      <c r="V546" s="22" t="str">
        <f t="shared" si="44"/>
        <v>METROPOLITANA</v>
      </c>
    </row>
    <row r="547" spans="1:22" x14ac:dyDescent="0.2">
      <c r="A547" s="23" t="s">
        <v>807</v>
      </c>
      <c r="B547" s="22" t="s">
        <v>18</v>
      </c>
      <c r="C547" s="22" t="s">
        <v>726</v>
      </c>
      <c r="D547" s="22" t="s">
        <v>38</v>
      </c>
      <c r="E547" s="24" t="s">
        <v>25</v>
      </c>
      <c r="F547" s="22" t="s">
        <v>727</v>
      </c>
      <c r="G547" s="25">
        <v>6138.74</v>
      </c>
      <c r="H547" s="22" t="s">
        <v>43</v>
      </c>
      <c r="I547" s="22">
        <v>0</v>
      </c>
      <c r="J547" s="22" t="s">
        <v>727</v>
      </c>
      <c r="K547" s="22" t="s">
        <v>23</v>
      </c>
      <c r="L547" s="22">
        <v>1</v>
      </c>
      <c r="M547" s="26">
        <v>42971</v>
      </c>
      <c r="N547" s="26">
        <f>G547*3</f>
        <v>18416.22</v>
      </c>
      <c r="O547" s="15">
        <f t="shared" si="40"/>
        <v>61387.22</v>
      </c>
      <c r="P547" s="15">
        <f t="shared" si="41"/>
        <v>9.9999706780218744</v>
      </c>
      <c r="Q547" s="25">
        <v>4821</v>
      </c>
      <c r="R547" s="22">
        <v>100</v>
      </c>
      <c r="S547" s="22" t="s">
        <v>810</v>
      </c>
      <c r="T547" s="22">
        <f t="shared" si="42"/>
        <v>11</v>
      </c>
      <c r="U547" s="22">
        <f t="shared" si="43"/>
        <v>2020</v>
      </c>
      <c r="V547" s="22" t="str">
        <f t="shared" si="44"/>
        <v>METROPOLITANA</v>
      </c>
    </row>
    <row r="548" spans="1:22" x14ac:dyDescent="0.2">
      <c r="A548" s="23" t="s">
        <v>807</v>
      </c>
      <c r="B548" s="22" t="s">
        <v>18</v>
      </c>
      <c r="C548" s="22" t="s">
        <v>726</v>
      </c>
      <c r="D548" s="22" t="s">
        <v>20</v>
      </c>
      <c r="E548" s="24" t="s">
        <v>21</v>
      </c>
      <c r="F548" s="22" t="s">
        <v>727</v>
      </c>
      <c r="G548" s="25">
        <v>3556.65</v>
      </c>
      <c r="H548" s="22" t="s">
        <v>22</v>
      </c>
      <c r="I548" s="22">
        <v>0</v>
      </c>
      <c r="J548" s="22" t="s">
        <v>727</v>
      </c>
      <c r="K548" s="22" t="s">
        <v>23</v>
      </c>
      <c r="L548" s="22">
        <v>1</v>
      </c>
      <c r="M548" s="26">
        <v>33750</v>
      </c>
      <c r="N548" s="26">
        <f>G548*4</f>
        <v>14226.6</v>
      </c>
      <c r="O548" s="15">
        <f t="shared" si="40"/>
        <v>47976.6</v>
      </c>
      <c r="P548" s="15">
        <f t="shared" si="41"/>
        <v>13.489266585129265</v>
      </c>
      <c r="Q548" s="25">
        <v>4821</v>
      </c>
      <c r="R548" s="22">
        <v>74</v>
      </c>
      <c r="S548" s="22" t="s">
        <v>811</v>
      </c>
      <c r="T548" s="22">
        <f t="shared" si="42"/>
        <v>11</v>
      </c>
      <c r="U548" s="22">
        <f t="shared" si="43"/>
        <v>2020</v>
      </c>
      <c r="V548" s="22" t="str">
        <f t="shared" si="44"/>
        <v>METROPOLITANA</v>
      </c>
    </row>
    <row r="549" spans="1:22" x14ac:dyDescent="0.2">
      <c r="A549" s="23" t="s">
        <v>807</v>
      </c>
      <c r="B549" s="22" t="s">
        <v>33</v>
      </c>
      <c r="C549" s="22" t="s">
        <v>128</v>
      </c>
      <c r="D549" s="22" t="s">
        <v>30</v>
      </c>
      <c r="E549" s="24" t="s">
        <v>31</v>
      </c>
      <c r="F549" s="22" t="s">
        <v>34</v>
      </c>
      <c r="G549" s="25">
        <v>3022.8000000000011</v>
      </c>
      <c r="H549" s="22" t="s">
        <v>32</v>
      </c>
      <c r="I549" s="22">
        <v>0</v>
      </c>
      <c r="J549" s="22" t="s">
        <v>34</v>
      </c>
      <c r="K549" s="22" t="s">
        <v>23</v>
      </c>
      <c r="L549" s="22">
        <v>1</v>
      </c>
      <c r="M549" s="26">
        <v>33750</v>
      </c>
      <c r="N549" s="26">
        <v>9068</v>
      </c>
      <c r="O549" s="15">
        <f t="shared" si="40"/>
        <v>42818</v>
      </c>
      <c r="P549" s="15">
        <f t="shared" si="41"/>
        <v>14.165012571126104</v>
      </c>
      <c r="Q549" s="25">
        <v>4821</v>
      </c>
      <c r="R549" s="22">
        <v>63</v>
      </c>
      <c r="S549" s="22" t="s">
        <v>812</v>
      </c>
      <c r="T549" s="22">
        <f t="shared" si="42"/>
        <v>11</v>
      </c>
      <c r="U549" s="22">
        <f t="shared" si="43"/>
        <v>2020</v>
      </c>
      <c r="V549" s="22" t="str">
        <f t="shared" si="44"/>
        <v>METROPOLITANA</v>
      </c>
    </row>
    <row r="550" spans="1:22" x14ac:dyDescent="0.2">
      <c r="A550" s="23" t="s">
        <v>807</v>
      </c>
      <c r="B550" s="22" t="s">
        <v>33</v>
      </c>
      <c r="C550" s="22" t="s">
        <v>36</v>
      </c>
      <c r="D550" s="22" t="s">
        <v>35</v>
      </c>
      <c r="E550" s="24" t="s">
        <v>21</v>
      </c>
      <c r="F550" s="22" t="s">
        <v>67</v>
      </c>
      <c r="G550" s="25">
        <v>2525.6</v>
      </c>
      <c r="H550" s="22" t="s">
        <v>22</v>
      </c>
      <c r="I550" s="22">
        <v>0</v>
      </c>
      <c r="J550" s="22" t="s">
        <v>67</v>
      </c>
      <c r="K550" s="22" t="s">
        <v>23</v>
      </c>
      <c r="L550" s="22">
        <v>2</v>
      </c>
      <c r="M550" s="26">
        <v>40475</v>
      </c>
      <c r="N550" s="26">
        <v>12000</v>
      </c>
      <c r="O550" s="15">
        <f t="shared" si="40"/>
        <v>52475</v>
      </c>
      <c r="P550" s="15">
        <f t="shared" si="41"/>
        <v>20.777241051631297</v>
      </c>
      <c r="Q550" s="25">
        <v>5782</v>
      </c>
      <c r="R550" s="22">
        <v>44</v>
      </c>
      <c r="S550" s="22" t="s">
        <v>813</v>
      </c>
      <c r="T550" s="22">
        <f t="shared" si="42"/>
        <v>11</v>
      </c>
      <c r="U550" s="22">
        <f t="shared" si="43"/>
        <v>2020</v>
      </c>
      <c r="V550" s="22" t="str">
        <f t="shared" si="44"/>
        <v>METROPOLITANA</v>
      </c>
    </row>
    <row r="551" spans="1:22" x14ac:dyDescent="0.2">
      <c r="A551" s="23" t="s">
        <v>807</v>
      </c>
      <c r="B551" s="22" t="s">
        <v>33</v>
      </c>
      <c r="C551" s="22" t="s">
        <v>36</v>
      </c>
      <c r="D551" s="22" t="s">
        <v>814</v>
      </c>
      <c r="E551" s="24" t="s">
        <v>731</v>
      </c>
      <c r="F551" s="22" t="s">
        <v>815</v>
      </c>
      <c r="G551" s="25">
        <v>17881.19999999999</v>
      </c>
      <c r="H551" s="22" t="s">
        <v>24</v>
      </c>
      <c r="I551" s="22">
        <v>1</v>
      </c>
      <c r="J551" s="22" t="s">
        <v>815</v>
      </c>
      <c r="K551" s="22" t="s">
        <v>75</v>
      </c>
      <c r="L551" s="22">
        <v>0</v>
      </c>
      <c r="M551" s="26">
        <v>420000</v>
      </c>
      <c r="N551" s="26">
        <v>0</v>
      </c>
      <c r="O551" s="15">
        <f t="shared" si="40"/>
        <v>420000</v>
      </c>
      <c r="P551" s="15">
        <f t="shared" si="41"/>
        <v>23.488356486141882</v>
      </c>
      <c r="Q551" s="25">
        <v>25000</v>
      </c>
      <c r="R551" s="22">
        <v>72</v>
      </c>
      <c r="S551" s="22" t="s">
        <v>816</v>
      </c>
      <c r="T551" s="22">
        <f t="shared" si="42"/>
        <v>11</v>
      </c>
      <c r="U551" s="22">
        <f t="shared" si="43"/>
        <v>2020</v>
      </c>
      <c r="V551" s="22" t="str">
        <f t="shared" si="44"/>
        <v>REGIONES</v>
      </c>
    </row>
    <row r="552" spans="1:22" x14ac:dyDescent="0.2">
      <c r="A552" s="23" t="s">
        <v>807</v>
      </c>
      <c r="B552" s="22" t="s">
        <v>33</v>
      </c>
      <c r="C552" s="22" t="s">
        <v>223</v>
      </c>
      <c r="D552" s="22" t="s">
        <v>56</v>
      </c>
      <c r="E552" s="24" t="s">
        <v>52</v>
      </c>
      <c r="F552" s="22" t="s">
        <v>39</v>
      </c>
      <c r="G552" s="25">
        <v>4266.4000000000005</v>
      </c>
      <c r="H552" s="22" t="s">
        <v>22</v>
      </c>
      <c r="I552" s="22">
        <v>0</v>
      </c>
      <c r="J552" s="22" t="s">
        <v>39</v>
      </c>
      <c r="K552" s="22" t="s">
        <v>23</v>
      </c>
      <c r="L552" s="22">
        <v>1</v>
      </c>
      <c r="M552" s="26">
        <v>33750</v>
      </c>
      <c r="N552" s="26">
        <f>G552*4</f>
        <v>17065.600000000002</v>
      </c>
      <c r="O552" s="15">
        <f t="shared" si="40"/>
        <v>50815.600000000006</v>
      </c>
      <c r="P552" s="15">
        <f t="shared" si="41"/>
        <v>11.910650665666603</v>
      </c>
      <c r="Q552" s="25">
        <v>4821</v>
      </c>
      <c r="R552" s="22">
        <v>88</v>
      </c>
      <c r="S552" s="22" t="s">
        <v>817</v>
      </c>
      <c r="T552" s="22">
        <f t="shared" si="42"/>
        <v>11</v>
      </c>
      <c r="U552" s="22">
        <f t="shared" si="43"/>
        <v>2020</v>
      </c>
      <c r="V552" s="22" t="str">
        <f t="shared" si="44"/>
        <v>METROPOLITANA</v>
      </c>
    </row>
    <row r="553" spans="1:22" x14ac:dyDescent="0.2">
      <c r="A553" s="23" t="s">
        <v>807</v>
      </c>
      <c r="B553" s="22" t="s">
        <v>33</v>
      </c>
      <c r="C553" s="22" t="s">
        <v>223</v>
      </c>
      <c r="D553" s="22" t="s">
        <v>37</v>
      </c>
      <c r="E553" s="24" t="s">
        <v>40</v>
      </c>
      <c r="F553" s="22" t="s">
        <v>39</v>
      </c>
      <c r="G553" s="25">
        <v>8254.3999999999978</v>
      </c>
      <c r="H553" s="22" t="s">
        <v>22</v>
      </c>
      <c r="I553" s="22">
        <v>0</v>
      </c>
      <c r="J553" s="22" t="s">
        <v>39</v>
      </c>
      <c r="K553" s="22" t="s">
        <v>23</v>
      </c>
      <c r="L553" s="22">
        <v>1</v>
      </c>
      <c r="M553" s="26">
        <v>57781</v>
      </c>
      <c r="N553" s="26">
        <f>G553*4</f>
        <v>33017.599999999991</v>
      </c>
      <c r="O553" s="15">
        <f t="shared" si="40"/>
        <v>90798.599999999991</v>
      </c>
      <c r="P553" s="15">
        <f t="shared" si="41"/>
        <v>11.000024229501843</v>
      </c>
      <c r="Q553" s="25">
        <v>4821</v>
      </c>
      <c r="R553" s="22">
        <v>100</v>
      </c>
      <c r="S553" s="22" t="s">
        <v>818</v>
      </c>
      <c r="T553" s="22">
        <f t="shared" si="42"/>
        <v>11</v>
      </c>
      <c r="U553" s="22">
        <f t="shared" si="43"/>
        <v>2020</v>
      </c>
      <c r="V553" s="22" t="str">
        <f t="shared" si="44"/>
        <v>METROPOLITANA</v>
      </c>
    </row>
    <row r="554" spans="1:22" x14ac:dyDescent="0.2">
      <c r="A554" s="23" t="s">
        <v>807</v>
      </c>
      <c r="B554" s="22" t="s">
        <v>33</v>
      </c>
      <c r="C554" s="22" t="s">
        <v>44</v>
      </c>
      <c r="D554" s="22" t="s">
        <v>56</v>
      </c>
      <c r="E554" s="24" t="s">
        <v>88</v>
      </c>
      <c r="F554" s="22" t="s">
        <v>51</v>
      </c>
      <c r="G554" s="25">
        <v>6165.2000000000025</v>
      </c>
      <c r="H554" s="22" t="s">
        <v>22</v>
      </c>
      <c r="I554" s="22">
        <v>0</v>
      </c>
      <c r="J554" s="22" t="s">
        <v>51</v>
      </c>
      <c r="K554" s="22" t="s">
        <v>23</v>
      </c>
      <c r="L554" s="22">
        <v>4</v>
      </c>
      <c r="M554" s="26">
        <v>56075</v>
      </c>
      <c r="N554" s="26">
        <v>24661</v>
      </c>
      <c r="O554" s="15">
        <f t="shared" si="40"/>
        <v>80736</v>
      </c>
      <c r="P554" s="15">
        <f t="shared" si="41"/>
        <v>13.095438915201449</v>
      </c>
      <c r="Q554" s="25">
        <v>8011</v>
      </c>
      <c r="R554" s="22">
        <v>77</v>
      </c>
      <c r="S554" s="22" t="s">
        <v>819</v>
      </c>
      <c r="T554" s="22">
        <f t="shared" si="42"/>
        <v>11</v>
      </c>
      <c r="U554" s="22">
        <f t="shared" si="43"/>
        <v>2020</v>
      </c>
      <c r="V554" s="22" t="str">
        <f t="shared" si="44"/>
        <v>METROPOLITANA</v>
      </c>
    </row>
    <row r="555" spans="1:22" x14ac:dyDescent="0.2">
      <c r="A555" s="23" t="s">
        <v>807</v>
      </c>
      <c r="B555" s="22" t="s">
        <v>33</v>
      </c>
      <c r="C555" s="22" t="s">
        <v>44</v>
      </c>
      <c r="D555" s="22" t="s">
        <v>37</v>
      </c>
      <c r="E555" s="24" t="s">
        <v>40</v>
      </c>
      <c r="F555" s="22" t="s">
        <v>138</v>
      </c>
      <c r="G555" s="25">
        <v>2251.1999999999998</v>
      </c>
      <c r="H555" s="22" t="s">
        <v>22</v>
      </c>
      <c r="I555" s="22">
        <v>0</v>
      </c>
      <c r="J555" s="22" t="s">
        <v>138</v>
      </c>
      <c r="K555" s="22" t="s">
        <v>23</v>
      </c>
      <c r="L555" s="22">
        <v>3</v>
      </c>
      <c r="M555" s="26">
        <v>48075</v>
      </c>
      <c r="N555" s="26">
        <v>12000</v>
      </c>
      <c r="O555" s="15">
        <f t="shared" si="40"/>
        <v>60075</v>
      </c>
      <c r="P555" s="15">
        <f t="shared" si="41"/>
        <v>26.68576759061834</v>
      </c>
      <c r="Q555" s="25">
        <v>6868</v>
      </c>
      <c r="R555" s="22">
        <v>33</v>
      </c>
      <c r="S555" s="22" t="s">
        <v>820</v>
      </c>
      <c r="T555" s="22">
        <f t="shared" si="42"/>
        <v>11</v>
      </c>
      <c r="U555" s="22">
        <f t="shared" si="43"/>
        <v>2020</v>
      </c>
      <c r="V555" s="22" t="str">
        <f t="shared" si="44"/>
        <v>METROPOLITANA</v>
      </c>
    </row>
    <row r="556" spans="1:22" x14ac:dyDescent="0.2">
      <c r="A556" s="23" t="s">
        <v>807</v>
      </c>
      <c r="B556" s="22" t="s">
        <v>33</v>
      </c>
      <c r="C556" s="22" t="s">
        <v>44</v>
      </c>
      <c r="D556" s="22" t="s">
        <v>45</v>
      </c>
      <c r="E556" s="24" t="s">
        <v>52</v>
      </c>
      <c r="F556" s="22" t="s">
        <v>46</v>
      </c>
      <c r="G556" s="25">
        <v>1186.8</v>
      </c>
      <c r="H556" s="22" t="s">
        <v>22</v>
      </c>
      <c r="I556" s="22">
        <v>0</v>
      </c>
      <c r="J556" s="22" t="s">
        <v>46</v>
      </c>
      <c r="K556" s="22" t="s">
        <v>23</v>
      </c>
      <c r="L556" s="22">
        <v>2</v>
      </c>
      <c r="M556" s="26">
        <v>40475</v>
      </c>
      <c r="N556" s="26">
        <v>12000</v>
      </c>
      <c r="O556" s="15">
        <f t="shared" si="40"/>
        <v>52475</v>
      </c>
      <c r="P556" s="15">
        <f t="shared" si="41"/>
        <v>44.21553758004719</v>
      </c>
      <c r="Q556" s="25">
        <v>5782</v>
      </c>
      <c r="R556" s="22">
        <v>21</v>
      </c>
      <c r="S556" s="22" t="s">
        <v>821</v>
      </c>
      <c r="T556" s="22">
        <f t="shared" si="42"/>
        <v>11</v>
      </c>
      <c r="U556" s="22">
        <f t="shared" si="43"/>
        <v>2020</v>
      </c>
      <c r="V556" s="22" t="str">
        <f t="shared" si="44"/>
        <v>METROPOLITANA</v>
      </c>
    </row>
    <row r="557" spans="1:22" x14ac:dyDescent="0.2">
      <c r="A557" s="23" t="s">
        <v>807</v>
      </c>
      <c r="B557" s="22" t="s">
        <v>33</v>
      </c>
      <c r="C557" s="22" t="s">
        <v>44</v>
      </c>
      <c r="D557" s="22" t="s">
        <v>822</v>
      </c>
      <c r="E557" s="24" t="s">
        <v>21</v>
      </c>
      <c r="F557" s="22" t="s">
        <v>48</v>
      </c>
      <c r="G557" s="25">
        <v>750.4</v>
      </c>
      <c r="H557" s="22" t="s">
        <v>24</v>
      </c>
      <c r="I557" s="22">
        <v>1</v>
      </c>
      <c r="J557" s="22" t="s">
        <v>48</v>
      </c>
      <c r="K557" s="22" t="s">
        <v>23</v>
      </c>
      <c r="L557" s="22">
        <v>1</v>
      </c>
      <c r="M557" s="26">
        <v>33750</v>
      </c>
      <c r="N557" s="26">
        <v>12000</v>
      </c>
      <c r="O557" s="15">
        <f t="shared" si="40"/>
        <v>45750</v>
      </c>
      <c r="P557" s="15">
        <f t="shared" si="41"/>
        <v>60.967484008528785</v>
      </c>
      <c r="Q557" s="25">
        <v>4821</v>
      </c>
      <c r="R557" s="22">
        <v>16</v>
      </c>
      <c r="S557" s="22" t="s">
        <v>823</v>
      </c>
      <c r="T557" s="22">
        <f t="shared" si="42"/>
        <v>11</v>
      </c>
      <c r="U557" s="22">
        <f t="shared" si="43"/>
        <v>2020</v>
      </c>
      <c r="V557" s="22" t="str">
        <f t="shared" si="44"/>
        <v>METROPOLITANA</v>
      </c>
    </row>
    <row r="558" spans="1:22" x14ac:dyDescent="0.2">
      <c r="A558" s="23" t="s">
        <v>807</v>
      </c>
      <c r="B558" s="22" t="s">
        <v>33</v>
      </c>
      <c r="C558" s="22" t="s">
        <v>44</v>
      </c>
      <c r="D558" s="22" t="s">
        <v>47</v>
      </c>
      <c r="E558" s="24" t="s">
        <v>824</v>
      </c>
      <c r="F558" s="22" t="s">
        <v>48</v>
      </c>
      <c r="G558" s="25">
        <v>1443.22</v>
      </c>
      <c r="H558" s="22" t="s">
        <v>22</v>
      </c>
      <c r="I558" s="22">
        <v>0</v>
      </c>
      <c r="J558" s="22" t="s">
        <v>48</v>
      </c>
      <c r="K558" s="22" t="s">
        <v>23</v>
      </c>
      <c r="L558" s="22">
        <v>1</v>
      </c>
      <c r="M558" s="26">
        <v>33750</v>
      </c>
      <c r="N558" s="26">
        <v>12000</v>
      </c>
      <c r="O558" s="15">
        <f t="shared" si="40"/>
        <v>45750</v>
      </c>
      <c r="P558" s="15">
        <f t="shared" si="41"/>
        <v>31.699948725765996</v>
      </c>
      <c r="Q558" s="25">
        <v>4821</v>
      </c>
      <c r="R558" s="22">
        <v>30</v>
      </c>
      <c r="S558" s="22" t="s">
        <v>825</v>
      </c>
      <c r="T558" s="22">
        <f t="shared" si="42"/>
        <v>11</v>
      </c>
      <c r="U558" s="22">
        <f t="shared" si="43"/>
        <v>2020</v>
      </c>
      <c r="V558" s="22" t="str">
        <f t="shared" si="44"/>
        <v>METROPOLITANA</v>
      </c>
    </row>
    <row r="559" spans="1:22" x14ac:dyDescent="0.2">
      <c r="A559" s="23" t="s">
        <v>807</v>
      </c>
      <c r="B559" s="22" t="s">
        <v>33</v>
      </c>
      <c r="C559" s="22" t="s">
        <v>44</v>
      </c>
      <c r="D559" s="22" t="s">
        <v>47</v>
      </c>
      <c r="E559" s="24" t="s">
        <v>21</v>
      </c>
      <c r="F559" s="22" t="s">
        <v>48</v>
      </c>
      <c r="G559" s="25">
        <v>3759.2399999999989</v>
      </c>
      <c r="H559" s="22" t="s">
        <v>22</v>
      </c>
      <c r="I559" s="22">
        <v>0</v>
      </c>
      <c r="J559" s="22" t="s">
        <v>48</v>
      </c>
      <c r="K559" s="22" t="s">
        <v>23</v>
      </c>
      <c r="L559" s="22">
        <v>1</v>
      </c>
      <c r="M559" s="26">
        <v>33750</v>
      </c>
      <c r="N559" s="26">
        <v>15037</v>
      </c>
      <c r="O559" s="15">
        <f t="shared" si="40"/>
        <v>48787</v>
      </c>
      <c r="P559" s="15">
        <f t="shared" si="41"/>
        <v>12.977889147806476</v>
      </c>
      <c r="Q559" s="25">
        <v>4821</v>
      </c>
      <c r="R559" s="22">
        <v>78</v>
      </c>
      <c r="S559" s="22" t="s">
        <v>826</v>
      </c>
      <c r="T559" s="22">
        <f t="shared" si="42"/>
        <v>11</v>
      </c>
      <c r="U559" s="22">
        <f t="shared" si="43"/>
        <v>2020</v>
      </c>
      <c r="V559" s="22" t="str">
        <f t="shared" si="44"/>
        <v>METROPOLITANA</v>
      </c>
    </row>
    <row r="560" spans="1:22" x14ac:dyDescent="0.2">
      <c r="A560" s="11" t="s">
        <v>827</v>
      </c>
      <c r="B560" s="12" t="s">
        <v>54</v>
      </c>
      <c r="C560" s="12" t="s">
        <v>55</v>
      </c>
      <c r="D560" s="12" t="s">
        <v>828</v>
      </c>
      <c r="E560" s="13" t="s">
        <v>829</v>
      </c>
      <c r="F560" s="12" t="s">
        <v>66</v>
      </c>
      <c r="G560" s="14">
        <v>8148</v>
      </c>
      <c r="H560" s="12" t="s">
        <v>24</v>
      </c>
      <c r="I560" s="12">
        <v>1</v>
      </c>
      <c r="J560" s="12" t="s">
        <v>66</v>
      </c>
      <c r="K560" s="12" t="s">
        <v>75</v>
      </c>
      <c r="L560" s="12">
        <v>0</v>
      </c>
      <c r="M560" s="15">
        <v>380000</v>
      </c>
      <c r="N560" s="15">
        <v>0</v>
      </c>
      <c r="O560" s="15">
        <f t="shared" si="40"/>
        <v>380000</v>
      </c>
      <c r="P560" s="15">
        <f t="shared" si="41"/>
        <v>46.637211585665192</v>
      </c>
      <c r="Q560" s="14">
        <v>25000</v>
      </c>
      <c r="R560" s="12">
        <v>33</v>
      </c>
      <c r="S560" s="12" t="s">
        <v>830</v>
      </c>
      <c r="T560" s="22">
        <f t="shared" si="42"/>
        <v>11</v>
      </c>
      <c r="U560" s="22">
        <f t="shared" si="43"/>
        <v>2020</v>
      </c>
      <c r="V560" s="22" t="str">
        <f t="shared" si="44"/>
        <v>REGIONES</v>
      </c>
    </row>
    <row r="561" spans="1:22" x14ac:dyDescent="0.2">
      <c r="A561" s="11" t="s">
        <v>827</v>
      </c>
      <c r="B561" s="12" t="s">
        <v>18</v>
      </c>
      <c r="C561" s="12" t="s">
        <v>50</v>
      </c>
      <c r="D561" s="12" t="s">
        <v>41</v>
      </c>
      <c r="E561" s="13" t="s">
        <v>25</v>
      </c>
      <c r="F561" s="12" t="s">
        <v>26</v>
      </c>
      <c r="G561" s="14">
        <v>11017.57</v>
      </c>
      <c r="H561" s="12" t="s">
        <v>43</v>
      </c>
      <c r="I561" s="12">
        <v>0</v>
      </c>
      <c r="J561" s="12" t="s">
        <v>26</v>
      </c>
      <c r="K561" s="12" t="s">
        <v>23</v>
      </c>
      <c r="L561" s="12">
        <v>4</v>
      </c>
      <c r="M561" s="15">
        <v>77123</v>
      </c>
      <c r="N561" s="15">
        <f>G561*3</f>
        <v>33052.71</v>
      </c>
      <c r="O561" s="15">
        <f t="shared" si="40"/>
        <v>110175.70999999999</v>
      </c>
      <c r="P561" s="15">
        <f t="shared" si="41"/>
        <v>10.000000907641159</v>
      </c>
      <c r="Q561" s="14">
        <v>8011</v>
      </c>
      <c r="R561" s="12">
        <v>100</v>
      </c>
      <c r="S561" s="12" t="s">
        <v>831</v>
      </c>
      <c r="T561" s="22">
        <f t="shared" si="42"/>
        <v>11</v>
      </c>
      <c r="U561" s="22">
        <f t="shared" si="43"/>
        <v>2020</v>
      </c>
      <c r="V561" s="22" t="str">
        <f t="shared" si="44"/>
        <v>METROPOLITANA</v>
      </c>
    </row>
    <row r="562" spans="1:22" x14ac:dyDescent="0.2">
      <c r="A562" s="11" t="s">
        <v>827</v>
      </c>
      <c r="B562" s="12" t="s">
        <v>18</v>
      </c>
      <c r="C562" s="12" t="s">
        <v>57</v>
      </c>
      <c r="D562" s="12" t="s">
        <v>30</v>
      </c>
      <c r="E562" s="13" t="s">
        <v>31</v>
      </c>
      <c r="F562" s="12" t="s">
        <v>251</v>
      </c>
      <c r="G562" s="14">
        <v>2861.16</v>
      </c>
      <c r="H562" s="12" t="s">
        <v>32</v>
      </c>
      <c r="I562" s="12">
        <v>0</v>
      </c>
      <c r="J562" s="12" t="s">
        <v>251</v>
      </c>
      <c r="K562" s="12" t="s">
        <v>78</v>
      </c>
      <c r="L562" s="12">
        <v>0</v>
      </c>
      <c r="M562" s="15">
        <v>180000</v>
      </c>
      <c r="N562" s="15">
        <v>0</v>
      </c>
      <c r="O562" s="15">
        <f t="shared" si="40"/>
        <v>180000</v>
      </c>
      <c r="P562" s="15">
        <f t="shared" si="41"/>
        <v>62.911546365809677</v>
      </c>
      <c r="Q562" s="14">
        <v>25000</v>
      </c>
      <c r="R562" s="12">
        <v>11</v>
      </c>
      <c r="S562" s="12" t="s">
        <v>832</v>
      </c>
      <c r="T562" s="22">
        <f t="shared" si="42"/>
        <v>11</v>
      </c>
      <c r="U562" s="22">
        <f t="shared" si="43"/>
        <v>2020</v>
      </c>
      <c r="V562" s="22" t="str">
        <f t="shared" si="44"/>
        <v>REGIONES</v>
      </c>
    </row>
    <row r="563" spans="1:22" x14ac:dyDescent="0.2">
      <c r="A563" s="11" t="s">
        <v>827</v>
      </c>
      <c r="B563" s="12" t="s">
        <v>18</v>
      </c>
      <c r="C563" s="12" t="s">
        <v>163</v>
      </c>
      <c r="D563" s="12" t="s">
        <v>27</v>
      </c>
      <c r="E563" s="13" t="s">
        <v>28</v>
      </c>
      <c r="F563" s="12" t="s">
        <v>165</v>
      </c>
      <c r="G563" s="14">
        <v>19364.400000000001</v>
      </c>
      <c r="H563" s="12" t="s">
        <v>22</v>
      </c>
      <c r="I563" s="12">
        <v>1</v>
      </c>
      <c r="J563" s="12" t="s">
        <v>165</v>
      </c>
      <c r="K563" s="12" t="s">
        <v>23</v>
      </c>
      <c r="L563" s="12">
        <v>4</v>
      </c>
      <c r="M563" s="15">
        <v>135551</v>
      </c>
      <c r="N563" s="15">
        <f>G563*4</f>
        <v>77457.600000000006</v>
      </c>
      <c r="O563" s="15">
        <f t="shared" si="40"/>
        <v>213008.6</v>
      </c>
      <c r="P563" s="15">
        <f t="shared" si="41"/>
        <v>11.000010328231186</v>
      </c>
      <c r="Q563" s="14">
        <v>8011</v>
      </c>
      <c r="R563" s="12">
        <v>100</v>
      </c>
      <c r="S563" s="12" t="s">
        <v>833</v>
      </c>
      <c r="T563" s="22">
        <f t="shared" si="42"/>
        <v>11</v>
      </c>
      <c r="U563" s="22">
        <f t="shared" si="43"/>
        <v>2020</v>
      </c>
      <c r="V563" s="22" t="str">
        <f t="shared" si="44"/>
        <v>METROPOLITANA</v>
      </c>
    </row>
    <row r="564" spans="1:22" x14ac:dyDescent="0.2">
      <c r="A564" s="11" t="s">
        <v>827</v>
      </c>
      <c r="B564" s="12" t="s">
        <v>18</v>
      </c>
      <c r="C564" s="12" t="s">
        <v>44</v>
      </c>
      <c r="D564" s="12" t="s">
        <v>63</v>
      </c>
      <c r="E564" s="13" t="s">
        <v>64</v>
      </c>
      <c r="F564" s="12" t="s">
        <v>39</v>
      </c>
      <c r="G564" s="14">
        <v>1736.5</v>
      </c>
      <c r="H564" s="12" t="s">
        <v>65</v>
      </c>
      <c r="I564" s="12">
        <v>0</v>
      </c>
      <c r="J564" s="12" t="s">
        <v>39</v>
      </c>
      <c r="K564" s="12" t="s">
        <v>23</v>
      </c>
      <c r="L564" s="12">
        <v>1</v>
      </c>
      <c r="M564" s="15">
        <v>33750</v>
      </c>
      <c r="N564" s="15">
        <v>5210</v>
      </c>
      <c r="O564" s="15">
        <f t="shared" si="40"/>
        <v>38960</v>
      </c>
      <c r="P564" s="15">
        <f t="shared" si="41"/>
        <v>22.435934350705441</v>
      </c>
      <c r="Q564" s="14">
        <v>4821</v>
      </c>
      <c r="R564" s="12">
        <v>36</v>
      </c>
      <c r="S564" s="12" t="s">
        <v>834</v>
      </c>
      <c r="T564" s="22">
        <f t="shared" si="42"/>
        <v>11</v>
      </c>
      <c r="U564" s="22">
        <f t="shared" si="43"/>
        <v>2020</v>
      </c>
      <c r="V564" s="22" t="str">
        <f t="shared" si="44"/>
        <v>METROPOLITANA</v>
      </c>
    </row>
    <row r="565" spans="1:22" x14ac:dyDescent="0.2">
      <c r="A565" s="11" t="s">
        <v>827</v>
      </c>
      <c r="B565" s="12" t="s">
        <v>33</v>
      </c>
      <c r="C565" s="12" t="s">
        <v>270</v>
      </c>
      <c r="D565" s="12" t="s">
        <v>786</v>
      </c>
      <c r="E565" s="13" t="s">
        <v>787</v>
      </c>
      <c r="F565" s="12" t="s">
        <v>120</v>
      </c>
      <c r="G565" s="14">
        <v>19112.400000000001</v>
      </c>
      <c r="H565" s="12" t="s">
        <v>788</v>
      </c>
      <c r="I565" s="12">
        <v>1</v>
      </c>
      <c r="J565" s="12" t="s">
        <v>120</v>
      </c>
      <c r="K565" s="12" t="s">
        <v>23</v>
      </c>
      <c r="L565" s="12">
        <v>5</v>
      </c>
      <c r="M565" s="15">
        <v>120000</v>
      </c>
      <c r="N565" s="15">
        <v>0</v>
      </c>
      <c r="O565" s="15">
        <f t="shared" si="40"/>
        <v>120000</v>
      </c>
      <c r="P565" s="15">
        <f t="shared" si="41"/>
        <v>6.2786463238525769</v>
      </c>
      <c r="Q565" s="14">
        <v>12000</v>
      </c>
      <c r="R565" s="12">
        <v>100</v>
      </c>
      <c r="S565" s="12" t="s">
        <v>835</v>
      </c>
      <c r="T565" s="22">
        <f t="shared" si="42"/>
        <v>11</v>
      </c>
      <c r="U565" s="22">
        <f t="shared" si="43"/>
        <v>2020</v>
      </c>
      <c r="V565" s="22" t="str">
        <f t="shared" si="44"/>
        <v>METROPOLITANA</v>
      </c>
    </row>
    <row r="566" spans="1:22" x14ac:dyDescent="0.2">
      <c r="A566" s="11" t="s">
        <v>827</v>
      </c>
      <c r="B566" s="12" t="s">
        <v>33</v>
      </c>
      <c r="C566" s="12" t="s">
        <v>128</v>
      </c>
      <c r="D566" s="12" t="s">
        <v>63</v>
      </c>
      <c r="E566" s="13" t="s">
        <v>64</v>
      </c>
      <c r="F566" s="12" t="s">
        <v>129</v>
      </c>
      <c r="G566" s="14">
        <v>7161.9399999999987</v>
      </c>
      <c r="H566" s="12" t="s">
        <v>65</v>
      </c>
      <c r="I566" s="12">
        <v>0</v>
      </c>
      <c r="J566" s="12" t="s">
        <v>129</v>
      </c>
      <c r="K566" s="12" t="s">
        <v>23</v>
      </c>
      <c r="L566" s="12">
        <v>1</v>
      </c>
      <c r="M566" s="15">
        <v>50134</v>
      </c>
      <c r="N566" s="15">
        <v>21486</v>
      </c>
      <c r="O566" s="15">
        <f t="shared" si="40"/>
        <v>71620</v>
      </c>
      <c r="P566" s="15">
        <f t="shared" si="41"/>
        <v>10.000083776183549</v>
      </c>
      <c r="Q566" s="14">
        <v>4821</v>
      </c>
      <c r="R566" s="12">
        <v>100</v>
      </c>
      <c r="S566" s="12" t="s">
        <v>836</v>
      </c>
      <c r="T566" s="22">
        <f t="shared" si="42"/>
        <v>11</v>
      </c>
      <c r="U566" s="22">
        <f t="shared" si="43"/>
        <v>2020</v>
      </c>
      <c r="V566" s="22" t="str">
        <f t="shared" si="44"/>
        <v>METROPOLITANA</v>
      </c>
    </row>
    <row r="567" spans="1:22" x14ac:dyDescent="0.2">
      <c r="A567" s="11" t="s">
        <v>827</v>
      </c>
      <c r="B567" s="12" t="s">
        <v>33</v>
      </c>
      <c r="C567" s="12" t="s">
        <v>223</v>
      </c>
      <c r="D567" s="12" t="s">
        <v>38</v>
      </c>
      <c r="E567" s="13" t="s">
        <v>837</v>
      </c>
      <c r="F567" s="12" t="s">
        <v>39</v>
      </c>
      <c r="G567" s="14">
        <v>7503.9999999999973</v>
      </c>
      <c r="H567" s="12" t="s">
        <v>43</v>
      </c>
      <c r="I567" s="12">
        <v>0</v>
      </c>
      <c r="J567" s="12" t="s">
        <v>39</v>
      </c>
      <c r="K567" s="12" t="s">
        <v>23</v>
      </c>
      <c r="L567" s="12">
        <v>1</v>
      </c>
      <c r="M567" s="15">
        <v>52528</v>
      </c>
      <c r="N567" s="15">
        <f>G567*3</f>
        <v>22511.999999999993</v>
      </c>
      <c r="O567" s="15">
        <f t="shared" si="40"/>
        <v>75040</v>
      </c>
      <c r="P567" s="15">
        <f t="shared" si="41"/>
        <v>10.000000000000004</v>
      </c>
      <c r="Q567" s="14">
        <v>4821</v>
      </c>
      <c r="R567" s="12">
        <v>100</v>
      </c>
      <c r="S567" s="12" t="s">
        <v>838</v>
      </c>
      <c r="T567" s="22">
        <f t="shared" si="42"/>
        <v>11</v>
      </c>
      <c r="U567" s="22">
        <f t="shared" si="43"/>
        <v>2020</v>
      </c>
      <c r="V567" s="22" t="str">
        <f t="shared" si="44"/>
        <v>METROPOLITANA</v>
      </c>
    </row>
    <row r="568" spans="1:22" x14ac:dyDescent="0.2">
      <c r="A568" s="11" t="s">
        <v>827</v>
      </c>
      <c r="B568" s="12" t="s">
        <v>33</v>
      </c>
      <c r="C568" s="12" t="s">
        <v>223</v>
      </c>
      <c r="D568" s="12" t="s">
        <v>20</v>
      </c>
      <c r="E568" s="13" t="s">
        <v>21</v>
      </c>
      <c r="F568" s="12" t="s">
        <v>39</v>
      </c>
      <c r="G568" s="14">
        <v>7503.9999999999973</v>
      </c>
      <c r="H568" s="12" t="s">
        <v>22</v>
      </c>
      <c r="I568" s="12">
        <v>0</v>
      </c>
      <c r="J568" s="12" t="s">
        <v>39</v>
      </c>
      <c r="K568" s="12" t="s">
        <v>23</v>
      </c>
      <c r="L568" s="12">
        <v>1</v>
      </c>
      <c r="M568" s="15">
        <v>52528</v>
      </c>
      <c r="N568" s="15">
        <f>G568*4</f>
        <v>30015.999999999989</v>
      </c>
      <c r="O568" s="15">
        <f t="shared" si="40"/>
        <v>82543.999999999985</v>
      </c>
      <c r="P568" s="15">
        <f t="shared" si="41"/>
        <v>11.000000000000002</v>
      </c>
      <c r="Q568" s="14">
        <v>4821</v>
      </c>
      <c r="R568" s="12">
        <v>100</v>
      </c>
      <c r="S568" s="12" t="s">
        <v>839</v>
      </c>
      <c r="T568" s="22">
        <f t="shared" si="42"/>
        <v>11</v>
      </c>
      <c r="U568" s="22">
        <f t="shared" si="43"/>
        <v>2020</v>
      </c>
      <c r="V568" s="22" t="str">
        <f t="shared" si="44"/>
        <v>METROPOLITANA</v>
      </c>
    </row>
    <row r="569" spans="1:22" x14ac:dyDescent="0.2">
      <c r="A569" s="11" t="s">
        <v>827</v>
      </c>
      <c r="B569" s="12" t="s">
        <v>33</v>
      </c>
      <c r="C569" s="12" t="s">
        <v>29</v>
      </c>
      <c r="D569" s="12" t="s">
        <v>61</v>
      </c>
      <c r="E569" s="13" t="s">
        <v>62</v>
      </c>
      <c r="F569" s="12" t="s">
        <v>132</v>
      </c>
      <c r="G569" s="14">
        <v>15509.3</v>
      </c>
      <c r="H569" s="12" t="s">
        <v>85</v>
      </c>
      <c r="I569" s="12">
        <v>1</v>
      </c>
      <c r="J569" s="12" t="s">
        <v>132</v>
      </c>
      <c r="K569" s="12" t="s">
        <v>124</v>
      </c>
      <c r="L569" s="12">
        <v>0</v>
      </c>
      <c r="M569" s="15">
        <v>350000</v>
      </c>
      <c r="N569" s="15">
        <v>0</v>
      </c>
      <c r="O569" s="15">
        <f t="shared" si="40"/>
        <v>350000</v>
      </c>
      <c r="P569" s="15">
        <f t="shared" si="41"/>
        <v>22.567104898351314</v>
      </c>
      <c r="Q569" s="14">
        <v>25000</v>
      </c>
      <c r="R569" s="12">
        <v>48</v>
      </c>
      <c r="S569" s="12" t="s">
        <v>840</v>
      </c>
      <c r="T569" s="22">
        <f t="shared" si="42"/>
        <v>11</v>
      </c>
      <c r="U569" s="22">
        <f t="shared" si="43"/>
        <v>2020</v>
      </c>
      <c r="V569" s="22" t="str">
        <f t="shared" si="44"/>
        <v>REGIONES</v>
      </c>
    </row>
    <row r="570" spans="1:22" x14ac:dyDescent="0.2">
      <c r="A570" s="11" t="s">
        <v>827</v>
      </c>
      <c r="B570" s="12" t="s">
        <v>33</v>
      </c>
      <c r="C570" s="12" t="s">
        <v>29</v>
      </c>
      <c r="D570" s="12" t="s">
        <v>130</v>
      </c>
      <c r="E570" s="13" t="s">
        <v>131</v>
      </c>
      <c r="F570" s="12" t="s">
        <v>132</v>
      </c>
      <c r="G570" s="14">
        <v>15953.600000000002</v>
      </c>
      <c r="H570" s="12" t="s">
        <v>85</v>
      </c>
      <c r="I570" s="12">
        <v>1</v>
      </c>
      <c r="J570" s="12" t="s">
        <v>132</v>
      </c>
      <c r="K570" s="12" t="s">
        <v>124</v>
      </c>
      <c r="L570" s="12">
        <v>0</v>
      </c>
      <c r="M570" s="15">
        <v>350000</v>
      </c>
      <c r="N570" s="15">
        <v>0</v>
      </c>
      <c r="O570" s="15">
        <f t="shared" si="40"/>
        <v>350000</v>
      </c>
      <c r="P570" s="15">
        <f t="shared" si="41"/>
        <v>21.938622003811048</v>
      </c>
      <c r="Q570" s="14">
        <v>25000</v>
      </c>
      <c r="R570" s="12">
        <v>42</v>
      </c>
      <c r="S570" s="12" t="s">
        <v>841</v>
      </c>
      <c r="T570" s="22">
        <f t="shared" si="42"/>
        <v>11</v>
      </c>
      <c r="U570" s="22">
        <f t="shared" si="43"/>
        <v>2020</v>
      </c>
      <c r="V570" s="22" t="str">
        <f t="shared" si="44"/>
        <v>REGIONES</v>
      </c>
    </row>
    <row r="571" spans="1:22" x14ac:dyDescent="0.2">
      <c r="A571" s="11" t="s">
        <v>827</v>
      </c>
      <c r="B571" s="12" t="s">
        <v>33</v>
      </c>
      <c r="C571" s="12" t="s">
        <v>29</v>
      </c>
      <c r="D571" s="12" t="s">
        <v>37</v>
      </c>
      <c r="E571" s="13" t="s">
        <v>40</v>
      </c>
      <c r="F571" s="12" t="s">
        <v>134</v>
      </c>
      <c r="G571" s="14">
        <v>8129.2000000000025</v>
      </c>
      <c r="H571" s="12" t="s">
        <v>22</v>
      </c>
      <c r="I571" s="12">
        <v>0</v>
      </c>
      <c r="J571" s="12" t="s">
        <v>134</v>
      </c>
      <c r="K571" s="12" t="s">
        <v>23</v>
      </c>
      <c r="L571" s="12">
        <v>2</v>
      </c>
      <c r="M571" s="15">
        <v>56904</v>
      </c>
      <c r="N571" s="15">
        <v>32517</v>
      </c>
      <c r="O571" s="15">
        <f t="shared" si="40"/>
        <v>89421</v>
      </c>
      <c r="P571" s="15">
        <f t="shared" si="41"/>
        <v>10.999975397333067</v>
      </c>
      <c r="Q571" s="14">
        <v>5782</v>
      </c>
      <c r="R571" s="12">
        <v>100</v>
      </c>
      <c r="S571" s="12" t="s">
        <v>842</v>
      </c>
      <c r="T571" s="22">
        <f t="shared" si="42"/>
        <v>11</v>
      </c>
      <c r="U571" s="22">
        <f t="shared" si="43"/>
        <v>2020</v>
      </c>
      <c r="V571" s="22" t="str">
        <f t="shared" si="44"/>
        <v>METROPOLITANA</v>
      </c>
    </row>
    <row r="572" spans="1:22" x14ac:dyDescent="0.2">
      <c r="A572" s="11" t="s">
        <v>827</v>
      </c>
      <c r="B572" s="12" t="s">
        <v>33</v>
      </c>
      <c r="C572" s="12" t="s">
        <v>44</v>
      </c>
      <c r="D572" s="12" t="s">
        <v>56</v>
      </c>
      <c r="E572" s="13" t="s">
        <v>88</v>
      </c>
      <c r="F572" s="12" t="s">
        <v>53</v>
      </c>
      <c r="G572" s="14">
        <v>1738.4</v>
      </c>
      <c r="H572" s="12" t="s">
        <v>22</v>
      </c>
      <c r="I572" s="12">
        <v>0</v>
      </c>
      <c r="J572" s="12" t="s">
        <v>53</v>
      </c>
      <c r="K572" s="12" t="s">
        <v>23</v>
      </c>
      <c r="L572" s="12">
        <v>3</v>
      </c>
      <c r="M572" s="15">
        <v>48075</v>
      </c>
      <c r="N572" s="15">
        <v>12000</v>
      </c>
      <c r="O572" s="15">
        <f t="shared" si="40"/>
        <v>60075</v>
      </c>
      <c r="P572" s="15">
        <f t="shared" si="41"/>
        <v>34.557639208467556</v>
      </c>
      <c r="Q572" s="14">
        <v>6868</v>
      </c>
      <c r="R572" s="12">
        <v>25</v>
      </c>
      <c r="S572" s="12" t="s">
        <v>843</v>
      </c>
      <c r="T572" s="22">
        <f t="shared" si="42"/>
        <v>11</v>
      </c>
      <c r="U572" s="22">
        <f t="shared" si="43"/>
        <v>2020</v>
      </c>
      <c r="V572" s="22" t="str">
        <f t="shared" si="44"/>
        <v>METROPOLITANA</v>
      </c>
    </row>
    <row r="573" spans="1:22" x14ac:dyDescent="0.2">
      <c r="A573" s="11" t="s">
        <v>827</v>
      </c>
      <c r="B573" s="12" t="s">
        <v>33</v>
      </c>
      <c r="C573" s="12" t="s">
        <v>44</v>
      </c>
      <c r="D573" s="12" t="s">
        <v>45</v>
      </c>
      <c r="E573" s="13" t="s">
        <v>21</v>
      </c>
      <c r="F573" s="12" t="s">
        <v>95</v>
      </c>
      <c r="G573" s="14">
        <v>3207</v>
      </c>
      <c r="H573" s="12" t="s">
        <v>22</v>
      </c>
      <c r="I573" s="12">
        <v>0</v>
      </c>
      <c r="J573" s="12" t="s">
        <v>95</v>
      </c>
      <c r="K573" s="12" t="s">
        <v>23</v>
      </c>
      <c r="L573" s="12">
        <v>4</v>
      </c>
      <c r="M573" s="15">
        <v>56075</v>
      </c>
      <c r="N573" s="15">
        <v>12828</v>
      </c>
      <c r="O573" s="15">
        <f t="shared" si="40"/>
        <v>68903</v>
      </c>
      <c r="P573" s="15">
        <f t="shared" si="41"/>
        <v>21.485188649828501</v>
      </c>
      <c r="Q573" s="14">
        <v>8011</v>
      </c>
      <c r="R573" s="12">
        <v>40</v>
      </c>
      <c r="S573" s="12" t="s">
        <v>844</v>
      </c>
      <c r="T573" s="22">
        <f t="shared" si="42"/>
        <v>11</v>
      </c>
      <c r="U573" s="22">
        <f t="shared" si="43"/>
        <v>2020</v>
      </c>
      <c r="V573" s="22" t="str">
        <f t="shared" si="44"/>
        <v>METROPOLITANA</v>
      </c>
    </row>
    <row r="574" spans="1:22" x14ac:dyDescent="0.2">
      <c r="A574" s="11" t="s">
        <v>827</v>
      </c>
      <c r="B574" s="12" t="s">
        <v>33</v>
      </c>
      <c r="C574" s="12" t="s">
        <v>44</v>
      </c>
      <c r="D574" s="12" t="s">
        <v>47</v>
      </c>
      <c r="E574" s="13" t="s">
        <v>88</v>
      </c>
      <c r="F574" s="12" t="s">
        <v>48</v>
      </c>
      <c r="G574" s="14">
        <v>4326.4999999999991</v>
      </c>
      <c r="H574" s="12" t="s">
        <v>22</v>
      </c>
      <c r="I574" s="12">
        <v>0</v>
      </c>
      <c r="J574" s="12" t="s">
        <v>48</v>
      </c>
      <c r="K574" s="12" t="s">
        <v>23</v>
      </c>
      <c r="L574" s="12">
        <v>1</v>
      </c>
      <c r="M574" s="15">
        <v>33750</v>
      </c>
      <c r="N574" s="15">
        <v>17306</v>
      </c>
      <c r="O574" s="15">
        <f t="shared" si="40"/>
        <v>51056</v>
      </c>
      <c r="P574" s="15">
        <f t="shared" si="41"/>
        <v>11.800762741245814</v>
      </c>
      <c r="Q574" s="14">
        <v>4821</v>
      </c>
      <c r="R574" s="12">
        <v>90</v>
      </c>
      <c r="S574" s="12" t="s">
        <v>845</v>
      </c>
      <c r="T574" s="22">
        <f t="shared" si="42"/>
        <v>11</v>
      </c>
      <c r="U574" s="22">
        <f t="shared" si="43"/>
        <v>2020</v>
      </c>
      <c r="V574" s="22" t="str">
        <f t="shared" si="44"/>
        <v>METROPOLITANA</v>
      </c>
    </row>
    <row r="575" spans="1:22" x14ac:dyDescent="0.2">
      <c r="A575" s="11" t="s">
        <v>827</v>
      </c>
      <c r="B575" s="12" t="s">
        <v>33</v>
      </c>
      <c r="C575" s="12" t="s">
        <v>44</v>
      </c>
      <c r="D575" s="12" t="s">
        <v>35</v>
      </c>
      <c r="E575" s="13" t="s">
        <v>52</v>
      </c>
      <c r="F575" s="12" t="s">
        <v>129</v>
      </c>
      <c r="G575" s="14">
        <v>2726.4</v>
      </c>
      <c r="H575" s="12" t="s">
        <v>22</v>
      </c>
      <c r="I575" s="12">
        <v>0</v>
      </c>
      <c r="J575" s="12" t="s">
        <v>129</v>
      </c>
      <c r="K575" s="12" t="s">
        <v>23</v>
      </c>
      <c r="L575" s="12">
        <v>1</v>
      </c>
      <c r="M575" s="15">
        <v>33750</v>
      </c>
      <c r="N575" s="15">
        <v>12000</v>
      </c>
      <c r="O575" s="15">
        <f t="shared" si="40"/>
        <v>45750</v>
      </c>
      <c r="P575" s="15">
        <f t="shared" si="41"/>
        <v>16.78036971830986</v>
      </c>
      <c r="Q575" s="14">
        <v>4821</v>
      </c>
      <c r="R575" s="12">
        <v>57</v>
      </c>
      <c r="S575" s="12" t="s">
        <v>846</v>
      </c>
      <c r="T575" s="22">
        <f t="shared" si="42"/>
        <v>11</v>
      </c>
      <c r="U575" s="22">
        <f t="shared" si="43"/>
        <v>2020</v>
      </c>
      <c r="V575" s="22" t="str">
        <f t="shared" si="44"/>
        <v>METROPOLITANA</v>
      </c>
    </row>
    <row r="576" spans="1:22" x14ac:dyDescent="0.2">
      <c r="A576" s="11" t="s">
        <v>827</v>
      </c>
      <c r="B576" s="12" t="s">
        <v>33</v>
      </c>
      <c r="C576" s="12" t="s">
        <v>44</v>
      </c>
      <c r="D576" s="12" t="s">
        <v>20</v>
      </c>
      <c r="E576" s="13" t="s">
        <v>21</v>
      </c>
      <c r="F576" s="12" t="s">
        <v>26</v>
      </c>
      <c r="G576" s="14">
        <v>3276</v>
      </c>
      <c r="H576" s="12" t="s">
        <v>22</v>
      </c>
      <c r="I576" s="12">
        <v>0</v>
      </c>
      <c r="J576" s="12" t="s">
        <v>26</v>
      </c>
      <c r="K576" s="12" t="s">
        <v>23</v>
      </c>
      <c r="L576" s="12">
        <v>4</v>
      </c>
      <c r="M576" s="15">
        <v>56075</v>
      </c>
      <c r="N576" s="15">
        <v>13104</v>
      </c>
      <c r="O576" s="15">
        <f t="shared" si="40"/>
        <v>69179</v>
      </c>
      <c r="P576" s="15">
        <f t="shared" si="41"/>
        <v>21.116910866910867</v>
      </c>
      <c r="Q576" s="14">
        <v>8011</v>
      </c>
      <c r="R576" s="12">
        <v>41</v>
      </c>
      <c r="S576" s="12" t="s">
        <v>847</v>
      </c>
      <c r="T576" s="22">
        <f t="shared" si="42"/>
        <v>11</v>
      </c>
      <c r="U576" s="22">
        <f t="shared" si="43"/>
        <v>2020</v>
      </c>
      <c r="V576" s="22" t="str">
        <f t="shared" si="44"/>
        <v>METROPOLITANA</v>
      </c>
    </row>
    <row r="577" spans="1:22" x14ac:dyDescent="0.2">
      <c r="A577" s="23" t="s">
        <v>848</v>
      </c>
      <c r="B577" s="22" t="s">
        <v>54</v>
      </c>
      <c r="C577" s="22" t="s">
        <v>55</v>
      </c>
      <c r="D577" s="22" t="s">
        <v>118</v>
      </c>
      <c r="E577" s="24" t="s">
        <v>119</v>
      </c>
      <c r="F577" s="22" t="s">
        <v>66</v>
      </c>
      <c r="G577" s="25">
        <v>22257</v>
      </c>
      <c r="H577" s="22" t="s">
        <v>85</v>
      </c>
      <c r="I577" s="22">
        <v>1</v>
      </c>
      <c r="J577" s="22" t="s">
        <v>66</v>
      </c>
      <c r="K577" s="22" t="s">
        <v>75</v>
      </c>
      <c r="L577" s="22">
        <v>0</v>
      </c>
      <c r="M577" s="26">
        <v>380000</v>
      </c>
      <c r="N577" s="26">
        <v>0</v>
      </c>
      <c r="O577" s="15">
        <f t="shared" si="40"/>
        <v>380000</v>
      </c>
      <c r="P577" s="15">
        <f t="shared" si="41"/>
        <v>17.073280316304984</v>
      </c>
      <c r="Q577" s="25">
        <v>25000</v>
      </c>
      <c r="R577" s="22">
        <v>89</v>
      </c>
      <c r="S577" s="22" t="s">
        <v>849</v>
      </c>
      <c r="T577" s="22">
        <f t="shared" si="42"/>
        <v>11</v>
      </c>
      <c r="U577" s="22">
        <f t="shared" si="43"/>
        <v>2020</v>
      </c>
      <c r="V577" s="22" t="str">
        <f t="shared" si="44"/>
        <v>REGIONES</v>
      </c>
    </row>
    <row r="578" spans="1:22" x14ac:dyDescent="0.2">
      <c r="A578" s="23" t="s">
        <v>848</v>
      </c>
      <c r="B578" s="22" t="s">
        <v>18</v>
      </c>
      <c r="C578" s="22" t="s">
        <v>60</v>
      </c>
      <c r="D578" s="22" t="s">
        <v>786</v>
      </c>
      <c r="E578" s="24" t="s">
        <v>787</v>
      </c>
      <c r="F578" s="22" t="s">
        <v>127</v>
      </c>
      <c r="G578" s="25">
        <v>5340.6</v>
      </c>
      <c r="H578" s="22" t="s">
        <v>788</v>
      </c>
      <c r="I578" s="22">
        <v>1</v>
      </c>
      <c r="J578" s="22" t="s">
        <v>127</v>
      </c>
      <c r="K578" s="22" t="s">
        <v>78</v>
      </c>
      <c r="L578" s="22">
        <v>0</v>
      </c>
      <c r="M578" s="26">
        <v>230000</v>
      </c>
      <c r="N578" s="26">
        <v>0</v>
      </c>
      <c r="O578" s="15">
        <f t="shared" ref="O578:O641" si="45">SUM(M578:N578)</f>
        <v>230000</v>
      </c>
      <c r="P578" s="15">
        <f t="shared" ref="P578:P641" si="46">O578/G578</f>
        <v>43.066322136089575</v>
      </c>
      <c r="Q578" s="25">
        <v>25000</v>
      </c>
      <c r="R578" s="22">
        <v>21</v>
      </c>
      <c r="S578" s="22" t="s">
        <v>850</v>
      </c>
      <c r="T578" s="22">
        <f t="shared" ref="T578:T641" si="47">MONTH(A578)</f>
        <v>11</v>
      </c>
      <c r="U578" s="22">
        <f t="shared" ref="U578:U641" si="48">YEAR(A578)</f>
        <v>2020</v>
      </c>
      <c r="V578" s="22" t="str">
        <f t="shared" ref="V578:V641" si="49">IF(K578="METROPOLITANA DE SANTIAGO","METROPOLITANA","REGIONES")</f>
        <v>REGIONES</v>
      </c>
    </row>
    <row r="579" spans="1:22" x14ac:dyDescent="0.2">
      <c r="A579" s="23" t="s">
        <v>848</v>
      </c>
      <c r="B579" s="22" t="s">
        <v>18</v>
      </c>
      <c r="C579" s="22" t="s">
        <v>57</v>
      </c>
      <c r="D579" s="22" t="s">
        <v>485</v>
      </c>
      <c r="E579" s="24" t="s">
        <v>526</v>
      </c>
      <c r="F579" s="22" t="s">
        <v>458</v>
      </c>
      <c r="G579" s="25">
        <v>7377.5</v>
      </c>
      <c r="H579" s="22" t="s">
        <v>24</v>
      </c>
      <c r="I579" s="22">
        <v>1</v>
      </c>
      <c r="J579" s="22" t="s">
        <v>458</v>
      </c>
      <c r="K579" s="22" t="s">
        <v>75</v>
      </c>
      <c r="L579" s="22">
        <v>0</v>
      </c>
      <c r="M579" s="26">
        <v>400000</v>
      </c>
      <c r="N579" s="26">
        <v>0</v>
      </c>
      <c r="O579" s="15">
        <f t="shared" si="45"/>
        <v>400000</v>
      </c>
      <c r="P579" s="15">
        <f t="shared" si="46"/>
        <v>54.218908844459506</v>
      </c>
      <c r="Q579" s="25">
        <v>25000</v>
      </c>
      <c r="R579" s="22">
        <v>30</v>
      </c>
      <c r="S579" s="22" t="s">
        <v>851</v>
      </c>
      <c r="T579" s="22">
        <f t="shared" si="47"/>
        <v>11</v>
      </c>
      <c r="U579" s="22">
        <f t="shared" si="48"/>
        <v>2020</v>
      </c>
      <c r="V579" s="22" t="str">
        <f t="shared" si="49"/>
        <v>REGIONES</v>
      </c>
    </row>
    <row r="580" spans="1:22" x14ac:dyDescent="0.2">
      <c r="A580" s="23" t="s">
        <v>848</v>
      </c>
      <c r="B580" s="22" t="s">
        <v>18</v>
      </c>
      <c r="C580" s="22" t="s">
        <v>500</v>
      </c>
      <c r="D580" s="22" t="s">
        <v>37</v>
      </c>
      <c r="E580" s="24" t="s">
        <v>40</v>
      </c>
      <c r="F580" s="22" t="s">
        <v>120</v>
      </c>
      <c r="G580" s="25">
        <v>9582.1599999999962</v>
      </c>
      <c r="H580" s="22" t="s">
        <v>22</v>
      </c>
      <c r="I580" s="22">
        <v>0</v>
      </c>
      <c r="J580" s="22" t="s">
        <v>120</v>
      </c>
      <c r="K580" s="22" t="s">
        <v>23</v>
      </c>
      <c r="L580" s="22">
        <v>5</v>
      </c>
      <c r="M580" s="26">
        <v>70000</v>
      </c>
      <c r="N580" s="26">
        <f>G580*4</f>
        <v>38328.639999999985</v>
      </c>
      <c r="O580" s="15">
        <f t="shared" si="45"/>
        <v>108328.63999999998</v>
      </c>
      <c r="P580" s="15">
        <f t="shared" si="46"/>
        <v>11.305242241832742</v>
      </c>
      <c r="Q580" s="25">
        <v>12000</v>
      </c>
      <c r="R580" s="22">
        <v>80</v>
      </c>
      <c r="S580" s="22" t="s">
        <v>852</v>
      </c>
      <c r="T580" s="22">
        <f t="shared" si="47"/>
        <v>11</v>
      </c>
      <c r="U580" s="22">
        <f t="shared" si="48"/>
        <v>2020</v>
      </c>
      <c r="V580" s="22" t="str">
        <f t="shared" si="49"/>
        <v>METROPOLITANA</v>
      </c>
    </row>
    <row r="581" spans="1:22" x14ac:dyDescent="0.2">
      <c r="A581" s="23" t="s">
        <v>848</v>
      </c>
      <c r="B581" s="22" t="s">
        <v>18</v>
      </c>
      <c r="C581" s="22" t="s">
        <v>163</v>
      </c>
      <c r="D581" s="22" t="s">
        <v>27</v>
      </c>
      <c r="E581" s="24" t="s">
        <v>28</v>
      </c>
      <c r="F581" s="22" t="s">
        <v>165</v>
      </c>
      <c r="G581" s="25">
        <v>17049.000000000011</v>
      </c>
      <c r="H581" s="22" t="s">
        <v>22</v>
      </c>
      <c r="I581" s="22">
        <v>1</v>
      </c>
      <c r="J581" s="22" t="s">
        <v>165</v>
      </c>
      <c r="K581" s="22" t="s">
        <v>23</v>
      </c>
      <c r="L581" s="22">
        <v>4</v>
      </c>
      <c r="M581" s="26">
        <v>119343</v>
      </c>
      <c r="N581" s="26">
        <f>G581*4</f>
        <v>68196.000000000044</v>
      </c>
      <c r="O581" s="15">
        <f t="shared" si="45"/>
        <v>187539.00000000006</v>
      </c>
      <c r="P581" s="15">
        <f t="shared" si="46"/>
        <v>10.999999999999996</v>
      </c>
      <c r="Q581" s="25">
        <v>8011</v>
      </c>
      <c r="R581" s="22">
        <v>100</v>
      </c>
      <c r="S581" s="22" t="s">
        <v>853</v>
      </c>
      <c r="T581" s="22">
        <f t="shared" si="47"/>
        <v>11</v>
      </c>
      <c r="U581" s="22">
        <f t="shared" si="48"/>
        <v>2020</v>
      </c>
      <c r="V581" s="22" t="str">
        <f t="shared" si="49"/>
        <v>METROPOLITANA</v>
      </c>
    </row>
    <row r="582" spans="1:22" x14ac:dyDescent="0.2">
      <c r="A582" s="23" t="s">
        <v>848</v>
      </c>
      <c r="B582" s="22" t="s">
        <v>33</v>
      </c>
      <c r="C582" s="22" t="s">
        <v>187</v>
      </c>
      <c r="D582" s="22" t="s">
        <v>45</v>
      </c>
      <c r="E582" s="24" t="s">
        <v>88</v>
      </c>
      <c r="F582" s="22" t="s">
        <v>129</v>
      </c>
      <c r="G582" s="25">
        <v>2349.5</v>
      </c>
      <c r="H582" s="22" t="s">
        <v>22</v>
      </c>
      <c r="I582" s="22">
        <v>0</v>
      </c>
      <c r="J582" s="22" t="s">
        <v>129</v>
      </c>
      <c r="K582" s="22" t="s">
        <v>23</v>
      </c>
      <c r="L582" s="22">
        <v>1</v>
      </c>
      <c r="M582" s="26">
        <v>33750</v>
      </c>
      <c r="N582" s="26">
        <f>G582*4</f>
        <v>9398</v>
      </c>
      <c r="O582" s="15">
        <f t="shared" si="45"/>
        <v>43148</v>
      </c>
      <c r="P582" s="15">
        <f t="shared" si="46"/>
        <v>18.364758459246648</v>
      </c>
      <c r="Q582" s="25">
        <v>4821</v>
      </c>
      <c r="R582" s="22">
        <v>49</v>
      </c>
      <c r="S582" s="22" t="s">
        <v>854</v>
      </c>
      <c r="T582" s="22">
        <f t="shared" si="47"/>
        <v>11</v>
      </c>
      <c r="U582" s="22">
        <f t="shared" si="48"/>
        <v>2020</v>
      </c>
      <c r="V582" s="22" t="str">
        <f t="shared" si="49"/>
        <v>METROPOLITANA</v>
      </c>
    </row>
    <row r="583" spans="1:22" x14ac:dyDescent="0.2">
      <c r="A583" s="23" t="s">
        <v>848</v>
      </c>
      <c r="B583" s="22" t="s">
        <v>33</v>
      </c>
      <c r="C583" s="22" t="s">
        <v>36</v>
      </c>
      <c r="D583" s="22" t="s">
        <v>56</v>
      </c>
      <c r="E583" s="24" t="s">
        <v>49</v>
      </c>
      <c r="F583" s="22" t="s">
        <v>855</v>
      </c>
      <c r="G583" s="25">
        <v>4625.5</v>
      </c>
      <c r="H583" s="22" t="s">
        <v>22</v>
      </c>
      <c r="I583" s="22">
        <v>0</v>
      </c>
      <c r="J583" s="22" t="s">
        <v>855</v>
      </c>
      <c r="K583" s="22" t="s">
        <v>78</v>
      </c>
      <c r="L583" s="22">
        <v>0</v>
      </c>
      <c r="M583" s="26">
        <v>180000</v>
      </c>
      <c r="N583" s="26">
        <f>G583*4</f>
        <v>18502</v>
      </c>
      <c r="O583" s="15">
        <f t="shared" si="45"/>
        <v>198502</v>
      </c>
      <c r="P583" s="15">
        <f t="shared" si="46"/>
        <v>42.914711923035348</v>
      </c>
      <c r="Q583" s="25">
        <v>25000</v>
      </c>
      <c r="R583" s="22">
        <v>19</v>
      </c>
      <c r="S583" s="22" t="s">
        <v>856</v>
      </c>
      <c r="T583" s="22">
        <f t="shared" si="47"/>
        <v>11</v>
      </c>
      <c r="U583" s="22">
        <f t="shared" si="48"/>
        <v>2020</v>
      </c>
      <c r="V583" s="22" t="str">
        <f t="shared" si="49"/>
        <v>REGIONES</v>
      </c>
    </row>
    <row r="584" spans="1:22" x14ac:dyDescent="0.2">
      <c r="A584" s="23" t="s">
        <v>848</v>
      </c>
      <c r="B584" s="22" t="s">
        <v>33</v>
      </c>
      <c r="C584" s="22" t="s">
        <v>36</v>
      </c>
      <c r="D584" s="22" t="s">
        <v>38</v>
      </c>
      <c r="E584" s="24" t="s">
        <v>25</v>
      </c>
      <c r="F584" s="22" t="s">
        <v>170</v>
      </c>
      <c r="G584" s="25">
        <v>6381.5000000000009</v>
      </c>
      <c r="H584" s="22" t="s">
        <v>43</v>
      </c>
      <c r="I584" s="22">
        <v>0</v>
      </c>
      <c r="J584" s="22" t="s">
        <v>170</v>
      </c>
      <c r="K584" s="22" t="s">
        <v>171</v>
      </c>
      <c r="L584" s="22">
        <v>0</v>
      </c>
      <c r="M584" s="26">
        <v>180000</v>
      </c>
      <c r="N584" s="26">
        <f>G584*3</f>
        <v>19144.500000000004</v>
      </c>
      <c r="O584" s="15">
        <f t="shared" si="45"/>
        <v>199144.5</v>
      </c>
      <c r="P584" s="15">
        <f t="shared" si="46"/>
        <v>31.206534513829034</v>
      </c>
      <c r="Q584" s="25">
        <v>25000</v>
      </c>
      <c r="R584" s="22">
        <v>26</v>
      </c>
      <c r="S584" s="22" t="s">
        <v>857</v>
      </c>
      <c r="T584" s="22">
        <f t="shared" si="47"/>
        <v>11</v>
      </c>
      <c r="U584" s="22">
        <f t="shared" si="48"/>
        <v>2020</v>
      </c>
      <c r="V584" s="22" t="str">
        <f t="shared" si="49"/>
        <v>REGIONES</v>
      </c>
    </row>
    <row r="585" spans="1:22" x14ac:dyDescent="0.2">
      <c r="A585" s="23" t="s">
        <v>848</v>
      </c>
      <c r="B585" s="22" t="s">
        <v>33</v>
      </c>
      <c r="C585" s="22" t="s">
        <v>36</v>
      </c>
      <c r="D585" s="22" t="s">
        <v>45</v>
      </c>
      <c r="E585" s="24" t="s">
        <v>52</v>
      </c>
      <c r="F585" s="22" t="s">
        <v>376</v>
      </c>
      <c r="G585" s="25">
        <v>5243.7999999999984</v>
      </c>
      <c r="H585" s="22" t="s">
        <v>22</v>
      </c>
      <c r="I585" s="22">
        <v>0</v>
      </c>
      <c r="J585" s="22" t="s">
        <v>377</v>
      </c>
      <c r="K585" s="22" t="s">
        <v>23</v>
      </c>
      <c r="L585" s="22">
        <v>4</v>
      </c>
      <c r="M585" s="26">
        <v>56075</v>
      </c>
      <c r="N585" s="26">
        <f>G585*4</f>
        <v>20975.199999999993</v>
      </c>
      <c r="O585" s="15">
        <f t="shared" si="45"/>
        <v>77050.2</v>
      </c>
      <c r="P585" s="15">
        <f t="shared" si="46"/>
        <v>14.693580990884477</v>
      </c>
      <c r="Q585" s="25">
        <v>8011</v>
      </c>
      <c r="R585" s="22">
        <v>65</v>
      </c>
      <c r="S585" s="22" t="s">
        <v>858</v>
      </c>
      <c r="T585" s="22">
        <f t="shared" si="47"/>
        <v>11</v>
      </c>
      <c r="U585" s="22">
        <f t="shared" si="48"/>
        <v>2020</v>
      </c>
      <c r="V585" s="22" t="str">
        <f t="shared" si="49"/>
        <v>METROPOLITANA</v>
      </c>
    </row>
    <row r="586" spans="1:22" x14ac:dyDescent="0.2">
      <c r="A586" s="23" t="s">
        <v>848</v>
      </c>
      <c r="B586" s="22" t="s">
        <v>33</v>
      </c>
      <c r="C586" s="22" t="s">
        <v>36</v>
      </c>
      <c r="D586" s="22" t="s">
        <v>164</v>
      </c>
      <c r="E586" s="24" t="s">
        <v>544</v>
      </c>
      <c r="F586" s="22" t="s">
        <v>308</v>
      </c>
      <c r="G586" s="25">
        <v>11556.2</v>
      </c>
      <c r="H586" s="22" t="s">
        <v>22</v>
      </c>
      <c r="I586" s="22">
        <v>1</v>
      </c>
      <c r="J586" s="22" t="s">
        <v>308</v>
      </c>
      <c r="K586" s="22" t="s">
        <v>78</v>
      </c>
      <c r="L586" s="22">
        <v>0</v>
      </c>
      <c r="M586" s="26">
        <v>230000</v>
      </c>
      <c r="N586" s="26">
        <f>G586*4</f>
        <v>46224.800000000003</v>
      </c>
      <c r="O586" s="15">
        <f t="shared" si="45"/>
        <v>276224.8</v>
      </c>
      <c r="P586" s="15">
        <f t="shared" si="46"/>
        <v>23.902736193558432</v>
      </c>
      <c r="Q586" s="25">
        <v>25000</v>
      </c>
      <c r="R586" s="22">
        <v>23</v>
      </c>
      <c r="S586" s="22" t="s">
        <v>859</v>
      </c>
      <c r="T586" s="22">
        <f t="shared" si="47"/>
        <v>11</v>
      </c>
      <c r="U586" s="22">
        <f t="shared" si="48"/>
        <v>2020</v>
      </c>
      <c r="V586" s="22" t="str">
        <f t="shared" si="49"/>
        <v>REGIONES</v>
      </c>
    </row>
    <row r="587" spans="1:22" x14ac:dyDescent="0.2">
      <c r="A587" s="23" t="s">
        <v>848</v>
      </c>
      <c r="B587" s="22" t="s">
        <v>33</v>
      </c>
      <c r="C587" s="22" t="s">
        <v>29</v>
      </c>
      <c r="D587" s="22" t="s">
        <v>76</v>
      </c>
      <c r="E587" s="24" t="s">
        <v>77</v>
      </c>
      <c r="F587" s="22" t="s">
        <v>132</v>
      </c>
      <c r="G587" s="25">
        <v>8353.5000000000036</v>
      </c>
      <c r="H587" s="22" t="s">
        <v>24</v>
      </c>
      <c r="I587" s="22">
        <v>1</v>
      </c>
      <c r="J587" s="22" t="s">
        <v>132</v>
      </c>
      <c r="K587" s="22" t="s">
        <v>124</v>
      </c>
      <c r="L587" s="22">
        <v>0</v>
      </c>
      <c r="M587" s="26">
        <v>350000</v>
      </c>
      <c r="N587" s="26">
        <v>0</v>
      </c>
      <c r="O587" s="15">
        <f t="shared" si="45"/>
        <v>350000</v>
      </c>
      <c r="P587" s="15">
        <f t="shared" si="46"/>
        <v>41.898605374992499</v>
      </c>
      <c r="Q587" s="25">
        <v>25000</v>
      </c>
      <c r="R587" s="22">
        <v>33</v>
      </c>
      <c r="S587" s="22" t="s">
        <v>860</v>
      </c>
      <c r="T587" s="22">
        <f t="shared" si="47"/>
        <v>11</v>
      </c>
      <c r="U587" s="22">
        <f t="shared" si="48"/>
        <v>2020</v>
      </c>
      <c r="V587" s="22" t="str">
        <f t="shared" si="49"/>
        <v>REGIONES</v>
      </c>
    </row>
    <row r="588" spans="1:22" x14ac:dyDescent="0.2">
      <c r="A588" s="23" t="s">
        <v>848</v>
      </c>
      <c r="B588" s="22" t="s">
        <v>33</v>
      </c>
      <c r="C588" s="22" t="s">
        <v>44</v>
      </c>
      <c r="D588" s="22" t="s">
        <v>30</v>
      </c>
      <c r="E588" s="24" t="s">
        <v>31</v>
      </c>
      <c r="F588" s="22" t="s">
        <v>94</v>
      </c>
      <c r="G588" s="25">
        <v>8491.5999999999985</v>
      </c>
      <c r="H588" s="22" t="s">
        <v>32</v>
      </c>
      <c r="I588" s="22">
        <v>0</v>
      </c>
      <c r="J588" s="22" t="s">
        <v>59</v>
      </c>
      <c r="K588" s="22" t="s">
        <v>78</v>
      </c>
      <c r="L588" s="22">
        <v>0</v>
      </c>
      <c r="M588" s="26">
        <v>180000</v>
      </c>
      <c r="N588" s="26">
        <f>G588*3</f>
        <v>25474.799999999996</v>
      </c>
      <c r="O588" s="15">
        <f t="shared" si="45"/>
        <v>205474.8</v>
      </c>
      <c r="P588" s="15">
        <f t="shared" si="46"/>
        <v>24.197418625465168</v>
      </c>
      <c r="Q588" s="25">
        <v>25000</v>
      </c>
      <c r="R588" s="22">
        <v>34</v>
      </c>
      <c r="S588" s="22" t="s">
        <v>861</v>
      </c>
      <c r="T588" s="22">
        <f t="shared" si="47"/>
        <v>11</v>
      </c>
      <c r="U588" s="22">
        <f t="shared" si="48"/>
        <v>2020</v>
      </c>
      <c r="V588" s="22" t="str">
        <f t="shared" si="49"/>
        <v>REGIONES</v>
      </c>
    </row>
    <row r="589" spans="1:22" x14ac:dyDescent="0.2">
      <c r="A589" s="23" t="s">
        <v>848</v>
      </c>
      <c r="B589" s="22" t="s">
        <v>33</v>
      </c>
      <c r="C589" s="22" t="s">
        <v>44</v>
      </c>
      <c r="D589" s="22" t="s">
        <v>47</v>
      </c>
      <c r="E589" s="24" t="s">
        <v>88</v>
      </c>
      <c r="F589" s="22" t="s">
        <v>48</v>
      </c>
      <c r="G589" s="25">
        <v>8512.6999999999989</v>
      </c>
      <c r="H589" s="22" t="s">
        <v>22</v>
      </c>
      <c r="I589" s="22">
        <v>0</v>
      </c>
      <c r="J589" s="22" t="s">
        <v>48</v>
      </c>
      <c r="K589" s="22" t="s">
        <v>23</v>
      </c>
      <c r="L589" s="22">
        <v>1</v>
      </c>
      <c r="M589" s="26">
        <v>59589</v>
      </c>
      <c r="N589" s="26">
        <v>34051</v>
      </c>
      <c r="O589" s="15">
        <f t="shared" si="45"/>
        <v>93640</v>
      </c>
      <c r="P589" s="15">
        <f t="shared" si="46"/>
        <v>11.000035241462758</v>
      </c>
      <c r="Q589" s="25">
        <v>4821</v>
      </c>
      <c r="R589" s="22">
        <v>100</v>
      </c>
      <c r="S589" s="22" t="s">
        <v>862</v>
      </c>
      <c r="T589" s="22">
        <f t="shared" si="47"/>
        <v>11</v>
      </c>
      <c r="U589" s="22">
        <f t="shared" si="48"/>
        <v>2020</v>
      </c>
      <c r="V589" s="22" t="str">
        <f t="shared" si="49"/>
        <v>METROPOLITANA</v>
      </c>
    </row>
    <row r="590" spans="1:22" x14ac:dyDescent="0.2">
      <c r="A590" s="23" t="s">
        <v>848</v>
      </c>
      <c r="B590" s="22" t="s">
        <v>33</v>
      </c>
      <c r="C590" s="22" t="s">
        <v>44</v>
      </c>
      <c r="D590" s="22" t="s">
        <v>35</v>
      </c>
      <c r="E590" s="24" t="s">
        <v>49</v>
      </c>
      <c r="F590" s="22" t="s">
        <v>225</v>
      </c>
      <c r="G590" s="25">
        <v>4264</v>
      </c>
      <c r="H590" s="22" t="s">
        <v>22</v>
      </c>
      <c r="I590" s="22">
        <v>0</v>
      </c>
      <c r="J590" s="22" t="s">
        <v>225</v>
      </c>
      <c r="K590" s="22" t="s">
        <v>23</v>
      </c>
      <c r="L590" s="22">
        <v>3</v>
      </c>
      <c r="M590" s="26">
        <v>48075</v>
      </c>
      <c r="N590" s="26">
        <v>17056</v>
      </c>
      <c r="O590" s="15">
        <f t="shared" si="45"/>
        <v>65131</v>
      </c>
      <c r="P590" s="15">
        <f t="shared" si="46"/>
        <v>15.274624765478425</v>
      </c>
      <c r="Q590" s="25">
        <v>6868</v>
      </c>
      <c r="R590" s="22">
        <v>62</v>
      </c>
      <c r="S590" s="22" t="s">
        <v>863</v>
      </c>
      <c r="T590" s="22">
        <f t="shared" si="47"/>
        <v>11</v>
      </c>
      <c r="U590" s="22">
        <f t="shared" si="48"/>
        <v>2020</v>
      </c>
      <c r="V590" s="22" t="str">
        <f t="shared" si="49"/>
        <v>METROPOLITANA</v>
      </c>
    </row>
    <row r="591" spans="1:22" x14ac:dyDescent="0.2">
      <c r="A591" s="23" t="s">
        <v>848</v>
      </c>
      <c r="B591" s="22" t="s">
        <v>33</v>
      </c>
      <c r="C591" s="22" t="s">
        <v>44</v>
      </c>
      <c r="D591" s="22" t="s">
        <v>41</v>
      </c>
      <c r="E591" s="24" t="s">
        <v>42</v>
      </c>
      <c r="F591" s="22" t="s">
        <v>67</v>
      </c>
      <c r="G591" s="25">
        <v>7456.4</v>
      </c>
      <c r="H591" s="22" t="s">
        <v>43</v>
      </c>
      <c r="I591" s="22">
        <v>0</v>
      </c>
      <c r="J591" s="22" t="s">
        <v>67</v>
      </c>
      <c r="K591" s="22" t="s">
        <v>23</v>
      </c>
      <c r="L591" s="22">
        <v>2</v>
      </c>
      <c r="M591" s="26">
        <v>52195</v>
      </c>
      <c r="N591" s="26">
        <v>22369</v>
      </c>
      <c r="O591" s="15">
        <f t="shared" si="45"/>
        <v>74564</v>
      </c>
      <c r="P591" s="15">
        <f t="shared" si="46"/>
        <v>10</v>
      </c>
      <c r="Q591" s="25">
        <v>5782</v>
      </c>
      <c r="R591" s="22">
        <v>100</v>
      </c>
      <c r="S591" s="22" t="s">
        <v>864</v>
      </c>
      <c r="T591" s="22">
        <f t="shared" si="47"/>
        <v>11</v>
      </c>
      <c r="U591" s="22">
        <f t="shared" si="48"/>
        <v>2020</v>
      </c>
      <c r="V591" s="22" t="str">
        <f t="shared" si="49"/>
        <v>METROPOLITANA</v>
      </c>
    </row>
    <row r="592" spans="1:22" x14ac:dyDescent="0.2">
      <c r="A592" s="23" t="s">
        <v>848</v>
      </c>
      <c r="B592" s="22" t="s">
        <v>33</v>
      </c>
      <c r="C592" s="22" t="s">
        <v>44</v>
      </c>
      <c r="D592" s="22" t="s">
        <v>20</v>
      </c>
      <c r="E592" s="24" t="s">
        <v>21</v>
      </c>
      <c r="F592" s="22" t="s">
        <v>46</v>
      </c>
      <c r="G592" s="25">
        <v>3191.599999999999</v>
      </c>
      <c r="H592" s="22" t="s">
        <v>22</v>
      </c>
      <c r="I592" s="22">
        <v>0</v>
      </c>
      <c r="J592" s="22" t="s">
        <v>46</v>
      </c>
      <c r="K592" s="22" t="s">
        <v>23</v>
      </c>
      <c r="L592" s="22">
        <v>2</v>
      </c>
      <c r="M592" s="26">
        <v>40475</v>
      </c>
      <c r="N592" s="26">
        <v>12766</v>
      </c>
      <c r="O592" s="15">
        <f t="shared" si="45"/>
        <v>53241</v>
      </c>
      <c r="P592" s="15">
        <f t="shared" si="46"/>
        <v>16.68160170447425</v>
      </c>
      <c r="Q592" s="25">
        <v>5782</v>
      </c>
      <c r="R592" s="22">
        <v>55</v>
      </c>
      <c r="S592" s="22" t="s">
        <v>865</v>
      </c>
      <c r="T592" s="22">
        <f t="shared" si="47"/>
        <v>11</v>
      </c>
      <c r="U592" s="22">
        <f t="shared" si="48"/>
        <v>2020</v>
      </c>
      <c r="V592" s="22" t="str">
        <f t="shared" si="49"/>
        <v>METROPOLITANA</v>
      </c>
    </row>
    <row r="593" spans="1:22" x14ac:dyDescent="0.2">
      <c r="A593" s="11" t="s">
        <v>866</v>
      </c>
      <c r="B593" s="12" t="s">
        <v>54</v>
      </c>
      <c r="C593" s="12" t="s">
        <v>55</v>
      </c>
      <c r="D593" s="12" t="s">
        <v>867</v>
      </c>
      <c r="E593" s="13" t="s">
        <v>868</v>
      </c>
      <c r="F593" s="12" t="s">
        <v>66</v>
      </c>
      <c r="G593" s="14">
        <v>15257.6</v>
      </c>
      <c r="H593" s="12" t="s">
        <v>85</v>
      </c>
      <c r="I593" s="12">
        <v>1</v>
      </c>
      <c r="J593" s="12" t="s">
        <v>66</v>
      </c>
      <c r="K593" s="12" t="s">
        <v>75</v>
      </c>
      <c r="L593" s="12">
        <v>0</v>
      </c>
      <c r="M593" s="15">
        <v>380000</v>
      </c>
      <c r="N593" s="15">
        <v>0</v>
      </c>
      <c r="O593" s="15">
        <f t="shared" si="45"/>
        <v>380000</v>
      </c>
      <c r="P593" s="15">
        <f t="shared" si="46"/>
        <v>24.905620805369129</v>
      </c>
      <c r="Q593" s="14">
        <v>25000</v>
      </c>
      <c r="R593" s="12">
        <v>61</v>
      </c>
      <c r="S593" s="12" t="s">
        <v>869</v>
      </c>
      <c r="T593" s="22">
        <f t="shared" si="47"/>
        <v>11</v>
      </c>
      <c r="U593" s="22">
        <f t="shared" si="48"/>
        <v>2020</v>
      </c>
      <c r="V593" s="22" t="str">
        <f t="shared" si="49"/>
        <v>REGIONES</v>
      </c>
    </row>
    <row r="594" spans="1:22" x14ac:dyDescent="0.2">
      <c r="A594" s="11" t="s">
        <v>866</v>
      </c>
      <c r="B594" s="12" t="s">
        <v>18</v>
      </c>
      <c r="C594" s="12" t="s">
        <v>60</v>
      </c>
      <c r="D594" s="12" t="s">
        <v>786</v>
      </c>
      <c r="E594" s="13" t="s">
        <v>787</v>
      </c>
      <c r="F594" s="12" t="s">
        <v>127</v>
      </c>
      <c r="G594" s="14">
        <v>3560.4</v>
      </c>
      <c r="H594" s="12" t="s">
        <v>788</v>
      </c>
      <c r="I594" s="12">
        <v>1</v>
      </c>
      <c r="J594" s="12" t="s">
        <v>127</v>
      </c>
      <c r="K594" s="12" t="s">
        <v>78</v>
      </c>
      <c r="L594" s="12">
        <v>0</v>
      </c>
      <c r="M594" s="15">
        <v>230000</v>
      </c>
      <c r="N594" s="15">
        <v>0</v>
      </c>
      <c r="O594" s="15">
        <f t="shared" si="45"/>
        <v>230000</v>
      </c>
      <c r="P594" s="15">
        <f t="shared" si="46"/>
        <v>64.599483204134359</v>
      </c>
      <c r="Q594" s="14">
        <v>25000</v>
      </c>
      <c r="R594" s="12">
        <v>14</v>
      </c>
      <c r="S594" s="12" t="s">
        <v>870</v>
      </c>
      <c r="T594" s="22">
        <f t="shared" si="47"/>
        <v>11</v>
      </c>
      <c r="U594" s="22">
        <f t="shared" si="48"/>
        <v>2020</v>
      </c>
      <c r="V594" s="22" t="str">
        <f t="shared" si="49"/>
        <v>REGIONES</v>
      </c>
    </row>
    <row r="595" spans="1:22" x14ac:dyDescent="0.2">
      <c r="A595" s="11" t="s">
        <v>866</v>
      </c>
      <c r="B595" s="12" t="s">
        <v>18</v>
      </c>
      <c r="C595" s="12" t="s">
        <v>71</v>
      </c>
      <c r="D595" s="12" t="s">
        <v>27</v>
      </c>
      <c r="E595" s="13" t="s">
        <v>28</v>
      </c>
      <c r="F595" s="12" t="s">
        <v>72</v>
      </c>
      <c r="G595" s="14">
        <v>7948.3200000000024</v>
      </c>
      <c r="H595" s="12" t="s">
        <v>22</v>
      </c>
      <c r="I595" s="12">
        <v>1</v>
      </c>
      <c r="J595" s="12" t="s">
        <v>72</v>
      </c>
      <c r="K595" s="12" t="s">
        <v>23</v>
      </c>
      <c r="L595" s="12">
        <v>5</v>
      </c>
      <c r="M595" s="15">
        <v>120000</v>
      </c>
      <c r="N595" s="15">
        <f>G595*4</f>
        <v>31793.28000000001</v>
      </c>
      <c r="O595" s="15">
        <f t="shared" si="45"/>
        <v>151793.28</v>
      </c>
      <c r="P595" s="15">
        <f t="shared" si="46"/>
        <v>19.097530044084781</v>
      </c>
      <c r="Q595" s="14">
        <v>12000</v>
      </c>
      <c r="R595" s="12">
        <v>66</v>
      </c>
      <c r="S595" s="12" t="s">
        <v>871</v>
      </c>
      <c r="T595" s="22">
        <f t="shared" si="47"/>
        <v>11</v>
      </c>
      <c r="U595" s="22">
        <f t="shared" si="48"/>
        <v>2020</v>
      </c>
      <c r="V595" s="22" t="str">
        <f t="shared" si="49"/>
        <v>METROPOLITANA</v>
      </c>
    </row>
    <row r="596" spans="1:22" x14ac:dyDescent="0.2">
      <c r="A596" s="11" t="s">
        <v>866</v>
      </c>
      <c r="B596" s="12" t="s">
        <v>18</v>
      </c>
      <c r="C596" s="12" t="s">
        <v>872</v>
      </c>
      <c r="D596" s="12" t="s">
        <v>82</v>
      </c>
      <c r="E596" s="13" t="s">
        <v>83</v>
      </c>
      <c r="F596" s="12" t="s">
        <v>691</v>
      </c>
      <c r="G596" s="14">
        <v>18183.87000000001</v>
      </c>
      <c r="H596" s="12" t="s">
        <v>85</v>
      </c>
      <c r="I596" s="12">
        <v>1</v>
      </c>
      <c r="J596" s="12" t="s">
        <v>691</v>
      </c>
      <c r="K596" s="12" t="s">
        <v>873</v>
      </c>
      <c r="L596" s="12">
        <v>0</v>
      </c>
      <c r="M596" s="15">
        <v>1020000</v>
      </c>
      <c r="N596" s="15">
        <v>0</v>
      </c>
      <c r="O596" s="15">
        <f t="shared" si="45"/>
        <v>1020000</v>
      </c>
      <c r="P596" s="15">
        <f t="shared" si="46"/>
        <v>56.093669829359726</v>
      </c>
      <c r="Q596" s="14">
        <v>25000</v>
      </c>
      <c r="R596" s="12">
        <v>73</v>
      </c>
      <c r="S596" s="12" t="s">
        <v>874</v>
      </c>
      <c r="T596" s="22">
        <f t="shared" si="47"/>
        <v>11</v>
      </c>
      <c r="U596" s="22">
        <f t="shared" si="48"/>
        <v>2020</v>
      </c>
      <c r="V596" s="22" t="str">
        <f t="shared" si="49"/>
        <v>REGIONES</v>
      </c>
    </row>
    <row r="597" spans="1:22" x14ac:dyDescent="0.2">
      <c r="A597" s="11" t="s">
        <v>866</v>
      </c>
      <c r="B597" s="12" t="s">
        <v>18</v>
      </c>
      <c r="C597" s="12" t="s">
        <v>500</v>
      </c>
      <c r="D597" s="12" t="s">
        <v>20</v>
      </c>
      <c r="E597" s="13" t="s">
        <v>21</v>
      </c>
      <c r="F597" s="12" t="s">
        <v>120</v>
      </c>
      <c r="G597" s="14">
        <v>2587.16</v>
      </c>
      <c r="H597" s="12" t="s">
        <v>22</v>
      </c>
      <c r="I597" s="12">
        <v>0</v>
      </c>
      <c r="J597" s="12" t="s">
        <v>120</v>
      </c>
      <c r="K597" s="12" t="s">
        <v>23</v>
      </c>
      <c r="L597" s="12">
        <v>5</v>
      </c>
      <c r="M597" s="15">
        <v>70000</v>
      </c>
      <c r="N597" s="15">
        <f>G597*4</f>
        <v>10348.64</v>
      </c>
      <c r="O597" s="15">
        <f t="shared" si="45"/>
        <v>80348.639999999999</v>
      </c>
      <c r="P597" s="15">
        <f t="shared" si="46"/>
        <v>31.056695372532044</v>
      </c>
      <c r="Q597" s="14">
        <v>12000</v>
      </c>
      <c r="R597" s="12">
        <v>22</v>
      </c>
      <c r="S597" s="12" t="s">
        <v>875</v>
      </c>
      <c r="T597" s="22">
        <f t="shared" si="47"/>
        <v>11</v>
      </c>
      <c r="U597" s="22">
        <f t="shared" si="48"/>
        <v>2020</v>
      </c>
      <c r="V597" s="22" t="str">
        <f t="shared" si="49"/>
        <v>METROPOLITANA</v>
      </c>
    </row>
    <row r="598" spans="1:22" x14ac:dyDescent="0.2">
      <c r="A598" s="11" t="s">
        <v>866</v>
      </c>
      <c r="B598" s="12" t="s">
        <v>33</v>
      </c>
      <c r="C598" s="12" t="s">
        <v>60</v>
      </c>
      <c r="D598" s="12" t="s">
        <v>38</v>
      </c>
      <c r="E598" s="13" t="s">
        <v>42</v>
      </c>
      <c r="F598" s="12" t="s">
        <v>876</v>
      </c>
      <c r="G598" s="14">
        <v>7503.9999999999973</v>
      </c>
      <c r="H598" s="12" t="s">
        <v>43</v>
      </c>
      <c r="I598" s="12">
        <v>0</v>
      </c>
      <c r="J598" s="12" t="s">
        <v>876</v>
      </c>
      <c r="K598" s="12" t="s">
        <v>86</v>
      </c>
      <c r="L598" s="12">
        <v>0</v>
      </c>
      <c r="M598" s="15">
        <v>230000</v>
      </c>
      <c r="N598" s="15">
        <f>G598*3</f>
        <v>22511.999999999993</v>
      </c>
      <c r="O598" s="15">
        <f t="shared" si="45"/>
        <v>252512</v>
      </c>
      <c r="P598" s="15">
        <f t="shared" si="46"/>
        <v>33.650319829424319</v>
      </c>
      <c r="Q598" s="14">
        <v>25000</v>
      </c>
      <c r="R598" s="12">
        <v>30</v>
      </c>
      <c r="S598" s="12" t="s">
        <v>877</v>
      </c>
      <c r="T598" s="22">
        <f t="shared" si="47"/>
        <v>11</v>
      </c>
      <c r="U598" s="22">
        <f t="shared" si="48"/>
        <v>2020</v>
      </c>
      <c r="V598" s="22" t="str">
        <f t="shared" si="49"/>
        <v>REGIONES</v>
      </c>
    </row>
    <row r="599" spans="1:22" x14ac:dyDescent="0.2">
      <c r="A599" s="11" t="s">
        <v>866</v>
      </c>
      <c r="B599" s="12" t="s">
        <v>33</v>
      </c>
      <c r="C599" s="12" t="s">
        <v>60</v>
      </c>
      <c r="D599" s="12" t="s">
        <v>37</v>
      </c>
      <c r="E599" s="13" t="s">
        <v>40</v>
      </c>
      <c r="F599" s="12" t="s">
        <v>876</v>
      </c>
      <c r="G599" s="14">
        <v>7503.9999999999973</v>
      </c>
      <c r="H599" s="12" t="s">
        <v>22</v>
      </c>
      <c r="I599" s="12">
        <v>0</v>
      </c>
      <c r="J599" s="12" t="s">
        <v>876</v>
      </c>
      <c r="K599" s="12" t="s">
        <v>86</v>
      </c>
      <c r="L599" s="12">
        <v>0</v>
      </c>
      <c r="M599" s="15">
        <v>230000</v>
      </c>
      <c r="N599" s="15">
        <f>G599*4</f>
        <v>30015.999999999989</v>
      </c>
      <c r="O599" s="15">
        <f t="shared" si="45"/>
        <v>260016</v>
      </c>
      <c r="P599" s="15">
        <f t="shared" si="46"/>
        <v>34.650319829424319</v>
      </c>
      <c r="Q599" s="14">
        <v>25000</v>
      </c>
      <c r="R599" s="12">
        <v>30</v>
      </c>
      <c r="S599" s="12" t="s">
        <v>878</v>
      </c>
      <c r="T599" s="22">
        <f t="shared" si="47"/>
        <v>11</v>
      </c>
      <c r="U599" s="22">
        <f t="shared" si="48"/>
        <v>2020</v>
      </c>
      <c r="V599" s="22" t="str">
        <f t="shared" si="49"/>
        <v>REGIONES</v>
      </c>
    </row>
    <row r="600" spans="1:22" x14ac:dyDescent="0.2">
      <c r="A600" s="11" t="s">
        <v>866</v>
      </c>
      <c r="B600" s="12" t="s">
        <v>33</v>
      </c>
      <c r="C600" s="12" t="s">
        <v>60</v>
      </c>
      <c r="D600" s="12" t="s">
        <v>63</v>
      </c>
      <c r="E600" s="13" t="s">
        <v>64</v>
      </c>
      <c r="F600" s="12" t="s">
        <v>161</v>
      </c>
      <c r="G600" s="14">
        <v>9755.1999999999971</v>
      </c>
      <c r="H600" s="12" t="s">
        <v>65</v>
      </c>
      <c r="I600" s="12">
        <v>0</v>
      </c>
      <c r="J600" s="12" t="s">
        <v>161</v>
      </c>
      <c r="K600" s="12" t="s">
        <v>23</v>
      </c>
      <c r="L600" s="12">
        <v>5</v>
      </c>
      <c r="M600" s="15">
        <v>70000</v>
      </c>
      <c r="N600" s="15">
        <f>G600*3</f>
        <v>29265.599999999991</v>
      </c>
      <c r="O600" s="15">
        <f t="shared" si="45"/>
        <v>99265.599999999991</v>
      </c>
      <c r="P600" s="15">
        <f t="shared" si="46"/>
        <v>10.17566016073479</v>
      </c>
      <c r="Q600" s="14">
        <v>12000</v>
      </c>
      <c r="R600" s="12">
        <v>81</v>
      </c>
      <c r="S600" s="12" t="s">
        <v>879</v>
      </c>
      <c r="T600" s="22">
        <f t="shared" si="47"/>
        <v>11</v>
      </c>
      <c r="U600" s="22">
        <f t="shared" si="48"/>
        <v>2020</v>
      </c>
      <c r="V600" s="22" t="str">
        <f t="shared" si="49"/>
        <v>METROPOLITANA</v>
      </c>
    </row>
    <row r="601" spans="1:22" x14ac:dyDescent="0.2">
      <c r="A601" s="11" t="s">
        <v>866</v>
      </c>
      <c r="B601" s="12" t="s">
        <v>33</v>
      </c>
      <c r="C601" s="12" t="s">
        <v>44</v>
      </c>
      <c r="D601" s="12" t="s">
        <v>47</v>
      </c>
      <c r="E601" s="13" t="s">
        <v>88</v>
      </c>
      <c r="F601" s="12" t="s">
        <v>26</v>
      </c>
      <c r="G601" s="14">
        <v>2278.4</v>
      </c>
      <c r="H601" s="12" t="s">
        <v>22</v>
      </c>
      <c r="I601" s="12">
        <v>1</v>
      </c>
      <c r="J601" s="12" t="s">
        <v>26</v>
      </c>
      <c r="K601" s="12" t="s">
        <v>23</v>
      </c>
      <c r="L601" s="12">
        <v>4</v>
      </c>
      <c r="M601" s="15">
        <v>56075</v>
      </c>
      <c r="N601" s="15">
        <v>12000</v>
      </c>
      <c r="O601" s="15">
        <f t="shared" si="45"/>
        <v>68075</v>
      </c>
      <c r="P601" s="15">
        <f t="shared" si="46"/>
        <v>29.878423455056179</v>
      </c>
      <c r="Q601" s="14">
        <v>8011</v>
      </c>
      <c r="R601" s="12">
        <v>28</v>
      </c>
      <c r="S601" s="12" t="s">
        <v>880</v>
      </c>
      <c r="T601" s="22">
        <f t="shared" si="47"/>
        <v>11</v>
      </c>
      <c r="U601" s="22">
        <f t="shared" si="48"/>
        <v>2020</v>
      </c>
      <c r="V601" s="22" t="str">
        <f t="shared" si="49"/>
        <v>METROPOLITANA</v>
      </c>
    </row>
    <row r="602" spans="1:22" x14ac:dyDescent="0.2">
      <c r="A602" s="11" t="s">
        <v>866</v>
      </c>
      <c r="B602" s="12" t="s">
        <v>33</v>
      </c>
      <c r="C602" s="12" t="s">
        <v>44</v>
      </c>
      <c r="D602" s="12" t="s">
        <v>37</v>
      </c>
      <c r="E602" s="13" t="s">
        <v>40</v>
      </c>
      <c r="F602" s="12" t="s">
        <v>48</v>
      </c>
      <c r="G602" s="14">
        <v>8386.4000000000015</v>
      </c>
      <c r="H602" s="12" t="s">
        <v>22</v>
      </c>
      <c r="I602" s="12">
        <v>0</v>
      </c>
      <c r="J602" s="12" t="s">
        <v>48</v>
      </c>
      <c r="K602" s="12" t="s">
        <v>23</v>
      </c>
      <c r="L602" s="12">
        <v>1</v>
      </c>
      <c r="M602" s="15">
        <v>58705</v>
      </c>
      <c r="N602" s="15">
        <v>33546</v>
      </c>
      <c r="O602" s="15">
        <f t="shared" si="45"/>
        <v>92251</v>
      </c>
      <c r="P602" s="15">
        <f t="shared" si="46"/>
        <v>11.000071544405225</v>
      </c>
      <c r="Q602" s="14">
        <v>4821</v>
      </c>
      <c r="R602" s="12">
        <v>100</v>
      </c>
      <c r="S602" s="12" t="s">
        <v>881</v>
      </c>
      <c r="T602" s="22">
        <f t="shared" si="47"/>
        <v>11</v>
      </c>
      <c r="U602" s="22">
        <f t="shared" si="48"/>
        <v>2020</v>
      </c>
      <c r="V602" s="22" t="str">
        <f t="shared" si="49"/>
        <v>METROPOLITANA</v>
      </c>
    </row>
    <row r="603" spans="1:22" x14ac:dyDescent="0.2">
      <c r="A603" s="11" t="s">
        <v>866</v>
      </c>
      <c r="B603" s="12" t="s">
        <v>33</v>
      </c>
      <c r="C603" s="12" t="s">
        <v>44</v>
      </c>
      <c r="D603" s="12" t="s">
        <v>63</v>
      </c>
      <c r="E603" s="13" t="s">
        <v>64</v>
      </c>
      <c r="F603" s="12" t="s">
        <v>229</v>
      </c>
      <c r="G603" s="14">
        <v>2744</v>
      </c>
      <c r="H603" s="12" t="s">
        <v>65</v>
      </c>
      <c r="I603" s="12">
        <v>0</v>
      </c>
      <c r="J603" s="12" t="s">
        <v>230</v>
      </c>
      <c r="K603" s="12" t="s">
        <v>23</v>
      </c>
      <c r="L603" s="12">
        <v>4</v>
      </c>
      <c r="M603" s="15">
        <v>56075</v>
      </c>
      <c r="N603" s="15">
        <v>8232</v>
      </c>
      <c r="O603" s="15">
        <f t="shared" si="45"/>
        <v>64307</v>
      </c>
      <c r="P603" s="15">
        <f t="shared" si="46"/>
        <v>23.435495626822156</v>
      </c>
      <c r="Q603" s="14">
        <v>8011</v>
      </c>
      <c r="R603" s="12">
        <v>34</v>
      </c>
      <c r="S603" s="12" t="s">
        <v>882</v>
      </c>
      <c r="T603" s="22">
        <f t="shared" si="47"/>
        <v>11</v>
      </c>
      <c r="U603" s="22">
        <f t="shared" si="48"/>
        <v>2020</v>
      </c>
      <c r="V603" s="22" t="str">
        <f t="shared" si="49"/>
        <v>METROPOLITANA</v>
      </c>
    </row>
    <row r="604" spans="1:22" x14ac:dyDescent="0.2">
      <c r="A604" s="11" t="s">
        <v>866</v>
      </c>
      <c r="B604" s="12" t="s">
        <v>33</v>
      </c>
      <c r="C604" s="12" t="s">
        <v>44</v>
      </c>
      <c r="D604" s="12" t="s">
        <v>883</v>
      </c>
      <c r="E604" s="13" t="s">
        <v>42</v>
      </c>
      <c r="F604" s="12" t="s">
        <v>34</v>
      </c>
      <c r="G604" s="14">
        <v>3989.2</v>
      </c>
      <c r="H604" s="12" t="s">
        <v>43</v>
      </c>
      <c r="I604" s="12">
        <v>0</v>
      </c>
      <c r="J604" s="12" t="s">
        <v>34</v>
      </c>
      <c r="K604" s="12" t="s">
        <v>23</v>
      </c>
      <c r="L604" s="12">
        <v>1</v>
      </c>
      <c r="M604" s="15">
        <v>33750</v>
      </c>
      <c r="N604" s="15">
        <v>11968</v>
      </c>
      <c r="O604" s="15">
        <f t="shared" si="45"/>
        <v>45718</v>
      </c>
      <c r="P604" s="15">
        <f t="shared" si="46"/>
        <v>11.460443196630903</v>
      </c>
      <c r="Q604" s="14">
        <v>4821</v>
      </c>
      <c r="R604" s="12">
        <v>83</v>
      </c>
      <c r="S604" s="12" t="s">
        <v>884</v>
      </c>
      <c r="T604" s="22">
        <f t="shared" si="47"/>
        <v>11</v>
      </c>
      <c r="U604" s="22">
        <f t="shared" si="48"/>
        <v>2020</v>
      </c>
      <c r="V604" s="22" t="str">
        <f t="shared" si="49"/>
        <v>METROPOLITANA</v>
      </c>
    </row>
    <row r="605" spans="1:22" x14ac:dyDescent="0.2">
      <c r="A605" s="11" t="s">
        <v>866</v>
      </c>
      <c r="B605" s="12" t="s">
        <v>33</v>
      </c>
      <c r="C605" s="12" t="s">
        <v>44</v>
      </c>
      <c r="D605" s="12" t="s">
        <v>30</v>
      </c>
      <c r="E605" s="13" t="s">
        <v>31</v>
      </c>
      <c r="F605" s="12" t="s">
        <v>554</v>
      </c>
      <c r="G605" s="14">
        <v>3788.4</v>
      </c>
      <c r="H605" s="12" t="s">
        <v>32</v>
      </c>
      <c r="I605" s="12">
        <v>0</v>
      </c>
      <c r="J605" s="12" t="s">
        <v>554</v>
      </c>
      <c r="K605" s="12" t="s">
        <v>23</v>
      </c>
      <c r="L605" s="12">
        <v>4</v>
      </c>
      <c r="M605" s="15">
        <v>56075</v>
      </c>
      <c r="N605" s="15">
        <v>11365</v>
      </c>
      <c r="O605" s="15">
        <f t="shared" si="45"/>
        <v>67440</v>
      </c>
      <c r="P605" s="15">
        <f t="shared" si="46"/>
        <v>17.801710484637315</v>
      </c>
      <c r="Q605" s="14">
        <v>8011</v>
      </c>
      <c r="R605" s="12">
        <v>47</v>
      </c>
      <c r="S605" s="12" t="s">
        <v>885</v>
      </c>
      <c r="T605" s="22">
        <f t="shared" si="47"/>
        <v>11</v>
      </c>
      <c r="U605" s="22">
        <f t="shared" si="48"/>
        <v>2020</v>
      </c>
      <c r="V605" s="22" t="str">
        <f t="shared" si="49"/>
        <v>METROPOLITANA</v>
      </c>
    </row>
    <row r="606" spans="1:22" x14ac:dyDescent="0.2">
      <c r="A606" s="11" t="s">
        <v>866</v>
      </c>
      <c r="B606" s="12" t="s">
        <v>33</v>
      </c>
      <c r="C606" s="12" t="s">
        <v>44</v>
      </c>
      <c r="D606" s="12" t="s">
        <v>45</v>
      </c>
      <c r="E606" s="13" t="s">
        <v>52</v>
      </c>
      <c r="F606" s="12" t="s">
        <v>51</v>
      </c>
      <c r="G606" s="14">
        <v>1766</v>
      </c>
      <c r="H606" s="12" t="s">
        <v>22</v>
      </c>
      <c r="I606" s="12">
        <v>0</v>
      </c>
      <c r="J606" s="12" t="s">
        <v>51</v>
      </c>
      <c r="K606" s="12" t="s">
        <v>23</v>
      </c>
      <c r="L606" s="12">
        <v>4</v>
      </c>
      <c r="M606" s="15">
        <v>56075</v>
      </c>
      <c r="N606" s="15">
        <v>12000</v>
      </c>
      <c r="O606" s="15">
        <f t="shared" si="45"/>
        <v>68075</v>
      </c>
      <c r="P606" s="15">
        <f t="shared" si="46"/>
        <v>38.5475651189128</v>
      </c>
      <c r="Q606" s="14">
        <v>8011</v>
      </c>
      <c r="R606" s="12">
        <v>22</v>
      </c>
      <c r="S606" s="12" t="s">
        <v>886</v>
      </c>
      <c r="T606" s="22">
        <f t="shared" si="47"/>
        <v>11</v>
      </c>
      <c r="U606" s="22">
        <f t="shared" si="48"/>
        <v>2020</v>
      </c>
      <c r="V606" s="22" t="str">
        <f t="shared" si="49"/>
        <v>METROPOLITANA</v>
      </c>
    </row>
    <row r="607" spans="1:22" x14ac:dyDescent="0.2">
      <c r="A607" s="11" t="s">
        <v>866</v>
      </c>
      <c r="B607" s="12" t="s">
        <v>33</v>
      </c>
      <c r="C607" s="12" t="s">
        <v>44</v>
      </c>
      <c r="D607" s="12" t="s">
        <v>35</v>
      </c>
      <c r="E607" s="13" t="s">
        <v>49</v>
      </c>
      <c r="F607" s="12" t="s">
        <v>182</v>
      </c>
      <c r="G607" s="14">
        <v>1280.8</v>
      </c>
      <c r="H607" s="12" t="s">
        <v>22</v>
      </c>
      <c r="I607" s="12">
        <v>0</v>
      </c>
      <c r="J607" s="12" t="s">
        <v>182</v>
      </c>
      <c r="K607" s="12" t="s">
        <v>23</v>
      </c>
      <c r="L607" s="12">
        <v>4</v>
      </c>
      <c r="M607" s="15">
        <v>56075</v>
      </c>
      <c r="N607" s="15">
        <v>12000</v>
      </c>
      <c r="O607" s="15">
        <f t="shared" si="45"/>
        <v>68075</v>
      </c>
      <c r="P607" s="15">
        <f t="shared" si="46"/>
        <v>53.150374765771396</v>
      </c>
      <c r="Q607" s="14">
        <v>8011</v>
      </c>
      <c r="R607" s="12">
        <v>16</v>
      </c>
      <c r="S607" s="12" t="s">
        <v>887</v>
      </c>
      <c r="T607" s="22">
        <f t="shared" si="47"/>
        <v>11</v>
      </c>
      <c r="U607" s="22">
        <f t="shared" si="48"/>
        <v>2020</v>
      </c>
      <c r="V607" s="22" t="str">
        <f t="shared" si="49"/>
        <v>METROPOLITANA</v>
      </c>
    </row>
    <row r="608" spans="1:22" x14ac:dyDescent="0.2">
      <c r="A608" s="23" t="s">
        <v>888</v>
      </c>
      <c r="B608" s="22" t="s">
        <v>33</v>
      </c>
      <c r="C608" s="22" t="s">
        <v>50</v>
      </c>
      <c r="D608" s="22" t="s">
        <v>38</v>
      </c>
      <c r="E608" s="24" t="s">
        <v>25</v>
      </c>
      <c r="F608" s="22" t="s">
        <v>26</v>
      </c>
      <c r="G608" s="25">
        <v>5139.12</v>
      </c>
      <c r="H608" s="22" t="s">
        <v>43</v>
      </c>
      <c r="I608" s="22">
        <v>0</v>
      </c>
      <c r="J608" s="22" t="s">
        <v>26</v>
      </c>
      <c r="K608" s="22" t="s">
        <v>23</v>
      </c>
      <c r="L608" s="22">
        <v>4</v>
      </c>
      <c r="M608" s="26">
        <v>56075</v>
      </c>
      <c r="N608" s="26">
        <f>G608*3</f>
        <v>15417.36</v>
      </c>
      <c r="O608" s="15">
        <f t="shared" si="45"/>
        <v>71492.36</v>
      </c>
      <c r="P608" s="15">
        <f t="shared" si="46"/>
        <v>13.911401173741808</v>
      </c>
      <c r="Q608" s="25">
        <v>8011</v>
      </c>
      <c r="R608" s="22">
        <v>64</v>
      </c>
      <c r="S608" s="22" t="s">
        <v>889</v>
      </c>
      <c r="T608" s="22">
        <f t="shared" si="47"/>
        <v>11</v>
      </c>
      <c r="U608" s="22">
        <f t="shared" si="48"/>
        <v>2020</v>
      </c>
      <c r="V608" s="22" t="str">
        <f t="shared" si="49"/>
        <v>METROPOLITANA</v>
      </c>
    </row>
    <row r="609" spans="1:22" x14ac:dyDescent="0.2">
      <c r="A609" s="23" t="s">
        <v>888</v>
      </c>
      <c r="B609" s="22" t="s">
        <v>33</v>
      </c>
      <c r="C609" s="22" t="s">
        <v>60</v>
      </c>
      <c r="D609" s="22" t="s">
        <v>38</v>
      </c>
      <c r="E609" s="24" t="s">
        <v>42</v>
      </c>
      <c r="F609" s="22" t="s">
        <v>51</v>
      </c>
      <c r="G609" s="25">
        <v>3752</v>
      </c>
      <c r="H609" s="22" t="s">
        <v>43</v>
      </c>
      <c r="I609" s="22">
        <v>0</v>
      </c>
      <c r="J609" s="22" t="s">
        <v>51</v>
      </c>
      <c r="K609" s="22" t="s">
        <v>23</v>
      </c>
      <c r="L609" s="22">
        <v>4</v>
      </c>
      <c r="M609" s="26">
        <v>56075</v>
      </c>
      <c r="N609" s="26">
        <f>G609*3</f>
        <v>11256</v>
      </c>
      <c r="O609" s="15">
        <f t="shared" si="45"/>
        <v>67331</v>
      </c>
      <c r="P609" s="15">
        <f t="shared" si="46"/>
        <v>17.945362473347547</v>
      </c>
      <c r="Q609" s="25">
        <v>8011</v>
      </c>
      <c r="R609" s="22">
        <v>47</v>
      </c>
      <c r="S609" s="22" t="s">
        <v>890</v>
      </c>
      <c r="T609" s="22">
        <f t="shared" si="47"/>
        <v>11</v>
      </c>
      <c r="U609" s="22">
        <f t="shared" si="48"/>
        <v>2020</v>
      </c>
      <c r="V609" s="22" t="str">
        <f t="shared" si="49"/>
        <v>METROPOLITANA</v>
      </c>
    </row>
    <row r="610" spans="1:22" x14ac:dyDescent="0.2">
      <c r="A610" s="23" t="s">
        <v>888</v>
      </c>
      <c r="B610" s="22" t="s">
        <v>33</v>
      </c>
      <c r="C610" s="22" t="s">
        <v>60</v>
      </c>
      <c r="D610" s="22" t="s">
        <v>37</v>
      </c>
      <c r="E610" s="24" t="s">
        <v>40</v>
      </c>
      <c r="F610" s="22" t="s">
        <v>891</v>
      </c>
      <c r="G610" s="25">
        <v>5252.7999999999984</v>
      </c>
      <c r="H610" s="22" t="s">
        <v>22</v>
      </c>
      <c r="I610" s="22">
        <v>0</v>
      </c>
      <c r="J610" s="22" t="s">
        <v>127</v>
      </c>
      <c r="K610" s="22" t="s">
        <v>78</v>
      </c>
      <c r="L610" s="22">
        <v>0</v>
      </c>
      <c r="M610" s="26">
        <v>180000</v>
      </c>
      <c r="N610" s="26">
        <f>G610*4</f>
        <v>21011.199999999993</v>
      </c>
      <c r="O610" s="15">
        <f t="shared" si="45"/>
        <v>201011.19999999998</v>
      </c>
      <c r="P610" s="15">
        <f t="shared" si="46"/>
        <v>38.267438318611035</v>
      </c>
      <c r="Q610" s="25">
        <v>25000</v>
      </c>
      <c r="R610" s="22">
        <v>21</v>
      </c>
      <c r="S610" s="22" t="s">
        <v>892</v>
      </c>
      <c r="T610" s="22">
        <f t="shared" si="47"/>
        <v>11</v>
      </c>
      <c r="U610" s="22">
        <f t="shared" si="48"/>
        <v>2020</v>
      </c>
      <c r="V610" s="22" t="str">
        <f t="shared" si="49"/>
        <v>REGIONES</v>
      </c>
    </row>
    <row r="611" spans="1:22" x14ac:dyDescent="0.2">
      <c r="A611" s="23" t="s">
        <v>888</v>
      </c>
      <c r="B611" s="22" t="s">
        <v>33</v>
      </c>
      <c r="C611" s="22" t="s">
        <v>36</v>
      </c>
      <c r="D611" s="22" t="s">
        <v>80</v>
      </c>
      <c r="E611" s="24" t="s">
        <v>81</v>
      </c>
      <c r="F611" s="22" t="s">
        <v>893</v>
      </c>
      <c r="G611" s="25">
        <v>10573.3</v>
      </c>
      <c r="H611" s="22" t="s">
        <v>85</v>
      </c>
      <c r="I611" s="22">
        <v>1</v>
      </c>
      <c r="J611" s="22" t="s">
        <v>893</v>
      </c>
      <c r="K611" s="22" t="s">
        <v>437</v>
      </c>
      <c r="L611" s="22">
        <v>0</v>
      </c>
      <c r="M611" s="26">
        <v>900000</v>
      </c>
      <c r="N611" s="26">
        <v>0</v>
      </c>
      <c r="O611" s="15">
        <f t="shared" si="45"/>
        <v>900000</v>
      </c>
      <c r="P611" s="15">
        <f t="shared" si="46"/>
        <v>85.120066582807638</v>
      </c>
      <c r="Q611" s="25">
        <v>25000</v>
      </c>
      <c r="R611" s="22">
        <v>42</v>
      </c>
      <c r="S611" s="22" t="s">
        <v>894</v>
      </c>
      <c r="T611" s="22">
        <f t="shared" si="47"/>
        <v>11</v>
      </c>
      <c r="U611" s="22">
        <f t="shared" si="48"/>
        <v>2020</v>
      </c>
      <c r="V611" s="22" t="str">
        <f t="shared" si="49"/>
        <v>REGIONES</v>
      </c>
    </row>
    <row r="612" spans="1:22" x14ac:dyDescent="0.2">
      <c r="A612" s="23" t="s">
        <v>888</v>
      </c>
      <c r="B612" s="22" t="s">
        <v>33</v>
      </c>
      <c r="C612" s="22" t="s">
        <v>29</v>
      </c>
      <c r="D612" s="22" t="s">
        <v>27</v>
      </c>
      <c r="E612" s="24" t="s">
        <v>28</v>
      </c>
      <c r="F612" s="22" t="s">
        <v>173</v>
      </c>
      <c r="G612" s="25">
        <v>16596</v>
      </c>
      <c r="H612" s="22" t="s">
        <v>22</v>
      </c>
      <c r="I612" s="22">
        <v>1</v>
      </c>
      <c r="J612" s="22" t="s">
        <v>173</v>
      </c>
      <c r="K612" s="22" t="s">
        <v>23</v>
      </c>
      <c r="L612" s="22">
        <v>5</v>
      </c>
      <c r="M612" s="26">
        <v>120000</v>
      </c>
      <c r="N612" s="26">
        <v>66384</v>
      </c>
      <c r="O612" s="15">
        <f t="shared" si="45"/>
        <v>186384</v>
      </c>
      <c r="P612" s="15">
        <f t="shared" si="46"/>
        <v>11.230657989877079</v>
      </c>
      <c r="Q612" s="25">
        <v>12000</v>
      </c>
      <c r="R612" s="22">
        <v>100</v>
      </c>
      <c r="S612" s="22" t="s">
        <v>895</v>
      </c>
      <c r="T612" s="22">
        <f t="shared" si="47"/>
        <v>11</v>
      </c>
      <c r="U612" s="22">
        <f t="shared" si="48"/>
        <v>2020</v>
      </c>
      <c r="V612" s="22" t="str">
        <f t="shared" si="49"/>
        <v>METROPOLITANA</v>
      </c>
    </row>
    <row r="613" spans="1:22" x14ac:dyDescent="0.2">
      <c r="A613" s="23" t="s">
        <v>888</v>
      </c>
      <c r="B613" s="22" t="s">
        <v>33</v>
      </c>
      <c r="C613" s="22" t="s">
        <v>44</v>
      </c>
      <c r="D613" s="22" t="s">
        <v>37</v>
      </c>
      <c r="E613" s="24" t="s">
        <v>40</v>
      </c>
      <c r="F613" s="22" t="s">
        <v>48</v>
      </c>
      <c r="G613" s="25">
        <v>6410.8</v>
      </c>
      <c r="H613" s="22" t="s">
        <v>22</v>
      </c>
      <c r="I613" s="22">
        <v>0</v>
      </c>
      <c r="J613" s="22" t="s">
        <v>48</v>
      </c>
      <c r="K613" s="22" t="s">
        <v>23</v>
      </c>
      <c r="L613" s="22">
        <v>1</v>
      </c>
      <c r="M613" s="26">
        <v>44876</v>
      </c>
      <c r="N613" s="26">
        <v>25643</v>
      </c>
      <c r="O613" s="15">
        <f t="shared" si="45"/>
        <v>70519</v>
      </c>
      <c r="P613" s="15">
        <f t="shared" si="46"/>
        <v>11.000031197354463</v>
      </c>
      <c r="Q613" s="25">
        <v>4821</v>
      </c>
      <c r="R613" s="22">
        <v>100</v>
      </c>
      <c r="S613" s="22" t="s">
        <v>896</v>
      </c>
      <c r="T613" s="22">
        <f t="shared" si="47"/>
        <v>11</v>
      </c>
      <c r="U613" s="22">
        <f t="shared" si="48"/>
        <v>2020</v>
      </c>
      <c r="V613" s="22" t="str">
        <f t="shared" si="49"/>
        <v>METROPOLITANA</v>
      </c>
    </row>
    <row r="614" spans="1:22" x14ac:dyDescent="0.2">
      <c r="A614" s="23" t="s">
        <v>888</v>
      </c>
      <c r="B614" s="22" t="s">
        <v>33</v>
      </c>
      <c r="C614" s="22" t="s">
        <v>44</v>
      </c>
      <c r="D614" s="22" t="s">
        <v>63</v>
      </c>
      <c r="E614" s="24" t="s">
        <v>64</v>
      </c>
      <c r="F614" s="22" t="s">
        <v>95</v>
      </c>
      <c r="G614" s="25">
        <v>2347.1</v>
      </c>
      <c r="H614" s="22" t="s">
        <v>65</v>
      </c>
      <c r="I614" s="22">
        <v>0</v>
      </c>
      <c r="J614" s="22" t="s">
        <v>95</v>
      </c>
      <c r="K614" s="22" t="s">
        <v>23</v>
      </c>
      <c r="L614" s="22">
        <v>4</v>
      </c>
      <c r="M614" s="26">
        <v>56075</v>
      </c>
      <c r="N614" s="26">
        <v>7041</v>
      </c>
      <c r="O614" s="15">
        <f t="shared" si="45"/>
        <v>63116</v>
      </c>
      <c r="P614" s="15">
        <f t="shared" si="46"/>
        <v>26.891057049124452</v>
      </c>
      <c r="Q614" s="25">
        <v>8011</v>
      </c>
      <c r="R614" s="22">
        <v>29</v>
      </c>
      <c r="S614" s="22" t="s">
        <v>897</v>
      </c>
      <c r="T614" s="22">
        <f t="shared" si="47"/>
        <v>11</v>
      </c>
      <c r="U614" s="22">
        <f t="shared" si="48"/>
        <v>2020</v>
      </c>
      <c r="V614" s="22" t="str">
        <f t="shared" si="49"/>
        <v>METROPOLITANA</v>
      </c>
    </row>
    <row r="615" spans="1:22" x14ac:dyDescent="0.2">
      <c r="A615" s="23" t="s">
        <v>888</v>
      </c>
      <c r="B615" s="22" t="s">
        <v>33</v>
      </c>
      <c r="C615" s="22" t="s">
        <v>44</v>
      </c>
      <c r="D615" s="22" t="s">
        <v>30</v>
      </c>
      <c r="E615" s="24" t="s">
        <v>31</v>
      </c>
      <c r="F615" s="22" t="s">
        <v>53</v>
      </c>
      <c r="G615" s="25">
        <v>4482.3999999999996</v>
      </c>
      <c r="H615" s="22" t="s">
        <v>32</v>
      </c>
      <c r="I615" s="22">
        <v>0</v>
      </c>
      <c r="J615" s="22" t="s">
        <v>53</v>
      </c>
      <c r="K615" s="22" t="s">
        <v>23</v>
      </c>
      <c r="L615" s="22">
        <v>3</v>
      </c>
      <c r="M615" s="26">
        <v>48075</v>
      </c>
      <c r="N615" s="26">
        <v>13447</v>
      </c>
      <c r="O615" s="15">
        <f t="shared" si="45"/>
        <v>61522</v>
      </c>
      <c r="P615" s="15">
        <f t="shared" si="46"/>
        <v>13.7252364804569</v>
      </c>
      <c r="Q615" s="25">
        <v>6868</v>
      </c>
      <c r="R615" s="22">
        <v>65</v>
      </c>
      <c r="S615" s="22" t="s">
        <v>898</v>
      </c>
      <c r="T615" s="22">
        <f t="shared" si="47"/>
        <v>11</v>
      </c>
      <c r="U615" s="22">
        <f t="shared" si="48"/>
        <v>2020</v>
      </c>
      <c r="V615" s="22" t="str">
        <f t="shared" si="49"/>
        <v>METROPOLITANA</v>
      </c>
    </row>
    <row r="616" spans="1:22" x14ac:dyDescent="0.2">
      <c r="A616" s="23" t="s">
        <v>888</v>
      </c>
      <c r="B616" s="22" t="s">
        <v>33</v>
      </c>
      <c r="C616" s="22" t="s">
        <v>44</v>
      </c>
      <c r="D616" s="22" t="s">
        <v>45</v>
      </c>
      <c r="E616" s="24" t="s">
        <v>52</v>
      </c>
      <c r="F616" s="22" t="s">
        <v>26</v>
      </c>
      <c r="G616" s="25">
        <v>4227.2</v>
      </c>
      <c r="H616" s="22" t="s">
        <v>22</v>
      </c>
      <c r="I616" s="22">
        <v>0</v>
      </c>
      <c r="J616" s="22" t="s">
        <v>26</v>
      </c>
      <c r="K616" s="22" t="s">
        <v>23</v>
      </c>
      <c r="L616" s="22">
        <v>4</v>
      </c>
      <c r="M616" s="26">
        <v>56075</v>
      </c>
      <c r="N616" s="26">
        <v>16909</v>
      </c>
      <c r="O616" s="15">
        <f t="shared" si="45"/>
        <v>72984</v>
      </c>
      <c r="P616" s="15">
        <f t="shared" si="46"/>
        <v>17.26532929598789</v>
      </c>
      <c r="Q616" s="25">
        <v>8011</v>
      </c>
      <c r="R616" s="22">
        <v>53</v>
      </c>
      <c r="S616" s="22" t="s">
        <v>899</v>
      </c>
      <c r="T616" s="22">
        <f t="shared" si="47"/>
        <v>11</v>
      </c>
      <c r="U616" s="22">
        <f t="shared" si="48"/>
        <v>2020</v>
      </c>
      <c r="V616" s="22" t="str">
        <f t="shared" si="49"/>
        <v>METROPOLITANA</v>
      </c>
    </row>
    <row r="617" spans="1:22" x14ac:dyDescent="0.2">
      <c r="A617" s="23" t="s">
        <v>888</v>
      </c>
      <c r="B617" s="22" t="s">
        <v>33</v>
      </c>
      <c r="C617" s="22" t="s">
        <v>44</v>
      </c>
      <c r="D617" s="22" t="s">
        <v>47</v>
      </c>
      <c r="E617" s="24" t="s">
        <v>88</v>
      </c>
      <c r="F617" s="22" t="s">
        <v>95</v>
      </c>
      <c r="G617" s="25">
        <v>4825.8999999999996</v>
      </c>
      <c r="H617" s="22" t="s">
        <v>22</v>
      </c>
      <c r="I617" s="22">
        <v>0</v>
      </c>
      <c r="J617" s="22" t="s">
        <v>95</v>
      </c>
      <c r="K617" s="22" t="s">
        <v>23</v>
      </c>
      <c r="L617" s="22">
        <v>4</v>
      </c>
      <c r="M617" s="26">
        <v>56075</v>
      </c>
      <c r="N617" s="26">
        <v>19304</v>
      </c>
      <c r="O617" s="15">
        <f t="shared" si="45"/>
        <v>75379</v>
      </c>
      <c r="P617" s="15">
        <f t="shared" si="46"/>
        <v>15.619677158664706</v>
      </c>
      <c r="Q617" s="25">
        <v>8011</v>
      </c>
      <c r="R617" s="22">
        <v>60</v>
      </c>
      <c r="S617" s="22" t="s">
        <v>900</v>
      </c>
      <c r="T617" s="22">
        <f t="shared" si="47"/>
        <v>11</v>
      </c>
      <c r="U617" s="22">
        <f t="shared" si="48"/>
        <v>2020</v>
      </c>
      <c r="V617" s="22" t="str">
        <f t="shared" si="49"/>
        <v>METROPOLITANA</v>
      </c>
    </row>
    <row r="618" spans="1:22" x14ac:dyDescent="0.2">
      <c r="A618" s="23" t="s">
        <v>888</v>
      </c>
      <c r="B618" s="22" t="s">
        <v>33</v>
      </c>
      <c r="C618" s="22" t="s">
        <v>44</v>
      </c>
      <c r="D618" s="22" t="s">
        <v>35</v>
      </c>
      <c r="E618" s="24" t="s">
        <v>49</v>
      </c>
      <c r="F618" s="22" t="s">
        <v>129</v>
      </c>
      <c r="G618" s="25">
        <v>1976</v>
      </c>
      <c r="H618" s="22" t="s">
        <v>22</v>
      </c>
      <c r="I618" s="22">
        <v>0</v>
      </c>
      <c r="J618" s="22" t="s">
        <v>129</v>
      </c>
      <c r="K618" s="22" t="s">
        <v>23</v>
      </c>
      <c r="L618" s="22">
        <v>1</v>
      </c>
      <c r="M618" s="26">
        <v>33750</v>
      </c>
      <c r="N618" s="26">
        <v>12000</v>
      </c>
      <c r="O618" s="15">
        <f t="shared" si="45"/>
        <v>45750</v>
      </c>
      <c r="P618" s="15">
        <f t="shared" si="46"/>
        <v>23.152834008097166</v>
      </c>
      <c r="Q618" s="25">
        <v>4821</v>
      </c>
      <c r="R618" s="22">
        <v>41</v>
      </c>
      <c r="S618" s="22" t="s">
        <v>901</v>
      </c>
      <c r="T618" s="22">
        <f t="shared" si="47"/>
        <v>11</v>
      </c>
      <c r="U618" s="22">
        <f t="shared" si="48"/>
        <v>2020</v>
      </c>
      <c r="V618" s="22" t="str">
        <f t="shared" si="49"/>
        <v>METROPOLITANA</v>
      </c>
    </row>
    <row r="619" spans="1:22" x14ac:dyDescent="0.2">
      <c r="A619" s="23" t="s">
        <v>888</v>
      </c>
      <c r="B619" s="22" t="s">
        <v>33</v>
      </c>
      <c r="C619" s="22" t="s">
        <v>403</v>
      </c>
      <c r="D619" s="22" t="s">
        <v>63</v>
      </c>
      <c r="E619" s="24" t="s">
        <v>64</v>
      </c>
      <c r="F619" s="22" t="s">
        <v>129</v>
      </c>
      <c r="G619" s="25">
        <v>15612.000000000009</v>
      </c>
      <c r="H619" s="22" t="s">
        <v>65</v>
      </c>
      <c r="I619" s="22">
        <v>0</v>
      </c>
      <c r="J619" s="22" t="s">
        <v>129</v>
      </c>
      <c r="K619" s="22" t="s">
        <v>23</v>
      </c>
      <c r="L619" s="22">
        <v>1</v>
      </c>
      <c r="M619" s="26">
        <v>109284</v>
      </c>
      <c r="N619" s="26">
        <f>G619*3</f>
        <v>46836.000000000029</v>
      </c>
      <c r="O619" s="15">
        <f t="shared" si="45"/>
        <v>156120.00000000003</v>
      </c>
      <c r="P619" s="15">
        <f t="shared" si="46"/>
        <v>9.9999999999999964</v>
      </c>
      <c r="Q619" s="25">
        <v>4821</v>
      </c>
      <c r="R619" s="22">
        <v>100</v>
      </c>
      <c r="S619" s="22" t="s">
        <v>902</v>
      </c>
      <c r="T619" s="22">
        <f t="shared" si="47"/>
        <v>11</v>
      </c>
      <c r="U619" s="22">
        <f t="shared" si="48"/>
        <v>2020</v>
      </c>
      <c r="V619" s="22" t="str">
        <f t="shared" si="49"/>
        <v>METROPOLITANA</v>
      </c>
    </row>
    <row r="620" spans="1:22" x14ac:dyDescent="0.2">
      <c r="A620" s="23" t="s">
        <v>888</v>
      </c>
      <c r="B620" s="22" t="s">
        <v>33</v>
      </c>
      <c r="C620" s="22" t="s">
        <v>403</v>
      </c>
      <c r="D620" s="22" t="s">
        <v>41</v>
      </c>
      <c r="E620" s="24" t="s">
        <v>25</v>
      </c>
      <c r="F620" s="22" t="s">
        <v>129</v>
      </c>
      <c r="G620" s="25">
        <v>15612.000000000009</v>
      </c>
      <c r="H620" s="22" t="s">
        <v>43</v>
      </c>
      <c r="I620" s="22">
        <v>0</v>
      </c>
      <c r="J620" s="22" t="s">
        <v>129</v>
      </c>
      <c r="K620" s="22" t="s">
        <v>23</v>
      </c>
      <c r="L620" s="22">
        <v>1</v>
      </c>
      <c r="M620" s="26">
        <v>109284</v>
      </c>
      <c r="N620" s="26">
        <f>G620*3</f>
        <v>46836.000000000029</v>
      </c>
      <c r="O620" s="15">
        <f t="shared" si="45"/>
        <v>156120.00000000003</v>
      </c>
      <c r="P620" s="15">
        <f t="shared" si="46"/>
        <v>9.9999999999999964</v>
      </c>
      <c r="Q620" s="25">
        <v>4821</v>
      </c>
      <c r="R620" s="22">
        <v>100</v>
      </c>
      <c r="S620" s="22" t="s">
        <v>903</v>
      </c>
      <c r="T620" s="22">
        <f t="shared" si="47"/>
        <v>11</v>
      </c>
      <c r="U620" s="22">
        <f t="shared" si="48"/>
        <v>2020</v>
      </c>
      <c r="V620" s="22" t="str">
        <f t="shared" si="49"/>
        <v>METROPOLITANA</v>
      </c>
    </row>
    <row r="621" spans="1:22" x14ac:dyDescent="0.2">
      <c r="A621" s="11" t="s">
        <v>904</v>
      </c>
      <c r="B621" s="12" t="s">
        <v>54</v>
      </c>
      <c r="C621" s="12" t="s">
        <v>55</v>
      </c>
      <c r="D621" s="12" t="s">
        <v>61</v>
      </c>
      <c r="E621" s="13">
        <v>115812335</v>
      </c>
      <c r="F621" s="12" t="s">
        <v>66</v>
      </c>
      <c r="G621" s="14">
        <v>16951.599999999999</v>
      </c>
      <c r="H621" s="12" t="s">
        <v>85</v>
      </c>
      <c r="I621" s="12">
        <v>1</v>
      </c>
      <c r="J621" s="12" t="s">
        <v>66</v>
      </c>
      <c r="K621" s="12" t="s">
        <v>75</v>
      </c>
      <c r="L621" s="12">
        <v>0</v>
      </c>
      <c r="M621" s="15">
        <v>380000</v>
      </c>
      <c r="N621" s="15">
        <v>0</v>
      </c>
      <c r="O621" s="15">
        <f t="shared" si="45"/>
        <v>380000</v>
      </c>
      <c r="P621" s="15">
        <f t="shared" si="46"/>
        <v>22.416763019419999</v>
      </c>
      <c r="Q621" s="14">
        <v>25000</v>
      </c>
      <c r="R621" s="12">
        <v>63</v>
      </c>
      <c r="S621" s="12" t="s">
        <v>905</v>
      </c>
      <c r="T621" s="22">
        <f t="shared" si="47"/>
        <v>11</v>
      </c>
      <c r="U621" s="22">
        <f t="shared" si="48"/>
        <v>2020</v>
      </c>
      <c r="V621" s="22" t="str">
        <f t="shared" si="49"/>
        <v>REGIONES</v>
      </c>
    </row>
    <row r="622" spans="1:22" x14ac:dyDescent="0.2">
      <c r="A622" s="11" t="s">
        <v>904</v>
      </c>
      <c r="B622" s="12" t="s">
        <v>18</v>
      </c>
      <c r="C622" s="12" t="s">
        <v>163</v>
      </c>
      <c r="D622" s="12" t="s">
        <v>27</v>
      </c>
      <c r="E622" s="13">
        <v>81417709</v>
      </c>
      <c r="F622" s="12" t="s">
        <v>165</v>
      </c>
      <c r="G622" s="14">
        <v>10526.88</v>
      </c>
      <c r="H622" s="12" t="s">
        <v>22</v>
      </c>
      <c r="I622" s="12">
        <v>1</v>
      </c>
      <c r="J622" s="12" t="s">
        <v>165</v>
      </c>
      <c r="K622" s="12" t="s">
        <v>23</v>
      </c>
      <c r="L622" s="12">
        <v>4</v>
      </c>
      <c r="M622" s="15">
        <v>73688</v>
      </c>
      <c r="N622" s="15">
        <f>G622*4</f>
        <v>42107.519999999997</v>
      </c>
      <c r="O622" s="15">
        <f t="shared" si="45"/>
        <v>115795.51999999999</v>
      </c>
      <c r="P622" s="15">
        <f t="shared" si="46"/>
        <v>10.999984800814676</v>
      </c>
      <c r="Q622" s="14">
        <v>8011</v>
      </c>
      <c r="R622" s="12">
        <v>100</v>
      </c>
      <c r="S622" s="12" t="s">
        <v>906</v>
      </c>
      <c r="T622" s="22">
        <f t="shared" si="47"/>
        <v>11</v>
      </c>
      <c r="U622" s="22">
        <f t="shared" si="48"/>
        <v>2020</v>
      </c>
      <c r="V622" s="22" t="str">
        <f t="shared" si="49"/>
        <v>METROPOLITANA</v>
      </c>
    </row>
    <row r="623" spans="1:22" x14ac:dyDescent="0.2">
      <c r="A623" s="11" t="s">
        <v>904</v>
      </c>
      <c r="B623" s="12" t="s">
        <v>33</v>
      </c>
      <c r="C623" s="12" t="s">
        <v>50</v>
      </c>
      <c r="D623" s="12" t="s">
        <v>38</v>
      </c>
      <c r="E623" s="13">
        <v>125108660</v>
      </c>
      <c r="F623" s="12" t="s">
        <v>26</v>
      </c>
      <c r="G623" s="14">
        <v>12480.72</v>
      </c>
      <c r="H623" s="12" t="s">
        <v>43</v>
      </c>
      <c r="I623" s="12">
        <v>0</v>
      </c>
      <c r="J623" s="12" t="s">
        <v>26</v>
      </c>
      <c r="K623" s="12" t="s">
        <v>23</v>
      </c>
      <c r="L623" s="12">
        <v>4</v>
      </c>
      <c r="M623" s="15">
        <v>87365</v>
      </c>
      <c r="N623" s="15">
        <f>G623*3</f>
        <v>37442.159999999996</v>
      </c>
      <c r="O623" s="15">
        <f t="shared" si="45"/>
        <v>124807.16</v>
      </c>
      <c r="P623" s="15">
        <f t="shared" si="46"/>
        <v>9.9999967950566955</v>
      </c>
      <c r="Q623" s="14">
        <v>8011</v>
      </c>
      <c r="R623" s="12">
        <v>100</v>
      </c>
      <c r="S623" s="12" t="s">
        <v>907</v>
      </c>
      <c r="T623" s="22">
        <f t="shared" si="47"/>
        <v>11</v>
      </c>
      <c r="U623" s="22">
        <f t="shared" si="48"/>
        <v>2020</v>
      </c>
      <c r="V623" s="22" t="str">
        <f t="shared" si="49"/>
        <v>METROPOLITANA</v>
      </c>
    </row>
    <row r="624" spans="1:22" x14ac:dyDescent="0.2">
      <c r="A624" s="11" t="s">
        <v>904</v>
      </c>
      <c r="B624" s="12" t="s">
        <v>33</v>
      </c>
      <c r="C624" s="12" t="s">
        <v>128</v>
      </c>
      <c r="D624" s="12" t="s">
        <v>30</v>
      </c>
      <c r="E624" s="13">
        <v>72564391</v>
      </c>
      <c r="F624" s="12" t="s">
        <v>34</v>
      </c>
      <c r="G624" s="14">
        <v>15544</v>
      </c>
      <c r="H624" s="12" t="s">
        <v>32</v>
      </c>
      <c r="I624" s="12">
        <v>0</v>
      </c>
      <c r="J624" s="12" t="s">
        <v>34</v>
      </c>
      <c r="K624" s="12" t="s">
        <v>23</v>
      </c>
      <c r="L624" s="12">
        <v>1</v>
      </c>
      <c r="M624" s="15">
        <v>108808</v>
      </c>
      <c r="N624" s="15">
        <v>46632</v>
      </c>
      <c r="O624" s="15">
        <f t="shared" si="45"/>
        <v>155440</v>
      </c>
      <c r="P624" s="15">
        <f t="shared" si="46"/>
        <v>10</v>
      </c>
      <c r="Q624" s="14">
        <v>4821</v>
      </c>
      <c r="R624" s="12">
        <v>100</v>
      </c>
      <c r="S624" s="12" t="s">
        <v>908</v>
      </c>
      <c r="T624" s="22">
        <f t="shared" si="47"/>
        <v>11</v>
      </c>
      <c r="U624" s="22">
        <f t="shared" si="48"/>
        <v>2020</v>
      </c>
      <c r="V624" s="22" t="str">
        <f t="shared" si="49"/>
        <v>METROPOLITANA</v>
      </c>
    </row>
    <row r="625" spans="1:22" x14ac:dyDescent="0.2">
      <c r="A625" s="11" t="s">
        <v>904</v>
      </c>
      <c r="B625" s="12" t="s">
        <v>33</v>
      </c>
      <c r="C625" s="12" t="s">
        <v>909</v>
      </c>
      <c r="D625" s="12" t="s">
        <v>30</v>
      </c>
      <c r="E625" s="13">
        <v>72564391</v>
      </c>
      <c r="F625" s="12" t="s">
        <v>910</v>
      </c>
      <c r="G625" s="14">
        <v>10421.84</v>
      </c>
      <c r="H625" s="12" t="s">
        <v>32</v>
      </c>
      <c r="I625" s="12">
        <v>0</v>
      </c>
      <c r="J625" s="12" t="s">
        <v>910</v>
      </c>
      <c r="K625" s="12" t="s">
        <v>171</v>
      </c>
      <c r="L625" s="12">
        <v>0</v>
      </c>
      <c r="M625" s="15">
        <v>180000</v>
      </c>
      <c r="N625" s="15">
        <f>G625*3</f>
        <v>31265.52</v>
      </c>
      <c r="O625" s="15">
        <f t="shared" si="45"/>
        <v>211265.52</v>
      </c>
      <c r="P625" s="15">
        <f t="shared" si="46"/>
        <v>20.271422320818587</v>
      </c>
      <c r="Q625" s="14">
        <v>25000</v>
      </c>
      <c r="R625" s="12">
        <v>42</v>
      </c>
      <c r="S625" s="12" t="s">
        <v>911</v>
      </c>
      <c r="T625" s="22">
        <f t="shared" si="47"/>
        <v>11</v>
      </c>
      <c r="U625" s="22">
        <f t="shared" si="48"/>
        <v>2020</v>
      </c>
      <c r="V625" s="22" t="str">
        <f t="shared" si="49"/>
        <v>REGIONES</v>
      </c>
    </row>
    <row r="626" spans="1:22" x14ac:dyDescent="0.2">
      <c r="A626" s="11" t="s">
        <v>904</v>
      </c>
      <c r="B626" s="12" t="s">
        <v>33</v>
      </c>
      <c r="C626" s="12" t="s">
        <v>29</v>
      </c>
      <c r="D626" s="12" t="s">
        <v>786</v>
      </c>
      <c r="E626" s="13">
        <v>95707734</v>
      </c>
      <c r="F626" s="12" t="s">
        <v>170</v>
      </c>
      <c r="G626" s="14">
        <v>9755.1999999999971</v>
      </c>
      <c r="H626" s="12" t="s">
        <v>788</v>
      </c>
      <c r="I626" s="12">
        <v>1</v>
      </c>
      <c r="J626" s="12" t="s">
        <v>170</v>
      </c>
      <c r="K626" s="12" t="s">
        <v>171</v>
      </c>
      <c r="L626" s="12">
        <v>0</v>
      </c>
      <c r="M626" s="15">
        <v>230000</v>
      </c>
      <c r="N626" s="15">
        <v>0</v>
      </c>
      <c r="O626" s="15">
        <f t="shared" si="45"/>
        <v>230000</v>
      </c>
      <c r="P626" s="15">
        <f t="shared" si="46"/>
        <v>23.577169099557167</v>
      </c>
      <c r="Q626" s="14">
        <v>25000</v>
      </c>
      <c r="R626" s="12">
        <v>39</v>
      </c>
      <c r="S626" s="12" t="s">
        <v>912</v>
      </c>
      <c r="T626" s="22">
        <f t="shared" si="47"/>
        <v>11</v>
      </c>
      <c r="U626" s="22">
        <f t="shared" si="48"/>
        <v>2020</v>
      </c>
      <c r="V626" s="22" t="str">
        <f t="shared" si="49"/>
        <v>REGIONES</v>
      </c>
    </row>
    <row r="627" spans="1:22" x14ac:dyDescent="0.2">
      <c r="A627" s="11" t="s">
        <v>904</v>
      </c>
      <c r="B627" s="12" t="s">
        <v>33</v>
      </c>
      <c r="C627" s="12" t="s">
        <v>29</v>
      </c>
      <c r="D627" s="12" t="s">
        <v>786</v>
      </c>
      <c r="E627" s="13">
        <v>95707734</v>
      </c>
      <c r="F627" s="12" t="s">
        <v>39</v>
      </c>
      <c r="G627" s="14">
        <v>6828.8000000000011</v>
      </c>
      <c r="H627" s="12" t="s">
        <v>788</v>
      </c>
      <c r="I627" s="12">
        <v>1</v>
      </c>
      <c r="J627" s="12" t="s">
        <v>39</v>
      </c>
      <c r="K627" s="12" t="s">
        <v>23</v>
      </c>
      <c r="L627" s="12">
        <v>1</v>
      </c>
      <c r="M627" s="15">
        <v>47802</v>
      </c>
      <c r="N627" s="15">
        <v>0</v>
      </c>
      <c r="O627" s="15">
        <f t="shared" si="45"/>
        <v>47802</v>
      </c>
      <c r="P627" s="15">
        <f t="shared" si="46"/>
        <v>7.0000585754451725</v>
      </c>
      <c r="Q627" s="14">
        <v>4821</v>
      </c>
      <c r="R627" s="12">
        <v>100</v>
      </c>
      <c r="S627" s="12" t="s">
        <v>913</v>
      </c>
      <c r="T627" s="22">
        <f t="shared" si="47"/>
        <v>11</v>
      </c>
      <c r="U627" s="22">
        <f t="shared" si="48"/>
        <v>2020</v>
      </c>
      <c r="V627" s="22" t="str">
        <f t="shared" si="49"/>
        <v>METROPOLITANA</v>
      </c>
    </row>
    <row r="628" spans="1:22" x14ac:dyDescent="0.2">
      <c r="A628" s="11" t="s">
        <v>904</v>
      </c>
      <c r="B628" s="12" t="s">
        <v>33</v>
      </c>
      <c r="C628" s="12" t="s">
        <v>44</v>
      </c>
      <c r="D628" s="12" t="s">
        <v>56</v>
      </c>
      <c r="E628" s="13">
        <v>99626232</v>
      </c>
      <c r="F628" s="12" t="s">
        <v>134</v>
      </c>
      <c r="G628" s="14">
        <v>3486.9</v>
      </c>
      <c r="H628" s="12" t="s">
        <v>22</v>
      </c>
      <c r="I628" s="12">
        <v>0</v>
      </c>
      <c r="J628" s="12" t="s">
        <v>134</v>
      </c>
      <c r="K628" s="12" t="s">
        <v>23</v>
      </c>
      <c r="L628" s="12">
        <v>2</v>
      </c>
      <c r="M628" s="15">
        <v>40475</v>
      </c>
      <c r="N628" s="15">
        <v>13948</v>
      </c>
      <c r="O628" s="15">
        <f t="shared" si="45"/>
        <v>54423</v>
      </c>
      <c r="P628" s="15">
        <f t="shared" si="46"/>
        <v>15.607846511227738</v>
      </c>
      <c r="Q628" s="14">
        <v>5782</v>
      </c>
      <c r="R628" s="12">
        <v>60</v>
      </c>
      <c r="S628" s="12" t="s">
        <v>914</v>
      </c>
      <c r="T628" s="22">
        <f t="shared" si="47"/>
        <v>11</v>
      </c>
      <c r="U628" s="22">
        <f t="shared" si="48"/>
        <v>2020</v>
      </c>
      <c r="V628" s="22" t="str">
        <f t="shared" si="49"/>
        <v>METROPOLITANA</v>
      </c>
    </row>
    <row r="629" spans="1:22" x14ac:dyDescent="0.2">
      <c r="A629" s="11" t="s">
        <v>904</v>
      </c>
      <c r="B629" s="12" t="s">
        <v>33</v>
      </c>
      <c r="C629" s="12" t="s">
        <v>44</v>
      </c>
      <c r="D629" s="12" t="s">
        <v>38</v>
      </c>
      <c r="E629" s="13">
        <v>53173292</v>
      </c>
      <c r="F629" s="12" t="s">
        <v>138</v>
      </c>
      <c r="G629" s="14">
        <v>3069.9</v>
      </c>
      <c r="H629" s="12" t="s">
        <v>43</v>
      </c>
      <c r="I629" s="12">
        <v>0</v>
      </c>
      <c r="J629" s="12" t="s">
        <v>138</v>
      </c>
      <c r="K629" s="12" t="s">
        <v>23</v>
      </c>
      <c r="L629" s="12">
        <v>3</v>
      </c>
      <c r="M629" s="15">
        <v>48075</v>
      </c>
      <c r="N629" s="15">
        <v>9210</v>
      </c>
      <c r="O629" s="15">
        <f t="shared" si="45"/>
        <v>57285</v>
      </c>
      <c r="P629" s="15">
        <f t="shared" si="46"/>
        <v>18.660216945177368</v>
      </c>
      <c r="Q629" s="14">
        <v>6868</v>
      </c>
      <c r="R629" s="12">
        <v>45</v>
      </c>
      <c r="S629" s="12" t="s">
        <v>915</v>
      </c>
      <c r="T629" s="22">
        <f t="shared" si="47"/>
        <v>11</v>
      </c>
      <c r="U629" s="22">
        <f t="shared" si="48"/>
        <v>2020</v>
      </c>
      <c r="V629" s="22" t="str">
        <f t="shared" si="49"/>
        <v>METROPOLITANA</v>
      </c>
    </row>
    <row r="630" spans="1:22" x14ac:dyDescent="0.2">
      <c r="A630" s="11" t="s">
        <v>904</v>
      </c>
      <c r="B630" s="12" t="s">
        <v>33</v>
      </c>
      <c r="C630" s="12" t="s">
        <v>44</v>
      </c>
      <c r="D630" s="12" t="s">
        <v>38</v>
      </c>
      <c r="E630" s="13">
        <v>53173292</v>
      </c>
      <c r="F630" s="12" t="s">
        <v>182</v>
      </c>
      <c r="G630" s="14">
        <v>1500.8</v>
      </c>
      <c r="H630" s="12" t="s">
        <v>43</v>
      </c>
      <c r="I630" s="12">
        <v>0</v>
      </c>
      <c r="J630" s="12" t="s">
        <v>182</v>
      </c>
      <c r="K630" s="12" t="s">
        <v>23</v>
      </c>
      <c r="L630" s="12">
        <v>4</v>
      </c>
      <c r="M630" s="15">
        <v>56075</v>
      </c>
      <c r="N630" s="15">
        <v>4502</v>
      </c>
      <c r="O630" s="15">
        <f t="shared" si="45"/>
        <v>60577</v>
      </c>
      <c r="P630" s="15">
        <f t="shared" si="46"/>
        <v>40.363139658848617</v>
      </c>
      <c r="Q630" s="14">
        <v>8011</v>
      </c>
      <c r="R630" s="12">
        <v>19</v>
      </c>
      <c r="S630" s="12" t="s">
        <v>916</v>
      </c>
      <c r="T630" s="22">
        <f t="shared" si="47"/>
        <v>11</v>
      </c>
      <c r="U630" s="22">
        <f t="shared" si="48"/>
        <v>2020</v>
      </c>
      <c r="V630" s="22" t="str">
        <f t="shared" si="49"/>
        <v>METROPOLITANA</v>
      </c>
    </row>
    <row r="631" spans="1:22" x14ac:dyDescent="0.2">
      <c r="A631" s="11" t="s">
        <v>904</v>
      </c>
      <c r="B631" s="12" t="s">
        <v>33</v>
      </c>
      <c r="C631" s="12" t="s">
        <v>44</v>
      </c>
      <c r="D631" s="12" t="s">
        <v>45</v>
      </c>
      <c r="E631" s="13">
        <v>81417709</v>
      </c>
      <c r="F631" s="12" t="s">
        <v>225</v>
      </c>
      <c r="G631" s="14">
        <v>6829.5199999999986</v>
      </c>
      <c r="H631" s="12" t="s">
        <v>22</v>
      </c>
      <c r="I631" s="12">
        <v>0</v>
      </c>
      <c r="J631" s="12" t="s">
        <v>225</v>
      </c>
      <c r="K631" s="12" t="s">
        <v>23</v>
      </c>
      <c r="L631" s="12">
        <v>3</v>
      </c>
      <c r="M631" s="15">
        <v>48075</v>
      </c>
      <c r="N631" s="15">
        <v>27318</v>
      </c>
      <c r="O631" s="15">
        <f t="shared" si="45"/>
        <v>75393</v>
      </c>
      <c r="P631" s="15">
        <f t="shared" si="46"/>
        <v>11.039282409305487</v>
      </c>
      <c r="Q631" s="14">
        <v>6868</v>
      </c>
      <c r="R631" s="12">
        <v>99</v>
      </c>
      <c r="S631" s="12" t="s">
        <v>917</v>
      </c>
      <c r="T631" s="22">
        <f t="shared" si="47"/>
        <v>11</v>
      </c>
      <c r="U631" s="22">
        <f t="shared" si="48"/>
        <v>2020</v>
      </c>
      <c r="V631" s="22" t="str">
        <f t="shared" si="49"/>
        <v>METROPOLITANA</v>
      </c>
    </row>
    <row r="632" spans="1:22" x14ac:dyDescent="0.2">
      <c r="A632" s="11" t="s">
        <v>904</v>
      </c>
      <c r="B632" s="12" t="s">
        <v>33</v>
      </c>
      <c r="C632" s="12" t="s">
        <v>44</v>
      </c>
      <c r="D632" s="12" t="s">
        <v>47</v>
      </c>
      <c r="E632" s="13">
        <v>161268070</v>
      </c>
      <c r="F632" s="12" t="s">
        <v>48</v>
      </c>
      <c r="G632" s="14">
        <v>7603.1599999999989</v>
      </c>
      <c r="H632" s="12" t="s">
        <v>22</v>
      </c>
      <c r="I632" s="12">
        <v>0</v>
      </c>
      <c r="J632" s="12" t="s">
        <v>48</v>
      </c>
      <c r="K632" s="12" t="s">
        <v>23</v>
      </c>
      <c r="L632" s="12">
        <v>1</v>
      </c>
      <c r="M632" s="15">
        <v>53222</v>
      </c>
      <c r="N632" s="15">
        <v>30413</v>
      </c>
      <c r="O632" s="15">
        <f t="shared" si="45"/>
        <v>83635</v>
      </c>
      <c r="P632" s="15">
        <f t="shared" si="46"/>
        <v>11.000031565822633</v>
      </c>
      <c r="Q632" s="14">
        <v>4821</v>
      </c>
      <c r="R632" s="12">
        <v>100</v>
      </c>
      <c r="S632" s="12" t="s">
        <v>918</v>
      </c>
      <c r="T632" s="22">
        <f t="shared" si="47"/>
        <v>11</v>
      </c>
      <c r="U632" s="22">
        <f t="shared" si="48"/>
        <v>2020</v>
      </c>
      <c r="V632" s="22" t="str">
        <f t="shared" si="49"/>
        <v>METROPOLITANA</v>
      </c>
    </row>
    <row r="633" spans="1:22" x14ac:dyDescent="0.2">
      <c r="A633" s="11" t="s">
        <v>904</v>
      </c>
      <c r="B633" s="12" t="s">
        <v>33</v>
      </c>
      <c r="C633" s="12" t="s">
        <v>44</v>
      </c>
      <c r="D633" s="12" t="s">
        <v>35</v>
      </c>
      <c r="E633" s="13">
        <v>107643206</v>
      </c>
      <c r="F633" s="12" t="s">
        <v>137</v>
      </c>
      <c r="G633" s="14">
        <v>1331.5</v>
      </c>
      <c r="H633" s="12" t="s">
        <v>22</v>
      </c>
      <c r="I633" s="12">
        <v>0</v>
      </c>
      <c r="J633" s="12" t="s">
        <v>137</v>
      </c>
      <c r="K633" s="12" t="s">
        <v>23</v>
      </c>
      <c r="L633" s="12">
        <v>1</v>
      </c>
      <c r="M633" s="15">
        <v>33750</v>
      </c>
      <c r="N633" s="15">
        <v>12000</v>
      </c>
      <c r="O633" s="15">
        <f t="shared" si="45"/>
        <v>45750</v>
      </c>
      <c r="P633" s="15">
        <f t="shared" si="46"/>
        <v>34.359744648892224</v>
      </c>
      <c r="Q633" s="14">
        <v>4821</v>
      </c>
      <c r="R633" s="12">
        <v>28</v>
      </c>
      <c r="S633" s="12" t="s">
        <v>919</v>
      </c>
      <c r="T633" s="22">
        <f t="shared" si="47"/>
        <v>11</v>
      </c>
      <c r="U633" s="22">
        <f t="shared" si="48"/>
        <v>2020</v>
      </c>
      <c r="V633" s="22" t="str">
        <f t="shared" si="49"/>
        <v>METROPOLITANA</v>
      </c>
    </row>
    <row r="634" spans="1:22" x14ac:dyDescent="0.2">
      <c r="A634" s="11" t="s">
        <v>904</v>
      </c>
      <c r="B634" s="12" t="s">
        <v>33</v>
      </c>
      <c r="C634" s="12" t="s">
        <v>44</v>
      </c>
      <c r="D634" s="12" t="s">
        <v>35</v>
      </c>
      <c r="E634" s="13">
        <v>107643206</v>
      </c>
      <c r="F634" s="12" t="s">
        <v>95</v>
      </c>
      <c r="G634" s="14">
        <v>1480.42</v>
      </c>
      <c r="H634" s="12" t="s">
        <v>22</v>
      </c>
      <c r="I634" s="12">
        <v>0</v>
      </c>
      <c r="J634" s="12" t="s">
        <v>95</v>
      </c>
      <c r="K634" s="12" t="s">
        <v>23</v>
      </c>
      <c r="L634" s="12">
        <v>4</v>
      </c>
      <c r="M634" s="15">
        <v>56075</v>
      </c>
      <c r="N634" s="15">
        <v>12000</v>
      </c>
      <c r="O634" s="15">
        <f t="shared" si="45"/>
        <v>68075</v>
      </c>
      <c r="P634" s="15">
        <f t="shared" si="46"/>
        <v>45.983572229502435</v>
      </c>
      <c r="Q634" s="14">
        <v>8011</v>
      </c>
      <c r="R634" s="12">
        <v>18</v>
      </c>
      <c r="S634" s="12" t="s">
        <v>920</v>
      </c>
      <c r="T634" s="22">
        <f t="shared" si="47"/>
        <v>11</v>
      </c>
      <c r="U634" s="22">
        <f t="shared" si="48"/>
        <v>2020</v>
      </c>
      <c r="V634" s="22" t="str">
        <f t="shared" si="49"/>
        <v>METROPOLITANA</v>
      </c>
    </row>
    <row r="635" spans="1:22" x14ac:dyDescent="0.2">
      <c r="A635" s="11" t="s">
        <v>904</v>
      </c>
      <c r="B635" s="12" t="s">
        <v>33</v>
      </c>
      <c r="C635" s="12" t="s">
        <v>44</v>
      </c>
      <c r="D635" s="12" t="s">
        <v>20</v>
      </c>
      <c r="E635" s="13">
        <v>78907355</v>
      </c>
      <c r="F635" s="12" t="s">
        <v>46</v>
      </c>
      <c r="G635" s="14">
        <v>4778.4399999999996</v>
      </c>
      <c r="H635" s="12" t="s">
        <v>22</v>
      </c>
      <c r="I635" s="12">
        <v>0</v>
      </c>
      <c r="J635" s="12" t="s">
        <v>46</v>
      </c>
      <c r="K635" s="12" t="s">
        <v>23</v>
      </c>
      <c r="L635" s="12">
        <v>2</v>
      </c>
      <c r="M635" s="15">
        <v>40475</v>
      </c>
      <c r="N635" s="15">
        <v>19114</v>
      </c>
      <c r="O635" s="15">
        <f t="shared" si="45"/>
        <v>59589</v>
      </c>
      <c r="P635" s="15">
        <f t="shared" si="46"/>
        <v>12.470387825315376</v>
      </c>
      <c r="Q635" s="14">
        <v>5782</v>
      </c>
      <c r="R635" s="12">
        <v>83</v>
      </c>
      <c r="S635" s="12" t="s">
        <v>921</v>
      </c>
      <c r="T635" s="22">
        <f t="shared" si="47"/>
        <v>11</v>
      </c>
      <c r="U635" s="22">
        <f t="shared" si="48"/>
        <v>2020</v>
      </c>
      <c r="V635" s="22" t="str">
        <f t="shared" si="49"/>
        <v>METROPOLITANA</v>
      </c>
    </row>
    <row r="636" spans="1:22" x14ac:dyDescent="0.2">
      <c r="A636" s="23" t="s">
        <v>922</v>
      </c>
      <c r="B636" s="22" t="s">
        <v>18</v>
      </c>
      <c r="C636" s="22" t="s">
        <v>19</v>
      </c>
      <c r="D636" s="22" t="s">
        <v>191</v>
      </c>
      <c r="E636" s="24" t="s">
        <v>192</v>
      </c>
      <c r="F636" s="22" t="s">
        <v>407</v>
      </c>
      <c r="G636" s="25">
        <v>21555.14</v>
      </c>
      <c r="H636" s="22" t="s">
        <v>85</v>
      </c>
      <c r="I636" s="22">
        <v>1</v>
      </c>
      <c r="J636" s="22" t="s">
        <v>458</v>
      </c>
      <c r="K636" s="22" t="s">
        <v>75</v>
      </c>
      <c r="L636" s="22">
        <v>0</v>
      </c>
      <c r="M636" s="26">
        <v>400000</v>
      </c>
      <c r="N636" s="26">
        <v>0</v>
      </c>
      <c r="O636" s="15">
        <f t="shared" si="45"/>
        <v>400000</v>
      </c>
      <c r="P636" s="15">
        <f t="shared" si="46"/>
        <v>18.557058780411541</v>
      </c>
      <c r="Q636" s="25">
        <v>25000</v>
      </c>
      <c r="R636" s="22">
        <v>75</v>
      </c>
      <c r="S636" s="22" t="s">
        <v>923</v>
      </c>
      <c r="T636" s="22">
        <f t="shared" si="47"/>
        <v>11</v>
      </c>
      <c r="U636" s="22">
        <f t="shared" si="48"/>
        <v>2020</v>
      </c>
      <c r="V636" s="22" t="str">
        <f t="shared" si="49"/>
        <v>REGIONES</v>
      </c>
    </row>
    <row r="637" spans="1:22" x14ac:dyDescent="0.2">
      <c r="A637" s="23" t="s">
        <v>922</v>
      </c>
      <c r="B637" s="22" t="s">
        <v>18</v>
      </c>
      <c r="C637" s="22" t="s">
        <v>19</v>
      </c>
      <c r="D637" s="22" t="s">
        <v>80</v>
      </c>
      <c r="E637" s="24" t="s">
        <v>81</v>
      </c>
      <c r="F637" s="22" t="s">
        <v>114</v>
      </c>
      <c r="G637" s="25">
        <v>20570.350000000009</v>
      </c>
      <c r="H637" s="22" t="s">
        <v>85</v>
      </c>
      <c r="I637" s="22">
        <v>1</v>
      </c>
      <c r="J637" s="22" t="s">
        <v>114</v>
      </c>
      <c r="K637" s="22" t="s">
        <v>75</v>
      </c>
      <c r="L637" s="22">
        <v>0</v>
      </c>
      <c r="M637" s="26">
        <v>380000</v>
      </c>
      <c r="N637" s="26">
        <v>0</v>
      </c>
      <c r="O637" s="15">
        <f t="shared" si="45"/>
        <v>380000</v>
      </c>
      <c r="P637" s="15">
        <f t="shared" si="46"/>
        <v>18.47319078187779</v>
      </c>
      <c r="Q637" s="25">
        <v>25000</v>
      </c>
      <c r="R637" s="22">
        <v>82</v>
      </c>
      <c r="S637" s="22" t="s">
        <v>924</v>
      </c>
      <c r="T637" s="22">
        <f t="shared" si="47"/>
        <v>11</v>
      </c>
      <c r="U637" s="22">
        <f t="shared" si="48"/>
        <v>2020</v>
      </c>
      <c r="V637" s="22" t="str">
        <f t="shared" si="49"/>
        <v>REGIONES</v>
      </c>
    </row>
    <row r="638" spans="1:22" x14ac:dyDescent="0.2">
      <c r="A638" s="23" t="s">
        <v>922</v>
      </c>
      <c r="B638" s="22" t="s">
        <v>18</v>
      </c>
      <c r="C638" s="22" t="s">
        <v>324</v>
      </c>
      <c r="D638" s="22" t="s">
        <v>27</v>
      </c>
      <c r="E638" s="24" t="s">
        <v>28</v>
      </c>
      <c r="F638" s="22" t="s">
        <v>325</v>
      </c>
      <c r="G638" s="25">
        <v>12181.16</v>
      </c>
      <c r="H638" s="22" t="s">
        <v>22</v>
      </c>
      <c r="I638" s="22">
        <v>1</v>
      </c>
      <c r="J638" s="22" t="s">
        <v>325</v>
      </c>
      <c r="K638" s="22" t="s">
        <v>78</v>
      </c>
      <c r="L638" s="22">
        <v>0</v>
      </c>
      <c r="M638" s="26">
        <v>230000</v>
      </c>
      <c r="N638" s="26">
        <f>G638*4</f>
        <v>48724.639999999999</v>
      </c>
      <c r="O638" s="15">
        <f t="shared" si="45"/>
        <v>278724.64</v>
      </c>
      <c r="P638" s="15">
        <f t="shared" si="46"/>
        <v>22.881617185883776</v>
      </c>
      <c r="Q638" s="25">
        <v>25000</v>
      </c>
      <c r="R638" s="22">
        <v>49</v>
      </c>
      <c r="S638" s="22" t="s">
        <v>925</v>
      </c>
      <c r="T638" s="22">
        <f t="shared" si="47"/>
        <v>11</v>
      </c>
      <c r="U638" s="22">
        <f t="shared" si="48"/>
        <v>2020</v>
      </c>
      <c r="V638" s="22" t="str">
        <f t="shared" si="49"/>
        <v>REGIONES</v>
      </c>
    </row>
    <row r="639" spans="1:22" x14ac:dyDescent="0.2">
      <c r="A639" s="23" t="s">
        <v>922</v>
      </c>
      <c r="B639" s="22" t="s">
        <v>18</v>
      </c>
      <c r="C639" s="22" t="s">
        <v>163</v>
      </c>
      <c r="D639" s="22" t="s">
        <v>37</v>
      </c>
      <c r="E639" s="24" t="s">
        <v>40</v>
      </c>
      <c r="F639" s="22" t="s">
        <v>165</v>
      </c>
      <c r="G639" s="25">
        <v>9717.1200000000008</v>
      </c>
      <c r="H639" s="22" t="s">
        <v>22</v>
      </c>
      <c r="I639" s="22">
        <v>0</v>
      </c>
      <c r="J639" s="22" t="s">
        <v>165</v>
      </c>
      <c r="K639" s="22" t="s">
        <v>23</v>
      </c>
      <c r="L639" s="22">
        <v>4</v>
      </c>
      <c r="M639" s="26">
        <v>68020</v>
      </c>
      <c r="N639" s="26">
        <f>G639*4</f>
        <v>38868.480000000003</v>
      </c>
      <c r="O639" s="15">
        <f t="shared" si="45"/>
        <v>106888.48000000001</v>
      </c>
      <c r="P639" s="15">
        <f t="shared" si="46"/>
        <v>11.000016465784102</v>
      </c>
      <c r="Q639" s="25">
        <v>8011</v>
      </c>
      <c r="R639" s="22">
        <v>100</v>
      </c>
      <c r="S639" s="22" t="s">
        <v>926</v>
      </c>
      <c r="T639" s="22">
        <f t="shared" si="47"/>
        <v>11</v>
      </c>
      <c r="U639" s="22">
        <f t="shared" si="48"/>
        <v>2020</v>
      </c>
      <c r="V639" s="22" t="str">
        <f t="shared" si="49"/>
        <v>METROPOLITANA</v>
      </c>
    </row>
    <row r="640" spans="1:22" x14ac:dyDescent="0.2">
      <c r="A640" s="23" t="s">
        <v>922</v>
      </c>
      <c r="B640" s="22" t="s">
        <v>33</v>
      </c>
      <c r="C640" s="22" t="s">
        <v>50</v>
      </c>
      <c r="D640" s="22" t="s">
        <v>20</v>
      </c>
      <c r="E640" s="24" t="s">
        <v>88</v>
      </c>
      <c r="F640" s="22" t="s">
        <v>26</v>
      </c>
      <c r="G640" s="25">
        <v>11012.4</v>
      </c>
      <c r="H640" s="22" t="s">
        <v>22</v>
      </c>
      <c r="I640" s="22">
        <v>0</v>
      </c>
      <c r="J640" s="22" t="s">
        <v>26</v>
      </c>
      <c r="K640" s="22" t="s">
        <v>23</v>
      </c>
      <c r="L640" s="22">
        <v>4</v>
      </c>
      <c r="M640" s="26">
        <v>77087</v>
      </c>
      <c r="N640" s="26">
        <f>G640*4</f>
        <v>44049.599999999999</v>
      </c>
      <c r="O640" s="15">
        <f t="shared" si="45"/>
        <v>121136.6</v>
      </c>
      <c r="P640" s="15">
        <f t="shared" si="46"/>
        <v>11.000018161345393</v>
      </c>
      <c r="Q640" s="25">
        <v>8011</v>
      </c>
      <c r="R640" s="22">
        <v>100</v>
      </c>
      <c r="S640" s="22" t="s">
        <v>927</v>
      </c>
      <c r="T640" s="22">
        <f t="shared" si="47"/>
        <v>11</v>
      </c>
      <c r="U640" s="22">
        <f t="shared" si="48"/>
        <v>2020</v>
      </c>
      <c r="V640" s="22" t="str">
        <f t="shared" si="49"/>
        <v>METROPOLITANA</v>
      </c>
    </row>
    <row r="641" spans="1:22" x14ac:dyDescent="0.2">
      <c r="A641" s="23" t="s">
        <v>922</v>
      </c>
      <c r="B641" s="22" t="s">
        <v>33</v>
      </c>
      <c r="C641" s="22" t="s">
        <v>44</v>
      </c>
      <c r="D641" s="22" t="s">
        <v>56</v>
      </c>
      <c r="E641" s="24" t="s">
        <v>28</v>
      </c>
      <c r="F641" s="22" t="s">
        <v>26</v>
      </c>
      <c r="G641" s="25">
        <v>4217.04</v>
      </c>
      <c r="H641" s="22" t="s">
        <v>22</v>
      </c>
      <c r="I641" s="22">
        <v>0</v>
      </c>
      <c r="J641" s="22" t="s">
        <v>26</v>
      </c>
      <c r="K641" s="22" t="s">
        <v>23</v>
      </c>
      <c r="L641" s="22">
        <v>4</v>
      </c>
      <c r="M641" s="26">
        <v>56075</v>
      </c>
      <c r="N641" s="26">
        <v>16868</v>
      </c>
      <c r="O641" s="15">
        <f t="shared" si="45"/>
        <v>72943</v>
      </c>
      <c r="P641" s="15">
        <f t="shared" si="46"/>
        <v>17.29720372583613</v>
      </c>
      <c r="Q641" s="25">
        <v>8011</v>
      </c>
      <c r="R641" s="22">
        <v>53</v>
      </c>
      <c r="S641" s="22" t="s">
        <v>928</v>
      </c>
      <c r="T641" s="22">
        <f t="shared" si="47"/>
        <v>11</v>
      </c>
      <c r="U641" s="22">
        <f t="shared" si="48"/>
        <v>2020</v>
      </c>
      <c r="V641" s="22" t="str">
        <f t="shared" si="49"/>
        <v>METROPOLITANA</v>
      </c>
    </row>
    <row r="642" spans="1:22" x14ac:dyDescent="0.2">
      <c r="A642" s="23" t="s">
        <v>922</v>
      </c>
      <c r="B642" s="22" t="s">
        <v>33</v>
      </c>
      <c r="C642" s="22" t="s">
        <v>44</v>
      </c>
      <c r="D642" s="22" t="s">
        <v>30</v>
      </c>
      <c r="E642" s="24" t="s">
        <v>31</v>
      </c>
      <c r="F642" s="22" t="s">
        <v>229</v>
      </c>
      <c r="G642" s="25">
        <v>4977.5999999999995</v>
      </c>
      <c r="H642" s="22" t="s">
        <v>32</v>
      </c>
      <c r="I642" s="22">
        <v>0</v>
      </c>
      <c r="J642" s="22" t="s">
        <v>230</v>
      </c>
      <c r="K642" s="22" t="s">
        <v>23</v>
      </c>
      <c r="L642" s="22">
        <v>4</v>
      </c>
      <c r="M642" s="26">
        <v>56075</v>
      </c>
      <c r="N642" s="26">
        <v>14933</v>
      </c>
      <c r="O642" s="15">
        <f t="shared" ref="O642:O705" si="50">SUM(M642:N642)</f>
        <v>71008</v>
      </c>
      <c r="P642" s="15">
        <f t="shared" ref="P642:P705" si="51">O642/G642</f>
        <v>14.265509482481519</v>
      </c>
      <c r="Q642" s="25">
        <v>8011</v>
      </c>
      <c r="R642" s="22">
        <v>62</v>
      </c>
      <c r="S642" s="22" t="s">
        <v>929</v>
      </c>
      <c r="T642" s="22">
        <f t="shared" ref="T642:T705" si="52">MONTH(A642)</f>
        <v>11</v>
      </c>
      <c r="U642" s="22">
        <f t="shared" ref="U642:U705" si="53">YEAR(A642)</f>
        <v>2020</v>
      </c>
      <c r="V642" s="22" t="str">
        <f t="shared" ref="V642:V705" si="54">IF(K642="METROPOLITANA DE SANTIAGO","METROPOLITANA","REGIONES")</f>
        <v>METROPOLITANA</v>
      </c>
    </row>
    <row r="643" spans="1:22" x14ac:dyDescent="0.2">
      <c r="A643" s="23" t="s">
        <v>922</v>
      </c>
      <c r="B643" s="22" t="s">
        <v>33</v>
      </c>
      <c r="C643" s="22" t="s">
        <v>44</v>
      </c>
      <c r="D643" s="22" t="s">
        <v>45</v>
      </c>
      <c r="E643" s="24" t="s">
        <v>88</v>
      </c>
      <c r="F643" s="22" t="s">
        <v>95</v>
      </c>
      <c r="G643" s="25">
        <v>1765.6</v>
      </c>
      <c r="H643" s="22" t="s">
        <v>22</v>
      </c>
      <c r="I643" s="22">
        <v>0</v>
      </c>
      <c r="J643" s="22" t="s">
        <v>95</v>
      </c>
      <c r="K643" s="22" t="s">
        <v>23</v>
      </c>
      <c r="L643" s="22">
        <v>4</v>
      </c>
      <c r="M643" s="26">
        <v>56075</v>
      </c>
      <c r="N643" s="26">
        <v>12000</v>
      </c>
      <c r="O643" s="15">
        <f t="shared" si="50"/>
        <v>68075</v>
      </c>
      <c r="P643" s="15">
        <f t="shared" si="51"/>
        <v>38.556298142274585</v>
      </c>
      <c r="Q643" s="25">
        <v>8011</v>
      </c>
      <c r="R643" s="22">
        <v>22</v>
      </c>
      <c r="S643" s="22" t="s">
        <v>930</v>
      </c>
      <c r="T643" s="22">
        <f t="shared" si="52"/>
        <v>11</v>
      </c>
      <c r="U643" s="22">
        <f t="shared" si="53"/>
        <v>2020</v>
      </c>
      <c r="V643" s="22" t="str">
        <f t="shared" si="54"/>
        <v>METROPOLITANA</v>
      </c>
    </row>
    <row r="644" spans="1:22" x14ac:dyDescent="0.2">
      <c r="A644" s="23" t="s">
        <v>922</v>
      </c>
      <c r="B644" s="22" t="s">
        <v>33</v>
      </c>
      <c r="C644" s="22" t="s">
        <v>44</v>
      </c>
      <c r="D644" s="22" t="s">
        <v>47</v>
      </c>
      <c r="E644" s="24" t="s">
        <v>49</v>
      </c>
      <c r="F644" s="22" t="s">
        <v>48</v>
      </c>
      <c r="G644" s="25">
        <v>3751.72</v>
      </c>
      <c r="H644" s="22" t="s">
        <v>22</v>
      </c>
      <c r="I644" s="22">
        <v>0</v>
      </c>
      <c r="J644" s="22" t="s">
        <v>48</v>
      </c>
      <c r="K644" s="22" t="s">
        <v>23</v>
      </c>
      <c r="L644" s="22">
        <v>1</v>
      </c>
      <c r="M644" s="26">
        <v>33750</v>
      </c>
      <c r="N644" s="26">
        <v>15007</v>
      </c>
      <c r="O644" s="15">
        <f t="shared" si="50"/>
        <v>48757</v>
      </c>
      <c r="P644" s="15">
        <f t="shared" si="51"/>
        <v>12.995905877837366</v>
      </c>
      <c r="Q644" s="25">
        <v>4821</v>
      </c>
      <c r="R644" s="22">
        <v>78</v>
      </c>
      <c r="S644" s="22" t="s">
        <v>931</v>
      </c>
      <c r="T644" s="22">
        <f t="shared" si="52"/>
        <v>11</v>
      </c>
      <c r="U644" s="22">
        <f t="shared" si="53"/>
        <v>2020</v>
      </c>
      <c r="V644" s="22" t="str">
        <f t="shared" si="54"/>
        <v>METROPOLITANA</v>
      </c>
    </row>
    <row r="645" spans="1:22" x14ac:dyDescent="0.2">
      <c r="A645" s="23" t="s">
        <v>922</v>
      </c>
      <c r="B645" s="22" t="s">
        <v>33</v>
      </c>
      <c r="C645" s="22" t="s">
        <v>44</v>
      </c>
      <c r="D645" s="22" t="s">
        <v>47</v>
      </c>
      <c r="E645" s="24" t="s">
        <v>47</v>
      </c>
      <c r="F645" s="22" t="s">
        <v>48</v>
      </c>
      <c r="G645" s="25">
        <v>2241.1999999999998</v>
      </c>
      <c r="H645" s="22" t="s">
        <v>22</v>
      </c>
      <c r="I645" s="22">
        <v>0</v>
      </c>
      <c r="J645" s="22" t="s">
        <v>48</v>
      </c>
      <c r="K645" s="22" t="s">
        <v>23</v>
      </c>
      <c r="L645" s="22">
        <v>1</v>
      </c>
      <c r="M645" s="26">
        <v>33750</v>
      </c>
      <c r="N645" s="26">
        <v>12000</v>
      </c>
      <c r="O645" s="15">
        <f t="shared" si="50"/>
        <v>45750</v>
      </c>
      <c r="P645" s="15">
        <f t="shared" si="51"/>
        <v>20.413171515259684</v>
      </c>
      <c r="Q645" s="25">
        <v>4821</v>
      </c>
      <c r="R645" s="22">
        <v>46</v>
      </c>
      <c r="S645" s="22" t="s">
        <v>932</v>
      </c>
      <c r="T645" s="22">
        <f t="shared" si="52"/>
        <v>11</v>
      </c>
      <c r="U645" s="22">
        <f t="shared" si="53"/>
        <v>2020</v>
      </c>
      <c r="V645" s="22" t="str">
        <f t="shared" si="54"/>
        <v>METROPOLITANA</v>
      </c>
    </row>
    <row r="646" spans="1:22" x14ac:dyDescent="0.2">
      <c r="A646" s="23" t="s">
        <v>922</v>
      </c>
      <c r="B646" s="22" t="s">
        <v>33</v>
      </c>
      <c r="C646" s="22" t="s">
        <v>44</v>
      </c>
      <c r="D646" s="22" t="s">
        <v>35</v>
      </c>
      <c r="E646" s="24" t="s">
        <v>52</v>
      </c>
      <c r="F646" s="22" t="s">
        <v>34</v>
      </c>
      <c r="G646" s="25">
        <v>2754</v>
      </c>
      <c r="H646" s="22" t="s">
        <v>22</v>
      </c>
      <c r="I646" s="22">
        <v>0</v>
      </c>
      <c r="J646" s="22" t="s">
        <v>34</v>
      </c>
      <c r="K646" s="22" t="s">
        <v>23</v>
      </c>
      <c r="L646" s="22">
        <v>1</v>
      </c>
      <c r="M646" s="26">
        <v>33750</v>
      </c>
      <c r="N646" s="26">
        <v>12000</v>
      </c>
      <c r="O646" s="15">
        <f t="shared" si="50"/>
        <v>45750</v>
      </c>
      <c r="P646" s="15">
        <f t="shared" si="51"/>
        <v>16.612200435729847</v>
      </c>
      <c r="Q646" s="25">
        <v>4821</v>
      </c>
      <c r="R646" s="22">
        <v>57</v>
      </c>
      <c r="S646" s="22" t="s">
        <v>933</v>
      </c>
      <c r="T646" s="22">
        <f t="shared" si="52"/>
        <v>11</v>
      </c>
      <c r="U646" s="22">
        <f t="shared" si="53"/>
        <v>2020</v>
      </c>
      <c r="V646" s="22" t="str">
        <f t="shared" si="54"/>
        <v>METROPOLITANA</v>
      </c>
    </row>
    <row r="647" spans="1:22" x14ac:dyDescent="0.2">
      <c r="A647" s="23" t="s">
        <v>922</v>
      </c>
      <c r="B647" s="22" t="s">
        <v>33</v>
      </c>
      <c r="C647" s="22" t="s">
        <v>44</v>
      </c>
      <c r="D647" s="22" t="s">
        <v>20</v>
      </c>
      <c r="E647" s="24" t="s">
        <v>21</v>
      </c>
      <c r="F647" s="22" t="s">
        <v>51</v>
      </c>
      <c r="G647" s="25">
        <v>3209.34</v>
      </c>
      <c r="H647" s="22" t="s">
        <v>22</v>
      </c>
      <c r="I647" s="22">
        <v>0</v>
      </c>
      <c r="J647" s="22" t="s">
        <v>51</v>
      </c>
      <c r="K647" s="22" t="s">
        <v>23</v>
      </c>
      <c r="L647" s="22">
        <v>4</v>
      </c>
      <c r="M647" s="26">
        <v>56075</v>
      </c>
      <c r="N647" s="26">
        <v>12837</v>
      </c>
      <c r="O647" s="15">
        <f t="shared" si="50"/>
        <v>68912</v>
      </c>
      <c r="P647" s="15">
        <f t="shared" si="51"/>
        <v>21.472327643689979</v>
      </c>
      <c r="Q647" s="25">
        <v>8011</v>
      </c>
      <c r="R647" s="22">
        <v>40</v>
      </c>
      <c r="S647" s="22" t="s">
        <v>934</v>
      </c>
      <c r="T647" s="22">
        <f t="shared" si="52"/>
        <v>11</v>
      </c>
      <c r="U647" s="22">
        <f t="shared" si="53"/>
        <v>2020</v>
      </c>
      <c r="V647" s="22" t="str">
        <f t="shared" si="54"/>
        <v>METROPOLITANA</v>
      </c>
    </row>
    <row r="648" spans="1:22" x14ac:dyDescent="0.2">
      <c r="A648" s="11" t="s">
        <v>935</v>
      </c>
      <c r="B648" s="12" t="s">
        <v>54</v>
      </c>
      <c r="C648" s="12" t="s">
        <v>55</v>
      </c>
      <c r="D648" s="12" t="s">
        <v>636</v>
      </c>
      <c r="E648" s="13" t="s">
        <v>639</v>
      </c>
      <c r="F648" s="12" t="s">
        <v>66</v>
      </c>
      <c r="G648" s="14">
        <v>14627.599999999989</v>
      </c>
      <c r="H648" s="12" t="s">
        <v>85</v>
      </c>
      <c r="I648" s="12">
        <v>1</v>
      </c>
      <c r="J648" s="12" t="s">
        <v>66</v>
      </c>
      <c r="K648" s="12" t="s">
        <v>75</v>
      </c>
      <c r="L648" s="12">
        <v>0</v>
      </c>
      <c r="M648" s="15">
        <v>380000</v>
      </c>
      <c r="N648" s="15">
        <v>0</v>
      </c>
      <c r="O648" s="15">
        <f t="shared" si="50"/>
        <v>380000</v>
      </c>
      <c r="P648" s="15">
        <f t="shared" si="51"/>
        <v>25.978287620662329</v>
      </c>
      <c r="Q648" s="14">
        <v>25000</v>
      </c>
      <c r="R648" s="12">
        <v>59</v>
      </c>
      <c r="S648" s="12" t="s">
        <v>936</v>
      </c>
      <c r="T648" s="22">
        <f t="shared" si="52"/>
        <v>12</v>
      </c>
      <c r="U648" s="22">
        <f t="shared" si="53"/>
        <v>2020</v>
      </c>
      <c r="V648" s="22" t="str">
        <f t="shared" si="54"/>
        <v>REGIONES</v>
      </c>
    </row>
    <row r="649" spans="1:22" x14ac:dyDescent="0.2">
      <c r="A649" s="11" t="s">
        <v>935</v>
      </c>
      <c r="B649" s="12" t="s">
        <v>18</v>
      </c>
      <c r="C649" s="12" t="s">
        <v>71</v>
      </c>
      <c r="D649" s="12" t="s">
        <v>27</v>
      </c>
      <c r="E649" s="13" t="s">
        <v>28</v>
      </c>
      <c r="F649" s="12" t="s">
        <v>72</v>
      </c>
      <c r="G649" s="14">
        <v>17669.919999999991</v>
      </c>
      <c r="H649" s="12" t="s">
        <v>22</v>
      </c>
      <c r="I649" s="12">
        <v>1</v>
      </c>
      <c r="J649" s="12" t="s">
        <v>72</v>
      </c>
      <c r="K649" s="12" t="s">
        <v>23</v>
      </c>
      <c r="L649" s="12">
        <v>5</v>
      </c>
      <c r="M649" s="15">
        <v>120000</v>
      </c>
      <c r="N649" s="15">
        <v>0</v>
      </c>
      <c r="O649" s="15">
        <f t="shared" si="50"/>
        <v>120000</v>
      </c>
      <c r="P649" s="15">
        <f t="shared" si="51"/>
        <v>6.7912022238923582</v>
      </c>
      <c r="Q649" s="14">
        <v>12000</v>
      </c>
      <c r="R649" s="12">
        <v>100</v>
      </c>
      <c r="S649" s="12" t="s">
        <v>937</v>
      </c>
      <c r="T649" s="22">
        <f t="shared" si="52"/>
        <v>12</v>
      </c>
      <c r="U649" s="22">
        <f t="shared" si="53"/>
        <v>2020</v>
      </c>
      <c r="V649" s="22" t="str">
        <f t="shared" si="54"/>
        <v>METROPOLITANA</v>
      </c>
    </row>
    <row r="650" spans="1:22" x14ac:dyDescent="0.2">
      <c r="A650" s="11" t="s">
        <v>935</v>
      </c>
      <c r="B650" s="12" t="s">
        <v>18</v>
      </c>
      <c r="C650" s="12" t="s">
        <v>57</v>
      </c>
      <c r="D650" s="12" t="s">
        <v>938</v>
      </c>
      <c r="E650" s="13" t="s">
        <v>939</v>
      </c>
      <c r="F650" s="12" t="s">
        <v>407</v>
      </c>
      <c r="G650" s="14">
        <v>10535.36</v>
      </c>
      <c r="H650" s="12" t="s">
        <v>24</v>
      </c>
      <c r="I650" s="12">
        <v>1</v>
      </c>
      <c r="J650" s="12" t="s">
        <v>407</v>
      </c>
      <c r="K650" s="12" t="s">
        <v>408</v>
      </c>
      <c r="L650" s="12">
        <v>0</v>
      </c>
      <c r="M650" s="15">
        <v>600000</v>
      </c>
      <c r="N650" s="15">
        <v>0</v>
      </c>
      <c r="O650" s="15">
        <f t="shared" si="50"/>
        <v>600000</v>
      </c>
      <c r="P650" s="15">
        <f t="shared" si="51"/>
        <v>56.951067642681402</v>
      </c>
      <c r="Q650" s="14">
        <v>25000</v>
      </c>
      <c r="R650" s="12">
        <v>42</v>
      </c>
      <c r="S650" s="12" t="s">
        <v>940</v>
      </c>
      <c r="T650" s="22">
        <f t="shared" si="52"/>
        <v>12</v>
      </c>
      <c r="U650" s="22">
        <f t="shared" si="53"/>
        <v>2020</v>
      </c>
      <c r="V650" s="22" t="str">
        <f t="shared" si="54"/>
        <v>REGIONES</v>
      </c>
    </row>
    <row r="651" spans="1:22" x14ac:dyDescent="0.2">
      <c r="A651" s="11" t="s">
        <v>935</v>
      </c>
      <c r="B651" s="12" t="s">
        <v>18</v>
      </c>
      <c r="C651" s="12" t="s">
        <v>457</v>
      </c>
      <c r="D651" s="12" t="s">
        <v>118</v>
      </c>
      <c r="E651" s="13" t="s">
        <v>119</v>
      </c>
      <c r="F651" s="12" t="s">
        <v>458</v>
      </c>
      <c r="G651" s="14">
        <v>7454.89</v>
      </c>
      <c r="H651" s="12" t="s">
        <v>85</v>
      </c>
      <c r="I651" s="12">
        <v>1</v>
      </c>
      <c r="J651" s="12" t="s">
        <v>458</v>
      </c>
      <c r="K651" s="12" t="s">
        <v>75</v>
      </c>
      <c r="L651" s="12">
        <v>0</v>
      </c>
      <c r="M651" s="15">
        <v>380000</v>
      </c>
      <c r="N651" s="15">
        <v>0</v>
      </c>
      <c r="O651" s="15">
        <f t="shared" si="50"/>
        <v>380000</v>
      </c>
      <c r="P651" s="15">
        <f t="shared" si="51"/>
        <v>50.973253797172056</v>
      </c>
      <c r="Q651" s="14">
        <v>25000</v>
      </c>
      <c r="R651" s="12">
        <v>30</v>
      </c>
      <c r="S651" s="12" t="s">
        <v>941</v>
      </c>
      <c r="T651" s="22">
        <f t="shared" si="52"/>
        <v>12</v>
      </c>
      <c r="U651" s="22">
        <f t="shared" si="53"/>
        <v>2020</v>
      </c>
      <c r="V651" s="22" t="str">
        <f t="shared" si="54"/>
        <v>REGIONES</v>
      </c>
    </row>
    <row r="652" spans="1:22" x14ac:dyDescent="0.2">
      <c r="A652" s="11" t="s">
        <v>935</v>
      </c>
      <c r="B652" s="12" t="s">
        <v>33</v>
      </c>
      <c r="C652" s="12" t="s">
        <v>50</v>
      </c>
      <c r="D652" s="12" t="s">
        <v>37</v>
      </c>
      <c r="E652" s="13" t="s">
        <v>40</v>
      </c>
      <c r="F652" s="12" t="s">
        <v>26</v>
      </c>
      <c r="G652" s="14">
        <v>13214.88</v>
      </c>
      <c r="H652" s="12" t="s">
        <v>22</v>
      </c>
      <c r="I652" s="12">
        <v>0</v>
      </c>
      <c r="J652" s="12" t="s">
        <v>26</v>
      </c>
      <c r="K652" s="12" t="s">
        <v>23</v>
      </c>
      <c r="L652" s="12">
        <v>4</v>
      </c>
      <c r="M652" s="15">
        <v>92504</v>
      </c>
      <c r="N652" s="15">
        <f>G652*4</f>
        <v>52859.519999999997</v>
      </c>
      <c r="O652" s="15">
        <f t="shared" si="50"/>
        <v>145363.51999999999</v>
      </c>
      <c r="P652" s="15">
        <f t="shared" si="51"/>
        <v>10.999987892436405</v>
      </c>
      <c r="Q652" s="14">
        <v>8011</v>
      </c>
      <c r="R652" s="12">
        <v>100</v>
      </c>
      <c r="S652" s="12" t="s">
        <v>942</v>
      </c>
      <c r="T652" s="22">
        <f t="shared" si="52"/>
        <v>12</v>
      </c>
      <c r="U652" s="22">
        <f t="shared" si="53"/>
        <v>2020</v>
      </c>
      <c r="V652" s="22" t="str">
        <f t="shared" si="54"/>
        <v>METROPOLITANA</v>
      </c>
    </row>
    <row r="653" spans="1:22" x14ac:dyDescent="0.2">
      <c r="A653" s="11" t="s">
        <v>935</v>
      </c>
      <c r="B653" s="12" t="s">
        <v>33</v>
      </c>
      <c r="C653" s="12" t="s">
        <v>50</v>
      </c>
      <c r="D653" s="12" t="s">
        <v>20</v>
      </c>
      <c r="E653" s="13" t="s">
        <v>21</v>
      </c>
      <c r="F653" s="12" t="s">
        <v>26</v>
      </c>
      <c r="G653" s="14">
        <v>11746.56</v>
      </c>
      <c r="H653" s="12" t="s">
        <v>22</v>
      </c>
      <c r="I653" s="12">
        <v>0</v>
      </c>
      <c r="J653" s="12" t="s">
        <v>26</v>
      </c>
      <c r="K653" s="12" t="s">
        <v>23</v>
      </c>
      <c r="L653" s="12">
        <v>4</v>
      </c>
      <c r="M653" s="15">
        <v>82226</v>
      </c>
      <c r="N653" s="15">
        <f>G653*4</f>
        <v>46986.239999999998</v>
      </c>
      <c r="O653" s="15">
        <f t="shared" si="50"/>
        <v>129212.23999999999</v>
      </c>
      <c r="P653" s="15">
        <f t="shared" si="51"/>
        <v>11.000006810504521</v>
      </c>
      <c r="Q653" s="14">
        <v>8011</v>
      </c>
      <c r="R653" s="12">
        <v>100</v>
      </c>
      <c r="S653" s="12" t="s">
        <v>943</v>
      </c>
      <c r="T653" s="22">
        <f t="shared" si="52"/>
        <v>12</v>
      </c>
      <c r="U653" s="22">
        <f t="shared" si="53"/>
        <v>2020</v>
      </c>
      <c r="V653" s="22" t="str">
        <f t="shared" si="54"/>
        <v>METROPOLITANA</v>
      </c>
    </row>
    <row r="654" spans="1:22" x14ac:dyDescent="0.2">
      <c r="A654" s="11" t="s">
        <v>935</v>
      </c>
      <c r="B654" s="12" t="s">
        <v>33</v>
      </c>
      <c r="C654" s="12" t="s">
        <v>128</v>
      </c>
      <c r="D654" s="12" t="s">
        <v>38</v>
      </c>
      <c r="E654" s="13" t="s">
        <v>42</v>
      </c>
      <c r="F654" s="12" t="s">
        <v>129</v>
      </c>
      <c r="G654" s="14">
        <v>8328.3999999999978</v>
      </c>
      <c r="H654" s="12" t="s">
        <v>43</v>
      </c>
      <c r="I654" s="12">
        <v>0</v>
      </c>
      <c r="J654" s="12" t="s">
        <v>129</v>
      </c>
      <c r="K654" s="12" t="s">
        <v>23</v>
      </c>
      <c r="L654" s="12">
        <v>1</v>
      </c>
      <c r="M654" s="15">
        <v>58299</v>
      </c>
      <c r="N654" s="15">
        <v>24985</v>
      </c>
      <c r="O654" s="15">
        <f t="shared" si="50"/>
        <v>83284</v>
      </c>
      <c r="P654" s="15">
        <f t="shared" si="51"/>
        <v>10.000000000000002</v>
      </c>
      <c r="Q654" s="14">
        <v>4821</v>
      </c>
      <c r="R654" s="12">
        <v>100</v>
      </c>
      <c r="S654" s="12" t="s">
        <v>944</v>
      </c>
      <c r="T654" s="22">
        <f t="shared" si="52"/>
        <v>12</v>
      </c>
      <c r="U654" s="22">
        <f t="shared" si="53"/>
        <v>2020</v>
      </c>
      <c r="V654" s="22" t="str">
        <f t="shared" si="54"/>
        <v>METROPOLITANA</v>
      </c>
    </row>
    <row r="655" spans="1:22" x14ac:dyDescent="0.2">
      <c r="A655" s="11" t="s">
        <v>935</v>
      </c>
      <c r="B655" s="12" t="s">
        <v>33</v>
      </c>
      <c r="C655" s="12" t="s">
        <v>128</v>
      </c>
      <c r="D655" s="12" t="s">
        <v>63</v>
      </c>
      <c r="E655" s="13" t="s">
        <v>64</v>
      </c>
      <c r="F655" s="12" t="s">
        <v>34</v>
      </c>
      <c r="G655" s="14">
        <v>4482.8999999999996</v>
      </c>
      <c r="H655" s="12" t="s">
        <v>65</v>
      </c>
      <c r="I655" s="12">
        <v>0</v>
      </c>
      <c r="J655" s="12" t="s">
        <v>34</v>
      </c>
      <c r="K655" s="12" t="s">
        <v>23</v>
      </c>
      <c r="L655" s="12">
        <v>1</v>
      </c>
      <c r="M655" s="15">
        <v>33750</v>
      </c>
      <c r="N655" s="15">
        <v>13449</v>
      </c>
      <c r="O655" s="15">
        <f t="shared" si="50"/>
        <v>47199</v>
      </c>
      <c r="P655" s="15">
        <f t="shared" si="51"/>
        <v>10.528675634076157</v>
      </c>
      <c r="Q655" s="14">
        <v>4821</v>
      </c>
      <c r="R655" s="12">
        <v>93</v>
      </c>
      <c r="S655" s="12" t="s">
        <v>945</v>
      </c>
      <c r="T655" s="22">
        <f t="shared" si="52"/>
        <v>12</v>
      </c>
      <c r="U655" s="22">
        <f t="shared" si="53"/>
        <v>2020</v>
      </c>
      <c r="V655" s="22" t="str">
        <f t="shared" si="54"/>
        <v>METROPOLITANA</v>
      </c>
    </row>
    <row r="656" spans="1:22" x14ac:dyDescent="0.2">
      <c r="A656" s="11" t="s">
        <v>935</v>
      </c>
      <c r="B656" s="12" t="s">
        <v>33</v>
      </c>
      <c r="C656" s="12" t="s">
        <v>128</v>
      </c>
      <c r="D656" s="12" t="s">
        <v>63</v>
      </c>
      <c r="E656" s="13" t="s">
        <v>64</v>
      </c>
      <c r="F656" s="12" t="s">
        <v>129</v>
      </c>
      <c r="G656" s="14">
        <v>10429.6</v>
      </c>
      <c r="H656" s="12" t="s">
        <v>65</v>
      </c>
      <c r="I656" s="12">
        <v>0</v>
      </c>
      <c r="J656" s="12" t="s">
        <v>129</v>
      </c>
      <c r="K656" s="12" t="s">
        <v>23</v>
      </c>
      <c r="L656" s="12">
        <v>1</v>
      </c>
      <c r="M656" s="15">
        <v>73007</v>
      </c>
      <c r="N656" s="15">
        <v>31289</v>
      </c>
      <c r="O656" s="15">
        <f t="shared" si="50"/>
        <v>104296</v>
      </c>
      <c r="P656" s="15">
        <f t="shared" si="51"/>
        <v>10</v>
      </c>
      <c r="Q656" s="14">
        <v>4821</v>
      </c>
      <c r="R656" s="12">
        <v>100</v>
      </c>
      <c r="S656" s="12" t="s">
        <v>946</v>
      </c>
      <c r="T656" s="22">
        <f t="shared" si="52"/>
        <v>12</v>
      </c>
      <c r="U656" s="22">
        <f t="shared" si="53"/>
        <v>2020</v>
      </c>
      <c r="V656" s="22" t="str">
        <f t="shared" si="54"/>
        <v>METROPOLITANA</v>
      </c>
    </row>
    <row r="657" spans="1:22" x14ac:dyDescent="0.2">
      <c r="A657" s="11" t="s">
        <v>935</v>
      </c>
      <c r="B657" s="12" t="s">
        <v>33</v>
      </c>
      <c r="C657" s="12" t="s">
        <v>223</v>
      </c>
      <c r="D657" s="12" t="s">
        <v>41</v>
      </c>
      <c r="E657" s="13" t="s">
        <v>25</v>
      </c>
      <c r="F657" s="12" t="s">
        <v>39</v>
      </c>
      <c r="G657" s="14">
        <v>12254</v>
      </c>
      <c r="H657" s="12" t="s">
        <v>43</v>
      </c>
      <c r="I657" s="12">
        <v>0</v>
      </c>
      <c r="J657" s="12" t="s">
        <v>39</v>
      </c>
      <c r="K657" s="12" t="s">
        <v>23</v>
      </c>
      <c r="L657" s="12">
        <v>1</v>
      </c>
      <c r="M657" s="15">
        <v>85778</v>
      </c>
      <c r="N657" s="15">
        <f>G657*3</f>
        <v>36762</v>
      </c>
      <c r="O657" s="15">
        <f t="shared" si="50"/>
        <v>122540</v>
      </c>
      <c r="P657" s="15">
        <f t="shared" si="51"/>
        <v>10</v>
      </c>
      <c r="Q657" s="14">
        <v>4821</v>
      </c>
      <c r="R657" s="12">
        <v>100</v>
      </c>
      <c r="S657" s="12" t="s">
        <v>947</v>
      </c>
      <c r="T657" s="22">
        <f t="shared" si="52"/>
        <v>12</v>
      </c>
      <c r="U657" s="22">
        <f t="shared" si="53"/>
        <v>2020</v>
      </c>
      <c r="V657" s="22" t="str">
        <f t="shared" si="54"/>
        <v>METROPOLITANA</v>
      </c>
    </row>
    <row r="658" spans="1:22" x14ac:dyDescent="0.2">
      <c r="A658" s="11" t="s">
        <v>935</v>
      </c>
      <c r="B658" s="12" t="s">
        <v>33</v>
      </c>
      <c r="C658" s="12" t="s">
        <v>44</v>
      </c>
      <c r="D658" s="12" t="s">
        <v>56</v>
      </c>
      <c r="E658" s="13" t="s">
        <v>28</v>
      </c>
      <c r="F658" s="12" t="s">
        <v>67</v>
      </c>
      <c r="G658" s="14">
        <v>6102.3599999999988</v>
      </c>
      <c r="H658" s="12" t="s">
        <v>22</v>
      </c>
      <c r="I658" s="12">
        <v>0</v>
      </c>
      <c r="J658" s="12" t="s">
        <v>67</v>
      </c>
      <c r="K658" s="12" t="s">
        <v>23</v>
      </c>
      <c r="L658" s="12">
        <v>2</v>
      </c>
      <c r="M658" s="15">
        <v>42717</v>
      </c>
      <c r="N658" s="15">
        <v>24409</v>
      </c>
      <c r="O658" s="15">
        <f t="shared" si="50"/>
        <v>67126</v>
      </c>
      <c r="P658" s="15">
        <f t="shared" si="51"/>
        <v>11.000006554841081</v>
      </c>
      <c r="Q658" s="14">
        <v>5782</v>
      </c>
      <c r="R658" s="12">
        <v>100</v>
      </c>
      <c r="S658" s="12" t="s">
        <v>948</v>
      </c>
      <c r="T658" s="22">
        <f t="shared" si="52"/>
        <v>12</v>
      </c>
      <c r="U658" s="22">
        <f t="shared" si="53"/>
        <v>2020</v>
      </c>
      <c r="V658" s="22" t="str">
        <f t="shared" si="54"/>
        <v>METROPOLITANA</v>
      </c>
    </row>
    <row r="659" spans="1:22" x14ac:dyDescent="0.2">
      <c r="A659" s="11" t="s">
        <v>935</v>
      </c>
      <c r="B659" s="12" t="s">
        <v>33</v>
      </c>
      <c r="C659" s="12" t="s">
        <v>44</v>
      </c>
      <c r="D659" s="12" t="s">
        <v>38</v>
      </c>
      <c r="E659" s="13" t="s">
        <v>42</v>
      </c>
      <c r="F659" s="12" t="s">
        <v>26</v>
      </c>
      <c r="G659" s="14">
        <v>3531.2999999999988</v>
      </c>
      <c r="H659" s="12" t="s">
        <v>43</v>
      </c>
      <c r="I659" s="12">
        <v>0</v>
      </c>
      <c r="J659" s="12" t="s">
        <v>26</v>
      </c>
      <c r="K659" s="12" t="s">
        <v>23</v>
      </c>
      <c r="L659" s="12">
        <v>4</v>
      </c>
      <c r="M659" s="15">
        <v>56075</v>
      </c>
      <c r="N659" s="15">
        <v>10594</v>
      </c>
      <c r="O659" s="15">
        <f t="shared" si="50"/>
        <v>66669</v>
      </c>
      <c r="P659" s="15">
        <f t="shared" si="51"/>
        <v>18.879449494520436</v>
      </c>
      <c r="Q659" s="14">
        <v>8011</v>
      </c>
      <c r="R659" s="12">
        <v>44</v>
      </c>
      <c r="S659" s="12" t="s">
        <v>949</v>
      </c>
      <c r="T659" s="22">
        <f t="shared" si="52"/>
        <v>12</v>
      </c>
      <c r="U659" s="22">
        <f t="shared" si="53"/>
        <v>2020</v>
      </c>
      <c r="V659" s="22" t="str">
        <f t="shared" si="54"/>
        <v>METROPOLITANA</v>
      </c>
    </row>
    <row r="660" spans="1:22" x14ac:dyDescent="0.2">
      <c r="A660" s="11" t="s">
        <v>935</v>
      </c>
      <c r="B660" s="12" t="s">
        <v>33</v>
      </c>
      <c r="C660" s="12" t="s">
        <v>44</v>
      </c>
      <c r="D660" s="12" t="s">
        <v>30</v>
      </c>
      <c r="E660" s="13" t="s">
        <v>31</v>
      </c>
      <c r="F660" s="12" t="s">
        <v>53</v>
      </c>
      <c r="G660" s="14">
        <v>4036.1</v>
      </c>
      <c r="H660" s="12" t="s">
        <v>32</v>
      </c>
      <c r="I660" s="12">
        <v>0</v>
      </c>
      <c r="J660" s="12" t="s">
        <v>53</v>
      </c>
      <c r="K660" s="12" t="s">
        <v>23</v>
      </c>
      <c r="L660" s="12">
        <v>3</v>
      </c>
      <c r="M660" s="15">
        <v>48075</v>
      </c>
      <c r="N660" s="15">
        <v>12108</v>
      </c>
      <c r="O660" s="15">
        <f t="shared" si="50"/>
        <v>60183</v>
      </c>
      <c r="P660" s="15">
        <f t="shared" si="51"/>
        <v>14.911176630906073</v>
      </c>
      <c r="Q660" s="14">
        <v>6868</v>
      </c>
      <c r="R660" s="12">
        <v>59</v>
      </c>
      <c r="S660" s="12" t="s">
        <v>950</v>
      </c>
      <c r="T660" s="22">
        <f t="shared" si="52"/>
        <v>12</v>
      </c>
      <c r="U660" s="22">
        <f t="shared" si="53"/>
        <v>2020</v>
      </c>
      <c r="V660" s="22" t="str">
        <f t="shared" si="54"/>
        <v>METROPOLITANA</v>
      </c>
    </row>
    <row r="661" spans="1:22" x14ac:dyDescent="0.2">
      <c r="A661" s="11" t="s">
        <v>935</v>
      </c>
      <c r="B661" s="12" t="s">
        <v>33</v>
      </c>
      <c r="C661" s="12" t="s">
        <v>44</v>
      </c>
      <c r="D661" s="12" t="s">
        <v>45</v>
      </c>
      <c r="E661" s="13" t="s">
        <v>28</v>
      </c>
      <c r="F661" s="12" t="s">
        <v>182</v>
      </c>
      <c r="G661" s="14">
        <v>3638.4</v>
      </c>
      <c r="H661" s="12" t="s">
        <v>22</v>
      </c>
      <c r="I661" s="12">
        <v>0</v>
      </c>
      <c r="J661" s="12" t="s">
        <v>182</v>
      </c>
      <c r="K661" s="12" t="s">
        <v>23</v>
      </c>
      <c r="L661" s="12">
        <v>4</v>
      </c>
      <c r="M661" s="15">
        <v>56075</v>
      </c>
      <c r="N661" s="15">
        <v>14554</v>
      </c>
      <c r="O661" s="15">
        <f t="shared" si="50"/>
        <v>70629</v>
      </c>
      <c r="P661" s="15">
        <f t="shared" si="51"/>
        <v>19.412104221635882</v>
      </c>
      <c r="Q661" s="14">
        <v>8011</v>
      </c>
      <c r="R661" s="12">
        <v>45</v>
      </c>
      <c r="S661" s="12" t="s">
        <v>951</v>
      </c>
      <c r="T661" s="22">
        <f t="shared" si="52"/>
        <v>12</v>
      </c>
      <c r="U661" s="22">
        <f t="shared" si="53"/>
        <v>2020</v>
      </c>
      <c r="V661" s="22" t="str">
        <f t="shared" si="54"/>
        <v>METROPOLITANA</v>
      </c>
    </row>
    <row r="662" spans="1:22" x14ac:dyDescent="0.2">
      <c r="A662" s="11" t="s">
        <v>935</v>
      </c>
      <c r="B662" s="12" t="s">
        <v>33</v>
      </c>
      <c r="C662" s="12" t="s">
        <v>44</v>
      </c>
      <c r="D662" s="12" t="s">
        <v>47</v>
      </c>
      <c r="E662" s="13" t="s">
        <v>88</v>
      </c>
      <c r="F662" s="12" t="s">
        <v>48</v>
      </c>
      <c r="G662" s="14">
        <v>5139.2</v>
      </c>
      <c r="H662" s="12" t="s">
        <v>22</v>
      </c>
      <c r="I662" s="12">
        <v>0</v>
      </c>
      <c r="J662" s="12" t="s">
        <v>48</v>
      </c>
      <c r="K662" s="12" t="s">
        <v>23</v>
      </c>
      <c r="L662" s="12">
        <v>1</v>
      </c>
      <c r="M662" s="15">
        <v>35974</v>
      </c>
      <c r="N662" s="15">
        <v>20557</v>
      </c>
      <c r="O662" s="15">
        <f t="shared" si="50"/>
        <v>56531</v>
      </c>
      <c r="P662" s="15">
        <f t="shared" si="51"/>
        <v>10.99996108343711</v>
      </c>
      <c r="Q662" s="14">
        <v>4821</v>
      </c>
      <c r="R662" s="12">
        <v>100</v>
      </c>
      <c r="S662" s="12" t="s">
        <v>952</v>
      </c>
      <c r="T662" s="22">
        <f t="shared" si="52"/>
        <v>12</v>
      </c>
      <c r="U662" s="22">
        <f t="shared" si="53"/>
        <v>2020</v>
      </c>
      <c r="V662" s="22" t="str">
        <f t="shared" si="54"/>
        <v>METROPOLITANA</v>
      </c>
    </row>
    <row r="663" spans="1:22" x14ac:dyDescent="0.2">
      <c r="A663" s="11" t="s">
        <v>935</v>
      </c>
      <c r="B663" s="12" t="s">
        <v>33</v>
      </c>
      <c r="C663" s="12" t="s">
        <v>44</v>
      </c>
      <c r="D663" s="12" t="s">
        <v>35</v>
      </c>
      <c r="E663" s="13" t="s">
        <v>49</v>
      </c>
      <c r="F663" s="12" t="s">
        <v>46</v>
      </c>
      <c r="G663" s="14">
        <v>4227.5200000000004</v>
      </c>
      <c r="H663" s="12" t="s">
        <v>22</v>
      </c>
      <c r="I663" s="12">
        <v>0</v>
      </c>
      <c r="J663" s="12" t="s">
        <v>46</v>
      </c>
      <c r="K663" s="12" t="s">
        <v>23</v>
      </c>
      <c r="L663" s="12">
        <v>2</v>
      </c>
      <c r="M663" s="15">
        <v>40475</v>
      </c>
      <c r="N663" s="15">
        <v>16910</v>
      </c>
      <c r="O663" s="15">
        <f t="shared" si="50"/>
        <v>57385</v>
      </c>
      <c r="P663" s="15">
        <f t="shared" si="51"/>
        <v>13.574152221633486</v>
      </c>
      <c r="Q663" s="14">
        <v>5782</v>
      </c>
      <c r="R663" s="12">
        <v>73</v>
      </c>
      <c r="S663" s="12" t="s">
        <v>953</v>
      </c>
      <c r="T663" s="22">
        <f t="shared" si="52"/>
        <v>12</v>
      </c>
      <c r="U663" s="22">
        <f t="shared" si="53"/>
        <v>2020</v>
      </c>
      <c r="V663" s="22" t="str">
        <f t="shared" si="54"/>
        <v>METROPOLITANA</v>
      </c>
    </row>
    <row r="664" spans="1:22" x14ac:dyDescent="0.2">
      <c r="A664" s="23" t="s">
        <v>954</v>
      </c>
      <c r="B664" s="22" t="s">
        <v>18</v>
      </c>
      <c r="C664" s="22" t="s">
        <v>71</v>
      </c>
      <c r="D664" s="22" t="s">
        <v>27</v>
      </c>
      <c r="E664" s="24" t="s">
        <v>28</v>
      </c>
      <c r="F664" s="22" t="s">
        <v>72</v>
      </c>
      <c r="G664" s="25">
        <v>12838.46</v>
      </c>
      <c r="H664" s="22" t="s">
        <v>22</v>
      </c>
      <c r="I664" s="22">
        <v>1</v>
      </c>
      <c r="J664" s="22" t="s">
        <v>72</v>
      </c>
      <c r="K664" s="22" t="s">
        <v>23</v>
      </c>
      <c r="L664" s="22">
        <v>5</v>
      </c>
      <c r="M664" s="26">
        <v>120000</v>
      </c>
      <c r="N664" s="26">
        <f>G664*4</f>
        <v>51353.84</v>
      </c>
      <c r="O664" s="15">
        <f t="shared" si="50"/>
        <v>171353.84</v>
      </c>
      <c r="P664" s="15">
        <f t="shared" si="51"/>
        <v>13.346915440013834</v>
      </c>
      <c r="Q664" s="25">
        <v>12000</v>
      </c>
      <c r="R664" s="22">
        <v>100</v>
      </c>
      <c r="S664" s="22" t="s">
        <v>955</v>
      </c>
      <c r="T664" s="22">
        <f t="shared" si="52"/>
        <v>12</v>
      </c>
      <c r="U664" s="22">
        <f t="shared" si="53"/>
        <v>2020</v>
      </c>
      <c r="V664" s="22" t="str">
        <f t="shared" si="54"/>
        <v>METROPOLITANA</v>
      </c>
    </row>
    <row r="665" spans="1:22" x14ac:dyDescent="0.2">
      <c r="A665" s="23" t="s">
        <v>954</v>
      </c>
      <c r="B665" s="22" t="s">
        <v>18</v>
      </c>
      <c r="C665" s="22" t="s">
        <v>457</v>
      </c>
      <c r="D665" s="22" t="s">
        <v>956</v>
      </c>
      <c r="E665" s="24" t="s">
        <v>957</v>
      </c>
      <c r="F665" s="22" t="s">
        <v>458</v>
      </c>
      <c r="G665" s="25">
        <v>6898.06</v>
      </c>
      <c r="H665" s="22" t="s">
        <v>85</v>
      </c>
      <c r="I665" s="22">
        <v>1</v>
      </c>
      <c r="J665" s="22" t="s">
        <v>458</v>
      </c>
      <c r="K665" s="22" t="s">
        <v>75</v>
      </c>
      <c r="L665" s="22">
        <v>0</v>
      </c>
      <c r="M665" s="26">
        <v>400000</v>
      </c>
      <c r="N665" s="26">
        <v>0</v>
      </c>
      <c r="O665" s="15">
        <f t="shared" si="50"/>
        <v>400000</v>
      </c>
      <c r="P665" s="15">
        <f t="shared" si="51"/>
        <v>57.987318173515447</v>
      </c>
      <c r="Q665" s="25">
        <v>25000</v>
      </c>
      <c r="R665" s="22">
        <v>28</v>
      </c>
      <c r="S665" s="22" t="s">
        <v>958</v>
      </c>
      <c r="T665" s="22">
        <f t="shared" si="52"/>
        <v>12</v>
      </c>
      <c r="U665" s="22">
        <f t="shared" si="53"/>
        <v>2020</v>
      </c>
      <c r="V665" s="22" t="str">
        <f t="shared" si="54"/>
        <v>REGIONES</v>
      </c>
    </row>
    <row r="666" spans="1:22" x14ac:dyDescent="0.2">
      <c r="A666" s="23" t="s">
        <v>954</v>
      </c>
      <c r="B666" s="22" t="s">
        <v>18</v>
      </c>
      <c r="C666" s="22" t="s">
        <v>19</v>
      </c>
      <c r="D666" s="22" t="s">
        <v>786</v>
      </c>
      <c r="E666" s="24" t="s">
        <v>787</v>
      </c>
      <c r="F666" s="22" t="s">
        <v>114</v>
      </c>
      <c r="G666" s="25">
        <v>25649.899999999991</v>
      </c>
      <c r="H666" s="22" t="s">
        <v>788</v>
      </c>
      <c r="I666" s="22">
        <v>1</v>
      </c>
      <c r="J666" s="22" t="s">
        <v>114</v>
      </c>
      <c r="K666" s="22" t="s">
        <v>75</v>
      </c>
      <c r="L666" s="22">
        <v>0</v>
      </c>
      <c r="M666" s="26">
        <v>380000</v>
      </c>
      <c r="N666" s="26">
        <v>0</v>
      </c>
      <c r="O666" s="15">
        <f t="shared" si="50"/>
        <v>380000</v>
      </c>
      <c r="P666" s="15">
        <f t="shared" si="51"/>
        <v>14.814872572602628</v>
      </c>
      <c r="Q666" s="25">
        <v>25000</v>
      </c>
      <c r="R666" s="22">
        <v>100</v>
      </c>
      <c r="S666" s="22" t="s">
        <v>959</v>
      </c>
      <c r="T666" s="22">
        <f t="shared" si="52"/>
        <v>12</v>
      </c>
      <c r="U666" s="22">
        <f t="shared" si="53"/>
        <v>2020</v>
      </c>
      <c r="V666" s="22" t="str">
        <f t="shared" si="54"/>
        <v>REGIONES</v>
      </c>
    </row>
    <row r="667" spans="1:22" x14ac:dyDescent="0.2">
      <c r="A667" s="23" t="s">
        <v>954</v>
      </c>
      <c r="B667" s="22" t="s">
        <v>18</v>
      </c>
      <c r="C667" s="22" t="s">
        <v>508</v>
      </c>
      <c r="D667" s="22" t="s">
        <v>37</v>
      </c>
      <c r="E667" s="24" t="s">
        <v>40</v>
      </c>
      <c r="F667" s="22" t="s">
        <v>800</v>
      </c>
      <c r="G667" s="25">
        <v>9239.6200000000008</v>
      </c>
      <c r="H667" s="22" t="s">
        <v>22</v>
      </c>
      <c r="I667" s="22">
        <v>0</v>
      </c>
      <c r="J667" s="22" t="s">
        <v>800</v>
      </c>
      <c r="K667" s="22" t="s">
        <v>23</v>
      </c>
      <c r="L667" s="22">
        <v>5</v>
      </c>
      <c r="M667" s="26">
        <v>90000</v>
      </c>
      <c r="N667" s="26">
        <f>G667*4</f>
        <v>36958.480000000003</v>
      </c>
      <c r="O667" s="15">
        <f t="shared" si="50"/>
        <v>126958.48000000001</v>
      </c>
      <c r="P667" s="15">
        <f t="shared" si="51"/>
        <v>13.740660330186738</v>
      </c>
      <c r="Q667" s="25">
        <v>12000</v>
      </c>
      <c r="R667" s="22">
        <v>77</v>
      </c>
      <c r="S667" s="22" t="s">
        <v>960</v>
      </c>
      <c r="T667" s="22">
        <f t="shared" si="52"/>
        <v>12</v>
      </c>
      <c r="U667" s="22">
        <f t="shared" si="53"/>
        <v>2020</v>
      </c>
      <c r="V667" s="22" t="str">
        <f t="shared" si="54"/>
        <v>METROPOLITANA</v>
      </c>
    </row>
    <row r="668" spans="1:22" x14ac:dyDescent="0.2">
      <c r="A668" s="23" t="s">
        <v>954</v>
      </c>
      <c r="B668" s="22" t="s">
        <v>33</v>
      </c>
      <c r="C668" s="22" t="s">
        <v>187</v>
      </c>
      <c r="D668" s="22" t="s">
        <v>56</v>
      </c>
      <c r="E668" s="24" t="s">
        <v>49</v>
      </c>
      <c r="F668" s="22" t="s">
        <v>129</v>
      </c>
      <c r="G668" s="25">
        <v>4353.2</v>
      </c>
      <c r="H668" s="22" t="s">
        <v>22</v>
      </c>
      <c r="I668" s="22">
        <v>0</v>
      </c>
      <c r="J668" s="22" t="s">
        <v>129</v>
      </c>
      <c r="K668" s="22" t="s">
        <v>23</v>
      </c>
      <c r="L668" s="22">
        <v>1</v>
      </c>
      <c r="M668" s="26">
        <v>33750</v>
      </c>
      <c r="N668" s="26">
        <f>G668*4</f>
        <v>17412.8</v>
      </c>
      <c r="O668" s="15">
        <f t="shared" si="50"/>
        <v>51162.8</v>
      </c>
      <c r="P668" s="15">
        <f t="shared" si="51"/>
        <v>11.752917394100892</v>
      </c>
      <c r="Q668" s="25">
        <v>4821</v>
      </c>
      <c r="R668" s="22">
        <v>90</v>
      </c>
      <c r="S668" s="22" t="s">
        <v>961</v>
      </c>
      <c r="T668" s="22">
        <f t="shared" si="52"/>
        <v>12</v>
      </c>
      <c r="U668" s="22">
        <f t="shared" si="53"/>
        <v>2020</v>
      </c>
      <c r="V668" s="22" t="str">
        <f t="shared" si="54"/>
        <v>METROPOLITANA</v>
      </c>
    </row>
    <row r="669" spans="1:22" x14ac:dyDescent="0.2">
      <c r="A669" s="23" t="s">
        <v>954</v>
      </c>
      <c r="B669" s="22" t="s">
        <v>33</v>
      </c>
      <c r="C669" s="22" t="s">
        <v>270</v>
      </c>
      <c r="D669" s="22" t="s">
        <v>188</v>
      </c>
      <c r="E669" s="24" t="s">
        <v>189</v>
      </c>
      <c r="F669" s="22" t="s">
        <v>120</v>
      </c>
      <c r="G669" s="25">
        <v>1500.8</v>
      </c>
      <c r="H669" s="22" t="s">
        <v>190</v>
      </c>
      <c r="I669" s="22">
        <v>0</v>
      </c>
      <c r="J669" s="22" t="s">
        <v>120</v>
      </c>
      <c r="K669" s="22" t="s">
        <v>23</v>
      </c>
      <c r="L669" s="22">
        <v>5</v>
      </c>
      <c r="M669" s="26">
        <v>70000</v>
      </c>
      <c r="N669" s="26">
        <v>0</v>
      </c>
      <c r="O669" s="15">
        <f t="shared" si="50"/>
        <v>70000</v>
      </c>
      <c r="P669" s="15">
        <f t="shared" si="51"/>
        <v>46.64179104477612</v>
      </c>
      <c r="Q669" s="25">
        <v>12000</v>
      </c>
      <c r="R669" s="22">
        <v>13</v>
      </c>
      <c r="S669" s="22" t="s">
        <v>962</v>
      </c>
      <c r="T669" s="22">
        <f t="shared" si="52"/>
        <v>12</v>
      </c>
      <c r="U669" s="22">
        <f t="shared" si="53"/>
        <v>2020</v>
      </c>
      <c r="V669" s="22" t="str">
        <f t="shared" si="54"/>
        <v>METROPOLITANA</v>
      </c>
    </row>
    <row r="670" spans="1:22" x14ac:dyDescent="0.2">
      <c r="A670" s="23" t="s">
        <v>954</v>
      </c>
      <c r="B670" s="22" t="s">
        <v>33</v>
      </c>
      <c r="C670" s="22" t="s">
        <v>36</v>
      </c>
      <c r="D670" s="22" t="s">
        <v>130</v>
      </c>
      <c r="E670" s="24" t="s">
        <v>131</v>
      </c>
      <c r="F670" s="22" t="s">
        <v>815</v>
      </c>
      <c r="G670" s="25">
        <v>5124.0000000000009</v>
      </c>
      <c r="H670" s="22" t="s">
        <v>85</v>
      </c>
      <c r="I670" s="22">
        <v>1</v>
      </c>
      <c r="J670" s="22" t="s">
        <v>815</v>
      </c>
      <c r="K670" s="22" t="s">
        <v>75</v>
      </c>
      <c r="L670" s="22">
        <v>0</v>
      </c>
      <c r="M670" s="26">
        <v>420000</v>
      </c>
      <c r="N670" s="26">
        <v>0</v>
      </c>
      <c r="O670" s="15">
        <f t="shared" si="50"/>
        <v>420000</v>
      </c>
      <c r="P670" s="15">
        <f t="shared" si="51"/>
        <v>81.967213114754088</v>
      </c>
      <c r="Q670" s="25">
        <v>25000</v>
      </c>
      <c r="R670" s="22">
        <v>20</v>
      </c>
      <c r="S670" s="22" t="s">
        <v>963</v>
      </c>
      <c r="T670" s="22">
        <f t="shared" si="52"/>
        <v>12</v>
      </c>
      <c r="U670" s="22">
        <f t="shared" si="53"/>
        <v>2020</v>
      </c>
      <c r="V670" s="22" t="str">
        <f t="shared" si="54"/>
        <v>REGIONES</v>
      </c>
    </row>
    <row r="671" spans="1:22" x14ac:dyDescent="0.2">
      <c r="A671" s="23" t="s">
        <v>954</v>
      </c>
      <c r="B671" s="22" t="s">
        <v>33</v>
      </c>
      <c r="C671" s="22" t="s">
        <v>36</v>
      </c>
      <c r="D671" s="22" t="s">
        <v>82</v>
      </c>
      <c r="E671" s="24" t="s">
        <v>83</v>
      </c>
      <c r="F671" s="22" t="s">
        <v>876</v>
      </c>
      <c r="G671" s="25">
        <v>6401.6000000000022</v>
      </c>
      <c r="H671" s="22" t="s">
        <v>85</v>
      </c>
      <c r="I671" s="22">
        <v>1</v>
      </c>
      <c r="J671" s="22" t="s">
        <v>876</v>
      </c>
      <c r="K671" s="22" t="s">
        <v>86</v>
      </c>
      <c r="L671" s="22">
        <v>0</v>
      </c>
      <c r="M671" s="26">
        <v>330000</v>
      </c>
      <c r="N671" s="26">
        <v>0</v>
      </c>
      <c r="O671" s="15">
        <f t="shared" si="50"/>
        <v>330000</v>
      </c>
      <c r="P671" s="15">
        <f t="shared" si="51"/>
        <v>51.549612596850771</v>
      </c>
      <c r="Q671" s="25">
        <v>25000</v>
      </c>
      <c r="R671" s="22">
        <v>26</v>
      </c>
      <c r="S671" s="22" t="s">
        <v>964</v>
      </c>
      <c r="T671" s="22">
        <f t="shared" si="52"/>
        <v>12</v>
      </c>
      <c r="U671" s="22">
        <f t="shared" si="53"/>
        <v>2020</v>
      </c>
      <c r="V671" s="22" t="str">
        <f t="shared" si="54"/>
        <v>REGIONES</v>
      </c>
    </row>
    <row r="672" spans="1:22" x14ac:dyDescent="0.2">
      <c r="A672" s="23" t="s">
        <v>954</v>
      </c>
      <c r="B672" s="22" t="s">
        <v>33</v>
      </c>
      <c r="C672" s="22" t="s">
        <v>29</v>
      </c>
      <c r="D672" s="22" t="s">
        <v>41</v>
      </c>
      <c r="E672" s="24" t="s">
        <v>25</v>
      </c>
      <c r="F672" s="22" t="s">
        <v>39</v>
      </c>
      <c r="G672" s="25">
        <v>9763</v>
      </c>
      <c r="H672" s="22" t="s">
        <v>43</v>
      </c>
      <c r="I672" s="22">
        <v>0</v>
      </c>
      <c r="J672" s="22" t="s">
        <v>39</v>
      </c>
      <c r="K672" s="22" t="s">
        <v>23</v>
      </c>
      <c r="L672" s="22">
        <v>1</v>
      </c>
      <c r="M672" s="26">
        <v>68341</v>
      </c>
      <c r="N672" s="26">
        <v>29289</v>
      </c>
      <c r="O672" s="15">
        <f t="shared" si="50"/>
        <v>97630</v>
      </c>
      <c r="P672" s="15">
        <f t="shared" si="51"/>
        <v>10</v>
      </c>
      <c r="Q672" s="25">
        <v>4821</v>
      </c>
      <c r="R672" s="22">
        <v>100</v>
      </c>
      <c r="S672" s="22" t="s">
        <v>965</v>
      </c>
      <c r="T672" s="22">
        <f t="shared" si="52"/>
        <v>12</v>
      </c>
      <c r="U672" s="22">
        <f t="shared" si="53"/>
        <v>2020</v>
      </c>
      <c r="V672" s="22" t="str">
        <f t="shared" si="54"/>
        <v>METROPOLITANA</v>
      </c>
    </row>
    <row r="673" spans="1:22" x14ac:dyDescent="0.2">
      <c r="A673" s="23" t="s">
        <v>954</v>
      </c>
      <c r="B673" s="22" t="s">
        <v>33</v>
      </c>
      <c r="C673" s="22" t="s">
        <v>44</v>
      </c>
      <c r="D673" s="22" t="s">
        <v>45</v>
      </c>
      <c r="E673" s="24" t="s">
        <v>28</v>
      </c>
      <c r="F673" s="22" t="s">
        <v>26</v>
      </c>
      <c r="G673" s="25">
        <v>1738.4</v>
      </c>
      <c r="H673" s="22" t="s">
        <v>22</v>
      </c>
      <c r="I673" s="22">
        <v>0</v>
      </c>
      <c r="J673" s="22" t="s">
        <v>26</v>
      </c>
      <c r="K673" s="22" t="s">
        <v>23</v>
      </c>
      <c r="L673" s="22">
        <v>4</v>
      </c>
      <c r="M673" s="26">
        <v>56075</v>
      </c>
      <c r="N673" s="26">
        <v>12000</v>
      </c>
      <c r="O673" s="15">
        <f t="shared" si="50"/>
        <v>68075</v>
      </c>
      <c r="P673" s="15">
        <f t="shared" si="51"/>
        <v>39.159572020248504</v>
      </c>
      <c r="Q673" s="25">
        <v>8011</v>
      </c>
      <c r="R673" s="22">
        <v>22</v>
      </c>
      <c r="S673" s="22" t="s">
        <v>966</v>
      </c>
      <c r="T673" s="22">
        <f t="shared" si="52"/>
        <v>12</v>
      </c>
      <c r="U673" s="22">
        <f t="shared" si="53"/>
        <v>2020</v>
      </c>
      <c r="V673" s="22" t="str">
        <f t="shared" si="54"/>
        <v>METROPOLITANA</v>
      </c>
    </row>
    <row r="674" spans="1:22" x14ac:dyDescent="0.2">
      <c r="A674" s="23" t="s">
        <v>954</v>
      </c>
      <c r="B674" s="22" t="s">
        <v>33</v>
      </c>
      <c r="C674" s="22" t="s">
        <v>44</v>
      </c>
      <c r="D674" s="22" t="s">
        <v>47</v>
      </c>
      <c r="E674" s="24" t="s">
        <v>88</v>
      </c>
      <c r="F674" s="22" t="s">
        <v>94</v>
      </c>
      <c r="G674" s="25">
        <v>5489.1999999999989</v>
      </c>
      <c r="H674" s="22" t="s">
        <v>22</v>
      </c>
      <c r="I674" s="22">
        <v>0</v>
      </c>
      <c r="J674" s="22" t="s">
        <v>59</v>
      </c>
      <c r="K674" s="22" t="s">
        <v>78</v>
      </c>
      <c r="L674" s="22">
        <v>0</v>
      </c>
      <c r="M674" s="26">
        <v>180000</v>
      </c>
      <c r="N674" s="26">
        <f>G674*4</f>
        <v>21956.799999999996</v>
      </c>
      <c r="O674" s="15">
        <f t="shared" si="50"/>
        <v>201956.8</v>
      </c>
      <c r="P674" s="15">
        <f t="shared" si="51"/>
        <v>36.791663630401523</v>
      </c>
      <c r="Q674" s="25">
        <v>25000</v>
      </c>
      <c r="R674" s="22">
        <v>22</v>
      </c>
      <c r="S674" s="22" t="s">
        <v>967</v>
      </c>
      <c r="T674" s="22">
        <f t="shared" si="52"/>
        <v>12</v>
      </c>
      <c r="U674" s="22">
        <f t="shared" si="53"/>
        <v>2020</v>
      </c>
      <c r="V674" s="22" t="str">
        <f t="shared" si="54"/>
        <v>REGIONES</v>
      </c>
    </row>
    <row r="675" spans="1:22" x14ac:dyDescent="0.2">
      <c r="A675" s="23" t="s">
        <v>954</v>
      </c>
      <c r="B675" s="22" t="s">
        <v>33</v>
      </c>
      <c r="C675" s="22" t="s">
        <v>44</v>
      </c>
      <c r="D675" s="22" t="s">
        <v>35</v>
      </c>
      <c r="E675" s="24" t="s">
        <v>49</v>
      </c>
      <c r="F675" s="22" t="s">
        <v>134</v>
      </c>
      <c r="G675" s="25">
        <v>2525.6000000000008</v>
      </c>
      <c r="H675" s="22" t="s">
        <v>22</v>
      </c>
      <c r="I675" s="22">
        <v>0</v>
      </c>
      <c r="J675" s="22" t="s">
        <v>134</v>
      </c>
      <c r="K675" s="22" t="s">
        <v>23</v>
      </c>
      <c r="L675" s="22">
        <v>2</v>
      </c>
      <c r="M675" s="26">
        <v>40475</v>
      </c>
      <c r="N675" s="26">
        <v>12000</v>
      </c>
      <c r="O675" s="15">
        <f t="shared" si="50"/>
        <v>52475</v>
      </c>
      <c r="P675" s="15">
        <f t="shared" si="51"/>
        <v>20.77724105163129</v>
      </c>
      <c r="Q675" s="25">
        <v>5782</v>
      </c>
      <c r="R675" s="22">
        <v>44</v>
      </c>
      <c r="S675" s="22" t="s">
        <v>968</v>
      </c>
      <c r="T675" s="22">
        <f t="shared" si="52"/>
        <v>12</v>
      </c>
      <c r="U675" s="22">
        <f t="shared" si="53"/>
        <v>2020</v>
      </c>
      <c r="V675" s="22" t="str">
        <f t="shared" si="54"/>
        <v>METROPOLITANA</v>
      </c>
    </row>
    <row r="676" spans="1:22" x14ac:dyDescent="0.2">
      <c r="A676" s="11" t="s">
        <v>969</v>
      </c>
      <c r="B676" s="12" t="s">
        <v>18</v>
      </c>
      <c r="C676" s="12" t="s">
        <v>50</v>
      </c>
      <c r="D676" s="12" t="s">
        <v>41</v>
      </c>
      <c r="E676" s="13" t="s">
        <v>25</v>
      </c>
      <c r="F676" s="12" t="s">
        <v>26</v>
      </c>
      <c r="G676" s="14">
        <v>6553.05</v>
      </c>
      <c r="H676" s="12" t="s">
        <v>43</v>
      </c>
      <c r="I676" s="12">
        <v>0</v>
      </c>
      <c r="J676" s="12" t="s">
        <v>26</v>
      </c>
      <c r="K676" s="12" t="s">
        <v>23</v>
      </c>
      <c r="L676" s="12">
        <v>4</v>
      </c>
      <c r="M676" s="15">
        <v>56075</v>
      </c>
      <c r="N676" s="15">
        <v>0</v>
      </c>
      <c r="O676" s="15">
        <f t="shared" si="50"/>
        <v>56075</v>
      </c>
      <c r="P676" s="15">
        <f t="shared" si="51"/>
        <v>8.5570841058743632</v>
      </c>
      <c r="Q676" s="14">
        <v>8011</v>
      </c>
      <c r="R676" s="12">
        <v>82</v>
      </c>
      <c r="S676" s="12" t="s">
        <v>970</v>
      </c>
      <c r="T676" s="22">
        <f t="shared" si="52"/>
        <v>12</v>
      </c>
      <c r="U676" s="22">
        <f t="shared" si="53"/>
        <v>2020</v>
      </c>
      <c r="V676" s="22" t="str">
        <f t="shared" si="54"/>
        <v>METROPOLITANA</v>
      </c>
    </row>
    <row r="677" spans="1:22" x14ac:dyDescent="0.2">
      <c r="A677" s="11" t="s">
        <v>969</v>
      </c>
      <c r="B677" s="12" t="s">
        <v>18</v>
      </c>
      <c r="C677" s="12" t="s">
        <v>50</v>
      </c>
      <c r="D677" s="12" t="s">
        <v>20</v>
      </c>
      <c r="E677" s="13" t="s">
        <v>21</v>
      </c>
      <c r="F677" s="12" t="s">
        <v>26</v>
      </c>
      <c r="G677" s="14">
        <v>4867.9800000000014</v>
      </c>
      <c r="H677" s="12" t="s">
        <v>22</v>
      </c>
      <c r="I677" s="12">
        <v>0</v>
      </c>
      <c r="J677" s="12" t="s">
        <v>26</v>
      </c>
      <c r="K677" s="12" t="s">
        <v>23</v>
      </c>
      <c r="L677" s="12">
        <v>4</v>
      </c>
      <c r="M677" s="15">
        <v>56075</v>
      </c>
      <c r="N677" s="15">
        <f>G677*4</f>
        <v>19471.920000000006</v>
      </c>
      <c r="O677" s="15">
        <f t="shared" si="50"/>
        <v>75546.920000000013</v>
      </c>
      <c r="P677" s="15">
        <f t="shared" si="51"/>
        <v>15.519151680984718</v>
      </c>
      <c r="Q677" s="14">
        <v>8011</v>
      </c>
      <c r="R677" s="12">
        <v>61</v>
      </c>
      <c r="S677" s="12" t="s">
        <v>971</v>
      </c>
      <c r="T677" s="22">
        <f t="shared" si="52"/>
        <v>12</v>
      </c>
      <c r="U677" s="22">
        <f t="shared" si="53"/>
        <v>2020</v>
      </c>
      <c r="V677" s="22" t="str">
        <f t="shared" si="54"/>
        <v>METROPOLITANA</v>
      </c>
    </row>
    <row r="678" spans="1:22" x14ac:dyDescent="0.2">
      <c r="A678" s="11" t="s">
        <v>969</v>
      </c>
      <c r="B678" s="12" t="s">
        <v>18</v>
      </c>
      <c r="C678" s="12" t="s">
        <v>71</v>
      </c>
      <c r="D678" s="12" t="s">
        <v>27</v>
      </c>
      <c r="E678" s="13" t="s">
        <v>28</v>
      </c>
      <c r="F678" s="12" t="s">
        <v>72</v>
      </c>
      <c r="G678" s="14">
        <v>11286.28</v>
      </c>
      <c r="H678" s="12" t="s">
        <v>22</v>
      </c>
      <c r="I678" s="12">
        <v>1</v>
      </c>
      <c r="J678" s="12" t="s">
        <v>72</v>
      </c>
      <c r="K678" s="12" t="s">
        <v>23</v>
      </c>
      <c r="L678" s="12">
        <v>5</v>
      </c>
      <c r="M678" s="15">
        <v>120000</v>
      </c>
      <c r="N678" s="15">
        <f>G678*4</f>
        <v>45145.120000000003</v>
      </c>
      <c r="O678" s="15">
        <f t="shared" si="50"/>
        <v>165145.12</v>
      </c>
      <c r="P678" s="15">
        <f t="shared" si="51"/>
        <v>14.632378427612995</v>
      </c>
      <c r="Q678" s="14">
        <v>12000</v>
      </c>
      <c r="R678" s="12">
        <v>94</v>
      </c>
      <c r="S678" s="12" t="s">
        <v>972</v>
      </c>
      <c r="T678" s="22">
        <f t="shared" si="52"/>
        <v>12</v>
      </c>
      <c r="U678" s="22">
        <f t="shared" si="53"/>
        <v>2020</v>
      </c>
      <c r="V678" s="22" t="str">
        <f t="shared" si="54"/>
        <v>METROPOLITANA</v>
      </c>
    </row>
    <row r="679" spans="1:22" x14ac:dyDescent="0.2">
      <c r="A679" s="11" t="s">
        <v>969</v>
      </c>
      <c r="B679" s="12" t="s">
        <v>18</v>
      </c>
      <c r="C679" s="12" t="s">
        <v>457</v>
      </c>
      <c r="D679" s="12" t="s">
        <v>370</v>
      </c>
      <c r="E679" s="13" t="s">
        <v>371</v>
      </c>
      <c r="F679" s="12" t="s">
        <v>815</v>
      </c>
      <c r="G679" s="14">
        <v>17105.37</v>
      </c>
      <c r="H679" s="12" t="s">
        <v>85</v>
      </c>
      <c r="I679" s="12">
        <v>1</v>
      </c>
      <c r="J679" s="12" t="s">
        <v>815</v>
      </c>
      <c r="K679" s="12" t="s">
        <v>75</v>
      </c>
      <c r="L679" s="12">
        <v>0</v>
      </c>
      <c r="M679" s="15">
        <v>420000</v>
      </c>
      <c r="N679" s="15">
        <v>0</v>
      </c>
      <c r="O679" s="15">
        <f t="shared" si="50"/>
        <v>420000</v>
      </c>
      <c r="P679" s="15">
        <f t="shared" si="51"/>
        <v>24.553692787703511</v>
      </c>
      <c r="Q679" s="14">
        <v>25000</v>
      </c>
      <c r="R679" s="12">
        <v>68</v>
      </c>
      <c r="S679" s="12" t="s">
        <v>973</v>
      </c>
      <c r="T679" s="22">
        <f t="shared" si="52"/>
        <v>12</v>
      </c>
      <c r="U679" s="22">
        <f t="shared" si="53"/>
        <v>2020</v>
      </c>
      <c r="V679" s="22" t="str">
        <f t="shared" si="54"/>
        <v>REGIONES</v>
      </c>
    </row>
    <row r="680" spans="1:22" x14ac:dyDescent="0.2">
      <c r="A680" s="11" t="s">
        <v>969</v>
      </c>
      <c r="B680" s="12" t="s">
        <v>33</v>
      </c>
      <c r="C680" s="12" t="s">
        <v>36</v>
      </c>
      <c r="D680" s="12" t="s">
        <v>56</v>
      </c>
      <c r="E680" s="13" t="s">
        <v>49</v>
      </c>
      <c r="F680" s="12" t="s">
        <v>67</v>
      </c>
      <c r="G680" s="14">
        <v>1700.4</v>
      </c>
      <c r="H680" s="12" t="s">
        <v>22</v>
      </c>
      <c r="I680" s="12">
        <v>0</v>
      </c>
      <c r="J680" s="12" t="s">
        <v>67</v>
      </c>
      <c r="K680" s="12" t="s">
        <v>23</v>
      </c>
      <c r="L680" s="12">
        <v>2</v>
      </c>
      <c r="M680" s="15">
        <v>40475</v>
      </c>
      <c r="N680" s="15">
        <f>G680*4</f>
        <v>6801.6</v>
      </c>
      <c r="O680" s="15">
        <f t="shared" si="50"/>
        <v>47276.6</v>
      </c>
      <c r="P680" s="15">
        <f t="shared" si="51"/>
        <v>27.803222771112676</v>
      </c>
      <c r="Q680" s="14">
        <v>5782</v>
      </c>
      <c r="R680" s="12">
        <v>29</v>
      </c>
      <c r="S680" s="12" t="s">
        <v>974</v>
      </c>
      <c r="T680" s="22">
        <f t="shared" si="52"/>
        <v>12</v>
      </c>
      <c r="U680" s="22">
        <f t="shared" si="53"/>
        <v>2020</v>
      </c>
      <c r="V680" s="22" t="str">
        <f t="shared" si="54"/>
        <v>METROPOLITANA</v>
      </c>
    </row>
    <row r="681" spans="1:22" x14ac:dyDescent="0.2">
      <c r="A681" s="11" t="s">
        <v>969</v>
      </c>
      <c r="B681" s="12" t="s">
        <v>33</v>
      </c>
      <c r="C681" s="12" t="s">
        <v>36</v>
      </c>
      <c r="D681" s="12" t="s">
        <v>56</v>
      </c>
      <c r="E681" s="13" t="s">
        <v>88</v>
      </c>
      <c r="F681" s="12" t="s">
        <v>34</v>
      </c>
      <c r="G681" s="14">
        <v>2726.4</v>
      </c>
      <c r="H681" s="12" t="s">
        <v>22</v>
      </c>
      <c r="I681" s="12">
        <v>0</v>
      </c>
      <c r="J681" s="12" t="s">
        <v>34</v>
      </c>
      <c r="K681" s="12" t="s">
        <v>23</v>
      </c>
      <c r="L681" s="12">
        <v>1</v>
      </c>
      <c r="M681" s="15">
        <v>33750</v>
      </c>
      <c r="N681" s="15">
        <f>G681*3</f>
        <v>8179.2000000000007</v>
      </c>
      <c r="O681" s="15">
        <f t="shared" si="50"/>
        <v>41929.199999999997</v>
      </c>
      <c r="P681" s="15">
        <f t="shared" si="51"/>
        <v>15.378961267605632</v>
      </c>
      <c r="Q681" s="14">
        <v>4821</v>
      </c>
      <c r="R681" s="12">
        <v>57</v>
      </c>
      <c r="S681" s="12" t="s">
        <v>975</v>
      </c>
      <c r="T681" s="22">
        <f t="shared" si="52"/>
        <v>12</v>
      </c>
      <c r="U681" s="22">
        <f t="shared" si="53"/>
        <v>2020</v>
      </c>
      <c r="V681" s="22" t="str">
        <f t="shared" si="54"/>
        <v>METROPOLITANA</v>
      </c>
    </row>
    <row r="682" spans="1:22" x14ac:dyDescent="0.2">
      <c r="A682" s="11" t="s">
        <v>969</v>
      </c>
      <c r="B682" s="12" t="s">
        <v>33</v>
      </c>
      <c r="C682" s="12" t="s">
        <v>36</v>
      </c>
      <c r="D682" s="12" t="s">
        <v>30</v>
      </c>
      <c r="E682" s="13" t="s">
        <v>31</v>
      </c>
      <c r="F682" s="12" t="s">
        <v>230</v>
      </c>
      <c r="G682" s="14">
        <v>10002.799999999999</v>
      </c>
      <c r="H682" s="12" t="s">
        <v>32</v>
      </c>
      <c r="I682" s="12">
        <v>0</v>
      </c>
      <c r="J682" s="12" t="s">
        <v>230</v>
      </c>
      <c r="K682" s="12" t="s">
        <v>23</v>
      </c>
      <c r="L682" s="12">
        <v>4</v>
      </c>
      <c r="M682" s="15">
        <v>70020</v>
      </c>
      <c r="N682" s="15">
        <f>G682*3</f>
        <v>30008.399999999998</v>
      </c>
      <c r="O682" s="15">
        <f t="shared" si="50"/>
        <v>100028.4</v>
      </c>
      <c r="P682" s="15">
        <f t="shared" si="51"/>
        <v>10.000039988803135</v>
      </c>
      <c r="Q682" s="14">
        <v>8011</v>
      </c>
      <c r="R682" s="12">
        <v>100</v>
      </c>
      <c r="S682" s="12" t="s">
        <v>976</v>
      </c>
      <c r="T682" s="22">
        <f t="shared" si="52"/>
        <v>12</v>
      </c>
      <c r="U682" s="22">
        <f t="shared" si="53"/>
        <v>2020</v>
      </c>
      <c r="V682" s="22" t="str">
        <f t="shared" si="54"/>
        <v>METROPOLITANA</v>
      </c>
    </row>
    <row r="683" spans="1:22" x14ac:dyDescent="0.2">
      <c r="A683" s="11" t="s">
        <v>969</v>
      </c>
      <c r="B683" s="12" t="s">
        <v>33</v>
      </c>
      <c r="C683" s="12" t="s">
        <v>36</v>
      </c>
      <c r="D683" s="12" t="s">
        <v>76</v>
      </c>
      <c r="E683" s="13" t="s">
        <v>77</v>
      </c>
      <c r="F683" s="12" t="s">
        <v>59</v>
      </c>
      <c r="G683" s="14">
        <v>5988.6</v>
      </c>
      <c r="H683" s="12" t="s">
        <v>24</v>
      </c>
      <c r="I683" s="12">
        <v>1</v>
      </c>
      <c r="J683" s="12" t="s">
        <v>59</v>
      </c>
      <c r="K683" s="12" t="s">
        <v>78</v>
      </c>
      <c r="L683" s="12">
        <v>0</v>
      </c>
      <c r="M683" s="15">
        <v>230000</v>
      </c>
      <c r="N683" s="15">
        <v>0</v>
      </c>
      <c r="O683" s="15">
        <f t="shared" si="50"/>
        <v>230000</v>
      </c>
      <c r="P683" s="15">
        <f t="shared" si="51"/>
        <v>38.406305313428845</v>
      </c>
      <c r="Q683" s="14">
        <v>25000</v>
      </c>
      <c r="R683" s="12">
        <v>21</v>
      </c>
      <c r="S683" s="12" t="s">
        <v>977</v>
      </c>
      <c r="T683" s="22">
        <f t="shared" si="52"/>
        <v>12</v>
      </c>
      <c r="U683" s="22">
        <f t="shared" si="53"/>
        <v>2020</v>
      </c>
      <c r="V683" s="22" t="str">
        <f t="shared" si="54"/>
        <v>REGIONES</v>
      </c>
    </row>
    <row r="684" spans="1:22" x14ac:dyDescent="0.2">
      <c r="A684" s="11" t="s">
        <v>969</v>
      </c>
      <c r="B684" s="12" t="s">
        <v>33</v>
      </c>
      <c r="C684" s="12" t="s">
        <v>29</v>
      </c>
      <c r="D684" s="12" t="s">
        <v>38</v>
      </c>
      <c r="E684" s="13" t="s">
        <v>42</v>
      </c>
      <c r="F684" s="12" t="s">
        <v>134</v>
      </c>
      <c r="G684" s="14">
        <v>8467.1500000000015</v>
      </c>
      <c r="H684" s="12" t="s">
        <v>43</v>
      </c>
      <c r="I684" s="12">
        <v>0</v>
      </c>
      <c r="J684" s="12" t="s">
        <v>134</v>
      </c>
      <c r="K684" s="12" t="s">
        <v>23</v>
      </c>
      <c r="L684" s="12">
        <v>2</v>
      </c>
      <c r="M684" s="15">
        <v>59270</v>
      </c>
      <c r="N684" s="15">
        <v>25401</v>
      </c>
      <c r="O684" s="15">
        <f t="shared" si="50"/>
        <v>84671</v>
      </c>
      <c r="P684" s="15">
        <f t="shared" si="51"/>
        <v>9.9999409482529522</v>
      </c>
      <c r="Q684" s="14">
        <v>5782</v>
      </c>
      <c r="R684" s="12">
        <v>100</v>
      </c>
      <c r="S684" s="12" t="s">
        <v>978</v>
      </c>
      <c r="T684" s="22">
        <f t="shared" si="52"/>
        <v>12</v>
      </c>
      <c r="U684" s="22">
        <f t="shared" si="53"/>
        <v>2020</v>
      </c>
      <c r="V684" s="22" t="str">
        <f t="shared" si="54"/>
        <v>METROPOLITANA</v>
      </c>
    </row>
    <row r="685" spans="1:22" x14ac:dyDescent="0.2">
      <c r="A685" s="11" t="s">
        <v>969</v>
      </c>
      <c r="B685" s="12" t="s">
        <v>33</v>
      </c>
      <c r="C685" s="12" t="s">
        <v>29</v>
      </c>
      <c r="D685" s="12" t="s">
        <v>45</v>
      </c>
      <c r="E685" s="13" t="s">
        <v>52</v>
      </c>
      <c r="F685" s="12" t="s">
        <v>134</v>
      </c>
      <c r="G685" s="14">
        <v>6047.2500000000027</v>
      </c>
      <c r="H685" s="12" t="s">
        <v>22</v>
      </c>
      <c r="I685" s="12">
        <v>0</v>
      </c>
      <c r="J685" s="12" t="s">
        <v>134</v>
      </c>
      <c r="K685" s="12" t="s">
        <v>23</v>
      </c>
      <c r="L685" s="12">
        <v>2</v>
      </c>
      <c r="M685" s="15">
        <v>42331</v>
      </c>
      <c r="N685" s="15">
        <v>24189</v>
      </c>
      <c r="O685" s="15">
        <f t="shared" si="50"/>
        <v>66520</v>
      </c>
      <c r="P685" s="15">
        <f t="shared" si="51"/>
        <v>11.000041341105456</v>
      </c>
      <c r="Q685" s="14">
        <v>5782</v>
      </c>
      <c r="R685" s="12">
        <v>100</v>
      </c>
      <c r="S685" s="12" t="s">
        <v>979</v>
      </c>
      <c r="T685" s="22">
        <f t="shared" si="52"/>
        <v>12</v>
      </c>
      <c r="U685" s="22">
        <f t="shared" si="53"/>
        <v>2020</v>
      </c>
      <c r="V685" s="22" t="str">
        <f t="shared" si="54"/>
        <v>METROPOLITANA</v>
      </c>
    </row>
    <row r="686" spans="1:22" x14ac:dyDescent="0.2">
      <c r="A686" s="11" t="s">
        <v>969</v>
      </c>
      <c r="B686" s="12" t="s">
        <v>33</v>
      </c>
      <c r="C686" s="12" t="s">
        <v>44</v>
      </c>
      <c r="D686" s="12" t="s">
        <v>38</v>
      </c>
      <c r="E686" s="13" t="s">
        <v>42</v>
      </c>
      <c r="F686" s="12" t="s">
        <v>34</v>
      </c>
      <c r="G686" s="14">
        <v>2175.6</v>
      </c>
      <c r="H686" s="12" t="s">
        <v>43</v>
      </c>
      <c r="I686" s="12">
        <v>0</v>
      </c>
      <c r="J686" s="12" t="s">
        <v>34</v>
      </c>
      <c r="K686" s="12" t="s">
        <v>23</v>
      </c>
      <c r="L686" s="12">
        <v>1</v>
      </c>
      <c r="M686" s="15">
        <v>33750</v>
      </c>
      <c r="N686" s="15">
        <v>6527</v>
      </c>
      <c r="O686" s="15">
        <f t="shared" si="50"/>
        <v>40277</v>
      </c>
      <c r="P686" s="15">
        <f t="shared" si="51"/>
        <v>18.513053870196728</v>
      </c>
      <c r="Q686" s="14">
        <v>4821</v>
      </c>
      <c r="R686" s="12">
        <v>45</v>
      </c>
      <c r="S686" s="12" t="s">
        <v>980</v>
      </c>
      <c r="T686" s="22">
        <f t="shared" si="52"/>
        <v>12</v>
      </c>
      <c r="U686" s="22">
        <f t="shared" si="53"/>
        <v>2020</v>
      </c>
      <c r="V686" s="22" t="str">
        <f t="shared" si="54"/>
        <v>METROPOLITANA</v>
      </c>
    </row>
    <row r="687" spans="1:22" x14ac:dyDescent="0.2">
      <c r="A687" s="11" t="s">
        <v>969</v>
      </c>
      <c r="B687" s="12" t="s">
        <v>33</v>
      </c>
      <c r="C687" s="12" t="s">
        <v>44</v>
      </c>
      <c r="D687" s="12" t="s">
        <v>37</v>
      </c>
      <c r="E687" s="13" t="s">
        <v>40</v>
      </c>
      <c r="F687" s="12" t="s">
        <v>48</v>
      </c>
      <c r="G687" s="14">
        <v>7499.9999999999991</v>
      </c>
      <c r="H687" s="12" t="s">
        <v>22</v>
      </c>
      <c r="I687" s="12">
        <v>0</v>
      </c>
      <c r="J687" s="12" t="s">
        <v>48</v>
      </c>
      <c r="K687" s="12" t="s">
        <v>23</v>
      </c>
      <c r="L687" s="12">
        <v>1</v>
      </c>
      <c r="M687" s="15">
        <v>52500</v>
      </c>
      <c r="N687" s="15">
        <v>30000</v>
      </c>
      <c r="O687" s="15">
        <f t="shared" si="50"/>
        <v>82500</v>
      </c>
      <c r="P687" s="15">
        <f t="shared" si="51"/>
        <v>11.000000000000002</v>
      </c>
      <c r="Q687" s="14">
        <v>4821</v>
      </c>
      <c r="R687" s="12">
        <v>100</v>
      </c>
      <c r="S687" s="12" t="s">
        <v>981</v>
      </c>
      <c r="T687" s="22">
        <f t="shared" si="52"/>
        <v>12</v>
      </c>
      <c r="U687" s="22">
        <f t="shared" si="53"/>
        <v>2020</v>
      </c>
      <c r="V687" s="22" t="str">
        <f t="shared" si="54"/>
        <v>METROPOLITANA</v>
      </c>
    </row>
    <row r="688" spans="1:22" x14ac:dyDescent="0.2">
      <c r="A688" s="11" t="s">
        <v>969</v>
      </c>
      <c r="B688" s="12" t="s">
        <v>33</v>
      </c>
      <c r="C688" s="12" t="s">
        <v>44</v>
      </c>
      <c r="D688" s="12" t="s">
        <v>45</v>
      </c>
      <c r="E688" s="13" t="s">
        <v>21</v>
      </c>
      <c r="F688" s="12" t="s">
        <v>95</v>
      </c>
      <c r="G688" s="14">
        <v>1700.4</v>
      </c>
      <c r="H688" s="12" t="s">
        <v>22</v>
      </c>
      <c r="I688" s="12">
        <v>0</v>
      </c>
      <c r="J688" s="12" t="s">
        <v>95</v>
      </c>
      <c r="K688" s="12" t="s">
        <v>23</v>
      </c>
      <c r="L688" s="12">
        <v>4</v>
      </c>
      <c r="M688" s="15">
        <v>56075</v>
      </c>
      <c r="N688" s="15">
        <v>12000</v>
      </c>
      <c r="O688" s="15">
        <f t="shared" si="50"/>
        <v>68075</v>
      </c>
      <c r="P688" s="15">
        <f t="shared" si="51"/>
        <v>40.034697718183956</v>
      </c>
      <c r="Q688" s="14">
        <v>8011</v>
      </c>
      <c r="R688" s="12">
        <v>21</v>
      </c>
      <c r="S688" s="12" t="s">
        <v>982</v>
      </c>
      <c r="T688" s="22">
        <f t="shared" si="52"/>
        <v>12</v>
      </c>
      <c r="U688" s="22">
        <f t="shared" si="53"/>
        <v>2020</v>
      </c>
      <c r="V688" s="22" t="str">
        <f t="shared" si="54"/>
        <v>METROPOLITANA</v>
      </c>
    </row>
    <row r="689" spans="1:22" x14ac:dyDescent="0.2">
      <c r="A689" s="11" t="s">
        <v>969</v>
      </c>
      <c r="B689" s="12" t="s">
        <v>33</v>
      </c>
      <c r="C689" s="12" t="s">
        <v>44</v>
      </c>
      <c r="D689" s="12" t="s">
        <v>47</v>
      </c>
      <c r="E689" s="13" t="s">
        <v>88</v>
      </c>
      <c r="F689" s="12" t="s">
        <v>95</v>
      </c>
      <c r="G689" s="14">
        <v>2175.6</v>
      </c>
      <c r="H689" s="12" t="s">
        <v>22</v>
      </c>
      <c r="I689" s="12">
        <v>0</v>
      </c>
      <c r="J689" s="12" t="s">
        <v>95</v>
      </c>
      <c r="K689" s="12" t="s">
        <v>23</v>
      </c>
      <c r="L689" s="12">
        <v>4</v>
      </c>
      <c r="M689" s="15">
        <v>56075</v>
      </c>
      <c r="N689" s="15">
        <v>12000</v>
      </c>
      <c r="O689" s="15">
        <f t="shared" si="50"/>
        <v>68075</v>
      </c>
      <c r="P689" s="15">
        <f t="shared" si="51"/>
        <v>31.290218790218791</v>
      </c>
      <c r="Q689" s="14">
        <v>8011</v>
      </c>
      <c r="R689" s="12">
        <v>27</v>
      </c>
      <c r="S689" s="12" t="s">
        <v>983</v>
      </c>
      <c r="T689" s="22">
        <f t="shared" si="52"/>
        <v>12</v>
      </c>
      <c r="U689" s="22">
        <f t="shared" si="53"/>
        <v>2020</v>
      </c>
      <c r="V689" s="22" t="str">
        <f t="shared" si="54"/>
        <v>METROPOLITANA</v>
      </c>
    </row>
    <row r="690" spans="1:22" x14ac:dyDescent="0.2">
      <c r="A690" s="11" t="s">
        <v>969</v>
      </c>
      <c r="B690" s="12" t="s">
        <v>33</v>
      </c>
      <c r="C690" s="12" t="s">
        <v>44</v>
      </c>
      <c r="D690" s="12" t="s">
        <v>35</v>
      </c>
      <c r="E690" s="13" t="s">
        <v>52</v>
      </c>
      <c r="F690" s="12" t="s">
        <v>137</v>
      </c>
      <c r="G690" s="14">
        <v>2708.099999999999</v>
      </c>
      <c r="H690" s="12" t="s">
        <v>22</v>
      </c>
      <c r="I690" s="12">
        <v>0</v>
      </c>
      <c r="J690" s="12" t="s">
        <v>137</v>
      </c>
      <c r="K690" s="12" t="s">
        <v>23</v>
      </c>
      <c r="L690" s="12">
        <v>1</v>
      </c>
      <c r="M690" s="15">
        <v>33750</v>
      </c>
      <c r="N690" s="15">
        <v>12000</v>
      </c>
      <c r="O690" s="15">
        <f t="shared" si="50"/>
        <v>45750</v>
      </c>
      <c r="P690" s="15">
        <f t="shared" si="51"/>
        <v>16.893763154979514</v>
      </c>
      <c r="Q690" s="14">
        <v>4821</v>
      </c>
      <c r="R690" s="12">
        <v>56</v>
      </c>
      <c r="S690" s="12" t="s">
        <v>984</v>
      </c>
      <c r="T690" s="22">
        <f t="shared" si="52"/>
        <v>12</v>
      </c>
      <c r="U690" s="22">
        <f t="shared" si="53"/>
        <v>2020</v>
      </c>
      <c r="V690" s="22" t="str">
        <f t="shared" si="54"/>
        <v>METROPOLITANA</v>
      </c>
    </row>
    <row r="691" spans="1:22" x14ac:dyDescent="0.2">
      <c r="A691" s="11" t="s">
        <v>969</v>
      </c>
      <c r="B691" s="12" t="s">
        <v>33</v>
      </c>
      <c r="C691" s="12" t="s">
        <v>44</v>
      </c>
      <c r="D691" s="12" t="s">
        <v>41</v>
      </c>
      <c r="E691" s="13" t="s">
        <v>25</v>
      </c>
      <c r="F691" s="12" t="s">
        <v>46</v>
      </c>
      <c r="G691" s="14">
        <v>2962.8</v>
      </c>
      <c r="H691" s="12" t="s">
        <v>43</v>
      </c>
      <c r="I691" s="12">
        <v>0</v>
      </c>
      <c r="J691" s="12" t="s">
        <v>46</v>
      </c>
      <c r="K691" s="12" t="s">
        <v>23</v>
      </c>
      <c r="L691" s="12">
        <v>2</v>
      </c>
      <c r="M691" s="15">
        <v>40475</v>
      </c>
      <c r="N691" s="15">
        <v>8888</v>
      </c>
      <c r="O691" s="15">
        <f t="shared" si="50"/>
        <v>49363</v>
      </c>
      <c r="P691" s="15">
        <f t="shared" si="51"/>
        <v>16.660928851086808</v>
      </c>
      <c r="Q691" s="14">
        <v>5782</v>
      </c>
      <c r="R691" s="12">
        <v>51</v>
      </c>
      <c r="S691" s="12" t="s">
        <v>985</v>
      </c>
      <c r="T691" s="22">
        <f t="shared" si="52"/>
        <v>12</v>
      </c>
      <c r="U691" s="22">
        <f t="shared" si="53"/>
        <v>2020</v>
      </c>
      <c r="V691" s="22" t="str">
        <f t="shared" si="54"/>
        <v>METROPOLITANA</v>
      </c>
    </row>
    <row r="692" spans="1:22" x14ac:dyDescent="0.2">
      <c r="A692" s="23" t="s">
        <v>986</v>
      </c>
      <c r="B692" s="22" t="s">
        <v>54</v>
      </c>
      <c r="C692" s="22" t="s">
        <v>55</v>
      </c>
      <c r="D692" s="22" t="s">
        <v>987</v>
      </c>
      <c r="E692" s="24" t="s">
        <v>988</v>
      </c>
      <c r="F692" s="22" t="s">
        <v>66</v>
      </c>
      <c r="G692" s="25">
        <v>18057.000000000011</v>
      </c>
      <c r="H692" s="22" t="s">
        <v>24</v>
      </c>
      <c r="I692" s="22">
        <v>1</v>
      </c>
      <c r="J692" s="22" t="s">
        <v>66</v>
      </c>
      <c r="K692" s="22" t="s">
        <v>75</v>
      </c>
      <c r="L692" s="22">
        <v>0</v>
      </c>
      <c r="M692" s="26">
        <v>380000</v>
      </c>
      <c r="N692" s="26">
        <v>0</v>
      </c>
      <c r="O692" s="15">
        <f t="shared" si="50"/>
        <v>380000</v>
      </c>
      <c r="P692" s="15">
        <f t="shared" si="51"/>
        <v>21.04447028853075</v>
      </c>
      <c r="Q692" s="25">
        <v>25000</v>
      </c>
      <c r="R692" s="22">
        <v>72</v>
      </c>
      <c r="S692" s="22" t="s">
        <v>989</v>
      </c>
      <c r="T692" s="22">
        <f t="shared" si="52"/>
        <v>12</v>
      </c>
      <c r="U692" s="22">
        <f t="shared" si="53"/>
        <v>2020</v>
      </c>
      <c r="V692" s="22" t="str">
        <f t="shared" si="54"/>
        <v>REGIONES</v>
      </c>
    </row>
    <row r="693" spans="1:22" x14ac:dyDescent="0.2">
      <c r="A693" s="23" t="s">
        <v>986</v>
      </c>
      <c r="B693" s="22" t="s">
        <v>54</v>
      </c>
      <c r="C693" s="22" t="s">
        <v>55</v>
      </c>
      <c r="D693" s="22" t="s">
        <v>786</v>
      </c>
      <c r="E693" s="24" t="s">
        <v>787</v>
      </c>
      <c r="F693" s="22" t="s">
        <v>66</v>
      </c>
      <c r="G693" s="25">
        <v>8874.0000000000073</v>
      </c>
      <c r="H693" s="22" t="s">
        <v>788</v>
      </c>
      <c r="I693" s="22">
        <v>1</v>
      </c>
      <c r="J693" s="22" t="s">
        <v>66</v>
      </c>
      <c r="K693" s="22" t="s">
        <v>75</v>
      </c>
      <c r="L693" s="22">
        <v>0</v>
      </c>
      <c r="M693" s="26">
        <v>380000</v>
      </c>
      <c r="N693" s="26">
        <v>0</v>
      </c>
      <c r="O693" s="15">
        <f t="shared" si="50"/>
        <v>380000</v>
      </c>
      <c r="P693" s="15">
        <f t="shared" si="51"/>
        <v>42.821726391706072</v>
      </c>
      <c r="Q693" s="25">
        <v>25000</v>
      </c>
      <c r="R693" s="22">
        <v>35</v>
      </c>
      <c r="S693" s="22" t="s">
        <v>990</v>
      </c>
      <c r="T693" s="22">
        <f t="shared" si="52"/>
        <v>12</v>
      </c>
      <c r="U693" s="22">
        <f t="shared" si="53"/>
        <v>2020</v>
      </c>
      <c r="V693" s="22" t="str">
        <f t="shared" si="54"/>
        <v>REGIONES</v>
      </c>
    </row>
    <row r="694" spans="1:22" x14ac:dyDescent="0.2">
      <c r="A694" s="23" t="s">
        <v>986</v>
      </c>
      <c r="B694" s="22" t="s">
        <v>18</v>
      </c>
      <c r="C694" s="22" t="s">
        <v>71</v>
      </c>
      <c r="D694" s="22" t="s">
        <v>27</v>
      </c>
      <c r="E694" s="24" t="s">
        <v>28</v>
      </c>
      <c r="F694" s="22" t="s">
        <v>72</v>
      </c>
      <c r="G694" s="25">
        <v>15554.73</v>
      </c>
      <c r="H694" s="22" t="s">
        <v>22</v>
      </c>
      <c r="I694" s="22">
        <v>1</v>
      </c>
      <c r="J694" s="22" t="s">
        <v>72</v>
      </c>
      <c r="K694" s="22" t="s">
        <v>23</v>
      </c>
      <c r="L694" s="22">
        <v>5</v>
      </c>
      <c r="M694" s="26">
        <v>120000</v>
      </c>
      <c r="N694" s="26">
        <f>G694*4</f>
        <v>62218.92</v>
      </c>
      <c r="O694" s="15">
        <f t="shared" si="50"/>
        <v>182218.91999999998</v>
      </c>
      <c r="P694" s="15">
        <f t="shared" si="51"/>
        <v>11.714695144178009</v>
      </c>
      <c r="Q694" s="25">
        <v>12000</v>
      </c>
      <c r="R694" s="22">
        <v>100</v>
      </c>
      <c r="S694" s="22" t="s">
        <v>991</v>
      </c>
      <c r="T694" s="22">
        <f t="shared" si="52"/>
        <v>12</v>
      </c>
      <c r="U694" s="22">
        <f t="shared" si="53"/>
        <v>2020</v>
      </c>
      <c r="V694" s="22" t="str">
        <f t="shared" si="54"/>
        <v>METROPOLITANA</v>
      </c>
    </row>
    <row r="695" spans="1:22" x14ac:dyDescent="0.2">
      <c r="A695" s="23" t="s">
        <v>986</v>
      </c>
      <c r="B695" s="22" t="s">
        <v>18</v>
      </c>
      <c r="C695" s="22" t="s">
        <v>457</v>
      </c>
      <c r="D695" s="22" t="s">
        <v>118</v>
      </c>
      <c r="E695" s="24" t="s">
        <v>119</v>
      </c>
      <c r="F695" s="22" t="s">
        <v>313</v>
      </c>
      <c r="G695" s="25">
        <v>18479.34</v>
      </c>
      <c r="H695" s="22" t="s">
        <v>85</v>
      </c>
      <c r="I695" s="22">
        <v>1</v>
      </c>
      <c r="J695" s="22" t="s">
        <v>313</v>
      </c>
      <c r="K695" s="22" t="s">
        <v>75</v>
      </c>
      <c r="L695" s="22">
        <v>0</v>
      </c>
      <c r="M695" s="26">
        <v>390000</v>
      </c>
      <c r="N695" s="26">
        <v>0</v>
      </c>
      <c r="O695" s="15">
        <f t="shared" si="50"/>
        <v>390000</v>
      </c>
      <c r="P695" s="15">
        <f t="shared" si="51"/>
        <v>21.10464984139044</v>
      </c>
      <c r="Q695" s="25">
        <v>25000</v>
      </c>
      <c r="R695" s="22">
        <v>74</v>
      </c>
      <c r="S695" s="22" t="s">
        <v>992</v>
      </c>
      <c r="T695" s="22">
        <f t="shared" si="52"/>
        <v>12</v>
      </c>
      <c r="U695" s="22">
        <f t="shared" si="53"/>
        <v>2020</v>
      </c>
      <c r="V695" s="22" t="str">
        <f t="shared" si="54"/>
        <v>REGIONES</v>
      </c>
    </row>
    <row r="696" spans="1:22" x14ac:dyDescent="0.2">
      <c r="A696" s="23" t="s">
        <v>986</v>
      </c>
      <c r="B696" s="22" t="s">
        <v>18</v>
      </c>
      <c r="C696" s="22" t="s">
        <v>160</v>
      </c>
      <c r="D696" s="22" t="s">
        <v>38</v>
      </c>
      <c r="E696" s="24" t="s">
        <v>42</v>
      </c>
      <c r="F696" s="22" t="s">
        <v>161</v>
      </c>
      <c r="G696" s="25">
        <v>1517.24</v>
      </c>
      <c r="H696" s="22" t="s">
        <v>43</v>
      </c>
      <c r="I696" s="22">
        <v>0</v>
      </c>
      <c r="J696" s="22" t="s">
        <v>161</v>
      </c>
      <c r="K696" s="22" t="s">
        <v>23</v>
      </c>
      <c r="L696" s="22">
        <v>5</v>
      </c>
      <c r="M696" s="26">
        <v>70000</v>
      </c>
      <c r="N696" s="26">
        <f>G696*3</f>
        <v>4551.72</v>
      </c>
      <c r="O696" s="15">
        <f t="shared" si="50"/>
        <v>74551.72</v>
      </c>
      <c r="P696" s="15">
        <f t="shared" si="51"/>
        <v>49.136405578550523</v>
      </c>
      <c r="Q696" s="25">
        <v>12000</v>
      </c>
      <c r="R696" s="22">
        <v>13</v>
      </c>
      <c r="S696" s="22" t="s">
        <v>993</v>
      </c>
      <c r="T696" s="22">
        <f t="shared" si="52"/>
        <v>12</v>
      </c>
      <c r="U696" s="22">
        <f t="shared" si="53"/>
        <v>2020</v>
      </c>
      <c r="V696" s="22" t="str">
        <f t="shared" si="54"/>
        <v>METROPOLITANA</v>
      </c>
    </row>
    <row r="697" spans="1:22" x14ac:dyDescent="0.2">
      <c r="A697" s="23" t="s">
        <v>986</v>
      </c>
      <c r="B697" s="22" t="s">
        <v>18</v>
      </c>
      <c r="C697" s="22" t="s">
        <v>994</v>
      </c>
      <c r="D697" s="22" t="s">
        <v>188</v>
      </c>
      <c r="E697" s="24" t="s">
        <v>189</v>
      </c>
      <c r="F697" s="22" t="s">
        <v>995</v>
      </c>
      <c r="G697" s="25">
        <v>2013.9</v>
      </c>
      <c r="H697" s="22" t="s">
        <v>190</v>
      </c>
      <c r="I697" s="22">
        <v>0</v>
      </c>
      <c r="J697" s="22" t="s">
        <v>995</v>
      </c>
      <c r="K697" s="22" t="s">
        <v>23</v>
      </c>
      <c r="L697" s="22">
        <v>1</v>
      </c>
      <c r="M697" s="26">
        <v>33750</v>
      </c>
      <c r="N697" s="26">
        <v>0</v>
      </c>
      <c r="O697" s="15">
        <f t="shared" si="50"/>
        <v>33750</v>
      </c>
      <c r="P697" s="15">
        <f t="shared" si="51"/>
        <v>16.758528228809773</v>
      </c>
      <c r="Q697" s="25">
        <v>4821</v>
      </c>
      <c r="R697" s="22">
        <v>42</v>
      </c>
      <c r="S697" s="22" t="s">
        <v>996</v>
      </c>
      <c r="T697" s="22">
        <f t="shared" si="52"/>
        <v>12</v>
      </c>
      <c r="U697" s="22">
        <f t="shared" si="53"/>
        <v>2020</v>
      </c>
      <c r="V697" s="22" t="str">
        <f t="shared" si="54"/>
        <v>METROPOLITANA</v>
      </c>
    </row>
    <row r="698" spans="1:22" x14ac:dyDescent="0.2">
      <c r="A698" s="23" t="s">
        <v>986</v>
      </c>
      <c r="B698" s="22" t="s">
        <v>33</v>
      </c>
      <c r="C698" s="22" t="s">
        <v>50</v>
      </c>
      <c r="D698" s="22" t="s">
        <v>41</v>
      </c>
      <c r="E698" s="24" t="s">
        <v>25</v>
      </c>
      <c r="F698" s="22" t="s">
        <v>26</v>
      </c>
      <c r="G698" s="25">
        <v>9544.08</v>
      </c>
      <c r="H698" s="22" t="s">
        <v>43</v>
      </c>
      <c r="I698" s="22">
        <v>0</v>
      </c>
      <c r="J698" s="22" t="s">
        <v>26</v>
      </c>
      <c r="K698" s="22" t="s">
        <v>23</v>
      </c>
      <c r="L698" s="22">
        <v>4</v>
      </c>
      <c r="M698" s="26">
        <v>66809</v>
      </c>
      <c r="N698" s="26">
        <f>G698*3</f>
        <v>28632.239999999998</v>
      </c>
      <c r="O698" s="15">
        <f t="shared" si="50"/>
        <v>95441.239999999991</v>
      </c>
      <c r="P698" s="15">
        <f t="shared" si="51"/>
        <v>10.000046101876764</v>
      </c>
      <c r="Q698" s="25">
        <v>8011</v>
      </c>
      <c r="R698" s="22">
        <v>100</v>
      </c>
      <c r="S698" s="22" t="s">
        <v>997</v>
      </c>
      <c r="T698" s="22">
        <f t="shared" si="52"/>
        <v>12</v>
      </c>
      <c r="U698" s="22">
        <f t="shared" si="53"/>
        <v>2020</v>
      </c>
      <c r="V698" s="22" t="str">
        <f t="shared" si="54"/>
        <v>METROPOLITANA</v>
      </c>
    </row>
    <row r="699" spans="1:22" x14ac:dyDescent="0.2">
      <c r="A699" s="23" t="s">
        <v>986</v>
      </c>
      <c r="B699" s="22" t="s">
        <v>33</v>
      </c>
      <c r="C699" s="22" t="s">
        <v>128</v>
      </c>
      <c r="D699" s="22" t="s">
        <v>37</v>
      </c>
      <c r="E699" s="24" t="s">
        <v>40</v>
      </c>
      <c r="F699" s="22" t="s">
        <v>34</v>
      </c>
      <c r="G699" s="25">
        <v>8988.6</v>
      </c>
      <c r="H699" s="22" t="s">
        <v>22</v>
      </c>
      <c r="I699" s="22">
        <v>0</v>
      </c>
      <c r="J699" s="22" t="s">
        <v>34</v>
      </c>
      <c r="K699" s="22" t="s">
        <v>23</v>
      </c>
      <c r="L699" s="22">
        <v>1</v>
      </c>
      <c r="M699" s="26">
        <v>62920</v>
      </c>
      <c r="N699" s="26">
        <v>35954</v>
      </c>
      <c r="O699" s="15">
        <f t="shared" si="50"/>
        <v>98874</v>
      </c>
      <c r="P699" s="15">
        <f t="shared" si="51"/>
        <v>10.99993324878179</v>
      </c>
      <c r="Q699" s="25">
        <v>4821</v>
      </c>
      <c r="R699" s="22">
        <v>100</v>
      </c>
      <c r="S699" s="22" t="s">
        <v>998</v>
      </c>
      <c r="T699" s="22">
        <f t="shared" si="52"/>
        <v>12</v>
      </c>
      <c r="U699" s="22">
        <f t="shared" si="53"/>
        <v>2020</v>
      </c>
      <c r="V699" s="22" t="str">
        <f t="shared" si="54"/>
        <v>METROPOLITANA</v>
      </c>
    </row>
    <row r="700" spans="1:22" x14ac:dyDescent="0.2">
      <c r="A700" s="23" t="s">
        <v>986</v>
      </c>
      <c r="B700" s="22" t="s">
        <v>33</v>
      </c>
      <c r="C700" s="22" t="s">
        <v>128</v>
      </c>
      <c r="D700" s="22" t="s">
        <v>63</v>
      </c>
      <c r="E700" s="24" t="s">
        <v>64</v>
      </c>
      <c r="F700" s="22" t="s">
        <v>34</v>
      </c>
      <c r="G700" s="25">
        <v>6701.4</v>
      </c>
      <c r="H700" s="22" t="s">
        <v>65</v>
      </c>
      <c r="I700" s="22">
        <v>0</v>
      </c>
      <c r="J700" s="22" t="s">
        <v>34</v>
      </c>
      <c r="K700" s="22" t="s">
        <v>23</v>
      </c>
      <c r="L700" s="22">
        <v>1</v>
      </c>
      <c r="M700" s="26">
        <v>46910</v>
      </c>
      <c r="N700" s="26">
        <v>20104</v>
      </c>
      <c r="O700" s="15">
        <f t="shared" si="50"/>
        <v>67014</v>
      </c>
      <c r="P700" s="15">
        <f t="shared" si="51"/>
        <v>10</v>
      </c>
      <c r="Q700" s="25">
        <v>4821</v>
      </c>
      <c r="R700" s="22">
        <v>100</v>
      </c>
      <c r="S700" s="22" t="s">
        <v>999</v>
      </c>
      <c r="T700" s="22">
        <f t="shared" si="52"/>
        <v>12</v>
      </c>
      <c r="U700" s="22">
        <f t="shared" si="53"/>
        <v>2020</v>
      </c>
      <c r="V700" s="22" t="str">
        <f t="shared" si="54"/>
        <v>METROPOLITANA</v>
      </c>
    </row>
    <row r="701" spans="1:22" x14ac:dyDescent="0.2">
      <c r="A701" s="23" t="s">
        <v>986</v>
      </c>
      <c r="B701" s="22" t="s">
        <v>33</v>
      </c>
      <c r="C701" s="22" t="s">
        <v>128</v>
      </c>
      <c r="D701" s="22" t="s">
        <v>63</v>
      </c>
      <c r="E701" s="24" t="s">
        <v>64</v>
      </c>
      <c r="F701" s="22" t="s">
        <v>129</v>
      </c>
      <c r="G701" s="25">
        <v>11977.2</v>
      </c>
      <c r="H701" s="22" t="s">
        <v>65</v>
      </c>
      <c r="I701" s="22">
        <v>0</v>
      </c>
      <c r="J701" s="22" t="s">
        <v>129</v>
      </c>
      <c r="K701" s="22" t="s">
        <v>23</v>
      </c>
      <c r="L701" s="22">
        <v>1</v>
      </c>
      <c r="M701" s="26">
        <v>83840</v>
      </c>
      <c r="N701" s="26">
        <v>35932</v>
      </c>
      <c r="O701" s="15">
        <f t="shared" si="50"/>
        <v>119772</v>
      </c>
      <c r="P701" s="15">
        <f t="shared" si="51"/>
        <v>10</v>
      </c>
      <c r="Q701" s="25">
        <v>4821</v>
      </c>
      <c r="R701" s="22">
        <v>100</v>
      </c>
      <c r="S701" s="22" t="s">
        <v>1000</v>
      </c>
      <c r="T701" s="22">
        <f t="shared" si="52"/>
        <v>12</v>
      </c>
      <c r="U701" s="22">
        <f t="shared" si="53"/>
        <v>2020</v>
      </c>
      <c r="V701" s="22" t="str">
        <f t="shared" si="54"/>
        <v>METROPOLITANA</v>
      </c>
    </row>
    <row r="702" spans="1:22" x14ac:dyDescent="0.2">
      <c r="A702" s="23" t="s">
        <v>986</v>
      </c>
      <c r="B702" s="22" t="s">
        <v>33</v>
      </c>
      <c r="C702" s="22" t="s">
        <v>128</v>
      </c>
      <c r="D702" s="22" t="s">
        <v>30</v>
      </c>
      <c r="E702" s="24" t="s">
        <v>31</v>
      </c>
      <c r="F702" s="22" t="s">
        <v>34</v>
      </c>
      <c r="G702" s="25">
        <v>7462.8000000000011</v>
      </c>
      <c r="H702" s="22" t="s">
        <v>32</v>
      </c>
      <c r="I702" s="22">
        <v>0</v>
      </c>
      <c r="J702" s="22" t="s">
        <v>34</v>
      </c>
      <c r="K702" s="22" t="s">
        <v>23</v>
      </c>
      <c r="L702" s="22">
        <v>1</v>
      </c>
      <c r="M702" s="26">
        <v>52240</v>
      </c>
      <c r="N702" s="26">
        <v>22388</v>
      </c>
      <c r="O702" s="15">
        <f t="shared" si="50"/>
        <v>74628</v>
      </c>
      <c r="P702" s="15">
        <f t="shared" si="51"/>
        <v>9.9999999999999982</v>
      </c>
      <c r="Q702" s="25">
        <v>4821</v>
      </c>
      <c r="R702" s="22">
        <v>100</v>
      </c>
      <c r="S702" s="22" t="s">
        <v>1001</v>
      </c>
      <c r="T702" s="22">
        <f t="shared" si="52"/>
        <v>12</v>
      </c>
      <c r="U702" s="22">
        <f t="shared" si="53"/>
        <v>2020</v>
      </c>
      <c r="V702" s="22" t="str">
        <f t="shared" si="54"/>
        <v>METROPOLITANA</v>
      </c>
    </row>
    <row r="703" spans="1:22" x14ac:dyDescent="0.2">
      <c r="A703" s="23" t="s">
        <v>986</v>
      </c>
      <c r="B703" s="22" t="s">
        <v>33</v>
      </c>
      <c r="C703" s="22" t="s">
        <v>128</v>
      </c>
      <c r="D703" s="22" t="s">
        <v>20</v>
      </c>
      <c r="E703" s="24" t="s">
        <v>49</v>
      </c>
      <c r="F703" s="22" t="s">
        <v>129</v>
      </c>
      <c r="G703" s="25">
        <v>9531.5999999999967</v>
      </c>
      <c r="H703" s="22" t="s">
        <v>22</v>
      </c>
      <c r="I703" s="22">
        <v>0</v>
      </c>
      <c r="J703" s="22" t="s">
        <v>129</v>
      </c>
      <c r="K703" s="22" t="s">
        <v>23</v>
      </c>
      <c r="L703" s="22">
        <v>1</v>
      </c>
      <c r="M703" s="26">
        <v>66721</v>
      </c>
      <c r="N703" s="26">
        <v>38126</v>
      </c>
      <c r="O703" s="15">
        <f t="shared" si="50"/>
        <v>104847</v>
      </c>
      <c r="P703" s="15">
        <f t="shared" si="51"/>
        <v>10.999937051491884</v>
      </c>
      <c r="Q703" s="25">
        <v>4821</v>
      </c>
      <c r="R703" s="22">
        <v>100</v>
      </c>
      <c r="S703" s="22" t="s">
        <v>1002</v>
      </c>
      <c r="T703" s="22">
        <f t="shared" si="52"/>
        <v>12</v>
      </c>
      <c r="U703" s="22">
        <f t="shared" si="53"/>
        <v>2020</v>
      </c>
      <c r="V703" s="22" t="str">
        <f t="shared" si="54"/>
        <v>METROPOLITANA</v>
      </c>
    </row>
    <row r="704" spans="1:22" x14ac:dyDescent="0.2">
      <c r="A704" s="23" t="s">
        <v>986</v>
      </c>
      <c r="B704" s="22" t="s">
        <v>33</v>
      </c>
      <c r="C704" s="22" t="s">
        <v>29</v>
      </c>
      <c r="D704" s="22" t="s">
        <v>30</v>
      </c>
      <c r="E704" s="24" t="s">
        <v>31</v>
      </c>
      <c r="F704" s="22" t="s">
        <v>134</v>
      </c>
      <c r="G704" s="25">
        <v>8211.4000000000015</v>
      </c>
      <c r="H704" s="22" t="s">
        <v>32</v>
      </c>
      <c r="I704" s="22">
        <v>0</v>
      </c>
      <c r="J704" s="22" t="s">
        <v>134</v>
      </c>
      <c r="K704" s="22" t="s">
        <v>23</v>
      </c>
      <c r="L704" s="22">
        <v>2</v>
      </c>
      <c r="M704" s="26">
        <v>57480</v>
      </c>
      <c r="N704" s="26">
        <v>24634</v>
      </c>
      <c r="O704" s="15">
        <f t="shared" si="50"/>
        <v>82114</v>
      </c>
      <c r="P704" s="15">
        <f t="shared" si="51"/>
        <v>9.9999999999999982</v>
      </c>
      <c r="Q704" s="25">
        <v>5782</v>
      </c>
      <c r="R704" s="22">
        <v>100</v>
      </c>
      <c r="S704" s="22" t="s">
        <v>1003</v>
      </c>
      <c r="T704" s="22">
        <f t="shared" si="52"/>
        <v>12</v>
      </c>
      <c r="U704" s="22">
        <f t="shared" si="53"/>
        <v>2020</v>
      </c>
      <c r="V704" s="22" t="str">
        <f t="shared" si="54"/>
        <v>METROPOLITANA</v>
      </c>
    </row>
    <row r="705" spans="1:22" x14ac:dyDescent="0.2">
      <c r="A705" s="23" t="s">
        <v>986</v>
      </c>
      <c r="B705" s="22" t="s">
        <v>33</v>
      </c>
      <c r="C705" s="22" t="s">
        <v>44</v>
      </c>
      <c r="D705" s="22" t="s">
        <v>56</v>
      </c>
      <c r="E705" s="24" t="s">
        <v>52</v>
      </c>
      <c r="F705" s="22" t="s">
        <v>53</v>
      </c>
      <c r="G705" s="25">
        <v>4963.7999999999984</v>
      </c>
      <c r="H705" s="22" t="s">
        <v>22</v>
      </c>
      <c r="I705" s="22">
        <v>0</v>
      </c>
      <c r="J705" s="22" t="s">
        <v>53</v>
      </c>
      <c r="K705" s="22" t="s">
        <v>23</v>
      </c>
      <c r="L705" s="22">
        <v>3</v>
      </c>
      <c r="M705" s="26">
        <v>48075</v>
      </c>
      <c r="N705" s="26">
        <v>19855</v>
      </c>
      <c r="O705" s="15">
        <f t="shared" si="50"/>
        <v>67930</v>
      </c>
      <c r="P705" s="15">
        <f t="shared" si="51"/>
        <v>13.685079979048314</v>
      </c>
      <c r="Q705" s="25">
        <v>6868</v>
      </c>
      <c r="R705" s="22">
        <v>72</v>
      </c>
      <c r="S705" s="22" t="s">
        <v>1004</v>
      </c>
      <c r="T705" s="22">
        <f t="shared" si="52"/>
        <v>12</v>
      </c>
      <c r="U705" s="22">
        <f t="shared" si="53"/>
        <v>2020</v>
      </c>
      <c r="V705" s="22" t="str">
        <f t="shared" si="54"/>
        <v>METROPOLITANA</v>
      </c>
    </row>
    <row r="706" spans="1:22" x14ac:dyDescent="0.2">
      <c r="A706" s="23" t="s">
        <v>986</v>
      </c>
      <c r="B706" s="22" t="s">
        <v>33</v>
      </c>
      <c r="C706" s="22" t="s">
        <v>44</v>
      </c>
      <c r="D706" s="22" t="s">
        <v>45</v>
      </c>
      <c r="E706" s="24" t="s">
        <v>28</v>
      </c>
      <c r="F706" s="22" t="s">
        <v>225</v>
      </c>
      <c r="G706" s="25">
        <v>1700.4</v>
      </c>
      <c r="H706" s="22" t="s">
        <v>22</v>
      </c>
      <c r="I706" s="22">
        <v>0</v>
      </c>
      <c r="J706" s="22" t="s">
        <v>225</v>
      </c>
      <c r="K706" s="22" t="s">
        <v>23</v>
      </c>
      <c r="L706" s="22">
        <v>3</v>
      </c>
      <c r="M706" s="26">
        <v>48075</v>
      </c>
      <c r="N706" s="26">
        <v>12000</v>
      </c>
      <c r="O706" s="15">
        <f t="shared" ref="O706:O769" si="55">SUM(M706:N706)</f>
        <v>60075</v>
      </c>
      <c r="P706" s="15">
        <f t="shared" ref="P706:P769" si="56">O706/G706</f>
        <v>35.32992237120677</v>
      </c>
      <c r="Q706" s="25">
        <v>6868</v>
      </c>
      <c r="R706" s="22">
        <v>25</v>
      </c>
      <c r="S706" s="22" t="s">
        <v>1005</v>
      </c>
      <c r="T706" s="22">
        <f t="shared" ref="T706:T769" si="57">MONTH(A706)</f>
        <v>12</v>
      </c>
      <c r="U706" s="22">
        <f t="shared" ref="U706:U769" si="58">YEAR(A706)</f>
        <v>2020</v>
      </c>
      <c r="V706" s="22" t="str">
        <f t="shared" ref="V706:V769" si="59">IF(K706="METROPOLITANA DE SANTIAGO","METROPOLITANA","REGIONES")</f>
        <v>METROPOLITANA</v>
      </c>
    </row>
    <row r="707" spans="1:22" x14ac:dyDescent="0.2">
      <c r="A707" s="23" t="s">
        <v>986</v>
      </c>
      <c r="B707" s="22" t="s">
        <v>33</v>
      </c>
      <c r="C707" s="22" t="s">
        <v>44</v>
      </c>
      <c r="D707" s="22" t="s">
        <v>47</v>
      </c>
      <c r="E707" s="24" t="s">
        <v>88</v>
      </c>
      <c r="F707" s="22" t="s">
        <v>48</v>
      </c>
      <c r="G707" s="25">
        <v>6924.6000000000022</v>
      </c>
      <c r="H707" s="22" t="s">
        <v>22</v>
      </c>
      <c r="I707" s="22">
        <v>0</v>
      </c>
      <c r="J707" s="22" t="s">
        <v>48</v>
      </c>
      <c r="K707" s="22" t="s">
        <v>23</v>
      </c>
      <c r="L707" s="22">
        <v>1</v>
      </c>
      <c r="M707" s="26">
        <v>48472</v>
      </c>
      <c r="N707" s="26">
        <v>27698</v>
      </c>
      <c r="O707" s="15">
        <f t="shared" si="55"/>
        <v>76170</v>
      </c>
      <c r="P707" s="15">
        <f t="shared" si="56"/>
        <v>10.999913352395803</v>
      </c>
      <c r="Q707" s="25">
        <v>4821</v>
      </c>
      <c r="R707" s="22">
        <v>100</v>
      </c>
      <c r="S707" s="22" t="s">
        <v>1006</v>
      </c>
      <c r="T707" s="22">
        <f t="shared" si="57"/>
        <v>12</v>
      </c>
      <c r="U707" s="22">
        <f t="shared" si="58"/>
        <v>2020</v>
      </c>
      <c r="V707" s="22" t="str">
        <f t="shared" si="59"/>
        <v>METROPOLITANA</v>
      </c>
    </row>
    <row r="708" spans="1:22" x14ac:dyDescent="0.2">
      <c r="A708" s="23" t="s">
        <v>986</v>
      </c>
      <c r="B708" s="22" t="s">
        <v>33</v>
      </c>
      <c r="C708" s="22" t="s">
        <v>44</v>
      </c>
      <c r="D708" s="22" t="s">
        <v>35</v>
      </c>
      <c r="E708" s="24" t="s">
        <v>49</v>
      </c>
      <c r="F708" s="22" t="s">
        <v>138</v>
      </c>
      <c r="G708" s="25">
        <v>850.2</v>
      </c>
      <c r="H708" s="22" t="s">
        <v>22</v>
      </c>
      <c r="I708" s="22">
        <v>0</v>
      </c>
      <c r="J708" s="22" t="s">
        <v>138</v>
      </c>
      <c r="K708" s="22" t="s">
        <v>23</v>
      </c>
      <c r="L708" s="22">
        <v>3</v>
      </c>
      <c r="M708" s="26">
        <v>48075</v>
      </c>
      <c r="N708" s="26">
        <v>12000</v>
      </c>
      <c r="O708" s="15">
        <f t="shared" si="55"/>
        <v>60075</v>
      </c>
      <c r="P708" s="15">
        <f t="shared" si="56"/>
        <v>70.65984474241354</v>
      </c>
      <c r="Q708" s="25">
        <v>6868</v>
      </c>
      <c r="R708" s="22">
        <v>12</v>
      </c>
      <c r="S708" s="22" t="s">
        <v>1007</v>
      </c>
      <c r="T708" s="22">
        <f t="shared" si="57"/>
        <v>12</v>
      </c>
      <c r="U708" s="22">
        <f t="shared" si="58"/>
        <v>2020</v>
      </c>
      <c r="V708" s="22" t="str">
        <f t="shared" si="59"/>
        <v>METROPOLITANA</v>
      </c>
    </row>
    <row r="709" spans="1:22" x14ac:dyDescent="0.2">
      <c r="A709" s="23" t="s">
        <v>986</v>
      </c>
      <c r="B709" s="22" t="s">
        <v>33</v>
      </c>
      <c r="C709" s="22" t="s">
        <v>44</v>
      </c>
      <c r="D709" s="22" t="s">
        <v>20</v>
      </c>
      <c r="E709" s="24" t="s">
        <v>21</v>
      </c>
      <c r="F709" s="22" t="s">
        <v>46</v>
      </c>
      <c r="G709" s="25">
        <v>1087.8</v>
      </c>
      <c r="H709" s="22" t="s">
        <v>22</v>
      </c>
      <c r="I709" s="22">
        <v>0</v>
      </c>
      <c r="J709" s="22" t="s">
        <v>46</v>
      </c>
      <c r="K709" s="22" t="s">
        <v>23</v>
      </c>
      <c r="L709" s="22">
        <v>2</v>
      </c>
      <c r="M709" s="26">
        <v>40475</v>
      </c>
      <c r="N709" s="26">
        <v>12000</v>
      </c>
      <c r="O709" s="15">
        <f t="shared" si="55"/>
        <v>52475</v>
      </c>
      <c r="P709" s="15">
        <f t="shared" si="56"/>
        <v>48.239566096708955</v>
      </c>
      <c r="Q709" s="25">
        <v>5782</v>
      </c>
      <c r="R709" s="22">
        <v>19</v>
      </c>
      <c r="S709" s="22" t="s">
        <v>1008</v>
      </c>
      <c r="T709" s="22">
        <f t="shared" si="57"/>
        <v>12</v>
      </c>
      <c r="U709" s="22">
        <f t="shared" si="58"/>
        <v>2020</v>
      </c>
      <c r="V709" s="22" t="str">
        <f t="shared" si="59"/>
        <v>METROPOLITANA</v>
      </c>
    </row>
    <row r="710" spans="1:22" x14ac:dyDescent="0.2">
      <c r="A710" s="23" t="s">
        <v>986</v>
      </c>
      <c r="B710" s="22" t="s">
        <v>18</v>
      </c>
      <c r="C710" s="22" t="s">
        <v>71</v>
      </c>
      <c r="D710" s="22" t="s">
        <v>164</v>
      </c>
      <c r="E710" s="24" t="s">
        <v>28</v>
      </c>
      <c r="F710" s="22" t="s">
        <v>72</v>
      </c>
      <c r="G710" s="25">
        <v>11946.48</v>
      </c>
      <c r="H710" s="22" t="s">
        <v>22</v>
      </c>
      <c r="I710" s="22">
        <v>1</v>
      </c>
      <c r="J710" s="22" t="s">
        <v>72</v>
      </c>
      <c r="K710" s="22" t="s">
        <v>23</v>
      </c>
      <c r="L710" s="22">
        <v>5</v>
      </c>
      <c r="M710" s="26">
        <v>120000</v>
      </c>
      <c r="N710" s="26">
        <f>G710*4</f>
        <v>47785.919999999998</v>
      </c>
      <c r="O710" s="15">
        <f t="shared" si="55"/>
        <v>167785.91999999998</v>
      </c>
      <c r="P710" s="15">
        <f t="shared" si="56"/>
        <v>14.044799807139842</v>
      </c>
      <c r="Q710" s="25">
        <v>12000</v>
      </c>
      <c r="R710" s="22">
        <v>100</v>
      </c>
      <c r="S710" s="22" t="s">
        <v>1009</v>
      </c>
      <c r="T710" s="22">
        <f t="shared" si="57"/>
        <v>12</v>
      </c>
      <c r="U710" s="22">
        <f t="shared" si="58"/>
        <v>2020</v>
      </c>
      <c r="V710" s="22" t="str">
        <f t="shared" si="59"/>
        <v>METROPOLITANA</v>
      </c>
    </row>
    <row r="711" spans="1:22" x14ac:dyDescent="0.2">
      <c r="A711" s="11" t="s">
        <v>1010</v>
      </c>
      <c r="B711" s="12" t="s">
        <v>33</v>
      </c>
      <c r="C711" s="12" t="s">
        <v>44</v>
      </c>
      <c r="D711" s="12" t="s">
        <v>56</v>
      </c>
      <c r="E711" s="13" t="s">
        <v>28</v>
      </c>
      <c r="F711" s="12" t="s">
        <v>229</v>
      </c>
      <c r="G711" s="14">
        <v>7551.5999999999995</v>
      </c>
      <c r="H711" s="12" t="s">
        <v>22</v>
      </c>
      <c r="I711" s="12">
        <v>0</v>
      </c>
      <c r="J711" s="12" t="s">
        <v>230</v>
      </c>
      <c r="K711" s="12" t="s">
        <v>23</v>
      </c>
      <c r="L711" s="12">
        <v>4</v>
      </c>
      <c r="M711" s="15">
        <v>56075</v>
      </c>
      <c r="N711" s="15">
        <v>30206</v>
      </c>
      <c r="O711" s="15">
        <f t="shared" si="55"/>
        <v>86281</v>
      </c>
      <c r="P711" s="15">
        <f t="shared" si="56"/>
        <v>11.425525716404472</v>
      </c>
      <c r="Q711" s="14">
        <v>8011</v>
      </c>
      <c r="R711" s="12">
        <v>94</v>
      </c>
      <c r="S711" s="12" t="s">
        <v>1011</v>
      </c>
      <c r="T711" s="22">
        <f t="shared" si="57"/>
        <v>12</v>
      </c>
      <c r="U711" s="22">
        <f t="shared" si="58"/>
        <v>2020</v>
      </c>
      <c r="V711" s="22" t="str">
        <f t="shared" si="59"/>
        <v>METROPOLITANA</v>
      </c>
    </row>
    <row r="712" spans="1:22" x14ac:dyDescent="0.2">
      <c r="A712" s="11" t="s">
        <v>1010</v>
      </c>
      <c r="B712" s="12" t="s">
        <v>33</v>
      </c>
      <c r="C712" s="12" t="s">
        <v>44</v>
      </c>
      <c r="D712" s="12" t="s">
        <v>45</v>
      </c>
      <c r="E712" s="13" t="s">
        <v>52</v>
      </c>
      <c r="F712" s="12" t="s">
        <v>51</v>
      </c>
      <c r="G712" s="14">
        <v>3876</v>
      </c>
      <c r="H712" s="12" t="s">
        <v>22</v>
      </c>
      <c r="I712" s="12">
        <v>0</v>
      </c>
      <c r="J712" s="12" t="s">
        <v>51</v>
      </c>
      <c r="K712" s="12" t="s">
        <v>23</v>
      </c>
      <c r="L712" s="12">
        <v>4</v>
      </c>
      <c r="M712" s="15">
        <v>56075</v>
      </c>
      <c r="N712" s="15">
        <v>15504</v>
      </c>
      <c r="O712" s="15">
        <f t="shared" si="55"/>
        <v>71579</v>
      </c>
      <c r="P712" s="15">
        <f t="shared" si="56"/>
        <v>18.467234262125903</v>
      </c>
      <c r="Q712" s="14">
        <v>8011</v>
      </c>
      <c r="R712" s="12">
        <v>48</v>
      </c>
      <c r="S712" s="12" t="s">
        <v>1012</v>
      </c>
      <c r="T712" s="22">
        <f t="shared" si="57"/>
        <v>12</v>
      </c>
      <c r="U712" s="22">
        <f t="shared" si="58"/>
        <v>2020</v>
      </c>
      <c r="V712" s="22" t="str">
        <f t="shared" si="59"/>
        <v>METROPOLITANA</v>
      </c>
    </row>
    <row r="713" spans="1:22" x14ac:dyDescent="0.2">
      <c r="A713" s="11" t="s">
        <v>1010</v>
      </c>
      <c r="B713" s="12" t="s">
        <v>33</v>
      </c>
      <c r="C713" s="12" t="s">
        <v>44</v>
      </c>
      <c r="D713" s="12" t="s">
        <v>47</v>
      </c>
      <c r="E713" s="13" t="s">
        <v>88</v>
      </c>
      <c r="F713" s="12" t="s">
        <v>48</v>
      </c>
      <c r="G713" s="14">
        <v>6612.5999999999995</v>
      </c>
      <c r="H713" s="12" t="s">
        <v>22</v>
      </c>
      <c r="I713" s="12">
        <v>0</v>
      </c>
      <c r="J713" s="12" t="s">
        <v>48</v>
      </c>
      <c r="K713" s="12" t="s">
        <v>23</v>
      </c>
      <c r="L713" s="12">
        <v>1</v>
      </c>
      <c r="M713" s="15">
        <v>46288</v>
      </c>
      <c r="N713" s="15">
        <v>26450</v>
      </c>
      <c r="O713" s="15">
        <f t="shared" si="55"/>
        <v>72738</v>
      </c>
      <c r="P713" s="15">
        <f t="shared" si="56"/>
        <v>10.999909264132112</v>
      </c>
      <c r="Q713" s="14">
        <v>4821</v>
      </c>
      <c r="R713" s="12">
        <v>100</v>
      </c>
      <c r="S713" s="12" t="s">
        <v>1013</v>
      </c>
      <c r="T713" s="22">
        <f t="shared" si="57"/>
        <v>12</v>
      </c>
      <c r="U713" s="22">
        <f t="shared" si="58"/>
        <v>2020</v>
      </c>
      <c r="V713" s="22" t="str">
        <f t="shared" si="59"/>
        <v>METROPOLITANA</v>
      </c>
    </row>
    <row r="714" spans="1:22" x14ac:dyDescent="0.2">
      <c r="A714" s="11" t="s">
        <v>1010</v>
      </c>
      <c r="B714" s="12" t="s">
        <v>33</v>
      </c>
      <c r="C714" s="12" t="s">
        <v>44</v>
      </c>
      <c r="D714" s="12" t="s">
        <v>47</v>
      </c>
      <c r="E714" s="13" t="s">
        <v>1014</v>
      </c>
      <c r="F714" s="12" t="s">
        <v>48</v>
      </c>
      <c r="G714" s="14">
        <v>1700.4</v>
      </c>
      <c r="H714" s="12" t="s">
        <v>22</v>
      </c>
      <c r="I714" s="12">
        <v>0</v>
      </c>
      <c r="J714" s="12" t="s">
        <v>48</v>
      </c>
      <c r="K714" s="12" t="s">
        <v>23</v>
      </c>
      <c r="L714" s="12">
        <v>1</v>
      </c>
      <c r="M714" s="15">
        <v>33750</v>
      </c>
      <c r="N714" s="15">
        <v>12000</v>
      </c>
      <c r="O714" s="15">
        <f t="shared" si="55"/>
        <v>45750</v>
      </c>
      <c r="P714" s="15">
        <f t="shared" si="56"/>
        <v>26.905434015525756</v>
      </c>
      <c r="Q714" s="14">
        <v>4821</v>
      </c>
      <c r="R714" s="12">
        <v>35</v>
      </c>
      <c r="S714" s="12" t="s">
        <v>1015</v>
      </c>
      <c r="T714" s="22">
        <f t="shared" si="57"/>
        <v>12</v>
      </c>
      <c r="U714" s="22">
        <f t="shared" si="58"/>
        <v>2020</v>
      </c>
      <c r="V714" s="22" t="str">
        <f t="shared" si="59"/>
        <v>METROPOLITANA</v>
      </c>
    </row>
    <row r="715" spans="1:22" x14ac:dyDescent="0.2">
      <c r="A715" s="11" t="s">
        <v>1010</v>
      </c>
      <c r="B715" s="12" t="s">
        <v>33</v>
      </c>
      <c r="C715" s="12" t="s">
        <v>44</v>
      </c>
      <c r="D715" s="12" t="s">
        <v>35</v>
      </c>
      <c r="E715" s="13" t="s">
        <v>49</v>
      </c>
      <c r="F715" s="12" t="s">
        <v>129</v>
      </c>
      <c r="G715" s="14">
        <v>1700.4</v>
      </c>
      <c r="H715" s="12" t="s">
        <v>22</v>
      </c>
      <c r="I715" s="12">
        <v>0</v>
      </c>
      <c r="J715" s="12" t="s">
        <v>129</v>
      </c>
      <c r="K715" s="12" t="s">
        <v>23</v>
      </c>
      <c r="L715" s="12">
        <v>1</v>
      </c>
      <c r="M715" s="15">
        <v>33750</v>
      </c>
      <c r="N715" s="15">
        <v>12000</v>
      </c>
      <c r="O715" s="15">
        <f t="shared" si="55"/>
        <v>45750</v>
      </c>
      <c r="P715" s="15">
        <f t="shared" si="56"/>
        <v>26.905434015525756</v>
      </c>
      <c r="Q715" s="14">
        <v>4821</v>
      </c>
      <c r="R715" s="12">
        <v>35</v>
      </c>
      <c r="S715" s="12" t="s">
        <v>1016</v>
      </c>
      <c r="T715" s="22">
        <f t="shared" si="57"/>
        <v>12</v>
      </c>
      <c r="U715" s="22">
        <f t="shared" si="58"/>
        <v>2020</v>
      </c>
      <c r="V715" s="22" t="str">
        <f t="shared" si="59"/>
        <v>METROPOLITANA</v>
      </c>
    </row>
    <row r="716" spans="1:22" x14ac:dyDescent="0.2">
      <c r="A716" s="11" t="s">
        <v>1010</v>
      </c>
      <c r="B716" s="12" t="s">
        <v>33</v>
      </c>
      <c r="C716" s="12" t="s">
        <v>44</v>
      </c>
      <c r="D716" s="12" t="s">
        <v>20</v>
      </c>
      <c r="E716" s="13" t="s">
        <v>21</v>
      </c>
      <c r="F716" s="12" t="s">
        <v>26</v>
      </c>
      <c r="G716" s="14">
        <v>4388.4000000000005</v>
      </c>
      <c r="H716" s="12" t="s">
        <v>22</v>
      </c>
      <c r="I716" s="12">
        <v>0</v>
      </c>
      <c r="J716" s="12" t="s">
        <v>26</v>
      </c>
      <c r="K716" s="12" t="s">
        <v>23</v>
      </c>
      <c r="L716" s="12">
        <v>4</v>
      </c>
      <c r="M716" s="15">
        <v>56075</v>
      </c>
      <c r="N716" s="15">
        <v>17554</v>
      </c>
      <c r="O716" s="15">
        <f t="shared" si="55"/>
        <v>73629</v>
      </c>
      <c r="P716" s="15">
        <f t="shared" si="56"/>
        <v>16.778096800656275</v>
      </c>
      <c r="Q716" s="14">
        <v>8011</v>
      </c>
      <c r="R716" s="12">
        <v>55</v>
      </c>
      <c r="S716" s="12" t="s">
        <v>1017</v>
      </c>
      <c r="T716" s="22">
        <f t="shared" si="57"/>
        <v>12</v>
      </c>
      <c r="U716" s="22">
        <f t="shared" si="58"/>
        <v>2020</v>
      </c>
      <c r="V716" s="22" t="str">
        <f t="shared" si="59"/>
        <v>METROPOLITANA</v>
      </c>
    </row>
    <row r="717" spans="1:22" x14ac:dyDescent="0.2">
      <c r="A717" s="23" t="s">
        <v>1018</v>
      </c>
      <c r="B717" s="22" t="s">
        <v>54</v>
      </c>
      <c r="C717" s="22" t="s">
        <v>55</v>
      </c>
      <c r="D717" s="22" t="s">
        <v>636</v>
      </c>
      <c r="E717" s="24" t="s">
        <v>639</v>
      </c>
      <c r="F717" s="22" t="s">
        <v>66</v>
      </c>
      <c r="G717" s="25">
        <v>18418.579999999998</v>
      </c>
      <c r="H717" s="22" t="s">
        <v>85</v>
      </c>
      <c r="I717" s="22">
        <v>1</v>
      </c>
      <c r="J717" s="22" t="s">
        <v>66</v>
      </c>
      <c r="K717" s="22" t="s">
        <v>75</v>
      </c>
      <c r="L717" s="22">
        <v>0</v>
      </c>
      <c r="M717" s="26">
        <v>380000</v>
      </c>
      <c r="N717" s="26">
        <v>0</v>
      </c>
      <c r="O717" s="15">
        <f t="shared" si="55"/>
        <v>380000</v>
      </c>
      <c r="P717" s="15">
        <f t="shared" si="56"/>
        <v>20.631340743966149</v>
      </c>
      <c r="Q717" s="25">
        <v>25000</v>
      </c>
      <c r="R717" s="22">
        <v>48</v>
      </c>
      <c r="S717" s="22" t="s">
        <v>1019</v>
      </c>
      <c r="T717" s="22">
        <f t="shared" si="57"/>
        <v>12</v>
      </c>
      <c r="U717" s="22">
        <f t="shared" si="58"/>
        <v>2020</v>
      </c>
      <c r="V717" s="22" t="str">
        <f t="shared" si="59"/>
        <v>REGIONES</v>
      </c>
    </row>
    <row r="718" spans="1:22" x14ac:dyDescent="0.2">
      <c r="A718" s="23" t="s">
        <v>1018</v>
      </c>
      <c r="B718" s="22" t="s">
        <v>18</v>
      </c>
      <c r="C718" s="22" t="s">
        <v>60</v>
      </c>
      <c r="D718" s="22" t="s">
        <v>786</v>
      </c>
      <c r="E718" s="24" t="s">
        <v>787</v>
      </c>
      <c r="F718" s="22" t="s">
        <v>127</v>
      </c>
      <c r="G718" s="25">
        <v>5340.6</v>
      </c>
      <c r="H718" s="22" t="s">
        <v>788</v>
      </c>
      <c r="I718" s="22">
        <v>1</v>
      </c>
      <c r="J718" s="22" t="s">
        <v>127</v>
      </c>
      <c r="K718" s="22" t="s">
        <v>78</v>
      </c>
      <c r="L718" s="22">
        <v>0</v>
      </c>
      <c r="M718" s="26">
        <v>230000</v>
      </c>
      <c r="N718" s="26">
        <v>0</v>
      </c>
      <c r="O718" s="15">
        <f t="shared" si="55"/>
        <v>230000</v>
      </c>
      <c r="P718" s="15">
        <f t="shared" si="56"/>
        <v>43.066322136089575</v>
      </c>
      <c r="Q718" s="25">
        <v>25000</v>
      </c>
      <c r="R718" s="22">
        <v>21</v>
      </c>
      <c r="S718" s="22" t="s">
        <v>1020</v>
      </c>
      <c r="T718" s="22">
        <f t="shared" si="57"/>
        <v>12</v>
      </c>
      <c r="U718" s="22">
        <f t="shared" si="58"/>
        <v>2020</v>
      </c>
      <c r="V718" s="22" t="str">
        <f t="shared" si="59"/>
        <v>REGIONES</v>
      </c>
    </row>
    <row r="719" spans="1:22" x14ac:dyDescent="0.2">
      <c r="A719" s="23" t="s">
        <v>1018</v>
      </c>
      <c r="B719" s="22" t="s">
        <v>18</v>
      </c>
      <c r="C719" s="22" t="s">
        <v>71</v>
      </c>
      <c r="D719" s="22" t="s">
        <v>37</v>
      </c>
      <c r="E719" s="24" t="s">
        <v>40</v>
      </c>
      <c r="F719" s="22" t="s">
        <v>72</v>
      </c>
      <c r="G719" s="25">
        <v>13485.38</v>
      </c>
      <c r="H719" s="22" t="s">
        <v>22</v>
      </c>
      <c r="I719" s="22">
        <v>0</v>
      </c>
      <c r="J719" s="22" t="s">
        <v>72</v>
      </c>
      <c r="K719" s="22" t="s">
        <v>23</v>
      </c>
      <c r="L719" s="22">
        <v>5</v>
      </c>
      <c r="M719" s="26">
        <v>90000</v>
      </c>
      <c r="N719" s="26">
        <f>G719*4</f>
        <v>53941.52</v>
      </c>
      <c r="O719" s="15">
        <f t="shared" si="55"/>
        <v>143941.51999999999</v>
      </c>
      <c r="P719" s="15">
        <f t="shared" si="56"/>
        <v>10.67389424695485</v>
      </c>
      <c r="Q719" s="25">
        <v>12000</v>
      </c>
      <c r="R719" s="22">
        <v>100</v>
      </c>
      <c r="S719" s="22" t="s">
        <v>1021</v>
      </c>
      <c r="T719" s="22">
        <f t="shared" si="57"/>
        <v>12</v>
      </c>
      <c r="U719" s="22">
        <f t="shared" si="58"/>
        <v>2020</v>
      </c>
      <c r="V719" s="22" t="str">
        <f t="shared" si="59"/>
        <v>METROPOLITANA</v>
      </c>
    </row>
    <row r="720" spans="1:22" x14ac:dyDescent="0.2">
      <c r="A720" s="23" t="s">
        <v>1018</v>
      </c>
      <c r="B720" s="22" t="s">
        <v>18</v>
      </c>
      <c r="C720" s="22" t="s">
        <v>994</v>
      </c>
      <c r="D720" s="22" t="s">
        <v>38</v>
      </c>
      <c r="E720" s="24" t="s">
        <v>42</v>
      </c>
      <c r="F720" s="22" t="s">
        <v>995</v>
      </c>
      <c r="G720" s="25">
        <v>4027.8000000000011</v>
      </c>
      <c r="H720" s="22" t="s">
        <v>43</v>
      </c>
      <c r="I720" s="22">
        <v>0</v>
      </c>
      <c r="J720" s="22" t="s">
        <v>995</v>
      </c>
      <c r="K720" s="22" t="s">
        <v>23</v>
      </c>
      <c r="L720" s="22">
        <v>1</v>
      </c>
      <c r="M720" s="26">
        <v>33750</v>
      </c>
      <c r="N720" s="26">
        <f>G720*3</f>
        <v>12083.400000000003</v>
      </c>
      <c r="O720" s="15">
        <f t="shared" si="55"/>
        <v>45833.4</v>
      </c>
      <c r="P720" s="15">
        <f t="shared" si="56"/>
        <v>11.379264114404883</v>
      </c>
      <c r="Q720" s="25">
        <v>4821</v>
      </c>
      <c r="R720" s="22">
        <v>84</v>
      </c>
      <c r="S720" s="22" t="s">
        <v>1022</v>
      </c>
      <c r="T720" s="22">
        <f t="shared" si="57"/>
        <v>12</v>
      </c>
      <c r="U720" s="22">
        <f t="shared" si="58"/>
        <v>2020</v>
      </c>
      <c r="V720" s="22" t="str">
        <f t="shared" si="59"/>
        <v>METROPOLITANA</v>
      </c>
    </row>
    <row r="721" spans="1:22" x14ac:dyDescent="0.2">
      <c r="A721" s="23" t="s">
        <v>1018</v>
      </c>
      <c r="B721" s="22" t="s">
        <v>18</v>
      </c>
      <c r="C721" s="22" t="s">
        <v>44</v>
      </c>
      <c r="D721" s="22" t="s">
        <v>164</v>
      </c>
      <c r="E721" s="24" t="s">
        <v>28</v>
      </c>
      <c r="F721" s="22" t="s">
        <v>39</v>
      </c>
      <c r="G721" s="25">
        <v>11650.15</v>
      </c>
      <c r="H721" s="22" t="s">
        <v>22</v>
      </c>
      <c r="I721" s="22">
        <v>1</v>
      </c>
      <c r="J721" s="22" t="s">
        <v>39</v>
      </c>
      <c r="K721" s="22" t="s">
        <v>23</v>
      </c>
      <c r="L721" s="22">
        <v>1</v>
      </c>
      <c r="M721" s="26">
        <v>81551</v>
      </c>
      <c r="N721" s="26">
        <v>46601</v>
      </c>
      <c r="O721" s="15">
        <f t="shared" si="55"/>
        <v>128152</v>
      </c>
      <c r="P721" s="15">
        <f t="shared" si="56"/>
        <v>11.000030042531641</v>
      </c>
      <c r="Q721" s="25">
        <v>4821</v>
      </c>
      <c r="R721" s="22">
        <v>100</v>
      </c>
      <c r="S721" s="22" t="s">
        <v>1023</v>
      </c>
      <c r="T721" s="22">
        <f t="shared" si="57"/>
        <v>12</v>
      </c>
      <c r="U721" s="22">
        <f t="shared" si="58"/>
        <v>2020</v>
      </c>
      <c r="V721" s="22" t="str">
        <f t="shared" si="59"/>
        <v>METROPOLITANA</v>
      </c>
    </row>
    <row r="722" spans="1:22" x14ac:dyDescent="0.2">
      <c r="A722" s="23" t="s">
        <v>1018</v>
      </c>
      <c r="B722" s="22" t="s">
        <v>33</v>
      </c>
      <c r="C722" s="22" t="s">
        <v>354</v>
      </c>
      <c r="D722" s="22" t="s">
        <v>30</v>
      </c>
      <c r="E722" s="24" t="s">
        <v>31</v>
      </c>
      <c r="F722" s="22" t="s">
        <v>53</v>
      </c>
      <c r="G722" s="25">
        <v>10915.2</v>
      </c>
      <c r="H722" s="22" t="s">
        <v>32</v>
      </c>
      <c r="I722" s="22">
        <v>0</v>
      </c>
      <c r="J722" s="22" t="s">
        <v>53</v>
      </c>
      <c r="K722" s="22" t="s">
        <v>23</v>
      </c>
      <c r="L722" s="22">
        <v>3</v>
      </c>
      <c r="M722" s="26">
        <v>76406</v>
      </c>
      <c r="N722" s="26">
        <f>G722*3</f>
        <v>32745.600000000002</v>
      </c>
      <c r="O722" s="15">
        <f t="shared" si="55"/>
        <v>109151.6</v>
      </c>
      <c r="P722" s="15">
        <f t="shared" si="56"/>
        <v>9.9999633538551738</v>
      </c>
      <c r="Q722" s="25">
        <v>6868</v>
      </c>
      <c r="R722" s="22">
        <v>100</v>
      </c>
      <c r="S722" s="22" t="s">
        <v>1024</v>
      </c>
      <c r="T722" s="22">
        <f t="shared" si="57"/>
        <v>12</v>
      </c>
      <c r="U722" s="22">
        <f t="shared" si="58"/>
        <v>2020</v>
      </c>
      <c r="V722" s="22" t="str">
        <f t="shared" si="59"/>
        <v>METROPOLITANA</v>
      </c>
    </row>
    <row r="723" spans="1:22" x14ac:dyDescent="0.2">
      <c r="A723" s="23" t="s">
        <v>1018</v>
      </c>
      <c r="B723" s="22" t="s">
        <v>33</v>
      </c>
      <c r="C723" s="22" t="s">
        <v>163</v>
      </c>
      <c r="D723" s="22" t="s">
        <v>41</v>
      </c>
      <c r="E723" s="24" t="s">
        <v>25</v>
      </c>
      <c r="F723" s="22" t="s">
        <v>165</v>
      </c>
      <c r="G723" s="25">
        <v>10278.24</v>
      </c>
      <c r="H723" s="22" t="s">
        <v>43</v>
      </c>
      <c r="I723" s="22">
        <v>0</v>
      </c>
      <c r="J723" s="22" t="s">
        <v>165</v>
      </c>
      <c r="K723" s="22" t="s">
        <v>23</v>
      </c>
      <c r="L723" s="22">
        <v>4</v>
      </c>
      <c r="M723" s="26">
        <v>71948</v>
      </c>
      <c r="N723" s="26">
        <f>G723*3</f>
        <v>30834.720000000001</v>
      </c>
      <c r="O723" s="15">
        <f t="shared" si="55"/>
        <v>102782.72</v>
      </c>
      <c r="P723" s="15">
        <f t="shared" si="56"/>
        <v>10.000031133734959</v>
      </c>
      <c r="Q723" s="25">
        <v>8011</v>
      </c>
      <c r="R723" s="22">
        <v>100</v>
      </c>
      <c r="S723" s="22" t="s">
        <v>1025</v>
      </c>
      <c r="T723" s="22">
        <f t="shared" si="57"/>
        <v>12</v>
      </c>
      <c r="U723" s="22">
        <f t="shared" si="58"/>
        <v>2020</v>
      </c>
      <c r="V723" s="22" t="str">
        <f t="shared" si="59"/>
        <v>METROPOLITANA</v>
      </c>
    </row>
    <row r="724" spans="1:22" x14ac:dyDescent="0.2">
      <c r="A724" s="23" t="s">
        <v>1018</v>
      </c>
      <c r="B724" s="22" t="s">
        <v>33</v>
      </c>
      <c r="C724" s="22" t="s">
        <v>36</v>
      </c>
      <c r="D724" s="22" t="s">
        <v>82</v>
      </c>
      <c r="E724" s="24" t="s">
        <v>83</v>
      </c>
      <c r="F724" s="22" t="s">
        <v>1026</v>
      </c>
      <c r="G724" s="25">
        <v>10737.6</v>
      </c>
      <c r="H724" s="22" t="s">
        <v>85</v>
      </c>
      <c r="I724" s="22">
        <v>1</v>
      </c>
      <c r="J724" s="22" t="s">
        <v>1026</v>
      </c>
      <c r="K724" s="22" t="s">
        <v>408</v>
      </c>
      <c r="L724" s="22">
        <v>0</v>
      </c>
      <c r="M724" s="26">
        <v>600000</v>
      </c>
      <c r="N724" s="26">
        <v>0</v>
      </c>
      <c r="O724" s="15">
        <f t="shared" si="55"/>
        <v>600000</v>
      </c>
      <c r="P724" s="15">
        <f t="shared" si="56"/>
        <v>55.878408582923555</v>
      </c>
      <c r="Q724" s="25">
        <v>25000</v>
      </c>
      <c r="R724" s="22">
        <v>43</v>
      </c>
      <c r="S724" s="22" t="s">
        <v>1027</v>
      </c>
      <c r="T724" s="22">
        <f t="shared" si="57"/>
        <v>12</v>
      </c>
      <c r="U724" s="22">
        <f t="shared" si="58"/>
        <v>2020</v>
      </c>
      <c r="V724" s="22" t="str">
        <f t="shared" si="59"/>
        <v>REGIONES</v>
      </c>
    </row>
    <row r="725" spans="1:22" x14ac:dyDescent="0.2">
      <c r="A725" s="23" t="s">
        <v>1018</v>
      </c>
      <c r="B725" s="22" t="s">
        <v>33</v>
      </c>
      <c r="C725" s="22" t="s">
        <v>223</v>
      </c>
      <c r="D725" s="22" t="s">
        <v>63</v>
      </c>
      <c r="E725" s="24" t="s">
        <v>64</v>
      </c>
      <c r="F725" s="22" t="s">
        <v>67</v>
      </c>
      <c r="G725" s="25">
        <v>3850.2</v>
      </c>
      <c r="H725" s="22" t="s">
        <v>65</v>
      </c>
      <c r="I725" s="22">
        <v>0</v>
      </c>
      <c r="J725" s="22" t="s">
        <v>67</v>
      </c>
      <c r="K725" s="22" t="s">
        <v>23</v>
      </c>
      <c r="L725" s="22">
        <v>2</v>
      </c>
      <c r="M725" s="26">
        <v>40475</v>
      </c>
      <c r="N725" s="26">
        <f>G725*3</f>
        <v>11550.599999999999</v>
      </c>
      <c r="O725" s="15">
        <f t="shared" si="55"/>
        <v>52025.599999999999</v>
      </c>
      <c r="P725" s="15">
        <f t="shared" si="56"/>
        <v>13.512440912160407</v>
      </c>
      <c r="Q725" s="25">
        <v>5782</v>
      </c>
      <c r="R725" s="22">
        <v>67</v>
      </c>
      <c r="S725" s="22" t="s">
        <v>1028</v>
      </c>
      <c r="T725" s="22">
        <f t="shared" si="57"/>
        <v>12</v>
      </c>
      <c r="U725" s="22">
        <f t="shared" si="58"/>
        <v>2020</v>
      </c>
      <c r="V725" s="22" t="str">
        <f t="shared" si="59"/>
        <v>METROPOLITANA</v>
      </c>
    </row>
    <row r="726" spans="1:22" x14ac:dyDescent="0.2">
      <c r="A726" s="23" t="s">
        <v>1018</v>
      </c>
      <c r="B726" s="22" t="s">
        <v>33</v>
      </c>
      <c r="C726" s="22" t="s">
        <v>44</v>
      </c>
      <c r="D726" s="22" t="s">
        <v>56</v>
      </c>
      <c r="E726" s="24" t="s">
        <v>88</v>
      </c>
      <c r="F726" s="22" t="s">
        <v>95</v>
      </c>
      <c r="G726" s="25">
        <v>2725.2</v>
      </c>
      <c r="H726" s="22" t="s">
        <v>22</v>
      </c>
      <c r="I726" s="22">
        <v>0</v>
      </c>
      <c r="J726" s="22" t="s">
        <v>95</v>
      </c>
      <c r="K726" s="22" t="s">
        <v>23</v>
      </c>
      <c r="L726" s="22">
        <v>4</v>
      </c>
      <c r="M726" s="26">
        <v>56075</v>
      </c>
      <c r="N726" s="26">
        <v>12000</v>
      </c>
      <c r="O726" s="15">
        <f t="shared" si="55"/>
        <v>68075</v>
      </c>
      <c r="P726" s="15">
        <f t="shared" si="56"/>
        <v>24.979817995009544</v>
      </c>
      <c r="Q726" s="25">
        <v>8011</v>
      </c>
      <c r="R726" s="22">
        <v>34</v>
      </c>
      <c r="S726" s="22" t="s">
        <v>1029</v>
      </c>
      <c r="T726" s="22">
        <f t="shared" si="57"/>
        <v>12</v>
      </c>
      <c r="U726" s="22">
        <f t="shared" si="58"/>
        <v>2020</v>
      </c>
      <c r="V726" s="22" t="str">
        <f t="shared" si="59"/>
        <v>METROPOLITANA</v>
      </c>
    </row>
    <row r="727" spans="1:22" x14ac:dyDescent="0.2">
      <c r="A727" s="23" t="s">
        <v>1018</v>
      </c>
      <c r="B727" s="22" t="s">
        <v>33</v>
      </c>
      <c r="C727" s="22" t="s">
        <v>44</v>
      </c>
      <c r="D727" s="22" t="s">
        <v>38</v>
      </c>
      <c r="E727" s="24" t="s">
        <v>42</v>
      </c>
      <c r="F727" s="22" t="s">
        <v>182</v>
      </c>
      <c r="G727" s="25">
        <v>1087.8</v>
      </c>
      <c r="H727" s="22" t="s">
        <v>43</v>
      </c>
      <c r="I727" s="22">
        <v>0</v>
      </c>
      <c r="J727" s="22" t="s">
        <v>182</v>
      </c>
      <c r="K727" s="22" t="s">
        <v>23</v>
      </c>
      <c r="L727" s="22">
        <v>4</v>
      </c>
      <c r="M727" s="26">
        <v>56075</v>
      </c>
      <c r="N727" s="26">
        <v>3263</v>
      </c>
      <c r="O727" s="15">
        <f t="shared" si="55"/>
        <v>59338</v>
      </c>
      <c r="P727" s="15">
        <f t="shared" si="56"/>
        <v>54.548630262915978</v>
      </c>
      <c r="Q727" s="25">
        <v>8011</v>
      </c>
      <c r="R727" s="22">
        <v>14</v>
      </c>
      <c r="S727" s="22" t="s">
        <v>1030</v>
      </c>
      <c r="T727" s="22">
        <f t="shared" si="57"/>
        <v>12</v>
      </c>
      <c r="U727" s="22">
        <f t="shared" si="58"/>
        <v>2020</v>
      </c>
      <c r="V727" s="22" t="str">
        <f t="shared" si="59"/>
        <v>METROPOLITANA</v>
      </c>
    </row>
    <row r="728" spans="1:22" x14ac:dyDescent="0.2">
      <c r="A728" s="23" t="s">
        <v>1018</v>
      </c>
      <c r="B728" s="22" t="s">
        <v>33</v>
      </c>
      <c r="C728" s="22" t="s">
        <v>44</v>
      </c>
      <c r="D728" s="22" t="s">
        <v>45</v>
      </c>
      <c r="E728" s="24" t="s">
        <v>49</v>
      </c>
      <c r="F728" s="22" t="s">
        <v>95</v>
      </c>
      <c r="G728" s="25">
        <v>850.2</v>
      </c>
      <c r="H728" s="22" t="s">
        <v>22</v>
      </c>
      <c r="I728" s="22">
        <v>0</v>
      </c>
      <c r="J728" s="22" t="s">
        <v>95</v>
      </c>
      <c r="K728" s="22" t="s">
        <v>23</v>
      </c>
      <c r="L728" s="22">
        <v>4</v>
      </c>
      <c r="M728" s="26">
        <v>56075</v>
      </c>
      <c r="N728" s="26">
        <v>12000</v>
      </c>
      <c r="O728" s="15">
        <f t="shared" si="55"/>
        <v>68075</v>
      </c>
      <c r="P728" s="15">
        <f t="shared" si="56"/>
        <v>80.069395436367913</v>
      </c>
      <c r="Q728" s="25">
        <v>8011</v>
      </c>
      <c r="R728" s="22">
        <v>11</v>
      </c>
      <c r="S728" s="22" t="s">
        <v>1031</v>
      </c>
      <c r="T728" s="22">
        <f t="shared" si="57"/>
        <v>12</v>
      </c>
      <c r="U728" s="22">
        <f t="shared" si="58"/>
        <v>2020</v>
      </c>
      <c r="V728" s="22" t="str">
        <f t="shared" si="59"/>
        <v>METROPOLITANA</v>
      </c>
    </row>
    <row r="729" spans="1:22" x14ac:dyDescent="0.2">
      <c r="A729" s="23" t="s">
        <v>1018</v>
      </c>
      <c r="B729" s="22" t="s">
        <v>33</v>
      </c>
      <c r="C729" s="22" t="s">
        <v>44</v>
      </c>
      <c r="D729" s="22" t="s">
        <v>47</v>
      </c>
      <c r="E729" s="24" t="s">
        <v>1032</v>
      </c>
      <c r="F729" s="22" t="s">
        <v>48</v>
      </c>
      <c r="G729" s="25">
        <v>2799.6000000000008</v>
      </c>
      <c r="H729" s="22" t="s">
        <v>22</v>
      </c>
      <c r="I729" s="22">
        <v>0</v>
      </c>
      <c r="J729" s="22" t="s">
        <v>48</v>
      </c>
      <c r="K729" s="22" t="s">
        <v>23</v>
      </c>
      <c r="L729" s="22">
        <v>1</v>
      </c>
      <c r="M729" s="26">
        <v>33750</v>
      </c>
      <c r="N729" s="26">
        <v>12000</v>
      </c>
      <c r="O729" s="15">
        <f t="shared" si="55"/>
        <v>45750</v>
      </c>
      <c r="P729" s="15">
        <f t="shared" si="56"/>
        <v>16.341620231461633</v>
      </c>
      <c r="Q729" s="25">
        <v>4821</v>
      </c>
      <c r="R729" s="22">
        <v>58</v>
      </c>
      <c r="S729" s="22" t="s">
        <v>1033</v>
      </c>
      <c r="T729" s="22">
        <f t="shared" si="57"/>
        <v>12</v>
      </c>
      <c r="U729" s="22">
        <f t="shared" si="58"/>
        <v>2020</v>
      </c>
      <c r="V729" s="22" t="str">
        <f t="shared" si="59"/>
        <v>METROPOLITANA</v>
      </c>
    </row>
    <row r="730" spans="1:22" x14ac:dyDescent="0.2">
      <c r="A730" s="23" t="s">
        <v>1018</v>
      </c>
      <c r="B730" s="22" t="s">
        <v>33</v>
      </c>
      <c r="C730" s="22" t="s">
        <v>44</v>
      </c>
      <c r="D730" s="22" t="s">
        <v>47</v>
      </c>
      <c r="E730" s="24" t="s">
        <v>28</v>
      </c>
      <c r="F730" s="22" t="s">
        <v>48</v>
      </c>
      <c r="G730" s="25">
        <v>6463.8</v>
      </c>
      <c r="H730" s="22" t="s">
        <v>22</v>
      </c>
      <c r="I730" s="22">
        <v>0</v>
      </c>
      <c r="J730" s="22" t="s">
        <v>48</v>
      </c>
      <c r="K730" s="22" t="s">
        <v>23</v>
      </c>
      <c r="L730" s="22">
        <v>1</v>
      </c>
      <c r="M730" s="26">
        <v>45247</v>
      </c>
      <c r="N730" s="26">
        <v>25855</v>
      </c>
      <c r="O730" s="15">
        <f t="shared" si="55"/>
        <v>71102</v>
      </c>
      <c r="P730" s="15">
        <f t="shared" si="56"/>
        <v>11.00003094155141</v>
      </c>
      <c r="Q730" s="25">
        <v>4821</v>
      </c>
      <c r="R730" s="22">
        <v>100</v>
      </c>
      <c r="S730" s="22" t="s">
        <v>1034</v>
      </c>
      <c r="T730" s="22">
        <f t="shared" si="57"/>
        <v>12</v>
      </c>
      <c r="U730" s="22">
        <f t="shared" si="58"/>
        <v>2020</v>
      </c>
      <c r="V730" s="22" t="str">
        <f t="shared" si="59"/>
        <v>METROPOLITANA</v>
      </c>
    </row>
    <row r="731" spans="1:22" x14ac:dyDescent="0.2">
      <c r="A731" s="23" t="s">
        <v>1018</v>
      </c>
      <c r="B731" s="22" t="s">
        <v>33</v>
      </c>
      <c r="C731" s="22" t="s">
        <v>44</v>
      </c>
      <c r="D731" s="22" t="s">
        <v>35</v>
      </c>
      <c r="E731" s="24" t="s">
        <v>52</v>
      </c>
      <c r="F731" s="22" t="s">
        <v>26</v>
      </c>
      <c r="G731" s="25">
        <v>850.2</v>
      </c>
      <c r="H731" s="22" t="s">
        <v>22</v>
      </c>
      <c r="I731" s="22">
        <v>0</v>
      </c>
      <c r="J731" s="22" t="s">
        <v>26</v>
      </c>
      <c r="K731" s="22" t="s">
        <v>23</v>
      </c>
      <c r="L731" s="22">
        <v>4</v>
      </c>
      <c r="M731" s="26">
        <v>56075</v>
      </c>
      <c r="N731" s="26">
        <v>12000</v>
      </c>
      <c r="O731" s="15">
        <f t="shared" si="55"/>
        <v>68075</v>
      </c>
      <c r="P731" s="15">
        <f t="shared" si="56"/>
        <v>80.069395436367913</v>
      </c>
      <c r="Q731" s="25">
        <v>8011</v>
      </c>
      <c r="R731" s="22">
        <v>11</v>
      </c>
      <c r="S731" s="22" t="s">
        <v>1035</v>
      </c>
      <c r="T731" s="22">
        <f t="shared" si="57"/>
        <v>12</v>
      </c>
      <c r="U731" s="22">
        <f t="shared" si="58"/>
        <v>2020</v>
      </c>
      <c r="V731" s="22" t="str">
        <f t="shared" si="59"/>
        <v>METROPOLITANA</v>
      </c>
    </row>
    <row r="732" spans="1:22" x14ac:dyDescent="0.2">
      <c r="A732" s="23" t="s">
        <v>1018</v>
      </c>
      <c r="B732" s="22" t="s">
        <v>33</v>
      </c>
      <c r="C732" s="22" t="s">
        <v>44</v>
      </c>
      <c r="D732" s="22" t="s">
        <v>20</v>
      </c>
      <c r="E732" s="24" t="s">
        <v>21</v>
      </c>
      <c r="F732" s="22" t="s">
        <v>34</v>
      </c>
      <c r="G732" s="25">
        <v>3300.599999999999</v>
      </c>
      <c r="H732" s="22" t="s">
        <v>22</v>
      </c>
      <c r="I732" s="22">
        <v>0</v>
      </c>
      <c r="J732" s="22" t="s">
        <v>34</v>
      </c>
      <c r="K732" s="22" t="s">
        <v>23</v>
      </c>
      <c r="L732" s="22">
        <v>1</v>
      </c>
      <c r="M732" s="26">
        <v>33750</v>
      </c>
      <c r="N732" s="26">
        <v>13202</v>
      </c>
      <c r="O732" s="15">
        <f t="shared" si="55"/>
        <v>46952</v>
      </c>
      <c r="P732" s="15">
        <f t="shared" si="56"/>
        <v>14.22529237108405</v>
      </c>
      <c r="Q732" s="25">
        <v>4821</v>
      </c>
      <c r="R732" s="22">
        <v>68</v>
      </c>
      <c r="S732" s="22" t="s">
        <v>1036</v>
      </c>
      <c r="T732" s="22">
        <f t="shared" si="57"/>
        <v>12</v>
      </c>
      <c r="U732" s="22">
        <f t="shared" si="58"/>
        <v>2020</v>
      </c>
      <c r="V732" s="22" t="str">
        <f t="shared" si="59"/>
        <v>METROPOLITANA</v>
      </c>
    </row>
    <row r="733" spans="1:22" x14ac:dyDescent="0.2">
      <c r="A733" s="11" t="s">
        <v>1037</v>
      </c>
      <c r="B733" s="12" t="s">
        <v>54</v>
      </c>
      <c r="C733" s="12" t="s">
        <v>55</v>
      </c>
      <c r="D733" s="12" t="s">
        <v>786</v>
      </c>
      <c r="E733" s="13" t="s">
        <v>787</v>
      </c>
      <c r="F733" s="12" t="s">
        <v>66</v>
      </c>
      <c r="G733" s="14">
        <v>16024.79999999999</v>
      </c>
      <c r="H733" s="12" t="s">
        <v>788</v>
      </c>
      <c r="I733" s="12">
        <v>1</v>
      </c>
      <c r="J733" s="12" t="s">
        <v>66</v>
      </c>
      <c r="K733" s="12" t="s">
        <v>75</v>
      </c>
      <c r="L733" s="12">
        <v>0</v>
      </c>
      <c r="M733" s="15">
        <v>380000</v>
      </c>
      <c r="N733" s="15">
        <v>0</v>
      </c>
      <c r="O733" s="15">
        <f t="shared" si="55"/>
        <v>380000</v>
      </c>
      <c r="P733" s="15">
        <f t="shared" si="56"/>
        <v>23.713244471069856</v>
      </c>
      <c r="Q733" s="14">
        <v>25000</v>
      </c>
      <c r="R733" s="12">
        <v>64</v>
      </c>
      <c r="S733" s="12" t="s">
        <v>1038</v>
      </c>
      <c r="T733" s="22">
        <f t="shared" si="57"/>
        <v>12</v>
      </c>
      <c r="U733" s="22">
        <f t="shared" si="58"/>
        <v>2020</v>
      </c>
      <c r="V733" s="22" t="str">
        <f t="shared" si="59"/>
        <v>REGIONES</v>
      </c>
    </row>
    <row r="734" spans="1:22" x14ac:dyDescent="0.2">
      <c r="A734" s="11" t="s">
        <v>1037</v>
      </c>
      <c r="B734" s="12" t="s">
        <v>18</v>
      </c>
      <c r="C734" s="12" t="s">
        <v>71</v>
      </c>
      <c r="D734" s="12" t="s">
        <v>30</v>
      </c>
      <c r="E734" s="13" t="s">
        <v>31</v>
      </c>
      <c r="F734" s="12" t="s">
        <v>72</v>
      </c>
      <c r="G734" s="14">
        <v>9743.74</v>
      </c>
      <c r="H734" s="12" t="s">
        <v>32</v>
      </c>
      <c r="I734" s="12">
        <v>0</v>
      </c>
      <c r="J734" s="12" t="s">
        <v>72</v>
      </c>
      <c r="K734" s="12" t="s">
        <v>23</v>
      </c>
      <c r="L734" s="12">
        <v>5</v>
      </c>
      <c r="M734" s="15">
        <v>90000</v>
      </c>
      <c r="N734" s="15">
        <f>G734*3</f>
        <v>29231.22</v>
      </c>
      <c r="O734" s="15">
        <f t="shared" si="55"/>
        <v>119231.22</v>
      </c>
      <c r="P734" s="15">
        <f t="shared" si="56"/>
        <v>12.236699665631473</v>
      </c>
      <c r="Q734" s="14">
        <v>12000</v>
      </c>
      <c r="R734" s="12">
        <v>81</v>
      </c>
      <c r="S734" s="12" t="s">
        <v>1039</v>
      </c>
      <c r="T734" s="22">
        <f t="shared" si="57"/>
        <v>12</v>
      </c>
      <c r="U734" s="22">
        <f t="shared" si="58"/>
        <v>2020</v>
      </c>
      <c r="V734" s="22" t="str">
        <f t="shared" si="59"/>
        <v>METROPOLITANA</v>
      </c>
    </row>
    <row r="735" spans="1:22" x14ac:dyDescent="0.2">
      <c r="A735" s="11" t="s">
        <v>1037</v>
      </c>
      <c r="B735" s="12" t="s">
        <v>18</v>
      </c>
      <c r="C735" s="12" t="s">
        <v>57</v>
      </c>
      <c r="D735" s="12" t="s">
        <v>38</v>
      </c>
      <c r="E735" s="13" t="s">
        <v>25</v>
      </c>
      <c r="F735" s="12" t="s">
        <v>120</v>
      </c>
      <c r="G735" s="14">
        <v>4978.08</v>
      </c>
      <c r="H735" s="12" t="s">
        <v>43</v>
      </c>
      <c r="I735" s="12">
        <v>0</v>
      </c>
      <c r="J735" s="12" t="s">
        <v>120</v>
      </c>
      <c r="K735" s="12" t="s">
        <v>23</v>
      </c>
      <c r="L735" s="12">
        <v>5</v>
      </c>
      <c r="M735" s="15">
        <v>70000</v>
      </c>
      <c r="N735" s="15">
        <f>G735*3</f>
        <v>14934.24</v>
      </c>
      <c r="O735" s="15">
        <f t="shared" si="55"/>
        <v>84934.24</v>
      </c>
      <c r="P735" s="15">
        <f t="shared" si="56"/>
        <v>17.06164625719153</v>
      </c>
      <c r="Q735" s="14">
        <v>12000</v>
      </c>
      <c r="R735" s="12">
        <v>41</v>
      </c>
      <c r="S735" s="12" t="s">
        <v>1040</v>
      </c>
      <c r="T735" s="22">
        <f t="shared" si="57"/>
        <v>12</v>
      </c>
      <c r="U735" s="22">
        <f t="shared" si="58"/>
        <v>2020</v>
      </c>
      <c r="V735" s="22" t="str">
        <f t="shared" si="59"/>
        <v>METROPOLITANA</v>
      </c>
    </row>
    <row r="736" spans="1:22" x14ac:dyDescent="0.2">
      <c r="A736" s="11" t="s">
        <v>1037</v>
      </c>
      <c r="B736" s="12" t="s">
        <v>18</v>
      </c>
      <c r="C736" s="12" t="s">
        <v>457</v>
      </c>
      <c r="D736" s="12" t="s">
        <v>730</v>
      </c>
      <c r="E736" s="13" t="s">
        <v>731</v>
      </c>
      <c r="F736" s="12" t="s">
        <v>458</v>
      </c>
      <c r="G736" s="14">
        <v>7777.69</v>
      </c>
      <c r="H736" s="12" t="s">
        <v>24</v>
      </c>
      <c r="I736" s="12">
        <v>1</v>
      </c>
      <c r="J736" s="12" t="s">
        <v>458</v>
      </c>
      <c r="K736" s="12" t="s">
        <v>75</v>
      </c>
      <c r="L736" s="12">
        <v>0</v>
      </c>
      <c r="M736" s="15">
        <v>400000</v>
      </c>
      <c r="N736" s="15">
        <v>0</v>
      </c>
      <c r="O736" s="15">
        <f t="shared" si="55"/>
        <v>400000</v>
      </c>
      <c r="P736" s="15">
        <f t="shared" si="56"/>
        <v>51.429151843285091</v>
      </c>
      <c r="Q736" s="14">
        <v>25000</v>
      </c>
      <c r="R736" s="12">
        <v>31</v>
      </c>
      <c r="S736" s="12" t="s">
        <v>1041</v>
      </c>
      <c r="T736" s="22">
        <f t="shared" si="57"/>
        <v>12</v>
      </c>
      <c r="U736" s="22">
        <f t="shared" si="58"/>
        <v>2020</v>
      </c>
      <c r="V736" s="22" t="str">
        <f t="shared" si="59"/>
        <v>REGIONES</v>
      </c>
    </row>
    <row r="737" spans="1:22" x14ac:dyDescent="0.2">
      <c r="A737" s="11" t="s">
        <v>1037</v>
      </c>
      <c r="B737" s="12" t="s">
        <v>18</v>
      </c>
      <c r="C737" s="12" t="s">
        <v>508</v>
      </c>
      <c r="D737" s="12" t="s">
        <v>27</v>
      </c>
      <c r="E737" s="13" t="s">
        <v>28</v>
      </c>
      <c r="F737" s="12" t="s">
        <v>800</v>
      </c>
      <c r="G737" s="14">
        <v>9330.41</v>
      </c>
      <c r="H737" s="12" t="s">
        <v>22</v>
      </c>
      <c r="I737" s="12">
        <v>1</v>
      </c>
      <c r="J737" s="12" t="s">
        <v>800</v>
      </c>
      <c r="K737" s="12" t="s">
        <v>23</v>
      </c>
      <c r="L737" s="12">
        <v>5</v>
      </c>
      <c r="M737" s="15">
        <v>120000</v>
      </c>
      <c r="N737" s="15">
        <f>G737*4</f>
        <v>37321.64</v>
      </c>
      <c r="O737" s="15">
        <f t="shared" si="55"/>
        <v>157321.64000000001</v>
      </c>
      <c r="P737" s="15">
        <f t="shared" si="56"/>
        <v>16.861171159681088</v>
      </c>
      <c r="Q737" s="14">
        <v>12000</v>
      </c>
      <c r="R737" s="12">
        <v>78</v>
      </c>
      <c r="S737" s="12" t="s">
        <v>1042</v>
      </c>
      <c r="T737" s="22">
        <f t="shared" si="57"/>
        <v>12</v>
      </c>
      <c r="U737" s="22">
        <f t="shared" si="58"/>
        <v>2020</v>
      </c>
      <c r="V737" s="22" t="str">
        <f t="shared" si="59"/>
        <v>METROPOLITANA</v>
      </c>
    </row>
    <row r="738" spans="1:22" x14ac:dyDescent="0.2">
      <c r="A738" s="11" t="s">
        <v>1037</v>
      </c>
      <c r="B738" s="12" t="s">
        <v>18</v>
      </c>
      <c r="C738" s="12" t="s">
        <v>508</v>
      </c>
      <c r="D738" s="12" t="s">
        <v>164</v>
      </c>
      <c r="E738" s="13" t="s">
        <v>28</v>
      </c>
      <c r="F738" s="12" t="s">
        <v>800</v>
      </c>
      <c r="G738" s="14">
        <v>5994</v>
      </c>
      <c r="H738" s="12" t="s">
        <v>22</v>
      </c>
      <c r="I738" s="12">
        <v>1</v>
      </c>
      <c r="J738" s="12" t="s">
        <v>800</v>
      </c>
      <c r="K738" s="12" t="s">
        <v>23</v>
      </c>
      <c r="L738" s="12">
        <v>5</v>
      </c>
      <c r="M738" s="15">
        <v>120000</v>
      </c>
      <c r="N738" s="15">
        <f>G738*4</f>
        <v>23976</v>
      </c>
      <c r="O738" s="15">
        <f t="shared" si="55"/>
        <v>143976</v>
      </c>
      <c r="P738" s="15">
        <f t="shared" si="56"/>
        <v>24.02002002002002</v>
      </c>
      <c r="Q738" s="14">
        <v>12000</v>
      </c>
      <c r="R738" s="12">
        <v>50</v>
      </c>
      <c r="S738" s="12" t="s">
        <v>1043</v>
      </c>
      <c r="T738" s="22">
        <f t="shared" si="57"/>
        <v>12</v>
      </c>
      <c r="U738" s="22">
        <f t="shared" si="58"/>
        <v>2020</v>
      </c>
      <c r="V738" s="22" t="str">
        <f t="shared" si="59"/>
        <v>METROPOLITANA</v>
      </c>
    </row>
    <row r="739" spans="1:22" x14ac:dyDescent="0.2">
      <c r="A739" s="11" t="s">
        <v>1037</v>
      </c>
      <c r="B739" s="12" t="s">
        <v>33</v>
      </c>
      <c r="C739" s="12" t="s">
        <v>50</v>
      </c>
      <c r="D739" s="12" t="s">
        <v>47</v>
      </c>
      <c r="E739" s="13" t="s">
        <v>1044</v>
      </c>
      <c r="F739" s="12" t="s">
        <v>26</v>
      </c>
      <c r="G739" s="14">
        <v>8736.5700000000033</v>
      </c>
      <c r="H739" s="12" t="s">
        <v>22</v>
      </c>
      <c r="I739" s="12">
        <v>0</v>
      </c>
      <c r="J739" s="12" t="s">
        <v>26</v>
      </c>
      <c r="K739" s="12" t="s">
        <v>23</v>
      </c>
      <c r="L739" s="12">
        <v>4</v>
      </c>
      <c r="M739" s="15">
        <v>61156</v>
      </c>
      <c r="N739" s="15">
        <f>G739*4</f>
        <v>34946.280000000013</v>
      </c>
      <c r="O739" s="15">
        <f t="shared" si="55"/>
        <v>96102.280000000013</v>
      </c>
      <c r="P739" s="15">
        <f t="shared" si="56"/>
        <v>11.000001144613959</v>
      </c>
      <c r="Q739" s="14">
        <v>8011</v>
      </c>
      <c r="R739" s="12">
        <v>100</v>
      </c>
      <c r="S739" s="12" t="s">
        <v>1045</v>
      </c>
      <c r="T739" s="22">
        <f t="shared" si="57"/>
        <v>12</v>
      </c>
      <c r="U739" s="22">
        <f t="shared" si="58"/>
        <v>2020</v>
      </c>
      <c r="V739" s="22" t="str">
        <f t="shared" si="59"/>
        <v>METROPOLITANA</v>
      </c>
    </row>
    <row r="740" spans="1:22" x14ac:dyDescent="0.2">
      <c r="A740" s="11" t="s">
        <v>1037</v>
      </c>
      <c r="B740" s="12" t="s">
        <v>33</v>
      </c>
      <c r="C740" s="12" t="s">
        <v>128</v>
      </c>
      <c r="D740" s="12" t="s">
        <v>38</v>
      </c>
      <c r="E740" s="13" t="s">
        <v>42</v>
      </c>
      <c r="F740" s="12" t="s">
        <v>129</v>
      </c>
      <c r="G740" s="14">
        <v>8788.1999999999989</v>
      </c>
      <c r="H740" s="12" t="s">
        <v>43</v>
      </c>
      <c r="I740" s="12">
        <v>0</v>
      </c>
      <c r="J740" s="12" t="s">
        <v>129</v>
      </c>
      <c r="K740" s="12" t="s">
        <v>23</v>
      </c>
      <c r="L740" s="12">
        <v>1</v>
      </c>
      <c r="M740" s="15">
        <v>61517</v>
      </c>
      <c r="N740" s="15">
        <v>26365</v>
      </c>
      <c r="O740" s="15">
        <f t="shared" si="55"/>
        <v>87882</v>
      </c>
      <c r="P740" s="15">
        <f t="shared" si="56"/>
        <v>10.000000000000002</v>
      </c>
      <c r="Q740" s="14">
        <v>4821</v>
      </c>
      <c r="R740" s="12">
        <v>100</v>
      </c>
      <c r="S740" s="12" t="s">
        <v>1046</v>
      </c>
      <c r="T740" s="22">
        <f t="shared" si="57"/>
        <v>12</v>
      </c>
      <c r="U740" s="22">
        <f t="shared" si="58"/>
        <v>2020</v>
      </c>
      <c r="V740" s="22" t="str">
        <f t="shared" si="59"/>
        <v>METROPOLITANA</v>
      </c>
    </row>
    <row r="741" spans="1:22" x14ac:dyDescent="0.2">
      <c r="A741" s="11" t="s">
        <v>1037</v>
      </c>
      <c r="B741" s="12" t="s">
        <v>33</v>
      </c>
      <c r="C741" s="12" t="s">
        <v>128</v>
      </c>
      <c r="D741" s="12" t="s">
        <v>37</v>
      </c>
      <c r="E741" s="13" t="s">
        <v>40</v>
      </c>
      <c r="F741" s="12" t="s">
        <v>129</v>
      </c>
      <c r="G741" s="14">
        <v>8888.3999999999978</v>
      </c>
      <c r="H741" s="12" t="s">
        <v>22</v>
      </c>
      <c r="I741" s="12">
        <v>0</v>
      </c>
      <c r="J741" s="12" t="s">
        <v>129</v>
      </c>
      <c r="K741" s="12" t="s">
        <v>23</v>
      </c>
      <c r="L741" s="12">
        <v>1</v>
      </c>
      <c r="M741" s="15">
        <v>62219</v>
      </c>
      <c r="N741" s="15">
        <v>35554</v>
      </c>
      <c r="O741" s="15">
        <f t="shared" si="55"/>
        <v>97773</v>
      </c>
      <c r="P741" s="15">
        <f t="shared" si="56"/>
        <v>11.000067503712707</v>
      </c>
      <c r="Q741" s="14">
        <v>4821</v>
      </c>
      <c r="R741" s="12">
        <v>100</v>
      </c>
      <c r="S741" s="12" t="s">
        <v>1047</v>
      </c>
      <c r="T741" s="22">
        <f t="shared" si="57"/>
        <v>12</v>
      </c>
      <c r="U741" s="22">
        <f t="shared" si="58"/>
        <v>2020</v>
      </c>
      <c r="V741" s="22" t="str">
        <f t="shared" si="59"/>
        <v>METROPOLITANA</v>
      </c>
    </row>
    <row r="742" spans="1:22" x14ac:dyDescent="0.2">
      <c r="A742" s="11" t="s">
        <v>1037</v>
      </c>
      <c r="B742" s="12" t="s">
        <v>33</v>
      </c>
      <c r="C742" s="12" t="s">
        <v>128</v>
      </c>
      <c r="D742" s="12" t="s">
        <v>41</v>
      </c>
      <c r="E742" s="13" t="s">
        <v>25</v>
      </c>
      <c r="F742" s="12" t="s">
        <v>129</v>
      </c>
      <c r="G742" s="14">
        <v>9277.7999999999993</v>
      </c>
      <c r="H742" s="12" t="s">
        <v>43</v>
      </c>
      <c r="I742" s="12">
        <v>0</v>
      </c>
      <c r="J742" s="12" t="s">
        <v>129</v>
      </c>
      <c r="K742" s="12" t="s">
        <v>23</v>
      </c>
      <c r="L742" s="12">
        <v>1</v>
      </c>
      <c r="M742" s="15">
        <v>64945</v>
      </c>
      <c r="N742" s="15">
        <v>27833</v>
      </c>
      <c r="O742" s="15">
        <f t="shared" si="55"/>
        <v>92778</v>
      </c>
      <c r="P742" s="15">
        <f t="shared" si="56"/>
        <v>10</v>
      </c>
      <c r="Q742" s="14">
        <v>4821</v>
      </c>
      <c r="R742" s="12">
        <v>100</v>
      </c>
      <c r="S742" s="12" t="s">
        <v>1048</v>
      </c>
      <c r="T742" s="22">
        <f t="shared" si="57"/>
        <v>12</v>
      </c>
      <c r="U742" s="22">
        <f t="shared" si="58"/>
        <v>2020</v>
      </c>
      <c r="V742" s="22" t="str">
        <f t="shared" si="59"/>
        <v>METROPOLITANA</v>
      </c>
    </row>
    <row r="743" spans="1:22" x14ac:dyDescent="0.2">
      <c r="A743" s="11" t="s">
        <v>1037</v>
      </c>
      <c r="B743" s="12" t="s">
        <v>33</v>
      </c>
      <c r="C743" s="12" t="s">
        <v>223</v>
      </c>
      <c r="D743" s="12" t="s">
        <v>20</v>
      </c>
      <c r="E743" s="13" t="s">
        <v>21</v>
      </c>
      <c r="F743" s="12" t="s">
        <v>51</v>
      </c>
      <c r="G743" s="14">
        <v>4251</v>
      </c>
      <c r="H743" s="12" t="s">
        <v>22</v>
      </c>
      <c r="I743" s="12">
        <v>0</v>
      </c>
      <c r="J743" s="12" t="s">
        <v>51</v>
      </c>
      <c r="K743" s="12" t="s">
        <v>23</v>
      </c>
      <c r="L743" s="12">
        <v>4</v>
      </c>
      <c r="M743" s="15">
        <v>56075</v>
      </c>
      <c r="N743" s="15">
        <f>G743*4</f>
        <v>17004</v>
      </c>
      <c r="O743" s="15">
        <f t="shared" si="55"/>
        <v>73079</v>
      </c>
      <c r="P743" s="15">
        <f t="shared" si="56"/>
        <v>17.191013879087272</v>
      </c>
      <c r="Q743" s="14">
        <v>8011</v>
      </c>
      <c r="R743" s="12">
        <v>53</v>
      </c>
      <c r="S743" s="12" t="s">
        <v>1049</v>
      </c>
      <c r="T743" s="22">
        <f t="shared" si="57"/>
        <v>12</v>
      </c>
      <c r="U743" s="22">
        <f t="shared" si="58"/>
        <v>2020</v>
      </c>
      <c r="V743" s="22" t="str">
        <f t="shared" si="59"/>
        <v>METROPOLITANA</v>
      </c>
    </row>
    <row r="744" spans="1:22" x14ac:dyDescent="0.2">
      <c r="A744" s="11" t="s">
        <v>1037</v>
      </c>
      <c r="B744" s="12" t="s">
        <v>33</v>
      </c>
      <c r="C744" s="12" t="s">
        <v>44</v>
      </c>
      <c r="D744" s="12" t="s">
        <v>56</v>
      </c>
      <c r="E744" s="13" t="s">
        <v>88</v>
      </c>
      <c r="F744" s="12" t="s">
        <v>94</v>
      </c>
      <c r="G744" s="14">
        <v>4325.3999999999996</v>
      </c>
      <c r="H744" s="12" t="s">
        <v>22</v>
      </c>
      <c r="I744" s="12">
        <v>0</v>
      </c>
      <c r="J744" s="12" t="s">
        <v>59</v>
      </c>
      <c r="K744" s="12" t="s">
        <v>78</v>
      </c>
      <c r="L744" s="12">
        <v>0</v>
      </c>
      <c r="M744" s="15">
        <v>180000</v>
      </c>
      <c r="N744" s="15">
        <f>G744*4</f>
        <v>17301.599999999999</v>
      </c>
      <c r="O744" s="15">
        <f t="shared" si="55"/>
        <v>197301.6</v>
      </c>
      <c r="P744" s="15">
        <f t="shared" si="56"/>
        <v>45.614648356221394</v>
      </c>
      <c r="Q744" s="14">
        <v>25000</v>
      </c>
      <c r="R744" s="12">
        <v>17</v>
      </c>
      <c r="S744" s="12" t="s">
        <v>1050</v>
      </c>
      <c r="T744" s="22">
        <f t="shared" si="57"/>
        <v>12</v>
      </c>
      <c r="U744" s="22">
        <f t="shared" si="58"/>
        <v>2020</v>
      </c>
      <c r="V744" s="22" t="str">
        <f t="shared" si="59"/>
        <v>REGIONES</v>
      </c>
    </row>
    <row r="745" spans="1:22" x14ac:dyDescent="0.2">
      <c r="A745" s="11" t="s">
        <v>1037</v>
      </c>
      <c r="B745" s="12" t="s">
        <v>33</v>
      </c>
      <c r="C745" s="12" t="s">
        <v>44</v>
      </c>
      <c r="D745" s="12" t="s">
        <v>45</v>
      </c>
      <c r="E745" s="13" t="s">
        <v>28</v>
      </c>
      <c r="F745" s="12" t="s">
        <v>67</v>
      </c>
      <c r="G745" s="14">
        <v>3501</v>
      </c>
      <c r="H745" s="12" t="s">
        <v>22</v>
      </c>
      <c r="I745" s="12">
        <v>0</v>
      </c>
      <c r="J745" s="12" t="s">
        <v>67</v>
      </c>
      <c r="K745" s="12" t="s">
        <v>23</v>
      </c>
      <c r="L745" s="12">
        <v>2</v>
      </c>
      <c r="M745" s="15">
        <v>40475</v>
      </c>
      <c r="N745" s="15">
        <v>14004</v>
      </c>
      <c r="O745" s="15">
        <f t="shared" si="55"/>
        <v>54479</v>
      </c>
      <c r="P745" s="15">
        <f t="shared" si="56"/>
        <v>15.56098257640674</v>
      </c>
      <c r="Q745" s="14">
        <v>5782</v>
      </c>
      <c r="R745" s="12">
        <v>61</v>
      </c>
      <c r="S745" s="12" t="s">
        <v>1051</v>
      </c>
      <c r="T745" s="22">
        <f t="shared" si="57"/>
        <v>12</v>
      </c>
      <c r="U745" s="22">
        <f t="shared" si="58"/>
        <v>2020</v>
      </c>
      <c r="V745" s="22" t="str">
        <f t="shared" si="59"/>
        <v>METROPOLITANA</v>
      </c>
    </row>
    <row r="746" spans="1:22" x14ac:dyDescent="0.2">
      <c r="A746" s="11" t="s">
        <v>1037</v>
      </c>
      <c r="B746" s="12" t="s">
        <v>33</v>
      </c>
      <c r="C746" s="12" t="s">
        <v>44</v>
      </c>
      <c r="D746" s="12" t="s">
        <v>47</v>
      </c>
      <c r="E746" s="13" t="s">
        <v>52</v>
      </c>
      <c r="F746" s="12" t="s">
        <v>48</v>
      </c>
      <c r="G746" s="14">
        <v>2075.4</v>
      </c>
      <c r="H746" s="12" t="s">
        <v>22</v>
      </c>
      <c r="I746" s="12">
        <v>0</v>
      </c>
      <c r="J746" s="12" t="s">
        <v>48</v>
      </c>
      <c r="K746" s="12" t="s">
        <v>23</v>
      </c>
      <c r="L746" s="12">
        <v>1</v>
      </c>
      <c r="M746" s="15">
        <v>33750</v>
      </c>
      <c r="N746" s="15">
        <v>12000</v>
      </c>
      <c r="O746" s="15">
        <f t="shared" si="55"/>
        <v>45750</v>
      </c>
      <c r="P746" s="15">
        <f t="shared" si="56"/>
        <v>22.043943336224341</v>
      </c>
      <c r="Q746" s="14">
        <v>4821</v>
      </c>
      <c r="R746" s="12">
        <v>43</v>
      </c>
      <c r="S746" s="12" t="s">
        <v>1052</v>
      </c>
      <c r="T746" s="22">
        <f t="shared" si="57"/>
        <v>12</v>
      </c>
      <c r="U746" s="22">
        <f t="shared" si="58"/>
        <v>2020</v>
      </c>
      <c r="V746" s="22" t="str">
        <f t="shared" si="59"/>
        <v>METROPOLITANA</v>
      </c>
    </row>
    <row r="747" spans="1:22" x14ac:dyDescent="0.2">
      <c r="A747" s="11" t="s">
        <v>1037</v>
      </c>
      <c r="B747" s="12" t="s">
        <v>33</v>
      </c>
      <c r="C747" s="12" t="s">
        <v>44</v>
      </c>
      <c r="D747" s="12" t="s">
        <v>35</v>
      </c>
      <c r="E747" s="13" t="s">
        <v>49</v>
      </c>
      <c r="F747" s="12" t="s">
        <v>53</v>
      </c>
      <c r="G747" s="14">
        <v>4251</v>
      </c>
      <c r="H747" s="12" t="s">
        <v>22</v>
      </c>
      <c r="I747" s="12">
        <v>0</v>
      </c>
      <c r="J747" s="12" t="s">
        <v>53</v>
      </c>
      <c r="K747" s="12" t="s">
        <v>23</v>
      </c>
      <c r="L747" s="12">
        <v>3</v>
      </c>
      <c r="M747" s="15">
        <v>48075</v>
      </c>
      <c r="N747" s="15">
        <v>17004</v>
      </c>
      <c r="O747" s="15">
        <f t="shared" si="55"/>
        <v>65079</v>
      </c>
      <c r="P747" s="15">
        <f t="shared" si="56"/>
        <v>15.309103740296401</v>
      </c>
      <c r="Q747" s="14">
        <v>6868</v>
      </c>
      <c r="R747" s="12">
        <v>62</v>
      </c>
      <c r="S747" s="12" t="s">
        <v>1053</v>
      </c>
      <c r="T747" s="22">
        <f t="shared" si="57"/>
        <v>12</v>
      </c>
      <c r="U747" s="22">
        <f t="shared" si="58"/>
        <v>2020</v>
      </c>
      <c r="V747" s="22" t="str">
        <f t="shared" si="59"/>
        <v>METROPOLITANA</v>
      </c>
    </row>
    <row r="748" spans="1:22" x14ac:dyDescent="0.2">
      <c r="A748" s="11" t="s">
        <v>1037</v>
      </c>
      <c r="B748" s="12" t="s">
        <v>33</v>
      </c>
      <c r="C748" s="12" t="s">
        <v>44</v>
      </c>
      <c r="D748" s="12" t="s">
        <v>20</v>
      </c>
      <c r="E748" s="13" t="s">
        <v>21</v>
      </c>
      <c r="F748" s="12" t="s">
        <v>137</v>
      </c>
      <c r="G748" s="14">
        <v>1125</v>
      </c>
      <c r="H748" s="12" t="s">
        <v>22</v>
      </c>
      <c r="I748" s="12">
        <v>0</v>
      </c>
      <c r="J748" s="12" t="s">
        <v>137</v>
      </c>
      <c r="K748" s="12" t="s">
        <v>23</v>
      </c>
      <c r="L748" s="12">
        <v>1</v>
      </c>
      <c r="M748" s="15">
        <v>33750</v>
      </c>
      <c r="N748" s="15">
        <v>12000</v>
      </c>
      <c r="O748" s="15">
        <f t="shared" si="55"/>
        <v>45750</v>
      </c>
      <c r="P748" s="15">
        <f t="shared" si="56"/>
        <v>40.666666666666664</v>
      </c>
      <c r="Q748" s="14">
        <v>4821</v>
      </c>
      <c r="R748" s="12">
        <v>23</v>
      </c>
      <c r="S748" s="12" t="s">
        <v>1054</v>
      </c>
      <c r="T748" s="22">
        <f t="shared" si="57"/>
        <v>12</v>
      </c>
      <c r="U748" s="22">
        <f t="shared" si="58"/>
        <v>2020</v>
      </c>
      <c r="V748" s="22" t="str">
        <f t="shared" si="59"/>
        <v>METROPOLITANA</v>
      </c>
    </row>
    <row r="749" spans="1:22" x14ac:dyDescent="0.2">
      <c r="A749" s="23" t="s">
        <v>1055</v>
      </c>
      <c r="B749" s="22" t="s">
        <v>54</v>
      </c>
      <c r="C749" s="22" t="s">
        <v>55</v>
      </c>
      <c r="D749" s="22" t="s">
        <v>191</v>
      </c>
      <c r="E749" s="24" t="s">
        <v>192</v>
      </c>
      <c r="F749" s="22" t="s">
        <v>66</v>
      </c>
      <c r="G749" s="25">
        <v>7419.6000000000022</v>
      </c>
      <c r="H749" s="22" t="s">
        <v>85</v>
      </c>
      <c r="I749" s="22">
        <v>1</v>
      </c>
      <c r="J749" s="22" t="s">
        <v>66</v>
      </c>
      <c r="K749" s="22" t="s">
        <v>75</v>
      </c>
      <c r="L749" s="22">
        <v>0</v>
      </c>
      <c r="M749" s="26">
        <v>380000</v>
      </c>
      <c r="N749" s="26">
        <v>0</v>
      </c>
      <c r="O749" s="15">
        <f t="shared" si="55"/>
        <v>380000</v>
      </c>
      <c r="P749" s="15">
        <f t="shared" si="56"/>
        <v>51.215698959512629</v>
      </c>
      <c r="Q749" s="25">
        <v>25000</v>
      </c>
      <c r="R749" s="22">
        <v>30</v>
      </c>
      <c r="S749" s="22" t="s">
        <v>1056</v>
      </c>
      <c r="T749" s="22">
        <f t="shared" si="57"/>
        <v>12</v>
      </c>
      <c r="U749" s="22">
        <f t="shared" si="58"/>
        <v>2020</v>
      </c>
      <c r="V749" s="22" t="str">
        <f t="shared" si="59"/>
        <v>REGIONES</v>
      </c>
    </row>
    <row r="750" spans="1:22" x14ac:dyDescent="0.2">
      <c r="A750" s="23" t="s">
        <v>1055</v>
      </c>
      <c r="B750" s="22" t="s">
        <v>18</v>
      </c>
      <c r="C750" s="22" t="s">
        <v>57</v>
      </c>
      <c r="D750" s="22" t="s">
        <v>191</v>
      </c>
      <c r="E750" s="24" t="s">
        <v>192</v>
      </c>
      <c r="F750" s="22" t="s">
        <v>458</v>
      </c>
      <c r="G750" s="25">
        <v>12968.8</v>
      </c>
      <c r="H750" s="22" t="s">
        <v>85</v>
      </c>
      <c r="I750" s="22">
        <v>1</v>
      </c>
      <c r="J750" s="22" t="s">
        <v>458</v>
      </c>
      <c r="K750" s="22" t="s">
        <v>75</v>
      </c>
      <c r="L750" s="22">
        <v>0</v>
      </c>
      <c r="M750" s="26">
        <v>400000</v>
      </c>
      <c r="N750" s="26">
        <v>0</v>
      </c>
      <c r="O750" s="15">
        <f t="shared" si="55"/>
        <v>400000</v>
      </c>
      <c r="P750" s="15">
        <f t="shared" si="56"/>
        <v>30.843254580223306</v>
      </c>
      <c r="Q750" s="25">
        <v>25000</v>
      </c>
      <c r="R750" s="22">
        <v>52</v>
      </c>
      <c r="S750" s="22" t="s">
        <v>1057</v>
      </c>
      <c r="T750" s="22">
        <f t="shared" si="57"/>
        <v>12</v>
      </c>
      <c r="U750" s="22">
        <f t="shared" si="58"/>
        <v>2020</v>
      </c>
      <c r="V750" s="22" t="str">
        <f t="shared" si="59"/>
        <v>REGIONES</v>
      </c>
    </row>
    <row r="751" spans="1:22" x14ac:dyDescent="0.2">
      <c r="A751" s="23" t="s">
        <v>1055</v>
      </c>
      <c r="B751" s="22" t="s">
        <v>18</v>
      </c>
      <c r="C751" s="22" t="s">
        <v>457</v>
      </c>
      <c r="D751" s="22" t="s">
        <v>82</v>
      </c>
      <c r="E751" s="24" t="s">
        <v>83</v>
      </c>
      <c r="F751" s="22" t="s">
        <v>313</v>
      </c>
      <c r="G751" s="25">
        <v>10127.25</v>
      </c>
      <c r="H751" s="22" t="s">
        <v>85</v>
      </c>
      <c r="I751" s="22">
        <v>1</v>
      </c>
      <c r="J751" s="22" t="s">
        <v>313</v>
      </c>
      <c r="K751" s="22" t="s">
        <v>75</v>
      </c>
      <c r="L751" s="22">
        <v>0</v>
      </c>
      <c r="M751" s="26">
        <v>390000</v>
      </c>
      <c r="N751" s="26">
        <v>0</v>
      </c>
      <c r="O751" s="15">
        <f t="shared" si="55"/>
        <v>390000</v>
      </c>
      <c r="P751" s="15">
        <f t="shared" si="56"/>
        <v>38.509960749463083</v>
      </c>
      <c r="Q751" s="25">
        <v>25000</v>
      </c>
      <c r="R751" s="22">
        <v>41</v>
      </c>
      <c r="S751" s="22" t="s">
        <v>1058</v>
      </c>
      <c r="T751" s="22">
        <f t="shared" si="57"/>
        <v>12</v>
      </c>
      <c r="U751" s="22">
        <f t="shared" si="58"/>
        <v>2020</v>
      </c>
      <c r="V751" s="22" t="str">
        <f t="shared" si="59"/>
        <v>REGIONES</v>
      </c>
    </row>
    <row r="752" spans="1:22" x14ac:dyDescent="0.2">
      <c r="A752" s="23" t="s">
        <v>1055</v>
      </c>
      <c r="B752" s="22" t="s">
        <v>18</v>
      </c>
      <c r="C752" s="22" t="s">
        <v>163</v>
      </c>
      <c r="D752" s="22" t="s">
        <v>38</v>
      </c>
      <c r="E752" s="24" t="s">
        <v>25</v>
      </c>
      <c r="F752" s="22" t="s">
        <v>165</v>
      </c>
      <c r="G752" s="25">
        <v>6414.4000000000005</v>
      </c>
      <c r="H752" s="22" t="s">
        <v>43</v>
      </c>
      <c r="I752" s="22">
        <v>0</v>
      </c>
      <c r="J752" s="22" t="s">
        <v>165</v>
      </c>
      <c r="K752" s="22" t="s">
        <v>23</v>
      </c>
      <c r="L752" s="22">
        <v>4</v>
      </c>
      <c r="M752" s="26">
        <v>56075</v>
      </c>
      <c r="N752" s="26">
        <f>G752*3</f>
        <v>19243.2</v>
      </c>
      <c r="O752" s="15">
        <f t="shared" si="55"/>
        <v>75318.2</v>
      </c>
      <c r="P752" s="15">
        <f t="shared" si="56"/>
        <v>11.742049139436267</v>
      </c>
      <c r="Q752" s="25">
        <v>8011</v>
      </c>
      <c r="R752" s="22">
        <v>80</v>
      </c>
      <c r="S752" s="22" t="s">
        <v>1059</v>
      </c>
      <c r="T752" s="22">
        <f t="shared" si="57"/>
        <v>12</v>
      </c>
      <c r="U752" s="22">
        <f t="shared" si="58"/>
        <v>2020</v>
      </c>
      <c r="V752" s="22" t="str">
        <f t="shared" si="59"/>
        <v>METROPOLITANA</v>
      </c>
    </row>
    <row r="753" spans="1:22" x14ac:dyDescent="0.2">
      <c r="A753" s="23" t="s">
        <v>1055</v>
      </c>
      <c r="B753" s="22" t="s">
        <v>18</v>
      </c>
      <c r="C753" s="22" t="s">
        <v>508</v>
      </c>
      <c r="D753" s="22" t="s">
        <v>63</v>
      </c>
      <c r="E753" s="24" t="s">
        <v>64</v>
      </c>
      <c r="F753" s="22" t="s">
        <v>51</v>
      </c>
      <c r="G753" s="25">
        <v>9646.3700000000044</v>
      </c>
      <c r="H753" s="22" t="s">
        <v>65</v>
      </c>
      <c r="I753" s="22">
        <v>0</v>
      </c>
      <c r="J753" s="22" t="s">
        <v>51</v>
      </c>
      <c r="K753" s="22" t="s">
        <v>23</v>
      </c>
      <c r="L753" s="22">
        <v>4</v>
      </c>
      <c r="M753" s="26">
        <v>67525</v>
      </c>
      <c r="N753" s="26">
        <f>G753*3</f>
        <v>28939.110000000015</v>
      </c>
      <c r="O753" s="15">
        <f t="shared" si="55"/>
        <v>96464.110000000015</v>
      </c>
      <c r="P753" s="15">
        <f t="shared" si="56"/>
        <v>10.000042503034818</v>
      </c>
      <c r="Q753" s="25">
        <v>8011</v>
      </c>
      <c r="R753" s="22">
        <v>100</v>
      </c>
      <c r="S753" s="22" t="s">
        <v>1060</v>
      </c>
      <c r="T753" s="22">
        <f t="shared" si="57"/>
        <v>12</v>
      </c>
      <c r="U753" s="22">
        <f t="shared" si="58"/>
        <v>2020</v>
      </c>
      <c r="V753" s="22" t="str">
        <f t="shared" si="59"/>
        <v>METROPOLITANA</v>
      </c>
    </row>
    <row r="754" spans="1:22" x14ac:dyDescent="0.2">
      <c r="A754" s="23" t="s">
        <v>1055</v>
      </c>
      <c r="B754" s="22" t="s">
        <v>18</v>
      </c>
      <c r="C754" s="22" t="s">
        <v>508</v>
      </c>
      <c r="D754" s="22" t="s">
        <v>41</v>
      </c>
      <c r="E754" s="24" t="s">
        <v>42</v>
      </c>
      <c r="F754" s="22" t="s">
        <v>800</v>
      </c>
      <c r="G754" s="25">
        <v>4034.17</v>
      </c>
      <c r="H754" s="22" t="s">
        <v>43</v>
      </c>
      <c r="I754" s="22">
        <v>0</v>
      </c>
      <c r="J754" s="22" t="s">
        <v>800</v>
      </c>
      <c r="K754" s="22" t="s">
        <v>23</v>
      </c>
      <c r="L754" s="22">
        <v>5</v>
      </c>
      <c r="M754" s="26">
        <v>90000</v>
      </c>
      <c r="N754" s="26">
        <f>G754*3</f>
        <v>12102.51</v>
      </c>
      <c r="O754" s="15">
        <f t="shared" si="55"/>
        <v>102102.51</v>
      </c>
      <c r="P754" s="15">
        <f t="shared" si="56"/>
        <v>25.309421764576108</v>
      </c>
      <c r="Q754" s="25">
        <v>12000</v>
      </c>
      <c r="R754" s="22">
        <v>34</v>
      </c>
      <c r="S754" s="22" t="s">
        <v>1061</v>
      </c>
      <c r="T754" s="22">
        <f t="shared" si="57"/>
        <v>12</v>
      </c>
      <c r="U754" s="22">
        <f t="shared" si="58"/>
        <v>2020</v>
      </c>
      <c r="V754" s="22" t="str">
        <f t="shared" si="59"/>
        <v>METROPOLITANA</v>
      </c>
    </row>
    <row r="755" spans="1:22" x14ac:dyDescent="0.2">
      <c r="A755" s="23" t="s">
        <v>1055</v>
      </c>
      <c r="B755" s="22" t="s">
        <v>18</v>
      </c>
      <c r="C755" s="22" t="s">
        <v>508</v>
      </c>
      <c r="D755" s="22" t="s">
        <v>20</v>
      </c>
      <c r="E755" s="24" t="s">
        <v>21</v>
      </c>
      <c r="F755" s="22" t="s">
        <v>800</v>
      </c>
      <c r="G755" s="25">
        <v>7449.37</v>
      </c>
      <c r="H755" s="22" t="s">
        <v>22</v>
      </c>
      <c r="I755" s="22">
        <v>0</v>
      </c>
      <c r="J755" s="22" t="s">
        <v>800</v>
      </c>
      <c r="K755" s="22" t="s">
        <v>23</v>
      </c>
      <c r="L755" s="22">
        <v>5</v>
      </c>
      <c r="M755" s="26">
        <v>90000</v>
      </c>
      <c r="N755" s="26">
        <f>G755*4</f>
        <v>29797.48</v>
      </c>
      <c r="O755" s="15">
        <f t="shared" si="55"/>
        <v>119797.48</v>
      </c>
      <c r="P755" s="15">
        <f t="shared" si="56"/>
        <v>16.081558574751959</v>
      </c>
      <c r="Q755" s="25">
        <v>12000</v>
      </c>
      <c r="R755" s="22">
        <v>62</v>
      </c>
      <c r="S755" s="22" t="s">
        <v>1062</v>
      </c>
      <c r="T755" s="22">
        <f t="shared" si="57"/>
        <v>12</v>
      </c>
      <c r="U755" s="22">
        <f t="shared" si="58"/>
        <v>2020</v>
      </c>
      <c r="V755" s="22" t="str">
        <f t="shared" si="59"/>
        <v>METROPOLITANA</v>
      </c>
    </row>
    <row r="756" spans="1:22" x14ac:dyDescent="0.2">
      <c r="A756" s="23" t="s">
        <v>1055</v>
      </c>
      <c r="B756" s="22" t="s">
        <v>33</v>
      </c>
      <c r="C756" s="22" t="s">
        <v>417</v>
      </c>
      <c r="D756" s="22" t="s">
        <v>37</v>
      </c>
      <c r="E756" s="24" t="s">
        <v>40</v>
      </c>
      <c r="F756" s="22" t="s">
        <v>418</v>
      </c>
      <c r="G756" s="25">
        <v>8550.600000000004</v>
      </c>
      <c r="H756" s="22" t="s">
        <v>22</v>
      </c>
      <c r="I756" s="22">
        <v>0</v>
      </c>
      <c r="J756" s="22" t="s">
        <v>418</v>
      </c>
      <c r="K756" s="22" t="s">
        <v>171</v>
      </c>
      <c r="L756" s="22">
        <v>0</v>
      </c>
      <c r="M756" s="26">
        <v>180000</v>
      </c>
      <c r="N756" s="26">
        <f>G756*4</f>
        <v>34202.400000000016</v>
      </c>
      <c r="O756" s="15">
        <f t="shared" si="55"/>
        <v>214202.40000000002</v>
      </c>
      <c r="P756" s="15">
        <f t="shared" si="56"/>
        <v>25.051154304961045</v>
      </c>
      <c r="Q756" s="25">
        <v>25000</v>
      </c>
      <c r="R756" s="22">
        <v>34</v>
      </c>
      <c r="S756" s="22" t="s">
        <v>1063</v>
      </c>
      <c r="T756" s="22">
        <f t="shared" si="57"/>
        <v>12</v>
      </c>
      <c r="U756" s="22">
        <f t="shared" si="58"/>
        <v>2020</v>
      </c>
      <c r="V756" s="22" t="str">
        <f t="shared" si="59"/>
        <v>REGIONES</v>
      </c>
    </row>
    <row r="757" spans="1:22" x14ac:dyDescent="0.2">
      <c r="A757" s="23" t="s">
        <v>1055</v>
      </c>
      <c r="B757" s="22" t="s">
        <v>33</v>
      </c>
      <c r="C757" s="22" t="s">
        <v>417</v>
      </c>
      <c r="D757" s="22" t="s">
        <v>30</v>
      </c>
      <c r="E757" s="24" t="s">
        <v>31</v>
      </c>
      <c r="F757" s="22" t="s">
        <v>418</v>
      </c>
      <c r="G757" s="25">
        <v>8550.5999999999985</v>
      </c>
      <c r="H757" s="22" t="s">
        <v>32</v>
      </c>
      <c r="I757" s="22">
        <v>0</v>
      </c>
      <c r="J757" s="22" t="s">
        <v>418</v>
      </c>
      <c r="K757" s="22" t="s">
        <v>171</v>
      </c>
      <c r="L757" s="22">
        <v>0</v>
      </c>
      <c r="M757" s="26">
        <v>180000</v>
      </c>
      <c r="N757" s="26">
        <f>G757*3</f>
        <v>25651.799999999996</v>
      </c>
      <c r="O757" s="15">
        <f t="shared" si="55"/>
        <v>205651.8</v>
      </c>
      <c r="P757" s="15">
        <f t="shared" si="56"/>
        <v>24.051154304961059</v>
      </c>
      <c r="Q757" s="25">
        <v>25000</v>
      </c>
      <c r="R757" s="22">
        <v>34</v>
      </c>
      <c r="S757" s="22" t="s">
        <v>1064</v>
      </c>
      <c r="T757" s="22">
        <f t="shared" si="57"/>
        <v>12</v>
      </c>
      <c r="U757" s="22">
        <f t="shared" si="58"/>
        <v>2020</v>
      </c>
      <c r="V757" s="22" t="str">
        <f t="shared" si="59"/>
        <v>REGIONES</v>
      </c>
    </row>
    <row r="758" spans="1:22" x14ac:dyDescent="0.2">
      <c r="A758" s="23" t="s">
        <v>1055</v>
      </c>
      <c r="B758" s="22" t="s">
        <v>33</v>
      </c>
      <c r="C758" s="22" t="s">
        <v>36</v>
      </c>
      <c r="D758" s="22" t="s">
        <v>130</v>
      </c>
      <c r="E758" s="24" t="s">
        <v>131</v>
      </c>
      <c r="F758" s="22" t="s">
        <v>426</v>
      </c>
      <c r="G758" s="25">
        <v>8524.8000000000029</v>
      </c>
      <c r="H758" s="22" t="s">
        <v>85</v>
      </c>
      <c r="I758" s="22">
        <v>1</v>
      </c>
      <c r="J758" s="22" t="s">
        <v>426</v>
      </c>
      <c r="K758" s="22" t="s">
        <v>75</v>
      </c>
      <c r="L758" s="22">
        <v>0</v>
      </c>
      <c r="M758" s="26">
        <v>400000</v>
      </c>
      <c r="N758" s="26">
        <v>0</v>
      </c>
      <c r="O758" s="15">
        <f t="shared" si="55"/>
        <v>400000</v>
      </c>
      <c r="P758" s="15">
        <f t="shared" si="56"/>
        <v>46.921921921921907</v>
      </c>
      <c r="Q758" s="25">
        <v>25000</v>
      </c>
      <c r="R758" s="22">
        <v>34</v>
      </c>
      <c r="S758" s="22" t="s">
        <v>1065</v>
      </c>
      <c r="T758" s="22">
        <f t="shared" si="57"/>
        <v>12</v>
      </c>
      <c r="U758" s="22">
        <f t="shared" si="58"/>
        <v>2020</v>
      </c>
      <c r="V758" s="22" t="str">
        <f t="shared" si="59"/>
        <v>REGIONES</v>
      </c>
    </row>
    <row r="759" spans="1:22" x14ac:dyDescent="0.2">
      <c r="A759" s="23" t="s">
        <v>1055</v>
      </c>
      <c r="B759" s="22" t="s">
        <v>33</v>
      </c>
      <c r="C759" s="22" t="s">
        <v>1066</v>
      </c>
      <c r="D759" s="22" t="s">
        <v>38</v>
      </c>
      <c r="E759" s="24" t="s">
        <v>25</v>
      </c>
      <c r="F759" s="22" t="s">
        <v>173</v>
      </c>
      <c r="G759" s="25">
        <v>7176.5999999999995</v>
      </c>
      <c r="H759" s="22" t="s">
        <v>43</v>
      </c>
      <c r="I759" s="22">
        <v>0</v>
      </c>
      <c r="J759" s="22" t="s">
        <v>173</v>
      </c>
      <c r="K759" s="22" t="s">
        <v>23</v>
      </c>
      <c r="L759" s="22">
        <v>5</v>
      </c>
      <c r="M759" s="26">
        <v>90000</v>
      </c>
      <c r="N759" s="26">
        <f>G759*3</f>
        <v>21529.8</v>
      </c>
      <c r="O759" s="15">
        <f t="shared" si="55"/>
        <v>111529.8</v>
      </c>
      <c r="P759" s="15">
        <f t="shared" si="56"/>
        <v>15.540757461750692</v>
      </c>
      <c r="Q759" s="25">
        <v>12000</v>
      </c>
      <c r="R759" s="22">
        <v>60</v>
      </c>
      <c r="S759" s="22" t="s">
        <v>1067</v>
      </c>
      <c r="T759" s="22">
        <f t="shared" si="57"/>
        <v>12</v>
      </c>
      <c r="U759" s="22">
        <f t="shared" si="58"/>
        <v>2020</v>
      </c>
      <c r="V759" s="22" t="str">
        <f t="shared" si="59"/>
        <v>METROPOLITANA</v>
      </c>
    </row>
    <row r="760" spans="1:22" x14ac:dyDescent="0.2">
      <c r="A760" s="23" t="s">
        <v>1055</v>
      </c>
      <c r="B760" s="22" t="s">
        <v>33</v>
      </c>
      <c r="C760" s="22" t="s">
        <v>44</v>
      </c>
      <c r="D760" s="22" t="s">
        <v>56</v>
      </c>
      <c r="E760" s="24" t="s">
        <v>52</v>
      </c>
      <c r="F760" s="22" t="s">
        <v>48</v>
      </c>
      <c r="G760" s="25">
        <v>2888.4</v>
      </c>
      <c r="H760" s="22" t="s">
        <v>22</v>
      </c>
      <c r="I760" s="22">
        <v>0</v>
      </c>
      <c r="J760" s="22" t="s">
        <v>48</v>
      </c>
      <c r="K760" s="22" t="s">
        <v>23</v>
      </c>
      <c r="L760" s="22">
        <v>1</v>
      </c>
      <c r="M760" s="26">
        <v>33750</v>
      </c>
      <c r="N760" s="26">
        <v>11554</v>
      </c>
      <c r="O760" s="15">
        <f t="shared" si="55"/>
        <v>45304</v>
      </c>
      <c r="P760" s="15">
        <f t="shared" si="56"/>
        <v>15.684808198310483</v>
      </c>
      <c r="Q760" s="25">
        <v>4821</v>
      </c>
      <c r="R760" s="22">
        <v>60</v>
      </c>
      <c r="S760" s="22" t="s">
        <v>1068</v>
      </c>
      <c r="T760" s="22">
        <f t="shared" si="57"/>
        <v>12</v>
      </c>
      <c r="U760" s="22">
        <f t="shared" si="58"/>
        <v>2020</v>
      </c>
      <c r="V760" s="22" t="str">
        <f t="shared" si="59"/>
        <v>METROPOLITANA</v>
      </c>
    </row>
    <row r="761" spans="1:22" x14ac:dyDescent="0.2">
      <c r="A761" s="23" t="s">
        <v>1055</v>
      </c>
      <c r="B761" s="22" t="s">
        <v>33</v>
      </c>
      <c r="C761" s="22" t="s">
        <v>44</v>
      </c>
      <c r="D761" s="22" t="s">
        <v>45</v>
      </c>
      <c r="E761" s="24" t="s">
        <v>28</v>
      </c>
      <c r="F761" s="22" t="s">
        <v>95</v>
      </c>
      <c r="G761" s="25">
        <v>2075.4</v>
      </c>
      <c r="H761" s="22" t="s">
        <v>22</v>
      </c>
      <c r="I761" s="22">
        <v>0</v>
      </c>
      <c r="J761" s="22" t="s">
        <v>95</v>
      </c>
      <c r="K761" s="22" t="s">
        <v>23</v>
      </c>
      <c r="L761" s="22">
        <v>4</v>
      </c>
      <c r="M761" s="26">
        <v>56075</v>
      </c>
      <c r="N761" s="26">
        <v>8302</v>
      </c>
      <c r="O761" s="15">
        <f t="shared" si="55"/>
        <v>64377</v>
      </c>
      <c r="P761" s="15">
        <f t="shared" si="56"/>
        <v>31.019080659150042</v>
      </c>
      <c r="Q761" s="25">
        <v>8011</v>
      </c>
      <c r="R761" s="22">
        <v>26</v>
      </c>
      <c r="S761" s="22" t="s">
        <v>1069</v>
      </c>
      <c r="T761" s="22">
        <f t="shared" si="57"/>
        <v>12</v>
      </c>
      <c r="U761" s="22">
        <f t="shared" si="58"/>
        <v>2020</v>
      </c>
      <c r="V761" s="22" t="str">
        <f t="shared" si="59"/>
        <v>METROPOLITANA</v>
      </c>
    </row>
    <row r="762" spans="1:22" x14ac:dyDescent="0.2">
      <c r="A762" s="23" t="s">
        <v>1055</v>
      </c>
      <c r="B762" s="22" t="s">
        <v>33</v>
      </c>
      <c r="C762" s="22" t="s">
        <v>44</v>
      </c>
      <c r="D762" s="22" t="s">
        <v>35</v>
      </c>
      <c r="E762" s="24" t="s">
        <v>49</v>
      </c>
      <c r="F762" s="22" t="s">
        <v>26</v>
      </c>
      <c r="G762" s="25">
        <v>2212.8000000000002</v>
      </c>
      <c r="H762" s="22" t="s">
        <v>22</v>
      </c>
      <c r="I762" s="22">
        <v>0</v>
      </c>
      <c r="J762" s="22" t="s">
        <v>26</v>
      </c>
      <c r="K762" s="22" t="s">
        <v>23</v>
      </c>
      <c r="L762" s="22">
        <v>4</v>
      </c>
      <c r="M762" s="26">
        <v>56075</v>
      </c>
      <c r="N762" s="26">
        <v>8851</v>
      </c>
      <c r="O762" s="15">
        <f t="shared" si="55"/>
        <v>64926</v>
      </c>
      <c r="P762" s="15">
        <f t="shared" si="56"/>
        <v>29.34110629067245</v>
      </c>
      <c r="Q762" s="25">
        <v>8011</v>
      </c>
      <c r="R762" s="22">
        <v>28</v>
      </c>
      <c r="S762" s="22" t="s">
        <v>1070</v>
      </c>
      <c r="T762" s="22">
        <f t="shared" si="57"/>
        <v>12</v>
      </c>
      <c r="U762" s="22">
        <f t="shared" si="58"/>
        <v>2020</v>
      </c>
      <c r="V762" s="22" t="str">
        <f t="shared" si="59"/>
        <v>METROPOLITANA</v>
      </c>
    </row>
    <row r="763" spans="1:22" x14ac:dyDescent="0.2">
      <c r="A763" s="11" t="s">
        <v>1071</v>
      </c>
      <c r="B763" s="12" t="s">
        <v>54</v>
      </c>
      <c r="C763" s="12" t="s">
        <v>55</v>
      </c>
      <c r="D763" s="12" t="s">
        <v>118</v>
      </c>
      <c r="E763" s="13" t="s">
        <v>119</v>
      </c>
      <c r="F763" s="12" t="s">
        <v>66</v>
      </c>
      <c r="G763" s="14">
        <v>14371.999999999991</v>
      </c>
      <c r="H763" s="12" t="s">
        <v>85</v>
      </c>
      <c r="I763" s="12">
        <v>1</v>
      </c>
      <c r="J763" s="12" t="s">
        <v>66</v>
      </c>
      <c r="K763" s="12" t="s">
        <v>75</v>
      </c>
      <c r="L763" s="12">
        <v>0</v>
      </c>
      <c r="M763" s="15">
        <v>380000</v>
      </c>
      <c r="N763" s="15">
        <v>0</v>
      </c>
      <c r="O763" s="15">
        <f t="shared" si="55"/>
        <v>380000</v>
      </c>
      <c r="P763" s="15">
        <f t="shared" si="56"/>
        <v>26.440300584469821</v>
      </c>
      <c r="Q763" s="14">
        <v>25000</v>
      </c>
      <c r="R763" s="12">
        <v>57</v>
      </c>
      <c r="S763" s="12" t="s">
        <v>1072</v>
      </c>
      <c r="T763" s="22">
        <f t="shared" si="57"/>
        <v>12</v>
      </c>
      <c r="U763" s="22">
        <f t="shared" si="58"/>
        <v>2020</v>
      </c>
      <c r="V763" s="22" t="str">
        <f t="shared" si="59"/>
        <v>REGIONES</v>
      </c>
    </row>
    <row r="764" spans="1:22" x14ac:dyDescent="0.2">
      <c r="A764" s="11" t="s">
        <v>1071</v>
      </c>
      <c r="B764" s="12" t="s">
        <v>18</v>
      </c>
      <c r="C764" s="12" t="s">
        <v>50</v>
      </c>
      <c r="D764" s="12" t="s">
        <v>1073</v>
      </c>
      <c r="E764" s="13" t="s">
        <v>64</v>
      </c>
      <c r="F764" s="12" t="s">
        <v>26</v>
      </c>
      <c r="G764" s="14">
        <v>10597.73</v>
      </c>
      <c r="H764" s="12" t="s">
        <v>65</v>
      </c>
      <c r="I764" s="12">
        <v>1</v>
      </c>
      <c r="J764" s="12" t="s">
        <v>26</v>
      </c>
      <c r="K764" s="12" t="s">
        <v>23</v>
      </c>
      <c r="L764" s="12">
        <v>4</v>
      </c>
      <c r="M764" s="15">
        <v>74184</v>
      </c>
      <c r="N764" s="15">
        <f>G764*3</f>
        <v>31793.19</v>
      </c>
      <c r="O764" s="15">
        <f t="shared" si="55"/>
        <v>105977.19</v>
      </c>
      <c r="P764" s="15">
        <f t="shared" si="56"/>
        <v>9.9999896204187131</v>
      </c>
      <c r="Q764" s="14">
        <v>8011</v>
      </c>
      <c r="R764" s="12">
        <v>100</v>
      </c>
      <c r="S764" s="12" t="s">
        <v>1074</v>
      </c>
      <c r="T764" s="22">
        <f t="shared" si="57"/>
        <v>12</v>
      </c>
      <c r="U764" s="22">
        <f t="shared" si="58"/>
        <v>2020</v>
      </c>
      <c r="V764" s="22" t="str">
        <f t="shared" si="59"/>
        <v>METROPOLITANA</v>
      </c>
    </row>
    <row r="765" spans="1:22" x14ac:dyDescent="0.2">
      <c r="A765" s="11" t="s">
        <v>1071</v>
      </c>
      <c r="B765" s="12" t="s">
        <v>18</v>
      </c>
      <c r="C765" s="12" t="s">
        <v>57</v>
      </c>
      <c r="D765" s="12" t="s">
        <v>121</v>
      </c>
      <c r="E765" s="13" t="s">
        <v>122</v>
      </c>
      <c r="F765" s="12" t="s">
        <v>458</v>
      </c>
      <c r="G765" s="14">
        <v>5766.6900000000014</v>
      </c>
      <c r="H765" s="12" t="s">
        <v>85</v>
      </c>
      <c r="I765" s="12">
        <v>1</v>
      </c>
      <c r="J765" s="12" t="s">
        <v>458</v>
      </c>
      <c r="K765" s="12" t="s">
        <v>75</v>
      </c>
      <c r="L765" s="12">
        <v>0</v>
      </c>
      <c r="M765" s="15">
        <v>400000</v>
      </c>
      <c r="N765" s="15">
        <v>0</v>
      </c>
      <c r="O765" s="15">
        <f t="shared" si="55"/>
        <v>400000</v>
      </c>
      <c r="P765" s="15">
        <f t="shared" si="56"/>
        <v>69.363881186607898</v>
      </c>
      <c r="Q765" s="14">
        <v>25000</v>
      </c>
      <c r="R765" s="12">
        <v>23</v>
      </c>
      <c r="S765" s="12" t="s">
        <v>1075</v>
      </c>
      <c r="T765" s="22">
        <f t="shared" si="57"/>
        <v>12</v>
      </c>
      <c r="U765" s="22">
        <f t="shared" si="58"/>
        <v>2020</v>
      </c>
      <c r="V765" s="22" t="str">
        <f t="shared" si="59"/>
        <v>REGIONES</v>
      </c>
    </row>
    <row r="766" spans="1:22" x14ac:dyDescent="0.2">
      <c r="A766" s="11" t="s">
        <v>1071</v>
      </c>
      <c r="B766" s="12" t="s">
        <v>18</v>
      </c>
      <c r="C766" s="12" t="s">
        <v>57</v>
      </c>
      <c r="D766" s="12" t="s">
        <v>37</v>
      </c>
      <c r="E766" s="13" t="s">
        <v>40</v>
      </c>
      <c r="F766" s="12" t="s">
        <v>120</v>
      </c>
      <c r="G766" s="14">
        <v>4675.21</v>
      </c>
      <c r="H766" s="12" t="s">
        <v>22</v>
      </c>
      <c r="I766" s="12">
        <v>0</v>
      </c>
      <c r="J766" s="12" t="s">
        <v>120</v>
      </c>
      <c r="K766" s="12" t="s">
        <v>23</v>
      </c>
      <c r="L766" s="12">
        <v>5</v>
      </c>
      <c r="M766" s="15">
        <v>70000</v>
      </c>
      <c r="N766" s="15">
        <f>G766*4</f>
        <v>18700.84</v>
      </c>
      <c r="O766" s="15">
        <f t="shared" si="55"/>
        <v>88700.84</v>
      </c>
      <c r="P766" s="15">
        <f t="shared" si="56"/>
        <v>18.972589466569413</v>
      </c>
      <c r="Q766" s="14">
        <v>12000</v>
      </c>
      <c r="R766" s="12">
        <v>39</v>
      </c>
      <c r="S766" s="12" t="s">
        <v>1076</v>
      </c>
      <c r="T766" s="22">
        <f t="shared" si="57"/>
        <v>12</v>
      </c>
      <c r="U766" s="22">
        <f t="shared" si="58"/>
        <v>2020</v>
      </c>
      <c r="V766" s="22" t="str">
        <f t="shared" si="59"/>
        <v>METROPOLITANA</v>
      </c>
    </row>
    <row r="767" spans="1:22" x14ac:dyDescent="0.2">
      <c r="A767" s="11" t="s">
        <v>1071</v>
      </c>
      <c r="B767" s="12" t="s">
        <v>18</v>
      </c>
      <c r="C767" s="12" t="s">
        <v>19</v>
      </c>
      <c r="D767" s="12" t="s">
        <v>27</v>
      </c>
      <c r="E767" s="13" t="s">
        <v>28</v>
      </c>
      <c r="F767" s="12" t="s">
        <v>67</v>
      </c>
      <c r="G767" s="14">
        <v>14062.38</v>
      </c>
      <c r="H767" s="12" t="s">
        <v>22</v>
      </c>
      <c r="I767" s="12">
        <v>1</v>
      </c>
      <c r="J767" s="12" t="s">
        <v>67</v>
      </c>
      <c r="K767" s="12" t="s">
        <v>23</v>
      </c>
      <c r="L767" s="12">
        <v>2</v>
      </c>
      <c r="M767" s="15">
        <v>98437</v>
      </c>
      <c r="N767" s="15">
        <f>G767*4</f>
        <v>56249.52</v>
      </c>
      <c r="O767" s="15">
        <f t="shared" si="55"/>
        <v>154686.51999999999</v>
      </c>
      <c r="P767" s="15">
        <f t="shared" si="56"/>
        <v>11.000024177984097</v>
      </c>
      <c r="Q767" s="14">
        <v>5782</v>
      </c>
      <c r="R767" s="12">
        <v>100</v>
      </c>
      <c r="S767" s="12" t="s">
        <v>1077</v>
      </c>
      <c r="T767" s="22">
        <f t="shared" si="57"/>
        <v>12</v>
      </c>
      <c r="U767" s="22">
        <f t="shared" si="58"/>
        <v>2020</v>
      </c>
      <c r="V767" s="22" t="str">
        <f t="shared" si="59"/>
        <v>METROPOLITANA</v>
      </c>
    </row>
    <row r="768" spans="1:22" x14ac:dyDescent="0.2">
      <c r="A768" s="11" t="s">
        <v>1071</v>
      </c>
      <c r="B768" s="12" t="s">
        <v>18</v>
      </c>
      <c r="C768" s="12" t="s">
        <v>19</v>
      </c>
      <c r="D768" s="12" t="s">
        <v>20</v>
      </c>
      <c r="E768" s="13" t="s">
        <v>88</v>
      </c>
      <c r="F768" s="12" t="s">
        <v>67</v>
      </c>
      <c r="G768" s="14">
        <v>9153.36</v>
      </c>
      <c r="H768" s="12" t="s">
        <v>22</v>
      </c>
      <c r="I768" s="12">
        <v>0</v>
      </c>
      <c r="J768" s="12" t="s">
        <v>67</v>
      </c>
      <c r="K768" s="12" t="s">
        <v>23</v>
      </c>
      <c r="L768" s="12">
        <v>2</v>
      </c>
      <c r="M768" s="15">
        <v>64074</v>
      </c>
      <c r="N768" s="15">
        <f>G768*4</f>
        <v>36613.440000000002</v>
      </c>
      <c r="O768" s="15">
        <f t="shared" si="55"/>
        <v>100687.44</v>
      </c>
      <c r="P768" s="15">
        <f t="shared" si="56"/>
        <v>11.000052439759825</v>
      </c>
      <c r="Q768" s="14">
        <v>5782</v>
      </c>
      <c r="R768" s="12">
        <v>100</v>
      </c>
      <c r="S768" s="12" t="s">
        <v>1078</v>
      </c>
      <c r="T768" s="22">
        <f t="shared" si="57"/>
        <v>12</v>
      </c>
      <c r="U768" s="22">
        <f t="shared" si="58"/>
        <v>2020</v>
      </c>
      <c r="V768" s="22" t="str">
        <f t="shared" si="59"/>
        <v>METROPOLITANA</v>
      </c>
    </row>
    <row r="769" spans="1:22" x14ac:dyDescent="0.2">
      <c r="A769" s="11" t="s">
        <v>1071</v>
      </c>
      <c r="B769" s="12" t="s">
        <v>18</v>
      </c>
      <c r="C769" s="12" t="s">
        <v>324</v>
      </c>
      <c r="D769" s="12" t="s">
        <v>30</v>
      </c>
      <c r="E769" s="13" t="s">
        <v>31</v>
      </c>
      <c r="F769" s="12" t="s">
        <v>325</v>
      </c>
      <c r="G769" s="14">
        <v>8248.7499999999982</v>
      </c>
      <c r="H769" s="12" t="s">
        <v>32</v>
      </c>
      <c r="I769" s="12">
        <v>0</v>
      </c>
      <c r="J769" s="12" t="s">
        <v>325</v>
      </c>
      <c r="K769" s="12" t="s">
        <v>78</v>
      </c>
      <c r="L769" s="12">
        <v>0</v>
      </c>
      <c r="M769" s="15">
        <v>180000</v>
      </c>
      <c r="N769" s="15">
        <f>G769*3</f>
        <v>24746.249999999993</v>
      </c>
      <c r="O769" s="15">
        <f t="shared" si="55"/>
        <v>204746.25</v>
      </c>
      <c r="P769" s="15">
        <f t="shared" si="56"/>
        <v>24.821488104258226</v>
      </c>
      <c r="Q769" s="14">
        <v>25000</v>
      </c>
      <c r="R769" s="12">
        <v>33</v>
      </c>
      <c r="S769" s="12" t="s">
        <v>1079</v>
      </c>
      <c r="T769" s="22">
        <f t="shared" si="57"/>
        <v>12</v>
      </c>
      <c r="U769" s="22">
        <f t="shared" si="58"/>
        <v>2020</v>
      </c>
      <c r="V769" s="22" t="str">
        <f t="shared" si="59"/>
        <v>REGIONES</v>
      </c>
    </row>
    <row r="770" spans="1:22" x14ac:dyDescent="0.2">
      <c r="A770" s="11" t="s">
        <v>1071</v>
      </c>
      <c r="B770" s="12" t="s">
        <v>18</v>
      </c>
      <c r="C770" s="12" t="s">
        <v>163</v>
      </c>
      <c r="D770" s="12" t="s">
        <v>37</v>
      </c>
      <c r="E770" s="13" t="s">
        <v>40</v>
      </c>
      <c r="F770" s="12" t="s">
        <v>165</v>
      </c>
      <c r="G770" s="14">
        <v>7262.3500000000013</v>
      </c>
      <c r="H770" s="12" t="s">
        <v>22</v>
      </c>
      <c r="I770" s="12">
        <v>0</v>
      </c>
      <c r="J770" s="12" t="s">
        <v>165</v>
      </c>
      <c r="K770" s="12" t="s">
        <v>23</v>
      </c>
      <c r="L770" s="12">
        <v>4</v>
      </c>
      <c r="M770" s="15">
        <v>56075</v>
      </c>
      <c r="N770" s="15">
        <f>G770*4</f>
        <v>29049.400000000005</v>
      </c>
      <c r="O770" s="15">
        <f t="shared" ref="O770:O833" si="60">SUM(M770:N770)</f>
        <v>85124.400000000009</v>
      </c>
      <c r="P770" s="15">
        <f t="shared" ref="P770:P833" si="61">O770/G770</f>
        <v>11.721329872561912</v>
      </c>
      <c r="Q770" s="14">
        <v>8011</v>
      </c>
      <c r="R770" s="12">
        <v>91</v>
      </c>
      <c r="S770" s="12" t="s">
        <v>1080</v>
      </c>
      <c r="T770" s="22">
        <f t="shared" ref="T770:T833" si="62">MONTH(A770)</f>
        <v>12</v>
      </c>
      <c r="U770" s="22">
        <f t="shared" ref="U770:U833" si="63">YEAR(A770)</f>
        <v>2020</v>
      </c>
      <c r="V770" s="22" t="str">
        <f t="shared" ref="V770:V833" si="64">IF(K770="METROPOLITANA DE SANTIAGO","METROPOLITANA","REGIONES")</f>
        <v>METROPOLITANA</v>
      </c>
    </row>
    <row r="771" spans="1:22" x14ac:dyDescent="0.2">
      <c r="A771" s="11" t="s">
        <v>1071</v>
      </c>
      <c r="B771" s="12" t="s">
        <v>18</v>
      </c>
      <c r="C771" s="12" t="s">
        <v>87</v>
      </c>
      <c r="D771" s="12" t="s">
        <v>188</v>
      </c>
      <c r="E771" s="13" t="s">
        <v>189</v>
      </c>
      <c r="F771" s="12" t="s">
        <v>51</v>
      </c>
      <c r="G771" s="14">
        <v>2999.98</v>
      </c>
      <c r="H771" s="12" t="s">
        <v>190</v>
      </c>
      <c r="I771" s="12">
        <v>0</v>
      </c>
      <c r="J771" s="12" t="s">
        <v>51</v>
      </c>
      <c r="K771" s="12" t="s">
        <v>23</v>
      </c>
      <c r="L771" s="12">
        <v>4</v>
      </c>
      <c r="M771" s="15">
        <v>56075</v>
      </c>
      <c r="N771" s="15">
        <v>0</v>
      </c>
      <c r="O771" s="15">
        <f t="shared" si="60"/>
        <v>56075</v>
      </c>
      <c r="P771" s="15">
        <f t="shared" si="61"/>
        <v>18.691791278608523</v>
      </c>
      <c r="Q771" s="14">
        <v>8011</v>
      </c>
      <c r="R771" s="12">
        <v>37</v>
      </c>
      <c r="S771" s="12" t="s">
        <v>1081</v>
      </c>
      <c r="T771" s="22">
        <f t="shared" si="62"/>
        <v>12</v>
      </c>
      <c r="U771" s="22">
        <f t="shared" si="63"/>
        <v>2020</v>
      </c>
      <c r="V771" s="22" t="str">
        <f t="shared" si="64"/>
        <v>METROPOLITANA</v>
      </c>
    </row>
    <row r="772" spans="1:22" x14ac:dyDescent="0.2">
      <c r="A772" s="11" t="s">
        <v>1071</v>
      </c>
      <c r="B772" s="12" t="s">
        <v>33</v>
      </c>
      <c r="C772" s="12" t="s">
        <v>128</v>
      </c>
      <c r="D772" s="12" t="s">
        <v>38</v>
      </c>
      <c r="E772" s="13" t="s">
        <v>42</v>
      </c>
      <c r="F772" s="12" t="s">
        <v>129</v>
      </c>
      <c r="G772" s="14">
        <v>5124.0000000000009</v>
      </c>
      <c r="H772" s="12" t="s">
        <v>43</v>
      </c>
      <c r="I772" s="12">
        <v>0</v>
      </c>
      <c r="J772" s="12" t="s">
        <v>129</v>
      </c>
      <c r="K772" s="12" t="s">
        <v>23</v>
      </c>
      <c r="L772" s="12">
        <v>1</v>
      </c>
      <c r="M772" s="15">
        <v>35868</v>
      </c>
      <c r="N772" s="15">
        <v>15372</v>
      </c>
      <c r="O772" s="15">
        <f t="shared" si="60"/>
        <v>51240</v>
      </c>
      <c r="P772" s="15">
        <f t="shared" si="61"/>
        <v>9.9999999999999982</v>
      </c>
      <c r="Q772" s="14">
        <v>4821</v>
      </c>
      <c r="R772" s="12">
        <v>100</v>
      </c>
      <c r="S772" s="12" t="s">
        <v>1082</v>
      </c>
      <c r="T772" s="22">
        <f t="shared" si="62"/>
        <v>12</v>
      </c>
      <c r="U772" s="22">
        <f t="shared" si="63"/>
        <v>2020</v>
      </c>
      <c r="V772" s="22" t="str">
        <f t="shared" si="64"/>
        <v>METROPOLITANA</v>
      </c>
    </row>
    <row r="773" spans="1:22" x14ac:dyDescent="0.2">
      <c r="A773" s="11" t="s">
        <v>1071</v>
      </c>
      <c r="B773" s="12" t="s">
        <v>33</v>
      </c>
      <c r="C773" s="12" t="s">
        <v>128</v>
      </c>
      <c r="D773" s="12" t="s">
        <v>63</v>
      </c>
      <c r="E773" s="13" t="s">
        <v>64</v>
      </c>
      <c r="F773" s="12" t="s">
        <v>34</v>
      </c>
      <c r="G773" s="14">
        <v>5338.7999999999984</v>
      </c>
      <c r="H773" s="12" t="s">
        <v>65</v>
      </c>
      <c r="I773" s="12">
        <v>0</v>
      </c>
      <c r="J773" s="12" t="s">
        <v>34</v>
      </c>
      <c r="K773" s="12" t="s">
        <v>23</v>
      </c>
      <c r="L773" s="12">
        <v>1</v>
      </c>
      <c r="M773" s="15">
        <v>37372</v>
      </c>
      <c r="N773" s="15">
        <v>16016</v>
      </c>
      <c r="O773" s="15">
        <f t="shared" si="60"/>
        <v>53388</v>
      </c>
      <c r="P773" s="15">
        <f t="shared" si="61"/>
        <v>10.000000000000004</v>
      </c>
      <c r="Q773" s="14">
        <v>4821</v>
      </c>
      <c r="R773" s="12">
        <v>100</v>
      </c>
      <c r="S773" s="12" t="s">
        <v>1083</v>
      </c>
      <c r="T773" s="22">
        <f t="shared" si="62"/>
        <v>12</v>
      </c>
      <c r="U773" s="22">
        <f t="shared" si="63"/>
        <v>2020</v>
      </c>
      <c r="V773" s="22" t="str">
        <f t="shared" si="64"/>
        <v>METROPOLITANA</v>
      </c>
    </row>
    <row r="774" spans="1:22" x14ac:dyDescent="0.2">
      <c r="A774" s="11" t="s">
        <v>1071</v>
      </c>
      <c r="B774" s="12" t="s">
        <v>33</v>
      </c>
      <c r="C774" s="12" t="s">
        <v>128</v>
      </c>
      <c r="D774" s="12" t="s">
        <v>30</v>
      </c>
      <c r="E774" s="13" t="s">
        <v>31</v>
      </c>
      <c r="F774" s="12" t="s">
        <v>34</v>
      </c>
      <c r="G774" s="14">
        <v>6400.8000000000011</v>
      </c>
      <c r="H774" s="12" t="s">
        <v>32</v>
      </c>
      <c r="I774" s="12">
        <v>0</v>
      </c>
      <c r="J774" s="12" t="s">
        <v>34</v>
      </c>
      <c r="K774" s="12" t="s">
        <v>23</v>
      </c>
      <c r="L774" s="12">
        <v>1</v>
      </c>
      <c r="M774" s="15">
        <v>44806</v>
      </c>
      <c r="N774" s="15">
        <v>19202</v>
      </c>
      <c r="O774" s="15">
        <f t="shared" si="60"/>
        <v>64008</v>
      </c>
      <c r="P774" s="15">
        <f t="shared" si="61"/>
        <v>9.9999999999999982</v>
      </c>
      <c r="Q774" s="14">
        <v>4821</v>
      </c>
      <c r="R774" s="12">
        <v>100</v>
      </c>
      <c r="S774" s="12" t="s">
        <v>1084</v>
      </c>
      <c r="T774" s="22">
        <f t="shared" si="62"/>
        <v>12</v>
      </c>
      <c r="U774" s="22">
        <f t="shared" si="63"/>
        <v>2020</v>
      </c>
      <c r="V774" s="22" t="str">
        <f t="shared" si="64"/>
        <v>METROPOLITANA</v>
      </c>
    </row>
    <row r="775" spans="1:22" x14ac:dyDescent="0.2">
      <c r="A775" s="11" t="s">
        <v>1071</v>
      </c>
      <c r="B775" s="12" t="s">
        <v>33</v>
      </c>
      <c r="C775" s="12" t="s">
        <v>128</v>
      </c>
      <c r="D775" s="12" t="s">
        <v>47</v>
      </c>
      <c r="E775" s="13" t="s">
        <v>21</v>
      </c>
      <c r="F775" s="12" t="s">
        <v>129</v>
      </c>
      <c r="G775" s="14">
        <v>5124.0000000000009</v>
      </c>
      <c r="H775" s="12" t="s">
        <v>22</v>
      </c>
      <c r="I775" s="12">
        <v>0</v>
      </c>
      <c r="J775" s="12" t="s">
        <v>129</v>
      </c>
      <c r="K775" s="12" t="s">
        <v>23</v>
      </c>
      <c r="L775" s="12">
        <v>1</v>
      </c>
      <c r="M775" s="15">
        <v>35868</v>
      </c>
      <c r="N775" s="15">
        <v>20496</v>
      </c>
      <c r="O775" s="15">
        <f t="shared" si="60"/>
        <v>56364</v>
      </c>
      <c r="P775" s="15">
        <f t="shared" si="61"/>
        <v>10.999999999999998</v>
      </c>
      <c r="Q775" s="14">
        <v>4821</v>
      </c>
      <c r="R775" s="12">
        <v>100</v>
      </c>
      <c r="S775" s="12" t="s">
        <v>1085</v>
      </c>
      <c r="T775" s="22">
        <f t="shared" si="62"/>
        <v>12</v>
      </c>
      <c r="U775" s="22">
        <f t="shared" si="63"/>
        <v>2020</v>
      </c>
      <c r="V775" s="22" t="str">
        <f t="shared" si="64"/>
        <v>METROPOLITANA</v>
      </c>
    </row>
    <row r="776" spans="1:22" x14ac:dyDescent="0.2">
      <c r="A776" s="11" t="s">
        <v>1071</v>
      </c>
      <c r="B776" s="12" t="s">
        <v>33</v>
      </c>
      <c r="C776" s="12" t="s">
        <v>128</v>
      </c>
      <c r="D776" s="12" t="s">
        <v>41</v>
      </c>
      <c r="E776" s="13" t="s">
        <v>25</v>
      </c>
      <c r="F776" s="12" t="s">
        <v>129</v>
      </c>
      <c r="G776" s="14">
        <v>8427.5999999999985</v>
      </c>
      <c r="H776" s="12" t="s">
        <v>43</v>
      </c>
      <c r="I776" s="12">
        <v>0</v>
      </c>
      <c r="J776" s="12" t="s">
        <v>129</v>
      </c>
      <c r="K776" s="12" t="s">
        <v>23</v>
      </c>
      <c r="L776" s="12">
        <v>1</v>
      </c>
      <c r="M776" s="15">
        <v>58993</v>
      </c>
      <c r="N776" s="15">
        <v>25283</v>
      </c>
      <c r="O776" s="15">
        <f t="shared" si="60"/>
        <v>84276</v>
      </c>
      <c r="P776" s="15">
        <f t="shared" si="61"/>
        <v>10.000000000000002</v>
      </c>
      <c r="Q776" s="14">
        <v>4821</v>
      </c>
      <c r="R776" s="12">
        <v>100</v>
      </c>
      <c r="S776" s="12" t="s">
        <v>1086</v>
      </c>
      <c r="T776" s="22">
        <f t="shared" si="62"/>
        <v>12</v>
      </c>
      <c r="U776" s="22">
        <f t="shared" si="63"/>
        <v>2020</v>
      </c>
      <c r="V776" s="22" t="str">
        <f t="shared" si="64"/>
        <v>METROPOLITANA</v>
      </c>
    </row>
    <row r="777" spans="1:22" x14ac:dyDescent="0.2">
      <c r="A777" s="11" t="s">
        <v>1071</v>
      </c>
      <c r="B777" s="12" t="s">
        <v>33</v>
      </c>
      <c r="C777" s="12" t="s">
        <v>128</v>
      </c>
      <c r="D777" s="12" t="s">
        <v>41</v>
      </c>
      <c r="E777" s="13" t="s">
        <v>42</v>
      </c>
      <c r="F777" s="12" t="s">
        <v>34</v>
      </c>
      <c r="G777" s="14">
        <v>7113.6000000000022</v>
      </c>
      <c r="H777" s="12" t="s">
        <v>43</v>
      </c>
      <c r="I777" s="12">
        <v>0</v>
      </c>
      <c r="J777" s="12" t="s">
        <v>34</v>
      </c>
      <c r="K777" s="12" t="s">
        <v>23</v>
      </c>
      <c r="L777" s="12">
        <v>1</v>
      </c>
      <c r="M777" s="15">
        <v>49795</v>
      </c>
      <c r="N777" s="15">
        <v>21341</v>
      </c>
      <c r="O777" s="15">
        <f t="shared" si="60"/>
        <v>71136</v>
      </c>
      <c r="P777" s="15">
        <f t="shared" si="61"/>
        <v>9.9999999999999964</v>
      </c>
      <c r="Q777" s="14">
        <v>4821</v>
      </c>
      <c r="R777" s="12">
        <v>100</v>
      </c>
      <c r="S777" s="12" t="s">
        <v>1087</v>
      </c>
      <c r="T777" s="22">
        <f t="shared" si="62"/>
        <v>12</v>
      </c>
      <c r="U777" s="22">
        <f t="shared" si="63"/>
        <v>2020</v>
      </c>
      <c r="V777" s="22" t="str">
        <f t="shared" si="64"/>
        <v>METROPOLITANA</v>
      </c>
    </row>
    <row r="778" spans="1:22" x14ac:dyDescent="0.2">
      <c r="A778" s="11" t="s">
        <v>1071</v>
      </c>
      <c r="B778" s="12" t="s">
        <v>33</v>
      </c>
      <c r="C778" s="12" t="s">
        <v>36</v>
      </c>
      <c r="D778" s="12" t="s">
        <v>63</v>
      </c>
      <c r="E778" s="13" t="s">
        <v>64</v>
      </c>
      <c r="F778" s="12" t="s">
        <v>376</v>
      </c>
      <c r="G778" s="14">
        <v>7113.6000000000022</v>
      </c>
      <c r="H778" s="12" t="s">
        <v>65</v>
      </c>
      <c r="I778" s="12">
        <v>0</v>
      </c>
      <c r="J778" s="12" t="s">
        <v>377</v>
      </c>
      <c r="K778" s="12" t="s">
        <v>23</v>
      </c>
      <c r="L778" s="12">
        <v>4</v>
      </c>
      <c r="M778" s="15">
        <v>56075</v>
      </c>
      <c r="N778" s="15">
        <v>0</v>
      </c>
      <c r="O778" s="15">
        <f t="shared" si="60"/>
        <v>56075</v>
      </c>
      <c r="P778" s="15">
        <f t="shared" si="61"/>
        <v>7.8827878992352653</v>
      </c>
      <c r="Q778" s="14">
        <v>8011</v>
      </c>
      <c r="R778" s="12">
        <v>89</v>
      </c>
      <c r="S778" s="12" t="s">
        <v>1088</v>
      </c>
      <c r="T778" s="22">
        <f t="shared" si="62"/>
        <v>12</v>
      </c>
      <c r="U778" s="22">
        <f t="shared" si="63"/>
        <v>2020</v>
      </c>
      <c r="V778" s="22" t="str">
        <f t="shared" si="64"/>
        <v>METROPOLITANA</v>
      </c>
    </row>
    <row r="779" spans="1:22" x14ac:dyDescent="0.2">
      <c r="A779" s="11" t="s">
        <v>1071</v>
      </c>
      <c r="B779" s="12" t="s">
        <v>33</v>
      </c>
      <c r="C779" s="12" t="s">
        <v>44</v>
      </c>
      <c r="D779" s="12" t="s">
        <v>56</v>
      </c>
      <c r="E779" s="13" t="s">
        <v>49</v>
      </c>
      <c r="F779" s="12" t="s">
        <v>46</v>
      </c>
      <c r="G779" s="14">
        <v>2450.4</v>
      </c>
      <c r="H779" s="12" t="s">
        <v>22</v>
      </c>
      <c r="I779" s="12">
        <v>0</v>
      </c>
      <c r="J779" s="12" t="s">
        <v>46</v>
      </c>
      <c r="K779" s="12" t="s">
        <v>23</v>
      </c>
      <c r="L779" s="12">
        <v>2</v>
      </c>
      <c r="M779" s="15">
        <v>40475</v>
      </c>
      <c r="N779" s="15">
        <v>12000</v>
      </c>
      <c r="O779" s="15">
        <f t="shared" si="60"/>
        <v>52475</v>
      </c>
      <c r="P779" s="15">
        <f t="shared" si="61"/>
        <v>21.414871041462618</v>
      </c>
      <c r="Q779" s="14">
        <v>5782</v>
      </c>
      <c r="R779" s="12">
        <v>42</v>
      </c>
      <c r="S779" s="12" t="s">
        <v>1089</v>
      </c>
      <c r="T779" s="22">
        <f t="shared" si="62"/>
        <v>12</v>
      </c>
      <c r="U779" s="22">
        <f t="shared" si="63"/>
        <v>2020</v>
      </c>
      <c r="V779" s="22" t="str">
        <f t="shared" si="64"/>
        <v>METROPOLITANA</v>
      </c>
    </row>
    <row r="780" spans="1:22" x14ac:dyDescent="0.2">
      <c r="A780" s="11" t="s">
        <v>1071</v>
      </c>
      <c r="B780" s="12" t="s">
        <v>33</v>
      </c>
      <c r="C780" s="12" t="s">
        <v>44</v>
      </c>
      <c r="D780" s="12" t="s">
        <v>188</v>
      </c>
      <c r="E780" s="13" t="s">
        <v>189</v>
      </c>
      <c r="F780" s="12" t="s">
        <v>34</v>
      </c>
      <c r="G780" s="14">
        <v>1087.8</v>
      </c>
      <c r="H780" s="12" t="s">
        <v>190</v>
      </c>
      <c r="I780" s="12">
        <v>0</v>
      </c>
      <c r="J780" s="12" t="s">
        <v>34</v>
      </c>
      <c r="K780" s="12" t="s">
        <v>23</v>
      </c>
      <c r="L780" s="12">
        <v>1</v>
      </c>
      <c r="M780" s="15">
        <v>33750</v>
      </c>
      <c r="N780" s="15">
        <v>0</v>
      </c>
      <c r="O780" s="15">
        <f t="shared" si="60"/>
        <v>33750</v>
      </c>
      <c r="P780" s="15">
        <f t="shared" si="61"/>
        <v>31.025923883066742</v>
      </c>
      <c r="Q780" s="14">
        <v>4821</v>
      </c>
      <c r="R780" s="12">
        <v>23</v>
      </c>
      <c r="S780" s="12" t="s">
        <v>1090</v>
      </c>
      <c r="T780" s="22">
        <f t="shared" si="62"/>
        <v>12</v>
      </c>
      <c r="U780" s="22">
        <f t="shared" si="63"/>
        <v>2020</v>
      </c>
      <c r="V780" s="22" t="str">
        <f t="shared" si="64"/>
        <v>METROPOLITANA</v>
      </c>
    </row>
    <row r="781" spans="1:22" x14ac:dyDescent="0.2">
      <c r="A781" s="11" t="s">
        <v>1071</v>
      </c>
      <c r="B781" s="12" t="s">
        <v>33</v>
      </c>
      <c r="C781" s="12" t="s">
        <v>44</v>
      </c>
      <c r="D781" s="12" t="s">
        <v>45</v>
      </c>
      <c r="E781" s="13" t="s">
        <v>21</v>
      </c>
      <c r="F781" s="12" t="s">
        <v>26</v>
      </c>
      <c r="G781" s="14">
        <v>1087.8</v>
      </c>
      <c r="H781" s="12" t="s">
        <v>22</v>
      </c>
      <c r="I781" s="12">
        <v>0</v>
      </c>
      <c r="J781" s="12" t="s">
        <v>26</v>
      </c>
      <c r="K781" s="12" t="s">
        <v>23</v>
      </c>
      <c r="L781" s="12">
        <v>4</v>
      </c>
      <c r="M781" s="15">
        <v>56075</v>
      </c>
      <c r="N781" s="15">
        <v>12000</v>
      </c>
      <c r="O781" s="15">
        <f t="shared" si="60"/>
        <v>68075</v>
      </c>
      <c r="P781" s="15">
        <f t="shared" si="61"/>
        <v>62.580437580437582</v>
      </c>
      <c r="Q781" s="14">
        <v>8011</v>
      </c>
      <c r="R781" s="12">
        <v>14</v>
      </c>
      <c r="S781" s="12" t="s">
        <v>1091</v>
      </c>
      <c r="T781" s="22">
        <f t="shared" si="62"/>
        <v>12</v>
      </c>
      <c r="U781" s="22">
        <f t="shared" si="63"/>
        <v>2020</v>
      </c>
      <c r="V781" s="22" t="str">
        <f t="shared" si="64"/>
        <v>METROPOLITANA</v>
      </c>
    </row>
    <row r="782" spans="1:22" x14ac:dyDescent="0.2">
      <c r="A782" s="11" t="s">
        <v>1071</v>
      </c>
      <c r="B782" s="12" t="s">
        <v>33</v>
      </c>
      <c r="C782" s="12" t="s">
        <v>44</v>
      </c>
      <c r="D782" s="12" t="s">
        <v>47</v>
      </c>
      <c r="E782" s="13" t="s">
        <v>88</v>
      </c>
      <c r="F782" s="12" t="s">
        <v>48</v>
      </c>
      <c r="G782" s="14">
        <v>3375</v>
      </c>
      <c r="H782" s="12" t="s">
        <v>22</v>
      </c>
      <c r="I782" s="12">
        <v>0</v>
      </c>
      <c r="J782" s="12" t="s">
        <v>48</v>
      </c>
      <c r="K782" s="12" t="s">
        <v>23</v>
      </c>
      <c r="L782" s="12">
        <v>1</v>
      </c>
      <c r="M782" s="15">
        <v>33750</v>
      </c>
      <c r="N782" s="15">
        <v>13500</v>
      </c>
      <c r="O782" s="15">
        <f t="shared" si="60"/>
        <v>47250</v>
      </c>
      <c r="P782" s="15">
        <f t="shared" si="61"/>
        <v>14</v>
      </c>
      <c r="Q782" s="14">
        <v>4821</v>
      </c>
      <c r="R782" s="12">
        <v>70</v>
      </c>
      <c r="S782" s="12" t="s">
        <v>1092</v>
      </c>
      <c r="T782" s="22">
        <f t="shared" si="62"/>
        <v>12</v>
      </c>
      <c r="U782" s="22">
        <f t="shared" si="63"/>
        <v>2020</v>
      </c>
      <c r="V782" s="22" t="str">
        <f t="shared" si="64"/>
        <v>METROPOLITANA</v>
      </c>
    </row>
    <row r="783" spans="1:22" x14ac:dyDescent="0.2">
      <c r="A783" s="11" t="s">
        <v>1071</v>
      </c>
      <c r="B783" s="12" t="s">
        <v>33</v>
      </c>
      <c r="C783" s="12" t="s">
        <v>44</v>
      </c>
      <c r="D783" s="12" t="s">
        <v>35</v>
      </c>
      <c r="E783" s="13" t="s">
        <v>52</v>
      </c>
      <c r="F783" s="12" t="s">
        <v>51</v>
      </c>
      <c r="G783" s="14">
        <v>2450.4</v>
      </c>
      <c r="H783" s="12" t="s">
        <v>22</v>
      </c>
      <c r="I783" s="12">
        <v>0</v>
      </c>
      <c r="J783" s="12" t="s">
        <v>51</v>
      </c>
      <c r="K783" s="12" t="s">
        <v>23</v>
      </c>
      <c r="L783" s="12">
        <v>4</v>
      </c>
      <c r="M783" s="15">
        <v>56075</v>
      </c>
      <c r="N783" s="15">
        <v>12000</v>
      </c>
      <c r="O783" s="15">
        <f t="shared" si="60"/>
        <v>68075</v>
      </c>
      <c r="P783" s="15">
        <f t="shared" si="61"/>
        <v>27.781178583088476</v>
      </c>
      <c r="Q783" s="14">
        <v>8011</v>
      </c>
      <c r="R783" s="12">
        <v>31</v>
      </c>
      <c r="S783" s="12" t="s">
        <v>1093</v>
      </c>
      <c r="T783" s="22">
        <f t="shared" si="62"/>
        <v>12</v>
      </c>
      <c r="U783" s="22">
        <f t="shared" si="63"/>
        <v>2020</v>
      </c>
      <c r="V783" s="22" t="str">
        <f t="shared" si="64"/>
        <v>METROPOLITANA</v>
      </c>
    </row>
    <row r="784" spans="1:22" x14ac:dyDescent="0.2">
      <c r="A784" s="23" t="s">
        <v>1094</v>
      </c>
      <c r="B784" s="22" t="s">
        <v>18</v>
      </c>
      <c r="C784" s="22" t="s">
        <v>50</v>
      </c>
      <c r="D784" s="22" t="s">
        <v>41</v>
      </c>
      <c r="E784" s="24" t="s">
        <v>42</v>
      </c>
      <c r="F784" s="22" t="s">
        <v>26</v>
      </c>
      <c r="G784" s="25">
        <v>4072.17</v>
      </c>
      <c r="H784" s="22" t="s">
        <v>43</v>
      </c>
      <c r="I784" s="22">
        <v>0</v>
      </c>
      <c r="J784" s="22" t="s">
        <v>26</v>
      </c>
      <c r="K784" s="22" t="s">
        <v>23</v>
      </c>
      <c r="L784" s="22">
        <v>4</v>
      </c>
      <c r="M784" s="26">
        <v>56075</v>
      </c>
      <c r="N784" s="26">
        <f>G784*3</f>
        <v>12216.51</v>
      </c>
      <c r="O784" s="15">
        <f t="shared" si="60"/>
        <v>68291.509999999995</v>
      </c>
      <c r="P784" s="15">
        <f t="shared" si="61"/>
        <v>16.770299373552675</v>
      </c>
      <c r="Q784" s="25">
        <v>8011</v>
      </c>
      <c r="R784" s="22">
        <v>51</v>
      </c>
      <c r="S784" s="22" t="s">
        <v>1095</v>
      </c>
      <c r="T784" s="22">
        <f t="shared" si="62"/>
        <v>12</v>
      </c>
      <c r="U784" s="22">
        <f t="shared" si="63"/>
        <v>2020</v>
      </c>
      <c r="V784" s="22" t="str">
        <f t="shared" si="64"/>
        <v>METROPOLITANA</v>
      </c>
    </row>
    <row r="785" spans="1:22" x14ac:dyDescent="0.2">
      <c r="A785" s="23" t="s">
        <v>1094</v>
      </c>
      <c r="B785" s="22" t="s">
        <v>18</v>
      </c>
      <c r="C785" s="22" t="s">
        <v>160</v>
      </c>
      <c r="D785" s="22" t="s">
        <v>37</v>
      </c>
      <c r="E785" s="24" t="s">
        <v>40</v>
      </c>
      <c r="F785" s="22" t="s">
        <v>161</v>
      </c>
      <c r="G785" s="25">
        <v>6575</v>
      </c>
      <c r="H785" s="22" t="s">
        <v>22</v>
      </c>
      <c r="I785" s="22">
        <v>0</v>
      </c>
      <c r="J785" s="22" t="s">
        <v>161</v>
      </c>
      <c r="K785" s="22" t="s">
        <v>23</v>
      </c>
      <c r="L785" s="22">
        <v>5</v>
      </c>
      <c r="M785" s="26">
        <v>70000</v>
      </c>
      <c r="N785" s="26">
        <f>G785*4</f>
        <v>26300</v>
      </c>
      <c r="O785" s="15">
        <f t="shared" si="60"/>
        <v>96300</v>
      </c>
      <c r="P785" s="15">
        <f t="shared" si="61"/>
        <v>14.64638783269962</v>
      </c>
      <c r="Q785" s="25">
        <v>12000</v>
      </c>
      <c r="R785" s="22">
        <v>55</v>
      </c>
      <c r="S785" s="22" t="s">
        <v>1096</v>
      </c>
      <c r="T785" s="22">
        <f t="shared" si="62"/>
        <v>12</v>
      </c>
      <c r="U785" s="22">
        <f t="shared" si="63"/>
        <v>2020</v>
      </c>
      <c r="V785" s="22" t="str">
        <f t="shared" si="64"/>
        <v>METROPOLITANA</v>
      </c>
    </row>
    <row r="786" spans="1:22" x14ac:dyDescent="0.2">
      <c r="A786" s="23" t="s">
        <v>1094</v>
      </c>
      <c r="B786" s="22" t="s">
        <v>18</v>
      </c>
      <c r="C786" s="22" t="s">
        <v>19</v>
      </c>
      <c r="D786" s="22" t="s">
        <v>1097</v>
      </c>
      <c r="E786" s="24" t="s">
        <v>1098</v>
      </c>
      <c r="F786" s="22" t="s">
        <v>407</v>
      </c>
      <c r="G786" s="25">
        <v>8028.8500000000022</v>
      </c>
      <c r="H786" s="22" t="s">
        <v>24</v>
      </c>
      <c r="I786" s="22">
        <v>1</v>
      </c>
      <c r="J786" s="22" t="s">
        <v>407</v>
      </c>
      <c r="K786" s="22" t="s">
        <v>408</v>
      </c>
      <c r="L786" s="22">
        <v>0</v>
      </c>
      <c r="M786" s="26">
        <v>600000</v>
      </c>
      <c r="N786" s="26">
        <v>0</v>
      </c>
      <c r="O786" s="15">
        <f t="shared" si="60"/>
        <v>600000</v>
      </c>
      <c r="P786" s="15">
        <f t="shared" si="61"/>
        <v>74.730503123112257</v>
      </c>
      <c r="Q786" s="25">
        <v>25000</v>
      </c>
      <c r="R786" s="22">
        <v>32</v>
      </c>
      <c r="S786" s="22" t="s">
        <v>1099</v>
      </c>
      <c r="T786" s="22">
        <f t="shared" si="62"/>
        <v>12</v>
      </c>
      <c r="U786" s="22">
        <f t="shared" si="63"/>
        <v>2020</v>
      </c>
      <c r="V786" s="22" t="str">
        <f t="shared" si="64"/>
        <v>REGIONES</v>
      </c>
    </row>
    <row r="787" spans="1:22" x14ac:dyDescent="0.2">
      <c r="A787" s="23" t="s">
        <v>1094</v>
      </c>
      <c r="B787" s="22" t="s">
        <v>18</v>
      </c>
      <c r="C787" s="22" t="s">
        <v>994</v>
      </c>
      <c r="D787" s="22" t="s">
        <v>20</v>
      </c>
      <c r="E787" s="24" t="s">
        <v>88</v>
      </c>
      <c r="F787" s="22" t="s">
        <v>995</v>
      </c>
      <c r="G787" s="25">
        <v>3548.3000000000011</v>
      </c>
      <c r="H787" s="22" t="s">
        <v>22</v>
      </c>
      <c r="I787" s="22">
        <v>0</v>
      </c>
      <c r="J787" s="22" t="s">
        <v>995</v>
      </c>
      <c r="K787" s="22" t="s">
        <v>23</v>
      </c>
      <c r="L787" s="22">
        <v>1</v>
      </c>
      <c r="M787" s="26">
        <v>33750</v>
      </c>
      <c r="N787" s="26">
        <f>G787*4</f>
        <v>14193.200000000004</v>
      </c>
      <c r="O787" s="15">
        <f t="shared" si="60"/>
        <v>47943.200000000004</v>
      </c>
      <c r="P787" s="15">
        <f t="shared" si="61"/>
        <v>13.511597102837976</v>
      </c>
      <c r="Q787" s="25">
        <v>4821</v>
      </c>
      <c r="R787" s="22">
        <v>74</v>
      </c>
      <c r="S787" s="22" t="s">
        <v>1100</v>
      </c>
      <c r="T787" s="22">
        <f t="shared" si="62"/>
        <v>12</v>
      </c>
      <c r="U787" s="22">
        <f t="shared" si="63"/>
        <v>2020</v>
      </c>
      <c r="V787" s="22" t="str">
        <f t="shared" si="64"/>
        <v>METROPOLITANA</v>
      </c>
    </row>
    <row r="788" spans="1:22" x14ac:dyDescent="0.2">
      <c r="A788" s="23" t="s">
        <v>1094</v>
      </c>
      <c r="B788" s="22" t="s">
        <v>18</v>
      </c>
      <c r="C788" s="22" t="s">
        <v>44</v>
      </c>
      <c r="D788" s="22" t="s">
        <v>30</v>
      </c>
      <c r="E788" s="24" t="s">
        <v>31</v>
      </c>
      <c r="F788" s="22" t="s">
        <v>39</v>
      </c>
      <c r="G788" s="25">
        <v>2640.37</v>
      </c>
      <c r="H788" s="22" t="s">
        <v>32</v>
      </c>
      <c r="I788" s="22">
        <v>0</v>
      </c>
      <c r="J788" s="22" t="s">
        <v>39</v>
      </c>
      <c r="K788" s="22" t="s">
        <v>23</v>
      </c>
      <c r="L788" s="22">
        <v>1</v>
      </c>
      <c r="M788" s="26">
        <v>33750</v>
      </c>
      <c r="N788" s="26">
        <v>7921</v>
      </c>
      <c r="O788" s="15">
        <f t="shared" si="60"/>
        <v>41671</v>
      </c>
      <c r="P788" s="15">
        <f t="shared" si="61"/>
        <v>15.78225778962797</v>
      </c>
      <c r="Q788" s="25">
        <v>4821</v>
      </c>
      <c r="R788" s="22">
        <v>55</v>
      </c>
      <c r="S788" s="22" t="s">
        <v>1101</v>
      </c>
      <c r="T788" s="22">
        <f t="shared" si="62"/>
        <v>12</v>
      </c>
      <c r="U788" s="22">
        <f t="shared" si="63"/>
        <v>2020</v>
      </c>
      <c r="V788" s="22" t="str">
        <f t="shared" si="64"/>
        <v>METROPOLITANA</v>
      </c>
    </row>
    <row r="789" spans="1:22" x14ac:dyDescent="0.2">
      <c r="A789" s="23" t="s">
        <v>1094</v>
      </c>
      <c r="B789" s="22" t="s">
        <v>33</v>
      </c>
      <c r="C789" s="22" t="s">
        <v>163</v>
      </c>
      <c r="D789" s="22" t="s">
        <v>1102</v>
      </c>
      <c r="E789" s="24" t="s">
        <v>25</v>
      </c>
      <c r="F789" s="22" t="s">
        <v>165</v>
      </c>
      <c r="G789" s="25">
        <v>11195.94</v>
      </c>
      <c r="H789" s="22" t="s">
        <v>24</v>
      </c>
      <c r="I789" s="22">
        <v>1</v>
      </c>
      <c r="J789" s="22" t="s">
        <v>165</v>
      </c>
      <c r="K789" s="22" t="s">
        <v>23</v>
      </c>
      <c r="L789" s="22">
        <v>4</v>
      </c>
      <c r="M789" s="26">
        <v>78372</v>
      </c>
      <c r="N789" s="26">
        <v>0</v>
      </c>
      <c r="O789" s="15">
        <f t="shared" si="60"/>
        <v>78372</v>
      </c>
      <c r="P789" s="15">
        <f t="shared" si="61"/>
        <v>7.000037513598679</v>
      </c>
      <c r="Q789" s="25">
        <v>8011</v>
      </c>
      <c r="R789" s="22">
        <v>100</v>
      </c>
      <c r="S789" s="22" t="s">
        <v>1103</v>
      </c>
      <c r="T789" s="22">
        <f t="shared" si="62"/>
        <v>12</v>
      </c>
      <c r="U789" s="22">
        <f t="shared" si="63"/>
        <v>2020</v>
      </c>
      <c r="V789" s="22" t="str">
        <f t="shared" si="64"/>
        <v>METROPOLITANA</v>
      </c>
    </row>
    <row r="790" spans="1:22" x14ac:dyDescent="0.2">
      <c r="A790" s="23" t="s">
        <v>1094</v>
      </c>
      <c r="B790" s="22" t="s">
        <v>33</v>
      </c>
      <c r="C790" s="22" t="s">
        <v>163</v>
      </c>
      <c r="D790" s="22" t="s">
        <v>63</v>
      </c>
      <c r="E790" s="24" t="s">
        <v>64</v>
      </c>
      <c r="F790" s="22" t="s">
        <v>165</v>
      </c>
      <c r="G790" s="25">
        <v>10828.86</v>
      </c>
      <c r="H790" s="22" t="s">
        <v>65</v>
      </c>
      <c r="I790" s="22">
        <v>0</v>
      </c>
      <c r="J790" s="22" t="s">
        <v>165</v>
      </c>
      <c r="K790" s="22" t="s">
        <v>23</v>
      </c>
      <c r="L790" s="22">
        <v>4</v>
      </c>
      <c r="M790" s="26">
        <v>75802</v>
      </c>
      <c r="N790" s="26">
        <f>G790*3</f>
        <v>32486.58</v>
      </c>
      <c r="O790" s="15">
        <f t="shared" si="60"/>
        <v>108288.58</v>
      </c>
      <c r="P790" s="15">
        <f t="shared" si="61"/>
        <v>9.9999981530835189</v>
      </c>
      <c r="Q790" s="25">
        <v>8011</v>
      </c>
      <c r="R790" s="22">
        <v>100</v>
      </c>
      <c r="S790" s="22" t="s">
        <v>1104</v>
      </c>
      <c r="T790" s="22">
        <f t="shared" si="62"/>
        <v>12</v>
      </c>
      <c r="U790" s="22">
        <f t="shared" si="63"/>
        <v>2020</v>
      </c>
      <c r="V790" s="22" t="str">
        <f t="shared" si="64"/>
        <v>METROPOLITANA</v>
      </c>
    </row>
    <row r="791" spans="1:22" x14ac:dyDescent="0.2">
      <c r="A791" s="23" t="s">
        <v>1094</v>
      </c>
      <c r="B791" s="22" t="s">
        <v>33</v>
      </c>
      <c r="C791" s="22" t="s">
        <v>36</v>
      </c>
      <c r="D791" s="22" t="s">
        <v>82</v>
      </c>
      <c r="E791" s="24" t="s">
        <v>83</v>
      </c>
      <c r="F791" s="22" t="s">
        <v>1105</v>
      </c>
      <c r="G791" s="25">
        <v>18021.799999999988</v>
      </c>
      <c r="H791" s="22" t="s">
        <v>85</v>
      </c>
      <c r="I791" s="22">
        <v>1</v>
      </c>
      <c r="J791" s="22" t="s">
        <v>1105</v>
      </c>
      <c r="K791" s="22" t="s">
        <v>873</v>
      </c>
      <c r="L791" s="22">
        <v>0</v>
      </c>
      <c r="M791" s="26">
        <v>900000</v>
      </c>
      <c r="N791" s="26">
        <v>0</v>
      </c>
      <c r="O791" s="15">
        <f t="shared" si="60"/>
        <v>900000</v>
      </c>
      <c r="P791" s="15">
        <f t="shared" si="61"/>
        <v>49.9395176952358</v>
      </c>
      <c r="Q791" s="25">
        <v>25000</v>
      </c>
      <c r="R791" s="22">
        <v>72</v>
      </c>
      <c r="S791" s="22" t="s">
        <v>1106</v>
      </c>
      <c r="T791" s="22">
        <f t="shared" si="62"/>
        <v>12</v>
      </c>
      <c r="U791" s="22">
        <f t="shared" si="63"/>
        <v>2020</v>
      </c>
      <c r="V791" s="22" t="str">
        <f t="shared" si="64"/>
        <v>REGIONES</v>
      </c>
    </row>
    <row r="792" spans="1:22" x14ac:dyDescent="0.2">
      <c r="A792" s="23" t="s">
        <v>1094</v>
      </c>
      <c r="B792" s="22" t="s">
        <v>33</v>
      </c>
      <c r="C792" s="22" t="s">
        <v>29</v>
      </c>
      <c r="D792" s="22" t="s">
        <v>730</v>
      </c>
      <c r="E792" s="24" t="s">
        <v>731</v>
      </c>
      <c r="F792" s="22" t="s">
        <v>1107</v>
      </c>
      <c r="G792" s="25">
        <v>10249.200000000001</v>
      </c>
      <c r="H792" s="22" t="s">
        <v>24</v>
      </c>
      <c r="I792" s="22">
        <v>1</v>
      </c>
      <c r="J792" s="22" t="s">
        <v>1107</v>
      </c>
      <c r="K792" s="22" t="s">
        <v>124</v>
      </c>
      <c r="L792" s="22">
        <v>0</v>
      </c>
      <c r="M792" s="26">
        <v>350000</v>
      </c>
      <c r="N792" s="26">
        <v>0</v>
      </c>
      <c r="O792" s="15">
        <f t="shared" si="60"/>
        <v>350000</v>
      </c>
      <c r="P792" s="15">
        <f t="shared" si="61"/>
        <v>34.149006751746477</v>
      </c>
      <c r="Q792" s="25">
        <v>25000</v>
      </c>
      <c r="R792" s="22">
        <v>41</v>
      </c>
      <c r="S792" s="22" t="s">
        <v>1108</v>
      </c>
      <c r="T792" s="22">
        <f t="shared" si="62"/>
        <v>12</v>
      </c>
      <c r="U792" s="22">
        <f t="shared" si="63"/>
        <v>2020</v>
      </c>
      <c r="V792" s="22" t="str">
        <f t="shared" si="64"/>
        <v>REGIONES</v>
      </c>
    </row>
    <row r="793" spans="1:22" x14ac:dyDescent="0.2">
      <c r="A793" s="23" t="s">
        <v>1094</v>
      </c>
      <c r="B793" s="22" t="s">
        <v>33</v>
      </c>
      <c r="C793" s="22" t="s">
        <v>44</v>
      </c>
      <c r="D793" s="22" t="s">
        <v>56</v>
      </c>
      <c r="E793" s="24" t="s">
        <v>52</v>
      </c>
      <c r="F793" s="22" t="s">
        <v>95</v>
      </c>
      <c r="G793" s="25">
        <v>4050.6</v>
      </c>
      <c r="H793" s="22" t="s">
        <v>22</v>
      </c>
      <c r="I793" s="22">
        <v>0</v>
      </c>
      <c r="J793" s="22" t="s">
        <v>95</v>
      </c>
      <c r="K793" s="22" t="s">
        <v>23</v>
      </c>
      <c r="L793" s="22">
        <v>4</v>
      </c>
      <c r="M793" s="26">
        <v>56075</v>
      </c>
      <c r="N793" s="26">
        <v>16202</v>
      </c>
      <c r="O793" s="15">
        <f t="shared" si="60"/>
        <v>72277</v>
      </c>
      <c r="P793" s="15">
        <f t="shared" si="61"/>
        <v>17.843529353676001</v>
      </c>
      <c r="Q793" s="25">
        <v>8011</v>
      </c>
      <c r="R793" s="22">
        <v>51</v>
      </c>
      <c r="S793" s="22" t="s">
        <v>1109</v>
      </c>
      <c r="T793" s="22">
        <f t="shared" si="62"/>
        <v>12</v>
      </c>
      <c r="U793" s="22">
        <f t="shared" si="63"/>
        <v>2020</v>
      </c>
      <c r="V793" s="22" t="str">
        <f t="shared" si="64"/>
        <v>METROPOLITANA</v>
      </c>
    </row>
    <row r="794" spans="1:22" x14ac:dyDescent="0.2">
      <c r="A794" s="23" t="s">
        <v>1094</v>
      </c>
      <c r="B794" s="22" t="s">
        <v>33</v>
      </c>
      <c r="C794" s="22" t="s">
        <v>44</v>
      </c>
      <c r="D794" s="22" t="s">
        <v>188</v>
      </c>
      <c r="E794" s="24" t="s">
        <v>189</v>
      </c>
      <c r="F794" s="22" t="s">
        <v>138</v>
      </c>
      <c r="G794" s="25">
        <v>1937.2</v>
      </c>
      <c r="H794" s="22" t="s">
        <v>190</v>
      </c>
      <c r="I794" s="22">
        <v>0</v>
      </c>
      <c r="J794" s="22" t="s">
        <v>138</v>
      </c>
      <c r="K794" s="22" t="s">
        <v>23</v>
      </c>
      <c r="L794" s="22">
        <v>3</v>
      </c>
      <c r="M794" s="26">
        <v>48075</v>
      </c>
      <c r="N794" s="26">
        <v>0</v>
      </c>
      <c r="O794" s="15">
        <f t="shared" si="60"/>
        <v>48075</v>
      </c>
      <c r="P794" s="15">
        <f t="shared" si="61"/>
        <v>24.816745818707414</v>
      </c>
      <c r="Q794" s="25">
        <v>6868</v>
      </c>
      <c r="R794" s="22">
        <v>28</v>
      </c>
      <c r="S794" s="22" t="s">
        <v>1110</v>
      </c>
      <c r="T794" s="22">
        <f t="shared" si="62"/>
        <v>12</v>
      </c>
      <c r="U794" s="22">
        <f t="shared" si="63"/>
        <v>2020</v>
      </c>
      <c r="V794" s="22" t="str">
        <f t="shared" si="64"/>
        <v>METROPOLITANA</v>
      </c>
    </row>
    <row r="795" spans="1:22" x14ac:dyDescent="0.2">
      <c r="A795" s="23" t="s">
        <v>1094</v>
      </c>
      <c r="B795" s="22" t="s">
        <v>33</v>
      </c>
      <c r="C795" s="22" t="s">
        <v>44</v>
      </c>
      <c r="D795" s="22" t="s">
        <v>37</v>
      </c>
      <c r="E795" s="24" t="s">
        <v>40</v>
      </c>
      <c r="F795" s="22" t="s">
        <v>48</v>
      </c>
      <c r="G795" s="25">
        <v>6640</v>
      </c>
      <c r="H795" s="22" t="s">
        <v>22</v>
      </c>
      <c r="I795" s="22">
        <v>0</v>
      </c>
      <c r="J795" s="22" t="s">
        <v>48</v>
      </c>
      <c r="K795" s="22" t="s">
        <v>23</v>
      </c>
      <c r="L795" s="22">
        <v>1</v>
      </c>
      <c r="M795" s="26">
        <v>46480</v>
      </c>
      <c r="N795" s="26">
        <v>26560</v>
      </c>
      <c r="O795" s="15">
        <f t="shared" si="60"/>
        <v>73040</v>
      </c>
      <c r="P795" s="15">
        <f t="shared" si="61"/>
        <v>11</v>
      </c>
      <c r="Q795" s="25">
        <v>4821</v>
      </c>
      <c r="R795" s="22">
        <v>100</v>
      </c>
      <c r="S795" s="22" t="s">
        <v>1111</v>
      </c>
      <c r="T795" s="22">
        <f t="shared" si="62"/>
        <v>12</v>
      </c>
      <c r="U795" s="22">
        <f t="shared" si="63"/>
        <v>2020</v>
      </c>
      <c r="V795" s="22" t="str">
        <f t="shared" si="64"/>
        <v>METROPOLITANA</v>
      </c>
    </row>
    <row r="796" spans="1:22" x14ac:dyDescent="0.2">
      <c r="A796" s="23" t="s">
        <v>1094</v>
      </c>
      <c r="B796" s="22" t="s">
        <v>33</v>
      </c>
      <c r="C796" s="22" t="s">
        <v>44</v>
      </c>
      <c r="D796" s="22" t="s">
        <v>30</v>
      </c>
      <c r="E796" s="24" t="s">
        <v>31</v>
      </c>
      <c r="F796" s="22" t="s">
        <v>67</v>
      </c>
      <c r="G796" s="25">
        <v>5123</v>
      </c>
      <c r="H796" s="22" t="s">
        <v>32</v>
      </c>
      <c r="I796" s="22">
        <v>0</v>
      </c>
      <c r="J796" s="22" t="s">
        <v>67</v>
      </c>
      <c r="K796" s="22" t="s">
        <v>23</v>
      </c>
      <c r="L796" s="22">
        <v>2</v>
      </c>
      <c r="M796" s="26">
        <v>40475</v>
      </c>
      <c r="N796" s="26">
        <v>15369</v>
      </c>
      <c r="O796" s="15">
        <f t="shared" si="60"/>
        <v>55844</v>
      </c>
      <c r="P796" s="15">
        <f t="shared" si="61"/>
        <v>10.900644153816124</v>
      </c>
      <c r="Q796" s="25">
        <v>5782</v>
      </c>
      <c r="R796" s="22">
        <v>89</v>
      </c>
      <c r="S796" s="22" t="s">
        <v>1112</v>
      </c>
      <c r="T796" s="22">
        <f t="shared" si="62"/>
        <v>12</v>
      </c>
      <c r="U796" s="22">
        <f t="shared" si="63"/>
        <v>2020</v>
      </c>
      <c r="V796" s="22" t="str">
        <f t="shared" si="64"/>
        <v>METROPOLITANA</v>
      </c>
    </row>
    <row r="797" spans="1:22" x14ac:dyDescent="0.2">
      <c r="A797" s="23" t="s">
        <v>1094</v>
      </c>
      <c r="B797" s="22" t="s">
        <v>33</v>
      </c>
      <c r="C797" s="22" t="s">
        <v>44</v>
      </c>
      <c r="D797" s="22" t="s">
        <v>45</v>
      </c>
      <c r="E797" s="24" t="s">
        <v>28</v>
      </c>
      <c r="F797" s="22" t="s">
        <v>46</v>
      </c>
      <c r="G797" s="25">
        <v>2274.6</v>
      </c>
      <c r="H797" s="22" t="s">
        <v>22</v>
      </c>
      <c r="I797" s="22">
        <v>0</v>
      </c>
      <c r="J797" s="22" t="s">
        <v>46</v>
      </c>
      <c r="K797" s="22" t="s">
        <v>23</v>
      </c>
      <c r="L797" s="22">
        <v>2</v>
      </c>
      <c r="M797" s="26">
        <v>40475</v>
      </c>
      <c r="N797" s="26">
        <v>12000</v>
      </c>
      <c r="O797" s="15">
        <f t="shared" si="60"/>
        <v>52475</v>
      </c>
      <c r="P797" s="15">
        <f t="shared" si="61"/>
        <v>23.069990327969755</v>
      </c>
      <c r="Q797" s="25">
        <v>5782</v>
      </c>
      <c r="R797" s="22">
        <v>39</v>
      </c>
      <c r="S797" s="22" t="s">
        <v>1113</v>
      </c>
      <c r="T797" s="22">
        <f t="shared" si="62"/>
        <v>12</v>
      </c>
      <c r="U797" s="22">
        <f t="shared" si="63"/>
        <v>2020</v>
      </c>
      <c r="V797" s="22" t="str">
        <f t="shared" si="64"/>
        <v>METROPOLITANA</v>
      </c>
    </row>
    <row r="798" spans="1:22" x14ac:dyDescent="0.2">
      <c r="A798" s="23" t="s">
        <v>1094</v>
      </c>
      <c r="B798" s="22" t="s">
        <v>33</v>
      </c>
      <c r="C798" s="22" t="s">
        <v>44</v>
      </c>
      <c r="D798" s="22" t="s">
        <v>47</v>
      </c>
      <c r="E798" s="24" t="s">
        <v>21</v>
      </c>
      <c r="F798" s="22" t="s">
        <v>53</v>
      </c>
      <c r="G798" s="25">
        <v>5613.5999999999995</v>
      </c>
      <c r="H798" s="22" t="s">
        <v>22</v>
      </c>
      <c r="I798" s="22">
        <v>0</v>
      </c>
      <c r="J798" s="22" t="s">
        <v>53</v>
      </c>
      <c r="K798" s="22" t="s">
        <v>23</v>
      </c>
      <c r="L798" s="22">
        <v>3</v>
      </c>
      <c r="M798" s="26">
        <v>48075</v>
      </c>
      <c r="N798" s="26">
        <v>22454</v>
      </c>
      <c r="O798" s="15">
        <f t="shared" si="60"/>
        <v>70529</v>
      </c>
      <c r="P798" s="15">
        <f t="shared" si="61"/>
        <v>12.563951831266925</v>
      </c>
      <c r="Q798" s="25">
        <v>6868</v>
      </c>
      <c r="R798" s="22">
        <v>82</v>
      </c>
      <c r="S798" s="22" t="s">
        <v>1114</v>
      </c>
      <c r="T798" s="22">
        <f t="shared" si="62"/>
        <v>12</v>
      </c>
      <c r="U798" s="22">
        <f t="shared" si="63"/>
        <v>2020</v>
      </c>
      <c r="V798" s="22" t="str">
        <f t="shared" si="64"/>
        <v>METROPOLITANA</v>
      </c>
    </row>
    <row r="799" spans="1:22" x14ac:dyDescent="0.2">
      <c r="A799" s="23" t="s">
        <v>1094</v>
      </c>
      <c r="B799" s="22" t="s">
        <v>33</v>
      </c>
      <c r="C799" s="22" t="s">
        <v>44</v>
      </c>
      <c r="D799" s="22" t="s">
        <v>35</v>
      </c>
      <c r="E799" s="24" t="s">
        <v>49</v>
      </c>
      <c r="F799" s="22" t="s">
        <v>129</v>
      </c>
      <c r="G799" s="25">
        <v>2251.1999999999998</v>
      </c>
      <c r="H799" s="22" t="s">
        <v>22</v>
      </c>
      <c r="I799" s="22">
        <v>0</v>
      </c>
      <c r="J799" s="22" t="s">
        <v>129</v>
      </c>
      <c r="K799" s="22" t="s">
        <v>23</v>
      </c>
      <c r="L799" s="22">
        <v>1</v>
      </c>
      <c r="M799" s="26">
        <v>33750</v>
      </c>
      <c r="N799" s="26">
        <v>12000</v>
      </c>
      <c r="O799" s="15">
        <f t="shared" si="60"/>
        <v>45750</v>
      </c>
      <c r="P799" s="15">
        <f t="shared" si="61"/>
        <v>20.322494669509595</v>
      </c>
      <c r="Q799" s="25">
        <v>4821</v>
      </c>
      <c r="R799" s="22">
        <v>47</v>
      </c>
      <c r="S799" s="22" t="s">
        <v>1115</v>
      </c>
      <c r="T799" s="22">
        <f t="shared" si="62"/>
        <v>12</v>
      </c>
      <c r="U799" s="22">
        <f t="shared" si="63"/>
        <v>2020</v>
      </c>
      <c r="V799" s="22" t="str">
        <f t="shared" si="64"/>
        <v>METROPOLITANA</v>
      </c>
    </row>
    <row r="800" spans="1:22" x14ac:dyDescent="0.2">
      <c r="A800" s="23" t="s">
        <v>1094</v>
      </c>
      <c r="B800" s="22" t="s">
        <v>33</v>
      </c>
      <c r="C800" s="22" t="s">
        <v>44</v>
      </c>
      <c r="D800" s="22" t="s">
        <v>20</v>
      </c>
      <c r="E800" s="24" t="s">
        <v>21</v>
      </c>
      <c r="F800" s="22" t="s">
        <v>95</v>
      </c>
      <c r="G800" s="25">
        <v>1875.4</v>
      </c>
      <c r="H800" s="22" t="s">
        <v>22</v>
      </c>
      <c r="I800" s="22">
        <v>0</v>
      </c>
      <c r="J800" s="22" t="s">
        <v>95</v>
      </c>
      <c r="K800" s="22" t="s">
        <v>23</v>
      </c>
      <c r="L800" s="22">
        <v>4</v>
      </c>
      <c r="M800" s="26">
        <v>56075</v>
      </c>
      <c r="N800" s="26">
        <v>12000</v>
      </c>
      <c r="O800" s="15">
        <f t="shared" si="60"/>
        <v>68075</v>
      </c>
      <c r="P800" s="15">
        <f t="shared" si="61"/>
        <v>36.298922896448758</v>
      </c>
      <c r="Q800" s="25">
        <v>8011</v>
      </c>
      <c r="R800" s="22">
        <v>23</v>
      </c>
      <c r="S800" s="22" t="s">
        <v>1116</v>
      </c>
      <c r="T800" s="22">
        <f t="shared" si="62"/>
        <v>12</v>
      </c>
      <c r="U800" s="22">
        <f t="shared" si="63"/>
        <v>2020</v>
      </c>
      <c r="V800" s="22" t="str">
        <f t="shared" si="64"/>
        <v>METROPOLITANA</v>
      </c>
    </row>
    <row r="801" spans="1:22" x14ac:dyDescent="0.2">
      <c r="A801" s="11" t="s">
        <v>1117</v>
      </c>
      <c r="B801" s="12" t="s">
        <v>18</v>
      </c>
      <c r="C801" s="12" t="s">
        <v>50</v>
      </c>
      <c r="D801" s="12" t="s">
        <v>63</v>
      </c>
      <c r="E801" s="13" t="s">
        <v>64</v>
      </c>
      <c r="F801" s="12" t="s">
        <v>26</v>
      </c>
      <c r="G801" s="14">
        <v>8374.43</v>
      </c>
      <c r="H801" s="12" t="s">
        <v>65</v>
      </c>
      <c r="I801" s="12">
        <v>0</v>
      </c>
      <c r="J801" s="12" t="s">
        <v>26</v>
      </c>
      <c r="K801" s="12" t="s">
        <v>23</v>
      </c>
      <c r="L801" s="12">
        <v>4</v>
      </c>
      <c r="M801" s="15">
        <v>58621</v>
      </c>
      <c r="N801" s="15">
        <v>0</v>
      </c>
      <c r="O801" s="15">
        <f t="shared" si="60"/>
        <v>58621</v>
      </c>
      <c r="P801" s="15">
        <f t="shared" si="61"/>
        <v>6.999998805888878</v>
      </c>
      <c r="Q801" s="14">
        <v>8011</v>
      </c>
      <c r="R801" s="12">
        <v>100</v>
      </c>
      <c r="S801" s="12" t="s">
        <v>1118</v>
      </c>
      <c r="T801" s="22">
        <f t="shared" si="62"/>
        <v>12</v>
      </c>
      <c r="U801" s="22">
        <f t="shared" si="63"/>
        <v>2020</v>
      </c>
      <c r="V801" s="22" t="str">
        <f t="shared" si="64"/>
        <v>METROPOLITANA</v>
      </c>
    </row>
    <row r="802" spans="1:22" x14ac:dyDescent="0.2">
      <c r="A802" s="11" t="s">
        <v>1117</v>
      </c>
      <c r="B802" s="12" t="s">
        <v>18</v>
      </c>
      <c r="C802" s="12" t="s">
        <v>71</v>
      </c>
      <c r="D802" s="12" t="s">
        <v>27</v>
      </c>
      <c r="E802" s="13" t="s">
        <v>28</v>
      </c>
      <c r="F802" s="12" t="s">
        <v>72</v>
      </c>
      <c r="G802" s="14">
        <v>17005.099999999999</v>
      </c>
      <c r="H802" s="12" t="s">
        <v>22</v>
      </c>
      <c r="I802" s="12">
        <v>1</v>
      </c>
      <c r="J802" s="12" t="s">
        <v>72</v>
      </c>
      <c r="K802" s="12" t="s">
        <v>23</v>
      </c>
      <c r="L802" s="12">
        <v>5</v>
      </c>
      <c r="M802" s="15">
        <v>120000</v>
      </c>
      <c r="N802" s="15">
        <f>G802*4</f>
        <v>68020.399999999994</v>
      </c>
      <c r="O802" s="15">
        <f t="shared" si="60"/>
        <v>188020.4</v>
      </c>
      <c r="P802" s="15">
        <f t="shared" si="61"/>
        <v>11.056706517456528</v>
      </c>
      <c r="Q802" s="14">
        <v>12000</v>
      </c>
      <c r="R802" s="12">
        <v>100</v>
      </c>
      <c r="S802" s="12" t="s">
        <v>1119</v>
      </c>
      <c r="T802" s="22">
        <f t="shared" si="62"/>
        <v>12</v>
      </c>
      <c r="U802" s="22">
        <f t="shared" si="63"/>
        <v>2020</v>
      </c>
      <c r="V802" s="22" t="str">
        <f t="shared" si="64"/>
        <v>METROPOLITANA</v>
      </c>
    </row>
    <row r="803" spans="1:22" x14ac:dyDescent="0.2">
      <c r="A803" s="11" t="s">
        <v>1117</v>
      </c>
      <c r="B803" s="12" t="s">
        <v>18</v>
      </c>
      <c r="C803" s="12" t="s">
        <v>57</v>
      </c>
      <c r="D803" s="12" t="s">
        <v>1120</v>
      </c>
      <c r="E803" s="13" t="s">
        <v>1121</v>
      </c>
      <c r="F803" s="12" t="s">
        <v>458</v>
      </c>
      <c r="G803" s="14">
        <v>6308.0499999999984</v>
      </c>
      <c r="H803" s="12" t="s">
        <v>24</v>
      </c>
      <c r="I803" s="12">
        <v>1</v>
      </c>
      <c r="J803" s="12" t="s">
        <v>458</v>
      </c>
      <c r="K803" s="12" t="s">
        <v>75</v>
      </c>
      <c r="L803" s="12">
        <v>0</v>
      </c>
      <c r="M803" s="15">
        <v>380000</v>
      </c>
      <c r="N803" s="15">
        <v>0</v>
      </c>
      <c r="O803" s="15">
        <f t="shared" si="60"/>
        <v>380000</v>
      </c>
      <c r="P803" s="15">
        <f t="shared" si="61"/>
        <v>60.240486362663596</v>
      </c>
      <c r="Q803" s="14">
        <v>25000</v>
      </c>
      <c r="R803" s="12">
        <v>25</v>
      </c>
      <c r="S803" s="12" t="s">
        <v>1122</v>
      </c>
      <c r="T803" s="22">
        <f t="shared" si="62"/>
        <v>12</v>
      </c>
      <c r="U803" s="22">
        <f t="shared" si="63"/>
        <v>2020</v>
      </c>
      <c r="V803" s="22" t="str">
        <f t="shared" si="64"/>
        <v>REGIONES</v>
      </c>
    </row>
    <row r="804" spans="1:22" x14ac:dyDescent="0.2">
      <c r="A804" s="11" t="s">
        <v>1117</v>
      </c>
      <c r="B804" s="12" t="s">
        <v>18</v>
      </c>
      <c r="C804" s="12" t="s">
        <v>19</v>
      </c>
      <c r="D804" s="12" t="s">
        <v>38</v>
      </c>
      <c r="E804" s="13" t="s">
        <v>42</v>
      </c>
      <c r="F804" s="12" t="s">
        <v>67</v>
      </c>
      <c r="G804" s="14">
        <v>9080.64</v>
      </c>
      <c r="H804" s="12" t="s">
        <v>43</v>
      </c>
      <c r="I804" s="12">
        <v>0</v>
      </c>
      <c r="J804" s="12" t="s">
        <v>67</v>
      </c>
      <c r="K804" s="12" t="s">
        <v>23</v>
      </c>
      <c r="L804" s="12">
        <v>2</v>
      </c>
      <c r="M804" s="15">
        <v>63564</v>
      </c>
      <c r="N804" s="15">
        <f>G804*3</f>
        <v>27241.919999999998</v>
      </c>
      <c r="O804" s="15">
        <f t="shared" si="60"/>
        <v>90805.92</v>
      </c>
      <c r="P804" s="15">
        <f t="shared" si="61"/>
        <v>9.999947140289672</v>
      </c>
      <c r="Q804" s="14">
        <v>5782</v>
      </c>
      <c r="R804" s="12">
        <v>100</v>
      </c>
      <c r="S804" s="12" t="s">
        <v>1123</v>
      </c>
      <c r="T804" s="22">
        <f t="shared" si="62"/>
        <v>12</v>
      </c>
      <c r="U804" s="22">
        <f t="shared" si="63"/>
        <v>2020</v>
      </c>
      <c r="V804" s="22" t="str">
        <f t="shared" si="64"/>
        <v>METROPOLITANA</v>
      </c>
    </row>
    <row r="805" spans="1:22" x14ac:dyDescent="0.2">
      <c r="A805" s="11" t="s">
        <v>1117</v>
      </c>
      <c r="B805" s="12" t="s">
        <v>18</v>
      </c>
      <c r="C805" s="12" t="s">
        <v>19</v>
      </c>
      <c r="D805" s="12" t="s">
        <v>38</v>
      </c>
      <c r="E805" s="13" t="s">
        <v>1124</v>
      </c>
      <c r="F805" s="12" t="s">
        <v>67</v>
      </c>
      <c r="G805" s="14">
        <v>5845.3600000000006</v>
      </c>
      <c r="H805" s="12" t="s">
        <v>43</v>
      </c>
      <c r="I805" s="12">
        <v>0</v>
      </c>
      <c r="J805" s="12" t="s">
        <v>67</v>
      </c>
      <c r="K805" s="12" t="s">
        <v>23</v>
      </c>
      <c r="L805" s="12">
        <v>2</v>
      </c>
      <c r="M805" s="15">
        <v>40918</v>
      </c>
      <c r="N805" s="15">
        <f>G805*3</f>
        <v>17536.080000000002</v>
      </c>
      <c r="O805" s="15">
        <f t="shared" si="60"/>
        <v>58454.080000000002</v>
      </c>
      <c r="P805" s="15">
        <f t="shared" si="61"/>
        <v>10.000082116413703</v>
      </c>
      <c r="Q805" s="14">
        <v>5782</v>
      </c>
      <c r="R805" s="12">
        <v>100</v>
      </c>
      <c r="S805" s="12" t="s">
        <v>1125</v>
      </c>
      <c r="T805" s="22">
        <f t="shared" si="62"/>
        <v>12</v>
      </c>
      <c r="U805" s="22">
        <f t="shared" si="63"/>
        <v>2020</v>
      </c>
      <c r="V805" s="22" t="str">
        <f t="shared" si="64"/>
        <v>METROPOLITANA</v>
      </c>
    </row>
    <row r="806" spans="1:22" x14ac:dyDescent="0.2">
      <c r="A806" s="11" t="s">
        <v>1117</v>
      </c>
      <c r="B806" s="12" t="s">
        <v>18</v>
      </c>
      <c r="C806" s="12" t="s">
        <v>19</v>
      </c>
      <c r="D806" s="12" t="s">
        <v>41</v>
      </c>
      <c r="E806" s="13" t="s">
        <v>25</v>
      </c>
      <c r="F806" s="12" t="s">
        <v>67</v>
      </c>
      <c r="G806" s="14">
        <v>6113.9700000000012</v>
      </c>
      <c r="H806" s="12" t="s">
        <v>43</v>
      </c>
      <c r="I806" s="12">
        <v>0</v>
      </c>
      <c r="J806" s="12" t="s">
        <v>67</v>
      </c>
      <c r="K806" s="12" t="s">
        <v>23</v>
      </c>
      <c r="L806" s="12">
        <v>2</v>
      </c>
      <c r="M806" s="15">
        <v>42798</v>
      </c>
      <c r="N806" s="15">
        <f>G806*3</f>
        <v>18341.910000000003</v>
      </c>
      <c r="O806" s="15">
        <f t="shared" si="60"/>
        <v>61139.91</v>
      </c>
      <c r="P806" s="15">
        <f t="shared" si="61"/>
        <v>10.000034347567945</v>
      </c>
      <c r="Q806" s="14">
        <v>5782</v>
      </c>
      <c r="R806" s="12">
        <v>100</v>
      </c>
      <c r="S806" s="12" t="s">
        <v>1126</v>
      </c>
      <c r="T806" s="22">
        <f t="shared" si="62"/>
        <v>12</v>
      </c>
      <c r="U806" s="22">
        <f t="shared" si="63"/>
        <v>2020</v>
      </c>
      <c r="V806" s="22" t="str">
        <f t="shared" si="64"/>
        <v>METROPOLITANA</v>
      </c>
    </row>
    <row r="807" spans="1:22" x14ac:dyDescent="0.2">
      <c r="A807" s="11" t="s">
        <v>1117</v>
      </c>
      <c r="B807" s="12" t="s">
        <v>18</v>
      </c>
      <c r="C807" s="12" t="s">
        <v>324</v>
      </c>
      <c r="D807" s="12" t="s">
        <v>30</v>
      </c>
      <c r="E807" s="13" t="s">
        <v>31</v>
      </c>
      <c r="F807" s="12" t="s">
        <v>325</v>
      </c>
      <c r="G807" s="14">
        <v>1601.86</v>
      </c>
      <c r="H807" s="12" t="s">
        <v>32</v>
      </c>
      <c r="I807" s="12">
        <v>0</v>
      </c>
      <c r="J807" s="12" t="s">
        <v>325</v>
      </c>
      <c r="K807" s="12" t="s">
        <v>78</v>
      </c>
      <c r="L807" s="12">
        <v>0</v>
      </c>
      <c r="M807" s="15">
        <v>180000</v>
      </c>
      <c r="N807" s="15">
        <f>G807*3</f>
        <v>4805.58</v>
      </c>
      <c r="O807" s="15">
        <f t="shared" si="60"/>
        <v>184805.58</v>
      </c>
      <c r="P807" s="15">
        <f t="shared" si="61"/>
        <v>115.36937060666975</v>
      </c>
      <c r="Q807" s="14">
        <v>25000</v>
      </c>
      <c r="R807" s="12">
        <v>6</v>
      </c>
      <c r="S807" s="12" t="s">
        <v>1127</v>
      </c>
      <c r="T807" s="22">
        <f t="shared" si="62"/>
        <v>12</v>
      </c>
      <c r="U807" s="22">
        <f t="shared" si="63"/>
        <v>2020</v>
      </c>
      <c r="V807" s="22" t="str">
        <f t="shared" si="64"/>
        <v>REGIONES</v>
      </c>
    </row>
    <row r="808" spans="1:22" x14ac:dyDescent="0.2">
      <c r="A808" s="11" t="s">
        <v>1117</v>
      </c>
      <c r="B808" s="12" t="s">
        <v>18</v>
      </c>
      <c r="C808" s="12" t="s">
        <v>508</v>
      </c>
      <c r="D808" s="12" t="s">
        <v>37</v>
      </c>
      <c r="E808" s="13" t="s">
        <v>40</v>
      </c>
      <c r="F808" s="12" t="s">
        <v>51</v>
      </c>
      <c r="G808" s="14">
        <v>4345.8900000000003</v>
      </c>
      <c r="H808" s="12" t="s">
        <v>22</v>
      </c>
      <c r="I808" s="12">
        <v>0</v>
      </c>
      <c r="J808" s="12" t="s">
        <v>51</v>
      </c>
      <c r="K808" s="12" t="s">
        <v>23</v>
      </c>
      <c r="L808" s="12">
        <v>4</v>
      </c>
      <c r="M808" s="15">
        <v>56075</v>
      </c>
      <c r="N808" s="15">
        <f>G808*4</f>
        <v>17383.560000000001</v>
      </c>
      <c r="O808" s="15">
        <f t="shared" si="60"/>
        <v>73458.559999999998</v>
      </c>
      <c r="P808" s="15">
        <f t="shared" si="61"/>
        <v>16.902995703986985</v>
      </c>
      <c r="Q808" s="14">
        <v>8011</v>
      </c>
      <c r="R808" s="12">
        <v>54</v>
      </c>
      <c r="S808" s="12" t="s">
        <v>1128</v>
      </c>
      <c r="T808" s="22">
        <f t="shared" si="62"/>
        <v>12</v>
      </c>
      <c r="U808" s="22">
        <f t="shared" si="63"/>
        <v>2020</v>
      </c>
      <c r="V808" s="22" t="str">
        <f t="shared" si="64"/>
        <v>METROPOLITANA</v>
      </c>
    </row>
    <row r="809" spans="1:22" x14ac:dyDescent="0.2">
      <c r="A809" s="11" t="s">
        <v>1117</v>
      </c>
      <c r="B809" s="12" t="s">
        <v>18</v>
      </c>
      <c r="C809" s="12" t="s">
        <v>508</v>
      </c>
      <c r="D809" s="12" t="s">
        <v>20</v>
      </c>
      <c r="E809" s="13" t="s">
        <v>88</v>
      </c>
      <c r="F809" s="12" t="s">
        <v>51</v>
      </c>
      <c r="G809" s="14">
        <v>5499.24</v>
      </c>
      <c r="H809" s="12" t="s">
        <v>22</v>
      </c>
      <c r="I809" s="12">
        <v>0</v>
      </c>
      <c r="J809" s="12" t="s">
        <v>51</v>
      </c>
      <c r="K809" s="12" t="s">
        <v>23</v>
      </c>
      <c r="L809" s="12">
        <v>4</v>
      </c>
      <c r="M809" s="15">
        <v>56075</v>
      </c>
      <c r="N809" s="15">
        <f>G809*4</f>
        <v>21996.959999999999</v>
      </c>
      <c r="O809" s="15">
        <f t="shared" si="60"/>
        <v>78071.959999999992</v>
      </c>
      <c r="P809" s="15">
        <f t="shared" si="61"/>
        <v>14.19686356660193</v>
      </c>
      <c r="Q809" s="14">
        <v>8011</v>
      </c>
      <c r="R809" s="12">
        <v>69</v>
      </c>
      <c r="S809" s="12" t="s">
        <v>1129</v>
      </c>
      <c r="T809" s="22">
        <f t="shared" si="62"/>
        <v>12</v>
      </c>
      <c r="U809" s="22">
        <f t="shared" si="63"/>
        <v>2020</v>
      </c>
      <c r="V809" s="22" t="str">
        <f t="shared" si="64"/>
        <v>METROPOLITANA</v>
      </c>
    </row>
    <row r="810" spans="1:22" x14ac:dyDescent="0.2">
      <c r="A810" s="11" t="s">
        <v>1117</v>
      </c>
      <c r="B810" s="12" t="s">
        <v>33</v>
      </c>
      <c r="C810" s="12" t="s">
        <v>128</v>
      </c>
      <c r="D810" s="12" t="s">
        <v>63</v>
      </c>
      <c r="E810" s="13" t="s">
        <v>64</v>
      </c>
      <c r="F810" s="12" t="s">
        <v>129</v>
      </c>
      <c r="G810" s="14">
        <v>2113</v>
      </c>
      <c r="H810" s="12" t="s">
        <v>65</v>
      </c>
      <c r="I810" s="12">
        <v>0</v>
      </c>
      <c r="J810" s="12" t="s">
        <v>129</v>
      </c>
      <c r="K810" s="12" t="s">
        <v>23</v>
      </c>
      <c r="L810" s="12">
        <v>1</v>
      </c>
      <c r="M810" s="15">
        <v>33750</v>
      </c>
      <c r="N810" s="15">
        <v>6339</v>
      </c>
      <c r="O810" s="15">
        <f t="shared" si="60"/>
        <v>40089</v>
      </c>
      <c r="P810" s="15">
        <f t="shared" si="61"/>
        <v>18.97255087553242</v>
      </c>
      <c r="Q810" s="14">
        <v>4821</v>
      </c>
      <c r="R810" s="12">
        <v>44</v>
      </c>
      <c r="S810" s="12" t="s">
        <v>1130</v>
      </c>
      <c r="T810" s="22">
        <f t="shared" si="62"/>
        <v>12</v>
      </c>
      <c r="U810" s="22">
        <f t="shared" si="63"/>
        <v>2020</v>
      </c>
      <c r="V810" s="22" t="str">
        <f t="shared" si="64"/>
        <v>METROPOLITANA</v>
      </c>
    </row>
    <row r="811" spans="1:22" x14ac:dyDescent="0.2">
      <c r="A811" s="11" t="s">
        <v>1117</v>
      </c>
      <c r="B811" s="12" t="s">
        <v>33</v>
      </c>
      <c r="C811" s="12" t="s">
        <v>36</v>
      </c>
      <c r="D811" s="12" t="s">
        <v>303</v>
      </c>
      <c r="E811" s="13" t="s">
        <v>304</v>
      </c>
      <c r="F811" s="12" t="s">
        <v>531</v>
      </c>
      <c r="G811" s="14">
        <v>10242.219999999999</v>
      </c>
      <c r="H811" s="12" t="s">
        <v>24</v>
      </c>
      <c r="I811" s="12">
        <v>1</v>
      </c>
      <c r="J811" s="12" t="s">
        <v>531</v>
      </c>
      <c r="K811" s="12" t="s">
        <v>306</v>
      </c>
      <c r="L811" s="12">
        <v>0</v>
      </c>
      <c r="M811" s="15">
        <v>1400000</v>
      </c>
      <c r="N811" s="15">
        <v>0</v>
      </c>
      <c r="O811" s="15">
        <f t="shared" si="60"/>
        <v>1400000</v>
      </c>
      <c r="P811" s="15">
        <f t="shared" si="61"/>
        <v>136.68911622675554</v>
      </c>
      <c r="Q811" s="14">
        <v>25000</v>
      </c>
      <c r="R811" s="12">
        <v>41</v>
      </c>
      <c r="S811" s="12" t="s">
        <v>1131</v>
      </c>
      <c r="T811" s="22">
        <f t="shared" si="62"/>
        <v>12</v>
      </c>
      <c r="U811" s="22">
        <f t="shared" si="63"/>
        <v>2020</v>
      </c>
      <c r="V811" s="22" t="str">
        <f t="shared" si="64"/>
        <v>REGIONES</v>
      </c>
    </row>
    <row r="812" spans="1:22" x14ac:dyDescent="0.2">
      <c r="A812" s="11" t="s">
        <v>1117</v>
      </c>
      <c r="B812" s="12" t="s">
        <v>33</v>
      </c>
      <c r="C812" s="12" t="s">
        <v>1132</v>
      </c>
      <c r="D812" s="12" t="s">
        <v>188</v>
      </c>
      <c r="E812" s="13" t="s">
        <v>189</v>
      </c>
      <c r="F812" s="12" t="s">
        <v>26</v>
      </c>
      <c r="G812" s="14">
        <v>5101.2</v>
      </c>
      <c r="H812" s="12" t="s">
        <v>190</v>
      </c>
      <c r="I812" s="12">
        <v>0</v>
      </c>
      <c r="J812" s="12" t="s">
        <v>26</v>
      </c>
      <c r="K812" s="12" t="s">
        <v>23</v>
      </c>
      <c r="L812" s="12">
        <v>4</v>
      </c>
      <c r="M812" s="15">
        <v>56075</v>
      </c>
      <c r="N812" s="15">
        <v>0</v>
      </c>
      <c r="O812" s="15">
        <f t="shared" si="60"/>
        <v>56075</v>
      </c>
      <c r="P812" s="15">
        <f t="shared" si="61"/>
        <v>10.992511565906062</v>
      </c>
      <c r="Q812" s="14">
        <v>8011</v>
      </c>
      <c r="R812" s="12">
        <v>64</v>
      </c>
      <c r="S812" s="12" t="s">
        <v>1133</v>
      </c>
      <c r="T812" s="22">
        <f t="shared" si="62"/>
        <v>12</v>
      </c>
      <c r="U812" s="22">
        <f t="shared" si="63"/>
        <v>2020</v>
      </c>
      <c r="V812" s="22" t="str">
        <f t="shared" si="64"/>
        <v>METROPOLITANA</v>
      </c>
    </row>
    <row r="813" spans="1:22" x14ac:dyDescent="0.2">
      <c r="A813" s="11" t="s">
        <v>1117</v>
      </c>
      <c r="B813" s="12" t="s">
        <v>33</v>
      </c>
      <c r="C813" s="12" t="s">
        <v>29</v>
      </c>
      <c r="D813" s="12" t="s">
        <v>786</v>
      </c>
      <c r="E813" s="13" t="s">
        <v>787</v>
      </c>
      <c r="F813" s="12" t="s">
        <v>132</v>
      </c>
      <c r="G813" s="14">
        <v>15629.599999999989</v>
      </c>
      <c r="H813" s="12" t="s">
        <v>788</v>
      </c>
      <c r="I813" s="12">
        <v>1</v>
      </c>
      <c r="J813" s="12" t="s">
        <v>132</v>
      </c>
      <c r="K813" s="12" t="s">
        <v>124</v>
      </c>
      <c r="L813" s="12">
        <v>0</v>
      </c>
      <c r="M813" s="15">
        <v>350000</v>
      </c>
      <c r="N813" s="15">
        <v>0</v>
      </c>
      <c r="O813" s="15">
        <f t="shared" si="60"/>
        <v>350000</v>
      </c>
      <c r="P813" s="15">
        <f t="shared" si="61"/>
        <v>22.393407380867089</v>
      </c>
      <c r="Q813" s="14">
        <v>25000</v>
      </c>
      <c r="R813" s="12">
        <v>63</v>
      </c>
      <c r="S813" s="12" t="s">
        <v>1134</v>
      </c>
      <c r="T813" s="22">
        <f t="shared" si="62"/>
        <v>12</v>
      </c>
      <c r="U813" s="22">
        <f t="shared" si="63"/>
        <v>2020</v>
      </c>
      <c r="V813" s="22" t="str">
        <f t="shared" si="64"/>
        <v>REGIONES</v>
      </c>
    </row>
    <row r="814" spans="1:22" x14ac:dyDescent="0.2">
      <c r="A814" s="11" t="s">
        <v>1117</v>
      </c>
      <c r="B814" s="12" t="s">
        <v>33</v>
      </c>
      <c r="C814" s="12" t="s">
        <v>44</v>
      </c>
      <c r="D814" s="12" t="s">
        <v>56</v>
      </c>
      <c r="E814" s="13" t="s">
        <v>21</v>
      </c>
      <c r="F814" s="12" t="s">
        <v>225</v>
      </c>
      <c r="G814" s="14">
        <v>1700.4</v>
      </c>
      <c r="H814" s="12" t="s">
        <v>22</v>
      </c>
      <c r="I814" s="12">
        <v>0</v>
      </c>
      <c r="J814" s="12" t="s">
        <v>225</v>
      </c>
      <c r="K814" s="12" t="s">
        <v>23</v>
      </c>
      <c r="L814" s="12">
        <v>3</v>
      </c>
      <c r="M814" s="15">
        <v>48075</v>
      </c>
      <c r="N814" s="15">
        <v>6802</v>
      </c>
      <c r="O814" s="15">
        <f t="shared" si="60"/>
        <v>54877</v>
      </c>
      <c r="P814" s="15">
        <f t="shared" si="61"/>
        <v>32.27299458950835</v>
      </c>
      <c r="Q814" s="14">
        <v>6868</v>
      </c>
      <c r="R814" s="12">
        <v>25</v>
      </c>
      <c r="S814" s="12" t="s">
        <v>1135</v>
      </c>
      <c r="T814" s="22">
        <f t="shared" si="62"/>
        <v>12</v>
      </c>
      <c r="U814" s="22">
        <f t="shared" si="63"/>
        <v>2020</v>
      </c>
      <c r="V814" s="22" t="str">
        <f t="shared" si="64"/>
        <v>METROPOLITANA</v>
      </c>
    </row>
    <row r="815" spans="1:22" x14ac:dyDescent="0.2">
      <c r="A815" s="11" t="s">
        <v>1117</v>
      </c>
      <c r="B815" s="12" t="s">
        <v>33</v>
      </c>
      <c r="C815" s="12" t="s">
        <v>44</v>
      </c>
      <c r="D815" s="12" t="s">
        <v>1136</v>
      </c>
      <c r="E815" s="13" t="s">
        <v>42</v>
      </c>
      <c r="F815" s="12" t="s">
        <v>134</v>
      </c>
      <c r="G815" s="14">
        <v>3489.8</v>
      </c>
      <c r="H815" s="12" t="s">
        <v>24</v>
      </c>
      <c r="I815" s="12">
        <v>1</v>
      </c>
      <c r="J815" s="12" t="s">
        <v>134</v>
      </c>
      <c r="K815" s="12" t="s">
        <v>23</v>
      </c>
      <c r="L815" s="12">
        <v>2</v>
      </c>
      <c r="M815" s="15">
        <v>40475</v>
      </c>
      <c r="N815" s="15">
        <v>10469</v>
      </c>
      <c r="O815" s="15">
        <f t="shared" si="60"/>
        <v>50944</v>
      </c>
      <c r="P815" s="15">
        <f t="shared" si="61"/>
        <v>14.597971230443004</v>
      </c>
      <c r="Q815" s="14">
        <v>5782</v>
      </c>
      <c r="R815" s="12">
        <v>60</v>
      </c>
      <c r="S815" s="12" t="s">
        <v>1137</v>
      </c>
      <c r="T815" s="22">
        <f t="shared" si="62"/>
        <v>12</v>
      </c>
      <c r="U815" s="22">
        <f t="shared" si="63"/>
        <v>2020</v>
      </c>
      <c r="V815" s="22" t="str">
        <f t="shared" si="64"/>
        <v>METROPOLITANA</v>
      </c>
    </row>
    <row r="816" spans="1:22" x14ac:dyDescent="0.2">
      <c r="A816" s="11" t="s">
        <v>1117</v>
      </c>
      <c r="B816" s="12" t="s">
        <v>33</v>
      </c>
      <c r="C816" s="12" t="s">
        <v>44</v>
      </c>
      <c r="D816" s="12" t="s">
        <v>45</v>
      </c>
      <c r="E816" s="13" t="s">
        <v>28</v>
      </c>
      <c r="F816" s="12" t="s">
        <v>26</v>
      </c>
      <c r="G816" s="14">
        <v>1627.8</v>
      </c>
      <c r="H816" s="12" t="s">
        <v>22</v>
      </c>
      <c r="I816" s="12">
        <v>0</v>
      </c>
      <c r="J816" s="12" t="s">
        <v>26</v>
      </c>
      <c r="K816" s="12" t="s">
        <v>23</v>
      </c>
      <c r="L816" s="12">
        <v>4</v>
      </c>
      <c r="M816" s="15">
        <v>56075</v>
      </c>
      <c r="N816" s="15">
        <v>12000</v>
      </c>
      <c r="O816" s="15">
        <f t="shared" si="60"/>
        <v>68075</v>
      </c>
      <c r="P816" s="15">
        <f t="shared" si="61"/>
        <v>41.820248187738052</v>
      </c>
      <c r="Q816" s="14">
        <v>8011</v>
      </c>
      <c r="R816" s="12">
        <v>20</v>
      </c>
      <c r="S816" s="12" t="s">
        <v>1138</v>
      </c>
      <c r="T816" s="22">
        <f t="shared" si="62"/>
        <v>12</v>
      </c>
      <c r="U816" s="22">
        <f t="shared" si="63"/>
        <v>2020</v>
      </c>
      <c r="V816" s="22" t="str">
        <f t="shared" si="64"/>
        <v>METROPOLITANA</v>
      </c>
    </row>
    <row r="817" spans="1:22" x14ac:dyDescent="0.2">
      <c r="A817" s="11" t="s">
        <v>1117</v>
      </c>
      <c r="B817" s="12" t="s">
        <v>33</v>
      </c>
      <c r="C817" s="12" t="s">
        <v>44</v>
      </c>
      <c r="D817" s="12" t="s">
        <v>47</v>
      </c>
      <c r="E817" s="13" t="s">
        <v>52</v>
      </c>
      <c r="F817" s="12" t="s">
        <v>48</v>
      </c>
      <c r="G817" s="14">
        <v>7655.6</v>
      </c>
      <c r="H817" s="12" t="s">
        <v>22</v>
      </c>
      <c r="I817" s="12">
        <v>0</v>
      </c>
      <c r="J817" s="12" t="s">
        <v>48</v>
      </c>
      <c r="K817" s="12" t="s">
        <v>23</v>
      </c>
      <c r="L817" s="12">
        <v>1</v>
      </c>
      <c r="M817" s="15">
        <v>53589</v>
      </c>
      <c r="N817" s="15">
        <v>30622</v>
      </c>
      <c r="O817" s="15">
        <f t="shared" si="60"/>
        <v>84211</v>
      </c>
      <c r="P817" s="15">
        <f t="shared" si="61"/>
        <v>10.999921625999267</v>
      </c>
      <c r="Q817" s="14">
        <v>4821</v>
      </c>
      <c r="R817" s="12">
        <v>100</v>
      </c>
      <c r="S817" s="12" t="s">
        <v>1139</v>
      </c>
      <c r="T817" s="22">
        <f t="shared" si="62"/>
        <v>12</v>
      </c>
      <c r="U817" s="22">
        <f t="shared" si="63"/>
        <v>2020</v>
      </c>
      <c r="V817" s="22" t="str">
        <f t="shared" si="64"/>
        <v>METROPOLITANA</v>
      </c>
    </row>
    <row r="818" spans="1:22" x14ac:dyDescent="0.2">
      <c r="A818" s="11" t="s">
        <v>1117</v>
      </c>
      <c r="B818" s="12" t="s">
        <v>33</v>
      </c>
      <c r="C818" s="12" t="s">
        <v>44</v>
      </c>
      <c r="D818" s="12" t="s">
        <v>35</v>
      </c>
      <c r="E818" s="13" t="s">
        <v>49</v>
      </c>
      <c r="F818" s="12" t="s">
        <v>182</v>
      </c>
      <c r="G818" s="14">
        <v>1789.4</v>
      </c>
      <c r="H818" s="12" t="s">
        <v>22</v>
      </c>
      <c r="I818" s="12">
        <v>0</v>
      </c>
      <c r="J818" s="12" t="s">
        <v>182</v>
      </c>
      <c r="K818" s="12" t="s">
        <v>23</v>
      </c>
      <c r="L818" s="12">
        <v>4</v>
      </c>
      <c r="M818" s="15">
        <v>56075</v>
      </c>
      <c r="N818" s="15">
        <v>12000</v>
      </c>
      <c r="O818" s="15">
        <f t="shared" si="60"/>
        <v>68075</v>
      </c>
      <c r="P818" s="15">
        <f t="shared" si="61"/>
        <v>38.043478260869563</v>
      </c>
      <c r="Q818" s="14">
        <v>8011</v>
      </c>
      <c r="R818" s="12">
        <v>22</v>
      </c>
      <c r="S818" s="12" t="s">
        <v>1140</v>
      </c>
      <c r="T818" s="22">
        <f t="shared" si="62"/>
        <v>12</v>
      </c>
      <c r="U818" s="22">
        <f t="shared" si="63"/>
        <v>2020</v>
      </c>
      <c r="V818" s="22" t="str">
        <f t="shared" si="64"/>
        <v>METROPOLITANA</v>
      </c>
    </row>
    <row r="819" spans="1:22" x14ac:dyDescent="0.2">
      <c r="A819" s="11" t="s">
        <v>1117</v>
      </c>
      <c r="B819" s="12" t="s">
        <v>33</v>
      </c>
      <c r="C819" s="12" t="s">
        <v>44</v>
      </c>
      <c r="D819" s="12" t="s">
        <v>41</v>
      </c>
      <c r="E819" s="13" t="s">
        <v>25</v>
      </c>
      <c r="F819" s="12" t="s">
        <v>53</v>
      </c>
      <c r="G819" s="14">
        <v>2402</v>
      </c>
      <c r="H819" s="12" t="s">
        <v>43</v>
      </c>
      <c r="I819" s="12">
        <v>0</v>
      </c>
      <c r="J819" s="12" t="s">
        <v>53</v>
      </c>
      <c r="K819" s="12" t="s">
        <v>23</v>
      </c>
      <c r="L819" s="12">
        <v>3</v>
      </c>
      <c r="M819" s="15">
        <v>48075</v>
      </c>
      <c r="N819" s="15">
        <f>G819*3</f>
        <v>7206</v>
      </c>
      <c r="O819" s="15">
        <f t="shared" si="60"/>
        <v>55281</v>
      </c>
      <c r="P819" s="15">
        <f t="shared" si="61"/>
        <v>23.014571190674438</v>
      </c>
      <c r="Q819" s="14">
        <v>6868</v>
      </c>
      <c r="R819" s="12">
        <v>35</v>
      </c>
      <c r="S819" s="12" t="s">
        <v>1141</v>
      </c>
      <c r="T819" s="22">
        <f t="shared" si="62"/>
        <v>12</v>
      </c>
      <c r="U819" s="22">
        <f t="shared" si="63"/>
        <v>2020</v>
      </c>
      <c r="V819" s="22" t="str">
        <f t="shared" si="64"/>
        <v>METROPOLITANA</v>
      </c>
    </row>
    <row r="820" spans="1:22" x14ac:dyDescent="0.2">
      <c r="A820" s="23" t="s">
        <v>1142</v>
      </c>
      <c r="B820" s="22" t="s">
        <v>54</v>
      </c>
      <c r="C820" s="22" t="s">
        <v>55</v>
      </c>
      <c r="D820" s="22" t="s">
        <v>118</v>
      </c>
      <c r="E820" s="24" t="s">
        <v>119</v>
      </c>
      <c r="F820" s="22" t="s">
        <v>66</v>
      </c>
      <c r="G820" s="25">
        <v>14627.599999999989</v>
      </c>
      <c r="H820" s="22" t="s">
        <v>85</v>
      </c>
      <c r="I820" s="22">
        <v>1</v>
      </c>
      <c r="J820" s="22" t="s">
        <v>66</v>
      </c>
      <c r="K820" s="22" t="s">
        <v>75</v>
      </c>
      <c r="L820" s="22">
        <v>0</v>
      </c>
      <c r="M820" s="26">
        <v>380000</v>
      </c>
      <c r="N820" s="26">
        <v>0</v>
      </c>
      <c r="O820" s="15">
        <f t="shared" si="60"/>
        <v>380000</v>
      </c>
      <c r="P820" s="15">
        <f t="shared" si="61"/>
        <v>25.978287620662329</v>
      </c>
      <c r="Q820" s="25">
        <v>25000</v>
      </c>
      <c r="R820" s="22">
        <v>59</v>
      </c>
      <c r="S820" s="22" t="s">
        <v>1143</v>
      </c>
      <c r="T820" s="22">
        <f t="shared" si="62"/>
        <v>12</v>
      </c>
      <c r="U820" s="22">
        <f t="shared" si="63"/>
        <v>2020</v>
      </c>
      <c r="V820" s="22" t="str">
        <f t="shared" si="64"/>
        <v>REGIONES</v>
      </c>
    </row>
    <row r="821" spans="1:22" x14ac:dyDescent="0.2">
      <c r="A821" s="23" t="s">
        <v>1142</v>
      </c>
      <c r="B821" s="22" t="s">
        <v>18</v>
      </c>
      <c r="C821" s="22" t="s">
        <v>71</v>
      </c>
      <c r="D821" s="22" t="s">
        <v>30</v>
      </c>
      <c r="E821" s="24" t="s">
        <v>31</v>
      </c>
      <c r="F821" s="22" t="s">
        <v>72</v>
      </c>
      <c r="G821" s="25">
        <v>8739.0899999999983</v>
      </c>
      <c r="H821" s="22" t="s">
        <v>32</v>
      </c>
      <c r="I821" s="22">
        <v>0</v>
      </c>
      <c r="J821" s="22" t="s">
        <v>72</v>
      </c>
      <c r="K821" s="22" t="s">
        <v>23</v>
      </c>
      <c r="L821" s="22">
        <v>5</v>
      </c>
      <c r="M821" s="26">
        <v>90000</v>
      </c>
      <c r="N821" s="26">
        <f>G821*3</f>
        <v>26217.269999999997</v>
      </c>
      <c r="O821" s="15">
        <f t="shared" si="60"/>
        <v>116217.26999999999</v>
      </c>
      <c r="P821" s="15">
        <f t="shared" si="61"/>
        <v>13.298555112717686</v>
      </c>
      <c r="Q821" s="25">
        <v>12000</v>
      </c>
      <c r="R821" s="22">
        <v>73</v>
      </c>
      <c r="S821" s="22" t="s">
        <v>1144</v>
      </c>
      <c r="T821" s="22">
        <f t="shared" si="62"/>
        <v>12</v>
      </c>
      <c r="U821" s="22">
        <f t="shared" si="63"/>
        <v>2020</v>
      </c>
      <c r="V821" s="22" t="str">
        <f t="shared" si="64"/>
        <v>METROPOLITANA</v>
      </c>
    </row>
    <row r="822" spans="1:22" x14ac:dyDescent="0.2">
      <c r="A822" s="23" t="s">
        <v>1142</v>
      </c>
      <c r="B822" s="22" t="s">
        <v>18</v>
      </c>
      <c r="C822" s="22" t="s">
        <v>19</v>
      </c>
      <c r="D822" s="22" t="s">
        <v>37</v>
      </c>
      <c r="E822" s="24" t="s">
        <v>40</v>
      </c>
      <c r="F822" s="22" t="s">
        <v>67</v>
      </c>
      <c r="G822" s="25">
        <v>14231.32</v>
      </c>
      <c r="H822" s="22" t="s">
        <v>22</v>
      </c>
      <c r="I822" s="22">
        <v>0</v>
      </c>
      <c r="J822" s="22" t="s">
        <v>67</v>
      </c>
      <c r="K822" s="22" t="s">
        <v>23</v>
      </c>
      <c r="L822" s="22">
        <v>2</v>
      </c>
      <c r="M822" s="26">
        <v>99619</v>
      </c>
      <c r="N822" s="26">
        <f>G822*4</f>
        <v>56925.279999999999</v>
      </c>
      <c r="O822" s="15">
        <f t="shared" si="60"/>
        <v>156544.28</v>
      </c>
      <c r="P822" s="15">
        <f t="shared" si="61"/>
        <v>10.999983135787826</v>
      </c>
      <c r="Q822" s="25">
        <v>5782</v>
      </c>
      <c r="R822" s="22">
        <v>100</v>
      </c>
      <c r="S822" s="22" t="s">
        <v>1145</v>
      </c>
      <c r="T822" s="22">
        <f t="shared" si="62"/>
        <v>12</v>
      </c>
      <c r="U822" s="22">
        <f t="shared" si="63"/>
        <v>2020</v>
      </c>
      <c r="V822" s="22" t="str">
        <f t="shared" si="64"/>
        <v>METROPOLITANA</v>
      </c>
    </row>
    <row r="823" spans="1:22" x14ac:dyDescent="0.2">
      <c r="A823" s="23" t="s">
        <v>1142</v>
      </c>
      <c r="B823" s="22" t="s">
        <v>18</v>
      </c>
      <c r="C823" s="22" t="s">
        <v>44</v>
      </c>
      <c r="D823" s="22" t="s">
        <v>27</v>
      </c>
      <c r="E823" s="24" t="s">
        <v>1146</v>
      </c>
      <c r="F823" s="22" t="s">
        <v>39</v>
      </c>
      <c r="G823" s="25">
        <v>10488.26</v>
      </c>
      <c r="H823" s="22" t="s">
        <v>22</v>
      </c>
      <c r="I823" s="22">
        <v>1</v>
      </c>
      <c r="J823" s="22" t="s">
        <v>39</v>
      </c>
      <c r="K823" s="22" t="s">
        <v>23</v>
      </c>
      <c r="L823" s="22">
        <v>1</v>
      </c>
      <c r="M823" s="26">
        <v>73418</v>
      </c>
      <c r="N823" s="26">
        <v>41953</v>
      </c>
      <c r="O823" s="15">
        <f t="shared" si="60"/>
        <v>115371</v>
      </c>
      <c r="P823" s="15">
        <f t="shared" si="61"/>
        <v>11.000013348257957</v>
      </c>
      <c r="Q823" s="25">
        <v>4821</v>
      </c>
      <c r="R823" s="22">
        <v>100</v>
      </c>
      <c r="S823" s="22" t="s">
        <v>1147</v>
      </c>
      <c r="T823" s="22">
        <f t="shared" si="62"/>
        <v>12</v>
      </c>
      <c r="U823" s="22">
        <f t="shared" si="63"/>
        <v>2020</v>
      </c>
      <c r="V823" s="22" t="str">
        <f t="shared" si="64"/>
        <v>METROPOLITANA</v>
      </c>
    </row>
    <row r="824" spans="1:22" x14ac:dyDescent="0.2">
      <c r="A824" s="23" t="s">
        <v>1142</v>
      </c>
      <c r="B824" s="22" t="s">
        <v>18</v>
      </c>
      <c r="C824" s="22" t="s">
        <v>508</v>
      </c>
      <c r="D824" s="22" t="s">
        <v>38</v>
      </c>
      <c r="E824" s="24" t="s">
        <v>1148</v>
      </c>
      <c r="F824" s="22" t="s">
        <v>51</v>
      </c>
      <c r="G824" s="25">
        <v>4177.3100000000004</v>
      </c>
      <c r="H824" s="22" t="s">
        <v>43</v>
      </c>
      <c r="I824" s="22">
        <v>0</v>
      </c>
      <c r="J824" s="22" t="s">
        <v>51</v>
      </c>
      <c r="K824" s="22" t="s">
        <v>23</v>
      </c>
      <c r="L824" s="22">
        <v>4</v>
      </c>
      <c r="M824" s="26">
        <v>56075</v>
      </c>
      <c r="N824" s="26">
        <f>G824*3</f>
        <v>12531.93</v>
      </c>
      <c r="O824" s="15">
        <f t="shared" si="60"/>
        <v>68606.929999999993</v>
      </c>
      <c r="P824" s="15">
        <f t="shared" si="61"/>
        <v>16.423710473965301</v>
      </c>
      <c r="Q824" s="25">
        <v>8011</v>
      </c>
      <c r="R824" s="22">
        <v>52</v>
      </c>
      <c r="S824" s="22" t="s">
        <v>1149</v>
      </c>
      <c r="T824" s="22">
        <f t="shared" si="62"/>
        <v>12</v>
      </c>
      <c r="U824" s="22">
        <f t="shared" si="63"/>
        <v>2020</v>
      </c>
      <c r="V824" s="22" t="str">
        <f t="shared" si="64"/>
        <v>METROPOLITANA</v>
      </c>
    </row>
    <row r="825" spans="1:22" x14ac:dyDescent="0.2">
      <c r="A825" s="23" t="s">
        <v>1142</v>
      </c>
      <c r="B825" s="22" t="s">
        <v>18</v>
      </c>
      <c r="C825" s="22" t="s">
        <v>508</v>
      </c>
      <c r="D825" s="22" t="s">
        <v>20</v>
      </c>
      <c r="E825" s="24" t="s">
        <v>88</v>
      </c>
      <c r="F825" s="22" t="s">
        <v>51</v>
      </c>
      <c r="G825" s="25">
        <v>4969.55</v>
      </c>
      <c r="H825" s="22" t="s">
        <v>22</v>
      </c>
      <c r="I825" s="22">
        <v>0</v>
      </c>
      <c r="J825" s="22" t="s">
        <v>51</v>
      </c>
      <c r="K825" s="22" t="s">
        <v>23</v>
      </c>
      <c r="L825" s="22">
        <v>4</v>
      </c>
      <c r="M825" s="26">
        <v>56075</v>
      </c>
      <c r="N825" s="26">
        <f>G825*4</f>
        <v>19878.2</v>
      </c>
      <c r="O825" s="15">
        <f t="shared" si="60"/>
        <v>75953.2</v>
      </c>
      <c r="P825" s="15">
        <f t="shared" si="61"/>
        <v>15.283717841655681</v>
      </c>
      <c r="Q825" s="25">
        <v>8011</v>
      </c>
      <c r="R825" s="22">
        <v>62</v>
      </c>
      <c r="S825" s="22" t="s">
        <v>1150</v>
      </c>
      <c r="T825" s="22">
        <f t="shared" si="62"/>
        <v>12</v>
      </c>
      <c r="U825" s="22">
        <f t="shared" si="63"/>
        <v>2020</v>
      </c>
      <c r="V825" s="22" t="str">
        <f t="shared" si="64"/>
        <v>METROPOLITANA</v>
      </c>
    </row>
    <row r="826" spans="1:22" x14ac:dyDescent="0.2">
      <c r="A826" s="23" t="s">
        <v>1142</v>
      </c>
      <c r="B826" s="22" t="s">
        <v>33</v>
      </c>
      <c r="C826" s="22" t="s">
        <v>163</v>
      </c>
      <c r="D826" s="22" t="s">
        <v>41</v>
      </c>
      <c r="E826" s="24" t="s">
        <v>25</v>
      </c>
      <c r="F826" s="22" t="s">
        <v>165</v>
      </c>
      <c r="G826" s="25">
        <v>9999.3599999999969</v>
      </c>
      <c r="H826" s="22" t="s">
        <v>43</v>
      </c>
      <c r="I826" s="22">
        <v>0</v>
      </c>
      <c r="J826" s="22" t="s">
        <v>165</v>
      </c>
      <c r="K826" s="22" t="s">
        <v>23</v>
      </c>
      <c r="L826" s="22">
        <v>4</v>
      </c>
      <c r="M826" s="26">
        <v>69996</v>
      </c>
      <c r="N826" s="26">
        <f>G826*4</f>
        <v>39997.439999999988</v>
      </c>
      <c r="O826" s="15">
        <f t="shared" si="60"/>
        <v>109993.43999999999</v>
      </c>
      <c r="P826" s="15">
        <f t="shared" si="61"/>
        <v>11.000048003072198</v>
      </c>
      <c r="Q826" s="25">
        <v>8011</v>
      </c>
      <c r="R826" s="22">
        <v>100</v>
      </c>
      <c r="S826" s="22" t="s">
        <v>1151</v>
      </c>
      <c r="T826" s="22">
        <f t="shared" si="62"/>
        <v>12</v>
      </c>
      <c r="U826" s="22">
        <f t="shared" si="63"/>
        <v>2020</v>
      </c>
      <c r="V826" s="22" t="str">
        <f t="shared" si="64"/>
        <v>METROPOLITANA</v>
      </c>
    </row>
    <row r="827" spans="1:22" x14ac:dyDescent="0.2">
      <c r="A827" s="23" t="s">
        <v>1142</v>
      </c>
      <c r="B827" s="22" t="s">
        <v>33</v>
      </c>
      <c r="C827" s="22" t="s">
        <v>128</v>
      </c>
      <c r="D827" s="22" t="s">
        <v>63</v>
      </c>
      <c r="E827" s="24" t="s">
        <v>64</v>
      </c>
      <c r="F827" s="22" t="s">
        <v>34</v>
      </c>
      <c r="G827" s="25">
        <v>7979.199999999998</v>
      </c>
      <c r="H827" s="22" t="s">
        <v>65</v>
      </c>
      <c r="I827" s="22">
        <v>0</v>
      </c>
      <c r="J827" s="22" t="s">
        <v>34</v>
      </c>
      <c r="K827" s="22" t="s">
        <v>23</v>
      </c>
      <c r="L827" s="22">
        <v>1</v>
      </c>
      <c r="M827" s="26">
        <v>55854</v>
      </c>
      <c r="N827" s="26">
        <v>23938</v>
      </c>
      <c r="O827" s="15">
        <f t="shared" si="60"/>
        <v>79792</v>
      </c>
      <c r="P827" s="15">
        <f t="shared" si="61"/>
        <v>10.000000000000002</v>
      </c>
      <c r="Q827" s="25">
        <v>4821</v>
      </c>
      <c r="R827" s="22">
        <v>100</v>
      </c>
      <c r="S827" s="22" t="s">
        <v>1152</v>
      </c>
      <c r="T827" s="22">
        <f t="shared" si="62"/>
        <v>12</v>
      </c>
      <c r="U827" s="22">
        <f t="shared" si="63"/>
        <v>2020</v>
      </c>
      <c r="V827" s="22" t="str">
        <f t="shared" si="64"/>
        <v>METROPOLITANA</v>
      </c>
    </row>
    <row r="828" spans="1:22" x14ac:dyDescent="0.2">
      <c r="A828" s="23" t="s">
        <v>1142</v>
      </c>
      <c r="B828" s="22" t="s">
        <v>33</v>
      </c>
      <c r="C828" s="22" t="s">
        <v>128</v>
      </c>
      <c r="D828" s="22" t="s">
        <v>30</v>
      </c>
      <c r="E828" s="24" t="s">
        <v>31</v>
      </c>
      <c r="F828" s="22" t="s">
        <v>34</v>
      </c>
      <c r="G828" s="25">
        <v>9004.7999999999975</v>
      </c>
      <c r="H828" s="22" t="s">
        <v>32</v>
      </c>
      <c r="I828" s="22">
        <v>0</v>
      </c>
      <c r="J828" s="22" t="s">
        <v>34</v>
      </c>
      <c r="K828" s="22" t="s">
        <v>23</v>
      </c>
      <c r="L828" s="22">
        <v>1</v>
      </c>
      <c r="M828" s="26">
        <v>63034</v>
      </c>
      <c r="N828" s="26">
        <v>27014</v>
      </c>
      <c r="O828" s="15">
        <f t="shared" si="60"/>
        <v>90048</v>
      </c>
      <c r="P828" s="15">
        <f t="shared" si="61"/>
        <v>10.000000000000004</v>
      </c>
      <c r="Q828" s="25">
        <v>4821</v>
      </c>
      <c r="R828" s="22">
        <v>100</v>
      </c>
      <c r="S828" s="22" t="s">
        <v>1153</v>
      </c>
      <c r="T828" s="22">
        <f t="shared" si="62"/>
        <v>12</v>
      </c>
      <c r="U828" s="22">
        <f t="shared" si="63"/>
        <v>2020</v>
      </c>
      <c r="V828" s="22" t="str">
        <f t="shared" si="64"/>
        <v>METROPOLITANA</v>
      </c>
    </row>
    <row r="829" spans="1:22" x14ac:dyDescent="0.2">
      <c r="A829" s="23" t="s">
        <v>1142</v>
      </c>
      <c r="B829" s="22" t="s">
        <v>33</v>
      </c>
      <c r="C829" s="22" t="s">
        <v>128</v>
      </c>
      <c r="D829" s="22" t="s">
        <v>47</v>
      </c>
      <c r="E829" s="24" t="s">
        <v>21</v>
      </c>
      <c r="F829" s="22" t="s">
        <v>34</v>
      </c>
      <c r="G829" s="25">
        <v>5124.0000000000018</v>
      </c>
      <c r="H829" s="22" t="s">
        <v>22</v>
      </c>
      <c r="I829" s="22">
        <v>0</v>
      </c>
      <c r="J829" s="22" t="s">
        <v>34</v>
      </c>
      <c r="K829" s="22" t="s">
        <v>23</v>
      </c>
      <c r="L829" s="22">
        <v>1</v>
      </c>
      <c r="M829" s="26">
        <v>35868</v>
      </c>
      <c r="N829" s="26">
        <v>20496</v>
      </c>
      <c r="O829" s="15">
        <f t="shared" si="60"/>
        <v>56364</v>
      </c>
      <c r="P829" s="15">
        <f t="shared" si="61"/>
        <v>10.999999999999996</v>
      </c>
      <c r="Q829" s="25">
        <v>4821</v>
      </c>
      <c r="R829" s="22">
        <v>100</v>
      </c>
      <c r="S829" s="22" t="s">
        <v>1154</v>
      </c>
      <c r="T829" s="22">
        <f t="shared" si="62"/>
        <v>12</v>
      </c>
      <c r="U829" s="22">
        <f t="shared" si="63"/>
        <v>2020</v>
      </c>
      <c r="V829" s="22" t="str">
        <f t="shared" si="64"/>
        <v>METROPOLITANA</v>
      </c>
    </row>
    <row r="830" spans="1:22" x14ac:dyDescent="0.2">
      <c r="A830" s="23" t="s">
        <v>1142</v>
      </c>
      <c r="B830" s="22" t="s">
        <v>33</v>
      </c>
      <c r="C830" s="22" t="s">
        <v>128</v>
      </c>
      <c r="D830" s="22" t="s">
        <v>41</v>
      </c>
      <c r="E830" s="24" t="s">
        <v>25</v>
      </c>
      <c r="F830" s="22" t="s">
        <v>34</v>
      </c>
      <c r="G830" s="25">
        <v>6314.8</v>
      </c>
      <c r="H830" s="22" t="s">
        <v>43</v>
      </c>
      <c r="I830" s="22">
        <v>0</v>
      </c>
      <c r="J830" s="22" t="s">
        <v>34</v>
      </c>
      <c r="K830" s="22" t="s">
        <v>23</v>
      </c>
      <c r="L830" s="22">
        <v>1</v>
      </c>
      <c r="M830" s="26">
        <v>44204</v>
      </c>
      <c r="N830" s="26">
        <v>18944</v>
      </c>
      <c r="O830" s="15">
        <f t="shared" si="60"/>
        <v>63148</v>
      </c>
      <c r="P830" s="15">
        <f t="shared" si="61"/>
        <v>10</v>
      </c>
      <c r="Q830" s="25">
        <v>4821</v>
      </c>
      <c r="R830" s="22">
        <v>100</v>
      </c>
      <c r="S830" s="22" t="s">
        <v>1155</v>
      </c>
      <c r="T830" s="22">
        <f t="shared" si="62"/>
        <v>12</v>
      </c>
      <c r="U830" s="22">
        <f t="shared" si="63"/>
        <v>2020</v>
      </c>
      <c r="V830" s="22" t="str">
        <f t="shared" si="64"/>
        <v>METROPOLITANA</v>
      </c>
    </row>
    <row r="831" spans="1:22" x14ac:dyDescent="0.2">
      <c r="A831" s="23" t="s">
        <v>1142</v>
      </c>
      <c r="B831" s="22" t="s">
        <v>33</v>
      </c>
      <c r="C831" s="22" t="s">
        <v>36</v>
      </c>
      <c r="D831" s="22" t="s">
        <v>37</v>
      </c>
      <c r="E831" s="24" t="s">
        <v>40</v>
      </c>
      <c r="F831" s="22" t="s">
        <v>230</v>
      </c>
      <c r="G831" s="25">
        <v>4464.8</v>
      </c>
      <c r="H831" s="22" t="s">
        <v>22</v>
      </c>
      <c r="I831" s="22">
        <v>0</v>
      </c>
      <c r="J831" s="22" t="s">
        <v>230</v>
      </c>
      <c r="K831" s="22" t="s">
        <v>23</v>
      </c>
      <c r="L831" s="22">
        <v>4</v>
      </c>
      <c r="M831" s="26">
        <v>56075</v>
      </c>
      <c r="N831" s="26">
        <f>G832*4</f>
        <v>21929.600000000002</v>
      </c>
      <c r="O831" s="15">
        <f t="shared" si="60"/>
        <v>78004.600000000006</v>
      </c>
      <c r="P831" s="15">
        <f t="shared" si="61"/>
        <v>17.471017738756498</v>
      </c>
      <c r="Q831" s="25">
        <v>8011</v>
      </c>
      <c r="R831" s="22">
        <v>56</v>
      </c>
      <c r="S831" s="22" t="s">
        <v>1156</v>
      </c>
      <c r="T831" s="22">
        <f t="shared" si="62"/>
        <v>12</v>
      </c>
      <c r="U831" s="22">
        <f t="shared" si="63"/>
        <v>2020</v>
      </c>
      <c r="V831" s="22" t="str">
        <f t="shared" si="64"/>
        <v>METROPOLITANA</v>
      </c>
    </row>
    <row r="832" spans="1:22" x14ac:dyDescent="0.2">
      <c r="A832" s="23" t="s">
        <v>1142</v>
      </c>
      <c r="B832" s="22" t="s">
        <v>33</v>
      </c>
      <c r="C832" s="22" t="s">
        <v>36</v>
      </c>
      <c r="D832" s="22" t="s">
        <v>35</v>
      </c>
      <c r="E832" s="24" t="s">
        <v>88</v>
      </c>
      <c r="F832" s="22" t="s">
        <v>51</v>
      </c>
      <c r="G832" s="25">
        <v>5482.4000000000005</v>
      </c>
      <c r="H832" s="22" t="s">
        <v>22</v>
      </c>
      <c r="I832" s="22">
        <v>0</v>
      </c>
      <c r="J832" s="22" t="s">
        <v>51</v>
      </c>
      <c r="K832" s="22" t="s">
        <v>23</v>
      </c>
      <c r="L832" s="22">
        <v>4</v>
      </c>
      <c r="M832" s="26">
        <v>56075</v>
      </c>
      <c r="N832" s="26">
        <f>G832*4</f>
        <v>21929.600000000002</v>
      </c>
      <c r="O832" s="15">
        <f t="shared" si="60"/>
        <v>78004.600000000006</v>
      </c>
      <c r="P832" s="15">
        <f t="shared" si="61"/>
        <v>14.228184736611702</v>
      </c>
      <c r="Q832" s="25">
        <v>8011</v>
      </c>
      <c r="R832" s="22">
        <v>68</v>
      </c>
      <c r="S832" s="22" t="s">
        <v>1157</v>
      </c>
      <c r="T832" s="22">
        <f t="shared" si="62"/>
        <v>12</v>
      </c>
      <c r="U832" s="22">
        <f t="shared" si="63"/>
        <v>2020</v>
      </c>
      <c r="V832" s="22" t="str">
        <f t="shared" si="64"/>
        <v>METROPOLITANA</v>
      </c>
    </row>
    <row r="833" spans="1:22" x14ac:dyDescent="0.2">
      <c r="A833" s="23" t="s">
        <v>1142</v>
      </c>
      <c r="B833" s="22" t="s">
        <v>33</v>
      </c>
      <c r="C833" s="22" t="s">
        <v>36</v>
      </c>
      <c r="D833" s="22" t="s">
        <v>164</v>
      </c>
      <c r="E833" s="24" t="s">
        <v>28</v>
      </c>
      <c r="F833" s="22" t="s">
        <v>170</v>
      </c>
      <c r="G833" s="25">
        <v>15790.79999999999</v>
      </c>
      <c r="H833" s="22" t="s">
        <v>22</v>
      </c>
      <c r="I833" s="22">
        <v>1</v>
      </c>
      <c r="J833" s="22" t="s">
        <v>170</v>
      </c>
      <c r="K833" s="22" t="s">
        <v>171</v>
      </c>
      <c r="L833" s="22">
        <v>0</v>
      </c>
      <c r="M833" s="26">
        <v>230000</v>
      </c>
      <c r="N833" s="26">
        <f>G833*4</f>
        <v>63163.199999999961</v>
      </c>
      <c r="O833" s="15">
        <f t="shared" si="60"/>
        <v>293163.19999999995</v>
      </c>
      <c r="P833" s="15">
        <f t="shared" si="61"/>
        <v>18.565443169440442</v>
      </c>
      <c r="Q833" s="25">
        <v>25000</v>
      </c>
      <c r="R833" s="22">
        <v>63</v>
      </c>
      <c r="S833" s="22" t="s">
        <v>1158</v>
      </c>
      <c r="T833" s="22">
        <f t="shared" si="62"/>
        <v>12</v>
      </c>
      <c r="U833" s="22">
        <f t="shared" si="63"/>
        <v>2020</v>
      </c>
      <c r="V833" s="22" t="str">
        <f t="shared" si="64"/>
        <v>REGIONES</v>
      </c>
    </row>
    <row r="834" spans="1:22" x14ac:dyDescent="0.2">
      <c r="A834" s="23" t="s">
        <v>1142</v>
      </c>
      <c r="B834" s="22" t="s">
        <v>33</v>
      </c>
      <c r="C834" s="22" t="s">
        <v>44</v>
      </c>
      <c r="D834" s="22" t="s">
        <v>56</v>
      </c>
      <c r="E834" s="24" t="s">
        <v>21</v>
      </c>
      <c r="F834" s="22" t="s">
        <v>48</v>
      </c>
      <c r="G834" s="25">
        <v>4225.6000000000004</v>
      </c>
      <c r="H834" s="22" t="s">
        <v>22</v>
      </c>
      <c r="I834" s="22">
        <v>0</v>
      </c>
      <c r="J834" s="22" t="s">
        <v>48</v>
      </c>
      <c r="K834" s="22" t="s">
        <v>23</v>
      </c>
      <c r="L834" s="22">
        <v>1</v>
      </c>
      <c r="M834" s="26">
        <v>33750</v>
      </c>
      <c r="N834" s="26">
        <v>16902</v>
      </c>
      <c r="O834" s="15">
        <f t="shared" ref="O834:O897" si="65">SUM(M834:N834)</f>
        <v>50652</v>
      </c>
      <c r="P834" s="15">
        <f t="shared" ref="P834:P897" si="66">O834/G834</f>
        <v>11.986936766376372</v>
      </c>
      <c r="Q834" s="25">
        <v>4821</v>
      </c>
      <c r="R834" s="22">
        <v>88</v>
      </c>
      <c r="S834" s="22" t="s">
        <v>1159</v>
      </c>
      <c r="T834" s="22">
        <f t="shared" ref="T834:T897" si="67">MONTH(A834)</f>
        <v>12</v>
      </c>
      <c r="U834" s="22">
        <f t="shared" ref="U834:U897" si="68">YEAR(A834)</f>
        <v>2020</v>
      </c>
      <c r="V834" s="22" t="str">
        <f t="shared" ref="V834:V897" si="69">IF(K834="METROPOLITANA DE SANTIAGO","METROPOLITANA","REGIONES")</f>
        <v>METROPOLITANA</v>
      </c>
    </row>
    <row r="835" spans="1:22" x14ac:dyDescent="0.2">
      <c r="A835" s="23" t="s">
        <v>1142</v>
      </c>
      <c r="B835" s="22" t="s">
        <v>33</v>
      </c>
      <c r="C835" s="22" t="s">
        <v>44</v>
      </c>
      <c r="D835" s="22" t="s">
        <v>45</v>
      </c>
      <c r="E835" s="24" t="s">
        <v>52</v>
      </c>
      <c r="F835" s="22" t="s">
        <v>34</v>
      </c>
      <c r="G835" s="25">
        <v>4339.2</v>
      </c>
      <c r="H835" s="22" t="s">
        <v>22</v>
      </c>
      <c r="I835" s="22">
        <v>0</v>
      </c>
      <c r="J835" s="22" t="s">
        <v>34</v>
      </c>
      <c r="K835" s="22" t="s">
        <v>23</v>
      </c>
      <c r="L835" s="22">
        <v>1</v>
      </c>
      <c r="M835" s="26">
        <v>33750</v>
      </c>
      <c r="N835" s="26">
        <v>17357</v>
      </c>
      <c r="O835" s="15">
        <f t="shared" si="65"/>
        <v>51107</v>
      </c>
      <c r="P835" s="15">
        <f t="shared" si="66"/>
        <v>11.777977507374631</v>
      </c>
      <c r="Q835" s="25">
        <v>4821</v>
      </c>
      <c r="R835" s="22">
        <v>90</v>
      </c>
      <c r="S835" s="22" t="s">
        <v>1160</v>
      </c>
      <c r="T835" s="22">
        <f t="shared" si="67"/>
        <v>12</v>
      </c>
      <c r="U835" s="22">
        <f t="shared" si="68"/>
        <v>2020</v>
      </c>
      <c r="V835" s="22" t="str">
        <f t="shared" si="69"/>
        <v>METROPOLITANA</v>
      </c>
    </row>
    <row r="836" spans="1:22" x14ac:dyDescent="0.2">
      <c r="A836" s="23" t="s">
        <v>1142</v>
      </c>
      <c r="B836" s="22" t="s">
        <v>33</v>
      </c>
      <c r="C836" s="22" t="s">
        <v>44</v>
      </c>
      <c r="D836" s="22" t="s">
        <v>47</v>
      </c>
      <c r="E836" s="24" t="s">
        <v>49</v>
      </c>
      <c r="F836" s="22" t="s">
        <v>94</v>
      </c>
      <c r="G836" s="25">
        <v>7016.2</v>
      </c>
      <c r="H836" s="22" t="s">
        <v>22</v>
      </c>
      <c r="I836" s="22">
        <v>0</v>
      </c>
      <c r="J836" s="22" t="s">
        <v>59</v>
      </c>
      <c r="K836" s="22" t="s">
        <v>78</v>
      </c>
      <c r="L836" s="22">
        <v>0</v>
      </c>
      <c r="M836" s="26">
        <v>180000</v>
      </c>
      <c r="N836" s="26">
        <f>G836*4</f>
        <v>28064.799999999999</v>
      </c>
      <c r="O836" s="15">
        <f t="shared" si="65"/>
        <v>208064.8</v>
      </c>
      <c r="P836" s="15">
        <f t="shared" si="66"/>
        <v>29.654912915823378</v>
      </c>
      <c r="Q836" s="25">
        <v>25000</v>
      </c>
      <c r="R836" s="22">
        <v>28</v>
      </c>
      <c r="S836" s="22" t="s">
        <v>1161</v>
      </c>
      <c r="T836" s="22">
        <f t="shared" si="67"/>
        <v>12</v>
      </c>
      <c r="U836" s="22">
        <f t="shared" si="68"/>
        <v>2020</v>
      </c>
      <c r="V836" s="22" t="str">
        <f t="shared" si="69"/>
        <v>REGIONES</v>
      </c>
    </row>
    <row r="837" spans="1:22" x14ac:dyDescent="0.2">
      <c r="A837" s="23" t="s">
        <v>1142</v>
      </c>
      <c r="B837" s="22" t="s">
        <v>33</v>
      </c>
      <c r="C837" s="22" t="s">
        <v>44</v>
      </c>
      <c r="D837" s="22" t="s">
        <v>41</v>
      </c>
      <c r="E837" s="24" t="s">
        <v>42</v>
      </c>
      <c r="F837" s="22" t="s">
        <v>229</v>
      </c>
      <c r="G837" s="25">
        <v>6155.1999999999989</v>
      </c>
      <c r="H837" s="22" t="s">
        <v>43</v>
      </c>
      <c r="I837" s="22">
        <v>0</v>
      </c>
      <c r="J837" s="22" t="s">
        <v>230</v>
      </c>
      <c r="K837" s="22" t="s">
        <v>23</v>
      </c>
      <c r="L837" s="22">
        <v>4</v>
      </c>
      <c r="M837" s="26">
        <v>56075</v>
      </c>
      <c r="N837" s="26">
        <v>18466</v>
      </c>
      <c r="O837" s="15">
        <f t="shared" si="65"/>
        <v>74541</v>
      </c>
      <c r="P837" s="15">
        <f t="shared" si="66"/>
        <v>12.110248245386018</v>
      </c>
      <c r="Q837" s="25">
        <v>8011</v>
      </c>
      <c r="R837" s="22">
        <v>77</v>
      </c>
      <c r="S837" s="22" t="s">
        <v>1162</v>
      </c>
      <c r="T837" s="22">
        <f t="shared" si="67"/>
        <v>12</v>
      </c>
      <c r="U837" s="22">
        <f t="shared" si="68"/>
        <v>2020</v>
      </c>
      <c r="V837" s="22" t="str">
        <f t="shared" si="69"/>
        <v>METROPOLITANA</v>
      </c>
    </row>
    <row r="838" spans="1:22" x14ac:dyDescent="0.2">
      <c r="A838" s="23" t="s">
        <v>1142</v>
      </c>
      <c r="B838" s="22" t="s">
        <v>33</v>
      </c>
      <c r="C838" s="22" t="s">
        <v>1163</v>
      </c>
      <c r="D838" s="22" t="s">
        <v>1164</v>
      </c>
      <c r="E838" s="24" t="s">
        <v>1165</v>
      </c>
      <c r="F838" s="22" t="s">
        <v>1166</v>
      </c>
      <c r="G838" s="25">
        <v>18354</v>
      </c>
      <c r="H838" s="22" t="s">
        <v>24</v>
      </c>
      <c r="I838" s="22">
        <v>1</v>
      </c>
      <c r="J838" s="22" t="s">
        <v>1166</v>
      </c>
      <c r="K838" s="22" t="s">
        <v>23</v>
      </c>
      <c r="L838" s="22">
        <v>5</v>
      </c>
      <c r="M838" s="26">
        <v>230000</v>
      </c>
      <c r="N838" s="26">
        <v>0</v>
      </c>
      <c r="O838" s="15">
        <f t="shared" si="65"/>
        <v>230000</v>
      </c>
      <c r="P838" s="15">
        <f t="shared" si="66"/>
        <v>12.531328320802006</v>
      </c>
      <c r="Q838" s="25">
        <v>12000</v>
      </c>
      <c r="R838" s="22">
        <v>100</v>
      </c>
      <c r="S838" s="22" t="s">
        <v>1167</v>
      </c>
      <c r="T838" s="22">
        <f t="shared" si="67"/>
        <v>12</v>
      </c>
      <c r="U838" s="22">
        <f t="shared" si="68"/>
        <v>2020</v>
      </c>
      <c r="V838" s="22" t="str">
        <f t="shared" si="69"/>
        <v>METROPOLITANA</v>
      </c>
    </row>
    <row r="839" spans="1:22" x14ac:dyDescent="0.2">
      <c r="A839" s="11" t="s">
        <v>1168</v>
      </c>
      <c r="B839" s="12" t="s">
        <v>18</v>
      </c>
      <c r="C839" s="12" t="s">
        <v>71</v>
      </c>
      <c r="D839" s="12" t="s">
        <v>30</v>
      </c>
      <c r="E839" s="13" t="s">
        <v>31</v>
      </c>
      <c r="F839" s="12" t="s">
        <v>72</v>
      </c>
      <c r="G839" s="14">
        <v>7683.74</v>
      </c>
      <c r="H839" s="12" t="s">
        <v>32</v>
      </c>
      <c r="I839" s="12">
        <v>0</v>
      </c>
      <c r="J839" s="12" t="s">
        <v>72</v>
      </c>
      <c r="K839" s="12" t="s">
        <v>23</v>
      </c>
      <c r="L839" s="12">
        <v>5</v>
      </c>
      <c r="M839" s="15">
        <v>90000</v>
      </c>
      <c r="N839" s="15">
        <f>G839*3</f>
        <v>23051.22</v>
      </c>
      <c r="O839" s="15">
        <f t="shared" si="65"/>
        <v>113051.22</v>
      </c>
      <c r="P839" s="15">
        <f t="shared" si="66"/>
        <v>14.713045990624359</v>
      </c>
      <c r="Q839" s="14">
        <v>12000</v>
      </c>
      <c r="R839" s="12">
        <v>64</v>
      </c>
      <c r="S839" s="12" t="s">
        <v>1169</v>
      </c>
      <c r="T839" s="22">
        <f t="shared" si="67"/>
        <v>12</v>
      </c>
      <c r="U839" s="22">
        <f t="shared" si="68"/>
        <v>2020</v>
      </c>
      <c r="V839" s="22" t="str">
        <f t="shared" si="69"/>
        <v>METROPOLITANA</v>
      </c>
    </row>
    <row r="840" spans="1:22" x14ac:dyDescent="0.2">
      <c r="A840" s="11" t="s">
        <v>1168</v>
      </c>
      <c r="B840" s="12" t="s">
        <v>18</v>
      </c>
      <c r="C840" s="12" t="s">
        <v>57</v>
      </c>
      <c r="D840" s="12" t="s">
        <v>1170</v>
      </c>
      <c r="E840" s="13" t="s">
        <v>81</v>
      </c>
      <c r="F840" s="12" t="s">
        <v>458</v>
      </c>
      <c r="G840" s="14">
        <v>8876.73</v>
      </c>
      <c r="H840" s="12" t="s">
        <v>24</v>
      </c>
      <c r="I840" s="12">
        <v>1</v>
      </c>
      <c r="J840" s="12" t="s">
        <v>458</v>
      </c>
      <c r="K840" s="12" t="s">
        <v>75</v>
      </c>
      <c r="L840" s="12">
        <v>0</v>
      </c>
      <c r="M840" s="15">
        <v>400000</v>
      </c>
      <c r="N840" s="15">
        <v>0</v>
      </c>
      <c r="O840" s="15">
        <f t="shared" si="65"/>
        <v>400000</v>
      </c>
      <c r="P840" s="15">
        <f t="shared" si="66"/>
        <v>45.061638689021748</v>
      </c>
      <c r="Q840" s="14">
        <v>25000</v>
      </c>
      <c r="R840" s="12">
        <v>36</v>
      </c>
      <c r="S840" s="12" t="s">
        <v>1171</v>
      </c>
      <c r="T840" s="22">
        <f t="shared" si="67"/>
        <v>12</v>
      </c>
      <c r="U840" s="22">
        <f t="shared" si="68"/>
        <v>2020</v>
      </c>
      <c r="V840" s="22" t="str">
        <f t="shared" si="69"/>
        <v>REGIONES</v>
      </c>
    </row>
    <row r="841" spans="1:22" x14ac:dyDescent="0.2">
      <c r="A841" s="11" t="s">
        <v>1168</v>
      </c>
      <c r="B841" s="12" t="s">
        <v>18</v>
      </c>
      <c r="C841" s="12" t="s">
        <v>508</v>
      </c>
      <c r="D841" s="12" t="s">
        <v>63</v>
      </c>
      <c r="E841" s="13" t="s">
        <v>64</v>
      </c>
      <c r="F841" s="12" t="s">
        <v>51</v>
      </c>
      <c r="G841" s="14">
        <v>3611.88</v>
      </c>
      <c r="H841" s="12" t="s">
        <v>65</v>
      </c>
      <c r="I841" s="12">
        <v>0</v>
      </c>
      <c r="J841" s="12" t="s">
        <v>51</v>
      </c>
      <c r="K841" s="12" t="s">
        <v>23</v>
      </c>
      <c r="L841" s="12">
        <v>4</v>
      </c>
      <c r="M841" s="15">
        <v>56075</v>
      </c>
      <c r="N841" s="15">
        <f>G841*3</f>
        <v>10835.64</v>
      </c>
      <c r="O841" s="15">
        <f t="shared" si="65"/>
        <v>66910.64</v>
      </c>
      <c r="P841" s="15">
        <f t="shared" si="66"/>
        <v>18.525155874503028</v>
      </c>
      <c r="Q841" s="14">
        <v>8011</v>
      </c>
      <c r="R841" s="12">
        <v>45</v>
      </c>
      <c r="S841" s="12" t="s">
        <v>1172</v>
      </c>
      <c r="T841" s="22">
        <f t="shared" si="67"/>
        <v>12</v>
      </c>
      <c r="U841" s="22">
        <f t="shared" si="68"/>
        <v>2020</v>
      </c>
      <c r="V841" s="22" t="str">
        <f t="shared" si="69"/>
        <v>METROPOLITANA</v>
      </c>
    </row>
    <row r="842" spans="1:22" x14ac:dyDescent="0.2">
      <c r="A842" s="11" t="s">
        <v>1168</v>
      </c>
      <c r="B842" s="12" t="s">
        <v>33</v>
      </c>
      <c r="C842" s="12" t="s">
        <v>1173</v>
      </c>
      <c r="D842" s="12" t="s">
        <v>37</v>
      </c>
      <c r="E842" s="13" t="s">
        <v>40</v>
      </c>
      <c r="F842" s="12" t="s">
        <v>727</v>
      </c>
      <c r="G842" s="14">
        <v>2345</v>
      </c>
      <c r="H842" s="12" t="s">
        <v>22</v>
      </c>
      <c r="I842" s="12">
        <v>0</v>
      </c>
      <c r="J842" s="12" t="s">
        <v>727</v>
      </c>
      <c r="K842" s="12" t="s">
        <v>23</v>
      </c>
      <c r="L842" s="12">
        <v>2</v>
      </c>
      <c r="M842" s="15">
        <v>40475</v>
      </c>
      <c r="N842" s="15">
        <f>G842*4</f>
        <v>9380</v>
      </c>
      <c r="O842" s="15">
        <f t="shared" si="65"/>
        <v>49855</v>
      </c>
      <c r="P842" s="15">
        <f t="shared" si="66"/>
        <v>21.260127931769723</v>
      </c>
      <c r="Q842" s="14">
        <v>5782</v>
      </c>
      <c r="R842" s="12">
        <v>41</v>
      </c>
      <c r="S842" s="12" t="s">
        <v>1174</v>
      </c>
      <c r="T842" s="22">
        <f t="shared" si="67"/>
        <v>12</v>
      </c>
      <c r="U842" s="22">
        <f t="shared" si="68"/>
        <v>2020</v>
      </c>
      <c r="V842" s="22" t="str">
        <f t="shared" si="69"/>
        <v>METROPOLITANA</v>
      </c>
    </row>
    <row r="843" spans="1:22" x14ac:dyDescent="0.2">
      <c r="A843" s="11" t="s">
        <v>1168</v>
      </c>
      <c r="B843" s="12" t="s">
        <v>33</v>
      </c>
      <c r="C843" s="12" t="s">
        <v>163</v>
      </c>
      <c r="D843" s="12" t="s">
        <v>786</v>
      </c>
      <c r="E843" s="13" t="s">
        <v>787</v>
      </c>
      <c r="F843" s="12" t="s">
        <v>165</v>
      </c>
      <c r="G843" s="14">
        <v>20740.2</v>
      </c>
      <c r="H843" s="12" t="s">
        <v>788</v>
      </c>
      <c r="I843" s="12">
        <v>1</v>
      </c>
      <c r="J843" s="12" t="s">
        <v>165</v>
      </c>
      <c r="K843" s="12" t="s">
        <v>23</v>
      </c>
      <c r="L843" s="12">
        <v>4</v>
      </c>
      <c r="M843" s="15">
        <v>145181</v>
      </c>
      <c r="N843" s="15">
        <v>0</v>
      </c>
      <c r="O843" s="15">
        <f t="shared" si="65"/>
        <v>145181</v>
      </c>
      <c r="P843" s="15">
        <f t="shared" si="66"/>
        <v>6.9999807137828949</v>
      </c>
      <c r="Q843" s="14">
        <v>8011</v>
      </c>
      <c r="R843" s="12">
        <v>100</v>
      </c>
      <c r="S843" s="12" t="s">
        <v>1175</v>
      </c>
      <c r="T843" s="22">
        <f t="shared" si="67"/>
        <v>12</v>
      </c>
      <c r="U843" s="22">
        <f t="shared" si="68"/>
        <v>2020</v>
      </c>
      <c r="V843" s="22" t="str">
        <f t="shared" si="69"/>
        <v>METROPOLITANA</v>
      </c>
    </row>
    <row r="844" spans="1:22" x14ac:dyDescent="0.2">
      <c r="A844" s="11" t="s">
        <v>1168</v>
      </c>
      <c r="B844" s="12" t="s">
        <v>33</v>
      </c>
      <c r="C844" s="12" t="s">
        <v>223</v>
      </c>
      <c r="D844" s="12" t="s">
        <v>38</v>
      </c>
      <c r="E844" s="13" t="s">
        <v>42</v>
      </c>
      <c r="F844" s="12" t="s">
        <v>39</v>
      </c>
      <c r="G844" s="14">
        <v>7503.9999999999973</v>
      </c>
      <c r="H844" s="12" t="s">
        <v>43</v>
      </c>
      <c r="I844" s="12">
        <v>0</v>
      </c>
      <c r="J844" s="12" t="s">
        <v>39</v>
      </c>
      <c r="K844" s="12" t="s">
        <v>23</v>
      </c>
      <c r="L844" s="12">
        <v>1</v>
      </c>
      <c r="M844" s="15">
        <v>52528</v>
      </c>
      <c r="N844" s="15">
        <f>G844*3</f>
        <v>22511.999999999993</v>
      </c>
      <c r="O844" s="15">
        <f t="shared" si="65"/>
        <v>75040</v>
      </c>
      <c r="P844" s="15">
        <f t="shared" si="66"/>
        <v>10.000000000000004</v>
      </c>
      <c r="Q844" s="14">
        <v>4821</v>
      </c>
      <c r="R844" s="12">
        <v>100</v>
      </c>
      <c r="S844" s="12" t="s">
        <v>1176</v>
      </c>
      <c r="T844" s="22">
        <f t="shared" si="67"/>
        <v>12</v>
      </c>
      <c r="U844" s="22">
        <f t="shared" si="68"/>
        <v>2020</v>
      </c>
      <c r="V844" s="22" t="str">
        <f t="shared" si="69"/>
        <v>METROPOLITANA</v>
      </c>
    </row>
    <row r="845" spans="1:22" x14ac:dyDescent="0.2">
      <c r="A845" s="11" t="s">
        <v>1177</v>
      </c>
      <c r="B845" s="12" t="s">
        <v>33</v>
      </c>
      <c r="C845" s="12" t="s">
        <v>36</v>
      </c>
      <c r="D845" s="12" t="s">
        <v>47</v>
      </c>
      <c r="E845" s="13" t="s">
        <v>49</v>
      </c>
      <c r="F845" s="12" t="s">
        <v>308</v>
      </c>
      <c r="G845" s="14">
        <v>7852.7999999999984</v>
      </c>
      <c r="H845" s="12" t="s">
        <v>22</v>
      </c>
      <c r="I845" s="12">
        <v>0</v>
      </c>
      <c r="J845" s="12" t="s">
        <v>308</v>
      </c>
      <c r="K845" s="12" t="s">
        <v>78</v>
      </c>
      <c r="L845" s="12">
        <v>0</v>
      </c>
      <c r="M845" s="15">
        <v>180000</v>
      </c>
      <c r="N845" s="15">
        <f>G845*4</f>
        <v>31411.199999999993</v>
      </c>
      <c r="O845" s="15">
        <f t="shared" si="65"/>
        <v>211411.19999999998</v>
      </c>
      <c r="P845" s="15">
        <f t="shared" si="66"/>
        <v>26.921760391198049</v>
      </c>
      <c r="Q845" s="14">
        <v>25000</v>
      </c>
      <c r="R845" s="12">
        <v>31</v>
      </c>
      <c r="S845" s="12" t="s">
        <v>1178</v>
      </c>
      <c r="T845" s="22">
        <f t="shared" si="67"/>
        <v>12</v>
      </c>
      <c r="U845" s="22">
        <f t="shared" si="68"/>
        <v>2020</v>
      </c>
      <c r="V845" s="22" t="str">
        <f t="shared" si="69"/>
        <v>REGIONES</v>
      </c>
    </row>
    <row r="846" spans="1:22" x14ac:dyDescent="0.2">
      <c r="A846" s="11" t="s">
        <v>1177</v>
      </c>
      <c r="B846" s="12" t="s">
        <v>33</v>
      </c>
      <c r="C846" s="12" t="s">
        <v>44</v>
      </c>
      <c r="D846" s="12" t="s">
        <v>56</v>
      </c>
      <c r="E846" s="13" t="s">
        <v>88</v>
      </c>
      <c r="F846" s="12" t="s">
        <v>95</v>
      </c>
      <c r="G846" s="14">
        <v>3038</v>
      </c>
      <c r="H846" s="12" t="s">
        <v>22</v>
      </c>
      <c r="I846" s="12">
        <v>0</v>
      </c>
      <c r="J846" s="12" t="s">
        <v>95</v>
      </c>
      <c r="K846" s="12" t="s">
        <v>23</v>
      </c>
      <c r="L846" s="12">
        <v>4</v>
      </c>
      <c r="M846" s="15">
        <v>56075</v>
      </c>
      <c r="N846" s="15">
        <v>12152</v>
      </c>
      <c r="O846" s="15">
        <f t="shared" si="65"/>
        <v>68227</v>
      </c>
      <c r="P846" s="15">
        <f t="shared" si="66"/>
        <v>22.457867017774852</v>
      </c>
      <c r="Q846" s="14">
        <v>8011</v>
      </c>
      <c r="R846" s="12">
        <v>38</v>
      </c>
      <c r="S846" s="12" t="s">
        <v>1179</v>
      </c>
      <c r="T846" s="22">
        <f t="shared" si="67"/>
        <v>12</v>
      </c>
      <c r="U846" s="22">
        <f t="shared" si="68"/>
        <v>2020</v>
      </c>
      <c r="V846" s="22" t="str">
        <f t="shared" si="69"/>
        <v>METROPOLITANA</v>
      </c>
    </row>
    <row r="847" spans="1:22" x14ac:dyDescent="0.2">
      <c r="A847" s="11" t="s">
        <v>1177</v>
      </c>
      <c r="B847" s="12" t="s">
        <v>33</v>
      </c>
      <c r="C847" s="12" t="s">
        <v>44</v>
      </c>
      <c r="D847" s="12" t="s">
        <v>45</v>
      </c>
      <c r="E847" s="13" t="s">
        <v>52</v>
      </c>
      <c r="F847" s="12" t="s">
        <v>48</v>
      </c>
      <c r="G847" s="14">
        <v>1546.799999999999</v>
      </c>
      <c r="H847" s="12" t="s">
        <v>22</v>
      </c>
      <c r="I847" s="12">
        <v>0</v>
      </c>
      <c r="J847" s="12" t="s">
        <v>48</v>
      </c>
      <c r="K847" s="12" t="s">
        <v>23</v>
      </c>
      <c r="L847" s="12">
        <v>1</v>
      </c>
      <c r="M847" s="15">
        <v>33750</v>
      </c>
      <c r="N847" s="15">
        <v>6187</v>
      </c>
      <c r="O847" s="15">
        <f t="shared" si="65"/>
        <v>39937</v>
      </c>
      <c r="P847" s="15">
        <f t="shared" si="66"/>
        <v>25.819110421515404</v>
      </c>
      <c r="Q847" s="14">
        <v>4821</v>
      </c>
      <c r="R847" s="12">
        <v>32</v>
      </c>
      <c r="S847" s="12" t="s">
        <v>1180</v>
      </c>
      <c r="T847" s="22">
        <f t="shared" si="67"/>
        <v>12</v>
      </c>
      <c r="U847" s="22">
        <f t="shared" si="68"/>
        <v>2020</v>
      </c>
      <c r="V847" s="22" t="str">
        <f t="shared" si="69"/>
        <v>METROPOLITANA</v>
      </c>
    </row>
    <row r="848" spans="1:22" x14ac:dyDescent="0.2">
      <c r="A848" s="11" t="s">
        <v>1177</v>
      </c>
      <c r="B848" s="12" t="s">
        <v>33</v>
      </c>
      <c r="C848" s="12" t="s">
        <v>44</v>
      </c>
      <c r="D848" s="12" t="s">
        <v>35</v>
      </c>
      <c r="E848" s="13" t="s">
        <v>21</v>
      </c>
      <c r="F848" s="12" t="s">
        <v>46</v>
      </c>
      <c r="G848" s="14">
        <v>4579.1999999999989</v>
      </c>
      <c r="H848" s="12" t="s">
        <v>22</v>
      </c>
      <c r="I848" s="12">
        <v>0</v>
      </c>
      <c r="J848" s="12" t="s">
        <v>46</v>
      </c>
      <c r="K848" s="12" t="s">
        <v>23</v>
      </c>
      <c r="L848" s="12">
        <v>2</v>
      </c>
      <c r="M848" s="15">
        <v>40475</v>
      </c>
      <c r="N848" s="15">
        <v>18317</v>
      </c>
      <c r="O848" s="15">
        <f t="shared" si="65"/>
        <v>58792</v>
      </c>
      <c r="P848" s="15">
        <f t="shared" si="66"/>
        <v>12.83892382948987</v>
      </c>
      <c r="Q848" s="14">
        <v>5782</v>
      </c>
      <c r="R848" s="12">
        <v>79</v>
      </c>
      <c r="S848" s="12" t="s">
        <v>1181</v>
      </c>
      <c r="T848" s="22">
        <f t="shared" si="67"/>
        <v>12</v>
      </c>
      <c r="U848" s="22">
        <f t="shared" si="68"/>
        <v>2020</v>
      </c>
      <c r="V848" s="22" t="str">
        <f t="shared" si="69"/>
        <v>METROPOLITANA</v>
      </c>
    </row>
    <row r="849" spans="1:22" x14ac:dyDescent="0.2">
      <c r="A849" s="23" t="s">
        <v>1182</v>
      </c>
      <c r="B849" s="22" t="s">
        <v>54</v>
      </c>
      <c r="C849" s="22" t="s">
        <v>55</v>
      </c>
      <c r="D849" s="22" t="s">
        <v>61</v>
      </c>
      <c r="E849" s="24" t="s">
        <v>62</v>
      </c>
      <c r="F849" s="22" t="s">
        <v>66</v>
      </c>
      <c r="G849" s="25">
        <v>15629.599999999989</v>
      </c>
      <c r="H849" s="22" t="s">
        <v>85</v>
      </c>
      <c r="I849" s="22">
        <v>1</v>
      </c>
      <c r="J849" s="22" t="s">
        <v>66</v>
      </c>
      <c r="K849" s="22" t="s">
        <v>75</v>
      </c>
      <c r="L849" s="22">
        <v>0</v>
      </c>
      <c r="M849" s="26">
        <v>380000</v>
      </c>
      <c r="N849" s="26">
        <v>0</v>
      </c>
      <c r="O849" s="15">
        <f t="shared" si="65"/>
        <v>380000</v>
      </c>
      <c r="P849" s="15">
        <f t="shared" si="66"/>
        <v>24.312842299227125</v>
      </c>
      <c r="Q849" s="25">
        <v>25000</v>
      </c>
      <c r="R849" s="22">
        <v>63</v>
      </c>
      <c r="S849" s="22" t="s">
        <v>1183</v>
      </c>
      <c r="T849" s="22">
        <f t="shared" si="67"/>
        <v>12</v>
      </c>
      <c r="U849" s="22">
        <f t="shared" si="68"/>
        <v>2020</v>
      </c>
      <c r="V849" s="22" t="str">
        <f t="shared" si="69"/>
        <v>REGIONES</v>
      </c>
    </row>
    <row r="850" spans="1:22" x14ac:dyDescent="0.2">
      <c r="A850" s="23" t="s">
        <v>1182</v>
      </c>
      <c r="B850" s="22" t="s">
        <v>18</v>
      </c>
      <c r="C850" s="22" t="s">
        <v>50</v>
      </c>
      <c r="D850" s="22" t="s">
        <v>38</v>
      </c>
      <c r="E850" s="24" t="s">
        <v>42</v>
      </c>
      <c r="F850" s="22" t="s">
        <v>26</v>
      </c>
      <c r="G850" s="25">
        <v>8987.0400000000009</v>
      </c>
      <c r="H850" s="22" t="s">
        <v>43</v>
      </c>
      <c r="I850" s="22">
        <v>0</v>
      </c>
      <c r="J850" s="22" t="s">
        <v>26</v>
      </c>
      <c r="K850" s="22" t="s">
        <v>23</v>
      </c>
      <c r="L850" s="22">
        <v>4</v>
      </c>
      <c r="M850" s="26">
        <v>62909</v>
      </c>
      <c r="N850" s="26">
        <f>G850*3</f>
        <v>26961.120000000003</v>
      </c>
      <c r="O850" s="15">
        <f t="shared" si="65"/>
        <v>89870.12</v>
      </c>
      <c r="P850" s="15">
        <f t="shared" si="66"/>
        <v>9.9999688440242824</v>
      </c>
      <c r="Q850" s="25">
        <v>8011</v>
      </c>
      <c r="R850" s="22">
        <v>100</v>
      </c>
      <c r="S850" s="22" t="s">
        <v>1184</v>
      </c>
      <c r="T850" s="22">
        <f t="shared" si="67"/>
        <v>12</v>
      </c>
      <c r="U850" s="22">
        <f t="shared" si="68"/>
        <v>2020</v>
      </c>
      <c r="V850" s="22" t="str">
        <f t="shared" si="69"/>
        <v>METROPOLITANA</v>
      </c>
    </row>
    <row r="851" spans="1:22" x14ac:dyDescent="0.2">
      <c r="A851" s="23" t="s">
        <v>1182</v>
      </c>
      <c r="B851" s="22" t="s">
        <v>18</v>
      </c>
      <c r="C851" s="22" t="s">
        <v>50</v>
      </c>
      <c r="D851" s="22" t="s">
        <v>41</v>
      </c>
      <c r="E851" s="24" t="s">
        <v>25</v>
      </c>
      <c r="F851" s="22" t="s">
        <v>26</v>
      </c>
      <c r="G851" s="25">
        <v>8924.630000000001</v>
      </c>
      <c r="H851" s="22" t="s">
        <v>43</v>
      </c>
      <c r="I851" s="22">
        <v>0</v>
      </c>
      <c r="J851" s="22" t="s">
        <v>26</v>
      </c>
      <c r="K851" s="22" t="s">
        <v>23</v>
      </c>
      <c r="L851" s="22">
        <v>4</v>
      </c>
      <c r="M851" s="26">
        <v>62472</v>
      </c>
      <c r="N851" s="26">
        <f>G851*3</f>
        <v>26773.890000000003</v>
      </c>
      <c r="O851" s="15">
        <f t="shared" si="65"/>
        <v>89245.89</v>
      </c>
      <c r="P851" s="15">
        <f t="shared" si="66"/>
        <v>9.9999540597201211</v>
      </c>
      <c r="Q851" s="25">
        <v>8011</v>
      </c>
      <c r="R851" s="22">
        <v>100</v>
      </c>
      <c r="S851" s="22" t="s">
        <v>1185</v>
      </c>
      <c r="T851" s="22">
        <f t="shared" si="67"/>
        <v>12</v>
      </c>
      <c r="U851" s="22">
        <f t="shared" si="68"/>
        <v>2020</v>
      </c>
      <c r="V851" s="22" t="str">
        <f t="shared" si="69"/>
        <v>METROPOLITANA</v>
      </c>
    </row>
    <row r="852" spans="1:22" x14ac:dyDescent="0.2">
      <c r="A852" s="23" t="s">
        <v>1182</v>
      </c>
      <c r="B852" s="22" t="s">
        <v>18</v>
      </c>
      <c r="C852" s="22" t="s">
        <v>163</v>
      </c>
      <c r="D852" s="22" t="s">
        <v>37</v>
      </c>
      <c r="E852" s="24" t="s">
        <v>40</v>
      </c>
      <c r="F852" s="22" t="s">
        <v>165</v>
      </c>
      <c r="G852" s="25">
        <v>6735.1200000000008</v>
      </c>
      <c r="H852" s="22" t="s">
        <v>22</v>
      </c>
      <c r="I852" s="22">
        <v>0</v>
      </c>
      <c r="J852" s="22" t="s">
        <v>165</v>
      </c>
      <c r="K852" s="22" t="s">
        <v>23</v>
      </c>
      <c r="L852" s="22">
        <v>4</v>
      </c>
      <c r="M852" s="26">
        <v>56075</v>
      </c>
      <c r="N852" s="26">
        <f>G852*4</f>
        <v>26940.480000000003</v>
      </c>
      <c r="O852" s="15">
        <f t="shared" si="65"/>
        <v>83015.48000000001</v>
      </c>
      <c r="P852" s="15">
        <f t="shared" si="66"/>
        <v>12.325761085177399</v>
      </c>
      <c r="Q852" s="25">
        <v>8011</v>
      </c>
      <c r="R852" s="22">
        <v>84</v>
      </c>
      <c r="S852" s="22" t="s">
        <v>1186</v>
      </c>
      <c r="T852" s="22">
        <f t="shared" si="67"/>
        <v>12</v>
      </c>
      <c r="U852" s="22">
        <f t="shared" si="68"/>
        <v>2020</v>
      </c>
      <c r="V852" s="22" t="str">
        <f t="shared" si="69"/>
        <v>METROPOLITANA</v>
      </c>
    </row>
    <row r="853" spans="1:22" x14ac:dyDescent="0.2">
      <c r="A853" s="23" t="s">
        <v>1182</v>
      </c>
      <c r="B853" s="22" t="s">
        <v>18</v>
      </c>
      <c r="C853" s="22" t="s">
        <v>508</v>
      </c>
      <c r="D853" s="22" t="s">
        <v>188</v>
      </c>
      <c r="E853" s="24" t="s">
        <v>189</v>
      </c>
      <c r="F853" s="22" t="s">
        <v>800</v>
      </c>
      <c r="G853" s="25">
        <v>2800.24</v>
      </c>
      <c r="H853" s="22" t="s">
        <v>190</v>
      </c>
      <c r="I853" s="22">
        <v>0</v>
      </c>
      <c r="J853" s="22" t="s">
        <v>800</v>
      </c>
      <c r="K853" s="22" t="s">
        <v>23</v>
      </c>
      <c r="L853" s="22">
        <v>5</v>
      </c>
      <c r="M853" s="26">
        <v>90000</v>
      </c>
      <c r="N853" s="26">
        <v>0</v>
      </c>
      <c r="O853" s="15">
        <f t="shared" si="65"/>
        <v>90000</v>
      </c>
      <c r="P853" s="15">
        <f t="shared" si="66"/>
        <v>32.140102276947694</v>
      </c>
      <c r="Q853" s="25">
        <v>12000</v>
      </c>
      <c r="R853" s="22">
        <v>23</v>
      </c>
      <c r="S853" s="22" t="s">
        <v>1187</v>
      </c>
      <c r="T853" s="22">
        <f t="shared" si="67"/>
        <v>12</v>
      </c>
      <c r="U853" s="22">
        <f t="shared" si="68"/>
        <v>2020</v>
      </c>
      <c r="V853" s="22" t="str">
        <f t="shared" si="69"/>
        <v>METROPOLITANA</v>
      </c>
    </row>
    <row r="854" spans="1:22" x14ac:dyDescent="0.2">
      <c r="A854" s="23" t="s">
        <v>1182</v>
      </c>
      <c r="B854" s="22" t="s">
        <v>33</v>
      </c>
      <c r="C854" s="22" t="s">
        <v>50</v>
      </c>
      <c r="D854" s="22" t="s">
        <v>20</v>
      </c>
      <c r="E854" s="24" t="s">
        <v>1188</v>
      </c>
      <c r="F854" s="22" t="s">
        <v>26</v>
      </c>
      <c r="G854" s="25">
        <v>9177</v>
      </c>
      <c r="H854" s="22" t="s">
        <v>22</v>
      </c>
      <c r="I854" s="22">
        <v>0</v>
      </c>
      <c r="J854" s="22" t="s">
        <v>26</v>
      </c>
      <c r="K854" s="22" t="s">
        <v>23</v>
      </c>
      <c r="L854" s="22">
        <v>4</v>
      </c>
      <c r="M854" s="26">
        <v>64239</v>
      </c>
      <c r="N854" s="26">
        <f>G854*4</f>
        <v>36708</v>
      </c>
      <c r="O854" s="15">
        <f t="shared" si="65"/>
        <v>100947</v>
      </c>
      <c r="P854" s="15">
        <f t="shared" si="66"/>
        <v>11</v>
      </c>
      <c r="Q854" s="25">
        <v>8011</v>
      </c>
      <c r="R854" s="22">
        <v>100</v>
      </c>
      <c r="S854" s="22" t="s">
        <v>1189</v>
      </c>
      <c r="T854" s="22">
        <f t="shared" si="67"/>
        <v>12</v>
      </c>
      <c r="U854" s="22">
        <f t="shared" si="68"/>
        <v>2020</v>
      </c>
      <c r="V854" s="22" t="str">
        <f t="shared" si="69"/>
        <v>METROPOLITANA</v>
      </c>
    </row>
    <row r="855" spans="1:22" x14ac:dyDescent="0.2">
      <c r="A855" s="23" t="s">
        <v>1182</v>
      </c>
      <c r="B855" s="22" t="s">
        <v>33</v>
      </c>
      <c r="C855" s="22" t="s">
        <v>163</v>
      </c>
      <c r="D855" s="22" t="s">
        <v>20</v>
      </c>
      <c r="E855" s="24" t="s">
        <v>88</v>
      </c>
      <c r="F855" s="22" t="s">
        <v>165</v>
      </c>
      <c r="G855" s="25">
        <v>10278.24</v>
      </c>
      <c r="H855" s="22" t="s">
        <v>22</v>
      </c>
      <c r="I855" s="22">
        <v>0</v>
      </c>
      <c r="J855" s="22" t="s">
        <v>165</v>
      </c>
      <c r="K855" s="22" t="s">
        <v>23</v>
      </c>
      <c r="L855" s="22">
        <v>4</v>
      </c>
      <c r="M855" s="26">
        <v>71948</v>
      </c>
      <c r="N855" s="26">
        <f>G855*4</f>
        <v>41112.959999999999</v>
      </c>
      <c r="O855" s="15">
        <f t="shared" si="65"/>
        <v>113060.95999999999</v>
      </c>
      <c r="P855" s="15">
        <f t="shared" si="66"/>
        <v>11.000031133734957</v>
      </c>
      <c r="Q855" s="25">
        <v>8011</v>
      </c>
      <c r="R855" s="22">
        <v>100</v>
      </c>
      <c r="S855" s="22" t="s">
        <v>1190</v>
      </c>
      <c r="T855" s="22">
        <f t="shared" si="67"/>
        <v>12</v>
      </c>
      <c r="U855" s="22">
        <f t="shared" si="68"/>
        <v>2020</v>
      </c>
      <c r="V855" s="22" t="str">
        <f t="shared" si="69"/>
        <v>METROPOLITANA</v>
      </c>
    </row>
    <row r="856" spans="1:22" x14ac:dyDescent="0.2">
      <c r="A856" s="23" t="s">
        <v>1182</v>
      </c>
      <c r="B856" s="22" t="s">
        <v>33</v>
      </c>
      <c r="C856" s="22" t="s">
        <v>29</v>
      </c>
      <c r="D856" s="22" t="s">
        <v>786</v>
      </c>
      <c r="E856" s="24" t="s">
        <v>787</v>
      </c>
      <c r="F856" s="22" t="s">
        <v>173</v>
      </c>
      <c r="G856" s="25">
        <v>15835.7</v>
      </c>
      <c r="H856" s="22" t="s">
        <v>788</v>
      </c>
      <c r="I856" s="22">
        <v>1</v>
      </c>
      <c r="J856" s="22" t="s">
        <v>173</v>
      </c>
      <c r="K856" s="22" t="s">
        <v>23</v>
      </c>
      <c r="L856" s="22">
        <v>5</v>
      </c>
      <c r="M856" s="26">
        <v>120000</v>
      </c>
      <c r="N856" s="26">
        <v>47507</v>
      </c>
      <c r="O856" s="15">
        <f t="shared" si="65"/>
        <v>167507</v>
      </c>
      <c r="P856" s="15">
        <f t="shared" si="66"/>
        <v>10.577808369696319</v>
      </c>
      <c r="Q856" s="25">
        <v>12000</v>
      </c>
      <c r="R856" s="22">
        <v>100</v>
      </c>
      <c r="S856" s="22" t="s">
        <v>1191</v>
      </c>
      <c r="T856" s="22">
        <f t="shared" si="67"/>
        <v>12</v>
      </c>
      <c r="U856" s="22">
        <f t="shared" si="68"/>
        <v>2020</v>
      </c>
      <c r="V856" s="22" t="str">
        <f t="shared" si="69"/>
        <v>METROPOLITANA</v>
      </c>
    </row>
    <row r="857" spans="1:22" x14ac:dyDescent="0.2">
      <c r="A857" s="23" t="s">
        <v>1182</v>
      </c>
      <c r="B857" s="22" t="s">
        <v>33</v>
      </c>
      <c r="C857" s="22" t="s">
        <v>44</v>
      </c>
      <c r="D857" s="22" t="s">
        <v>56</v>
      </c>
      <c r="E857" s="24" t="s">
        <v>28</v>
      </c>
      <c r="F857" s="22" t="s">
        <v>137</v>
      </c>
      <c r="G857" s="25">
        <v>2338.3000000000002</v>
      </c>
      <c r="H857" s="22" t="s">
        <v>22</v>
      </c>
      <c r="I857" s="22">
        <v>0</v>
      </c>
      <c r="J857" s="22" t="s">
        <v>137</v>
      </c>
      <c r="K857" s="22" t="s">
        <v>23</v>
      </c>
      <c r="L857" s="22">
        <v>1</v>
      </c>
      <c r="M857" s="26">
        <v>33750</v>
      </c>
      <c r="N857" s="26">
        <v>12000</v>
      </c>
      <c r="O857" s="15">
        <f t="shared" si="65"/>
        <v>45750</v>
      </c>
      <c r="P857" s="15">
        <f t="shared" si="66"/>
        <v>19.565496300731301</v>
      </c>
      <c r="Q857" s="25">
        <v>4821</v>
      </c>
      <c r="R857" s="22">
        <v>49</v>
      </c>
      <c r="S857" s="22" t="s">
        <v>1192</v>
      </c>
      <c r="T857" s="22">
        <f t="shared" si="67"/>
        <v>12</v>
      </c>
      <c r="U857" s="22">
        <f t="shared" si="68"/>
        <v>2020</v>
      </c>
      <c r="V857" s="22" t="str">
        <f t="shared" si="69"/>
        <v>METROPOLITANA</v>
      </c>
    </row>
    <row r="858" spans="1:22" x14ac:dyDescent="0.2">
      <c r="A858" s="23" t="s">
        <v>1182</v>
      </c>
      <c r="B858" s="22" t="s">
        <v>33</v>
      </c>
      <c r="C858" s="22" t="s">
        <v>44</v>
      </c>
      <c r="D858" s="22" t="s">
        <v>38</v>
      </c>
      <c r="E858" s="24" t="s">
        <v>42</v>
      </c>
      <c r="F858" s="22" t="s">
        <v>95</v>
      </c>
      <c r="G858" s="25">
        <v>2642.7000000000012</v>
      </c>
      <c r="H858" s="22" t="s">
        <v>43</v>
      </c>
      <c r="I858" s="22">
        <v>0</v>
      </c>
      <c r="J858" s="22" t="s">
        <v>95</v>
      </c>
      <c r="K858" s="22" t="s">
        <v>23</v>
      </c>
      <c r="L858" s="22">
        <v>4</v>
      </c>
      <c r="M858" s="26">
        <v>56075</v>
      </c>
      <c r="N858" s="26">
        <v>7928</v>
      </c>
      <c r="O858" s="15">
        <f t="shared" si="65"/>
        <v>64003</v>
      </c>
      <c r="P858" s="15">
        <f t="shared" si="66"/>
        <v>24.21879138759601</v>
      </c>
      <c r="Q858" s="25">
        <v>8011</v>
      </c>
      <c r="R858" s="22">
        <v>33</v>
      </c>
      <c r="S858" s="22" t="s">
        <v>1193</v>
      </c>
      <c r="T858" s="22">
        <f t="shared" si="67"/>
        <v>12</v>
      </c>
      <c r="U858" s="22">
        <f t="shared" si="68"/>
        <v>2020</v>
      </c>
      <c r="V858" s="22" t="str">
        <f t="shared" si="69"/>
        <v>METROPOLITANA</v>
      </c>
    </row>
    <row r="859" spans="1:22" x14ac:dyDescent="0.2">
      <c r="A859" s="23" t="s">
        <v>1182</v>
      </c>
      <c r="B859" s="22" t="s">
        <v>33</v>
      </c>
      <c r="C859" s="22" t="s">
        <v>44</v>
      </c>
      <c r="D859" s="22" t="s">
        <v>37</v>
      </c>
      <c r="E859" s="24" t="s">
        <v>40</v>
      </c>
      <c r="F859" s="22" t="s">
        <v>48</v>
      </c>
      <c r="G859" s="25">
        <v>5605.0000000000009</v>
      </c>
      <c r="H859" s="22" t="s">
        <v>22</v>
      </c>
      <c r="I859" s="22">
        <v>0</v>
      </c>
      <c r="J859" s="22" t="s">
        <v>48</v>
      </c>
      <c r="K859" s="22" t="s">
        <v>23</v>
      </c>
      <c r="L859" s="22">
        <v>1</v>
      </c>
      <c r="M859" s="26">
        <v>39235</v>
      </c>
      <c r="N859" s="26">
        <v>22420</v>
      </c>
      <c r="O859" s="15">
        <f t="shared" si="65"/>
        <v>61655</v>
      </c>
      <c r="P859" s="15">
        <f t="shared" si="66"/>
        <v>10.999999999999998</v>
      </c>
      <c r="Q859" s="25">
        <v>4821</v>
      </c>
      <c r="R859" s="22">
        <v>100</v>
      </c>
      <c r="S859" s="22" t="s">
        <v>1194</v>
      </c>
      <c r="T859" s="22">
        <f t="shared" si="67"/>
        <v>12</v>
      </c>
      <c r="U859" s="22">
        <f t="shared" si="68"/>
        <v>2020</v>
      </c>
      <c r="V859" s="22" t="str">
        <f t="shared" si="69"/>
        <v>METROPOLITANA</v>
      </c>
    </row>
    <row r="860" spans="1:22" x14ac:dyDescent="0.2">
      <c r="A860" s="23" t="s">
        <v>1182</v>
      </c>
      <c r="B860" s="22" t="s">
        <v>33</v>
      </c>
      <c r="C860" s="22" t="s">
        <v>44</v>
      </c>
      <c r="D860" s="22" t="s">
        <v>45</v>
      </c>
      <c r="E860" s="24" t="s">
        <v>49</v>
      </c>
      <c r="F860" s="22" t="s">
        <v>51</v>
      </c>
      <c r="G860" s="25">
        <v>4817.5000000000009</v>
      </c>
      <c r="H860" s="22" t="s">
        <v>22</v>
      </c>
      <c r="I860" s="22">
        <v>0</v>
      </c>
      <c r="J860" s="22" t="s">
        <v>51</v>
      </c>
      <c r="K860" s="22" t="s">
        <v>23</v>
      </c>
      <c r="L860" s="22">
        <v>4</v>
      </c>
      <c r="M860" s="26">
        <v>56075</v>
      </c>
      <c r="N860" s="26">
        <v>19270</v>
      </c>
      <c r="O860" s="15">
        <f t="shared" si="65"/>
        <v>75345</v>
      </c>
      <c r="P860" s="15">
        <f t="shared" si="66"/>
        <v>15.639854696419302</v>
      </c>
      <c r="Q860" s="25">
        <v>8011</v>
      </c>
      <c r="R860" s="22">
        <v>60</v>
      </c>
      <c r="S860" s="22" t="s">
        <v>1195</v>
      </c>
      <c r="T860" s="22">
        <f t="shared" si="67"/>
        <v>12</v>
      </c>
      <c r="U860" s="22">
        <f t="shared" si="68"/>
        <v>2020</v>
      </c>
      <c r="V860" s="22" t="str">
        <f t="shared" si="69"/>
        <v>METROPOLITANA</v>
      </c>
    </row>
    <row r="861" spans="1:22" x14ac:dyDescent="0.2">
      <c r="A861" s="23" t="s">
        <v>1182</v>
      </c>
      <c r="B861" s="22" t="s">
        <v>33</v>
      </c>
      <c r="C861" s="22" t="s">
        <v>44</v>
      </c>
      <c r="D861" s="22" t="s">
        <v>47</v>
      </c>
      <c r="E861" s="24" t="s">
        <v>88</v>
      </c>
      <c r="F861" s="22" t="s">
        <v>26</v>
      </c>
      <c r="G861" s="25">
        <v>2517.5</v>
      </c>
      <c r="H861" s="22" t="s">
        <v>22</v>
      </c>
      <c r="I861" s="22">
        <v>0</v>
      </c>
      <c r="J861" s="22" t="s">
        <v>26</v>
      </c>
      <c r="K861" s="22" t="s">
        <v>23</v>
      </c>
      <c r="L861" s="22">
        <v>4</v>
      </c>
      <c r="M861" s="26">
        <v>56075</v>
      </c>
      <c r="N861" s="26">
        <v>12000</v>
      </c>
      <c r="O861" s="15">
        <f t="shared" si="65"/>
        <v>68075</v>
      </c>
      <c r="P861" s="15">
        <f t="shared" si="66"/>
        <v>27.040714995034758</v>
      </c>
      <c r="Q861" s="25">
        <v>8011</v>
      </c>
      <c r="R861" s="22">
        <v>31</v>
      </c>
      <c r="S861" s="22" t="s">
        <v>1196</v>
      </c>
      <c r="T861" s="22">
        <f t="shared" si="67"/>
        <v>12</v>
      </c>
      <c r="U861" s="22">
        <f t="shared" si="68"/>
        <v>2020</v>
      </c>
      <c r="V861" s="22" t="str">
        <f t="shared" si="69"/>
        <v>METROPOLITANA</v>
      </c>
    </row>
    <row r="862" spans="1:22" x14ac:dyDescent="0.2">
      <c r="A862" s="23" t="s">
        <v>1182</v>
      </c>
      <c r="B862" s="22" t="s">
        <v>33</v>
      </c>
      <c r="C862" s="22" t="s">
        <v>44</v>
      </c>
      <c r="D862" s="22" t="s">
        <v>35</v>
      </c>
      <c r="E862" s="24" t="s">
        <v>52</v>
      </c>
      <c r="F862" s="22" t="s">
        <v>53</v>
      </c>
      <c r="G862" s="25">
        <v>3717.5</v>
      </c>
      <c r="H862" s="22" t="s">
        <v>22</v>
      </c>
      <c r="I862" s="22">
        <v>0</v>
      </c>
      <c r="J862" s="22" t="s">
        <v>53</v>
      </c>
      <c r="K862" s="22" t="s">
        <v>23</v>
      </c>
      <c r="L862" s="22">
        <v>3</v>
      </c>
      <c r="M862" s="26">
        <v>48075</v>
      </c>
      <c r="N862" s="26">
        <v>14870</v>
      </c>
      <c r="O862" s="15">
        <f t="shared" si="65"/>
        <v>62945</v>
      </c>
      <c r="P862" s="15">
        <f t="shared" si="66"/>
        <v>16.93207800941493</v>
      </c>
      <c r="Q862" s="25">
        <v>6868</v>
      </c>
      <c r="R862" s="22">
        <v>54</v>
      </c>
      <c r="S862" s="22" t="s">
        <v>1197</v>
      </c>
      <c r="T862" s="22">
        <f t="shared" si="67"/>
        <v>12</v>
      </c>
      <c r="U862" s="22">
        <f t="shared" si="68"/>
        <v>2020</v>
      </c>
      <c r="V862" s="22" t="str">
        <f t="shared" si="69"/>
        <v>METROPOLITANA</v>
      </c>
    </row>
    <row r="863" spans="1:22" x14ac:dyDescent="0.2">
      <c r="A863" s="11" t="s">
        <v>1198</v>
      </c>
      <c r="B863" s="12" t="s">
        <v>18</v>
      </c>
      <c r="C863" s="12" t="s">
        <v>71</v>
      </c>
      <c r="D863" s="12" t="s">
        <v>786</v>
      </c>
      <c r="E863" s="13" t="s">
        <v>787</v>
      </c>
      <c r="F863" s="12" t="s">
        <v>72</v>
      </c>
      <c r="G863" s="14">
        <v>5051.1400000000003</v>
      </c>
      <c r="H863" s="12" t="s">
        <v>788</v>
      </c>
      <c r="I863" s="12">
        <v>1</v>
      </c>
      <c r="J863" s="12" t="s">
        <v>72</v>
      </c>
      <c r="K863" s="12" t="s">
        <v>23</v>
      </c>
      <c r="L863" s="12">
        <v>5</v>
      </c>
      <c r="M863" s="15">
        <v>120000</v>
      </c>
      <c r="N863" s="15">
        <v>0</v>
      </c>
      <c r="O863" s="15">
        <f t="shared" si="65"/>
        <v>120000</v>
      </c>
      <c r="P863" s="15">
        <f t="shared" si="66"/>
        <v>23.75701326829191</v>
      </c>
      <c r="Q863" s="14">
        <v>12000</v>
      </c>
      <c r="R863" s="12">
        <v>42</v>
      </c>
      <c r="S863" s="12" t="s">
        <v>1199</v>
      </c>
      <c r="T863" s="22">
        <f t="shared" si="67"/>
        <v>12</v>
      </c>
      <c r="U863" s="22">
        <f t="shared" si="68"/>
        <v>2020</v>
      </c>
      <c r="V863" s="22" t="str">
        <f t="shared" si="69"/>
        <v>METROPOLITANA</v>
      </c>
    </row>
    <row r="864" spans="1:22" x14ac:dyDescent="0.2">
      <c r="A864" s="11" t="s">
        <v>1198</v>
      </c>
      <c r="B864" s="12" t="s">
        <v>18</v>
      </c>
      <c r="C864" s="12" t="s">
        <v>57</v>
      </c>
      <c r="D864" s="12" t="s">
        <v>82</v>
      </c>
      <c r="E864" s="13" t="s">
        <v>83</v>
      </c>
      <c r="F864" s="12" t="s">
        <v>458</v>
      </c>
      <c r="G864" s="14">
        <v>17840.170000000009</v>
      </c>
      <c r="H864" s="12" t="s">
        <v>85</v>
      </c>
      <c r="I864" s="12">
        <v>1</v>
      </c>
      <c r="J864" s="12" t="s">
        <v>458</v>
      </c>
      <c r="K864" s="12" t="s">
        <v>75</v>
      </c>
      <c r="L864" s="12">
        <v>0</v>
      </c>
      <c r="M864" s="15">
        <v>380000</v>
      </c>
      <c r="N864" s="15">
        <v>0</v>
      </c>
      <c r="O864" s="15">
        <f t="shared" si="65"/>
        <v>380000</v>
      </c>
      <c r="P864" s="15">
        <f t="shared" si="66"/>
        <v>21.300245457302246</v>
      </c>
      <c r="Q864" s="14">
        <v>25000</v>
      </c>
      <c r="R864" s="12">
        <v>71</v>
      </c>
      <c r="S864" s="12" t="s">
        <v>1200</v>
      </c>
      <c r="T864" s="22">
        <f t="shared" si="67"/>
        <v>12</v>
      </c>
      <c r="U864" s="22">
        <f t="shared" si="68"/>
        <v>2020</v>
      </c>
      <c r="V864" s="22" t="str">
        <f t="shared" si="69"/>
        <v>REGIONES</v>
      </c>
    </row>
    <row r="865" spans="1:22" x14ac:dyDescent="0.2">
      <c r="A865" s="11" t="s">
        <v>1198</v>
      </c>
      <c r="B865" s="12" t="s">
        <v>18</v>
      </c>
      <c r="C865" s="12" t="s">
        <v>57</v>
      </c>
      <c r="D865" s="12" t="s">
        <v>20</v>
      </c>
      <c r="E865" s="13" t="s">
        <v>21</v>
      </c>
      <c r="F865" s="12" t="s">
        <v>120</v>
      </c>
      <c r="G865" s="14">
        <v>6834.3</v>
      </c>
      <c r="H865" s="12" t="s">
        <v>22</v>
      </c>
      <c r="I865" s="12">
        <v>0</v>
      </c>
      <c r="J865" s="12" t="s">
        <v>120</v>
      </c>
      <c r="K865" s="12" t="s">
        <v>23</v>
      </c>
      <c r="L865" s="12">
        <v>5</v>
      </c>
      <c r="M865" s="15">
        <v>70000</v>
      </c>
      <c r="N865" s="15">
        <f>G865*4</f>
        <v>27337.200000000001</v>
      </c>
      <c r="O865" s="15">
        <f t="shared" si="65"/>
        <v>97337.2</v>
      </c>
      <c r="P865" s="15">
        <f t="shared" si="66"/>
        <v>14.242453506577117</v>
      </c>
      <c r="Q865" s="14">
        <v>12000</v>
      </c>
      <c r="R865" s="12">
        <v>57</v>
      </c>
      <c r="S865" s="12" t="s">
        <v>1201</v>
      </c>
      <c r="T865" s="22">
        <f t="shared" si="67"/>
        <v>12</v>
      </c>
      <c r="U865" s="22">
        <f t="shared" si="68"/>
        <v>2020</v>
      </c>
      <c r="V865" s="22" t="str">
        <f t="shared" si="69"/>
        <v>METROPOLITANA</v>
      </c>
    </row>
    <row r="866" spans="1:22" x14ac:dyDescent="0.2">
      <c r="A866" s="11" t="s">
        <v>1198</v>
      </c>
      <c r="B866" s="12" t="s">
        <v>18</v>
      </c>
      <c r="C866" s="12" t="s">
        <v>163</v>
      </c>
      <c r="D866" s="12" t="s">
        <v>27</v>
      </c>
      <c r="E866" s="13" t="s">
        <v>28</v>
      </c>
      <c r="F866" s="12" t="s">
        <v>165</v>
      </c>
      <c r="G866" s="14">
        <v>7488.0000000000009</v>
      </c>
      <c r="H866" s="12" t="s">
        <v>22</v>
      </c>
      <c r="I866" s="12">
        <v>1</v>
      </c>
      <c r="J866" s="12" t="s">
        <v>165</v>
      </c>
      <c r="K866" s="12" t="s">
        <v>23</v>
      </c>
      <c r="L866" s="12">
        <v>4</v>
      </c>
      <c r="M866" s="15">
        <v>56075</v>
      </c>
      <c r="N866" s="15">
        <f>G866*4</f>
        <v>29952.000000000004</v>
      </c>
      <c r="O866" s="15">
        <f t="shared" si="65"/>
        <v>86027</v>
      </c>
      <c r="P866" s="15">
        <f t="shared" si="66"/>
        <v>11.488648504273502</v>
      </c>
      <c r="Q866" s="14">
        <v>8011</v>
      </c>
      <c r="R866" s="12">
        <v>93</v>
      </c>
      <c r="S866" s="12" t="s">
        <v>1202</v>
      </c>
      <c r="T866" s="22">
        <f t="shared" si="67"/>
        <v>12</v>
      </c>
      <c r="U866" s="22">
        <f t="shared" si="68"/>
        <v>2020</v>
      </c>
      <c r="V866" s="22" t="str">
        <f t="shared" si="69"/>
        <v>METROPOLITANA</v>
      </c>
    </row>
    <row r="867" spans="1:22" x14ac:dyDescent="0.2">
      <c r="A867" s="11" t="s">
        <v>1198</v>
      </c>
      <c r="B867" s="12" t="s">
        <v>33</v>
      </c>
      <c r="C867" s="12" t="s">
        <v>270</v>
      </c>
      <c r="D867" s="12" t="s">
        <v>164</v>
      </c>
      <c r="E867" s="13" t="s">
        <v>28</v>
      </c>
      <c r="F867" s="12" t="s">
        <v>120</v>
      </c>
      <c r="G867" s="14">
        <v>27256</v>
      </c>
      <c r="H867" s="12" t="s">
        <v>22</v>
      </c>
      <c r="I867" s="12">
        <v>1</v>
      </c>
      <c r="J867" s="12" t="s">
        <v>120</v>
      </c>
      <c r="K867" s="12" t="s">
        <v>23</v>
      </c>
      <c r="L867" s="12">
        <v>5</v>
      </c>
      <c r="M867" s="15">
        <v>120000</v>
      </c>
      <c r="N867" s="15">
        <v>0</v>
      </c>
      <c r="O867" s="15">
        <f t="shared" si="65"/>
        <v>120000</v>
      </c>
      <c r="P867" s="15">
        <f t="shared" si="66"/>
        <v>4.4027003228646899</v>
      </c>
      <c r="Q867" s="14">
        <v>12000</v>
      </c>
      <c r="R867" s="12">
        <v>100</v>
      </c>
      <c r="S867" s="12" t="s">
        <v>1203</v>
      </c>
      <c r="T867" s="22">
        <f t="shared" si="67"/>
        <v>12</v>
      </c>
      <c r="U867" s="22">
        <f t="shared" si="68"/>
        <v>2020</v>
      </c>
      <c r="V867" s="22" t="str">
        <f t="shared" si="69"/>
        <v>METROPOLITANA</v>
      </c>
    </row>
    <row r="868" spans="1:22" x14ac:dyDescent="0.2">
      <c r="A868" s="11" t="s">
        <v>1198</v>
      </c>
      <c r="B868" s="12" t="s">
        <v>33</v>
      </c>
      <c r="C868" s="12" t="s">
        <v>50</v>
      </c>
      <c r="D868" s="12" t="s">
        <v>37</v>
      </c>
      <c r="E868" s="13" t="s">
        <v>40</v>
      </c>
      <c r="F868" s="12" t="s">
        <v>26</v>
      </c>
      <c r="G868" s="14">
        <v>13214.88</v>
      </c>
      <c r="H868" s="12" t="s">
        <v>22</v>
      </c>
      <c r="I868" s="12">
        <v>0</v>
      </c>
      <c r="J868" s="12" t="s">
        <v>26</v>
      </c>
      <c r="K868" s="12" t="s">
        <v>23</v>
      </c>
      <c r="L868" s="12">
        <v>4</v>
      </c>
      <c r="M868" s="15">
        <v>92504</v>
      </c>
      <c r="N868" s="15">
        <f>G868*4</f>
        <v>52859.519999999997</v>
      </c>
      <c r="O868" s="15">
        <f t="shared" si="65"/>
        <v>145363.51999999999</v>
      </c>
      <c r="P868" s="15">
        <f t="shared" si="66"/>
        <v>10.999987892436405</v>
      </c>
      <c r="Q868" s="14">
        <v>8011</v>
      </c>
      <c r="R868" s="12">
        <v>100</v>
      </c>
      <c r="S868" s="12" t="s">
        <v>1204</v>
      </c>
      <c r="T868" s="22">
        <f t="shared" si="67"/>
        <v>12</v>
      </c>
      <c r="U868" s="22">
        <f t="shared" si="68"/>
        <v>2020</v>
      </c>
      <c r="V868" s="22" t="str">
        <f t="shared" si="69"/>
        <v>METROPOLITANA</v>
      </c>
    </row>
    <row r="869" spans="1:22" x14ac:dyDescent="0.2">
      <c r="A869" s="11" t="s">
        <v>1198</v>
      </c>
      <c r="B869" s="12" t="s">
        <v>33</v>
      </c>
      <c r="C869" s="12" t="s">
        <v>50</v>
      </c>
      <c r="D869" s="12" t="s">
        <v>1205</v>
      </c>
      <c r="E869" s="13" t="s">
        <v>25</v>
      </c>
      <c r="F869" s="12" t="s">
        <v>26</v>
      </c>
      <c r="G869" s="14">
        <v>6100</v>
      </c>
      <c r="H869" s="12" t="s">
        <v>24</v>
      </c>
      <c r="I869" s="12">
        <v>1</v>
      </c>
      <c r="J869" s="12" t="s">
        <v>26</v>
      </c>
      <c r="K869" s="12" t="s">
        <v>23</v>
      </c>
      <c r="L869" s="12">
        <v>4</v>
      </c>
      <c r="M869" s="15">
        <v>56075</v>
      </c>
      <c r="N869" s="15">
        <v>0</v>
      </c>
      <c r="O869" s="15">
        <f t="shared" si="65"/>
        <v>56075</v>
      </c>
      <c r="P869" s="15">
        <f t="shared" si="66"/>
        <v>9.192622950819672</v>
      </c>
      <c r="Q869" s="14">
        <v>8011</v>
      </c>
      <c r="R869" s="12">
        <v>76</v>
      </c>
      <c r="S869" s="12" t="s">
        <v>1206</v>
      </c>
      <c r="T869" s="22">
        <f t="shared" si="67"/>
        <v>12</v>
      </c>
      <c r="U869" s="22">
        <f t="shared" si="68"/>
        <v>2020</v>
      </c>
      <c r="V869" s="22" t="str">
        <f t="shared" si="69"/>
        <v>METROPOLITANA</v>
      </c>
    </row>
    <row r="870" spans="1:22" x14ac:dyDescent="0.2">
      <c r="A870" s="11" t="s">
        <v>1198</v>
      </c>
      <c r="B870" s="12" t="s">
        <v>33</v>
      </c>
      <c r="C870" s="12" t="s">
        <v>163</v>
      </c>
      <c r="D870" s="12" t="s">
        <v>63</v>
      </c>
      <c r="E870" s="13" t="s">
        <v>64</v>
      </c>
      <c r="F870" s="12" t="s">
        <v>165</v>
      </c>
      <c r="G870" s="14">
        <v>10828.86</v>
      </c>
      <c r="H870" s="12" t="s">
        <v>65</v>
      </c>
      <c r="I870" s="12">
        <v>0</v>
      </c>
      <c r="J870" s="12" t="s">
        <v>165</v>
      </c>
      <c r="K870" s="12" t="s">
        <v>23</v>
      </c>
      <c r="L870" s="12">
        <v>4</v>
      </c>
      <c r="M870" s="15">
        <v>75802</v>
      </c>
      <c r="N870" s="15">
        <f>G870*3</f>
        <v>32486.58</v>
      </c>
      <c r="O870" s="15">
        <f t="shared" si="65"/>
        <v>108288.58</v>
      </c>
      <c r="P870" s="15">
        <f t="shared" si="66"/>
        <v>9.9999981530835189</v>
      </c>
      <c r="Q870" s="14">
        <v>8011</v>
      </c>
      <c r="R870" s="12">
        <v>100</v>
      </c>
      <c r="S870" s="12" t="s">
        <v>1207</v>
      </c>
      <c r="T870" s="22">
        <f t="shared" si="67"/>
        <v>12</v>
      </c>
      <c r="U870" s="22">
        <f t="shared" si="68"/>
        <v>2020</v>
      </c>
      <c r="V870" s="22" t="str">
        <f t="shared" si="69"/>
        <v>METROPOLITANA</v>
      </c>
    </row>
    <row r="871" spans="1:22" x14ac:dyDescent="0.2">
      <c r="A871" s="11" t="s">
        <v>1198</v>
      </c>
      <c r="B871" s="12" t="s">
        <v>33</v>
      </c>
      <c r="C871" s="12" t="s">
        <v>44</v>
      </c>
      <c r="D871" s="12" t="s">
        <v>56</v>
      </c>
      <c r="E871" s="13" t="s">
        <v>52</v>
      </c>
      <c r="F871" s="12" t="s">
        <v>182</v>
      </c>
      <c r="G871" s="14">
        <v>1775.6</v>
      </c>
      <c r="H871" s="12" t="s">
        <v>22</v>
      </c>
      <c r="I871" s="12">
        <v>0</v>
      </c>
      <c r="J871" s="12" t="s">
        <v>182</v>
      </c>
      <c r="K871" s="12" t="s">
        <v>23</v>
      </c>
      <c r="L871" s="12">
        <v>4</v>
      </c>
      <c r="M871" s="15">
        <v>56075</v>
      </c>
      <c r="N871" s="15">
        <v>12000</v>
      </c>
      <c r="O871" s="15">
        <f t="shared" si="65"/>
        <v>68075</v>
      </c>
      <c r="P871" s="15">
        <f t="shared" si="66"/>
        <v>38.339152962378918</v>
      </c>
      <c r="Q871" s="14">
        <v>8011</v>
      </c>
      <c r="R871" s="12">
        <v>22</v>
      </c>
      <c r="S871" s="12" t="s">
        <v>1208</v>
      </c>
      <c r="T871" s="22">
        <f t="shared" si="67"/>
        <v>12</v>
      </c>
      <c r="U871" s="22">
        <f t="shared" si="68"/>
        <v>2020</v>
      </c>
      <c r="V871" s="22" t="str">
        <f t="shared" si="69"/>
        <v>METROPOLITANA</v>
      </c>
    </row>
    <row r="872" spans="1:22" x14ac:dyDescent="0.2">
      <c r="A872" s="11" t="s">
        <v>1198</v>
      </c>
      <c r="B872" s="12" t="s">
        <v>33</v>
      </c>
      <c r="C872" s="12" t="s">
        <v>44</v>
      </c>
      <c r="D872" s="12" t="s">
        <v>883</v>
      </c>
      <c r="E872" s="13" t="s">
        <v>42</v>
      </c>
      <c r="F872" s="12" t="s">
        <v>67</v>
      </c>
      <c r="G872" s="14">
        <v>4066.4</v>
      </c>
      <c r="H872" s="12" t="s">
        <v>43</v>
      </c>
      <c r="I872" s="12">
        <v>0</v>
      </c>
      <c r="J872" s="12" t="s">
        <v>67</v>
      </c>
      <c r="K872" s="12" t="s">
        <v>23</v>
      </c>
      <c r="L872" s="12">
        <v>2</v>
      </c>
      <c r="M872" s="15">
        <v>40475</v>
      </c>
      <c r="N872" s="15">
        <v>12199</v>
      </c>
      <c r="O872" s="15">
        <f t="shared" si="65"/>
        <v>52674</v>
      </c>
      <c r="P872" s="15">
        <f t="shared" si="66"/>
        <v>12.953472358843202</v>
      </c>
      <c r="Q872" s="14">
        <v>5782</v>
      </c>
      <c r="R872" s="12">
        <v>70</v>
      </c>
      <c r="S872" s="12" t="s">
        <v>1209</v>
      </c>
      <c r="T872" s="22">
        <f t="shared" si="67"/>
        <v>12</v>
      </c>
      <c r="U872" s="22">
        <f t="shared" si="68"/>
        <v>2020</v>
      </c>
      <c r="V872" s="22" t="str">
        <f t="shared" si="69"/>
        <v>METROPOLITANA</v>
      </c>
    </row>
    <row r="873" spans="1:22" x14ac:dyDescent="0.2">
      <c r="A873" s="11" t="s">
        <v>1198</v>
      </c>
      <c r="B873" s="12" t="s">
        <v>33</v>
      </c>
      <c r="C873" s="12" t="s">
        <v>44</v>
      </c>
      <c r="D873" s="12" t="s">
        <v>45</v>
      </c>
      <c r="E873" s="13" t="s">
        <v>21</v>
      </c>
      <c r="F873" s="12" t="s">
        <v>129</v>
      </c>
      <c r="G873" s="14">
        <v>1738.4</v>
      </c>
      <c r="H873" s="12" t="s">
        <v>22</v>
      </c>
      <c r="I873" s="12">
        <v>0</v>
      </c>
      <c r="J873" s="12" t="s">
        <v>129</v>
      </c>
      <c r="K873" s="12" t="s">
        <v>23</v>
      </c>
      <c r="L873" s="12">
        <v>1</v>
      </c>
      <c r="M873" s="15">
        <v>33750</v>
      </c>
      <c r="N873" s="15">
        <v>12000</v>
      </c>
      <c r="O873" s="15">
        <f t="shared" si="65"/>
        <v>45750</v>
      </c>
      <c r="P873" s="15">
        <f t="shared" si="66"/>
        <v>26.317303267372296</v>
      </c>
      <c r="Q873" s="14">
        <v>4821</v>
      </c>
      <c r="R873" s="12">
        <v>36</v>
      </c>
      <c r="S873" s="12" t="s">
        <v>1210</v>
      </c>
      <c r="T873" s="22">
        <f t="shared" si="67"/>
        <v>12</v>
      </c>
      <c r="U873" s="22">
        <f t="shared" si="68"/>
        <v>2020</v>
      </c>
      <c r="V873" s="22" t="str">
        <f t="shared" si="69"/>
        <v>METROPOLITANA</v>
      </c>
    </row>
    <row r="874" spans="1:22" x14ac:dyDescent="0.2">
      <c r="A874" s="11" t="s">
        <v>1198</v>
      </c>
      <c r="B874" s="12" t="s">
        <v>33</v>
      </c>
      <c r="C874" s="12" t="s">
        <v>44</v>
      </c>
      <c r="D874" s="12" t="s">
        <v>47</v>
      </c>
      <c r="E874" s="13" t="s">
        <v>88</v>
      </c>
      <c r="F874" s="12" t="s">
        <v>48</v>
      </c>
      <c r="G874" s="14">
        <v>7265.199999999998</v>
      </c>
      <c r="H874" s="12" t="s">
        <v>22</v>
      </c>
      <c r="I874" s="12">
        <v>0</v>
      </c>
      <c r="J874" s="12" t="s">
        <v>48</v>
      </c>
      <c r="K874" s="12" t="s">
        <v>23</v>
      </c>
      <c r="L874" s="12">
        <v>1</v>
      </c>
      <c r="M874" s="15">
        <v>50856</v>
      </c>
      <c r="N874" s="15">
        <v>29061</v>
      </c>
      <c r="O874" s="15">
        <f t="shared" si="65"/>
        <v>79917</v>
      </c>
      <c r="P874" s="15">
        <f t="shared" si="66"/>
        <v>10.999972471508014</v>
      </c>
      <c r="Q874" s="14">
        <v>4821</v>
      </c>
      <c r="R874" s="12">
        <v>100</v>
      </c>
      <c r="S874" s="12" t="s">
        <v>1211</v>
      </c>
      <c r="T874" s="22">
        <f t="shared" si="67"/>
        <v>12</v>
      </c>
      <c r="U874" s="22">
        <f t="shared" si="68"/>
        <v>2020</v>
      </c>
      <c r="V874" s="22" t="str">
        <f t="shared" si="69"/>
        <v>METROPOLITANA</v>
      </c>
    </row>
    <row r="875" spans="1:22" x14ac:dyDescent="0.2">
      <c r="A875" s="11" t="s">
        <v>1198</v>
      </c>
      <c r="B875" s="12" t="s">
        <v>33</v>
      </c>
      <c r="C875" s="12" t="s">
        <v>44</v>
      </c>
      <c r="D875" s="12" t="s">
        <v>35</v>
      </c>
      <c r="E875" s="13" t="s">
        <v>49</v>
      </c>
      <c r="F875" s="12" t="s">
        <v>229</v>
      </c>
      <c r="G875" s="14">
        <v>1060.4000000000001</v>
      </c>
      <c r="H875" s="12" t="s">
        <v>22</v>
      </c>
      <c r="I875" s="12">
        <v>0</v>
      </c>
      <c r="J875" s="12" t="s">
        <v>230</v>
      </c>
      <c r="K875" s="12" t="s">
        <v>23</v>
      </c>
      <c r="L875" s="12">
        <v>4</v>
      </c>
      <c r="M875" s="15">
        <v>56075</v>
      </c>
      <c r="N875" s="15">
        <v>12000</v>
      </c>
      <c r="O875" s="15">
        <f t="shared" si="65"/>
        <v>68075</v>
      </c>
      <c r="P875" s="15">
        <f t="shared" si="66"/>
        <v>64.197472651829486</v>
      </c>
      <c r="Q875" s="14">
        <v>8011</v>
      </c>
      <c r="R875" s="12">
        <v>13</v>
      </c>
      <c r="S875" s="12" t="s">
        <v>1212</v>
      </c>
      <c r="T875" s="22">
        <f t="shared" si="67"/>
        <v>12</v>
      </c>
      <c r="U875" s="22">
        <f t="shared" si="68"/>
        <v>2020</v>
      </c>
      <c r="V875" s="22" t="str">
        <f t="shared" si="69"/>
        <v>METROPOLITANA</v>
      </c>
    </row>
    <row r="876" spans="1:22" x14ac:dyDescent="0.2">
      <c r="A876" s="23" t="s">
        <v>1213</v>
      </c>
      <c r="B876" s="22" t="s">
        <v>18</v>
      </c>
      <c r="C876" s="22" t="s">
        <v>60</v>
      </c>
      <c r="D876" s="22" t="s">
        <v>786</v>
      </c>
      <c r="E876" s="24" t="s">
        <v>787</v>
      </c>
      <c r="F876" s="22" t="s">
        <v>127</v>
      </c>
      <c r="G876" s="25">
        <v>4747.2</v>
      </c>
      <c r="H876" s="22" t="s">
        <v>788</v>
      </c>
      <c r="I876" s="22">
        <v>1</v>
      </c>
      <c r="J876" s="22" t="s">
        <v>127</v>
      </c>
      <c r="K876" s="22" t="s">
        <v>78</v>
      </c>
      <c r="L876" s="22">
        <v>0</v>
      </c>
      <c r="M876" s="26">
        <v>230000</v>
      </c>
      <c r="N876" s="26">
        <v>0</v>
      </c>
      <c r="O876" s="15">
        <f t="shared" si="65"/>
        <v>230000</v>
      </c>
      <c r="P876" s="15">
        <f t="shared" si="66"/>
        <v>48.44961240310078</v>
      </c>
      <c r="Q876" s="25">
        <v>25000</v>
      </c>
      <c r="R876" s="22">
        <v>19</v>
      </c>
      <c r="S876" s="22" t="s">
        <v>1214</v>
      </c>
      <c r="T876" s="22">
        <f t="shared" si="67"/>
        <v>12</v>
      </c>
      <c r="U876" s="22">
        <f t="shared" si="68"/>
        <v>2020</v>
      </c>
      <c r="V876" s="22" t="str">
        <f t="shared" si="69"/>
        <v>REGIONES</v>
      </c>
    </row>
    <row r="877" spans="1:22" x14ac:dyDescent="0.2">
      <c r="A877" s="23" t="s">
        <v>1213</v>
      </c>
      <c r="B877" s="22" t="s">
        <v>18</v>
      </c>
      <c r="C877" s="22" t="s">
        <v>579</v>
      </c>
      <c r="D877" s="22" t="s">
        <v>35</v>
      </c>
      <c r="E877" s="24" t="s">
        <v>49</v>
      </c>
      <c r="F877" s="22" t="s">
        <v>161</v>
      </c>
      <c r="G877" s="25">
        <v>1257.6600000000001</v>
      </c>
      <c r="H877" s="22" t="s">
        <v>22</v>
      </c>
      <c r="I877" s="22">
        <v>0</v>
      </c>
      <c r="J877" s="22" t="s">
        <v>161</v>
      </c>
      <c r="K877" s="22" t="s">
        <v>23</v>
      </c>
      <c r="L877" s="22">
        <v>5</v>
      </c>
      <c r="M877" s="26">
        <v>70000</v>
      </c>
      <c r="N877" s="26">
        <f>G877*4</f>
        <v>5030.6400000000003</v>
      </c>
      <c r="O877" s="15">
        <f t="shared" si="65"/>
        <v>75030.64</v>
      </c>
      <c r="P877" s="15">
        <f t="shared" si="66"/>
        <v>59.658922125216669</v>
      </c>
      <c r="Q877" s="25">
        <v>12000</v>
      </c>
      <c r="R877" s="22">
        <v>10</v>
      </c>
      <c r="S877" s="22" t="s">
        <v>1215</v>
      </c>
      <c r="T877" s="22">
        <f t="shared" si="67"/>
        <v>12</v>
      </c>
      <c r="U877" s="22">
        <f t="shared" si="68"/>
        <v>2020</v>
      </c>
      <c r="V877" s="22" t="str">
        <f t="shared" si="69"/>
        <v>METROPOLITANA</v>
      </c>
    </row>
    <row r="878" spans="1:22" x14ac:dyDescent="0.2">
      <c r="A878" s="23" t="s">
        <v>1213</v>
      </c>
      <c r="B878" s="22" t="s">
        <v>18</v>
      </c>
      <c r="C878" s="22" t="s">
        <v>57</v>
      </c>
      <c r="D878" s="22" t="s">
        <v>41</v>
      </c>
      <c r="E878" s="24" t="s">
        <v>25</v>
      </c>
      <c r="F878" s="22" t="s">
        <v>120</v>
      </c>
      <c r="G878" s="25">
        <v>4632.42</v>
      </c>
      <c r="H878" s="22" t="s">
        <v>43</v>
      </c>
      <c r="I878" s="22">
        <v>0</v>
      </c>
      <c r="J878" s="22" t="s">
        <v>120</v>
      </c>
      <c r="K878" s="22" t="s">
        <v>23</v>
      </c>
      <c r="L878" s="22">
        <v>5</v>
      </c>
      <c r="M878" s="26">
        <v>70000</v>
      </c>
      <c r="N878" s="26">
        <f>G878*3</f>
        <v>13897.26</v>
      </c>
      <c r="O878" s="15">
        <f t="shared" si="65"/>
        <v>83897.26</v>
      </c>
      <c r="P878" s="15">
        <f t="shared" si="66"/>
        <v>18.110892362954999</v>
      </c>
      <c r="Q878" s="25">
        <v>12000</v>
      </c>
      <c r="R878" s="22">
        <v>39</v>
      </c>
      <c r="S878" s="22" t="s">
        <v>1216</v>
      </c>
      <c r="T878" s="22">
        <f t="shared" si="67"/>
        <v>12</v>
      </c>
      <c r="U878" s="22">
        <f t="shared" si="68"/>
        <v>2020</v>
      </c>
      <c r="V878" s="22" t="str">
        <f t="shared" si="69"/>
        <v>METROPOLITANA</v>
      </c>
    </row>
    <row r="879" spans="1:22" x14ac:dyDescent="0.2">
      <c r="A879" s="23" t="s">
        <v>1213</v>
      </c>
      <c r="B879" s="22" t="s">
        <v>18</v>
      </c>
      <c r="C879" s="22" t="s">
        <v>87</v>
      </c>
      <c r="D879" s="22" t="s">
        <v>188</v>
      </c>
      <c r="E879" s="24" t="s">
        <v>189</v>
      </c>
      <c r="F879" s="22" t="s">
        <v>51</v>
      </c>
      <c r="G879" s="25">
        <v>3499.440000000001</v>
      </c>
      <c r="H879" s="22" t="s">
        <v>190</v>
      </c>
      <c r="I879" s="22">
        <v>0</v>
      </c>
      <c r="J879" s="22" t="s">
        <v>51</v>
      </c>
      <c r="K879" s="22" t="s">
        <v>23</v>
      </c>
      <c r="L879" s="22">
        <v>4</v>
      </c>
      <c r="M879" s="26">
        <v>56075</v>
      </c>
      <c r="N879" s="26">
        <v>0</v>
      </c>
      <c r="O879" s="15">
        <f t="shared" si="65"/>
        <v>56075</v>
      </c>
      <c r="P879" s="15">
        <f t="shared" si="66"/>
        <v>16.023992410214202</v>
      </c>
      <c r="Q879" s="25">
        <v>8011</v>
      </c>
      <c r="R879" s="22">
        <v>44</v>
      </c>
      <c r="S879" s="22" t="s">
        <v>1217</v>
      </c>
      <c r="T879" s="22">
        <f t="shared" si="67"/>
        <v>12</v>
      </c>
      <c r="U879" s="22">
        <f t="shared" si="68"/>
        <v>2020</v>
      </c>
      <c r="V879" s="22" t="str">
        <f t="shared" si="69"/>
        <v>METROPOLITANA</v>
      </c>
    </row>
    <row r="880" spans="1:22" x14ac:dyDescent="0.2">
      <c r="A880" s="23" t="s">
        <v>1213</v>
      </c>
      <c r="B880" s="22" t="s">
        <v>18</v>
      </c>
      <c r="C880" s="22" t="s">
        <v>508</v>
      </c>
      <c r="D880" s="22" t="s">
        <v>27</v>
      </c>
      <c r="E880" s="24" t="s">
        <v>28</v>
      </c>
      <c r="F880" s="22" t="s">
        <v>800</v>
      </c>
      <c r="G880" s="25">
        <v>6051.9000000000005</v>
      </c>
      <c r="H880" s="22" t="s">
        <v>22</v>
      </c>
      <c r="I880" s="22">
        <v>1</v>
      </c>
      <c r="J880" s="22" t="s">
        <v>800</v>
      </c>
      <c r="K880" s="22" t="s">
        <v>23</v>
      </c>
      <c r="L880" s="22">
        <v>5</v>
      </c>
      <c r="M880" s="26">
        <v>120000</v>
      </c>
      <c r="N880" s="26">
        <f>G880*4</f>
        <v>24207.600000000002</v>
      </c>
      <c r="O880" s="15">
        <f t="shared" si="65"/>
        <v>144207.6</v>
      </c>
      <c r="P880" s="15">
        <f t="shared" si="66"/>
        <v>23.82848361671541</v>
      </c>
      <c r="Q880" s="25">
        <v>12000</v>
      </c>
      <c r="R880" s="22">
        <v>50</v>
      </c>
      <c r="S880" s="22" t="s">
        <v>1218</v>
      </c>
      <c r="T880" s="22">
        <f t="shared" si="67"/>
        <v>12</v>
      </c>
      <c r="U880" s="22">
        <f t="shared" si="68"/>
        <v>2020</v>
      </c>
      <c r="V880" s="22" t="str">
        <f t="shared" si="69"/>
        <v>METROPOLITANA</v>
      </c>
    </row>
    <row r="881" spans="1:22" x14ac:dyDescent="0.2">
      <c r="A881" s="23" t="s">
        <v>1213</v>
      </c>
      <c r="B881" s="22" t="s">
        <v>33</v>
      </c>
      <c r="C881" s="22" t="s">
        <v>50</v>
      </c>
      <c r="D881" s="22" t="s">
        <v>37</v>
      </c>
      <c r="E881" s="24" t="s">
        <v>40</v>
      </c>
      <c r="F881" s="22" t="s">
        <v>26</v>
      </c>
      <c r="G881" s="25">
        <v>9760</v>
      </c>
      <c r="H881" s="22" t="s">
        <v>22</v>
      </c>
      <c r="I881" s="22">
        <v>0</v>
      </c>
      <c r="J881" s="22" t="s">
        <v>26</v>
      </c>
      <c r="K881" s="22" t="s">
        <v>23</v>
      </c>
      <c r="L881" s="22">
        <v>4</v>
      </c>
      <c r="M881" s="26">
        <v>68320</v>
      </c>
      <c r="N881" s="26">
        <f>G881*4</f>
        <v>39040</v>
      </c>
      <c r="O881" s="15">
        <f t="shared" si="65"/>
        <v>107360</v>
      </c>
      <c r="P881" s="15">
        <f t="shared" si="66"/>
        <v>11</v>
      </c>
      <c r="Q881" s="25">
        <v>8011</v>
      </c>
      <c r="R881" s="22">
        <v>100</v>
      </c>
      <c r="S881" s="22" t="s">
        <v>1219</v>
      </c>
      <c r="T881" s="22">
        <f t="shared" si="67"/>
        <v>12</v>
      </c>
      <c r="U881" s="22">
        <f t="shared" si="68"/>
        <v>2020</v>
      </c>
      <c r="V881" s="22" t="str">
        <f t="shared" si="69"/>
        <v>METROPOLITANA</v>
      </c>
    </row>
    <row r="882" spans="1:22" x14ac:dyDescent="0.2">
      <c r="A882" s="23" t="s">
        <v>1213</v>
      </c>
      <c r="B882" s="22" t="s">
        <v>33</v>
      </c>
      <c r="C882" s="22" t="s">
        <v>50</v>
      </c>
      <c r="D882" s="22" t="s">
        <v>20</v>
      </c>
      <c r="E882" s="24" t="s">
        <v>88</v>
      </c>
      <c r="F882" s="22" t="s">
        <v>26</v>
      </c>
      <c r="G882" s="25">
        <v>8540</v>
      </c>
      <c r="H882" s="22" t="s">
        <v>22</v>
      </c>
      <c r="I882" s="22">
        <v>0</v>
      </c>
      <c r="J882" s="22" t="s">
        <v>26</v>
      </c>
      <c r="K882" s="22" t="s">
        <v>23</v>
      </c>
      <c r="L882" s="22">
        <v>4</v>
      </c>
      <c r="M882" s="26">
        <v>59780</v>
      </c>
      <c r="N882" s="26">
        <f>G882*4</f>
        <v>34160</v>
      </c>
      <c r="O882" s="15">
        <f t="shared" si="65"/>
        <v>93940</v>
      </c>
      <c r="P882" s="15">
        <f t="shared" si="66"/>
        <v>11</v>
      </c>
      <c r="Q882" s="25">
        <v>8011</v>
      </c>
      <c r="R882" s="22">
        <v>100</v>
      </c>
      <c r="S882" s="22" t="s">
        <v>1220</v>
      </c>
      <c r="T882" s="22">
        <f t="shared" si="67"/>
        <v>12</v>
      </c>
      <c r="U882" s="22">
        <f t="shared" si="68"/>
        <v>2020</v>
      </c>
      <c r="V882" s="22" t="str">
        <f t="shared" si="69"/>
        <v>METROPOLITANA</v>
      </c>
    </row>
    <row r="883" spans="1:22" x14ac:dyDescent="0.2">
      <c r="A883" s="11" t="s">
        <v>1221</v>
      </c>
      <c r="B883" s="12" t="s">
        <v>33</v>
      </c>
      <c r="C883" s="12" t="s">
        <v>44</v>
      </c>
      <c r="D883" s="12" t="s">
        <v>56</v>
      </c>
      <c r="E883" s="13">
        <v>161268070</v>
      </c>
      <c r="F883" s="12" t="s">
        <v>134</v>
      </c>
      <c r="G883" s="14">
        <v>1171.5999999999999</v>
      </c>
      <c r="H883" s="12" t="s">
        <v>22</v>
      </c>
      <c r="I883" s="12">
        <v>0</v>
      </c>
      <c r="J883" s="12" t="s">
        <v>134</v>
      </c>
      <c r="K883" s="12" t="s">
        <v>23</v>
      </c>
      <c r="L883" s="12">
        <v>2</v>
      </c>
      <c r="M883" s="15">
        <v>40475</v>
      </c>
      <c r="N883" s="15">
        <v>12000</v>
      </c>
      <c r="O883" s="15">
        <f t="shared" si="65"/>
        <v>52475</v>
      </c>
      <c r="P883" s="15">
        <f t="shared" si="66"/>
        <v>44.78917719358143</v>
      </c>
      <c r="Q883" s="14">
        <v>5782</v>
      </c>
      <c r="R883" s="12">
        <v>20</v>
      </c>
      <c r="S883" s="12" t="s">
        <v>1222</v>
      </c>
      <c r="T883" s="22">
        <f t="shared" si="67"/>
        <v>12</v>
      </c>
      <c r="U883" s="22">
        <f t="shared" si="68"/>
        <v>2020</v>
      </c>
      <c r="V883" s="22" t="str">
        <f t="shared" si="69"/>
        <v>METROPOLITANA</v>
      </c>
    </row>
    <row r="884" spans="1:22" x14ac:dyDescent="0.2">
      <c r="A884" s="11" t="s">
        <v>1221</v>
      </c>
      <c r="B884" s="12" t="s">
        <v>33</v>
      </c>
      <c r="C884" s="12" t="s">
        <v>44</v>
      </c>
      <c r="D884" s="12" t="s">
        <v>45</v>
      </c>
      <c r="E884" s="13">
        <v>78907355</v>
      </c>
      <c r="F884" s="12" t="s">
        <v>95</v>
      </c>
      <c r="G884" s="14">
        <v>2212</v>
      </c>
      <c r="H884" s="12" t="s">
        <v>22</v>
      </c>
      <c r="I884" s="12">
        <v>0</v>
      </c>
      <c r="J884" s="12" t="s">
        <v>95</v>
      </c>
      <c r="K884" s="12" t="s">
        <v>23</v>
      </c>
      <c r="L884" s="12">
        <v>4</v>
      </c>
      <c r="M884" s="15">
        <v>56075</v>
      </c>
      <c r="N884" s="15">
        <v>12000</v>
      </c>
      <c r="O884" s="15">
        <f t="shared" si="65"/>
        <v>68075</v>
      </c>
      <c r="P884" s="15">
        <f t="shared" si="66"/>
        <v>30.775316455696203</v>
      </c>
      <c r="Q884" s="14">
        <v>8011</v>
      </c>
      <c r="R884" s="12">
        <v>28</v>
      </c>
      <c r="S884" s="12" t="s">
        <v>1223</v>
      </c>
      <c r="T884" s="22">
        <f t="shared" si="67"/>
        <v>12</v>
      </c>
      <c r="U884" s="22">
        <f t="shared" si="68"/>
        <v>2020</v>
      </c>
      <c r="V884" s="22" t="str">
        <f t="shared" si="69"/>
        <v>METROPOLITANA</v>
      </c>
    </row>
    <row r="885" spans="1:22" x14ac:dyDescent="0.2">
      <c r="A885" s="11" t="s">
        <v>1221</v>
      </c>
      <c r="B885" s="12" t="s">
        <v>33</v>
      </c>
      <c r="C885" s="12" t="s">
        <v>44</v>
      </c>
      <c r="D885" s="12" t="s">
        <v>47</v>
      </c>
      <c r="E885" s="13">
        <v>99626232</v>
      </c>
      <c r="F885" s="12" t="s">
        <v>48</v>
      </c>
      <c r="G885" s="14">
        <v>2486.8000000000002</v>
      </c>
      <c r="H885" s="12" t="s">
        <v>22</v>
      </c>
      <c r="I885" s="12">
        <v>0</v>
      </c>
      <c r="J885" s="12" t="s">
        <v>48</v>
      </c>
      <c r="K885" s="12" t="s">
        <v>23</v>
      </c>
      <c r="L885" s="12">
        <v>1</v>
      </c>
      <c r="M885" s="15">
        <v>33750</v>
      </c>
      <c r="N885" s="15">
        <v>12000</v>
      </c>
      <c r="O885" s="15">
        <f t="shared" si="65"/>
        <v>45750</v>
      </c>
      <c r="P885" s="15">
        <f t="shared" si="66"/>
        <v>18.39713688274087</v>
      </c>
      <c r="Q885" s="14">
        <v>4821</v>
      </c>
      <c r="R885" s="12">
        <v>52</v>
      </c>
      <c r="S885" s="12" t="s">
        <v>1224</v>
      </c>
      <c r="T885" s="22">
        <f t="shared" si="67"/>
        <v>12</v>
      </c>
      <c r="U885" s="22">
        <f t="shared" si="68"/>
        <v>2020</v>
      </c>
      <c r="V885" s="22" t="str">
        <f t="shared" si="69"/>
        <v>METROPOLITANA</v>
      </c>
    </row>
    <row r="886" spans="1:22" x14ac:dyDescent="0.2">
      <c r="A886" s="11" t="s">
        <v>1221</v>
      </c>
      <c r="B886" s="12" t="s">
        <v>33</v>
      </c>
      <c r="C886" s="12" t="s">
        <v>44</v>
      </c>
      <c r="D886" s="12" t="s">
        <v>35</v>
      </c>
      <c r="E886" s="13">
        <v>107643206</v>
      </c>
      <c r="F886" s="12" t="s">
        <v>225</v>
      </c>
      <c r="G886" s="14">
        <v>1548.799999999999</v>
      </c>
      <c r="H886" s="12" t="s">
        <v>22</v>
      </c>
      <c r="I886" s="12">
        <v>0</v>
      </c>
      <c r="J886" s="12" t="s">
        <v>225</v>
      </c>
      <c r="K886" s="12" t="s">
        <v>23</v>
      </c>
      <c r="L886" s="12">
        <v>3</v>
      </c>
      <c r="M886" s="15">
        <v>48075</v>
      </c>
      <c r="N886" s="15">
        <v>12000</v>
      </c>
      <c r="O886" s="15">
        <f t="shared" si="65"/>
        <v>60075</v>
      </c>
      <c r="P886" s="15">
        <f t="shared" si="66"/>
        <v>38.788094008264487</v>
      </c>
      <c r="Q886" s="14">
        <v>6868</v>
      </c>
      <c r="R886" s="12">
        <v>23</v>
      </c>
      <c r="S886" s="12" t="s">
        <v>1225</v>
      </c>
      <c r="T886" s="22">
        <f t="shared" si="67"/>
        <v>12</v>
      </c>
      <c r="U886" s="22">
        <f t="shared" si="68"/>
        <v>2020</v>
      </c>
      <c r="V886" s="22" t="str">
        <f t="shared" si="69"/>
        <v>METROPOLITANA</v>
      </c>
    </row>
    <row r="887" spans="1:22" x14ac:dyDescent="0.2">
      <c r="A887" s="23" t="s">
        <v>1226</v>
      </c>
      <c r="B887" s="22" t="s">
        <v>54</v>
      </c>
      <c r="C887" s="22" t="s">
        <v>55</v>
      </c>
      <c r="D887" s="22" t="s">
        <v>130</v>
      </c>
      <c r="E887" s="24" t="s">
        <v>131</v>
      </c>
      <c r="F887" s="22" t="s">
        <v>66</v>
      </c>
      <c r="G887" s="25">
        <v>20249.05</v>
      </c>
      <c r="H887" s="22" t="s">
        <v>85</v>
      </c>
      <c r="I887" s="22">
        <v>1</v>
      </c>
      <c r="J887" s="22" t="s">
        <v>66</v>
      </c>
      <c r="K887" s="22" t="s">
        <v>75</v>
      </c>
      <c r="L887" s="22">
        <v>0</v>
      </c>
      <c r="M887" s="26">
        <v>380000</v>
      </c>
      <c r="N887" s="26">
        <v>0</v>
      </c>
      <c r="O887" s="15">
        <f t="shared" si="65"/>
        <v>380000</v>
      </c>
      <c r="P887" s="15">
        <f t="shared" si="66"/>
        <v>18.766312493672544</v>
      </c>
      <c r="Q887" s="25">
        <v>25000</v>
      </c>
      <c r="R887" s="22">
        <v>70</v>
      </c>
      <c r="S887" s="22" t="s">
        <v>1227</v>
      </c>
      <c r="T887" s="22">
        <f t="shared" si="67"/>
        <v>12</v>
      </c>
      <c r="U887" s="22">
        <f t="shared" si="68"/>
        <v>2020</v>
      </c>
      <c r="V887" s="22" t="str">
        <f t="shared" si="69"/>
        <v>REGIONES</v>
      </c>
    </row>
    <row r="888" spans="1:22" x14ac:dyDescent="0.2">
      <c r="A888" s="23" t="s">
        <v>1226</v>
      </c>
      <c r="B888" s="22" t="s">
        <v>18</v>
      </c>
      <c r="C888" s="22" t="s">
        <v>50</v>
      </c>
      <c r="D888" s="22" t="s">
        <v>37</v>
      </c>
      <c r="E888" s="24" t="s">
        <v>40</v>
      </c>
      <c r="F888" s="22" t="s">
        <v>26</v>
      </c>
      <c r="G888" s="25">
        <v>13130</v>
      </c>
      <c r="H888" s="22" t="s">
        <v>22</v>
      </c>
      <c r="I888" s="22">
        <v>0</v>
      </c>
      <c r="J888" s="22" t="s">
        <v>26</v>
      </c>
      <c r="K888" s="22" t="s">
        <v>23</v>
      </c>
      <c r="L888" s="22">
        <v>4</v>
      </c>
      <c r="M888" s="26">
        <v>91910</v>
      </c>
      <c r="N888" s="26">
        <f>G888*4</f>
        <v>52520</v>
      </c>
      <c r="O888" s="15">
        <f t="shared" si="65"/>
        <v>144430</v>
      </c>
      <c r="P888" s="15">
        <f t="shared" si="66"/>
        <v>11</v>
      </c>
      <c r="Q888" s="25">
        <v>8011</v>
      </c>
      <c r="R888" s="22">
        <v>100</v>
      </c>
      <c r="S888" s="22" t="s">
        <v>1228</v>
      </c>
      <c r="T888" s="22">
        <f t="shared" si="67"/>
        <v>12</v>
      </c>
      <c r="U888" s="22">
        <f t="shared" si="68"/>
        <v>2020</v>
      </c>
      <c r="V888" s="22" t="str">
        <f t="shared" si="69"/>
        <v>METROPOLITANA</v>
      </c>
    </row>
    <row r="889" spans="1:22" x14ac:dyDescent="0.2">
      <c r="A889" s="23" t="s">
        <v>1226</v>
      </c>
      <c r="B889" s="22" t="s">
        <v>18</v>
      </c>
      <c r="C889" s="22" t="s">
        <v>50</v>
      </c>
      <c r="D889" s="22" t="s">
        <v>63</v>
      </c>
      <c r="E889" s="24" t="s">
        <v>64</v>
      </c>
      <c r="F889" s="22" t="s">
        <v>26</v>
      </c>
      <c r="G889" s="25">
        <v>8080</v>
      </c>
      <c r="H889" s="22" t="s">
        <v>65</v>
      </c>
      <c r="I889" s="22">
        <v>0</v>
      </c>
      <c r="J889" s="22" t="s">
        <v>26</v>
      </c>
      <c r="K889" s="22" t="s">
        <v>23</v>
      </c>
      <c r="L889" s="22">
        <v>4</v>
      </c>
      <c r="M889" s="26">
        <v>56560</v>
      </c>
      <c r="N889" s="26">
        <f>G889*3</f>
        <v>24240</v>
      </c>
      <c r="O889" s="15">
        <f t="shared" si="65"/>
        <v>80800</v>
      </c>
      <c r="P889" s="15">
        <f t="shared" si="66"/>
        <v>10</v>
      </c>
      <c r="Q889" s="25">
        <v>8011</v>
      </c>
      <c r="R889" s="22">
        <v>100</v>
      </c>
      <c r="S889" s="22" t="s">
        <v>1229</v>
      </c>
      <c r="T889" s="22">
        <f t="shared" si="67"/>
        <v>12</v>
      </c>
      <c r="U889" s="22">
        <f t="shared" si="68"/>
        <v>2020</v>
      </c>
      <c r="V889" s="22" t="str">
        <f t="shared" si="69"/>
        <v>METROPOLITANA</v>
      </c>
    </row>
    <row r="890" spans="1:22" x14ac:dyDescent="0.2">
      <c r="A890" s="23" t="s">
        <v>1226</v>
      </c>
      <c r="B890" s="22" t="s">
        <v>18</v>
      </c>
      <c r="C890" s="22" t="s">
        <v>19</v>
      </c>
      <c r="D890" s="22" t="s">
        <v>38</v>
      </c>
      <c r="E890" s="24" t="s">
        <v>42</v>
      </c>
      <c r="F890" s="22" t="s">
        <v>161</v>
      </c>
      <c r="G890" s="25">
        <v>3205.3</v>
      </c>
      <c r="H890" s="22" t="s">
        <v>43</v>
      </c>
      <c r="I890" s="22">
        <v>0</v>
      </c>
      <c r="J890" s="22" t="s">
        <v>161</v>
      </c>
      <c r="K890" s="22" t="s">
        <v>23</v>
      </c>
      <c r="L890" s="22">
        <v>5</v>
      </c>
      <c r="M890" s="26">
        <v>70000</v>
      </c>
      <c r="N890" s="26">
        <f>G890*3</f>
        <v>9615.9000000000015</v>
      </c>
      <c r="O890" s="15">
        <f t="shared" si="65"/>
        <v>79615.899999999994</v>
      </c>
      <c r="P890" s="15">
        <f t="shared" si="66"/>
        <v>24.838829438742081</v>
      </c>
      <c r="Q890" s="25">
        <v>12000</v>
      </c>
      <c r="R890" s="22">
        <v>27</v>
      </c>
      <c r="S890" s="22" t="s">
        <v>1230</v>
      </c>
      <c r="T890" s="22">
        <f t="shared" si="67"/>
        <v>12</v>
      </c>
      <c r="U890" s="22">
        <f t="shared" si="68"/>
        <v>2020</v>
      </c>
      <c r="V890" s="22" t="str">
        <f t="shared" si="69"/>
        <v>METROPOLITANA</v>
      </c>
    </row>
    <row r="891" spans="1:22" x14ac:dyDescent="0.2">
      <c r="A891" s="23" t="s">
        <v>1226</v>
      </c>
      <c r="B891" s="22" t="s">
        <v>18</v>
      </c>
      <c r="C891" s="22" t="s">
        <v>508</v>
      </c>
      <c r="D891" s="22" t="s">
        <v>27</v>
      </c>
      <c r="E891" s="24" t="s">
        <v>28</v>
      </c>
      <c r="F891" s="22" t="s">
        <v>800</v>
      </c>
      <c r="G891" s="25">
        <v>8070.6</v>
      </c>
      <c r="H891" s="22" t="s">
        <v>22</v>
      </c>
      <c r="I891" s="22">
        <v>1</v>
      </c>
      <c r="J891" s="22" t="s">
        <v>800</v>
      </c>
      <c r="K891" s="22" t="s">
        <v>23</v>
      </c>
      <c r="L891" s="22">
        <v>5</v>
      </c>
      <c r="M891" s="26">
        <v>120000</v>
      </c>
      <c r="N891" s="26">
        <f>G891*4</f>
        <v>32282.400000000001</v>
      </c>
      <c r="O891" s="15">
        <f t="shared" si="65"/>
        <v>152282.4</v>
      </c>
      <c r="P891" s="15">
        <f t="shared" si="66"/>
        <v>18.868782990112258</v>
      </c>
      <c r="Q891" s="25">
        <v>12000</v>
      </c>
      <c r="R891" s="22">
        <v>67</v>
      </c>
      <c r="S891" s="22" t="s">
        <v>1231</v>
      </c>
      <c r="T891" s="22">
        <f t="shared" si="67"/>
        <v>12</v>
      </c>
      <c r="U891" s="22">
        <f t="shared" si="68"/>
        <v>2020</v>
      </c>
      <c r="V891" s="22" t="str">
        <f t="shared" si="69"/>
        <v>METROPOLITANA</v>
      </c>
    </row>
    <row r="892" spans="1:22" x14ac:dyDescent="0.2">
      <c r="A892" s="23" t="s">
        <v>1226</v>
      </c>
      <c r="B892" s="22" t="s">
        <v>33</v>
      </c>
      <c r="C892" s="22" t="s">
        <v>50</v>
      </c>
      <c r="D892" s="22" t="s">
        <v>41</v>
      </c>
      <c r="E892" s="24" t="s">
        <v>25</v>
      </c>
      <c r="F892" s="22" t="s">
        <v>26</v>
      </c>
      <c r="G892" s="25">
        <v>6710</v>
      </c>
      <c r="H892" s="22" t="s">
        <v>43</v>
      </c>
      <c r="I892" s="22">
        <v>0</v>
      </c>
      <c r="J892" s="22" t="s">
        <v>26</v>
      </c>
      <c r="K892" s="22" t="s">
        <v>23</v>
      </c>
      <c r="L892" s="22">
        <v>4</v>
      </c>
      <c r="M892" s="26">
        <v>56075</v>
      </c>
      <c r="N892" s="26">
        <f>G892*3</f>
        <v>20130</v>
      </c>
      <c r="O892" s="15">
        <f t="shared" si="65"/>
        <v>76205</v>
      </c>
      <c r="P892" s="15">
        <f t="shared" si="66"/>
        <v>11.35692995529061</v>
      </c>
      <c r="Q892" s="25">
        <v>8011</v>
      </c>
      <c r="R892" s="22">
        <v>84</v>
      </c>
      <c r="S892" s="22" t="s">
        <v>1232</v>
      </c>
      <c r="T892" s="22">
        <f t="shared" si="67"/>
        <v>12</v>
      </c>
      <c r="U892" s="22">
        <f t="shared" si="68"/>
        <v>2020</v>
      </c>
      <c r="V892" s="22" t="str">
        <f t="shared" si="69"/>
        <v>METROPOLITANA</v>
      </c>
    </row>
    <row r="893" spans="1:22" x14ac:dyDescent="0.2">
      <c r="A893" s="23" t="s">
        <v>1226</v>
      </c>
      <c r="B893" s="22" t="s">
        <v>33</v>
      </c>
      <c r="C893" s="22" t="s">
        <v>1233</v>
      </c>
      <c r="D893" s="22" t="s">
        <v>188</v>
      </c>
      <c r="E893" s="24" t="s">
        <v>189</v>
      </c>
      <c r="F893" s="22" t="s">
        <v>1234</v>
      </c>
      <c r="G893" s="25">
        <v>2267.1999999999998</v>
      </c>
      <c r="H893" s="22" t="s">
        <v>190</v>
      </c>
      <c r="I893" s="22">
        <v>0</v>
      </c>
      <c r="J893" s="22" t="s">
        <v>1234</v>
      </c>
      <c r="K893" s="22" t="s">
        <v>23</v>
      </c>
      <c r="L893" s="22">
        <v>3</v>
      </c>
      <c r="M893" s="26">
        <v>48075</v>
      </c>
      <c r="N893" s="26">
        <v>0</v>
      </c>
      <c r="O893" s="15">
        <f t="shared" si="65"/>
        <v>48075</v>
      </c>
      <c r="P893" s="15">
        <f t="shared" si="66"/>
        <v>21.204569513055752</v>
      </c>
      <c r="Q893" s="25">
        <v>6868</v>
      </c>
      <c r="R893" s="22">
        <v>33</v>
      </c>
      <c r="S893" s="22" t="s">
        <v>1235</v>
      </c>
      <c r="T893" s="22">
        <f t="shared" si="67"/>
        <v>12</v>
      </c>
      <c r="U893" s="22">
        <f t="shared" si="68"/>
        <v>2020</v>
      </c>
      <c r="V893" s="22" t="str">
        <f t="shared" si="69"/>
        <v>METROPOLITANA</v>
      </c>
    </row>
    <row r="894" spans="1:22" x14ac:dyDescent="0.2">
      <c r="A894" s="23" t="s">
        <v>1226</v>
      </c>
      <c r="B894" s="22" t="s">
        <v>33</v>
      </c>
      <c r="C894" s="22" t="s">
        <v>44</v>
      </c>
      <c r="D894" s="22" t="s">
        <v>45</v>
      </c>
      <c r="E894" s="24" t="s">
        <v>88</v>
      </c>
      <c r="F894" s="22" t="s">
        <v>182</v>
      </c>
      <c r="G894" s="25">
        <v>1044.44</v>
      </c>
      <c r="H894" s="22" t="s">
        <v>22</v>
      </c>
      <c r="I894" s="22">
        <v>0</v>
      </c>
      <c r="J894" s="22" t="s">
        <v>182</v>
      </c>
      <c r="K894" s="22" t="s">
        <v>23</v>
      </c>
      <c r="L894" s="22">
        <v>4</v>
      </c>
      <c r="M894" s="26">
        <v>56075</v>
      </c>
      <c r="N894" s="26">
        <v>12000</v>
      </c>
      <c r="O894" s="15">
        <f t="shared" si="65"/>
        <v>68075</v>
      </c>
      <c r="P894" s="15">
        <f t="shared" si="66"/>
        <v>65.178468844548277</v>
      </c>
      <c r="Q894" s="25">
        <v>8011</v>
      </c>
      <c r="R894" s="22">
        <v>13</v>
      </c>
      <c r="S894" s="22" t="s">
        <v>1236</v>
      </c>
      <c r="T894" s="22">
        <f t="shared" si="67"/>
        <v>12</v>
      </c>
      <c r="U894" s="22">
        <f t="shared" si="68"/>
        <v>2020</v>
      </c>
      <c r="V894" s="22" t="str">
        <f t="shared" si="69"/>
        <v>METROPOLITANA</v>
      </c>
    </row>
    <row r="895" spans="1:22" x14ac:dyDescent="0.2">
      <c r="A895" s="23" t="s">
        <v>1226</v>
      </c>
      <c r="B895" s="22" t="s">
        <v>33</v>
      </c>
      <c r="C895" s="22" t="s">
        <v>44</v>
      </c>
      <c r="D895" s="22" t="s">
        <v>47</v>
      </c>
      <c r="E895" s="24" t="s">
        <v>52</v>
      </c>
      <c r="F895" s="22" t="s">
        <v>48</v>
      </c>
      <c r="G895" s="25">
        <v>1470.08</v>
      </c>
      <c r="H895" s="22" t="s">
        <v>22</v>
      </c>
      <c r="I895" s="22">
        <v>0</v>
      </c>
      <c r="J895" s="22" t="s">
        <v>48</v>
      </c>
      <c r="K895" s="22" t="s">
        <v>23</v>
      </c>
      <c r="L895" s="22">
        <v>1</v>
      </c>
      <c r="M895" s="26">
        <v>33750</v>
      </c>
      <c r="N895" s="26">
        <v>12000</v>
      </c>
      <c r="O895" s="15">
        <f t="shared" si="65"/>
        <v>45750</v>
      </c>
      <c r="P895" s="15">
        <f t="shared" si="66"/>
        <v>31.1207553330431</v>
      </c>
      <c r="Q895" s="25">
        <v>4821</v>
      </c>
      <c r="R895" s="22">
        <v>30</v>
      </c>
      <c r="S895" s="22" t="s">
        <v>1237</v>
      </c>
      <c r="T895" s="22">
        <f t="shared" si="67"/>
        <v>12</v>
      </c>
      <c r="U895" s="22">
        <f t="shared" si="68"/>
        <v>2020</v>
      </c>
      <c r="V895" s="22" t="str">
        <f t="shared" si="69"/>
        <v>METROPOLITANA</v>
      </c>
    </row>
    <row r="896" spans="1:22" x14ac:dyDescent="0.2">
      <c r="A896" s="23" t="s">
        <v>1226</v>
      </c>
      <c r="B896" s="22" t="s">
        <v>33</v>
      </c>
      <c r="C896" s="22" t="s">
        <v>44</v>
      </c>
      <c r="D896" s="22" t="s">
        <v>35</v>
      </c>
      <c r="E896" s="24" t="s">
        <v>49</v>
      </c>
      <c r="F896" s="22" t="s">
        <v>26</v>
      </c>
      <c r="G896" s="25">
        <v>1795.22</v>
      </c>
      <c r="H896" s="22" t="s">
        <v>22</v>
      </c>
      <c r="I896" s="22">
        <v>0</v>
      </c>
      <c r="J896" s="22" t="s">
        <v>26</v>
      </c>
      <c r="K896" s="22" t="s">
        <v>23</v>
      </c>
      <c r="L896" s="22">
        <v>4</v>
      </c>
      <c r="M896" s="26">
        <v>56075</v>
      </c>
      <c r="N896" s="26">
        <v>12000</v>
      </c>
      <c r="O896" s="15">
        <f t="shared" si="65"/>
        <v>68075</v>
      </c>
      <c r="P896" s="15">
        <f t="shared" si="66"/>
        <v>37.920143492162516</v>
      </c>
      <c r="Q896" s="25">
        <v>8011</v>
      </c>
      <c r="R896" s="22">
        <v>22</v>
      </c>
      <c r="S896" s="22" t="s">
        <v>1238</v>
      </c>
      <c r="T896" s="22">
        <f t="shared" si="67"/>
        <v>12</v>
      </c>
      <c r="U896" s="22">
        <f t="shared" si="68"/>
        <v>2020</v>
      </c>
      <c r="V896" s="22" t="str">
        <f t="shared" si="69"/>
        <v>METROPOLITANA</v>
      </c>
    </row>
    <row r="897" spans="1:22" x14ac:dyDescent="0.2">
      <c r="A897" s="11" t="s">
        <v>1239</v>
      </c>
      <c r="B897" s="12" t="s">
        <v>18</v>
      </c>
      <c r="C897" s="12" t="s">
        <v>50</v>
      </c>
      <c r="D897" s="12" t="s">
        <v>37</v>
      </c>
      <c r="E897" s="13" t="s">
        <v>40</v>
      </c>
      <c r="F897" s="12" t="s">
        <v>26</v>
      </c>
      <c r="G897" s="14">
        <v>4040</v>
      </c>
      <c r="H897" s="12" t="s">
        <v>22</v>
      </c>
      <c r="I897" s="12">
        <v>0</v>
      </c>
      <c r="J897" s="12" t="s">
        <v>26</v>
      </c>
      <c r="K897" s="12" t="s">
        <v>23</v>
      </c>
      <c r="L897" s="12">
        <v>4</v>
      </c>
      <c r="M897" s="15">
        <v>56075</v>
      </c>
      <c r="N897" s="15">
        <f>G897*4</f>
        <v>16160</v>
      </c>
      <c r="O897" s="15">
        <f t="shared" si="65"/>
        <v>72235</v>
      </c>
      <c r="P897" s="15">
        <f t="shared" si="66"/>
        <v>17.879950495049506</v>
      </c>
      <c r="Q897" s="14">
        <v>8011</v>
      </c>
      <c r="R897" s="12">
        <v>50</v>
      </c>
      <c r="S897" s="12" t="s">
        <v>1240</v>
      </c>
      <c r="T897" s="22">
        <f t="shared" si="67"/>
        <v>12</v>
      </c>
      <c r="U897" s="22">
        <f t="shared" si="68"/>
        <v>2020</v>
      </c>
      <c r="V897" s="22" t="str">
        <f t="shared" si="69"/>
        <v>METROPOLITANA</v>
      </c>
    </row>
    <row r="898" spans="1:22" x14ac:dyDescent="0.2">
      <c r="A898" s="11" t="s">
        <v>1239</v>
      </c>
      <c r="B898" s="12" t="s">
        <v>18</v>
      </c>
      <c r="C898" s="12" t="s">
        <v>50</v>
      </c>
      <c r="D898" s="12" t="s">
        <v>63</v>
      </c>
      <c r="E898" s="13" t="s">
        <v>64</v>
      </c>
      <c r="F898" s="12" t="s">
        <v>26</v>
      </c>
      <c r="G898" s="14">
        <v>9952.5</v>
      </c>
      <c r="H898" s="12" t="s">
        <v>65</v>
      </c>
      <c r="I898" s="12">
        <v>0</v>
      </c>
      <c r="J898" s="12" t="s">
        <v>26</v>
      </c>
      <c r="K898" s="12" t="s">
        <v>23</v>
      </c>
      <c r="L898" s="12">
        <v>4</v>
      </c>
      <c r="M898" s="15">
        <v>69668</v>
      </c>
      <c r="N898" s="15">
        <f>G898*3</f>
        <v>29857.5</v>
      </c>
      <c r="O898" s="15">
        <f t="shared" ref="O898:O961" si="70">SUM(M898:N898)</f>
        <v>99525.5</v>
      </c>
      <c r="P898" s="15">
        <f t="shared" ref="P898:P961" si="71">O898/G898</f>
        <v>10.000050238633509</v>
      </c>
      <c r="Q898" s="14">
        <v>8011</v>
      </c>
      <c r="R898" s="12">
        <v>100</v>
      </c>
      <c r="S898" s="12" t="s">
        <v>1241</v>
      </c>
      <c r="T898" s="22">
        <f t="shared" ref="T898:T961" si="72">MONTH(A898)</f>
        <v>12</v>
      </c>
      <c r="U898" s="22">
        <f t="shared" ref="U898:U961" si="73">YEAR(A898)</f>
        <v>2020</v>
      </c>
      <c r="V898" s="22" t="str">
        <f t="shared" ref="V898:V961" si="74">IF(K898="METROPOLITANA DE SANTIAGO","METROPOLITANA","REGIONES")</f>
        <v>METROPOLITANA</v>
      </c>
    </row>
    <row r="899" spans="1:22" x14ac:dyDescent="0.2">
      <c r="A899" s="11" t="s">
        <v>1239</v>
      </c>
      <c r="B899" s="12" t="s">
        <v>18</v>
      </c>
      <c r="C899" s="12" t="s">
        <v>60</v>
      </c>
      <c r="D899" s="12" t="s">
        <v>786</v>
      </c>
      <c r="E899" s="13" t="s">
        <v>787</v>
      </c>
      <c r="F899" s="12" t="s">
        <v>127</v>
      </c>
      <c r="G899" s="14">
        <v>5340.6</v>
      </c>
      <c r="H899" s="12" t="s">
        <v>788</v>
      </c>
      <c r="I899" s="12">
        <v>1</v>
      </c>
      <c r="J899" s="12" t="s">
        <v>127</v>
      </c>
      <c r="K899" s="12" t="s">
        <v>78</v>
      </c>
      <c r="L899" s="12">
        <v>0</v>
      </c>
      <c r="M899" s="15">
        <v>230000</v>
      </c>
      <c r="N899" s="15">
        <v>0</v>
      </c>
      <c r="O899" s="15">
        <f t="shared" si="70"/>
        <v>230000</v>
      </c>
      <c r="P899" s="15">
        <f t="shared" si="71"/>
        <v>43.066322136089575</v>
      </c>
      <c r="Q899" s="14">
        <v>25000</v>
      </c>
      <c r="R899" s="12">
        <v>21</v>
      </c>
      <c r="S899" s="12" t="s">
        <v>1242</v>
      </c>
      <c r="T899" s="22">
        <f t="shared" si="72"/>
        <v>12</v>
      </c>
      <c r="U899" s="22">
        <f t="shared" si="73"/>
        <v>2020</v>
      </c>
      <c r="V899" s="22" t="str">
        <f t="shared" si="74"/>
        <v>REGIONES</v>
      </c>
    </row>
    <row r="900" spans="1:22" x14ac:dyDescent="0.2">
      <c r="A900" s="11" t="s">
        <v>1239</v>
      </c>
      <c r="B900" s="12" t="s">
        <v>18</v>
      </c>
      <c r="C900" s="12" t="s">
        <v>57</v>
      </c>
      <c r="D900" s="12" t="s">
        <v>1170</v>
      </c>
      <c r="E900" s="13" t="s">
        <v>81</v>
      </c>
      <c r="F900" s="12" t="s">
        <v>458</v>
      </c>
      <c r="G900" s="14">
        <v>10565.14</v>
      </c>
      <c r="H900" s="12" t="s">
        <v>24</v>
      </c>
      <c r="I900" s="12">
        <v>1</v>
      </c>
      <c r="J900" s="12" t="s">
        <v>458</v>
      </c>
      <c r="K900" s="12" t="s">
        <v>75</v>
      </c>
      <c r="L900" s="12">
        <v>0</v>
      </c>
      <c r="M900" s="15">
        <v>400000</v>
      </c>
      <c r="N900" s="15">
        <v>0</v>
      </c>
      <c r="O900" s="15">
        <f t="shared" si="70"/>
        <v>400000</v>
      </c>
      <c r="P900" s="15">
        <f t="shared" si="71"/>
        <v>37.860359635556179</v>
      </c>
      <c r="Q900" s="14">
        <v>25000</v>
      </c>
      <c r="R900" s="12">
        <v>42</v>
      </c>
      <c r="S900" s="12" t="s">
        <v>1243</v>
      </c>
      <c r="T900" s="22">
        <f t="shared" si="72"/>
        <v>12</v>
      </c>
      <c r="U900" s="22">
        <f t="shared" si="73"/>
        <v>2020</v>
      </c>
      <c r="V900" s="22" t="str">
        <f t="shared" si="74"/>
        <v>REGIONES</v>
      </c>
    </row>
    <row r="901" spans="1:22" x14ac:dyDescent="0.2">
      <c r="A901" s="11" t="s">
        <v>1239</v>
      </c>
      <c r="B901" s="12" t="s">
        <v>18</v>
      </c>
      <c r="C901" s="12" t="s">
        <v>324</v>
      </c>
      <c r="D901" s="12" t="s">
        <v>63</v>
      </c>
      <c r="E901" s="13" t="s">
        <v>64</v>
      </c>
      <c r="F901" s="12" t="s">
        <v>325</v>
      </c>
      <c r="G901" s="14">
        <v>9570.6</v>
      </c>
      <c r="H901" s="12" t="s">
        <v>65</v>
      </c>
      <c r="I901" s="12">
        <v>0</v>
      </c>
      <c r="J901" s="12" t="s">
        <v>325</v>
      </c>
      <c r="K901" s="12" t="s">
        <v>78</v>
      </c>
      <c r="L901" s="12">
        <v>0</v>
      </c>
      <c r="M901" s="15">
        <v>180000</v>
      </c>
      <c r="N901" s="15">
        <f>G901*3</f>
        <v>28711.800000000003</v>
      </c>
      <c r="O901" s="15">
        <f t="shared" si="70"/>
        <v>208711.8</v>
      </c>
      <c r="P901" s="15">
        <f t="shared" si="71"/>
        <v>21.807598269700957</v>
      </c>
      <c r="Q901" s="14">
        <v>25000</v>
      </c>
      <c r="R901" s="12">
        <v>38</v>
      </c>
      <c r="S901" s="12" t="s">
        <v>1244</v>
      </c>
      <c r="T901" s="22">
        <f t="shared" si="72"/>
        <v>12</v>
      </c>
      <c r="U901" s="22">
        <f t="shared" si="73"/>
        <v>2020</v>
      </c>
      <c r="V901" s="22" t="str">
        <f t="shared" si="74"/>
        <v>REGIONES</v>
      </c>
    </row>
    <row r="902" spans="1:22" x14ac:dyDescent="0.2">
      <c r="A902" s="11" t="s">
        <v>1239</v>
      </c>
      <c r="B902" s="12" t="s">
        <v>18</v>
      </c>
      <c r="C902" s="12" t="s">
        <v>508</v>
      </c>
      <c r="D902" s="12" t="s">
        <v>27</v>
      </c>
      <c r="E902" s="13" t="s">
        <v>28</v>
      </c>
      <c r="F902" s="12" t="s">
        <v>800</v>
      </c>
      <c r="G902" s="14">
        <v>5653.7400000000016</v>
      </c>
      <c r="H902" s="12" t="s">
        <v>22</v>
      </c>
      <c r="I902" s="12">
        <v>1</v>
      </c>
      <c r="J902" s="12" t="s">
        <v>800</v>
      </c>
      <c r="K902" s="12" t="s">
        <v>23</v>
      </c>
      <c r="L902" s="12">
        <v>5</v>
      </c>
      <c r="M902" s="15">
        <v>120000</v>
      </c>
      <c r="N902" s="15">
        <f>G902*4</f>
        <v>22614.960000000006</v>
      </c>
      <c r="O902" s="15">
        <f t="shared" si="70"/>
        <v>142614.96000000002</v>
      </c>
      <c r="P902" s="15">
        <f t="shared" si="71"/>
        <v>25.224888304025296</v>
      </c>
      <c r="Q902" s="14">
        <v>12000</v>
      </c>
      <c r="R902" s="12">
        <v>47</v>
      </c>
      <c r="S902" s="12" t="s">
        <v>1245</v>
      </c>
      <c r="T902" s="22">
        <f t="shared" si="72"/>
        <v>12</v>
      </c>
      <c r="U902" s="22">
        <f t="shared" si="73"/>
        <v>2020</v>
      </c>
      <c r="V902" s="22" t="str">
        <f t="shared" si="74"/>
        <v>METROPOLITANA</v>
      </c>
    </row>
    <row r="903" spans="1:22" x14ac:dyDescent="0.2">
      <c r="A903" s="11" t="s">
        <v>1239</v>
      </c>
      <c r="B903" s="12" t="s">
        <v>33</v>
      </c>
      <c r="C903" s="12" t="s">
        <v>163</v>
      </c>
      <c r="D903" s="12" t="s">
        <v>38</v>
      </c>
      <c r="E903" s="13" t="s">
        <v>42</v>
      </c>
      <c r="F903" s="12" t="s">
        <v>165</v>
      </c>
      <c r="G903" s="14">
        <v>9721.5999999999967</v>
      </c>
      <c r="H903" s="12" t="s">
        <v>43</v>
      </c>
      <c r="I903" s="12">
        <v>0</v>
      </c>
      <c r="J903" s="12" t="s">
        <v>165</v>
      </c>
      <c r="K903" s="12" t="s">
        <v>23</v>
      </c>
      <c r="L903" s="12">
        <v>4</v>
      </c>
      <c r="M903" s="15">
        <v>68051</v>
      </c>
      <c r="N903" s="15">
        <f>G903*3</f>
        <v>29164.799999999988</v>
      </c>
      <c r="O903" s="15">
        <f t="shared" si="70"/>
        <v>97215.799999999988</v>
      </c>
      <c r="P903" s="15">
        <f t="shared" si="71"/>
        <v>9.9999794272547753</v>
      </c>
      <c r="Q903" s="14">
        <v>8011</v>
      </c>
      <c r="R903" s="12">
        <v>100</v>
      </c>
      <c r="S903" s="12" t="s">
        <v>1246</v>
      </c>
      <c r="T903" s="22">
        <f t="shared" si="72"/>
        <v>12</v>
      </c>
      <c r="U903" s="22">
        <f t="shared" si="73"/>
        <v>2020</v>
      </c>
      <c r="V903" s="22" t="str">
        <f t="shared" si="74"/>
        <v>METROPOLITANA</v>
      </c>
    </row>
    <row r="904" spans="1:22" x14ac:dyDescent="0.2">
      <c r="A904" s="11" t="s">
        <v>1239</v>
      </c>
      <c r="B904" s="12" t="s">
        <v>33</v>
      </c>
      <c r="C904" s="12" t="s">
        <v>163</v>
      </c>
      <c r="D904" s="12" t="s">
        <v>41</v>
      </c>
      <c r="E904" s="13" t="s">
        <v>1247</v>
      </c>
      <c r="F904" s="12" t="s">
        <v>165</v>
      </c>
      <c r="G904" s="14">
        <v>11110.4</v>
      </c>
      <c r="H904" s="12" t="s">
        <v>43</v>
      </c>
      <c r="I904" s="12">
        <v>0</v>
      </c>
      <c r="J904" s="12" t="s">
        <v>165</v>
      </c>
      <c r="K904" s="12" t="s">
        <v>23</v>
      </c>
      <c r="L904" s="12">
        <v>4</v>
      </c>
      <c r="M904" s="15">
        <v>77773</v>
      </c>
      <c r="N904" s="15">
        <f>G904*3</f>
        <v>33331.199999999997</v>
      </c>
      <c r="O904" s="15">
        <f t="shared" si="70"/>
        <v>111104.2</v>
      </c>
      <c r="P904" s="15">
        <f t="shared" si="71"/>
        <v>10.000018001152073</v>
      </c>
      <c r="Q904" s="14">
        <v>8011</v>
      </c>
      <c r="R904" s="12">
        <v>100</v>
      </c>
      <c r="S904" s="12" t="s">
        <v>1248</v>
      </c>
      <c r="T904" s="22">
        <f t="shared" si="72"/>
        <v>12</v>
      </c>
      <c r="U904" s="22">
        <f t="shared" si="73"/>
        <v>2020</v>
      </c>
      <c r="V904" s="22" t="str">
        <f t="shared" si="74"/>
        <v>METROPOLITANA</v>
      </c>
    </row>
    <row r="905" spans="1:22" x14ac:dyDescent="0.2">
      <c r="A905" s="11" t="s">
        <v>1239</v>
      </c>
      <c r="B905" s="12" t="s">
        <v>33</v>
      </c>
      <c r="C905" s="12" t="s">
        <v>163</v>
      </c>
      <c r="D905" s="12" t="s">
        <v>20</v>
      </c>
      <c r="E905" s="13" t="s">
        <v>21</v>
      </c>
      <c r="F905" s="12" t="s">
        <v>165</v>
      </c>
      <c r="G905" s="14">
        <v>10828.86</v>
      </c>
      <c r="H905" s="12" t="s">
        <v>22</v>
      </c>
      <c r="I905" s="12">
        <v>0</v>
      </c>
      <c r="J905" s="12" t="s">
        <v>165</v>
      </c>
      <c r="K905" s="12" t="s">
        <v>23</v>
      </c>
      <c r="L905" s="12">
        <v>4</v>
      </c>
      <c r="M905" s="15">
        <v>75802</v>
      </c>
      <c r="N905" s="15">
        <f>G905*4</f>
        <v>43315.44</v>
      </c>
      <c r="O905" s="15">
        <f t="shared" si="70"/>
        <v>119117.44</v>
      </c>
      <c r="P905" s="15">
        <f t="shared" si="71"/>
        <v>10.999998153083519</v>
      </c>
      <c r="Q905" s="14">
        <v>8011</v>
      </c>
      <c r="R905" s="12">
        <v>100</v>
      </c>
      <c r="S905" s="12" t="s">
        <v>1249</v>
      </c>
      <c r="T905" s="22">
        <f t="shared" si="72"/>
        <v>12</v>
      </c>
      <c r="U905" s="22">
        <f t="shared" si="73"/>
        <v>2020</v>
      </c>
      <c r="V905" s="22" t="str">
        <f t="shared" si="74"/>
        <v>METROPOLITANA</v>
      </c>
    </row>
    <row r="906" spans="1:22" x14ac:dyDescent="0.2">
      <c r="A906" s="11" t="s">
        <v>1239</v>
      </c>
      <c r="B906" s="12" t="s">
        <v>33</v>
      </c>
      <c r="C906" s="12" t="s">
        <v>357</v>
      </c>
      <c r="D906" s="12" t="s">
        <v>786</v>
      </c>
      <c r="E906" s="13" t="s">
        <v>787</v>
      </c>
      <c r="F906" s="12" t="s">
        <v>51</v>
      </c>
      <c r="G906" s="14">
        <v>15920</v>
      </c>
      <c r="H906" s="12" t="s">
        <v>788</v>
      </c>
      <c r="I906" s="12">
        <v>1</v>
      </c>
      <c r="J906" s="12" t="s">
        <v>51</v>
      </c>
      <c r="K906" s="12" t="s">
        <v>23</v>
      </c>
      <c r="L906" s="12">
        <v>4</v>
      </c>
      <c r="M906" s="15">
        <v>111440</v>
      </c>
      <c r="N906" s="15">
        <v>0</v>
      </c>
      <c r="O906" s="15">
        <f t="shared" si="70"/>
        <v>111440</v>
      </c>
      <c r="P906" s="15">
        <f t="shared" si="71"/>
        <v>7</v>
      </c>
      <c r="Q906" s="14">
        <v>8011</v>
      </c>
      <c r="R906" s="12">
        <v>100</v>
      </c>
      <c r="S906" s="12" t="s">
        <v>1250</v>
      </c>
      <c r="T906" s="22">
        <f t="shared" si="72"/>
        <v>12</v>
      </c>
      <c r="U906" s="22">
        <f t="shared" si="73"/>
        <v>2020</v>
      </c>
      <c r="V906" s="22" t="str">
        <f t="shared" si="74"/>
        <v>METROPOLITANA</v>
      </c>
    </row>
    <row r="907" spans="1:22" x14ac:dyDescent="0.2">
      <c r="A907" s="11" t="s">
        <v>1239</v>
      </c>
      <c r="B907" s="12" t="s">
        <v>33</v>
      </c>
      <c r="C907" s="12" t="s">
        <v>44</v>
      </c>
      <c r="D907" s="12" t="s">
        <v>45</v>
      </c>
      <c r="E907" s="13" t="s">
        <v>52</v>
      </c>
      <c r="F907" s="12" t="s">
        <v>46</v>
      </c>
      <c r="G907" s="14">
        <v>1074.8</v>
      </c>
      <c r="H907" s="12" t="s">
        <v>22</v>
      </c>
      <c r="I907" s="12">
        <v>0</v>
      </c>
      <c r="J907" s="12" t="s">
        <v>46</v>
      </c>
      <c r="K907" s="12" t="s">
        <v>23</v>
      </c>
      <c r="L907" s="12">
        <v>2</v>
      </c>
      <c r="M907" s="15">
        <v>40475</v>
      </c>
      <c r="N907" s="15">
        <v>12000</v>
      </c>
      <c r="O907" s="15">
        <f t="shared" si="70"/>
        <v>52475</v>
      </c>
      <c r="P907" s="15">
        <f t="shared" si="71"/>
        <v>48.823036844064013</v>
      </c>
      <c r="Q907" s="14">
        <v>5782</v>
      </c>
      <c r="R907" s="12">
        <v>19</v>
      </c>
      <c r="S907" s="12" t="s">
        <v>1251</v>
      </c>
      <c r="T907" s="22">
        <f t="shared" si="72"/>
        <v>12</v>
      </c>
      <c r="U907" s="22">
        <f t="shared" si="73"/>
        <v>2020</v>
      </c>
      <c r="V907" s="22" t="str">
        <f t="shared" si="74"/>
        <v>METROPOLITANA</v>
      </c>
    </row>
    <row r="908" spans="1:22" x14ac:dyDescent="0.2">
      <c r="A908" s="11" t="s">
        <v>1239</v>
      </c>
      <c r="B908" s="12" t="s">
        <v>33</v>
      </c>
      <c r="C908" s="12" t="s">
        <v>44</v>
      </c>
      <c r="D908" s="12" t="s">
        <v>47</v>
      </c>
      <c r="E908" s="13" t="s">
        <v>88</v>
      </c>
      <c r="F908" s="12" t="s">
        <v>48</v>
      </c>
      <c r="G908" s="14">
        <v>984.84</v>
      </c>
      <c r="H908" s="12" t="s">
        <v>22</v>
      </c>
      <c r="I908" s="12">
        <v>0</v>
      </c>
      <c r="J908" s="12" t="s">
        <v>48</v>
      </c>
      <c r="K908" s="12" t="s">
        <v>23</v>
      </c>
      <c r="L908" s="12">
        <v>1</v>
      </c>
      <c r="M908" s="15">
        <v>33750</v>
      </c>
      <c r="N908" s="15">
        <v>12000</v>
      </c>
      <c r="O908" s="15">
        <f t="shared" si="70"/>
        <v>45750</v>
      </c>
      <c r="P908" s="15">
        <f t="shared" si="71"/>
        <v>46.454246375045692</v>
      </c>
      <c r="Q908" s="14">
        <v>4821</v>
      </c>
      <c r="R908" s="12">
        <v>20</v>
      </c>
      <c r="S908" s="12" t="s">
        <v>1252</v>
      </c>
      <c r="T908" s="22">
        <f t="shared" si="72"/>
        <v>12</v>
      </c>
      <c r="U908" s="22">
        <f t="shared" si="73"/>
        <v>2020</v>
      </c>
      <c r="V908" s="22" t="str">
        <f t="shared" si="74"/>
        <v>METROPOLITANA</v>
      </c>
    </row>
    <row r="909" spans="1:22" x14ac:dyDescent="0.2">
      <c r="A909" s="11" t="s">
        <v>1239</v>
      </c>
      <c r="B909" s="12" t="s">
        <v>33</v>
      </c>
      <c r="C909" s="12" t="s">
        <v>44</v>
      </c>
      <c r="D909" s="12" t="s">
        <v>35</v>
      </c>
      <c r="E909" s="13" t="s">
        <v>49</v>
      </c>
      <c r="F909" s="12" t="s">
        <v>53</v>
      </c>
      <c r="G909" s="14">
        <v>1369.24</v>
      </c>
      <c r="H909" s="12" t="s">
        <v>22</v>
      </c>
      <c r="I909" s="12">
        <v>0</v>
      </c>
      <c r="J909" s="12" t="s">
        <v>53</v>
      </c>
      <c r="K909" s="12" t="s">
        <v>23</v>
      </c>
      <c r="L909" s="12">
        <v>3</v>
      </c>
      <c r="M909" s="15">
        <v>48075</v>
      </c>
      <c r="N909" s="15">
        <v>12000</v>
      </c>
      <c r="O909" s="15">
        <f t="shared" si="70"/>
        <v>60075</v>
      </c>
      <c r="P909" s="15">
        <f t="shared" si="71"/>
        <v>43.874704215477202</v>
      </c>
      <c r="Q909" s="14">
        <v>6868</v>
      </c>
      <c r="R909" s="12">
        <v>20</v>
      </c>
      <c r="S909" s="12" t="s">
        <v>1253</v>
      </c>
      <c r="T909" s="22">
        <f t="shared" si="72"/>
        <v>12</v>
      </c>
      <c r="U909" s="22">
        <f t="shared" si="73"/>
        <v>2020</v>
      </c>
      <c r="V909" s="22" t="str">
        <f t="shared" si="74"/>
        <v>METROPOLITANA</v>
      </c>
    </row>
    <row r="910" spans="1:22" x14ac:dyDescent="0.2">
      <c r="A910" s="23" t="s">
        <v>1254</v>
      </c>
      <c r="B910" s="22" t="s">
        <v>18</v>
      </c>
      <c r="C910" s="22" t="s">
        <v>60</v>
      </c>
      <c r="D910" s="22" t="s">
        <v>786</v>
      </c>
      <c r="E910" s="24" t="s">
        <v>787</v>
      </c>
      <c r="F910" s="22" t="s">
        <v>127</v>
      </c>
      <c r="G910" s="25">
        <v>4747.2</v>
      </c>
      <c r="H910" s="22" t="s">
        <v>788</v>
      </c>
      <c r="I910" s="22">
        <v>1</v>
      </c>
      <c r="J910" s="22" t="s">
        <v>127</v>
      </c>
      <c r="K910" s="22" t="s">
        <v>78</v>
      </c>
      <c r="L910" s="22">
        <v>0</v>
      </c>
      <c r="M910" s="26">
        <v>230000</v>
      </c>
      <c r="N910" s="26">
        <v>0</v>
      </c>
      <c r="O910" s="15">
        <f t="shared" si="70"/>
        <v>230000</v>
      </c>
      <c r="P910" s="15">
        <f t="shared" si="71"/>
        <v>48.44961240310078</v>
      </c>
      <c r="Q910" s="25">
        <v>25000</v>
      </c>
      <c r="R910" s="22">
        <v>19</v>
      </c>
      <c r="S910" s="22" t="s">
        <v>1255</v>
      </c>
      <c r="T910" s="22">
        <f t="shared" si="72"/>
        <v>12</v>
      </c>
      <c r="U910" s="22">
        <f t="shared" si="73"/>
        <v>2020</v>
      </c>
      <c r="V910" s="22" t="str">
        <f t="shared" si="74"/>
        <v>REGIONES</v>
      </c>
    </row>
    <row r="911" spans="1:22" x14ac:dyDescent="0.2">
      <c r="A911" s="23" t="s">
        <v>1254</v>
      </c>
      <c r="B911" s="22" t="s">
        <v>33</v>
      </c>
      <c r="C911" s="22" t="s">
        <v>270</v>
      </c>
      <c r="D911" s="22" t="s">
        <v>27</v>
      </c>
      <c r="E911" s="24" t="s">
        <v>28</v>
      </c>
      <c r="F911" s="22" t="s">
        <v>120</v>
      </c>
      <c r="G911" s="25">
        <v>18956</v>
      </c>
      <c r="H911" s="22" t="s">
        <v>22</v>
      </c>
      <c r="I911" s="22">
        <v>1</v>
      </c>
      <c r="J911" s="22" t="s">
        <v>120</v>
      </c>
      <c r="K911" s="22" t="s">
        <v>23</v>
      </c>
      <c r="L911" s="22">
        <v>5</v>
      </c>
      <c r="M911" s="26">
        <v>120000</v>
      </c>
      <c r="N911" s="26">
        <f>G911*4</f>
        <v>75824</v>
      </c>
      <c r="O911" s="15">
        <f t="shared" si="70"/>
        <v>195824</v>
      </c>
      <c r="P911" s="15">
        <f t="shared" si="71"/>
        <v>10.330449461911796</v>
      </c>
      <c r="Q911" s="25">
        <v>12000</v>
      </c>
      <c r="R911" s="22">
        <v>100</v>
      </c>
      <c r="S911" s="22" t="s">
        <v>1256</v>
      </c>
      <c r="T911" s="22">
        <f t="shared" si="72"/>
        <v>12</v>
      </c>
      <c r="U911" s="22">
        <f t="shared" si="73"/>
        <v>2020</v>
      </c>
      <c r="V911" s="22" t="str">
        <f t="shared" si="74"/>
        <v>METROPOLITANA</v>
      </c>
    </row>
    <row r="912" spans="1:22" x14ac:dyDescent="0.2">
      <c r="A912" s="23" t="s">
        <v>1254</v>
      </c>
      <c r="B912" s="22" t="s">
        <v>33</v>
      </c>
      <c r="C912" s="22" t="s">
        <v>163</v>
      </c>
      <c r="D912" s="22" t="s">
        <v>38</v>
      </c>
      <c r="E912" s="24" t="s">
        <v>42</v>
      </c>
      <c r="F912" s="22" t="s">
        <v>165</v>
      </c>
      <c r="G912" s="25">
        <v>15050.28</v>
      </c>
      <c r="H912" s="22" t="s">
        <v>43</v>
      </c>
      <c r="I912" s="22">
        <v>0</v>
      </c>
      <c r="J912" s="22" t="s">
        <v>165</v>
      </c>
      <c r="K912" s="22" t="s">
        <v>23</v>
      </c>
      <c r="L912" s="22">
        <v>4</v>
      </c>
      <c r="M912" s="26">
        <v>105352</v>
      </c>
      <c r="N912" s="26">
        <f>G912*3</f>
        <v>45150.840000000004</v>
      </c>
      <c r="O912" s="15">
        <f t="shared" si="70"/>
        <v>150502.84</v>
      </c>
      <c r="P912" s="15">
        <f t="shared" si="71"/>
        <v>10.000002657757861</v>
      </c>
      <c r="Q912" s="25">
        <v>8011</v>
      </c>
      <c r="R912" s="22">
        <v>100</v>
      </c>
      <c r="S912" s="22" t="s">
        <v>1257</v>
      </c>
      <c r="T912" s="22">
        <f t="shared" si="72"/>
        <v>12</v>
      </c>
      <c r="U912" s="22">
        <f t="shared" si="73"/>
        <v>2020</v>
      </c>
      <c r="V912" s="22" t="str">
        <f t="shared" si="74"/>
        <v>METROPOLITANA</v>
      </c>
    </row>
    <row r="913" spans="1:22" x14ac:dyDescent="0.2">
      <c r="A913" s="23" t="s">
        <v>1254</v>
      </c>
      <c r="B913" s="22" t="s">
        <v>33</v>
      </c>
      <c r="C913" s="22" t="s">
        <v>163</v>
      </c>
      <c r="D913" s="22" t="s">
        <v>37</v>
      </c>
      <c r="E913" s="24" t="s">
        <v>40</v>
      </c>
      <c r="F913" s="22" t="s">
        <v>165</v>
      </c>
      <c r="G913" s="25">
        <v>15417.36</v>
      </c>
      <c r="H913" s="22" t="s">
        <v>22</v>
      </c>
      <c r="I913" s="22">
        <v>0</v>
      </c>
      <c r="J913" s="22" t="s">
        <v>165</v>
      </c>
      <c r="K913" s="22" t="s">
        <v>23</v>
      </c>
      <c r="L913" s="22">
        <v>4</v>
      </c>
      <c r="M913" s="26">
        <v>107922</v>
      </c>
      <c r="N913" s="26">
        <f>G913*4</f>
        <v>61669.440000000002</v>
      </c>
      <c r="O913" s="15">
        <f t="shared" si="70"/>
        <v>169591.44</v>
      </c>
      <c r="P913" s="15">
        <f t="shared" si="71"/>
        <v>11.000031133734959</v>
      </c>
      <c r="Q913" s="25">
        <v>8011</v>
      </c>
      <c r="R913" s="22">
        <v>100</v>
      </c>
      <c r="S913" s="22" t="s">
        <v>1258</v>
      </c>
      <c r="T913" s="22">
        <f t="shared" si="72"/>
        <v>12</v>
      </c>
      <c r="U913" s="22">
        <f t="shared" si="73"/>
        <v>2020</v>
      </c>
      <c r="V913" s="22" t="str">
        <f t="shared" si="74"/>
        <v>METROPOLITANA</v>
      </c>
    </row>
    <row r="914" spans="1:22" x14ac:dyDescent="0.2">
      <c r="A914" s="23" t="s">
        <v>1254</v>
      </c>
      <c r="B914" s="22" t="s">
        <v>33</v>
      </c>
      <c r="C914" s="22" t="s">
        <v>163</v>
      </c>
      <c r="D914" s="22" t="s">
        <v>41</v>
      </c>
      <c r="E914" s="24" t="s">
        <v>25</v>
      </c>
      <c r="F914" s="22" t="s">
        <v>165</v>
      </c>
      <c r="G914" s="25">
        <v>15417.36</v>
      </c>
      <c r="H914" s="22" t="s">
        <v>43</v>
      </c>
      <c r="I914" s="22">
        <v>0</v>
      </c>
      <c r="J914" s="22" t="s">
        <v>165</v>
      </c>
      <c r="K914" s="22" t="s">
        <v>23</v>
      </c>
      <c r="L914" s="22">
        <v>4</v>
      </c>
      <c r="M914" s="26">
        <v>107922</v>
      </c>
      <c r="N914" s="26">
        <f>G914*3</f>
        <v>46252.08</v>
      </c>
      <c r="O914" s="15">
        <f t="shared" si="70"/>
        <v>154174.08000000002</v>
      </c>
      <c r="P914" s="15">
        <f t="shared" si="71"/>
        <v>10.000031133734959</v>
      </c>
      <c r="Q914" s="25">
        <v>8011</v>
      </c>
      <c r="R914" s="22">
        <v>100</v>
      </c>
      <c r="S914" s="22" t="s">
        <v>1259</v>
      </c>
      <c r="T914" s="22">
        <f t="shared" si="72"/>
        <v>12</v>
      </c>
      <c r="U914" s="22">
        <f t="shared" si="73"/>
        <v>2020</v>
      </c>
      <c r="V914" s="22" t="str">
        <f t="shared" si="74"/>
        <v>METROPOLITANA</v>
      </c>
    </row>
    <row r="915" spans="1:22" x14ac:dyDescent="0.2">
      <c r="A915" s="23" t="s">
        <v>1254</v>
      </c>
      <c r="B915" s="22" t="s">
        <v>33</v>
      </c>
      <c r="C915" s="22" t="s">
        <v>223</v>
      </c>
      <c r="D915" s="22" t="s">
        <v>20</v>
      </c>
      <c r="E915" s="24" t="s">
        <v>21</v>
      </c>
      <c r="F915" s="22" t="s">
        <v>39</v>
      </c>
      <c r="G915" s="25">
        <v>9755.1999999999971</v>
      </c>
      <c r="H915" s="22" t="s">
        <v>22</v>
      </c>
      <c r="I915" s="22">
        <v>0</v>
      </c>
      <c r="J915" s="22" t="s">
        <v>39</v>
      </c>
      <c r="K915" s="22" t="s">
        <v>23</v>
      </c>
      <c r="L915" s="22">
        <v>1</v>
      </c>
      <c r="M915" s="26">
        <v>68286</v>
      </c>
      <c r="N915" s="26">
        <f>G915*4</f>
        <v>39020.799999999988</v>
      </c>
      <c r="O915" s="15">
        <f t="shared" si="70"/>
        <v>107306.79999999999</v>
      </c>
      <c r="P915" s="15">
        <f t="shared" si="71"/>
        <v>10.999958996227654</v>
      </c>
      <c r="Q915" s="25">
        <v>4821</v>
      </c>
      <c r="R915" s="22">
        <v>100</v>
      </c>
      <c r="S915" s="22" t="s">
        <v>1260</v>
      </c>
      <c r="T915" s="22">
        <f t="shared" si="72"/>
        <v>12</v>
      </c>
      <c r="U915" s="22">
        <f t="shared" si="73"/>
        <v>2020</v>
      </c>
      <c r="V915" s="22" t="str">
        <f t="shared" si="74"/>
        <v>METROPOLITANA</v>
      </c>
    </row>
    <row r="916" spans="1:22" x14ac:dyDescent="0.2">
      <c r="A916" s="23" t="s">
        <v>1254</v>
      </c>
      <c r="B916" s="22" t="s">
        <v>33</v>
      </c>
      <c r="C916" s="22" t="s">
        <v>44</v>
      </c>
      <c r="D916" s="22" t="s">
        <v>56</v>
      </c>
      <c r="E916" s="24" t="s">
        <v>52</v>
      </c>
      <c r="F916" s="22" t="s">
        <v>34</v>
      </c>
      <c r="G916" s="25">
        <v>2201.2399999999998</v>
      </c>
      <c r="H916" s="22" t="s">
        <v>22</v>
      </c>
      <c r="I916" s="22">
        <v>0</v>
      </c>
      <c r="J916" s="22" t="s">
        <v>34</v>
      </c>
      <c r="K916" s="22" t="s">
        <v>23</v>
      </c>
      <c r="L916" s="22">
        <v>1</v>
      </c>
      <c r="M916" s="26">
        <v>33750</v>
      </c>
      <c r="N916" s="26">
        <v>12000</v>
      </c>
      <c r="O916" s="15">
        <f t="shared" si="70"/>
        <v>45750</v>
      </c>
      <c r="P916" s="15">
        <f t="shared" si="71"/>
        <v>20.783740073776599</v>
      </c>
      <c r="Q916" s="25">
        <v>4821</v>
      </c>
      <c r="R916" s="22">
        <v>46</v>
      </c>
      <c r="S916" s="22" t="s">
        <v>1261</v>
      </c>
      <c r="T916" s="22">
        <f t="shared" si="72"/>
        <v>12</v>
      </c>
      <c r="U916" s="22">
        <f t="shared" si="73"/>
        <v>2020</v>
      </c>
      <c r="V916" s="22" t="str">
        <f t="shared" si="74"/>
        <v>METROPOLITANA</v>
      </c>
    </row>
    <row r="917" spans="1:22" x14ac:dyDescent="0.2">
      <c r="A917" s="23" t="s">
        <v>1254</v>
      </c>
      <c r="B917" s="22" t="s">
        <v>33</v>
      </c>
      <c r="C917" s="22" t="s">
        <v>44</v>
      </c>
      <c r="D917" s="22" t="s">
        <v>45</v>
      </c>
      <c r="E917" s="24" t="s">
        <v>88</v>
      </c>
      <c r="F917" s="22" t="s">
        <v>95</v>
      </c>
      <c r="G917" s="25">
        <v>1766</v>
      </c>
      <c r="H917" s="22" t="s">
        <v>22</v>
      </c>
      <c r="I917" s="22">
        <v>0</v>
      </c>
      <c r="J917" s="22" t="s">
        <v>95</v>
      </c>
      <c r="K917" s="22" t="s">
        <v>23</v>
      </c>
      <c r="L917" s="22">
        <v>4</v>
      </c>
      <c r="M917" s="26">
        <v>56075</v>
      </c>
      <c r="N917" s="26">
        <v>12000</v>
      </c>
      <c r="O917" s="15">
        <f t="shared" si="70"/>
        <v>68075</v>
      </c>
      <c r="P917" s="15">
        <f t="shared" si="71"/>
        <v>38.5475651189128</v>
      </c>
      <c r="Q917" s="25">
        <v>8011</v>
      </c>
      <c r="R917" s="22">
        <v>22</v>
      </c>
      <c r="S917" s="22" t="s">
        <v>1262</v>
      </c>
      <c r="T917" s="22">
        <f t="shared" si="72"/>
        <v>12</v>
      </c>
      <c r="U917" s="22">
        <f t="shared" si="73"/>
        <v>2020</v>
      </c>
      <c r="V917" s="22" t="str">
        <f t="shared" si="74"/>
        <v>METROPOLITANA</v>
      </c>
    </row>
    <row r="918" spans="1:22" x14ac:dyDescent="0.2">
      <c r="A918" s="23" t="s">
        <v>1254</v>
      </c>
      <c r="B918" s="22" t="s">
        <v>33</v>
      </c>
      <c r="C918" s="22" t="s">
        <v>44</v>
      </c>
      <c r="D918" s="22" t="s">
        <v>35</v>
      </c>
      <c r="E918" s="24" t="s">
        <v>49</v>
      </c>
      <c r="F918" s="22" t="s">
        <v>129</v>
      </c>
      <c r="G918" s="25">
        <v>2686.44</v>
      </c>
      <c r="H918" s="22" t="s">
        <v>22</v>
      </c>
      <c r="I918" s="22">
        <v>0</v>
      </c>
      <c r="J918" s="22" t="s">
        <v>129</v>
      </c>
      <c r="K918" s="22" t="s">
        <v>23</v>
      </c>
      <c r="L918" s="22">
        <v>1</v>
      </c>
      <c r="M918" s="26">
        <v>33750</v>
      </c>
      <c r="N918" s="26">
        <v>12000</v>
      </c>
      <c r="O918" s="15">
        <f t="shared" si="70"/>
        <v>45750</v>
      </c>
      <c r="P918" s="15">
        <f t="shared" si="71"/>
        <v>17.029972752043598</v>
      </c>
      <c r="Q918" s="25">
        <v>4821</v>
      </c>
      <c r="R918" s="22">
        <v>56</v>
      </c>
      <c r="S918" s="22" t="s">
        <v>1263</v>
      </c>
      <c r="T918" s="22">
        <f t="shared" si="72"/>
        <v>12</v>
      </c>
      <c r="U918" s="22">
        <f t="shared" si="73"/>
        <v>2020</v>
      </c>
      <c r="V918" s="22" t="str">
        <f t="shared" si="74"/>
        <v>METROPOLITANA</v>
      </c>
    </row>
    <row r="919" spans="1:22" x14ac:dyDescent="0.2">
      <c r="A919" s="11" t="s">
        <v>1264</v>
      </c>
      <c r="B919" s="12" t="s">
        <v>33</v>
      </c>
      <c r="C919" s="12" t="s">
        <v>223</v>
      </c>
      <c r="D919" s="12" t="s">
        <v>786</v>
      </c>
      <c r="E919" s="13">
        <v>95707734</v>
      </c>
      <c r="F919" s="12" t="s">
        <v>39</v>
      </c>
      <c r="G919" s="14">
        <v>16508.8</v>
      </c>
      <c r="H919" s="12" t="s">
        <v>788</v>
      </c>
      <c r="I919" s="12">
        <v>1</v>
      </c>
      <c r="J919" s="12" t="s">
        <v>39</v>
      </c>
      <c r="K919" s="12" t="s">
        <v>23</v>
      </c>
      <c r="L919" s="12">
        <v>1</v>
      </c>
      <c r="M919" s="15">
        <v>120000</v>
      </c>
      <c r="N919" s="15">
        <v>0</v>
      </c>
      <c r="O919" s="15">
        <f t="shared" si="70"/>
        <v>120000</v>
      </c>
      <c r="P919" s="15">
        <f t="shared" si="71"/>
        <v>7.2688505524326423</v>
      </c>
      <c r="Q919" s="14">
        <v>4821</v>
      </c>
      <c r="R919" s="12">
        <v>100</v>
      </c>
      <c r="S919" s="12" t="s">
        <v>1265</v>
      </c>
      <c r="T919" s="22">
        <f t="shared" si="72"/>
        <v>12</v>
      </c>
      <c r="U919" s="22">
        <f t="shared" si="73"/>
        <v>2020</v>
      </c>
      <c r="V919" s="22" t="str">
        <f t="shared" si="74"/>
        <v>METROPOLITANA</v>
      </c>
    </row>
    <row r="920" spans="1:22" x14ac:dyDescent="0.2">
      <c r="A920" s="23" t="s">
        <v>1266</v>
      </c>
      <c r="B920" s="22" t="s">
        <v>18</v>
      </c>
      <c r="C920" s="22" t="s">
        <v>163</v>
      </c>
      <c r="D920" s="22" t="s">
        <v>37</v>
      </c>
      <c r="E920" s="24" t="s">
        <v>40</v>
      </c>
      <c r="F920" s="22" t="s">
        <v>165</v>
      </c>
      <c r="G920" s="25">
        <v>9999.36</v>
      </c>
      <c r="H920" s="22" t="s">
        <v>22</v>
      </c>
      <c r="I920" s="22">
        <v>0</v>
      </c>
      <c r="J920" s="22" t="s">
        <v>165</v>
      </c>
      <c r="K920" s="22" t="s">
        <v>23</v>
      </c>
      <c r="L920" s="22">
        <v>4</v>
      </c>
      <c r="M920" s="26">
        <v>69996</v>
      </c>
      <c r="N920" s="26">
        <f>G920*4</f>
        <v>39997.440000000002</v>
      </c>
      <c r="O920" s="15">
        <f t="shared" si="70"/>
        <v>109993.44</v>
      </c>
      <c r="P920" s="15">
        <f t="shared" si="71"/>
        <v>11.000048003072196</v>
      </c>
      <c r="Q920" s="25">
        <v>8011</v>
      </c>
      <c r="R920" s="22">
        <v>100</v>
      </c>
      <c r="S920" s="22" t="s">
        <v>1267</v>
      </c>
      <c r="T920" s="22">
        <f t="shared" si="72"/>
        <v>1</v>
      </c>
      <c r="U920" s="22">
        <f t="shared" si="73"/>
        <v>2021</v>
      </c>
      <c r="V920" s="22" t="str">
        <f t="shared" si="74"/>
        <v>METROPOLITANA</v>
      </c>
    </row>
    <row r="921" spans="1:22" x14ac:dyDescent="0.2">
      <c r="A921" s="23" t="s">
        <v>1266</v>
      </c>
      <c r="B921" s="22" t="s">
        <v>18</v>
      </c>
      <c r="C921" s="22" t="s">
        <v>163</v>
      </c>
      <c r="D921" s="22" t="s">
        <v>63</v>
      </c>
      <c r="E921" s="24" t="s">
        <v>64</v>
      </c>
      <c r="F921" s="22" t="s">
        <v>165</v>
      </c>
      <c r="G921" s="25">
        <v>9999.36</v>
      </c>
      <c r="H921" s="22" t="s">
        <v>65</v>
      </c>
      <c r="I921" s="22">
        <v>0</v>
      </c>
      <c r="J921" s="22" t="s">
        <v>165</v>
      </c>
      <c r="K921" s="22" t="s">
        <v>23</v>
      </c>
      <c r="L921" s="22">
        <v>4</v>
      </c>
      <c r="M921" s="26">
        <v>69996</v>
      </c>
      <c r="N921" s="26">
        <f>G921*3</f>
        <v>29998.080000000002</v>
      </c>
      <c r="O921" s="15">
        <f t="shared" si="70"/>
        <v>99994.08</v>
      </c>
      <c r="P921" s="15">
        <f t="shared" si="71"/>
        <v>10.000048003072196</v>
      </c>
      <c r="Q921" s="25">
        <v>8011</v>
      </c>
      <c r="R921" s="22">
        <v>100</v>
      </c>
      <c r="S921" s="22" t="s">
        <v>1268</v>
      </c>
      <c r="T921" s="22">
        <f t="shared" si="72"/>
        <v>1</v>
      </c>
      <c r="U921" s="22">
        <f t="shared" si="73"/>
        <v>2021</v>
      </c>
      <c r="V921" s="22" t="str">
        <f t="shared" si="74"/>
        <v>METROPOLITANA</v>
      </c>
    </row>
    <row r="922" spans="1:22" x14ac:dyDescent="0.2">
      <c r="A922" s="23" t="s">
        <v>1266</v>
      </c>
      <c r="B922" s="22" t="s">
        <v>18</v>
      </c>
      <c r="C922" s="22" t="s">
        <v>163</v>
      </c>
      <c r="D922" s="22" t="s">
        <v>41</v>
      </c>
      <c r="E922" s="24" t="s">
        <v>25</v>
      </c>
      <c r="F922" s="22" t="s">
        <v>165</v>
      </c>
      <c r="G922" s="25">
        <v>11665.92</v>
      </c>
      <c r="H922" s="22" t="s">
        <v>43</v>
      </c>
      <c r="I922" s="22">
        <v>0</v>
      </c>
      <c r="J922" s="22" t="s">
        <v>165</v>
      </c>
      <c r="K922" s="22" t="s">
        <v>23</v>
      </c>
      <c r="L922" s="22">
        <v>4</v>
      </c>
      <c r="M922" s="26">
        <v>81661</v>
      </c>
      <c r="N922" s="26">
        <f>G922*3</f>
        <v>34997.760000000002</v>
      </c>
      <c r="O922" s="15">
        <f t="shared" si="70"/>
        <v>116658.76000000001</v>
      </c>
      <c r="P922" s="15">
        <f t="shared" si="71"/>
        <v>9.9999622833004178</v>
      </c>
      <c r="Q922" s="25">
        <v>8011</v>
      </c>
      <c r="R922" s="22">
        <v>100</v>
      </c>
      <c r="S922" s="22" t="s">
        <v>1269</v>
      </c>
      <c r="T922" s="22">
        <f t="shared" si="72"/>
        <v>1</v>
      </c>
      <c r="U922" s="22">
        <f t="shared" si="73"/>
        <v>2021</v>
      </c>
      <c r="V922" s="22" t="str">
        <f t="shared" si="74"/>
        <v>METROPOLITANA</v>
      </c>
    </row>
    <row r="923" spans="1:22" x14ac:dyDescent="0.2">
      <c r="A923" s="23" t="s">
        <v>1266</v>
      </c>
      <c r="B923" s="22" t="s">
        <v>18</v>
      </c>
      <c r="C923" s="22" t="s">
        <v>163</v>
      </c>
      <c r="D923" s="22" t="s">
        <v>20</v>
      </c>
      <c r="E923" s="24" t="s">
        <v>21</v>
      </c>
      <c r="F923" s="22" t="s">
        <v>165</v>
      </c>
      <c r="G923" s="25">
        <v>9999.36</v>
      </c>
      <c r="H923" s="22" t="s">
        <v>22</v>
      </c>
      <c r="I923" s="22">
        <v>0</v>
      </c>
      <c r="J923" s="22" t="s">
        <v>165</v>
      </c>
      <c r="K923" s="22" t="s">
        <v>23</v>
      </c>
      <c r="L923" s="22">
        <v>4</v>
      </c>
      <c r="M923" s="26">
        <v>69996</v>
      </c>
      <c r="N923" s="26">
        <f>G923*4</f>
        <v>39997.440000000002</v>
      </c>
      <c r="O923" s="15">
        <f t="shared" si="70"/>
        <v>109993.44</v>
      </c>
      <c r="P923" s="15">
        <f t="shared" si="71"/>
        <v>11.000048003072196</v>
      </c>
      <c r="Q923" s="25">
        <v>8011</v>
      </c>
      <c r="R923" s="22">
        <v>100</v>
      </c>
      <c r="S923" s="22" t="s">
        <v>1270</v>
      </c>
      <c r="T923" s="22">
        <f t="shared" si="72"/>
        <v>1</v>
      </c>
      <c r="U923" s="22">
        <f t="shared" si="73"/>
        <v>2021</v>
      </c>
      <c r="V923" s="22" t="str">
        <f t="shared" si="74"/>
        <v>METROPOLITANA</v>
      </c>
    </row>
    <row r="924" spans="1:22" x14ac:dyDescent="0.2">
      <c r="A924" s="23" t="s">
        <v>1266</v>
      </c>
      <c r="B924" s="22" t="s">
        <v>18</v>
      </c>
      <c r="C924" s="22" t="s">
        <v>193</v>
      </c>
      <c r="D924" s="22" t="s">
        <v>27</v>
      </c>
      <c r="E924" s="24" t="s">
        <v>28</v>
      </c>
      <c r="F924" s="22" t="s">
        <v>194</v>
      </c>
      <c r="G924" s="25">
        <v>22831.000000000011</v>
      </c>
      <c r="H924" s="22" t="s">
        <v>22</v>
      </c>
      <c r="I924" s="22">
        <v>1</v>
      </c>
      <c r="J924" s="22" t="s">
        <v>194</v>
      </c>
      <c r="K924" s="22" t="s">
        <v>23</v>
      </c>
      <c r="L924" s="22">
        <v>4</v>
      </c>
      <c r="M924" s="26">
        <v>159817</v>
      </c>
      <c r="N924" s="26">
        <f>G924*4</f>
        <v>91324.000000000044</v>
      </c>
      <c r="O924" s="15">
        <f t="shared" si="70"/>
        <v>251141.00000000006</v>
      </c>
      <c r="P924" s="15">
        <f t="shared" si="71"/>
        <v>10.999999999999996</v>
      </c>
      <c r="Q924" s="25">
        <v>8011</v>
      </c>
      <c r="R924" s="22">
        <v>100</v>
      </c>
      <c r="S924" s="22" t="s">
        <v>1271</v>
      </c>
      <c r="T924" s="22">
        <f t="shared" si="72"/>
        <v>1</v>
      </c>
      <c r="U924" s="22">
        <f t="shared" si="73"/>
        <v>2021</v>
      </c>
      <c r="V924" s="22" t="str">
        <f t="shared" si="74"/>
        <v>METROPOLITANA</v>
      </c>
    </row>
    <row r="925" spans="1:22" x14ac:dyDescent="0.2">
      <c r="A925" s="23" t="s">
        <v>1266</v>
      </c>
      <c r="B925" s="22" t="s">
        <v>33</v>
      </c>
      <c r="C925" s="22" t="s">
        <v>44</v>
      </c>
      <c r="D925" s="22" t="s">
        <v>56</v>
      </c>
      <c r="E925" s="24" t="s">
        <v>88</v>
      </c>
      <c r="F925" s="22" t="s">
        <v>67</v>
      </c>
      <c r="G925" s="25">
        <v>2930.48</v>
      </c>
      <c r="H925" s="22" t="s">
        <v>22</v>
      </c>
      <c r="I925" s="22">
        <v>0</v>
      </c>
      <c r="J925" s="22" t="s">
        <v>67</v>
      </c>
      <c r="K925" s="22" t="s">
        <v>23</v>
      </c>
      <c r="L925" s="22">
        <v>2</v>
      </c>
      <c r="M925" s="26">
        <v>40475</v>
      </c>
      <c r="N925" s="26">
        <v>12000</v>
      </c>
      <c r="O925" s="15">
        <f t="shared" si="70"/>
        <v>52475</v>
      </c>
      <c r="P925" s="15">
        <f t="shared" si="71"/>
        <v>17.906622805820206</v>
      </c>
      <c r="Q925" s="25">
        <v>5782</v>
      </c>
      <c r="R925" s="22">
        <v>51</v>
      </c>
      <c r="S925" s="22" t="s">
        <v>1272</v>
      </c>
      <c r="T925" s="22">
        <f t="shared" si="72"/>
        <v>1</v>
      </c>
      <c r="U925" s="22">
        <f t="shared" si="73"/>
        <v>2021</v>
      </c>
      <c r="V925" s="22" t="str">
        <f t="shared" si="74"/>
        <v>METROPOLITANA</v>
      </c>
    </row>
    <row r="926" spans="1:22" x14ac:dyDescent="0.2">
      <c r="A926" s="23" t="s">
        <v>1266</v>
      </c>
      <c r="B926" s="22" t="s">
        <v>33</v>
      </c>
      <c r="C926" s="22" t="s">
        <v>44</v>
      </c>
      <c r="D926" s="22" t="s">
        <v>38</v>
      </c>
      <c r="E926" s="24" t="s">
        <v>42</v>
      </c>
      <c r="F926" s="22" t="s">
        <v>34</v>
      </c>
      <c r="G926" s="25">
        <v>1262.8</v>
      </c>
      <c r="H926" s="22" t="s">
        <v>43</v>
      </c>
      <c r="I926" s="22">
        <v>0</v>
      </c>
      <c r="J926" s="22" t="s">
        <v>34</v>
      </c>
      <c r="K926" s="22" t="s">
        <v>23</v>
      </c>
      <c r="L926" s="22">
        <v>1</v>
      </c>
      <c r="M926" s="26">
        <v>33750</v>
      </c>
      <c r="N926" s="26">
        <v>3788</v>
      </c>
      <c r="O926" s="15">
        <f t="shared" si="70"/>
        <v>37538</v>
      </c>
      <c r="P926" s="15">
        <f t="shared" si="71"/>
        <v>29.72600570161546</v>
      </c>
      <c r="Q926" s="25">
        <v>4821</v>
      </c>
      <c r="R926" s="22">
        <v>26</v>
      </c>
      <c r="S926" s="22" t="s">
        <v>1273</v>
      </c>
      <c r="T926" s="22">
        <f t="shared" si="72"/>
        <v>1</v>
      </c>
      <c r="U926" s="22">
        <f t="shared" si="73"/>
        <v>2021</v>
      </c>
      <c r="V926" s="22" t="str">
        <f t="shared" si="74"/>
        <v>METROPOLITANA</v>
      </c>
    </row>
    <row r="927" spans="1:22" x14ac:dyDescent="0.2">
      <c r="A927" s="23" t="s">
        <v>1266</v>
      </c>
      <c r="B927" s="22" t="s">
        <v>33</v>
      </c>
      <c r="C927" s="22" t="s">
        <v>44</v>
      </c>
      <c r="D927" s="22" t="s">
        <v>188</v>
      </c>
      <c r="E927" s="24" t="s">
        <v>189</v>
      </c>
      <c r="F927" s="22" t="s">
        <v>229</v>
      </c>
      <c r="G927" s="25">
        <v>6464.8599999999988</v>
      </c>
      <c r="H927" s="22" t="s">
        <v>190</v>
      </c>
      <c r="I927" s="22">
        <v>0</v>
      </c>
      <c r="J927" s="22" t="s">
        <v>230</v>
      </c>
      <c r="K927" s="22" t="s">
        <v>23</v>
      </c>
      <c r="L927" s="22">
        <v>4</v>
      </c>
      <c r="M927" s="26">
        <v>56075</v>
      </c>
      <c r="N927" s="26">
        <v>19395</v>
      </c>
      <c r="O927" s="15">
        <f t="shared" si="70"/>
        <v>75470</v>
      </c>
      <c r="P927" s="15">
        <f t="shared" si="71"/>
        <v>11.67388002215052</v>
      </c>
      <c r="Q927" s="25">
        <v>8011</v>
      </c>
      <c r="R927" s="22">
        <v>81</v>
      </c>
      <c r="S927" s="22" t="s">
        <v>1274</v>
      </c>
      <c r="T927" s="22">
        <f t="shared" si="72"/>
        <v>1</v>
      </c>
      <c r="U927" s="22">
        <f t="shared" si="73"/>
        <v>2021</v>
      </c>
      <c r="V927" s="22" t="str">
        <f t="shared" si="74"/>
        <v>METROPOLITANA</v>
      </c>
    </row>
    <row r="928" spans="1:22" x14ac:dyDescent="0.2">
      <c r="A928" s="23" t="s">
        <v>1266</v>
      </c>
      <c r="B928" s="22" t="s">
        <v>33</v>
      </c>
      <c r="C928" s="22" t="s">
        <v>44</v>
      </c>
      <c r="D928" s="22" t="s">
        <v>45</v>
      </c>
      <c r="E928" s="24" t="s">
        <v>49</v>
      </c>
      <c r="F928" s="22" t="s">
        <v>26</v>
      </c>
      <c r="G928" s="25">
        <v>3662.43</v>
      </c>
      <c r="H928" s="22" t="s">
        <v>22</v>
      </c>
      <c r="I928" s="22">
        <v>0</v>
      </c>
      <c r="J928" s="22" t="s">
        <v>26</v>
      </c>
      <c r="K928" s="22" t="s">
        <v>23</v>
      </c>
      <c r="L928" s="22">
        <v>4</v>
      </c>
      <c r="M928" s="26">
        <v>56075</v>
      </c>
      <c r="N928" s="26">
        <v>14650</v>
      </c>
      <c r="O928" s="15">
        <f t="shared" si="70"/>
        <v>70725</v>
      </c>
      <c r="P928" s="15">
        <f t="shared" si="71"/>
        <v>19.310949287767958</v>
      </c>
      <c r="Q928" s="25">
        <v>8011</v>
      </c>
      <c r="R928" s="22">
        <v>46</v>
      </c>
      <c r="S928" s="22" t="s">
        <v>1275</v>
      </c>
      <c r="T928" s="22">
        <f t="shared" si="72"/>
        <v>1</v>
      </c>
      <c r="U928" s="22">
        <f t="shared" si="73"/>
        <v>2021</v>
      </c>
      <c r="V928" s="22" t="str">
        <f t="shared" si="74"/>
        <v>METROPOLITANA</v>
      </c>
    </row>
    <row r="929" spans="1:22" x14ac:dyDescent="0.2">
      <c r="A929" s="23" t="s">
        <v>1266</v>
      </c>
      <c r="B929" s="22" t="s">
        <v>33</v>
      </c>
      <c r="C929" s="22" t="s">
        <v>44</v>
      </c>
      <c r="D929" s="22" t="s">
        <v>47</v>
      </c>
      <c r="E929" s="24" t="s">
        <v>21</v>
      </c>
      <c r="F929" s="22" t="s">
        <v>48</v>
      </c>
      <c r="G929" s="25">
        <v>3678.5</v>
      </c>
      <c r="H929" s="22" t="s">
        <v>22</v>
      </c>
      <c r="I929" s="22">
        <v>0</v>
      </c>
      <c r="J929" s="22" t="s">
        <v>48</v>
      </c>
      <c r="K929" s="22" t="s">
        <v>23</v>
      </c>
      <c r="L929" s="22">
        <v>1</v>
      </c>
      <c r="M929" s="26">
        <v>33750</v>
      </c>
      <c r="N929" s="26">
        <v>14714</v>
      </c>
      <c r="O929" s="15">
        <f t="shared" si="70"/>
        <v>48464</v>
      </c>
      <c r="P929" s="15">
        <f t="shared" si="71"/>
        <v>13.174935435639528</v>
      </c>
      <c r="Q929" s="25">
        <v>4821</v>
      </c>
      <c r="R929" s="22">
        <v>76</v>
      </c>
      <c r="S929" s="22" t="s">
        <v>1276</v>
      </c>
      <c r="T929" s="22">
        <f t="shared" si="72"/>
        <v>1</v>
      </c>
      <c r="U929" s="22">
        <f t="shared" si="73"/>
        <v>2021</v>
      </c>
      <c r="V929" s="22" t="str">
        <f t="shared" si="74"/>
        <v>METROPOLITANA</v>
      </c>
    </row>
    <row r="930" spans="1:22" x14ac:dyDescent="0.2">
      <c r="A930" s="23" t="s">
        <v>1266</v>
      </c>
      <c r="B930" s="22" t="s">
        <v>33</v>
      </c>
      <c r="C930" s="22" t="s">
        <v>44</v>
      </c>
      <c r="D930" s="22" t="s">
        <v>35</v>
      </c>
      <c r="E930" s="24" t="s">
        <v>52</v>
      </c>
      <c r="F930" s="22" t="s">
        <v>46</v>
      </c>
      <c r="G930" s="25">
        <v>4261.24</v>
      </c>
      <c r="H930" s="22" t="s">
        <v>22</v>
      </c>
      <c r="I930" s="22">
        <v>0</v>
      </c>
      <c r="J930" s="22" t="s">
        <v>46</v>
      </c>
      <c r="K930" s="22" t="s">
        <v>23</v>
      </c>
      <c r="L930" s="22">
        <v>2</v>
      </c>
      <c r="M930" s="26">
        <v>40475</v>
      </c>
      <c r="N930" s="26">
        <v>17045</v>
      </c>
      <c r="O930" s="15">
        <f t="shared" si="70"/>
        <v>57520</v>
      </c>
      <c r="P930" s="15">
        <f t="shared" si="71"/>
        <v>13.498418300776301</v>
      </c>
      <c r="Q930" s="25">
        <v>5782</v>
      </c>
      <c r="R930" s="22">
        <v>74</v>
      </c>
      <c r="S930" s="22" t="s">
        <v>1277</v>
      </c>
      <c r="T930" s="22">
        <f t="shared" si="72"/>
        <v>1</v>
      </c>
      <c r="U930" s="22">
        <f t="shared" si="73"/>
        <v>2021</v>
      </c>
      <c r="V930" s="22" t="str">
        <f t="shared" si="74"/>
        <v>METROPOLITANA</v>
      </c>
    </row>
    <row r="931" spans="1:22" x14ac:dyDescent="0.2">
      <c r="A931" s="23" t="s">
        <v>1266</v>
      </c>
      <c r="B931" s="22" t="s">
        <v>33</v>
      </c>
      <c r="C931" s="22" t="s">
        <v>44</v>
      </c>
      <c r="D931" s="22" t="s">
        <v>20</v>
      </c>
      <c r="E931" s="24" t="s">
        <v>21</v>
      </c>
      <c r="F931" s="22" t="s">
        <v>26</v>
      </c>
      <c r="G931" s="25">
        <v>2468.8200000000002</v>
      </c>
      <c r="H931" s="22" t="s">
        <v>22</v>
      </c>
      <c r="I931" s="22">
        <v>0</v>
      </c>
      <c r="J931" s="22" t="s">
        <v>26</v>
      </c>
      <c r="K931" s="22" t="s">
        <v>23</v>
      </c>
      <c r="L931" s="22">
        <v>4</v>
      </c>
      <c r="M931" s="26">
        <v>56075</v>
      </c>
      <c r="N931" s="26">
        <v>12000</v>
      </c>
      <c r="O931" s="15">
        <f t="shared" si="70"/>
        <v>68075</v>
      </c>
      <c r="P931" s="15">
        <f t="shared" si="71"/>
        <v>27.573901702027687</v>
      </c>
      <c r="Q931" s="25">
        <v>8011</v>
      </c>
      <c r="R931" s="22">
        <v>31</v>
      </c>
      <c r="S931" s="22" t="s">
        <v>1278</v>
      </c>
      <c r="T931" s="22">
        <f t="shared" si="72"/>
        <v>1</v>
      </c>
      <c r="U931" s="22">
        <f t="shared" si="73"/>
        <v>2021</v>
      </c>
      <c r="V931" s="22" t="str">
        <f t="shared" si="74"/>
        <v>METROPOLITANA</v>
      </c>
    </row>
    <row r="932" spans="1:22" x14ac:dyDescent="0.2">
      <c r="A932" s="11" t="s">
        <v>1279</v>
      </c>
      <c r="B932" s="12" t="s">
        <v>54</v>
      </c>
      <c r="C932" s="12" t="s">
        <v>55</v>
      </c>
      <c r="D932" s="12" t="s">
        <v>730</v>
      </c>
      <c r="E932" s="13" t="s">
        <v>731</v>
      </c>
      <c r="F932" s="12" t="s">
        <v>66</v>
      </c>
      <c r="G932" s="14">
        <v>12758.929999999989</v>
      </c>
      <c r="H932" s="12" t="s">
        <v>24</v>
      </c>
      <c r="I932" s="12">
        <v>1</v>
      </c>
      <c r="J932" s="12" t="s">
        <v>66</v>
      </c>
      <c r="K932" s="12" t="s">
        <v>75</v>
      </c>
      <c r="L932" s="12">
        <v>0</v>
      </c>
      <c r="M932" s="15">
        <v>380000</v>
      </c>
      <c r="N932" s="15">
        <v>0</v>
      </c>
      <c r="O932" s="15">
        <f t="shared" si="70"/>
        <v>380000</v>
      </c>
      <c r="P932" s="15">
        <f t="shared" si="71"/>
        <v>29.783061745773377</v>
      </c>
      <c r="Q932" s="14">
        <v>25000</v>
      </c>
      <c r="R932" s="12">
        <v>51</v>
      </c>
      <c r="S932" s="12" t="s">
        <v>1280</v>
      </c>
      <c r="T932" s="22">
        <f t="shared" si="72"/>
        <v>1</v>
      </c>
      <c r="U932" s="22">
        <f t="shared" si="73"/>
        <v>2021</v>
      </c>
      <c r="V932" s="22" t="str">
        <f t="shared" si="74"/>
        <v>REGIONES</v>
      </c>
    </row>
    <row r="933" spans="1:22" x14ac:dyDescent="0.2">
      <c r="A933" s="11" t="s">
        <v>1279</v>
      </c>
      <c r="B933" s="12" t="s">
        <v>18</v>
      </c>
      <c r="C933" s="12" t="s">
        <v>187</v>
      </c>
      <c r="D933" s="12" t="s">
        <v>63</v>
      </c>
      <c r="E933" s="13" t="s">
        <v>64</v>
      </c>
      <c r="F933" s="12" t="s">
        <v>129</v>
      </c>
      <c r="G933" s="14">
        <v>1380</v>
      </c>
      <c r="H933" s="12" t="s">
        <v>65</v>
      </c>
      <c r="I933" s="12">
        <v>0</v>
      </c>
      <c r="J933" s="12" t="s">
        <v>129</v>
      </c>
      <c r="K933" s="12" t="s">
        <v>23</v>
      </c>
      <c r="L933" s="12">
        <v>1</v>
      </c>
      <c r="M933" s="15">
        <v>33750</v>
      </c>
      <c r="N933" s="15">
        <f>G933*3</f>
        <v>4140</v>
      </c>
      <c r="O933" s="15">
        <f t="shared" si="70"/>
        <v>37890</v>
      </c>
      <c r="P933" s="15">
        <f t="shared" si="71"/>
        <v>27.456521739130434</v>
      </c>
      <c r="Q933" s="14">
        <v>4821</v>
      </c>
      <c r="R933" s="12">
        <v>29</v>
      </c>
      <c r="S933" s="12" t="s">
        <v>1281</v>
      </c>
      <c r="T933" s="22">
        <f t="shared" si="72"/>
        <v>1</v>
      </c>
      <c r="U933" s="22">
        <f t="shared" si="73"/>
        <v>2021</v>
      </c>
      <c r="V933" s="22" t="str">
        <f t="shared" si="74"/>
        <v>METROPOLITANA</v>
      </c>
    </row>
    <row r="934" spans="1:22" x14ac:dyDescent="0.2">
      <c r="A934" s="11" t="s">
        <v>1279</v>
      </c>
      <c r="B934" s="12" t="s">
        <v>18</v>
      </c>
      <c r="C934" s="12" t="s">
        <v>163</v>
      </c>
      <c r="D934" s="12" t="s">
        <v>41</v>
      </c>
      <c r="E934" s="13" t="s">
        <v>25</v>
      </c>
      <c r="F934" s="12" t="s">
        <v>165</v>
      </c>
      <c r="G934" s="14">
        <v>6093.68</v>
      </c>
      <c r="H934" s="12" t="s">
        <v>43</v>
      </c>
      <c r="I934" s="12">
        <v>0</v>
      </c>
      <c r="J934" s="12" t="s">
        <v>165</v>
      </c>
      <c r="K934" s="12" t="s">
        <v>23</v>
      </c>
      <c r="L934" s="12">
        <v>4</v>
      </c>
      <c r="M934" s="15">
        <v>56075</v>
      </c>
      <c r="N934" s="15">
        <f>G934*3</f>
        <v>18281.04</v>
      </c>
      <c r="O934" s="15">
        <f t="shared" si="70"/>
        <v>74356.040000000008</v>
      </c>
      <c r="P934" s="15">
        <f t="shared" si="71"/>
        <v>12.202156988880283</v>
      </c>
      <c r="Q934" s="14">
        <v>8011</v>
      </c>
      <c r="R934" s="12">
        <v>76</v>
      </c>
      <c r="S934" s="12" t="s">
        <v>1282</v>
      </c>
      <c r="T934" s="22">
        <f t="shared" si="72"/>
        <v>1</v>
      </c>
      <c r="U934" s="22">
        <f t="shared" si="73"/>
        <v>2021</v>
      </c>
      <c r="V934" s="22" t="str">
        <f t="shared" si="74"/>
        <v>METROPOLITANA</v>
      </c>
    </row>
    <row r="935" spans="1:22" x14ac:dyDescent="0.2">
      <c r="A935" s="11" t="s">
        <v>1279</v>
      </c>
      <c r="B935" s="12" t="s">
        <v>18</v>
      </c>
      <c r="C935" s="12" t="s">
        <v>193</v>
      </c>
      <c r="D935" s="12" t="s">
        <v>27</v>
      </c>
      <c r="E935" s="13" t="s">
        <v>28</v>
      </c>
      <c r="F935" s="12" t="s">
        <v>194</v>
      </c>
      <c r="G935" s="14">
        <v>22111.659999999989</v>
      </c>
      <c r="H935" s="12" t="s">
        <v>22</v>
      </c>
      <c r="I935" s="12">
        <v>1</v>
      </c>
      <c r="J935" s="12" t="s">
        <v>194</v>
      </c>
      <c r="K935" s="12" t="s">
        <v>23</v>
      </c>
      <c r="L935" s="12">
        <v>4</v>
      </c>
      <c r="M935" s="15">
        <v>154782</v>
      </c>
      <c r="N935" s="15">
        <f>G935*4</f>
        <v>88446.639999999956</v>
      </c>
      <c r="O935" s="15">
        <f t="shared" si="70"/>
        <v>243228.63999999996</v>
      </c>
      <c r="P935" s="15">
        <f t="shared" si="71"/>
        <v>11.000017185503037</v>
      </c>
      <c r="Q935" s="14">
        <v>8011</v>
      </c>
      <c r="R935" s="12">
        <v>100</v>
      </c>
      <c r="S935" s="12" t="s">
        <v>1283</v>
      </c>
      <c r="T935" s="22">
        <f t="shared" si="72"/>
        <v>1</v>
      </c>
      <c r="U935" s="22">
        <f t="shared" si="73"/>
        <v>2021</v>
      </c>
      <c r="V935" s="22" t="str">
        <f t="shared" si="74"/>
        <v>METROPOLITANA</v>
      </c>
    </row>
    <row r="936" spans="1:22" x14ac:dyDescent="0.2">
      <c r="A936" s="11" t="s">
        <v>1279</v>
      </c>
      <c r="B936" s="12" t="s">
        <v>18</v>
      </c>
      <c r="C936" s="12" t="s">
        <v>508</v>
      </c>
      <c r="D936" s="12" t="s">
        <v>38</v>
      </c>
      <c r="E936" s="13" t="s">
        <v>42</v>
      </c>
      <c r="F936" s="12" t="s">
        <v>800</v>
      </c>
      <c r="G936" s="14">
        <v>4831.1399999999994</v>
      </c>
      <c r="H936" s="12" t="s">
        <v>43</v>
      </c>
      <c r="I936" s="12">
        <v>0</v>
      </c>
      <c r="J936" s="12" t="s">
        <v>800</v>
      </c>
      <c r="K936" s="12" t="s">
        <v>23</v>
      </c>
      <c r="L936" s="12">
        <v>5</v>
      </c>
      <c r="M936" s="15">
        <v>90000</v>
      </c>
      <c r="N936" s="15">
        <f>G936*3</f>
        <v>14493.419999999998</v>
      </c>
      <c r="O936" s="15">
        <f t="shared" si="70"/>
        <v>104493.42</v>
      </c>
      <c r="P936" s="15">
        <f t="shared" si="71"/>
        <v>21.629143431985</v>
      </c>
      <c r="Q936" s="14">
        <v>12000</v>
      </c>
      <c r="R936" s="12">
        <v>40</v>
      </c>
      <c r="S936" s="12" t="s">
        <v>1284</v>
      </c>
      <c r="T936" s="22">
        <f t="shared" si="72"/>
        <v>1</v>
      </c>
      <c r="U936" s="22">
        <f t="shared" si="73"/>
        <v>2021</v>
      </c>
      <c r="V936" s="22" t="str">
        <f t="shared" si="74"/>
        <v>METROPOLITANA</v>
      </c>
    </row>
    <row r="937" spans="1:22" x14ac:dyDescent="0.2">
      <c r="A937" s="11" t="s">
        <v>1279</v>
      </c>
      <c r="B937" s="12" t="s">
        <v>33</v>
      </c>
      <c r="C937" s="12" t="s">
        <v>36</v>
      </c>
      <c r="D937" s="12" t="s">
        <v>37</v>
      </c>
      <c r="E937" s="13" t="s">
        <v>40</v>
      </c>
      <c r="F937" s="12" t="s">
        <v>67</v>
      </c>
      <c r="G937" s="14">
        <v>2050.4</v>
      </c>
      <c r="H937" s="12" t="s">
        <v>22</v>
      </c>
      <c r="I937" s="12">
        <v>0</v>
      </c>
      <c r="J937" s="12" t="s">
        <v>67</v>
      </c>
      <c r="K937" s="12" t="s">
        <v>23</v>
      </c>
      <c r="L937" s="12">
        <v>2</v>
      </c>
      <c r="M937" s="15">
        <v>40475</v>
      </c>
      <c r="N937" s="15">
        <f>G937*4</f>
        <v>8201.6</v>
      </c>
      <c r="O937" s="15">
        <f t="shared" si="70"/>
        <v>48676.6</v>
      </c>
      <c r="P937" s="15">
        <f t="shared" si="71"/>
        <v>23.740050721810377</v>
      </c>
      <c r="Q937" s="14">
        <v>5782</v>
      </c>
      <c r="R937" s="12">
        <v>35</v>
      </c>
      <c r="S937" s="12" t="s">
        <v>1285</v>
      </c>
      <c r="T937" s="22">
        <f t="shared" si="72"/>
        <v>1</v>
      </c>
      <c r="U937" s="22">
        <f t="shared" si="73"/>
        <v>2021</v>
      </c>
      <c r="V937" s="22" t="str">
        <f t="shared" si="74"/>
        <v>METROPOLITANA</v>
      </c>
    </row>
    <row r="938" spans="1:22" x14ac:dyDescent="0.2">
      <c r="A938" s="11" t="s">
        <v>1279</v>
      </c>
      <c r="B938" s="12" t="s">
        <v>33</v>
      </c>
      <c r="C938" s="12" t="s">
        <v>36</v>
      </c>
      <c r="D938" s="12" t="s">
        <v>63</v>
      </c>
      <c r="E938" s="13" t="s">
        <v>64</v>
      </c>
      <c r="F938" s="12" t="s">
        <v>53</v>
      </c>
      <c r="G938" s="14">
        <v>2251.1999999999998</v>
      </c>
      <c r="H938" s="12" t="s">
        <v>65</v>
      </c>
      <c r="I938" s="12">
        <v>0</v>
      </c>
      <c r="J938" s="12" t="s">
        <v>53</v>
      </c>
      <c r="K938" s="12" t="s">
        <v>23</v>
      </c>
      <c r="L938" s="12">
        <v>3</v>
      </c>
      <c r="M938" s="15">
        <v>48075</v>
      </c>
      <c r="N938" s="15">
        <f>G938*3</f>
        <v>6753.5999999999995</v>
      </c>
      <c r="O938" s="15">
        <f t="shared" si="70"/>
        <v>54828.6</v>
      </c>
      <c r="P938" s="15">
        <f t="shared" si="71"/>
        <v>24.355277185501066</v>
      </c>
      <c r="Q938" s="14">
        <v>6868</v>
      </c>
      <c r="R938" s="12">
        <v>33</v>
      </c>
      <c r="S938" s="12" t="s">
        <v>1286</v>
      </c>
      <c r="T938" s="22">
        <f t="shared" si="72"/>
        <v>1</v>
      </c>
      <c r="U938" s="22">
        <f t="shared" si="73"/>
        <v>2021</v>
      </c>
      <c r="V938" s="22" t="str">
        <f t="shared" si="74"/>
        <v>METROPOLITANA</v>
      </c>
    </row>
    <row r="939" spans="1:22" x14ac:dyDescent="0.2">
      <c r="A939" s="11" t="s">
        <v>1279</v>
      </c>
      <c r="B939" s="12" t="s">
        <v>33</v>
      </c>
      <c r="C939" s="12" t="s">
        <v>29</v>
      </c>
      <c r="D939" s="12" t="s">
        <v>37</v>
      </c>
      <c r="E939" s="13" t="s">
        <v>40</v>
      </c>
      <c r="F939" s="12" t="s">
        <v>173</v>
      </c>
      <c r="G939" s="14">
        <v>7577.9999999999991</v>
      </c>
      <c r="H939" s="12" t="s">
        <v>22</v>
      </c>
      <c r="I939" s="12">
        <v>0</v>
      </c>
      <c r="J939" s="12" t="s">
        <v>173</v>
      </c>
      <c r="K939" s="12" t="s">
        <v>23</v>
      </c>
      <c r="L939" s="12">
        <v>5</v>
      </c>
      <c r="M939" s="15">
        <v>90000</v>
      </c>
      <c r="N939" s="15">
        <v>30312</v>
      </c>
      <c r="O939" s="15">
        <f t="shared" si="70"/>
        <v>120312</v>
      </c>
      <c r="P939" s="15">
        <f t="shared" si="71"/>
        <v>15.876484560570074</v>
      </c>
      <c r="Q939" s="14">
        <v>12000</v>
      </c>
      <c r="R939" s="12">
        <v>63</v>
      </c>
      <c r="S939" s="12" t="s">
        <v>1287</v>
      </c>
      <c r="T939" s="22">
        <f t="shared" si="72"/>
        <v>1</v>
      </c>
      <c r="U939" s="22">
        <f t="shared" si="73"/>
        <v>2021</v>
      </c>
      <c r="V939" s="22" t="str">
        <f t="shared" si="74"/>
        <v>METROPOLITANA</v>
      </c>
    </row>
    <row r="940" spans="1:22" x14ac:dyDescent="0.2">
      <c r="A940" s="11" t="s">
        <v>1279</v>
      </c>
      <c r="B940" s="12" t="s">
        <v>33</v>
      </c>
      <c r="C940" s="12" t="s">
        <v>44</v>
      </c>
      <c r="D940" s="12" t="s">
        <v>56</v>
      </c>
      <c r="E940" s="13" t="s">
        <v>49</v>
      </c>
      <c r="F940" s="12" t="s">
        <v>225</v>
      </c>
      <c r="G940" s="14">
        <v>3349.65</v>
      </c>
      <c r="H940" s="12" t="s">
        <v>22</v>
      </c>
      <c r="I940" s="12">
        <v>0</v>
      </c>
      <c r="J940" s="12" t="s">
        <v>225</v>
      </c>
      <c r="K940" s="12" t="s">
        <v>23</v>
      </c>
      <c r="L940" s="12">
        <v>3</v>
      </c>
      <c r="M940" s="15">
        <v>48075</v>
      </c>
      <c r="N940" s="15">
        <v>13399</v>
      </c>
      <c r="O940" s="15">
        <f t="shared" si="70"/>
        <v>61474</v>
      </c>
      <c r="P940" s="15">
        <f t="shared" si="71"/>
        <v>18.352365172480706</v>
      </c>
      <c r="Q940" s="14">
        <v>6868</v>
      </c>
      <c r="R940" s="12">
        <v>49</v>
      </c>
      <c r="S940" s="12" t="s">
        <v>1288</v>
      </c>
      <c r="T940" s="22">
        <f t="shared" si="72"/>
        <v>1</v>
      </c>
      <c r="U940" s="22">
        <f t="shared" si="73"/>
        <v>2021</v>
      </c>
      <c r="V940" s="22" t="str">
        <f t="shared" si="74"/>
        <v>METROPOLITANA</v>
      </c>
    </row>
    <row r="941" spans="1:22" x14ac:dyDescent="0.2">
      <c r="A941" s="11" t="s">
        <v>1279</v>
      </c>
      <c r="B941" s="12" t="s">
        <v>33</v>
      </c>
      <c r="C941" s="12" t="s">
        <v>44</v>
      </c>
      <c r="D941" s="12" t="s">
        <v>188</v>
      </c>
      <c r="E941" s="13" t="s">
        <v>189</v>
      </c>
      <c r="F941" s="12" t="s">
        <v>138</v>
      </c>
      <c r="G941" s="14">
        <v>3266.8</v>
      </c>
      <c r="H941" s="12" t="s">
        <v>190</v>
      </c>
      <c r="I941" s="12">
        <v>0</v>
      </c>
      <c r="J941" s="12" t="s">
        <v>138</v>
      </c>
      <c r="K941" s="12" t="s">
        <v>23</v>
      </c>
      <c r="L941" s="12">
        <v>3</v>
      </c>
      <c r="M941" s="15">
        <v>48075</v>
      </c>
      <c r="N941" s="15">
        <v>0</v>
      </c>
      <c r="O941" s="15">
        <f t="shared" si="70"/>
        <v>48075</v>
      </c>
      <c r="P941" s="15">
        <f t="shared" si="71"/>
        <v>14.716236071997061</v>
      </c>
      <c r="Q941" s="14">
        <v>6868</v>
      </c>
      <c r="R941" s="12">
        <v>48</v>
      </c>
      <c r="S941" s="12" t="s">
        <v>1289</v>
      </c>
      <c r="T941" s="22">
        <f t="shared" si="72"/>
        <v>1</v>
      </c>
      <c r="U941" s="22">
        <f t="shared" si="73"/>
        <v>2021</v>
      </c>
      <c r="V941" s="22" t="str">
        <f t="shared" si="74"/>
        <v>METROPOLITANA</v>
      </c>
    </row>
    <row r="942" spans="1:22" x14ac:dyDescent="0.2">
      <c r="A942" s="11" t="s">
        <v>1279</v>
      </c>
      <c r="B942" s="12" t="s">
        <v>33</v>
      </c>
      <c r="C942" s="12" t="s">
        <v>44</v>
      </c>
      <c r="D942" s="12" t="s">
        <v>45</v>
      </c>
      <c r="E942" s="13" t="s">
        <v>21</v>
      </c>
      <c r="F942" s="12" t="s">
        <v>53</v>
      </c>
      <c r="G942" s="14">
        <v>5494.4599999999991</v>
      </c>
      <c r="H942" s="12" t="s">
        <v>22</v>
      </c>
      <c r="I942" s="12">
        <v>0</v>
      </c>
      <c r="J942" s="12" t="s">
        <v>53</v>
      </c>
      <c r="K942" s="12" t="s">
        <v>23</v>
      </c>
      <c r="L942" s="12">
        <v>3</v>
      </c>
      <c r="M942" s="15">
        <v>48075</v>
      </c>
      <c r="N942" s="15">
        <v>21978</v>
      </c>
      <c r="O942" s="15">
        <f t="shared" si="70"/>
        <v>70053</v>
      </c>
      <c r="P942" s="15">
        <f t="shared" si="71"/>
        <v>12.749751567942985</v>
      </c>
      <c r="Q942" s="14">
        <v>6868</v>
      </c>
      <c r="R942" s="12">
        <v>80</v>
      </c>
      <c r="S942" s="12" t="s">
        <v>1290</v>
      </c>
      <c r="T942" s="22">
        <f t="shared" si="72"/>
        <v>1</v>
      </c>
      <c r="U942" s="22">
        <f t="shared" si="73"/>
        <v>2021</v>
      </c>
      <c r="V942" s="22" t="str">
        <f t="shared" si="74"/>
        <v>METROPOLITANA</v>
      </c>
    </row>
    <row r="943" spans="1:22" x14ac:dyDescent="0.2">
      <c r="A943" s="11" t="s">
        <v>1279</v>
      </c>
      <c r="B943" s="12" t="s">
        <v>33</v>
      </c>
      <c r="C943" s="12" t="s">
        <v>44</v>
      </c>
      <c r="D943" s="12" t="s">
        <v>47</v>
      </c>
      <c r="E943" s="13" t="s">
        <v>28</v>
      </c>
      <c r="F943" s="12" t="s">
        <v>48</v>
      </c>
      <c r="G943" s="14">
        <v>7965.6599999999971</v>
      </c>
      <c r="H943" s="12" t="s">
        <v>22</v>
      </c>
      <c r="I943" s="12">
        <v>0</v>
      </c>
      <c r="J943" s="12" t="s">
        <v>48</v>
      </c>
      <c r="K943" s="12" t="s">
        <v>23</v>
      </c>
      <c r="L943" s="12">
        <v>1</v>
      </c>
      <c r="M943" s="15">
        <v>55760</v>
      </c>
      <c r="N943" s="15">
        <v>31863</v>
      </c>
      <c r="O943" s="15">
        <f t="shared" si="70"/>
        <v>87623</v>
      </c>
      <c r="P943" s="15">
        <f t="shared" si="71"/>
        <v>11.000092898767965</v>
      </c>
      <c r="Q943" s="14">
        <v>4821</v>
      </c>
      <c r="R943" s="12">
        <v>100</v>
      </c>
      <c r="S943" s="12" t="s">
        <v>1291</v>
      </c>
      <c r="T943" s="22">
        <f t="shared" si="72"/>
        <v>1</v>
      </c>
      <c r="U943" s="22">
        <f t="shared" si="73"/>
        <v>2021</v>
      </c>
      <c r="V943" s="22" t="str">
        <f t="shared" si="74"/>
        <v>METROPOLITANA</v>
      </c>
    </row>
    <row r="944" spans="1:22" x14ac:dyDescent="0.2">
      <c r="A944" s="11" t="s">
        <v>1279</v>
      </c>
      <c r="B944" s="12" t="s">
        <v>33</v>
      </c>
      <c r="C944" s="12" t="s">
        <v>44</v>
      </c>
      <c r="D944" s="12" t="s">
        <v>35</v>
      </c>
      <c r="E944" s="13" t="s">
        <v>88</v>
      </c>
      <c r="F944" s="12" t="s">
        <v>46</v>
      </c>
      <c r="G944" s="14">
        <v>1404.01</v>
      </c>
      <c r="H944" s="12" t="s">
        <v>22</v>
      </c>
      <c r="I944" s="12">
        <v>0</v>
      </c>
      <c r="J944" s="12" t="s">
        <v>46</v>
      </c>
      <c r="K944" s="12" t="s">
        <v>23</v>
      </c>
      <c r="L944" s="12">
        <v>2</v>
      </c>
      <c r="M944" s="15">
        <v>40475</v>
      </c>
      <c r="N944" s="15">
        <v>12000</v>
      </c>
      <c r="O944" s="15">
        <f t="shared" si="70"/>
        <v>52475</v>
      </c>
      <c r="P944" s="15">
        <f t="shared" si="71"/>
        <v>37.375089921011956</v>
      </c>
      <c r="Q944" s="14">
        <v>5782</v>
      </c>
      <c r="R944" s="12">
        <v>24</v>
      </c>
      <c r="S944" s="12" t="s">
        <v>1292</v>
      </c>
      <c r="T944" s="22">
        <f t="shared" si="72"/>
        <v>1</v>
      </c>
      <c r="U944" s="22">
        <f t="shared" si="73"/>
        <v>2021</v>
      </c>
      <c r="V944" s="22" t="str">
        <f t="shared" si="74"/>
        <v>METROPOLITANA</v>
      </c>
    </row>
    <row r="945" spans="1:22" x14ac:dyDescent="0.2">
      <c r="A945" s="11" t="s">
        <v>1279</v>
      </c>
      <c r="B945" s="12" t="s">
        <v>33</v>
      </c>
      <c r="C945" s="12" t="s">
        <v>44</v>
      </c>
      <c r="D945" s="12" t="s">
        <v>41</v>
      </c>
      <c r="E945" s="13" t="s">
        <v>25</v>
      </c>
      <c r="F945" s="12" t="s">
        <v>134</v>
      </c>
      <c r="G945" s="14">
        <v>1718.42</v>
      </c>
      <c r="H945" s="12" t="s">
        <v>43</v>
      </c>
      <c r="I945" s="12">
        <v>0</v>
      </c>
      <c r="J945" s="12" t="s">
        <v>134</v>
      </c>
      <c r="K945" s="12" t="s">
        <v>23</v>
      </c>
      <c r="L945" s="12">
        <v>2</v>
      </c>
      <c r="M945" s="15">
        <v>40475</v>
      </c>
      <c r="N945" s="15">
        <v>5155</v>
      </c>
      <c r="O945" s="15">
        <f t="shared" si="70"/>
        <v>45630</v>
      </c>
      <c r="P945" s="15">
        <f t="shared" si="71"/>
        <v>26.553461901048635</v>
      </c>
      <c r="Q945" s="14">
        <v>5782</v>
      </c>
      <c r="R945" s="12">
        <v>30</v>
      </c>
      <c r="S945" s="12" t="s">
        <v>1293</v>
      </c>
      <c r="T945" s="22">
        <f t="shared" si="72"/>
        <v>1</v>
      </c>
      <c r="U945" s="22">
        <f t="shared" si="73"/>
        <v>2021</v>
      </c>
      <c r="V945" s="22" t="str">
        <f t="shared" si="74"/>
        <v>METROPOLITANA</v>
      </c>
    </row>
    <row r="946" spans="1:22" x14ac:dyDescent="0.2">
      <c r="A946" s="11" t="s">
        <v>1279</v>
      </c>
      <c r="B946" s="12" t="s">
        <v>33</v>
      </c>
      <c r="C946" s="12" t="s">
        <v>1163</v>
      </c>
      <c r="D946" s="12" t="s">
        <v>786</v>
      </c>
      <c r="E946" s="13" t="s">
        <v>787</v>
      </c>
      <c r="F946" s="12" t="s">
        <v>1166</v>
      </c>
      <c r="G946" s="14">
        <v>19515</v>
      </c>
      <c r="H946" s="12" t="s">
        <v>788</v>
      </c>
      <c r="I946" s="12">
        <v>1</v>
      </c>
      <c r="J946" s="12" t="s">
        <v>1166</v>
      </c>
      <c r="K946" s="12" t="s">
        <v>23</v>
      </c>
      <c r="L946" s="12">
        <v>5</v>
      </c>
      <c r="M946" s="15">
        <f>G946*7</f>
        <v>136605</v>
      </c>
      <c r="N946" s="15">
        <v>0</v>
      </c>
      <c r="O946" s="15">
        <f t="shared" si="70"/>
        <v>136605</v>
      </c>
      <c r="P946" s="15">
        <f t="shared" si="71"/>
        <v>7</v>
      </c>
      <c r="Q946" s="14">
        <v>12000</v>
      </c>
      <c r="R946" s="12">
        <v>100</v>
      </c>
      <c r="S946" s="12" t="s">
        <v>1294</v>
      </c>
      <c r="T946" s="22">
        <f t="shared" si="72"/>
        <v>1</v>
      </c>
      <c r="U946" s="22">
        <f t="shared" si="73"/>
        <v>2021</v>
      </c>
      <c r="V946" s="22" t="str">
        <f t="shared" si="74"/>
        <v>METROPOLITANA</v>
      </c>
    </row>
    <row r="947" spans="1:22" x14ac:dyDescent="0.2">
      <c r="A947" s="23" t="s">
        <v>1295</v>
      </c>
      <c r="B947" s="22" t="s">
        <v>18</v>
      </c>
      <c r="C947" s="22" t="s">
        <v>57</v>
      </c>
      <c r="D947" s="22" t="s">
        <v>1296</v>
      </c>
      <c r="E947" s="24" t="s">
        <v>1297</v>
      </c>
      <c r="F947" s="22" t="s">
        <v>458</v>
      </c>
      <c r="G947" s="25">
        <v>7831.19</v>
      </c>
      <c r="H947" s="22" t="s">
        <v>24</v>
      </c>
      <c r="I947" s="22">
        <v>1</v>
      </c>
      <c r="J947" s="22" t="s">
        <v>458</v>
      </c>
      <c r="K947" s="22" t="s">
        <v>75</v>
      </c>
      <c r="L947" s="22">
        <v>0</v>
      </c>
      <c r="M947" s="26">
        <v>380000</v>
      </c>
      <c r="N947" s="26">
        <v>0</v>
      </c>
      <c r="O947" s="15">
        <f t="shared" si="70"/>
        <v>380000</v>
      </c>
      <c r="P947" s="15">
        <f t="shared" si="71"/>
        <v>48.523915267028386</v>
      </c>
      <c r="Q947" s="25">
        <v>25000</v>
      </c>
      <c r="R947" s="22">
        <v>31</v>
      </c>
      <c r="S947" s="22" t="s">
        <v>1298</v>
      </c>
      <c r="T947" s="22">
        <f t="shared" si="72"/>
        <v>1</v>
      </c>
      <c r="U947" s="22">
        <f t="shared" si="73"/>
        <v>2021</v>
      </c>
      <c r="V947" s="22" t="str">
        <f t="shared" si="74"/>
        <v>REGIONES</v>
      </c>
    </row>
    <row r="948" spans="1:22" x14ac:dyDescent="0.2">
      <c r="A948" s="23" t="s">
        <v>1295</v>
      </c>
      <c r="B948" s="22" t="s">
        <v>18</v>
      </c>
      <c r="C948" s="22" t="s">
        <v>57</v>
      </c>
      <c r="D948" s="22" t="s">
        <v>1170</v>
      </c>
      <c r="E948" s="24" t="s">
        <v>81</v>
      </c>
      <c r="F948" s="22" t="s">
        <v>458</v>
      </c>
      <c r="G948" s="25">
        <v>17993.18</v>
      </c>
      <c r="H948" s="22" t="s">
        <v>24</v>
      </c>
      <c r="I948" s="22">
        <v>1</v>
      </c>
      <c r="J948" s="22" t="s">
        <v>458</v>
      </c>
      <c r="K948" s="22" t="s">
        <v>75</v>
      </c>
      <c r="L948" s="22">
        <v>0</v>
      </c>
      <c r="M948" s="26">
        <v>380000</v>
      </c>
      <c r="N948" s="26">
        <v>0</v>
      </c>
      <c r="O948" s="15">
        <f t="shared" si="70"/>
        <v>380000</v>
      </c>
      <c r="P948" s="15">
        <f t="shared" si="71"/>
        <v>21.119112908335268</v>
      </c>
      <c r="Q948" s="25">
        <v>25000</v>
      </c>
      <c r="R948" s="22">
        <v>72</v>
      </c>
      <c r="S948" s="22" t="s">
        <v>1299</v>
      </c>
      <c r="T948" s="22">
        <f t="shared" si="72"/>
        <v>1</v>
      </c>
      <c r="U948" s="22">
        <f t="shared" si="73"/>
        <v>2021</v>
      </c>
      <c r="V948" s="22" t="str">
        <f t="shared" si="74"/>
        <v>REGIONES</v>
      </c>
    </row>
    <row r="949" spans="1:22" x14ac:dyDescent="0.2">
      <c r="A949" s="23" t="s">
        <v>1295</v>
      </c>
      <c r="B949" s="22" t="s">
        <v>18</v>
      </c>
      <c r="C949" s="22" t="s">
        <v>57</v>
      </c>
      <c r="D949" s="22" t="s">
        <v>164</v>
      </c>
      <c r="E949" s="24" t="s">
        <v>28</v>
      </c>
      <c r="F949" s="22" t="s">
        <v>120</v>
      </c>
      <c r="G949" s="25">
        <v>11572.86</v>
      </c>
      <c r="H949" s="22" t="s">
        <v>22</v>
      </c>
      <c r="I949" s="22">
        <v>1</v>
      </c>
      <c r="J949" s="22" t="s">
        <v>120</v>
      </c>
      <c r="K949" s="22" t="s">
        <v>23</v>
      </c>
      <c r="L949" s="22">
        <v>5</v>
      </c>
      <c r="M949" s="26">
        <v>120000</v>
      </c>
      <c r="N949" s="26">
        <f>G949*4</f>
        <v>46291.44</v>
      </c>
      <c r="O949" s="15">
        <f t="shared" si="70"/>
        <v>166291.44</v>
      </c>
      <c r="P949" s="15">
        <f t="shared" si="71"/>
        <v>14.369087675820843</v>
      </c>
      <c r="Q949" s="25">
        <v>12000</v>
      </c>
      <c r="R949" s="22">
        <v>96</v>
      </c>
      <c r="S949" s="22" t="s">
        <v>1300</v>
      </c>
      <c r="T949" s="22">
        <f t="shared" si="72"/>
        <v>1</v>
      </c>
      <c r="U949" s="22">
        <f t="shared" si="73"/>
        <v>2021</v>
      </c>
      <c r="V949" s="22" t="str">
        <f t="shared" si="74"/>
        <v>METROPOLITANA</v>
      </c>
    </row>
    <row r="950" spans="1:22" x14ac:dyDescent="0.2">
      <c r="A950" s="23" t="s">
        <v>1295</v>
      </c>
      <c r="B950" s="22" t="s">
        <v>18</v>
      </c>
      <c r="C950" s="22" t="s">
        <v>44</v>
      </c>
      <c r="D950" s="22" t="s">
        <v>63</v>
      </c>
      <c r="E950" s="24" t="s">
        <v>64</v>
      </c>
      <c r="F950" s="22" t="s">
        <v>39</v>
      </c>
      <c r="G950" s="25">
        <v>690</v>
      </c>
      <c r="H950" s="22" t="s">
        <v>65</v>
      </c>
      <c r="I950" s="22">
        <v>0</v>
      </c>
      <c r="J950" s="22" t="s">
        <v>39</v>
      </c>
      <c r="K950" s="22" t="s">
        <v>23</v>
      </c>
      <c r="L950" s="22">
        <v>1</v>
      </c>
      <c r="M950" s="26">
        <v>33750</v>
      </c>
      <c r="N950" s="26">
        <v>2070</v>
      </c>
      <c r="O950" s="15">
        <f t="shared" si="70"/>
        <v>35820</v>
      </c>
      <c r="P950" s="15">
        <f t="shared" si="71"/>
        <v>51.913043478260867</v>
      </c>
      <c r="Q950" s="25">
        <v>4821</v>
      </c>
      <c r="R950" s="22">
        <v>14</v>
      </c>
      <c r="S950" s="22" t="s">
        <v>1301</v>
      </c>
      <c r="T950" s="22">
        <f t="shared" si="72"/>
        <v>1</v>
      </c>
      <c r="U950" s="22">
        <f t="shared" si="73"/>
        <v>2021</v>
      </c>
      <c r="V950" s="22" t="str">
        <f t="shared" si="74"/>
        <v>METROPOLITANA</v>
      </c>
    </row>
    <row r="951" spans="1:22" x14ac:dyDescent="0.2">
      <c r="A951" s="23" t="s">
        <v>1295</v>
      </c>
      <c r="B951" s="22" t="s">
        <v>33</v>
      </c>
      <c r="C951" s="22" t="s">
        <v>270</v>
      </c>
      <c r="D951" s="22" t="s">
        <v>38</v>
      </c>
      <c r="E951" s="24" t="s">
        <v>42</v>
      </c>
      <c r="F951" s="22" t="s">
        <v>120</v>
      </c>
      <c r="G951" s="25">
        <v>13887.999999999991</v>
      </c>
      <c r="H951" s="22" t="s">
        <v>43</v>
      </c>
      <c r="I951" s="22">
        <v>0</v>
      </c>
      <c r="J951" s="22" t="s">
        <v>120</v>
      </c>
      <c r="K951" s="22" t="s">
        <v>23</v>
      </c>
      <c r="L951" s="22">
        <v>5</v>
      </c>
      <c r="M951" s="26">
        <v>70000</v>
      </c>
      <c r="N951" s="26">
        <f>G951*3</f>
        <v>41663.999999999971</v>
      </c>
      <c r="O951" s="15">
        <f t="shared" si="70"/>
        <v>111663.99999999997</v>
      </c>
      <c r="P951" s="15">
        <f t="shared" si="71"/>
        <v>8.0403225806451637</v>
      </c>
      <c r="Q951" s="25">
        <v>12000</v>
      </c>
      <c r="R951" s="22">
        <v>100</v>
      </c>
      <c r="S951" s="22" t="s">
        <v>1302</v>
      </c>
      <c r="T951" s="22">
        <f t="shared" si="72"/>
        <v>1</v>
      </c>
      <c r="U951" s="22">
        <f t="shared" si="73"/>
        <v>2021</v>
      </c>
      <c r="V951" s="22" t="str">
        <f t="shared" si="74"/>
        <v>METROPOLITANA</v>
      </c>
    </row>
    <row r="952" spans="1:22" x14ac:dyDescent="0.2">
      <c r="A952" s="23" t="s">
        <v>1295</v>
      </c>
      <c r="B952" s="22" t="s">
        <v>33</v>
      </c>
      <c r="C952" s="22" t="s">
        <v>50</v>
      </c>
      <c r="D952" s="22" t="s">
        <v>37</v>
      </c>
      <c r="E952" s="24" t="s">
        <v>40</v>
      </c>
      <c r="F952" s="22" t="s">
        <v>26</v>
      </c>
      <c r="G952" s="25">
        <v>9150</v>
      </c>
      <c r="H952" s="22" t="s">
        <v>22</v>
      </c>
      <c r="I952" s="22">
        <v>0</v>
      </c>
      <c r="J952" s="22" t="s">
        <v>26</v>
      </c>
      <c r="K952" s="22" t="s">
        <v>23</v>
      </c>
      <c r="L952" s="22">
        <v>4</v>
      </c>
      <c r="M952" s="26">
        <v>64050</v>
      </c>
      <c r="N952" s="26">
        <f>G952*4</f>
        <v>36600</v>
      </c>
      <c r="O952" s="15">
        <f t="shared" si="70"/>
        <v>100650</v>
      </c>
      <c r="P952" s="15">
        <f t="shared" si="71"/>
        <v>11</v>
      </c>
      <c r="Q952" s="25">
        <v>8011</v>
      </c>
      <c r="R952" s="22">
        <v>100</v>
      </c>
      <c r="S952" s="22" t="s">
        <v>1303</v>
      </c>
      <c r="T952" s="22">
        <f t="shared" si="72"/>
        <v>1</v>
      </c>
      <c r="U952" s="22">
        <f t="shared" si="73"/>
        <v>2021</v>
      </c>
      <c r="V952" s="22" t="str">
        <f t="shared" si="74"/>
        <v>METROPOLITANA</v>
      </c>
    </row>
    <row r="953" spans="1:22" x14ac:dyDescent="0.2">
      <c r="A953" s="23" t="s">
        <v>1295</v>
      </c>
      <c r="B953" s="22" t="s">
        <v>33</v>
      </c>
      <c r="C953" s="22" t="s">
        <v>50</v>
      </c>
      <c r="D953" s="22" t="s">
        <v>47</v>
      </c>
      <c r="E953" s="24" t="s">
        <v>49</v>
      </c>
      <c r="F953" s="22" t="s">
        <v>26</v>
      </c>
      <c r="G953" s="25">
        <v>9150</v>
      </c>
      <c r="H953" s="22" t="s">
        <v>22</v>
      </c>
      <c r="I953" s="22">
        <v>0</v>
      </c>
      <c r="J953" s="22" t="s">
        <v>26</v>
      </c>
      <c r="K953" s="22" t="s">
        <v>23</v>
      </c>
      <c r="L953" s="22">
        <v>4</v>
      </c>
      <c r="M953" s="26">
        <v>64050</v>
      </c>
      <c r="N953" s="26">
        <f>G953*4</f>
        <v>36600</v>
      </c>
      <c r="O953" s="15">
        <f t="shared" si="70"/>
        <v>100650</v>
      </c>
      <c r="P953" s="15">
        <f t="shared" si="71"/>
        <v>11</v>
      </c>
      <c r="Q953" s="25">
        <v>8011</v>
      </c>
      <c r="R953" s="22">
        <v>100</v>
      </c>
      <c r="S953" s="22" t="s">
        <v>1304</v>
      </c>
      <c r="T953" s="22">
        <f t="shared" si="72"/>
        <v>1</v>
      </c>
      <c r="U953" s="22">
        <f t="shared" si="73"/>
        <v>2021</v>
      </c>
      <c r="V953" s="22" t="str">
        <f t="shared" si="74"/>
        <v>METROPOLITANA</v>
      </c>
    </row>
    <row r="954" spans="1:22" x14ac:dyDescent="0.2">
      <c r="A954" s="23" t="s">
        <v>1295</v>
      </c>
      <c r="B954" s="22" t="s">
        <v>33</v>
      </c>
      <c r="C954" s="22" t="s">
        <v>50</v>
      </c>
      <c r="D954" s="22" t="s">
        <v>41</v>
      </c>
      <c r="E954" s="24" t="s">
        <v>25</v>
      </c>
      <c r="F954" s="22" t="s">
        <v>26</v>
      </c>
      <c r="G954" s="25">
        <v>15276.8</v>
      </c>
      <c r="H954" s="22" t="s">
        <v>43</v>
      </c>
      <c r="I954" s="22">
        <v>0</v>
      </c>
      <c r="J954" s="22" t="s">
        <v>26</v>
      </c>
      <c r="K954" s="22" t="s">
        <v>23</v>
      </c>
      <c r="L954" s="22">
        <v>4</v>
      </c>
      <c r="M954" s="26">
        <v>106938</v>
      </c>
      <c r="N954" s="26">
        <f>G954*3</f>
        <v>45830.399999999994</v>
      </c>
      <c r="O954" s="15">
        <f t="shared" si="70"/>
        <v>152768.4</v>
      </c>
      <c r="P954" s="15">
        <f t="shared" si="71"/>
        <v>10.000026183493926</v>
      </c>
      <c r="Q954" s="25">
        <v>8011</v>
      </c>
      <c r="R954" s="22">
        <v>100</v>
      </c>
      <c r="S954" s="22" t="s">
        <v>1305</v>
      </c>
      <c r="T954" s="22">
        <f t="shared" si="72"/>
        <v>1</v>
      </c>
      <c r="U954" s="22">
        <f t="shared" si="73"/>
        <v>2021</v>
      </c>
      <c r="V954" s="22" t="str">
        <f t="shared" si="74"/>
        <v>METROPOLITANA</v>
      </c>
    </row>
    <row r="955" spans="1:22" x14ac:dyDescent="0.2">
      <c r="A955" s="23" t="s">
        <v>1295</v>
      </c>
      <c r="B955" s="22" t="s">
        <v>33</v>
      </c>
      <c r="C955" s="22" t="s">
        <v>36</v>
      </c>
      <c r="D955" s="22" t="s">
        <v>130</v>
      </c>
      <c r="E955" s="24" t="s">
        <v>131</v>
      </c>
      <c r="F955" s="22" t="s">
        <v>815</v>
      </c>
      <c r="G955" s="25">
        <v>13126.79999999999</v>
      </c>
      <c r="H955" s="22" t="s">
        <v>85</v>
      </c>
      <c r="I955" s="22">
        <v>1</v>
      </c>
      <c r="J955" s="22" t="s">
        <v>815</v>
      </c>
      <c r="K955" s="22" t="s">
        <v>75</v>
      </c>
      <c r="L955" s="22">
        <v>0</v>
      </c>
      <c r="M955" s="26">
        <v>420000</v>
      </c>
      <c r="N955" s="26">
        <v>0</v>
      </c>
      <c r="O955" s="15">
        <f t="shared" si="70"/>
        <v>420000</v>
      </c>
      <c r="P955" s="15">
        <f t="shared" si="71"/>
        <v>31.995612030350149</v>
      </c>
      <c r="Q955" s="25">
        <v>25000</v>
      </c>
      <c r="R955" s="22">
        <v>53</v>
      </c>
      <c r="S955" s="22" t="s">
        <v>1306</v>
      </c>
      <c r="T955" s="22">
        <f t="shared" si="72"/>
        <v>1</v>
      </c>
      <c r="U955" s="22">
        <f t="shared" si="73"/>
        <v>2021</v>
      </c>
      <c r="V955" s="22" t="str">
        <f t="shared" si="74"/>
        <v>REGIONES</v>
      </c>
    </row>
    <row r="956" spans="1:22" x14ac:dyDescent="0.2">
      <c r="A956" s="23" t="s">
        <v>1295</v>
      </c>
      <c r="B956" s="22" t="s">
        <v>33</v>
      </c>
      <c r="C956" s="22" t="s">
        <v>36</v>
      </c>
      <c r="D956" s="22" t="s">
        <v>636</v>
      </c>
      <c r="E956" s="24" t="s">
        <v>639</v>
      </c>
      <c r="F956" s="22" t="s">
        <v>876</v>
      </c>
      <c r="G956" s="25">
        <f>7250.4+2424</f>
        <v>9674.4</v>
      </c>
      <c r="H956" s="22" t="s">
        <v>85</v>
      </c>
      <c r="I956" s="22">
        <v>1</v>
      </c>
      <c r="J956" s="22" t="s">
        <v>876</v>
      </c>
      <c r="K956" s="22" t="s">
        <v>86</v>
      </c>
      <c r="L956" s="22">
        <v>0</v>
      </c>
      <c r="M956" s="26">
        <v>330000</v>
      </c>
      <c r="N956" s="26">
        <v>0</v>
      </c>
      <c r="O956" s="15">
        <f t="shared" si="70"/>
        <v>330000</v>
      </c>
      <c r="P956" s="15">
        <f t="shared" si="71"/>
        <v>34.110642520466385</v>
      </c>
      <c r="Q956" s="25">
        <v>25000</v>
      </c>
      <c r="R956" s="22">
        <v>29</v>
      </c>
      <c r="S956" s="22" t="s">
        <v>1307</v>
      </c>
      <c r="T956" s="22">
        <f t="shared" si="72"/>
        <v>1</v>
      </c>
      <c r="U956" s="22">
        <f t="shared" si="73"/>
        <v>2021</v>
      </c>
      <c r="V956" s="22" t="str">
        <f t="shared" si="74"/>
        <v>REGIONES</v>
      </c>
    </row>
    <row r="957" spans="1:22" x14ac:dyDescent="0.2">
      <c r="A957" s="23" t="s">
        <v>1295</v>
      </c>
      <c r="B957" s="22" t="s">
        <v>33</v>
      </c>
      <c r="C957" s="22" t="s">
        <v>44</v>
      </c>
      <c r="D957" s="22" t="s">
        <v>56</v>
      </c>
      <c r="E957" s="24" t="s">
        <v>49</v>
      </c>
      <c r="F957" s="22" t="s">
        <v>48</v>
      </c>
      <c r="G957" s="25">
        <v>2324.4499999999998</v>
      </c>
      <c r="H957" s="22" t="s">
        <v>22</v>
      </c>
      <c r="I957" s="22">
        <v>0</v>
      </c>
      <c r="J957" s="22" t="s">
        <v>48</v>
      </c>
      <c r="K957" s="22" t="s">
        <v>23</v>
      </c>
      <c r="L957" s="22">
        <v>1</v>
      </c>
      <c r="M957" s="26">
        <v>33750</v>
      </c>
      <c r="N957" s="26">
        <v>12000</v>
      </c>
      <c r="O957" s="15">
        <f t="shared" si="70"/>
        <v>45750</v>
      </c>
      <c r="P957" s="15">
        <f t="shared" si="71"/>
        <v>19.682075329647876</v>
      </c>
      <c r="Q957" s="25">
        <v>4821</v>
      </c>
      <c r="R957" s="22">
        <v>48</v>
      </c>
      <c r="S957" s="22" t="s">
        <v>1308</v>
      </c>
      <c r="T957" s="22">
        <f t="shared" si="72"/>
        <v>1</v>
      </c>
      <c r="U957" s="22">
        <f t="shared" si="73"/>
        <v>2021</v>
      </c>
      <c r="V957" s="22" t="str">
        <f t="shared" si="74"/>
        <v>METROPOLITANA</v>
      </c>
    </row>
    <row r="958" spans="1:22" x14ac:dyDescent="0.2">
      <c r="A958" s="23" t="s">
        <v>1295</v>
      </c>
      <c r="B958" s="22" t="s">
        <v>33</v>
      </c>
      <c r="C958" s="22" t="s">
        <v>44</v>
      </c>
      <c r="D958" s="22" t="s">
        <v>38</v>
      </c>
      <c r="E958" s="24" t="s">
        <v>42</v>
      </c>
      <c r="F958" s="22" t="s">
        <v>182</v>
      </c>
      <c r="G958" s="25">
        <v>4140.41</v>
      </c>
      <c r="H958" s="22" t="s">
        <v>43</v>
      </c>
      <c r="I958" s="22">
        <v>0</v>
      </c>
      <c r="J958" s="22" t="s">
        <v>182</v>
      </c>
      <c r="K958" s="22" t="s">
        <v>23</v>
      </c>
      <c r="L958" s="22">
        <v>4</v>
      </c>
      <c r="M958" s="26">
        <v>56075</v>
      </c>
      <c r="N958" s="26">
        <v>12421</v>
      </c>
      <c r="O958" s="15">
        <f t="shared" si="70"/>
        <v>68496</v>
      </c>
      <c r="P958" s="15">
        <f t="shared" si="71"/>
        <v>16.543289191167059</v>
      </c>
      <c r="Q958" s="25">
        <v>8011</v>
      </c>
      <c r="R958" s="22">
        <v>52</v>
      </c>
      <c r="S958" s="22" t="s">
        <v>1309</v>
      </c>
      <c r="T958" s="22">
        <f t="shared" si="72"/>
        <v>1</v>
      </c>
      <c r="U958" s="22">
        <f t="shared" si="73"/>
        <v>2021</v>
      </c>
      <c r="V958" s="22" t="str">
        <f t="shared" si="74"/>
        <v>METROPOLITANA</v>
      </c>
    </row>
    <row r="959" spans="1:22" x14ac:dyDescent="0.2">
      <c r="A959" s="23" t="s">
        <v>1295</v>
      </c>
      <c r="B959" s="22" t="s">
        <v>33</v>
      </c>
      <c r="C959" s="22" t="s">
        <v>44</v>
      </c>
      <c r="D959" s="22" t="s">
        <v>188</v>
      </c>
      <c r="E959" s="24" t="s">
        <v>189</v>
      </c>
      <c r="F959" s="22" t="s">
        <v>95</v>
      </c>
      <c r="G959" s="25">
        <v>2251.1999999999998</v>
      </c>
      <c r="H959" s="22" t="s">
        <v>190</v>
      </c>
      <c r="I959" s="22">
        <v>0</v>
      </c>
      <c r="J959" s="22" t="s">
        <v>95</v>
      </c>
      <c r="K959" s="22" t="s">
        <v>23</v>
      </c>
      <c r="L959" s="22">
        <v>4</v>
      </c>
      <c r="M959" s="26">
        <v>56075</v>
      </c>
      <c r="N959" s="26">
        <v>6754</v>
      </c>
      <c r="O959" s="15">
        <f t="shared" si="70"/>
        <v>62829</v>
      </c>
      <c r="P959" s="15">
        <f t="shared" si="71"/>
        <v>27.909115138592753</v>
      </c>
      <c r="Q959" s="25">
        <v>8011</v>
      </c>
      <c r="R959" s="22">
        <v>28</v>
      </c>
      <c r="S959" s="22" t="s">
        <v>1310</v>
      </c>
      <c r="T959" s="22">
        <f t="shared" si="72"/>
        <v>1</v>
      </c>
      <c r="U959" s="22">
        <f t="shared" si="73"/>
        <v>2021</v>
      </c>
      <c r="V959" s="22" t="str">
        <f t="shared" si="74"/>
        <v>METROPOLITANA</v>
      </c>
    </row>
    <row r="960" spans="1:22" x14ac:dyDescent="0.2">
      <c r="A960" s="23" t="s">
        <v>1295</v>
      </c>
      <c r="B960" s="22" t="s">
        <v>33</v>
      </c>
      <c r="C960" s="22" t="s">
        <v>44</v>
      </c>
      <c r="D960" s="22" t="s">
        <v>63</v>
      </c>
      <c r="E960" s="24" t="s">
        <v>64</v>
      </c>
      <c r="F960" s="22" t="s">
        <v>95</v>
      </c>
      <c r="G960" s="25">
        <v>1775.6</v>
      </c>
      <c r="H960" s="22" t="s">
        <v>65</v>
      </c>
      <c r="I960" s="22">
        <v>0</v>
      </c>
      <c r="J960" s="22" t="s">
        <v>95</v>
      </c>
      <c r="K960" s="22" t="s">
        <v>23</v>
      </c>
      <c r="L960" s="22">
        <v>4</v>
      </c>
      <c r="M960" s="26">
        <v>56075</v>
      </c>
      <c r="N960" s="26">
        <v>5327</v>
      </c>
      <c r="O960" s="15">
        <f t="shared" si="70"/>
        <v>61402</v>
      </c>
      <c r="P960" s="15">
        <f t="shared" si="71"/>
        <v>34.580986708718179</v>
      </c>
      <c r="Q960" s="25">
        <v>8011</v>
      </c>
      <c r="R960" s="22">
        <v>22</v>
      </c>
      <c r="S960" s="22" t="s">
        <v>1311</v>
      </c>
      <c r="T960" s="22">
        <f t="shared" si="72"/>
        <v>1</v>
      </c>
      <c r="U960" s="22">
        <f t="shared" si="73"/>
        <v>2021</v>
      </c>
      <c r="V960" s="22" t="str">
        <f t="shared" si="74"/>
        <v>METROPOLITANA</v>
      </c>
    </row>
    <row r="961" spans="1:22" x14ac:dyDescent="0.2">
      <c r="A961" s="23" t="s">
        <v>1295</v>
      </c>
      <c r="B961" s="22" t="s">
        <v>33</v>
      </c>
      <c r="C961" s="22" t="s">
        <v>44</v>
      </c>
      <c r="D961" s="22" t="s">
        <v>45</v>
      </c>
      <c r="E961" s="24" t="s">
        <v>88</v>
      </c>
      <c r="F961" s="22" t="s">
        <v>51</v>
      </c>
      <c r="G961" s="25">
        <v>1889.21</v>
      </c>
      <c r="H961" s="22" t="s">
        <v>22</v>
      </c>
      <c r="I961" s="22">
        <v>0</v>
      </c>
      <c r="J961" s="22" t="s">
        <v>51</v>
      </c>
      <c r="K961" s="22" t="s">
        <v>23</v>
      </c>
      <c r="L961" s="22">
        <v>4</v>
      </c>
      <c r="M961" s="26">
        <v>56075</v>
      </c>
      <c r="N961" s="26">
        <v>12000</v>
      </c>
      <c r="O961" s="15">
        <f t="shared" si="70"/>
        <v>68075</v>
      </c>
      <c r="P961" s="15">
        <f t="shared" si="71"/>
        <v>36.033580173723408</v>
      </c>
      <c r="Q961" s="25">
        <v>8011</v>
      </c>
      <c r="R961" s="22">
        <v>24</v>
      </c>
      <c r="S961" s="22" t="s">
        <v>1312</v>
      </c>
      <c r="T961" s="22">
        <f t="shared" si="72"/>
        <v>1</v>
      </c>
      <c r="U961" s="22">
        <f t="shared" si="73"/>
        <v>2021</v>
      </c>
      <c r="V961" s="22" t="str">
        <f t="shared" si="74"/>
        <v>METROPOLITANA</v>
      </c>
    </row>
    <row r="962" spans="1:22" x14ac:dyDescent="0.2">
      <c r="A962" s="23" t="s">
        <v>1295</v>
      </c>
      <c r="B962" s="22" t="s">
        <v>33</v>
      </c>
      <c r="C962" s="22" t="s">
        <v>44</v>
      </c>
      <c r="D962" s="22" t="s">
        <v>35</v>
      </c>
      <c r="E962" s="24" t="s">
        <v>21</v>
      </c>
      <c r="F962" s="22" t="s">
        <v>26</v>
      </c>
      <c r="G962" s="25">
        <v>1242.82</v>
      </c>
      <c r="H962" s="22" t="s">
        <v>22</v>
      </c>
      <c r="I962" s="22">
        <v>0</v>
      </c>
      <c r="J962" s="22" t="s">
        <v>26</v>
      </c>
      <c r="K962" s="22" t="s">
        <v>23</v>
      </c>
      <c r="L962" s="22">
        <v>4</v>
      </c>
      <c r="M962" s="26">
        <v>56075</v>
      </c>
      <c r="N962" s="26">
        <v>12000</v>
      </c>
      <c r="O962" s="15">
        <f t="shared" ref="O962:O1025" si="75">SUM(M962:N962)</f>
        <v>68075</v>
      </c>
      <c r="P962" s="15">
        <f t="shared" ref="P962:P1025" si="76">O962/G962</f>
        <v>54.774625448576629</v>
      </c>
      <c r="Q962" s="25">
        <v>8011</v>
      </c>
      <c r="R962" s="22">
        <v>16</v>
      </c>
      <c r="S962" s="22" t="s">
        <v>1313</v>
      </c>
      <c r="T962" s="22">
        <f t="shared" ref="T962:T1025" si="77">MONTH(A962)</f>
        <v>1</v>
      </c>
      <c r="U962" s="22">
        <f t="shared" ref="U962:U1025" si="78">YEAR(A962)</f>
        <v>2021</v>
      </c>
      <c r="V962" s="22" t="str">
        <f t="shared" ref="V962:V1025" si="79">IF(K962="METROPOLITANA DE SANTIAGO","METROPOLITANA","REGIONES")</f>
        <v>METROPOLITANA</v>
      </c>
    </row>
    <row r="963" spans="1:22" x14ac:dyDescent="0.2">
      <c r="A963" s="23" t="s">
        <v>1295</v>
      </c>
      <c r="B963" s="22" t="s">
        <v>33</v>
      </c>
      <c r="C963" s="22" t="s">
        <v>1163</v>
      </c>
      <c r="D963" s="22" t="s">
        <v>82</v>
      </c>
      <c r="E963" s="24" t="s">
        <v>83</v>
      </c>
      <c r="F963" s="22" t="s">
        <v>1166</v>
      </c>
      <c r="G963" s="25">
        <v>19515</v>
      </c>
      <c r="H963" s="22" t="s">
        <v>85</v>
      </c>
      <c r="I963" s="22">
        <v>1</v>
      </c>
      <c r="J963" s="22" t="s">
        <v>1166</v>
      </c>
      <c r="K963" s="22" t="s">
        <v>23</v>
      </c>
      <c r="L963" s="22">
        <v>5</v>
      </c>
      <c r="M963" s="26">
        <v>500000</v>
      </c>
      <c r="N963" s="26">
        <v>0</v>
      </c>
      <c r="O963" s="15">
        <f t="shared" si="75"/>
        <v>500000</v>
      </c>
      <c r="P963" s="15">
        <f t="shared" si="76"/>
        <v>25.621316935690494</v>
      </c>
      <c r="Q963" s="25">
        <v>12000</v>
      </c>
      <c r="R963" s="22">
        <v>100</v>
      </c>
      <c r="S963" s="22" t="s">
        <v>1314</v>
      </c>
      <c r="T963" s="22">
        <f t="shared" si="77"/>
        <v>1</v>
      </c>
      <c r="U963" s="22">
        <f t="shared" si="78"/>
        <v>2021</v>
      </c>
      <c r="V963" s="22" t="str">
        <f t="shared" si="79"/>
        <v>METROPOLITANA</v>
      </c>
    </row>
    <row r="964" spans="1:22" x14ac:dyDescent="0.2">
      <c r="A964" s="11" t="s">
        <v>1315</v>
      </c>
      <c r="B964" s="12" t="s">
        <v>54</v>
      </c>
      <c r="C964" s="12" t="s">
        <v>55</v>
      </c>
      <c r="D964" s="12" t="s">
        <v>191</v>
      </c>
      <c r="E964" s="13">
        <v>78551976</v>
      </c>
      <c r="F964" s="12" t="s">
        <v>66</v>
      </c>
      <c r="G964" s="14">
        <v>9744.7999999999993</v>
      </c>
      <c r="H964" s="12" t="s">
        <v>85</v>
      </c>
      <c r="I964" s="12">
        <v>1</v>
      </c>
      <c r="J964" s="12" t="s">
        <v>66</v>
      </c>
      <c r="K964" s="12" t="s">
        <v>75</v>
      </c>
      <c r="L964" s="12">
        <v>0</v>
      </c>
      <c r="M964" s="15">
        <v>380000</v>
      </c>
      <c r="N964" s="15">
        <v>0</v>
      </c>
      <c r="O964" s="15">
        <f t="shared" si="75"/>
        <v>380000</v>
      </c>
      <c r="P964" s="15">
        <f t="shared" si="76"/>
        <v>38.995156391100899</v>
      </c>
      <c r="Q964" s="14">
        <v>25000</v>
      </c>
      <c r="R964" s="12">
        <v>39</v>
      </c>
      <c r="S964" s="12" t="s">
        <v>1316</v>
      </c>
      <c r="T964" s="22">
        <f t="shared" si="77"/>
        <v>1</v>
      </c>
      <c r="U964" s="22">
        <f t="shared" si="78"/>
        <v>2021</v>
      </c>
      <c r="V964" s="22" t="str">
        <f t="shared" si="79"/>
        <v>REGIONES</v>
      </c>
    </row>
    <row r="965" spans="1:22" x14ac:dyDescent="0.2">
      <c r="A965" s="11" t="s">
        <v>1315</v>
      </c>
      <c r="B965" s="12" t="s">
        <v>18</v>
      </c>
      <c r="C965" s="12" t="s">
        <v>57</v>
      </c>
      <c r="D965" s="12" t="s">
        <v>38</v>
      </c>
      <c r="E965" s="13">
        <v>53173292</v>
      </c>
      <c r="F965" s="12" t="s">
        <v>120</v>
      </c>
      <c r="G965" s="14">
        <v>4785.68</v>
      </c>
      <c r="H965" s="12" t="s">
        <v>43</v>
      </c>
      <c r="I965" s="12">
        <v>0</v>
      </c>
      <c r="J965" s="12" t="s">
        <v>120</v>
      </c>
      <c r="K965" s="12" t="s">
        <v>23</v>
      </c>
      <c r="L965" s="12">
        <v>5</v>
      </c>
      <c r="M965" s="15">
        <v>70000</v>
      </c>
      <c r="N965" s="15">
        <v>0</v>
      </c>
      <c r="O965" s="15">
        <f t="shared" si="75"/>
        <v>70000</v>
      </c>
      <c r="P965" s="15">
        <f t="shared" si="76"/>
        <v>14.626970461877935</v>
      </c>
      <c r="Q965" s="14">
        <v>12000</v>
      </c>
      <c r="R965" s="12">
        <v>40</v>
      </c>
      <c r="S965" s="12" t="s">
        <v>1317</v>
      </c>
      <c r="T965" s="22">
        <f t="shared" si="77"/>
        <v>1</v>
      </c>
      <c r="U965" s="22">
        <f t="shared" si="78"/>
        <v>2021</v>
      </c>
      <c r="V965" s="22" t="str">
        <f t="shared" si="79"/>
        <v>METROPOLITANA</v>
      </c>
    </row>
    <row r="966" spans="1:22" x14ac:dyDescent="0.2">
      <c r="A966" s="11" t="s">
        <v>1315</v>
      </c>
      <c r="B966" s="12" t="s">
        <v>18</v>
      </c>
      <c r="C966" s="12" t="s">
        <v>324</v>
      </c>
      <c r="D966" s="12" t="s">
        <v>63</v>
      </c>
      <c r="E966" s="13">
        <v>138841065</v>
      </c>
      <c r="F966" s="12" t="s">
        <v>325</v>
      </c>
      <c r="G966" s="14">
        <v>6711.9699999999984</v>
      </c>
      <c r="H966" s="12" t="s">
        <v>65</v>
      </c>
      <c r="I966" s="12">
        <v>0</v>
      </c>
      <c r="J966" s="12" t="s">
        <v>325</v>
      </c>
      <c r="K966" s="12" t="s">
        <v>78</v>
      </c>
      <c r="L966" s="12">
        <v>0</v>
      </c>
      <c r="M966" s="15">
        <v>180000</v>
      </c>
      <c r="N966" s="15">
        <f>G966*3</f>
        <v>20135.909999999996</v>
      </c>
      <c r="O966" s="15">
        <f t="shared" si="75"/>
        <v>200135.91</v>
      </c>
      <c r="P966" s="15">
        <f t="shared" si="76"/>
        <v>29.817759912514514</v>
      </c>
      <c r="Q966" s="14">
        <v>25000</v>
      </c>
      <c r="R966" s="12">
        <v>27</v>
      </c>
      <c r="S966" s="12" t="s">
        <v>1318</v>
      </c>
      <c r="T966" s="22">
        <f t="shared" si="77"/>
        <v>1</v>
      </c>
      <c r="U966" s="22">
        <f t="shared" si="78"/>
        <v>2021</v>
      </c>
      <c r="V966" s="22" t="str">
        <f t="shared" si="79"/>
        <v>REGIONES</v>
      </c>
    </row>
    <row r="967" spans="1:22" x14ac:dyDescent="0.2">
      <c r="A967" s="11" t="s">
        <v>1315</v>
      </c>
      <c r="B967" s="12" t="s">
        <v>18</v>
      </c>
      <c r="C967" s="12" t="s">
        <v>193</v>
      </c>
      <c r="D967" s="12" t="s">
        <v>164</v>
      </c>
      <c r="E967" s="13">
        <v>81417709</v>
      </c>
      <c r="F967" s="12" t="s">
        <v>194</v>
      </c>
      <c r="G967" s="14">
        <v>20677.399999999991</v>
      </c>
      <c r="H967" s="12" t="s">
        <v>22</v>
      </c>
      <c r="I967" s="12">
        <v>1</v>
      </c>
      <c r="J967" s="12" t="s">
        <v>194</v>
      </c>
      <c r="K967" s="12" t="s">
        <v>23</v>
      </c>
      <c r="L967" s="12">
        <v>4</v>
      </c>
      <c r="M967" s="15">
        <v>144742</v>
      </c>
      <c r="N967" s="15">
        <f>G967*4</f>
        <v>82709.599999999962</v>
      </c>
      <c r="O967" s="15">
        <f t="shared" si="75"/>
        <v>227451.59999999998</v>
      </c>
      <c r="P967" s="15">
        <f t="shared" si="76"/>
        <v>11.000009672395953</v>
      </c>
      <c r="Q967" s="14">
        <v>8011</v>
      </c>
      <c r="R967" s="12">
        <v>100</v>
      </c>
      <c r="S967" s="12" t="s">
        <v>1319</v>
      </c>
      <c r="T967" s="22">
        <f t="shared" si="77"/>
        <v>1</v>
      </c>
      <c r="U967" s="22">
        <f t="shared" si="78"/>
        <v>2021</v>
      </c>
      <c r="V967" s="22" t="str">
        <f t="shared" si="79"/>
        <v>METROPOLITANA</v>
      </c>
    </row>
    <row r="968" spans="1:22" x14ac:dyDescent="0.2">
      <c r="A968" s="11" t="s">
        <v>1315</v>
      </c>
      <c r="B968" s="12" t="s">
        <v>33</v>
      </c>
      <c r="C968" s="12" t="s">
        <v>29</v>
      </c>
      <c r="D968" s="12" t="s">
        <v>82</v>
      </c>
      <c r="E968" s="13">
        <v>1229745819</v>
      </c>
      <c r="F968" s="12" t="s">
        <v>170</v>
      </c>
      <c r="G968" s="14">
        <v>1334.4</v>
      </c>
      <c r="H968" s="12" t="s">
        <v>85</v>
      </c>
      <c r="I968" s="12">
        <v>1</v>
      </c>
      <c r="J968" s="12" t="s">
        <v>170</v>
      </c>
      <c r="K968" s="12" t="s">
        <v>171</v>
      </c>
      <c r="L968" s="12">
        <v>0</v>
      </c>
      <c r="M968" s="15">
        <v>230000</v>
      </c>
      <c r="N968" s="15">
        <v>0</v>
      </c>
      <c r="O968" s="15">
        <f t="shared" si="75"/>
        <v>230000</v>
      </c>
      <c r="P968" s="15">
        <f t="shared" si="76"/>
        <v>172.3621103117506</v>
      </c>
      <c r="Q968" s="14">
        <v>25000</v>
      </c>
      <c r="R968" s="12">
        <v>5</v>
      </c>
      <c r="S968" s="12" t="s">
        <v>1320</v>
      </c>
      <c r="T968" s="22">
        <f t="shared" si="77"/>
        <v>1</v>
      </c>
      <c r="U968" s="22">
        <f t="shared" si="78"/>
        <v>2021</v>
      </c>
      <c r="V968" s="22" t="str">
        <f t="shared" si="79"/>
        <v>REGIONES</v>
      </c>
    </row>
    <row r="969" spans="1:22" x14ac:dyDescent="0.2">
      <c r="A969" s="11" t="s">
        <v>1315</v>
      </c>
      <c r="B969" s="12" t="s">
        <v>33</v>
      </c>
      <c r="C969" s="12" t="s">
        <v>29</v>
      </c>
      <c r="D969" s="12" t="s">
        <v>82</v>
      </c>
      <c r="E969" s="13">
        <v>122975819</v>
      </c>
      <c r="F969" s="12" t="s">
        <v>170</v>
      </c>
      <c r="G969" s="14">
        <v>15516.05999999999</v>
      </c>
      <c r="H969" s="12" t="s">
        <v>85</v>
      </c>
      <c r="I969" s="12">
        <v>1</v>
      </c>
      <c r="J969" s="12" t="s">
        <v>170</v>
      </c>
      <c r="K969" s="12" t="s">
        <v>171</v>
      </c>
      <c r="L969" s="12">
        <v>0</v>
      </c>
      <c r="M969" s="15">
        <v>230000</v>
      </c>
      <c r="N969" s="15">
        <v>0</v>
      </c>
      <c r="O969" s="15">
        <f t="shared" si="75"/>
        <v>230000</v>
      </c>
      <c r="P969" s="15">
        <f t="shared" si="76"/>
        <v>14.823350773327775</v>
      </c>
      <c r="Q969" s="14">
        <v>25000</v>
      </c>
      <c r="R969" s="12">
        <v>62</v>
      </c>
      <c r="S969" s="12" t="s">
        <v>1321</v>
      </c>
      <c r="T969" s="22">
        <f t="shared" si="77"/>
        <v>1</v>
      </c>
      <c r="U969" s="22">
        <f t="shared" si="78"/>
        <v>2021</v>
      </c>
      <c r="V969" s="22" t="str">
        <f t="shared" si="79"/>
        <v>REGIONES</v>
      </c>
    </row>
    <row r="970" spans="1:22" x14ac:dyDescent="0.2">
      <c r="A970" s="11" t="s">
        <v>1315</v>
      </c>
      <c r="B970" s="12" t="s">
        <v>33</v>
      </c>
      <c r="C970" s="12" t="s">
        <v>29</v>
      </c>
      <c r="D970" s="12" t="s">
        <v>786</v>
      </c>
      <c r="E970" s="13">
        <v>95707734</v>
      </c>
      <c r="F970" s="12" t="s">
        <v>170</v>
      </c>
      <c r="G970" s="14">
        <v>16096.099999999989</v>
      </c>
      <c r="H970" s="12" t="s">
        <v>788</v>
      </c>
      <c r="I970" s="12">
        <v>1</v>
      </c>
      <c r="J970" s="12" t="s">
        <v>170</v>
      </c>
      <c r="K970" s="12" t="s">
        <v>171</v>
      </c>
      <c r="L970" s="12">
        <v>0</v>
      </c>
      <c r="M970" s="15">
        <v>230000</v>
      </c>
      <c r="N970" s="15">
        <v>0</v>
      </c>
      <c r="O970" s="15">
        <f t="shared" si="75"/>
        <v>230000</v>
      </c>
      <c r="P970" s="15">
        <f t="shared" si="76"/>
        <v>14.289175638819351</v>
      </c>
      <c r="Q970" s="14">
        <v>25000</v>
      </c>
      <c r="R970" s="12">
        <v>64</v>
      </c>
      <c r="S970" s="12" t="s">
        <v>1322</v>
      </c>
      <c r="T970" s="22">
        <f t="shared" si="77"/>
        <v>1</v>
      </c>
      <c r="U970" s="22">
        <f t="shared" si="78"/>
        <v>2021</v>
      </c>
      <c r="V970" s="22" t="str">
        <f t="shared" si="79"/>
        <v>REGIONES</v>
      </c>
    </row>
    <row r="971" spans="1:22" x14ac:dyDescent="0.2">
      <c r="A971" s="11" t="s">
        <v>1315</v>
      </c>
      <c r="B971" s="12" t="s">
        <v>33</v>
      </c>
      <c r="C971" s="12" t="s">
        <v>1323</v>
      </c>
      <c r="D971" s="12" t="s">
        <v>35</v>
      </c>
      <c r="E971" s="13">
        <v>161268070</v>
      </c>
      <c r="F971" s="12" t="s">
        <v>1324</v>
      </c>
      <c r="G971" s="14">
        <v>2153.84</v>
      </c>
      <c r="H971" s="12" t="s">
        <v>22</v>
      </c>
      <c r="I971" s="12">
        <v>0</v>
      </c>
      <c r="J971" s="12" t="s">
        <v>1324</v>
      </c>
      <c r="K971" s="12" t="s">
        <v>23</v>
      </c>
      <c r="L971" s="12">
        <v>2</v>
      </c>
      <c r="M971" s="15">
        <v>40475</v>
      </c>
      <c r="N971" s="15">
        <v>12000</v>
      </c>
      <c r="O971" s="15">
        <f t="shared" si="75"/>
        <v>52475</v>
      </c>
      <c r="P971" s="15">
        <f t="shared" si="76"/>
        <v>24.363462467035617</v>
      </c>
      <c r="Q971" s="14">
        <v>5782</v>
      </c>
      <c r="R971" s="12">
        <v>37</v>
      </c>
      <c r="S971" s="12" t="s">
        <v>1325</v>
      </c>
      <c r="T971" s="22">
        <f t="shared" si="77"/>
        <v>1</v>
      </c>
      <c r="U971" s="22">
        <f t="shared" si="78"/>
        <v>2021</v>
      </c>
      <c r="V971" s="22" t="str">
        <f t="shared" si="79"/>
        <v>METROPOLITANA</v>
      </c>
    </row>
    <row r="972" spans="1:22" x14ac:dyDescent="0.2">
      <c r="A972" s="11" t="s">
        <v>1315</v>
      </c>
      <c r="B972" s="12" t="s">
        <v>33</v>
      </c>
      <c r="C972" s="12" t="s">
        <v>44</v>
      </c>
      <c r="D972" s="12" t="s">
        <v>56</v>
      </c>
      <c r="E972" s="13">
        <v>107643206</v>
      </c>
      <c r="F972" s="12" t="s">
        <v>34</v>
      </c>
      <c r="G972" s="14">
        <v>3752</v>
      </c>
      <c r="H972" s="12" t="s">
        <v>22</v>
      </c>
      <c r="I972" s="12">
        <v>0</v>
      </c>
      <c r="J972" s="12" t="s">
        <v>34</v>
      </c>
      <c r="K972" s="12" t="s">
        <v>23</v>
      </c>
      <c r="L972" s="12">
        <v>1</v>
      </c>
      <c r="M972" s="15">
        <v>33750</v>
      </c>
      <c r="N972" s="15">
        <v>15008</v>
      </c>
      <c r="O972" s="15">
        <f t="shared" si="75"/>
        <v>48758</v>
      </c>
      <c r="P972" s="15">
        <f t="shared" si="76"/>
        <v>12.995202558635395</v>
      </c>
      <c r="Q972" s="14">
        <v>4821</v>
      </c>
      <c r="R972" s="12">
        <v>78</v>
      </c>
      <c r="S972" s="12" t="s">
        <v>1326</v>
      </c>
      <c r="T972" s="22">
        <f t="shared" si="77"/>
        <v>1</v>
      </c>
      <c r="U972" s="22">
        <f t="shared" si="78"/>
        <v>2021</v>
      </c>
      <c r="V972" s="22" t="str">
        <f t="shared" si="79"/>
        <v>METROPOLITANA</v>
      </c>
    </row>
    <row r="973" spans="1:22" x14ac:dyDescent="0.2">
      <c r="A973" s="11" t="s">
        <v>1315</v>
      </c>
      <c r="B973" s="12" t="s">
        <v>33</v>
      </c>
      <c r="C973" s="12" t="s">
        <v>44</v>
      </c>
      <c r="D973" s="12" t="s">
        <v>188</v>
      </c>
      <c r="E973" s="13">
        <v>35488103</v>
      </c>
      <c r="F973" s="12" t="s">
        <v>129</v>
      </c>
      <c r="G973" s="14">
        <v>3551.2000000000012</v>
      </c>
      <c r="H973" s="12" t="s">
        <v>190</v>
      </c>
      <c r="I973" s="12">
        <v>0</v>
      </c>
      <c r="J973" s="12" t="s">
        <v>129</v>
      </c>
      <c r="K973" s="12" t="s">
        <v>23</v>
      </c>
      <c r="L973" s="12">
        <v>1</v>
      </c>
      <c r="M973" s="15">
        <v>33750</v>
      </c>
      <c r="N973" s="15">
        <v>12000</v>
      </c>
      <c r="O973" s="15">
        <f t="shared" si="75"/>
        <v>45750</v>
      </c>
      <c r="P973" s="15">
        <f t="shared" si="76"/>
        <v>12.882969137193058</v>
      </c>
      <c r="Q973" s="14">
        <v>4821</v>
      </c>
      <c r="R973" s="12">
        <v>74</v>
      </c>
      <c r="S973" s="12" t="s">
        <v>1327</v>
      </c>
      <c r="T973" s="22">
        <f t="shared" si="77"/>
        <v>1</v>
      </c>
      <c r="U973" s="22">
        <f t="shared" si="78"/>
        <v>2021</v>
      </c>
      <c r="V973" s="22" t="str">
        <f t="shared" si="79"/>
        <v>METROPOLITANA</v>
      </c>
    </row>
    <row r="974" spans="1:22" x14ac:dyDescent="0.2">
      <c r="A974" s="11" t="s">
        <v>1315</v>
      </c>
      <c r="B974" s="12" t="s">
        <v>33</v>
      </c>
      <c r="C974" s="12" t="s">
        <v>44</v>
      </c>
      <c r="D974" s="12" t="s">
        <v>27</v>
      </c>
      <c r="E974" s="13">
        <v>81417709</v>
      </c>
      <c r="F974" s="12" t="s">
        <v>48</v>
      </c>
      <c r="G974" s="14">
        <v>2526</v>
      </c>
      <c r="H974" s="12" t="s">
        <v>22</v>
      </c>
      <c r="I974" s="12">
        <v>1</v>
      </c>
      <c r="J974" s="12" t="s">
        <v>48</v>
      </c>
      <c r="K974" s="12" t="s">
        <v>23</v>
      </c>
      <c r="L974" s="12">
        <v>1</v>
      </c>
      <c r="M974" s="15">
        <v>33750</v>
      </c>
      <c r="N974" s="15">
        <v>12000</v>
      </c>
      <c r="O974" s="15">
        <f t="shared" si="75"/>
        <v>45750</v>
      </c>
      <c r="P974" s="15">
        <f t="shared" si="76"/>
        <v>18.11163895486936</v>
      </c>
      <c r="Q974" s="14">
        <v>4821</v>
      </c>
      <c r="R974" s="12">
        <v>52</v>
      </c>
      <c r="S974" s="12" t="s">
        <v>1328</v>
      </c>
      <c r="T974" s="22">
        <f t="shared" si="77"/>
        <v>1</v>
      </c>
      <c r="U974" s="22">
        <f t="shared" si="78"/>
        <v>2021</v>
      </c>
      <c r="V974" s="22" t="str">
        <f t="shared" si="79"/>
        <v>METROPOLITANA</v>
      </c>
    </row>
    <row r="975" spans="1:22" x14ac:dyDescent="0.2">
      <c r="A975" s="11" t="s">
        <v>1315</v>
      </c>
      <c r="B975" s="12" t="s">
        <v>33</v>
      </c>
      <c r="C975" s="12" t="s">
        <v>44</v>
      </c>
      <c r="D975" s="12" t="s">
        <v>27</v>
      </c>
      <c r="E975" s="13">
        <v>8141779</v>
      </c>
      <c r="F975" s="12" t="s">
        <v>48</v>
      </c>
      <c r="G975" s="14">
        <v>9248</v>
      </c>
      <c r="H975" s="12" t="s">
        <v>22</v>
      </c>
      <c r="I975" s="12">
        <v>1</v>
      </c>
      <c r="J975" s="12" t="s">
        <v>48</v>
      </c>
      <c r="K975" s="12" t="s">
        <v>23</v>
      </c>
      <c r="L975" s="12">
        <v>1</v>
      </c>
      <c r="M975" s="15">
        <v>64736</v>
      </c>
      <c r="N975" s="15">
        <v>36992</v>
      </c>
      <c r="O975" s="15">
        <f t="shared" si="75"/>
        <v>101728</v>
      </c>
      <c r="P975" s="15">
        <f t="shared" si="76"/>
        <v>11</v>
      </c>
      <c r="Q975" s="14">
        <v>4821</v>
      </c>
      <c r="R975" s="12">
        <v>100</v>
      </c>
      <c r="S975" s="12" t="s">
        <v>1329</v>
      </c>
      <c r="T975" s="22">
        <f t="shared" si="77"/>
        <v>1</v>
      </c>
      <c r="U975" s="22">
        <f t="shared" si="78"/>
        <v>2021</v>
      </c>
      <c r="V975" s="22" t="str">
        <f t="shared" si="79"/>
        <v>METROPOLITANA</v>
      </c>
    </row>
    <row r="976" spans="1:22" x14ac:dyDescent="0.2">
      <c r="A976" s="11" t="s">
        <v>1315</v>
      </c>
      <c r="B976" s="12" t="s">
        <v>33</v>
      </c>
      <c r="C976" s="12" t="s">
        <v>44</v>
      </c>
      <c r="D976" s="12" t="s">
        <v>45</v>
      </c>
      <c r="E976" s="13">
        <v>78907355</v>
      </c>
      <c r="F976" s="12" t="s">
        <v>26</v>
      </c>
      <c r="G976" s="14">
        <v>750.4</v>
      </c>
      <c r="H976" s="12" t="s">
        <v>22</v>
      </c>
      <c r="I976" s="12">
        <v>0</v>
      </c>
      <c r="J976" s="12" t="s">
        <v>26</v>
      </c>
      <c r="K976" s="12" t="s">
        <v>23</v>
      </c>
      <c r="L976" s="12">
        <v>4</v>
      </c>
      <c r="M976" s="15">
        <v>56075</v>
      </c>
      <c r="N976" s="15">
        <v>12000</v>
      </c>
      <c r="O976" s="15">
        <f t="shared" si="75"/>
        <v>68075</v>
      </c>
      <c r="P976" s="15">
        <f t="shared" si="76"/>
        <v>90.718283582089555</v>
      </c>
      <c r="Q976" s="14">
        <v>8011</v>
      </c>
      <c r="R976" s="12">
        <v>9</v>
      </c>
      <c r="S976" s="12" t="s">
        <v>1330</v>
      </c>
      <c r="T976" s="22">
        <f t="shared" si="77"/>
        <v>1</v>
      </c>
      <c r="U976" s="22">
        <f t="shared" si="78"/>
        <v>2021</v>
      </c>
      <c r="V976" s="22" t="str">
        <f t="shared" si="79"/>
        <v>METROPOLITANA</v>
      </c>
    </row>
    <row r="977" spans="1:22" x14ac:dyDescent="0.2">
      <c r="A977" s="11" t="s">
        <v>1315</v>
      </c>
      <c r="B977" s="12" t="s">
        <v>33</v>
      </c>
      <c r="C977" s="12" t="s">
        <v>44</v>
      </c>
      <c r="D977" s="12" t="s">
        <v>35</v>
      </c>
      <c r="E977" s="13">
        <v>99626232</v>
      </c>
      <c r="F977" s="12" t="s">
        <v>229</v>
      </c>
      <c r="G977" s="14">
        <v>6003.1999999999989</v>
      </c>
      <c r="H977" s="12" t="s">
        <v>22</v>
      </c>
      <c r="I977" s="12">
        <v>0</v>
      </c>
      <c r="J977" s="12" t="s">
        <v>230</v>
      </c>
      <c r="K977" s="12" t="s">
        <v>23</v>
      </c>
      <c r="L977" s="12">
        <v>4</v>
      </c>
      <c r="M977" s="15">
        <v>56075</v>
      </c>
      <c r="N977" s="15">
        <v>24013</v>
      </c>
      <c r="O977" s="15">
        <f t="shared" si="75"/>
        <v>80088</v>
      </c>
      <c r="P977" s="15">
        <f t="shared" si="76"/>
        <v>13.340884861407252</v>
      </c>
      <c r="Q977" s="14">
        <v>8011</v>
      </c>
      <c r="R977" s="12">
        <v>75</v>
      </c>
      <c r="S977" s="12" t="s">
        <v>1331</v>
      </c>
      <c r="T977" s="22">
        <f t="shared" si="77"/>
        <v>1</v>
      </c>
      <c r="U977" s="22">
        <f t="shared" si="78"/>
        <v>2021</v>
      </c>
      <c r="V977" s="22" t="str">
        <f t="shared" si="79"/>
        <v>METROPOLITANA</v>
      </c>
    </row>
    <row r="978" spans="1:22" x14ac:dyDescent="0.2">
      <c r="A978" s="23" t="s">
        <v>1332</v>
      </c>
      <c r="B978" s="22" t="s">
        <v>18</v>
      </c>
      <c r="C978" s="22" t="s">
        <v>57</v>
      </c>
      <c r="D978" s="22" t="s">
        <v>130</v>
      </c>
      <c r="E978" s="24" t="s">
        <v>131</v>
      </c>
      <c r="F978" s="22" t="s">
        <v>458</v>
      </c>
      <c r="G978" s="25">
        <v>6865.78</v>
      </c>
      <c r="H978" s="22" t="s">
        <v>85</v>
      </c>
      <c r="I978" s="22">
        <v>1</v>
      </c>
      <c r="J978" s="22" t="s">
        <v>458</v>
      </c>
      <c r="K978" s="22" t="s">
        <v>75</v>
      </c>
      <c r="L978" s="22">
        <v>0</v>
      </c>
      <c r="M978" s="26">
        <v>380000</v>
      </c>
      <c r="N978" s="26">
        <v>0</v>
      </c>
      <c r="O978" s="15">
        <f t="shared" si="75"/>
        <v>380000</v>
      </c>
      <c r="P978" s="15">
        <f t="shared" si="76"/>
        <v>55.346952567661653</v>
      </c>
      <c r="Q978" s="25">
        <v>25000</v>
      </c>
      <c r="R978" s="22">
        <v>27</v>
      </c>
      <c r="S978" s="22" t="s">
        <v>1333</v>
      </c>
      <c r="T978" s="22">
        <f t="shared" si="77"/>
        <v>1</v>
      </c>
      <c r="U978" s="22">
        <f t="shared" si="78"/>
        <v>2021</v>
      </c>
      <c r="V978" s="22" t="str">
        <f t="shared" si="79"/>
        <v>REGIONES</v>
      </c>
    </row>
    <row r="979" spans="1:22" x14ac:dyDescent="0.2">
      <c r="A979" s="23" t="s">
        <v>1332</v>
      </c>
      <c r="B979" s="22" t="s">
        <v>33</v>
      </c>
      <c r="C979" s="22" t="s">
        <v>270</v>
      </c>
      <c r="D979" s="22" t="s">
        <v>41</v>
      </c>
      <c r="E979" s="24" t="s">
        <v>25</v>
      </c>
      <c r="F979" s="22" t="s">
        <v>120</v>
      </c>
      <c r="G979" s="25">
        <v>15927.000000000009</v>
      </c>
      <c r="H979" s="22" t="s">
        <v>43</v>
      </c>
      <c r="I979" s="22">
        <v>0</v>
      </c>
      <c r="J979" s="22" t="s">
        <v>120</v>
      </c>
      <c r="K979" s="22" t="s">
        <v>23</v>
      </c>
      <c r="L979" s="22">
        <v>5</v>
      </c>
      <c r="M979" s="26">
        <v>70000</v>
      </c>
      <c r="N979" s="26">
        <f>G979*3</f>
        <v>47781.000000000029</v>
      </c>
      <c r="O979" s="15">
        <f t="shared" si="75"/>
        <v>117781.00000000003</v>
      </c>
      <c r="P979" s="15">
        <f t="shared" si="76"/>
        <v>7.3950524266968021</v>
      </c>
      <c r="Q979" s="25">
        <v>12000</v>
      </c>
      <c r="R979" s="22">
        <v>100</v>
      </c>
      <c r="S979" s="22" t="s">
        <v>1334</v>
      </c>
      <c r="T979" s="22">
        <f t="shared" si="77"/>
        <v>1</v>
      </c>
      <c r="U979" s="22">
        <f t="shared" si="78"/>
        <v>2021</v>
      </c>
      <c r="V979" s="22" t="str">
        <f t="shared" si="79"/>
        <v>METROPOLITANA</v>
      </c>
    </row>
    <row r="980" spans="1:22" x14ac:dyDescent="0.2">
      <c r="A980" s="23" t="s">
        <v>1332</v>
      </c>
      <c r="B980" s="22" t="s">
        <v>33</v>
      </c>
      <c r="C980" s="22" t="s">
        <v>163</v>
      </c>
      <c r="D980" s="22" t="s">
        <v>38</v>
      </c>
      <c r="E980" s="24" t="s">
        <v>42</v>
      </c>
      <c r="F980" s="22" t="s">
        <v>165</v>
      </c>
      <c r="G980" s="25">
        <v>13673.73</v>
      </c>
      <c r="H980" s="22" t="s">
        <v>43</v>
      </c>
      <c r="I980" s="22">
        <v>0</v>
      </c>
      <c r="J980" s="22" t="s">
        <v>165</v>
      </c>
      <c r="K980" s="22" t="s">
        <v>23</v>
      </c>
      <c r="L980" s="22">
        <v>4</v>
      </c>
      <c r="M980" s="26">
        <v>95716</v>
      </c>
      <c r="N980" s="26">
        <f>G980*3</f>
        <v>41021.19</v>
      </c>
      <c r="O980" s="15">
        <f t="shared" si="75"/>
        <v>136737.19</v>
      </c>
      <c r="P980" s="15">
        <f t="shared" si="76"/>
        <v>9.9999919553772099</v>
      </c>
      <c r="Q980" s="25">
        <v>8011</v>
      </c>
      <c r="R980" s="22">
        <v>100</v>
      </c>
      <c r="S980" s="22" t="s">
        <v>1335</v>
      </c>
      <c r="T980" s="22">
        <f t="shared" si="77"/>
        <v>1</v>
      </c>
      <c r="U980" s="22">
        <f t="shared" si="78"/>
        <v>2021</v>
      </c>
      <c r="V980" s="22" t="str">
        <f t="shared" si="79"/>
        <v>METROPOLITANA</v>
      </c>
    </row>
    <row r="981" spans="1:22" x14ac:dyDescent="0.2">
      <c r="A981" s="23" t="s">
        <v>1332</v>
      </c>
      <c r="B981" s="22" t="s">
        <v>33</v>
      </c>
      <c r="C981" s="22" t="s">
        <v>163</v>
      </c>
      <c r="D981" s="22" t="s">
        <v>37</v>
      </c>
      <c r="E981" s="24" t="s">
        <v>40</v>
      </c>
      <c r="F981" s="22" t="s">
        <v>165</v>
      </c>
      <c r="G981" s="25">
        <v>14683.2</v>
      </c>
      <c r="H981" s="22" t="s">
        <v>22</v>
      </c>
      <c r="I981" s="22">
        <v>0</v>
      </c>
      <c r="J981" s="22" t="s">
        <v>165</v>
      </c>
      <c r="K981" s="22" t="s">
        <v>23</v>
      </c>
      <c r="L981" s="22">
        <v>4</v>
      </c>
      <c r="M981" s="26">
        <v>102782</v>
      </c>
      <c r="N981" s="26">
        <f>G981*4</f>
        <v>58732.800000000003</v>
      </c>
      <c r="O981" s="15">
        <f t="shared" si="75"/>
        <v>161514.79999999999</v>
      </c>
      <c r="P981" s="15">
        <f t="shared" si="76"/>
        <v>10.99997275798191</v>
      </c>
      <c r="Q981" s="25">
        <v>8011</v>
      </c>
      <c r="R981" s="22">
        <v>100</v>
      </c>
      <c r="S981" s="22" t="s">
        <v>1336</v>
      </c>
      <c r="T981" s="22">
        <f t="shared" si="77"/>
        <v>1</v>
      </c>
      <c r="U981" s="22">
        <f t="shared" si="78"/>
        <v>2021</v>
      </c>
      <c r="V981" s="22" t="str">
        <f t="shared" si="79"/>
        <v>METROPOLITANA</v>
      </c>
    </row>
    <row r="982" spans="1:22" x14ac:dyDescent="0.2">
      <c r="A982" s="23" t="s">
        <v>1332</v>
      </c>
      <c r="B982" s="22" t="s">
        <v>33</v>
      </c>
      <c r="C982" s="22" t="s">
        <v>163</v>
      </c>
      <c r="D982" s="22" t="s">
        <v>41</v>
      </c>
      <c r="E982" s="24" t="s">
        <v>25</v>
      </c>
      <c r="F982" s="22" t="s">
        <v>165</v>
      </c>
      <c r="G982" s="25">
        <v>14683.2</v>
      </c>
      <c r="H982" s="22" t="s">
        <v>43</v>
      </c>
      <c r="I982" s="22">
        <v>0</v>
      </c>
      <c r="J982" s="22" t="s">
        <v>165</v>
      </c>
      <c r="K982" s="22" t="s">
        <v>23</v>
      </c>
      <c r="L982" s="22">
        <v>4</v>
      </c>
      <c r="M982" s="26">
        <v>102782</v>
      </c>
      <c r="N982" s="26">
        <f>G982*3</f>
        <v>44049.600000000006</v>
      </c>
      <c r="O982" s="15">
        <f t="shared" si="75"/>
        <v>146831.6</v>
      </c>
      <c r="P982" s="15">
        <f t="shared" si="76"/>
        <v>9.9999727579819115</v>
      </c>
      <c r="Q982" s="25">
        <v>8011</v>
      </c>
      <c r="R982" s="22">
        <v>100</v>
      </c>
      <c r="S982" s="22" t="s">
        <v>1337</v>
      </c>
      <c r="T982" s="22">
        <f t="shared" si="77"/>
        <v>1</v>
      </c>
      <c r="U982" s="22">
        <f t="shared" si="78"/>
        <v>2021</v>
      </c>
      <c r="V982" s="22" t="str">
        <f t="shared" si="79"/>
        <v>METROPOLITANA</v>
      </c>
    </row>
    <row r="983" spans="1:22" x14ac:dyDescent="0.2">
      <c r="A983" s="23" t="s">
        <v>1332</v>
      </c>
      <c r="B983" s="22" t="s">
        <v>33</v>
      </c>
      <c r="C983" s="22" t="s">
        <v>163</v>
      </c>
      <c r="D983" s="22" t="s">
        <v>20</v>
      </c>
      <c r="E983" s="24" t="s">
        <v>88</v>
      </c>
      <c r="F983" s="22" t="s">
        <v>165</v>
      </c>
      <c r="G983" s="25">
        <v>11012.4</v>
      </c>
      <c r="H983" s="22" t="s">
        <v>22</v>
      </c>
      <c r="I983" s="22">
        <v>0</v>
      </c>
      <c r="J983" s="22" t="s">
        <v>165</v>
      </c>
      <c r="K983" s="22" t="s">
        <v>23</v>
      </c>
      <c r="L983" s="22">
        <v>4</v>
      </c>
      <c r="M983" s="26">
        <v>77087</v>
      </c>
      <c r="N983" s="26">
        <f>G983*4</f>
        <v>44049.599999999999</v>
      </c>
      <c r="O983" s="15">
        <f t="shared" si="75"/>
        <v>121136.6</v>
      </c>
      <c r="P983" s="15">
        <f t="shared" si="76"/>
        <v>11.000018161345393</v>
      </c>
      <c r="Q983" s="25">
        <v>8011</v>
      </c>
      <c r="R983" s="22">
        <v>100</v>
      </c>
      <c r="S983" s="22" t="s">
        <v>1338</v>
      </c>
      <c r="T983" s="22">
        <f t="shared" si="77"/>
        <v>1</v>
      </c>
      <c r="U983" s="22">
        <f t="shared" si="78"/>
        <v>2021</v>
      </c>
      <c r="V983" s="22" t="str">
        <f t="shared" si="79"/>
        <v>METROPOLITANA</v>
      </c>
    </row>
    <row r="984" spans="1:22" x14ac:dyDescent="0.2">
      <c r="A984" s="23" t="s">
        <v>1332</v>
      </c>
      <c r="B984" s="22" t="s">
        <v>33</v>
      </c>
      <c r="C984" s="22" t="s">
        <v>29</v>
      </c>
      <c r="D984" s="22" t="s">
        <v>786</v>
      </c>
      <c r="E984" s="24" t="s">
        <v>787</v>
      </c>
      <c r="F984" s="22" t="s">
        <v>132</v>
      </c>
      <c r="G984" s="25">
        <v>14500.799999999979</v>
      </c>
      <c r="H984" s="22" t="s">
        <v>788</v>
      </c>
      <c r="I984" s="22">
        <v>1</v>
      </c>
      <c r="J984" s="22" t="s">
        <v>132</v>
      </c>
      <c r="K984" s="22" t="s">
        <v>124</v>
      </c>
      <c r="L984" s="22">
        <v>0</v>
      </c>
      <c r="M984" s="26">
        <v>350000</v>
      </c>
      <c r="N984" s="26">
        <v>0</v>
      </c>
      <c r="O984" s="15">
        <f t="shared" si="75"/>
        <v>350000</v>
      </c>
      <c r="P984" s="15">
        <f t="shared" si="76"/>
        <v>24.136599360035344</v>
      </c>
      <c r="Q984" s="25">
        <v>25000</v>
      </c>
      <c r="R984" s="22">
        <v>58</v>
      </c>
      <c r="S984" s="22" t="s">
        <v>1339</v>
      </c>
      <c r="T984" s="22">
        <f t="shared" si="77"/>
        <v>1</v>
      </c>
      <c r="U984" s="22">
        <f t="shared" si="78"/>
        <v>2021</v>
      </c>
      <c r="V984" s="22" t="str">
        <f t="shared" si="79"/>
        <v>REGIONES</v>
      </c>
    </row>
    <row r="985" spans="1:22" x14ac:dyDescent="0.2">
      <c r="A985" s="23" t="s">
        <v>1332</v>
      </c>
      <c r="B985" s="22" t="s">
        <v>33</v>
      </c>
      <c r="C985" s="22" t="s">
        <v>29</v>
      </c>
      <c r="D985" s="22" t="s">
        <v>47</v>
      </c>
      <c r="E985" s="24" t="s">
        <v>49</v>
      </c>
      <c r="F985" s="22" t="s">
        <v>173</v>
      </c>
      <c r="G985" s="25">
        <v>9755.1999999999971</v>
      </c>
      <c r="H985" s="22" t="s">
        <v>22</v>
      </c>
      <c r="I985" s="22">
        <v>0</v>
      </c>
      <c r="J985" s="22" t="s">
        <v>173</v>
      </c>
      <c r="K985" s="22" t="s">
        <v>23</v>
      </c>
      <c r="L985" s="22">
        <v>5</v>
      </c>
      <c r="M985" s="26">
        <v>90000</v>
      </c>
      <c r="N985" s="26">
        <v>39021</v>
      </c>
      <c r="O985" s="15">
        <f t="shared" si="75"/>
        <v>129021</v>
      </c>
      <c r="P985" s="15">
        <f t="shared" si="76"/>
        <v>13.225869279973761</v>
      </c>
      <c r="Q985" s="25">
        <v>12000</v>
      </c>
      <c r="R985" s="22">
        <v>81</v>
      </c>
      <c r="S985" s="22" t="s">
        <v>1340</v>
      </c>
      <c r="T985" s="22">
        <f t="shared" si="77"/>
        <v>1</v>
      </c>
      <c r="U985" s="22">
        <f t="shared" si="78"/>
        <v>2021</v>
      </c>
      <c r="V985" s="22" t="str">
        <f t="shared" si="79"/>
        <v>METROPOLITANA</v>
      </c>
    </row>
    <row r="986" spans="1:22" x14ac:dyDescent="0.2">
      <c r="A986" s="23" t="s">
        <v>1341</v>
      </c>
      <c r="B986" s="22" t="s">
        <v>33</v>
      </c>
      <c r="C986" s="22" t="s">
        <v>44</v>
      </c>
      <c r="D986" s="22" t="s">
        <v>56</v>
      </c>
      <c r="E986" s="24" t="s">
        <v>52</v>
      </c>
      <c r="F986" s="22" t="s">
        <v>53</v>
      </c>
      <c r="G986" s="25">
        <v>2542.0700000000002</v>
      </c>
      <c r="H986" s="22" t="s">
        <v>22</v>
      </c>
      <c r="I986" s="22">
        <v>0</v>
      </c>
      <c r="J986" s="22" t="s">
        <v>53</v>
      </c>
      <c r="K986" s="22" t="s">
        <v>23</v>
      </c>
      <c r="L986" s="22">
        <v>3</v>
      </c>
      <c r="M986" s="26">
        <v>48075</v>
      </c>
      <c r="N986" s="26">
        <v>10168</v>
      </c>
      <c r="O986" s="15">
        <f t="shared" si="75"/>
        <v>58243</v>
      </c>
      <c r="P986" s="15">
        <f t="shared" si="76"/>
        <v>22.911642873721021</v>
      </c>
      <c r="Q986" s="25">
        <v>6868</v>
      </c>
      <c r="R986" s="22">
        <v>37</v>
      </c>
      <c r="S986" s="22" t="s">
        <v>1342</v>
      </c>
      <c r="T986" s="22">
        <f t="shared" si="77"/>
        <v>1</v>
      </c>
      <c r="U986" s="22">
        <f t="shared" si="78"/>
        <v>2021</v>
      </c>
      <c r="V986" s="22" t="str">
        <f t="shared" si="79"/>
        <v>METROPOLITANA</v>
      </c>
    </row>
    <row r="987" spans="1:22" x14ac:dyDescent="0.2">
      <c r="A987" s="23" t="s">
        <v>1341</v>
      </c>
      <c r="B987" s="22" t="s">
        <v>33</v>
      </c>
      <c r="C987" s="22" t="s">
        <v>44</v>
      </c>
      <c r="D987" s="22" t="s">
        <v>38</v>
      </c>
      <c r="E987" s="24" t="s">
        <v>42</v>
      </c>
      <c r="F987" s="22" t="s">
        <v>134</v>
      </c>
      <c r="G987" s="25">
        <v>1025.2</v>
      </c>
      <c r="H987" s="22" t="s">
        <v>43</v>
      </c>
      <c r="I987" s="22">
        <v>0</v>
      </c>
      <c r="J987" s="22" t="s">
        <v>134</v>
      </c>
      <c r="K987" s="22" t="s">
        <v>23</v>
      </c>
      <c r="L987" s="22">
        <v>2</v>
      </c>
      <c r="M987" s="26">
        <v>40475</v>
      </c>
      <c r="N987" s="26">
        <v>3076</v>
      </c>
      <c r="O987" s="15">
        <f t="shared" si="75"/>
        <v>43551</v>
      </c>
      <c r="P987" s="15">
        <f t="shared" si="76"/>
        <v>42.4804916113929</v>
      </c>
      <c r="Q987" s="25">
        <v>5782</v>
      </c>
      <c r="R987" s="22">
        <v>18</v>
      </c>
      <c r="S987" s="22" t="s">
        <v>1343</v>
      </c>
      <c r="T987" s="22">
        <f t="shared" si="77"/>
        <v>1</v>
      </c>
      <c r="U987" s="22">
        <f t="shared" si="78"/>
        <v>2021</v>
      </c>
      <c r="V987" s="22" t="str">
        <f t="shared" si="79"/>
        <v>METROPOLITANA</v>
      </c>
    </row>
    <row r="988" spans="1:22" x14ac:dyDescent="0.2">
      <c r="A988" s="23" t="s">
        <v>1341</v>
      </c>
      <c r="B988" s="22" t="s">
        <v>33</v>
      </c>
      <c r="C988" s="22" t="s">
        <v>44</v>
      </c>
      <c r="D988" s="22" t="s">
        <v>188</v>
      </c>
      <c r="E988" s="24" t="s">
        <v>189</v>
      </c>
      <c r="F988" s="22" t="s">
        <v>137</v>
      </c>
      <c r="G988" s="25">
        <v>1500.8</v>
      </c>
      <c r="H988" s="22" t="s">
        <v>190</v>
      </c>
      <c r="I988" s="22">
        <v>0</v>
      </c>
      <c r="J988" s="22" t="s">
        <v>137</v>
      </c>
      <c r="K988" s="22" t="s">
        <v>23</v>
      </c>
      <c r="L988" s="22">
        <v>1</v>
      </c>
      <c r="M988" s="26">
        <v>33750</v>
      </c>
      <c r="N988" s="26">
        <v>4502</v>
      </c>
      <c r="O988" s="15">
        <f t="shared" si="75"/>
        <v>38252</v>
      </c>
      <c r="P988" s="15">
        <f t="shared" si="76"/>
        <v>25.487739872068232</v>
      </c>
      <c r="Q988" s="25">
        <v>4821</v>
      </c>
      <c r="R988" s="22">
        <v>31</v>
      </c>
      <c r="S988" s="22" t="s">
        <v>1344</v>
      </c>
      <c r="T988" s="22">
        <f t="shared" si="77"/>
        <v>1</v>
      </c>
      <c r="U988" s="22">
        <f t="shared" si="78"/>
        <v>2021</v>
      </c>
      <c r="V988" s="22" t="str">
        <f t="shared" si="79"/>
        <v>METROPOLITANA</v>
      </c>
    </row>
    <row r="989" spans="1:22" x14ac:dyDescent="0.2">
      <c r="A989" s="23" t="s">
        <v>1341</v>
      </c>
      <c r="B989" s="22" t="s">
        <v>33</v>
      </c>
      <c r="C989" s="22" t="s">
        <v>44</v>
      </c>
      <c r="D989" s="22" t="s">
        <v>45</v>
      </c>
      <c r="E989" s="24" t="s">
        <v>21</v>
      </c>
      <c r="F989" s="22" t="s">
        <v>95</v>
      </c>
      <c r="G989" s="25">
        <v>4270.84</v>
      </c>
      <c r="H989" s="22" t="s">
        <v>22</v>
      </c>
      <c r="I989" s="22">
        <v>0</v>
      </c>
      <c r="J989" s="22" t="s">
        <v>95</v>
      </c>
      <c r="K989" s="22" t="s">
        <v>23</v>
      </c>
      <c r="L989" s="22">
        <v>4</v>
      </c>
      <c r="M989" s="26">
        <v>56075</v>
      </c>
      <c r="N989" s="26">
        <v>17083</v>
      </c>
      <c r="O989" s="15">
        <f t="shared" si="75"/>
        <v>73158</v>
      </c>
      <c r="P989" s="15">
        <f t="shared" si="76"/>
        <v>17.129651309812591</v>
      </c>
      <c r="Q989" s="25">
        <v>8011</v>
      </c>
      <c r="R989" s="22">
        <v>53</v>
      </c>
      <c r="S989" s="22" t="s">
        <v>1345</v>
      </c>
      <c r="T989" s="22">
        <f t="shared" si="77"/>
        <v>1</v>
      </c>
      <c r="U989" s="22">
        <f t="shared" si="78"/>
        <v>2021</v>
      </c>
      <c r="V989" s="22" t="str">
        <f t="shared" si="79"/>
        <v>METROPOLITANA</v>
      </c>
    </row>
    <row r="990" spans="1:22" x14ac:dyDescent="0.2">
      <c r="A990" s="23" t="s">
        <v>1341</v>
      </c>
      <c r="B990" s="22" t="s">
        <v>33</v>
      </c>
      <c r="C990" s="22" t="s">
        <v>44</v>
      </c>
      <c r="D990" s="22" t="s">
        <v>47</v>
      </c>
      <c r="E990" s="24" t="s">
        <v>49</v>
      </c>
      <c r="F990" s="22" t="s">
        <v>48</v>
      </c>
      <c r="G990" s="25">
        <v>6418.0299999999988</v>
      </c>
      <c r="H990" s="22" t="s">
        <v>22</v>
      </c>
      <c r="I990" s="22">
        <v>0</v>
      </c>
      <c r="J990" s="22" t="s">
        <v>48</v>
      </c>
      <c r="K990" s="22" t="s">
        <v>23</v>
      </c>
      <c r="L990" s="22">
        <v>1</v>
      </c>
      <c r="M990" s="26">
        <v>44926</v>
      </c>
      <c r="N990" s="26">
        <v>25672</v>
      </c>
      <c r="O990" s="15">
        <f t="shared" si="75"/>
        <v>70598</v>
      </c>
      <c r="P990" s="15">
        <f t="shared" si="76"/>
        <v>10.999948582353154</v>
      </c>
      <c r="Q990" s="25">
        <v>4821</v>
      </c>
      <c r="R990" s="22">
        <v>100</v>
      </c>
      <c r="S990" s="22" t="s">
        <v>1346</v>
      </c>
      <c r="T990" s="22">
        <f t="shared" si="77"/>
        <v>1</v>
      </c>
      <c r="U990" s="22">
        <f t="shared" si="78"/>
        <v>2021</v>
      </c>
      <c r="V990" s="22" t="str">
        <f t="shared" si="79"/>
        <v>METROPOLITANA</v>
      </c>
    </row>
    <row r="991" spans="1:22" x14ac:dyDescent="0.2">
      <c r="A991" s="23" t="s">
        <v>1341</v>
      </c>
      <c r="B991" s="22" t="s">
        <v>33</v>
      </c>
      <c r="C991" s="22" t="s">
        <v>44</v>
      </c>
      <c r="D991" s="22" t="s">
        <v>35</v>
      </c>
      <c r="E991" s="24" t="s">
        <v>88</v>
      </c>
      <c r="F991" s="22" t="s">
        <v>225</v>
      </c>
      <c r="G991" s="25">
        <v>1500.8</v>
      </c>
      <c r="H991" s="22" t="s">
        <v>22</v>
      </c>
      <c r="I991" s="22">
        <v>0</v>
      </c>
      <c r="J991" s="22" t="s">
        <v>225</v>
      </c>
      <c r="K991" s="22" t="s">
        <v>23</v>
      </c>
      <c r="L991" s="22">
        <v>3</v>
      </c>
      <c r="M991" s="26">
        <v>48075</v>
      </c>
      <c r="N991" s="26">
        <v>12000</v>
      </c>
      <c r="O991" s="15">
        <f t="shared" si="75"/>
        <v>60075</v>
      </c>
      <c r="P991" s="15">
        <f t="shared" si="76"/>
        <v>40.028651385927503</v>
      </c>
      <c r="Q991" s="25">
        <v>6868</v>
      </c>
      <c r="R991" s="22">
        <v>22</v>
      </c>
      <c r="S991" s="22" t="s">
        <v>1347</v>
      </c>
      <c r="T991" s="22">
        <f t="shared" si="77"/>
        <v>1</v>
      </c>
      <c r="U991" s="22">
        <f t="shared" si="78"/>
        <v>2021</v>
      </c>
      <c r="V991" s="22" t="str">
        <f t="shared" si="79"/>
        <v>METROPOLITANA</v>
      </c>
    </row>
    <row r="992" spans="1:22" x14ac:dyDescent="0.2">
      <c r="A992" s="23" t="s">
        <v>1341</v>
      </c>
      <c r="B992" s="22" t="s">
        <v>33</v>
      </c>
      <c r="C992" s="22" t="s">
        <v>44</v>
      </c>
      <c r="D992" s="22" t="s">
        <v>20</v>
      </c>
      <c r="E992" s="24" t="s">
        <v>21</v>
      </c>
      <c r="F992" s="22" t="s">
        <v>46</v>
      </c>
      <c r="G992" s="25">
        <v>3436.84</v>
      </c>
      <c r="H992" s="22" t="s">
        <v>22</v>
      </c>
      <c r="I992" s="22">
        <v>0</v>
      </c>
      <c r="J992" s="22" t="s">
        <v>46</v>
      </c>
      <c r="K992" s="22" t="s">
        <v>23</v>
      </c>
      <c r="L992" s="22">
        <v>2</v>
      </c>
      <c r="M992" s="26">
        <v>40475</v>
      </c>
      <c r="N992" s="26">
        <v>13747</v>
      </c>
      <c r="O992" s="15">
        <f t="shared" si="75"/>
        <v>54222</v>
      </c>
      <c r="P992" s="15">
        <f t="shared" si="76"/>
        <v>15.776701854028699</v>
      </c>
      <c r="Q992" s="25">
        <v>5782</v>
      </c>
      <c r="R992" s="22">
        <v>59</v>
      </c>
      <c r="S992" s="22" t="s">
        <v>1348</v>
      </c>
      <c r="T992" s="22">
        <f t="shared" si="77"/>
        <v>1</v>
      </c>
      <c r="U992" s="22">
        <f t="shared" si="78"/>
        <v>2021</v>
      </c>
      <c r="V992" s="22" t="str">
        <f t="shared" si="79"/>
        <v>METROPOLITANA</v>
      </c>
    </row>
    <row r="993" spans="1:22" x14ac:dyDescent="0.2">
      <c r="A993" s="11" t="s">
        <v>1349</v>
      </c>
      <c r="B993" s="12" t="s">
        <v>18</v>
      </c>
      <c r="C993" s="12" t="s">
        <v>324</v>
      </c>
      <c r="D993" s="12" t="s">
        <v>37</v>
      </c>
      <c r="E993" s="13" t="s">
        <v>40</v>
      </c>
      <c r="F993" s="12" t="s">
        <v>325</v>
      </c>
      <c r="G993" s="14">
        <v>4977.9399999999996</v>
      </c>
      <c r="H993" s="12" t="s">
        <v>22</v>
      </c>
      <c r="I993" s="12">
        <v>0</v>
      </c>
      <c r="J993" s="12" t="s">
        <v>325</v>
      </c>
      <c r="K993" s="12" t="s">
        <v>78</v>
      </c>
      <c r="L993" s="12">
        <v>0</v>
      </c>
      <c r="M993" s="15">
        <v>180000</v>
      </c>
      <c r="N993" s="15">
        <f>G993*4</f>
        <v>19911.759999999998</v>
      </c>
      <c r="O993" s="15">
        <f t="shared" si="75"/>
        <v>199911.76</v>
      </c>
      <c r="P993" s="15">
        <f t="shared" si="76"/>
        <v>40.159535872268457</v>
      </c>
      <c r="Q993" s="14">
        <v>25000</v>
      </c>
      <c r="R993" s="12">
        <v>20</v>
      </c>
      <c r="S993" s="12" t="s">
        <v>1350</v>
      </c>
      <c r="T993" s="22">
        <f t="shared" si="77"/>
        <v>1</v>
      </c>
      <c r="U993" s="22">
        <f t="shared" si="78"/>
        <v>2021</v>
      </c>
      <c r="V993" s="22" t="str">
        <f t="shared" si="79"/>
        <v>REGIONES</v>
      </c>
    </row>
    <row r="994" spans="1:22" x14ac:dyDescent="0.2">
      <c r="A994" s="11" t="s">
        <v>1349</v>
      </c>
      <c r="B994" s="12" t="s">
        <v>18</v>
      </c>
      <c r="C994" s="12" t="s">
        <v>508</v>
      </c>
      <c r="D994" s="12" t="s">
        <v>38</v>
      </c>
      <c r="E994" s="13" t="s">
        <v>25</v>
      </c>
      <c r="F994" s="12" t="s">
        <v>800</v>
      </c>
      <c r="G994" s="14">
        <v>5703.67</v>
      </c>
      <c r="H994" s="12" t="s">
        <v>43</v>
      </c>
      <c r="I994" s="12">
        <v>0</v>
      </c>
      <c r="J994" s="12" t="s">
        <v>800</v>
      </c>
      <c r="K994" s="12" t="s">
        <v>23</v>
      </c>
      <c r="L994" s="12">
        <v>5</v>
      </c>
      <c r="M994" s="15">
        <v>90000</v>
      </c>
      <c r="N994" s="15">
        <f>G994*3</f>
        <v>17111.010000000002</v>
      </c>
      <c r="O994" s="15">
        <f t="shared" si="75"/>
        <v>107111.01000000001</v>
      </c>
      <c r="P994" s="15">
        <f t="shared" si="76"/>
        <v>18.779314020621811</v>
      </c>
      <c r="Q994" s="14">
        <v>12000</v>
      </c>
      <c r="R994" s="12">
        <v>48</v>
      </c>
      <c r="S994" s="12" t="s">
        <v>1351</v>
      </c>
      <c r="T994" s="22">
        <f t="shared" si="77"/>
        <v>1</v>
      </c>
      <c r="U994" s="22">
        <f t="shared" si="78"/>
        <v>2021</v>
      </c>
      <c r="V994" s="22" t="str">
        <f t="shared" si="79"/>
        <v>METROPOLITANA</v>
      </c>
    </row>
    <row r="995" spans="1:22" x14ac:dyDescent="0.2">
      <c r="A995" s="11" t="s">
        <v>1349</v>
      </c>
      <c r="B995" s="12" t="s">
        <v>33</v>
      </c>
      <c r="C995" s="12" t="s">
        <v>44</v>
      </c>
      <c r="D995" s="12" t="s">
        <v>56</v>
      </c>
      <c r="E995" s="13" t="s">
        <v>28</v>
      </c>
      <c r="F995" s="12" t="s">
        <v>51</v>
      </c>
      <c r="G995" s="14">
        <v>6585.6299999999992</v>
      </c>
      <c r="H995" s="12" t="s">
        <v>22</v>
      </c>
      <c r="I995" s="12">
        <v>0</v>
      </c>
      <c r="J995" s="12" t="s">
        <v>51</v>
      </c>
      <c r="K995" s="12" t="s">
        <v>23</v>
      </c>
      <c r="L995" s="12">
        <v>4</v>
      </c>
      <c r="M995" s="15">
        <v>56075</v>
      </c>
      <c r="N995" s="15">
        <v>26343</v>
      </c>
      <c r="O995" s="15">
        <f t="shared" si="75"/>
        <v>82418</v>
      </c>
      <c r="P995" s="15">
        <f t="shared" si="76"/>
        <v>12.514823942432237</v>
      </c>
      <c r="Q995" s="14">
        <v>8011</v>
      </c>
      <c r="R995" s="12">
        <v>82</v>
      </c>
      <c r="S995" s="12" t="s">
        <v>1352</v>
      </c>
      <c r="T995" s="22">
        <f t="shared" si="77"/>
        <v>1</v>
      </c>
      <c r="U995" s="22">
        <f t="shared" si="78"/>
        <v>2021</v>
      </c>
      <c r="V995" s="22" t="str">
        <f t="shared" si="79"/>
        <v>METROPOLITANA</v>
      </c>
    </row>
    <row r="996" spans="1:22" x14ac:dyDescent="0.2">
      <c r="A996" s="11" t="s">
        <v>1349</v>
      </c>
      <c r="B996" s="12" t="s">
        <v>33</v>
      </c>
      <c r="C996" s="12" t="s">
        <v>44</v>
      </c>
      <c r="D996" s="12" t="s">
        <v>188</v>
      </c>
      <c r="E996" s="13" t="s">
        <v>189</v>
      </c>
      <c r="F996" s="12" t="s">
        <v>138</v>
      </c>
      <c r="G996" s="14">
        <v>2081.9</v>
      </c>
      <c r="H996" s="12" t="s">
        <v>190</v>
      </c>
      <c r="I996" s="12">
        <v>0</v>
      </c>
      <c r="J996" s="12" t="s">
        <v>138</v>
      </c>
      <c r="K996" s="12" t="s">
        <v>23</v>
      </c>
      <c r="L996" s="12">
        <v>3</v>
      </c>
      <c r="M996" s="15">
        <v>48075</v>
      </c>
      <c r="N996" s="15">
        <v>0</v>
      </c>
      <c r="O996" s="15">
        <f t="shared" si="75"/>
        <v>48075</v>
      </c>
      <c r="P996" s="15">
        <f t="shared" si="76"/>
        <v>23.091887218406264</v>
      </c>
      <c r="Q996" s="14">
        <v>6868</v>
      </c>
      <c r="R996" s="12">
        <v>30</v>
      </c>
      <c r="S996" s="12" t="s">
        <v>1353</v>
      </c>
      <c r="T996" s="22">
        <f t="shared" si="77"/>
        <v>1</v>
      </c>
      <c r="U996" s="22">
        <f t="shared" si="78"/>
        <v>2021</v>
      </c>
      <c r="V996" s="22" t="str">
        <f t="shared" si="79"/>
        <v>METROPOLITANA</v>
      </c>
    </row>
    <row r="997" spans="1:22" x14ac:dyDescent="0.2">
      <c r="A997" s="11" t="s">
        <v>1349</v>
      </c>
      <c r="B997" s="12" t="s">
        <v>33</v>
      </c>
      <c r="C997" s="12" t="s">
        <v>44</v>
      </c>
      <c r="D997" s="12" t="s">
        <v>37</v>
      </c>
      <c r="E997" s="13" t="s">
        <v>40</v>
      </c>
      <c r="F997" s="12" t="s">
        <v>182</v>
      </c>
      <c r="G997" s="14">
        <v>3259.3</v>
      </c>
      <c r="H997" s="12" t="s">
        <v>22</v>
      </c>
      <c r="I997" s="12">
        <v>0</v>
      </c>
      <c r="J997" s="12" t="s">
        <v>182</v>
      </c>
      <c r="K997" s="12" t="s">
        <v>23</v>
      </c>
      <c r="L997" s="12">
        <v>4</v>
      </c>
      <c r="M997" s="15">
        <v>56075</v>
      </c>
      <c r="N997" s="15">
        <v>13037</v>
      </c>
      <c r="O997" s="15">
        <f t="shared" si="75"/>
        <v>69112</v>
      </c>
      <c r="P997" s="15">
        <f t="shared" si="76"/>
        <v>21.20455312490412</v>
      </c>
      <c r="Q997" s="14">
        <v>8011</v>
      </c>
      <c r="R997" s="12">
        <v>41</v>
      </c>
      <c r="S997" s="12" t="s">
        <v>1354</v>
      </c>
      <c r="T997" s="22">
        <f t="shared" si="77"/>
        <v>1</v>
      </c>
      <c r="U997" s="22">
        <f t="shared" si="78"/>
        <v>2021</v>
      </c>
      <c r="V997" s="22" t="str">
        <f t="shared" si="79"/>
        <v>METROPOLITANA</v>
      </c>
    </row>
    <row r="998" spans="1:22" x14ac:dyDescent="0.2">
      <c r="A998" s="11" t="s">
        <v>1349</v>
      </c>
      <c r="B998" s="12" t="s">
        <v>33</v>
      </c>
      <c r="C998" s="12" t="s">
        <v>44</v>
      </c>
      <c r="D998" s="12" t="s">
        <v>45</v>
      </c>
      <c r="E998" s="13" t="s">
        <v>88</v>
      </c>
      <c r="F998" s="12" t="s">
        <v>26</v>
      </c>
      <c r="G998" s="14">
        <v>3565.3200000000011</v>
      </c>
      <c r="H998" s="12" t="s">
        <v>22</v>
      </c>
      <c r="I998" s="12">
        <v>0</v>
      </c>
      <c r="J998" s="12" t="s">
        <v>26</v>
      </c>
      <c r="K998" s="12" t="s">
        <v>23</v>
      </c>
      <c r="L998" s="12">
        <v>4</v>
      </c>
      <c r="M998" s="15">
        <v>56075</v>
      </c>
      <c r="N998" s="15">
        <v>14261</v>
      </c>
      <c r="O998" s="15">
        <f t="shared" si="75"/>
        <v>70336</v>
      </c>
      <c r="P998" s="15">
        <f t="shared" si="76"/>
        <v>19.727822467548489</v>
      </c>
      <c r="Q998" s="14">
        <v>8011</v>
      </c>
      <c r="R998" s="12">
        <v>45</v>
      </c>
      <c r="S998" s="12" t="s">
        <v>1355</v>
      </c>
      <c r="T998" s="22">
        <f t="shared" si="77"/>
        <v>1</v>
      </c>
      <c r="U998" s="22">
        <f t="shared" si="78"/>
        <v>2021</v>
      </c>
      <c r="V998" s="22" t="str">
        <f t="shared" si="79"/>
        <v>METROPOLITANA</v>
      </c>
    </row>
    <row r="999" spans="1:22" x14ac:dyDescent="0.2">
      <c r="A999" s="11" t="s">
        <v>1349</v>
      </c>
      <c r="B999" s="12" t="s">
        <v>33</v>
      </c>
      <c r="C999" s="12" t="s">
        <v>44</v>
      </c>
      <c r="D999" s="12" t="s">
        <v>47</v>
      </c>
      <c r="E999" s="13" t="s">
        <v>52</v>
      </c>
      <c r="F999" s="12" t="s">
        <v>48</v>
      </c>
      <c r="G999" s="14">
        <v>4351.25</v>
      </c>
      <c r="H999" s="12" t="s">
        <v>22</v>
      </c>
      <c r="I999" s="12">
        <v>0</v>
      </c>
      <c r="J999" s="12" t="s">
        <v>48</v>
      </c>
      <c r="K999" s="12" t="s">
        <v>23</v>
      </c>
      <c r="L999" s="12">
        <v>1</v>
      </c>
      <c r="M999" s="15">
        <v>33750</v>
      </c>
      <c r="N999" s="15">
        <v>17405</v>
      </c>
      <c r="O999" s="15">
        <f t="shared" si="75"/>
        <v>51155</v>
      </c>
      <c r="P999" s="15">
        <f t="shared" si="76"/>
        <v>11.756391841424877</v>
      </c>
      <c r="Q999" s="14">
        <v>4821</v>
      </c>
      <c r="R999" s="12">
        <v>90</v>
      </c>
      <c r="S999" s="12" t="s">
        <v>1356</v>
      </c>
      <c r="T999" s="22">
        <f t="shared" si="77"/>
        <v>1</v>
      </c>
      <c r="U999" s="22">
        <f t="shared" si="78"/>
        <v>2021</v>
      </c>
      <c r="V999" s="22" t="str">
        <f t="shared" si="79"/>
        <v>METROPOLITANA</v>
      </c>
    </row>
    <row r="1000" spans="1:22" x14ac:dyDescent="0.2">
      <c r="A1000" s="11" t="s">
        <v>1349</v>
      </c>
      <c r="B1000" s="12" t="s">
        <v>33</v>
      </c>
      <c r="C1000" s="12" t="s">
        <v>44</v>
      </c>
      <c r="D1000" s="12" t="s">
        <v>35</v>
      </c>
      <c r="E1000" s="13" t="s">
        <v>49</v>
      </c>
      <c r="F1000" s="12" t="s">
        <v>94</v>
      </c>
      <c r="G1000" s="14">
        <v>6626.7999999999984</v>
      </c>
      <c r="H1000" s="12" t="s">
        <v>22</v>
      </c>
      <c r="I1000" s="12">
        <v>0</v>
      </c>
      <c r="J1000" s="12" t="s">
        <v>59</v>
      </c>
      <c r="K1000" s="12" t="s">
        <v>78</v>
      </c>
      <c r="L1000" s="12">
        <v>0</v>
      </c>
      <c r="M1000" s="15">
        <v>180000</v>
      </c>
      <c r="N1000" s="15">
        <f>G1000*4</f>
        <v>26507.199999999993</v>
      </c>
      <c r="O1000" s="15">
        <f t="shared" si="75"/>
        <v>206507.19999999998</v>
      </c>
      <c r="P1000" s="15">
        <f t="shared" si="76"/>
        <v>31.162431339409675</v>
      </c>
      <c r="Q1000" s="14">
        <v>25000</v>
      </c>
      <c r="R1000" s="12">
        <v>27</v>
      </c>
      <c r="S1000" s="12" t="s">
        <v>1357</v>
      </c>
      <c r="T1000" s="22">
        <f t="shared" si="77"/>
        <v>1</v>
      </c>
      <c r="U1000" s="22">
        <f t="shared" si="78"/>
        <v>2021</v>
      </c>
      <c r="V1000" s="22" t="str">
        <f t="shared" si="79"/>
        <v>REGIONES</v>
      </c>
    </row>
    <row r="1001" spans="1:22" x14ac:dyDescent="0.2">
      <c r="A1001" s="23" t="s">
        <v>1358</v>
      </c>
      <c r="B1001" s="22" t="s">
        <v>54</v>
      </c>
      <c r="C1001" s="22" t="s">
        <v>55</v>
      </c>
      <c r="D1001" s="22" t="s">
        <v>1359</v>
      </c>
      <c r="E1001" s="24" t="s">
        <v>1360</v>
      </c>
      <c r="F1001" s="22" t="s">
        <v>66</v>
      </c>
      <c r="G1001" s="25">
        <v>8244.0000000000036</v>
      </c>
      <c r="H1001" s="22" t="s">
        <v>24</v>
      </c>
      <c r="I1001" s="22">
        <v>1</v>
      </c>
      <c r="J1001" s="22" t="s">
        <v>66</v>
      </c>
      <c r="K1001" s="22" t="s">
        <v>75</v>
      </c>
      <c r="L1001" s="22">
        <v>0</v>
      </c>
      <c r="M1001" s="26">
        <v>380000</v>
      </c>
      <c r="N1001" s="26">
        <v>0</v>
      </c>
      <c r="O1001" s="15">
        <f t="shared" si="75"/>
        <v>380000</v>
      </c>
      <c r="P1001" s="15">
        <f t="shared" si="76"/>
        <v>46.094129063561354</v>
      </c>
      <c r="Q1001" s="25">
        <v>25000</v>
      </c>
      <c r="R1001" s="22">
        <v>33</v>
      </c>
      <c r="S1001" s="22" t="s">
        <v>1361</v>
      </c>
      <c r="T1001" s="22">
        <f t="shared" si="77"/>
        <v>1</v>
      </c>
      <c r="U1001" s="22">
        <f t="shared" si="78"/>
        <v>2021</v>
      </c>
      <c r="V1001" s="22" t="str">
        <f t="shared" si="79"/>
        <v>REGIONES</v>
      </c>
    </row>
    <row r="1002" spans="1:22" x14ac:dyDescent="0.2">
      <c r="A1002" s="23" t="s">
        <v>1358</v>
      </c>
      <c r="B1002" s="22" t="s">
        <v>18</v>
      </c>
      <c r="C1002" s="22" t="s">
        <v>57</v>
      </c>
      <c r="D1002" s="22" t="s">
        <v>27</v>
      </c>
      <c r="E1002" s="24" t="s">
        <v>28</v>
      </c>
      <c r="F1002" s="22" t="s">
        <v>800</v>
      </c>
      <c r="G1002" s="25">
        <v>11401.94</v>
      </c>
      <c r="H1002" s="22" t="s">
        <v>22</v>
      </c>
      <c r="I1002" s="22">
        <v>1</v>
      </c>
      <c r="J1002" s="22" t="s">
        <v>800</v>
      </c>
      <c r="K1002" s="22" t="s">
        <v>23</v>
      </c>
      <c r="L1002" s="22">
        <v>5</v>
      </c>
      <c r="M1002" s="26">
        <v>120000</v>
      </c>
      <c r="N1002" s="26">
        <v>0</v>
      </c>
      <c r="O1002" s="15">
        <f t="shared" si="75"/>
        <v>120000</v>
      </c>
      <c r="P1002" s="15">
        <f t="shared" si="76"/>
        <v>10.524524773854273</v>
      </c>
      <c r="Q1002" s="25">
        <v>12000</v>
      </c>
      <c r="R1002" s="22">
        <v>95</v>
      </c>
      <c r="S1002" s="22" t="s">
        <v>1362</v>
      </c>
      <c r="T1002" s="22">
        <f t="shared" si="77"/>
        <v>1</v>
      </c>
      <c r="U1002" s="22">
        <f t="shared" si="78"/>
        <v>2021</v>
      </c>
      <c r="V1002" s="22" t="str">
        <f t="shared" si="79"/>
        <v>METROPOLITANA</v>
      </c>
    </row>
    <row r="1003" spans="1:22" x14ac:dyDescent="0.2">
      <c r="A1003" s="23" t="s">
        <v>1358</v>
      </c>
      <c r="B1003" s="22" t="s">
        <v>18</v>
      </c>
      <c r="C1003" s="22" t="s">
        <v>57</v>
      </c>
      <c r="D1003" s="22" t="s">
        <v>485</v>
      </c>
      <c r="E1003" s="24" t="s">
        <v>1363</v>
      </c>
      <c r="F1003" s="22" t="s">
        <v>458</v>
      </c>
      <c r="G1003" s="25">
        <v>10244.209999999999</v>
      </c>
      <c r="H1003" s="22" t="s">
        <v>24</v>
      </c>
      <c r="I1003" s="22">
        <v>1</v>
      </c>
      <c r="J1003" s="22" t="s">
        <v>458</v>
      </c>
      <c r="K1003" s="22" t="s">
        <v>75</v>
      </c>
      <c r="L1003" s="22">
        <v>0</v>
      </c>
      <c r="M1003" s="26">
        <v>380000</v>
      </c>
      <c r="N1003" s="26">
        <v>0</v>
      </c>
      <c r="O1003" s="15">
        <f t="shared" si="75"/>
        <v>380000</v>
      </c>
      <c r="P1003" s="15">
        <f t="shared" si="76"/>
        <v>37.094124388313013</v>
      </c>
      <c r="Q1003" s="25">
        <v>25000</v>
      </c>
      <c r="R1003" s="22">
        <v>41</v>
      </c>
      <c r="S1003" s="22" t="s">
        <v>1364</v>
      </c>
      <c r="T1003" s="22">
        <f t="shared" si="77"/>
        <v>1</v>
      </c>
      <c r="U1003" s="22">
        <f t="shared" si="78"/>
        <v>2021</v>
      </c>
      <c r="V1003" s="22" t="str">
        <f t="shared" si="79"/>
        <v>REGIONES</v>
      </c>
    </row>
    <row r="1004" spans="1:22" x14ac:dyDescent="0.2">
      <c r="A1004" s="23" t="s">
        <v>1358</v>
      </c>
      <c r="B1004" s="22" t="s">
        <v>18</v>
      </c>
      <c r="C1004" s="22" t="s">
        <v>163</v>
      </c>
      <c r="D1004" s="22" t="s">
        <v>20</v>
      </c>
      <c r="E1004" s="24" t="s">
        <v>88</v>
      </c>
      <c r="F1004" s="22" t="s">
        <v>165</v>
      </c>
      <c r="G1004" s="25">
        <v>3395.25</v>
      </c>
      <c r="H1004" s="22" t="s">
        <v>22</v>
      </c>
      <c r="I1004" s="22">
        <v>0</v>
      </c>
      <c r="J1004" s="22" t="s">
        <v>165</v>
      </c>
      <c r="K1004" s="22" t="s">
        <v>23</v>
      </c>
      <c r="L1004" s="22">
        <v>4</v>
      </c>
      <c r="M1004" s="26">
        <v>56075</v>
      </c>
      <c r="N1004" s="26">
        <f>G1004*4</f>
        <v>13581</v>
      </c>
      <c r="O1004" s="15">
        <f t="shared" si="75"/>
        <v>69656</v>
      </c>
      <c r="P1004" s="15">
        <f t="shared" si="76"/>
        <v>20.515720491863632</v>
      </c>
      <c r="Q1004" s="25">
        <v>8011</v>
      </c>
      <c r="R1004" s="22">
        <v>42</v>
      </c>
      <c r="S1004" s="22" t="s">
        <v>1365</v>
      </c>
      <c r="T1004" s="22">
        <f t="shared" si="77"/>
        <v>1</v>
      </c>
      <c r="U1004" s="22">
        <f t="shared" si="78"/>
        <v>2021</v>
      </c>
      <c r="V1004" s="22" t="str">
        <f t="shared" si="79"/>
        <v>METROPOLITANA</v>
      </c>
    </row>
    <row r="1005" spans="1:22" x14ac:dyDescent="0.2">
      <c r="A1005" s="23" t="s">
        <v>1358</v>
      </c>
      <c r="B1005" s="22" t="s">
        <v>33</v>
      </c>
      <c r="C1005" s="22" t="s">
        <v>50</v>
      </c>
      <c r="D1005" s="22" t="s">
        <v>37</v>
      </c>
      <c r="E1005" s="24" t="s">
        <v>40</v>
      </c>
      <c r="F1005" s="22" t="s">
        <v>26</v>
      </c>
      <c r="G1005" s="25">
        <v>7823.0000000000009</v>
      </c>
      <c r="H1005" s="22" t="s">
        <v>22</v>
      </c>
      <c r="I1005" s="22">
        <v>0</v>
      </c>
      <c r="J1005" s="22" t="s">
        <v>26</v>
      </c>
      <c r="K1005" s="22" t="s">
        <v>23</v>
      </c>
      <c r="L1005" s="22">
        <v>4</v>
      </c>
      <c r="M1005" s="26">
        <v>56075</v>
      </c>
      <c r="N1005" s="26">
        <f>G1005*4</f>
        <v>31292.000000000004</v>
      </c>
      <c r="O1005" s="15">
        <f t="shared" si="75"/>
        <v>87367</v>
      </c>
      <c r="P1005" s="15">
        <f t="shared" si="76"/>
        <v>11.167966253355489</v>
      </c>
      <c r="Q1005" s="25">
        <v>8011</v>
      </c>
      <c r="R1005" s="22">
        <v>98</v>
      </c>
      <c r="S1005" s="22" t="s">
        <v>1366</v>
      </c>
      <c r="T1005" s="22">
        <f t="shared" si="77"/>
        <v>1</v>
      </c>
      <c r="U1005" s="22">
        <f t="shared" si="78"/>
        <v>2021</v>
      </c>
      <c r="V1005" s="22" t="str">
        <f t="shared" si="79"/>
        <v>METROPOLITANA</v>
      </c>
    </row>
    <row r="1006" spans="1:22" x14ac:dyDescent="0.2">
      <c r="A1006" s="23" t="s">
        <v>1358</v>
      </c>
      <c r="B1006" s="22" t="s">
        <v>33</v>
      </c>
      <c r="C1006" s="22" t="s">
        <v>50</v>
      </c>
      <c r="D1006" s="22" t="s">
        <v>41</v>
      </c>
      <c r="E1006" s="24" t="s">
        <v>25</v>
      </c>
      <c r="F1006" s="22" t="s">
        <v>26</v>
      </c>
      <c r="G1006" s="25">
        <v>10169.9</v>
      </c>
      <c r="H1006" s="22" t="s">
        <v>43</v>
      </c>
      <c r="I1006" s="22">
        <v>0</v>
      </c>
      <c r="J1006" s="22" t="s">
        <v>26</v>
      </c>
      <c r="K1006" s="22" t="s">
        <v>23</v>
      </c>
      <c r="L1006" s="22">
        <v>4</v>
      </c>
      <c r="M1006" s="26">
        <v>71189</v>
      </c>
      <c r="N1006" s="26">
        <f>G1006*3</f>
        <v>30509.699999999997</v>
      </c>
      <c r="O1006" s="15">
        <f t="shared" si="75"/>
        <v>101698.7</v>
      </c>
      <c r="P1006" s="15">
        <f t="shared" si="76"/>
        <v>9.999970501184869</v>
      </c>
      <c r="Q1006" s="25">
        <v>8011</v>
      </c>
      <c r="R1006" s="22">
        <v>100</v>
      </c>
      <c r="S1006" s="22" t="s">
        <v>1367</v>
      </c>
      <c r="T1006" s="22">
        <f t="shared" si="77"/>
        <v>1</v>
      </c>
      <c r="U1006" s="22">
        <f t="shared" si="78"/>
        <v>2021</v>
      </c>
      <c r="V1006" s="22" t="str">
        <f t="shared" si="79"/>
        <v>METROPOLITANA</v>
      </c>
    </row>
    <row r="1007" spans="1:22" x14ac:dyDescent="0.2">
      <c r="A1007" s="23" t="s">
        <v>1358</v>
      </c>
      <c r="B1007" s="22" t="s">
        <v>33</v>
      </c>
      <c r="C1007" s="22" t="s">
        <v>160</v>
      </c>
      <c r="D1007" s="22" t="s">
        <v>188</v>
      </c>
      <c r="E1007" s="24" t="s">
        <v>189</v>
      </c>
      <c r="F1007" s="22" t="s">
        <v>161</v>
      </c>
      <c r="G1007" s="25">
        <v>2430</v>
      </c>
      <c r="H1007" s="22" t="s">
        <v>190</v>
      </c>
      <c r="I1007" s="22">
        <v>0</v>
      </c>
      <c r="J1007" s="22" t="s">
        <v>161</v>
      </c>
      <c r="K1007" s="22" t="s">
        <v>23</v>
      </c>
      <c r="L1007" s="22">
        <v>5</v>
      </c>
      <c r="M1007" s="26">
        <v>70000</v>
      </c>
      <c r="N1007" s="26">
        <v>0</v>
      </c>
      <c r="O1007" s="15">
        <f t="shared" si="75"/>
        <v>70000</v>
      </c>
      <c r="P1007" s="15">
        <f t="shared" si="76"/>
        <v>28.806584362139919</v>
      </c>
      <c r="Q1007" s="25">
        <v>12000</v>
      </c>
      <c r="R1007" s="22">
        <v>20</v>
      </c>
      <c r="S1007" s="22" t="s">
        <v>1368</v>
      </c>
      <c r="T1007" s="22">
        <f t="shared" si="77"/>
        <v>1</v>
      </c>
      <c r="U1007" s="22">
        <f t="shared" si="78"/>
        <v>2021</v>
      </c>
      <c r="V1007" s="22" t="str">
        <f t="shared" si="79"/>
        <v>METROPOLITANA</v>
      </c>
    </row>
    <row r="1008" spans="1:22" x14ac:dyDescent="0.2">
      <c r="A1008" s="23" t="s">
        <v>1358</v>
      </c>
      <c r="B1008" s="22" t="s">
        <v>33</v>
      </c>
      <c r="C1008" s="22" t="s">
        <v>163</v>
      </c>
      <c r="D1008" s="22" t="s">
        <v>38</v>
      </c>
      <c r="E1008" s="24" t="s">
        <v>42</v>
      </c>
      <c r="F1008" s="22" t="s">
        <v>165</v>
      </c>
      <c r="G1008" s="25">
        <v>9166.0799999999963</v>
      </c>
      <c r="H1008" s="22" t="s">
        <v>43</v>
      </c>
      <c r="I1008" s="22">
        <v>0</v>
      </c>
      <c r="J1008" s="22" t="s">
        <v>165</v>
      </c>
      <c r="K1008" s="22" t="s">
        <v>23</v>
      </c>
      <c r="L1008" s="22">
        <v>4</v>
      </c>
      <c r="M1008" s="26">
        <v>64163</v>
      </c>
      <c r="N1008" s="26">
        <f>G1008*3</f>
        <v>27498.239999999991</v>
      </c>
      <c r="O1008" s="15">
        <f t="shared" si="75"/>
        <v>91661.239999999991</v>
      </c>
      <c r="P1008" s="15">
        <f t="shared" si="76"/>
        <v>10.0000480030722</v>
      </c>
      <c r="Q1008" s="25">
        <v>8011</v>
      </c>
      <c r="R1008" s="22">
        <v>100</v>
      </c>
      <c r="S1008" s="22" t="s">
        <v>1369</v>
      </c>
      <c r="T1008" s="22">
        <f t="shared" si="77"/>
        <v>1</v>
      </c>
      <c r="U1008" s="22">
        <f t="shared" si="78"/>
        <v>2021</v>
      </c>
      <c r="V1008" s="22" t="str">
        <f t="shared" si="79"/>
        <v>METROPOLITANA</v>
      </c>
    </row>
    <row r="1009" spans="1:22" x14ac:dyDescent="0.2">
      <c r="A1009" s="23" t="s">
        <v>1358</v>
      </c>
      <c r="B1009" s="22" t="s">
        <v>33</v>
      </c>
      <c r="C1009" s="22" t="s">
        <v>128</v>
      </c>
      <c r="D1009" s="22" t="s">
        <v>38</v>
      </c>
      <c r="E1009" s="24" t="s">
        <v>42</v>
      </c>
      <c r="F1009" s="22" t="s">
        <v>129</v>
      </c>
      <c r="G1009" s="25">
        <v>9691.7999999999956</v>
      </c>
      <c r="H1009" s="22" t="s">
        <v>43</v>
      </c>
      <c r="I1009" s="22">
        <v>0</v>
      </c>
      <c r="J1009" s="22" t="s">
        <v>129</v>
      </c>
      <c r="K1009" s="22" t="s">
        <v>23</v>
      </c>
      <c r="L1009" s="22">
        <v>1</v>
      </c>
      <c r="M1009" s="26">
        <v>67843</v>
      </c>
      <c r="N1009" s="26">
        <v>29075</v>
      </c>
      <c r="O1009" s="15">
        <f t="shared" si="75"/>
        <v>96918</v>
      </c>
      <c r="P1009" s="15">
        <f t="shared" si="76"/>
        <v>10.000000000000005</v>
      </c>
      <c r="Q1009" s="25">
        <v>4821</v>
      </c>
      <c r="R1009" s="22">
        <v>100</v>
      </c>
      <c r="S1009" s="22" t="s">
        <v>1370</v>
      </c>
      <c r="T1009" s="22">
        <f t="shared" si="77"/>
        <v>1</v>
      </c>
      <c r="U1009" s="22">
        <f t="shared" si="78"/>
        <v>2021</v>
      </c>
      <c r="V1009" s="22" t="str">
        <f t="shared" si="79"/>
        <v>METROPOLITANA</v>
      </c>
    </row>
    <row r="1010" spans="1:22" x14ac:dyDescent="0.2">
      <c r="A1010" s="23" t="s">
        <v>1358</v>
      </c>
      <c r="B1010" s="22" t="s">
        <v>33</v>
      </c>
      <c r="C1010" s="22" t="s">
        <v>128</v>
      </c>
      <c r="D1010" s="22" t="s">
        <v>20</v>
      </c>
      <c r="E1010" s="24" t="s">
        <v>88</v>
      </c>
      <c r="F1010" s="22" t="s">
        <v>129</v>
      </c>
      <c r="G1010" s="25">
        <v>9393.2099999999955</v>
      </c>
      <c r="H1010" s="22" t="s">
        <v>22</v>
      </c>
      <c r="I1010" s="22">
        <v>0</v>
      </c>
      <c r="J1010" s="22" t="s">
        <v>129</v>
      </c>
      <c r="K1010" s="22" t="s">
        <v>23</v>
      </c>
      <c r="L1010" s="22">
        <v>1</v>
      </c>
      <c r="M1010" s="26">
        <v>65752</v>
      </c>
      <c r="N1010" s="26">
        <v>37573</v>
      </c>
      <c r="O1010" s="15">
        <f t="shared" si="75"/>
        <v>103325</v>
      </c>
      <c r="P1010" s="15">
        <f t="shared" si="76"/>
        <v>10.999966997437516</v>
      </c>
      <c r="Q1010" s="25">
        <v>4821</v>
      </c>
      <c r="R1010" s="22">
        <v>100</v>
      </c>
      <c r="S1010" s="22" t="s">
        <v>1371</v>
      </c>
      <c r="T1010" s="22">
        <f t="shared" si="77"/>
        <v>1</v>
      </c>
      <c r="U1010" s="22">
        <f t="shared" si="78"/>
        <v>2021</v>
      </c>
      <c r="V1010" s="22" t="str">
        <f t="shared" si="79"/>
        <v>METROPOLITANA</v>
      </c>
    </row>
    <row r="1011" spans="1:22" x14ac:dyDescent="0.2">
      <c r="A1011" s="23" t="s">
        <v>1358</v>
      </c>
      <c r="B1011" s="22" t="s">
        <v>33</v>
      </c>
      <c r="C1011" s="22" t="s">
        <v>417</v>
      </c>
      <c r="D1011" s="22" t="s">
        <v>82</v>
      </c>
      <c r="E1011" s="24" t="s">
        <v>83</v>
      </c>
      <c r="F1011" s="22" t="s">
        <v>418</v>
      </c>
      <c r="G1011" s="25">
        <v>16688.599999999991</v>
      </c>
      <c r="H1011" s="22" t="s">
        <v>85</v>
      </c>
      <c r="I1011" s="22">
        <v>1</v>
      </c>
      <c r="J1011" s="22" t="s">
        <v>418</v>
      </c>
      <c r="K1011" s="22" t="s">
        <v>171</v>
      </c>
      <c r="L1011" s="22">
        <v>0</v>
      </c>
      <c r="M1011" s="26">
        <v>230000</v>
      </c>
      <c r="N1011" s="26">
        <v>0</v>
      </c>
      <c r="O1011" s="15">
        <f t="shared" si="75"/>
        <v>230000</v>
      </c>
      <c r="P1011" s="15">
        <f t="shared" si="76"/>
        <v>13.781863068202252</v>
      </c>
      <c r="Q1011" s="25">
        <v>25000</v>
      </c>
      <c r="R1011" s="22">
        <v>67</v>
      </c>
      <c r="S1011" s="22" t="s">
        <v>1372</v>
      </c>
      <c r="T1011" s="22">
        <f t="shared" si="77"/>
        <v>1</v>
      </c>
      <c r="U1011" s="22">
        <f t="shared" si="78"/>
        <v>2021</v>
      </c>
      <c r="V1011" s="22" t="str">
        <f t="shared" si="79"/>
        <v>REGIONES</v>
      </c>
    </row>
    <row r="1012" spans="1:22" x14ac:dyDescent="0.2">
      <c r="A1012" s="23" t="s">
        <v>1358</v>
      </c>
      <c r="B1012" s="22" t="s">
        <v>33</v>
      </c>
      <c r="C1012" s="22" t="s">
        <v>29</v>
      </c>
      <c r="D1012" s="22" t="s">
        <v>56</v>
      </c>
      <c r="E1012" s="24" t="s">
        <v>21</v>
      </c>
      <c r="F1012" s="22" t="s">
        <v>134</v>
      </c>
      <c r="G1012" s="25">
        <v>7217.4999999999991</v>
      </c>
      <c r="H1012" s="22" t="s">
        <v>22</v>
      </c>
      <c r="I1012" s="22">
        <v>0</v>
      </c>
      <c r="J1012" s="22" t="s">
        <v>134</v>
      </c>
      <c r="K1012" s="22" t="s">
        <v>23</v>
      </c>
      <c r="L1012" s="22">
        <v>2</v>
      </c>
      <c r="M1012" s="26">
        <v>50522</v>
      </c>
      <c r="N1012" s="26">
        <v>28870</v>
      </c>
      <c r="O1012" s="15">
        <f t="shared" si="75"/>
        <v>79392</v>
      </c>
      <c r="P1012" s="15">
        <f t="shared" si="76"/>
        <v>10.999930723934883</v>
      </c>
      <c r="Q1012" s="25">
        <v>5782</v>
      </c>
      <c r="R1012" s="22">
        <v>100</v>
      </c>
      <c r="S1012" s="22" t="s">
        <v>1373</v>
      </c>
      <c r="T1012" s="22">
        <f t="shared" si="77"/>
        <v>1</v>
      </c>
      <c r="U1012" s="22">
        <f t="shared" si="78"/>
        <v>2021</v>
      </c>
      <c r="V1012" s="22" t="str">
        <f t="shared" si="79"/>
        <v>METROPOLITANA</v>
      </c>
    </row>
    <row r="1013" spans="1:22" x14ac:dyDescent="0.2">
      <c r="A1013" s="23" t="s">
        <v>1358</v>
      </c>
      <c r="B1013" s="22" t="s">
        <v>33</v>
      </c>
      <c r="C1013" s="22" t="s">
        <v>29</v>
      </c>
      <c r="D1013" s="22" t="s">
        <v>45</v>
      </c>
      <c r="E1013" s="24" t="s">
        <v>49</v>
      </c>
      <c r="F1013" s="22" t="s">
        <v>134</v>
      </c>
      <c r="G1013" s="25">
        <v>7470.0000000000027</v>
      </c>
      <c r="H1013" s="22" t="s">
        <v>22</v>
      </c>
      <c r="I1013" s="22">
        <v>0</v>
      </c>
      <c r="J1013" s="22" t="s">
        <v>134</v>
      </c>
      <c r="K1013" s="22" t="s">
        <v>23</v>
      </c>
      <c r="L1013" s="22">
        <v>2</v>
      </c>
      <c r="M1013" s="26">
        <v>52290</v>
      </c>
      <c r="N1013" s="26">
        <v>29880</v>
      </c>
      <c r="O1013" s="15">
        <f t="shared" si="75"/>
        <v>82170</v>
      </c>
      <c r="P1013" s="15">
        <f t="shared" si="76"/>
        <v>10.999999999999996</v>
      </c>
      <c r="Q1013" s="25">
        <v>5782</v>
      </c>
      <c r="R1013" s="22">
        <v>100</v>
      </c>
      <c r="S1013" s="22" t="s">
        <v>1374</v>
      </c>
      <c r="T1013" s="22">
        <f t="shared" si="77"/>
        <v>1</v>
      </c>
      <c r="U1013" s="22">
        <f t="shared" si="78"/>
        <v>2021</v>
      </c>
      <c r="V1013" s="22" t="str">
        <f t="shared" si="79"/>
        <v>METROPOLITANA</v>
      </c>
    </row>
    <row r="1014" spans="1:22" x14ac:dyDescent="0.2">
      <c r="A1014" s="23" t="s">
        <v>1358</v>
      </c>
      <c r="B1014" s="22" t="s">
        <v>33</v>
      </c>
      <c r="C1014" s="22" t="s">
        <v>29</v>
      </c>
      <c r="D1014" s="22" t="s">
        <v>47</v>
      </c>
      <c r="E1014" s="24" t="s">
        <v>52</v>
      </c>
      <c r="F1014" s="22" t="s">
        <v>173</v>
      </c>
      <c r="G1014" s="25">
        <v>6832.9</v>
      </c>
      <c r="H1014" s="22" t="s">
        <v>22</v>
      </c>
      <c r="I1014" s="22">
        <v>0</v>
      </c>
      <c r="J1014" s="22" t="s">
        <v>173</v>
      </c>
      <c r="K1014" s="22" t="s">
        <v>23</v>
      </c>
      <c r="L1014" s="22">
        <v>5</v>
      </c>
      <c r="M1014" s="26">
        <v>90000</v>
      </c>
      <c r="N1014" s="26">
        <v>27332</v>
      </c>
      <c r="O1014" s="15">
        <f t="shared" si="75"/>
        <v>117332</v>
      </c>
      <c r="P1014" s="15">
        <f t="shared" si="76"/>
        <v>17.171625517715757</v>
      </c>
      <c r="Q1014" s="25">
        <v>12000</v>
      </c>
      <c r="R1014" s="22">
        <v>57</v>
      </c>
      <c r="S1014" s="22" t="s">
        <v>1375</v>
      </c>
      <c r="T1014" s="22">
        <f t="shared" si="77"/>
        <v>1</v>
      </c>
      <c r="U1014" s="22">
        <f t="shared" si="78"/>
        <v>2021</v>
      </c>
      <c r="V1014" s="22" t="str">
        <f t="shared" si="79"/>
        <v>METROPOLITANA</v>
      </c>
    </row>
    <row r="1015" spans="1:22" x14ac:dyDescent="0.2">
      <c r="A1015" s="23" t="s">
        <v>1358</v>
      </c>
      <c r="B1015" s="22" t="s">
        <v>33</v>
      </c>
      <c r="C1015" s="22" t="s">
        <v>1323</v>
      </c>
      <c r="D1015" s="22" t="s">
        <v>27</v>
      </c>
      <c r="E1015" s="24" t="s">
        <v>28</v>
      </c>
      <c r="F1015" s="22" t="s">
        <v>1324</v>
      </c>
      <c r="G1015" s="25">
        <v>21076.2</v>
      </c>
      <c r="H1015" s="22" t="s">
        <v>22</v>
      </c>
      <c r="I1015" s="22">
        <v>1</v>
      </c>
      <c r="J1015" s="22" t="s">
        <v>1324</v>
      </c>
      <c r="K1015" s="22" t="s">
        <v>23</v>
      </c>
      <c r="L1015" s="22">
        <v>2</v>
      </c>
      <c r="M1015" s="26">
        <v>147533</v>
      </c>
      <c r="N1015" s="26">
        <f>G1015*4</f>
        <v>84304.8</v>
      </c>
      <c r="O1015" s="15">
        <f t="shared" si="75"/>
        <v>231837.8</v>
      </c>
      <c r="P1015" s="15">
        <f t="shared" si="76"/>
        <v>10.999981021246713</v>
      </c>
      <c r="Q1015" s="25">
        <v>5782</v>
      </c>
      <c r="R1015" s="22">
        <v>100</v>
      </c>
      <c r="S1015" s="22" t="s">
        <v>1376</v>
      </c>
      <c r="T1015" s="22">
        <f t="shared" si="77"/>
        <v>1</v>
      </c>
      <c r="U1015" s="22">
        <f t="shared" si="78"/>
        <v>2021</v>
      </c>
      <c r="V1015" s="22" t="str">
        <f t="shared" si="79"/>
        <v>METROPOLITANA</v>
      </c>
    </row>
    <row r="1016" spans="1:22" x14ac:dyDescent="0.2">
      <c r="A1016" s="23" t="s">
        <v>1358</v>
      </c>
      <c r="B1016" s="22" t="s">
        <v>33</v>
      </c>
      <c r="C1016" s="22" t="s">
        <v>44</v>
      </c>
      <c r="D1016" s="22" t="s">
        <v>56</v>
      </c>
      <c r="E1016" s="24" t="s">
        <v>52</v>
      </c>
      <c r="F1016" s="22" t="s">
        <v>95</v>
      </c>
      <c r="G1016" s="25">
        <v>2852.4</v>
      </c>
      <c r="H1016" s="22" t="s">
        <v>22</v>
      </c>
      <c r="I1016" s="22">
        <v>0</v>
      </c>
      <c r="J1016" s="22" t="s">
        <v>95</v>
      </c>
      <c r="K1016" s="22" t="s">
        <v>23</v>
      </c>
      <c r="L1016" s="22">
        <v>4</v>
      </c>
      <c r="M1016" s="26">
        <v>56075</v>
      </c>
      <c r="N1016" s="26">
        <v>12000</v>
      </c>
      <c r="O1016" s="15">
        <f t="shared" si="75"/>
        <v>68075</v>
      </c>
      <c r="P1016" s="15">
        <f t="shared" si="76"/>
        <v>23.865867339784042</v>
      </c>
      <c r="Q1016" s="25">
        <v>8011</v>
      </c>
      <c r="R1016" s="22">
        <v>36</v>
      </c>
      <c r="S1016" s="22" t="s">
        <v>1377</v>
      </c>
      <c r="T1016" s="22">
        <f t="shared" si="77"/>
        <v>1</v>
      </c>
      <c r="U1016" s="22">
        <f t="shared" si="78"/>
        <v>2021</v>
      </c>
      <c r="V1016" s="22" t="str">
        <f t="shared" si="79"/>
        <v>METROPOLITANA</v>
      </c>
    </row>
    <row r="1017" spans="1:22" x14ac:dyDescent="0.2">
      <c r="A1017" s="23" t="s">
        <v>1358</v>
      </c>
      <c r="B1017" s="22" t="s">
        <v>33</v>
      </c>
      <c r="C1017" s="22" t="s">
        <v>44</v>
      </c>
      <c r="D1017" s="22" t="s">
        <v>45</v>
      </c>
      <c r="E1017" s="24" t="s">
        <v>49</v>
      </c>
      <c r="F1017" s="22" t="s">
        <v>46</v>
      </c>
      <c r="G1017" s="25">
        <v>2909.3</v>
      </c>
      <c r="H1017" s="22" t="s">
        <v>22</v>
      </c>
      <c r="I1017" s="22">
        <v>0</v>
      </c>
      <c r="J1017" s="22" t="s">
        <v>46</v>
      </c>
      <c r="K1017" s="22" t="s">
        <v>23</v>
      </c>
      <c r="L1017" s="22">
        <v>2</v>
      </c>
      <c r="M1017" s="26">
        <v>40475</v>
      </c>
      <c r="N1017" s="26">
        <v>12000</v>
      </c>
      <c r="O1017" s="15">
        <f t="shared" si="75"/>
        <v>52475</v>
      </c>
      <c r="P1017" s="15">
        <f t="shared" si="76"/>
        <v>18.036984841714499</v>
      </c>
      <c r="Q1017" s="25">
        <v>5782</v>
      </c>
      <c r="R1017" s="22">
        <v>50</v>
      </c>
      <c r="S1017" s="22" t="s">
        <v>1378</v>
      </c>
      <c r="T1017" s="22">
        <f t="shared" si="77"/>
        <v>1</v>
      </c>
      <c r="U1017" s="22">
        <f t="shared" si="78"/>
        <v>2021</v>
      </c>
      <c r="V1017" s="22" t="str">
        <f t="shared" si="79"/>
        <v>METROPOLITANA</v>
      </c>
    </row>
    <row r="1018" spans="1:22" x14ac:dyDescent="0.2">
      <c r="A1018" s="23" t="s">
        <v>1358</v>
      </c>
      <c r="B1018" s="22" t="s">
        <v>33</v>
      </c>
      <c r="C1018" s="22" t="s">
        <v>44</v>
      </c>
      <c r="D1018" s="22" t="s">
        <v>47</v>
      </c>
      <c r="E1018" s="24" t="s">
        <v>88</v>
      </c>
      <c r="F1018" s="22" t="s">
        <v>48</v>
      </c>
      <c r="G1018" s="25">
        <v>3382.12</v>
      </c>
      <c r="H1018" s="22" t="s">
        <v>22</v>
      </c>
      <c r="I1018" s="22">
        <v>0</v>
      </c>
      <c r="J1018" s="22" t="s">
        <v>48</v>
      </c>
      <c r="K1018" s="22" t="s">
        <v>23</v>
      </c>
      <c r="L1018" s="22">
        <v>1</v>
      </c>
      <c r="M1018" s="26">
        <v>33750</v>
      </c>
      <c r="N1018" s="26">
        <v>13528</v>
      </c>
      <c r="O1018" s="15">
        <f t="shared" si="75"/>
        <v>47278</v>
      </c>
      <c r="P1018" s="15">
        <f t="shared" si="76"/>
        <v>13.97880619256561</v>
      </c>
      <c r="Q1018" s="25">
        <v>4821</v>
      </c>
      <c r="R1018" s="22">
        <v>70</v>
      </c>
      <c r="S1018" s="22" t="s">
        <v>1379</v>
      </c>
      <c r="T1018" s="22">
        <f t="shared" si="77"/>
        <v>1</v>
      </c>
      <c r="U1018" s="22">
        <f t="shared" si="78"/>
        <v>2021</v>
      </c>
      <c r="V1018" s="22" t="str">
        <f t="shared" si="79"/>
        <v>METROPOLITANA</v>
      </c>
    </row>
    <row r="1019" spans="1:22" x14ac:dyDescent="0.2">
      <c r="A1019" s="23" t="s">
        <v>1358</v>
      </c>
      <c r="B1019" s="22" t="s">
        <v>33</v>
      </c>
      <c r="C1019" s="22" t="s">
        <v>44</v>
      </c>
      <c r="D1019" s="22" t="s">
        <v>35</v>
      </c>
      <c r="E1019" s="24" t="s">
        <v>21</v>
      </c>
      <c r="F1019" s="22" t="s">
        <v>67</v>
      </c>
      <c r="G1019" s="25">
        <v>4831.62</v>
      </c>
      <c r="H1019" s="22" t="s">
        <v>22</v>
      </c>
      <c r="I1019" s="22">
        <v>0</v>
      </c>
      <c r="J1019" s="22" t="s">
        <v>67</v>
      </c>
      <c r="K1019" s="22" t="s">
        <v>23</v>
      </c>
      <c r="L1019" s="22">
        <v>2</v>
      </c>
      <c r="M1019" s="26">
        <v>40475</v>
      </c>
      <c r="N1019" s="26">
        <v>19326</v>
      </c>
      <c r="O1019" s="15">
        <f t="shared" si="75"/>
        <v>59801</v>
      </c>
      <c r="P1019" s="15">
        <f t="shared" si="76"/>
        <v>12.377008125639019</v>
      </c>
      <c r="Q1019" s="25">
        <v>5782</v>
      </c>
      <c r="R1019" s="22">
        <v>84</v>
      </c>
      <c r="S1019" s="22" t="s">
        <v>1380</v>
      </c>
      <c r="T1019" s="22">
        <f t="shared" si="77"/>
        <v>1</v>
      </c>
      <c r="U1019" s="22">
        <f t="shared" si="78"/>
        <v>2021</v>
      </c>
      <c r="V1019" s="22" t="str">
        <f t="shared" si="79"/>
        <v>METROPOLITANA</v>
      </c>
    </row>
    <row r="1020" spans="1:22" x14ac:dyDescent="0.2">
      <c r="A1020" s="23" t="s">
        <v>1358</v>
      </c>
      <c r="B1020" s="22" t="s">
        <v>33</v>
      </c>
      <c r="C1020" s="22" t="s">
        <v>1163</v>
      </c>
      <c r="D1020" s="22" t="s">
        <v>786</v>
      </c>
      <c r="E1020" s="24" t="s">
        <v>787</v>
      </c>
      <c r="F1020" s="22" t="s">
        <v>1166</v>
      </c>
      <c r="G1020" s="25">
        <v>9177</v>
      </c>
      <c r="H1020" s="22" t="s">
        <v>788</v>
      </c>
      <c r="I1020" s="22">
        <v>1</v>
      </c>
      <c r="J1020" s="22" t="s">
        <v>1166</v>
      </c>
      <c r="K1020" s="22" t="s">
        <v>23</v>
      </c>
      <c r="L1020" s="22">
        <v>5</v>
      </c>
      <c r="M1020" s="26">
        <v>120000</v>
      </c>
      <c r="N1020" s="26">
        <v>0</v>
      </c>
      <c r="O1020" s="15">
        <f t="shared" si="75"/>
        <v>120000</v>
      </c>
      <c r="P1020" s="15">
        <f t="shared" si="76"/>
        <v>13.076168682576006</v>
      </c>
      <c r="Q1020" s="25">
        <v>12000</v>
      </c>
      <c r="R1020" s="22">
        <v>76</v>
      </c>
      <c r="S1020" s="22" t="s">
        <v>1381</v>
      </c>
      <c r="T1020" s="22">
        <f t="shared" si="77"/>
        <v>1</v>
      </c>
      <c r="U1020" s="22">
        <f t="shared" si="78"/>
        <v>2021</v>
      </c>
      <c r="V1020" s="22" t="str">
        <f t="shared" si="79"/>
        <v>METROPOLITANA</v>
      </c>
    </row>
    <row r="1021" spans="1:22" x14ac:dyDescent="0.2">
      <c r="A1021" s="11" t="s">
        <v>1382</v>
      </c>
      <c r="B1021" s="12" t="s">
        <v>54</v>
      </c>
      <c r="C1021" s="12" t="s">
        <v>55</v>
      </c>
      <c r="D1021" s="12" t="s">
        <v>370</v>
      </c>
      <c r="E1021" s="13" t="s">
        <v>371</v>
      </c>
      <c r="F1021" s="12" t="s">
        <v>66</v>
      </c>
      <c r="G1021" s="14">
        <v>14014.79999999999</v>
      </c>
      <c r="H1021" s="12" t="s">
        <v>85</v>
      </c>
      <c r="I1021" s="12">
        <v>1</v>
      </c>
      <c r="J1021" s="12" t="s">
        <v>66</v>
      </c>
      <c r="K1021" s="12" t="s">
        <v>75</v>
      </c>
      <c r="L1021" s="12">
        <v>0</v>
      </c>
      <c r="M1021" s="15">
        <v>380000</v>
      </c>
      <c r="N1021" s="15">
        <v>0</v>
      </c>
      <c r="O1021" s="15">
        <f t="shared" si="75"/>
        <v>380000</v>
      </c>
      <c r="P1021" s="15">
        <f t="shared" si="76"/>
        <v>27.114193566800829</v>
      </c>
      <c r="Q1021" s="14">
        <v>25000</v>
      </c>
      <c r="R1021" s="12">
        <v>56</v>
      </c>
      <c r="S1021" s="12" t="s">
        <v>1383</v>
      </c>
      <c r="T1021" s="22">
        <f t="shared" si="77"/>
        <v>1</v>
      </c>
      <c r="U1021" s="22">
        <f t="shared" si="78"/>
        <v>2021</v>
      </c>
      <c r="V1021" s="22" t="str">
        <f t="shared" si="79"/>
        <v>REGIONES</v>
      </c>
    </row>
    <row r="1022" spans="1:22" x14ac:dyDescent="0.2">
      <c r="A1022" s="11" t="s">
        <v>1382</v>
      </c>
      <c r="B1022" s="12" t="s">
        <v>18</v>
      </c>
      <c r="C1022" s="12" t="s">
        <v>50</v>
      </c>
      <c r="D1022" s="12" t="s">
        <v>27</v>
      </c>
      <c r="E1022" s="13" t="s">
        <v>28</v>
      </c>
      <c r="F1022" s="12" t="s">
        <v>26</v>
      </c>
      <c r="G1022" s="14">
        <v>9782.52</v>
      </c>
      <c r="H1022" s="12" t="s">
        <v>22</v>
      </c>
      <c r="I1022" s="12">
        <v>1</v>
      </c>
      <c r="J1022" s="12" t="s">
        <v>26</v>
      </c>
      <c r="K1022" s="12" t="s">
        <v>23</v>
      </c>
      <c r="L1022" s="12">
        <v>4</v>
      </c>
      <c r="M1022" s="15">
        <v>68478</v>
      </c>
      <c r="N1022" s="15">
        <f>G1022*4</f>
        <v>39130.080000000002</v>
      </c>
      <c r="O1022" s="15">
        <f t="shared" si="75"/>
        <v>107608.08</v>
      </c>
      <c r="P1022" s="15">
        <f t="shared" si="76"/>
        <v>11.000036800333657</v>
      </c>
      <c r="Q1022" s="14">
        <v>8011</v>
      </c>
      <c r="R1022" s="12">
        <v>100</v>
      </c>
      <c r="S1022" s="12" t="s">
        <v>1384</v>
      </c>
      <c r="T1022" s="22">
        <f t="shared" si="77"/>
        <v>1</v>
      </c>
      <c r="U1022" s="22">
        <f t="shared" si="78"/>
        <v>2021</v>
      </c>
      <c r="V1022" s="22" t="str">
        <f t="shared" si="79"/>
        <v>METROPOLITANA</v>
      </c>
    </row>
    <row r="1023" spans="1:22" x14ac:dyDescent="0.2">
      <c r="A1023" s="11" t="s">
        <v>1382</v>
      </c>
      <c r="B1023" s="12" t="s">
        <v>18</v>
      </c>
      <c r="C1023" s="12" t="s">
        <v>57</v>
      </c>
      <c r="D1023" s="12" t="s">
        <v>37</v>
      </c>
      <c r="E1023" s="13" t="s">
        <v>40</v>
      </c>
      <c r="F1023" s="12" t="s">
        <v>800</v>
      </c>
      <c r="G1023" s="14">
        <v>10626.08</v>
      </c>
      <c r="H1023" s="12" t="s">
        <v>22</v>
      </c>
      <c r="I1023" s="12">
        <v>0</v>
      </c>
      <c r="J1023" s="12" t="s">
        <v>800</v>
      </c>
      <c r="K1023" s="12" t="s">
        <v>23</v>
      </c>
      <c r="L1023" s="12">
        <v>5</v>
      </c>
      <c r="M1023" s="15">
        <v>90000</v>
      </c>
      <c r="N1023" s="15">
        <f>G1023*4</f>
        <v>42504.32</v>
      </c>
      <c r="O1023" s="15">
        <f t="shared" si="75"/>
        <v>132504.32000000001</v>
      </c>
      <c r="P1023" s="15">
        <f t="shared" si="76"/>
        <v>12.469727312423773</v>
      </c>
      <c r="Q1023" s="14">
        <v>12000</v>
      </c>
      <c r="R1023" s="12">
        <v>89</v>
      </c>
      <c r="S1023" s="12" t="s">
        <v>1385</v>
      </c>
      <c r="T1023" s="22">
        <f t="shared" si="77"/>
        <v>1</v>
      </c>
      <c r="U1023" s="22">
        <f t="shared" si="78"/>
        <v>2021</v>
      </c>
      <c r="V1023" s="22" t="str">
        <f t="shared" si="79"/>
        <v>METROPOLITANA</v>
      </c>
    </row>
    <row r="1024" spans="1:22" x14ac:dyDescent="0.2">
      <c r="A1024" s="11" t="s">
        <v>1382</v>
      </c>
      <c r="B1024" s="12" t="s">
        <v>33</v>
      </c>
      <c r="C1024" s="12" t="s">
        <v>187</v>
      </c>
      <c r="D1024" s="12" t="s">
        <v>188</v>
      </c>
      <c r="E1024" s="13" t="s">
        <v>189</v>
      </c>
      <c r="F1024" s="12" t="s">
        <v>129</v>
      </c>
      <c r="G1024" s="14">
        <v>3990</v>
      </c>
      <c r="H1024" s="12" t="s">
        <v>190</v>
      </c>
      <c r="I1024" s="12">
        <v>0</v>
      </c>
      <c r="J1024" s="12" t="s">
        <v>129</v>
      </c>
      <c r="K1024" s="12" t="s">
        <v>23</v>
      </c>
      <c r="L1024" s="12">
        <v>1</v>
      </c>
      <c r="M1024" s="15">
        <v>33750</v>
      </c>
      <c r="N1024" s="15">
        <v>0</v>
      </c>
      <c r="O1024" s="15">
        <f t="shared" si="75"/>
        <v>33750</v>
      </c>
      <c r="P1024" s="15">
        <f t="shared" si="76"/>
        <v>8.458646616541353</v>
      </c>
      <c r="Q1024" s="14">
        <v>4821</v>
      </c>
      <c r="R1024" s="12">
        <v>83</v>
      </c>
      <c r="S1024" s="12" t="s">
        <v>1386</v>
      </c>
      <c r="T1024" s="22">
        <f t="shared" si="77"/>
        <v>1</v>
      </c>
      <c r="U1024" s="22">
        <f t="shared" si="78"/>
        <v>2021</v>
      </c>
      <c r="V1024" s="22" t="str">
        <f t="shared" si="79"/>
        <v>METROPOLITANA</v>
      </c>
    </row>
    <row r="1025" spans="1:22" x14ac:dyDescent="0.2">
      <c r="A1025" s="11" t="s">
        <v>1382</v>
      </c>
      <c r="B1025" s="12" t="s">
        <v>33</v>
      </c>
      <c r="C1025" s="12" t="s">
        <v>50</v>
      </c>
      <c r="D1025" s="12" t="s">
        <v>56</v>
      </c>
      <c r="E1025" s="13" t="s">
        <v>49</v>
      </c>
      <c r="F1025" s="12" t="s">
        <v>26</v>
      </c>
      <c r="G1025" s="14">
        <v>6258.4000000000005</v>
      </c>
      <c r="H1025" s="12" t="s">
        <v>22</v>
      </c>
      <c r="I1025" s="12">
        <v>0</v>
      </c>
      <c r="J1025" s="12" t="s">
        <v>26</v>
      </c>
      <c r="K1025" s="12" t="s">
        <v>23</v>
      </c>
      <c r="L1025" s="12">
        <v>4</v>
      </c>
      <c r="M1025" s="15">
        <v>56075</v>
      </c>
      <c r="N1025" s="15">
        <f>G1025*4</f>
        <v>25033.600000000002</v>
      </c>
      <c r="O1025" s="15">
        <f t="shared" si="75"/>
        <v>81108.600000000006</v>
      </c>
      <c r="P1025" s="15">
        <f t="shared" si="76"/>
        <v>12.959957816694363</v>
      </c>
      <c r="Q1025" s="14">
        <v>8011</v>
      </c>
      <c r="R1025" s="12">
        <v>78</v>
      </c>
      <c r="S1025" s="12" t="s">
        <v>1387</v>
      </c>
      <c r="T1025" s="22">
        <f t="shared" si="77"/>
        <v>1</v>
      </c>
      <c r="U1025" s="22">
        <f t="shared" si="78"/>
        <v>2021</v>
      </c>
      <c r="V1025" s="22" t="str">
        <f t="shared" si="79"/>
        <v>METROPOLITANA</v>
      </c>
    </row>
    <row r="1026" spans="1:22" x14ac:dyDescent="0.2">
      <c r="A1026" s="11" t="s">
        <v>1382</v>
      </c>
      <c r="B1026" s="12" t="s">
        <v>33</v>
      </c>
      <c r="C1026" s="12" t="s">
        <v>57</v>
      </c>
      <c r="D1026" s="12" t="s">
        <v>20</v>
      </c>
      <c r="E1026" s="13" t="s">
        <v>88</v>
      </c>
      <c r="F1026" s="12" t="s">
        <v>800</v>
      </c>
      <c r="G1026" s="14">
        <v>6480</v>
      </c>
      <c r="H1026" s="12" t="s">
        <v>22</v>
      </c>
      <c r="I1026" s="12">
        <v>0</v>
      </c>
      <c r="J1026" s="12" t="s">
        <v>800</v>
      </c>
      <c r="K1026" s="12" t="s">
        <v>23</v>
      </c>
      <c r="L1026" s="12">
        <v>5</v>
      </c>
      <c r="M1026" s="15">
        <v>90000</v>
      </c>
      <c r="N1026" s="15">
        <f>G1026*4</f>
        <v>25920</v>
      </c>
      <c r="O1026" s="15">
        <f t="shared" ref="O1026:O1089" si="80">SUM(M1026:N1026)</f>
        <v>115920</v>
      </c>
      <c r="P1026" s="15">
        <f t="shared" ref="P1026:P1089" si="81">O1026/G1026</f>
        <v>17.888888888888889</v>
      </c>
      <c r="Q1026" s="14">
        <v>12000</v>
      </c>
      <c r="R1026" s="12">
        <v>54</v>
      </c>
      <c r="S1026" s="12" t="s">
        <v>1388</v>
      </c>
      <c r="T1026" s="22">
        <f t="shared" ref="T1026:T1089" si="82">MONTH(A1026)</f>
        <v>1</v>
      </c>
      <c r="U1026" s="22">
        <f t="shared" ref="U1026:U1089" si="83">YEAR(A1026)</f>
        <v>2021</v>
      </c>
      <c r="V1026" s="22" t="str">
        <f t="shared" ref="V1026:V1089" si="84">IF(K1026="METROPOLITANA DE SANTIAGO","METROPOLITANA","REGIONES")</f>
        <v>METROPOLITANA</v>
      </c>
    </row>
    <row r="1027" spans="1:22" x14ac:dyDescent="0.2">
      <c r="A1027" s="11" t="s">
        <v>1382</v>
      </c>
      <c r="B1027" s="12" t="s">
        <v>33</v>
      </c>
      <c r="C1027" s="12" t="s">
        <v>44</v>
      </c>
      <c r="D1027" s="12" t="s">
        <v>56</v>
      </c>
      <c r="E1027" s="13" t="s">
        <v>52</v>
      </c>
      <c r="F1027" s="12" t="s">
        <v>95</v>
      </c>
      <c r="G1027" s="14">
        <v>4478.7999999999984</v>
      </c>
      <c r="H1027" s="12" t="s">
        <v>22</v>
      </c>
      <c r="I1027" s="12">
        <v>0</v>
      </c>
      <c r="J1027" s="12" t="s">
        <v>95</v>
      </c>
      <c r="K1027" s="12" t="s">
        <v>23</v>
      </c>
      <c r="L1027" s="12">
        <v>4</v>
      </c>
      <c r="M1027" s="15">
        <v>56075</v>
      </c>
      <c r="N1027" s="15">
        <v>17915</v>
      </c>
      <c r="O1027" s="15">
        <f t="shared" si="80"/>
        <v>73990</v>
      </c>
      <c r="P1027" s="15">
        <f t="shared" si="81"/>
        <v>16.520050013396453</v>
      </c>
      <c r="Q1027" s="14">
        <v>8011</v>
      </c>
      <c r="R1027" s="12">
        <v>56</v>
      </c>
      <c r="S1027" s="12" t="s">
        <v>1389</v>
      </c>
      <c r="T1027" s="22">
        <f t="shared" si="82"/>
        <v>1</v>
      </c>
      <c r="U1027" s="22">
        <f t="shared" si="83"/>
        <v>2021</v>
      </c>
      <c r="V1027" s="22" t="str">
        <f t="shared" si="84"/>
        <v>METROPOLITANA</v>
      </c>
    </row>
    <row r="1028" spans="1:22" x14ac:dyDescent="0.2">
      <c r="A1028" s="11" t="s">
        <v>1382</v>
      </c>
      <c r="B1028" s="12" t="s">
        <v>33</v>
      </c>
      <c r="C1028" s="12" t="s">
        <v>44</v>
      </c>
      <c r="D1028" s="12" t="s">
        <v>188</v>
      </c>
      <c r="E1028" s="13" t="s">
        <v>189</v>
      </c>
      <c r="F1028" s="12" t="s">
        <v>225</v>
      </c>
      <c r="G1028" s="14">
        <v>3602.8</v>
      </c>
      <c r="H1028" s="12" t="s">
        <v>190</v>
      </c>
      <c r="I1028" s="12">
        <v>0</v>
      </c>
      <c r="J1028" s="12" t="s">
        <v>225</v>
      </c>
      <c r="K1028" s="12" t="s">
        <v>23</v>
      </c>
      <c r="L1028" s="12">
        <v>3</v>
      </c>
      <c r="M1028" s="15">
        <v>48075</v>
      </c>
      <c r="N1028" s="15">
        <v>0</v>
      </c>
      <c r="O1028" s="15">
        <f t="shared" si="80"/>
        <v>48075</v>
      </c>
      <c r="P1028" s="15">
        <f t="shared" si="81"/>
        <v>13.34378816476074</v>
      </c>
      <c r="Q1028" s="14">
        <v>6868</v>
      </c>
      <c r="R1028" s="12">
        <v>52</v>
      </c>
      <c r="S1028" s="12" t="s">
        <v>1390</v>
      </c>
      <c r="T1028" s="22">
        <f t="shared" si="82"/>
        <v>1</v>
      </c>
      <c r="U1028" s="22">
        <f t="shared" si="83"/>
        <v>2021</v>
      </c>
      <c r="V1028" s="22" t="str">
        <f t="shared" si="84"/>
        <v>METROPOLITANA</v>
      </c>
    </row>
    <row r="1029" spans="1:22" x14ac:dyDescent="0.2">
      <c r="A1029" s="11" t="s">
        <v>1382</v>
      </c>
      <c r="B1029" s="12" t="s">
        <v>33</v>
      </c>
      <c r="C1029" s="12" t="s">
        <v>44</v>
      </c>
      <c r="D1029" s="12" t="s">
        <v>37</v>
      </c>
      <c r="E1029" s="13" t="s">
        <v>40</v>
      </c>
      <c r="F1029" s="12" t="s">
        <v>48</v>
      </c>
      <c r="G1029" s="14">
        <v>4049.5</v>
      </c>
      <c r="H1029" s="12" t="s">
        <v>22</v>
      </c>
      <c r="I1029" s="12">
        <v>0</v>
      </c>
      <c r="J1029" s="12" t="s">
        <v>48</v>
      </c>
      <c r="K1029" s="12" t="s">
        <v>23</v>
      </c>
      <c r="L1029" s="12">
        <v>1</v>
      </c>
      <c r="M1029" s="15">
        <v>33750</v>
      </c>
      <c r="N1029" s="15">
        <v>16198</v>
      </c>
      <c r="O1029" s="15">
        <f t="shared" si="80"/>
        <v>49948</v>
      </c>
      <c r="P1029" s="15">
        <f t="shared" si="81"/>
        <v>12.334362266946536</v>
      </c>
      <c r="Q1029" s="14">
        <v>4821</v>
      </c>
      <c r="R1029" s="12">
        <v>84</v>
      </c>
      <c r="S1029" s="12" t="s">
        <v>1391</v>
      </c>
      <c r="T1029" s="22">
        <f t="shared" si="82"/>
        <v>1</v>
      </c>
      <c r="U1029" s="22">
        <f t="shared" si="83"/>
        <v>2021</v>
      </c>
      <c r="V1029" s="22" t="str">
        <f t="shared" si="84"/>
        <v>METROPOLITANA</v>
      </c>
    </row>
    <row r="1030" spans="1:22" x14ac:dyDescent="0.2">
      <c r="A1030" s="11" t="s">
        <v>1382</v>
      </c>
      <c r="B1030" s="12" t="s">
        <v>33</v>
      </c>
      <c r="C1030" s="12" t="s">
        <v>44</v>
      </c>
      <c r="D1030" s="12" t="s">
        <v>45</v>
      </c>
      <c r="E1030" s="13" t="s">
        <v>49</v>
      </c>
      <c r="F1030" s="12" t="s">
        <v>229</v>
      </c>
      <c r="G1030" s="14">
        <v>3195.9</v>
      </c>
      <c r="H1030" s="12" t="s">
        <v>22</v>
      </c>
      <c r="I1030" s="12">
        <v>0</v>
      </c>
      <c r="J1030" s="12" t="s">
        <v>230</v>
      </c>
      <c r="K1030" s="12" t="s">
        <v>23</v>
      </c>
      <c r="L1030" s="12">
        <v>4</v>
      </c>
      <c r="M1030" s="15">
        <v>56075</v>
      </c>
      <c r="N1030" s="15">
        <v>12784</v>
      </c>
      <c r="O1030" s="15">
        <f t="shared" si="80"/>
        <v>68859</v>
      </c>
      <c r="P1030" s="15">
        <f t="shared" si="81"/>
        <v>21.546043368065334</v>
      </c>
      <c r="Q1030" s="14">
        <v>8011</v>
      </c>
      <c r="R1030" s="12">
        <v>40</v>
      </c>
      <c r="S1030" s="12" t="s">
        <v>1392</v>
      </c>
      <c r="T1030" s="22">
        <f t="shared" si="82"/>
        <v>1</v>
      </c>
      <c r="U1030" s="22">
        <f t="shared" si="83"/>
        <v>2021</v>
      </c>
      <c r="V1030" s="22" t="str">
        <f t="shared" si="84"/>
        <v>METROPOLITANA</v>
      </c>
    </row>
    <row r="1031" spans="1:22" x14ac:dyDescent="0.2">
      <c r="A1031" s="11" t="s">
        <v>1382</v>
      </c>
      <c r="B1031" s="12" t="s">
        <v>33</v>
      </c>
      <c r="C1031" s="12" t="s">
        <v>44</v>
      </c>
      <c r="D1031" s="12" t="s">
        <v>47</v>
      </c>
      <c r="E1031" s="13" t="s">
        <v>88</v>
      </c>
      <c r="F1031" s="12" t="s">
        <v>134</v>
      </c>
      <c r="G1031" s="14">
        <v>2634.5</v>
      </c>
      <c r="H1031" s="12" t="s">
        <v>22</v>
      </c>
      <c r="I1031" s="12">
        <v>0</v>
      </c>
      <c r="J1031" s="12" t="s">
        <v>134</v>
      </c>
      <c r="K1031" s="12" t="s">
        <v>23</v>
      </c>
      <c r="L1031" s="12">
        <v>2</v>
      </c>
      <c r="M1031" s="15">
        <v>40475</v>
      </c>
      <c r="N1031" s="15">
        <v>12000</v>
      </c>
      <c r="O1031" s="15">
        <f t="shared" si="80"/>
        <v>52475</v>
      </c>
      <c r="P1031" s="15">
        <f t="shared" si="81"/>
        <v>19.918390586449043</v>
      </c>
      <c r="Q1031" s="14">
        <v>5782</v>
      </c>
      <c r="R1031" s="12">
        <v>46</v>
      </c>
      <c r="S1031" s="12" t="s">
        <v>1393</v>
      </c>
      <c r="T1031" s="22">
        <f t="shared" si="82"/>
        <v>1</v>
      </c>
      <c r="U1031" s="22">
        <f t="shared" si="83"/>
        <v>2021</v>
      </c>
      <c r="V1031" s="22" t="str">
        <f t="shared" si="84"/>
        <v>METROPOLITANA</v>
      </c>
    </row>
    <row r="1032" spans="1:22" x14ac:dyDescent="0.2">
      <c r="A1032" s="11" t="s">
        <v>1382</v>
      </c>
      <c r="B1032" s="12" t="s">
        <v>33</v>
      </c>
      <c r="C1032" s="12" t="s">
        <v>44</v>
      </c>
      <c r="D1032" s="12" t="s">
        <v>35</v>
      </c>
      <c r="E1032" s="13" t="s">
        <v>21</v>
      </c>
      <c r="F1032" s="12" t="s">
        <v>53</v>
      </c>
      <c r="G1032" s="14">
        <v>3110.1</v>
      </c>
      <c r="H1032" s="12" t="s">
        <v>22</v>
      </c>
      <c r="I1032" s="12">
        <v>0</v>
      </c>
      <c r="J1032" s="12" t="s">
        <v>53</v>
      </c>
      <c r="K1032" s="12" t="s">
        <v>23</v>
      </c>
      <c r="L1032" s="12">
        <v>3</v>
      </c>
      <c r="M1032" s="15">
        <v>48075</v>
      </c>
      <c r="N1032" s="15">
        <v>12440</v>
      </c>
      <c r="O1032" s="15">
        <f t="shared" si="80"/>
        <v>60515</v>
      </c>
      <c r="P1032" s="15">
        <f t="shared" si="81"/>
        <v>19.457573711456224</v>
      </c>
      <c r="Q1032" s="14">
        <v>6868</v>
      </c>
      <c r="R1032" s="12">
        <v>45</v>
      </c>
      <c r="S1032" s="12" t="s">
        <v>1394</v>
      </c>
      <c r="T1032" s="22">
        <f t="shared" si="82"/>
        <v>1</v>
      </c>
      <c r="U1032" s="22">
        <f t="shared" si="83"/>
        <v>2021</v>
      </c>
      <c r="V1032" s="22" t="str">
        <f t="shared" si="84"/>
        <v>METROPOLITANA</v>
      </c>
    </row>
    <row r="1033" spans="1:22" x14ac:dyDescent="0.2">
      <c r="A1033" s="11" t="s">
        <v>1382</v>
      </c>
      <c r="B1033" s="12" t="s">
        <v>33</v>
      </c>
      <c r="C1033" s="12" t="s">
        <v>44</v>
      </c>
      <c r="D1033" s="12" t="s">
        <v>20</v>
      </c>
      <c r="E1033" s="13" t="s">
        <v>21</v>
      </c>
      <c r="F1033" s="12" t="s">
        <v>26</v>
      </c>
      <c r="G1033" s="14">
        <v>1282.9000000000001</v>
      </c>
      <c r="H1033" s="12" t="s">
        <v>22</v>
      </c>
      <c r="I1033" s="12">
        <v>0</v>
      </c>
      <c r="J1033" s="12" t="s">
        <v>26</v>
      </c>
      <c r="K1033" s="12" t="s">
        <v>23</v>
      </c>
      <c r="L1033" s="12">
        <v>4</v>
      </c>
      <c r="M1033" s="15">
        <v>56075</v>
      </c>
      <c r="N1033" s="15">
        <v>12000</v>
      </c>
      <c r="O1033" s="15">
        <f t="shared" si="80"/>
        <v>68075</v>
      </c>
      <c r="P1033" s="15">
        <f t="shared" si="81"/>
        <v>53.063372047704419</v>
      </c>
      <c r="Q1033" s="14">
        <v>8011</v>
      </c>
      <c r="R1033" s="12">
        <v>16</v>
      </c>
      <c r="S1033" s="12" t="s">
        <v>1395</v>
      </c>
      <c r="T1033" s="22">
        <f t="shared" si="82"/>
        <v>1</v>
      </c>
      <c r="U1033" s="22">
        <f t="shared" si="83"/>
        <v>2021</v>
      </c>
      <c r="V1033" s="22" t="str">
        <f t="shared" si="84"/>
        <v>METROPOLITANA</v>
      </c>
    </row>
    <row r="1034" spans="1:22" x14ac:dyDescent="0.2">
      <c r="A1034" s="23" t="s">
        <v>1396</v>
      </c>
      <c r="B1034" s="22" t="s">
        <v>54</v>
      </c>
      <c r="C1034" s="22" t="s">
        <v>55</v>
      </c>
      <c r="D1034" s="22" t="s">
        <v>130</v>
      </c>
      <c r="E1034" s="24" t="s">
        <v>131</v>
      </c>
      <c r="F1034" s="22" t="s">
        <v>66</v>
      </c>
      <c r="G1034" s="25">
        <v>14014.79999999999</v>
      </c>
      <c r="H1034" s="22" t="s">
        <v>85</v>
      </c>
      <c r="I1034" s="22">
        <v>1</v>
      </c>
      <c r="J1034" s="22" t="s">
        <v>66</v>
      </c>
      <c r="K1034" s="22" t="s">
        <v>75</v>
      </c>
      <c r="L1034" s="22">
        <v>0</v>
      </c>
      <c r="M1034" s="26">
        <v>380000</v>
      </c>
      <c r="N1034" s="26">
        <v>0</v>
      </c>
      <c r="O1034" s="15">
        <f t="shared" si="80"/>
        <v>380000</v>
      </c>
      <c r="P1034" s="15">
        <f t="shared" si="81"/>
        <v>27.114193566800829</v>
      </c>
      <c r="Q1034" s="25">
        <v>25000</v>
      </c>
      <c r="R1034" s="22">
        <v>56</v>
      </c>
      <c r="S1034" s="22" t="s">
        <v>1397</v>
      </c>
      <c r="T1034" s="22">
        <f t="shared" si="82"/>
        <v>1</v>
      </c>
      <c r="U1034" s="22">
        <f t="shared" si="83"/>
        <v>2021</v>
      </c>
      <c r="V1034" s="22" t="str">
        <f t="shared" si="84"/>
        <v>REGIONES</v>
      </c>
    </row>
    <row r="1035" spans="1:22" x14ac:dyDescent="0.2">
      <c r="A1035" s="23" t="s">
        <v>1396</v>
      </c>
      <c r="B1035" s="22" t="s">
        <v>18</v>
      </c>
      <c r="C1035" s="22" t="s">
        <v>50</v>
      </c>
      <c r="D1035" s="22" t="s">
        <v>30</v>
      </c>
      <c r="E1035" s="24" t="s">
        <v>31</v>
      </c>
      <c r="F1035" s="22" t="s">
        <v>26</v>
      </c>
      <c r="G1035" s="25">
        <v>9782.52</v>
      </c>
      <c r="H1035" s="22" t="s">
        <v>32</v>
      </c>
      <c r="I1035" s="22">
        <v>0</v>
      </c>
      <c r="J1035" s="22" t="s">
        <v>26</v>
      </c>
      <c r="K1035" s="22" t="s">
        <v>23</v>
      </c>
      <c r="L1035" s="22">
        <v>4</v>
      </c>
      <c r="M1035" s="26">
        <v>68478</v>
      </c>
      <c r="N1035" s="26">
        <f>G1035*3</f>
        <v>29347.56</v>
      </c>
      <c r="O1035" s="15">
        <f t="shared" si="80"/>
        <v>97825.56</v>
      </c>
      <c r="P1035" s="15">
        <f t="shared" si="81"/>
        <v>10.000036800333655</v>
      </c>
      <c r="Q1035" s="25">
        <v>8011</v>
      </c>
      <c r="R1035" s="22">
        <v>100</v>
      </c>
      <c r="S1035" s="22" t="s">
        <v>1398</v>
      </c>
      <c r="T1035" s="22">
        <f t="shared" si="82"/>
        <v>1</v>
      </c>
      <c r="U1035" s="22">
        <f t="shared" si="83"/>
        <v>2021</v>
      </c>
      <c r="V1035" s="22" t="str">
        <f t="shared" si="84"/>
        <v>METROPOLITANA</v>
      </c>
    </row>
    <row r="1036" spans="1:22" x14ac:dyDescent="0.2">
      <c r="A1036" s="23" t="s">
        <v>1396</v>
      </c>
      <c r="B1036" s="22" t="s">
        <v>18</v>
      </c>
      <c r="C1036" s="22" t="s">
        <v>71</v>
      </c>
      <c r="D1036" s="22" t="s">
        <v>786</v>
      </c>
      <c r="E1036" s="24" t="s">
        <v>787</v>
      </c>
      <c r="F1036" s="22" t="s">
        <v>72</v>
      </c>
      <c r="G1036" s="25">
        <v>5344.56</v>
      </c>
      <c r="H1036" s="22" t="s">
        <v>788</v>
      </c>
      <c r="I1036" s="22">
        <v>1</v>
      </c>
      <c r="J1036" s="22" t="s">
        <v>72</v>
      </c>
      <c r="K1036" s="22" t="s">
        <v>23</v>
      </c>
      <c r="L1036" s="22">
        <v>5</v>
      </c>
      <c r="M1036" s="26">
        <v>120000</v>
      </c>
      <c r="N1036" s="26">
        <v>0</v>
      </c>
      <c r="O1036" s="15">
        <f t="shared" si="80"/>
        <v>120000</v>
      </c>
      <c r="P1036" s="15">
        <f t="shared" si="81"/>
        <v>22.452736988638915</v>
      </c>
      <c r="Q1036" s="25">
        <v>12000</v>
      </c>
      <c r="R1036" s="22">
        <v>45</v>
      </c>
      <c r="S1036" s="22" t="s">
        <v>1399</v>
      </c>
      <c r="T1036" s="22">
        <f t="shared" si="82"/>
        <v>1</v>
      </c>
      <c r="U1036" s="22">
        <f t="shared" si="83"/>
        <v>2021</v>
      </c>
      <c r="V1036" s="22" t="str">
        <f t="shared" si="84"/>
        <v>METROPOLITANA</v>
      </c>
    </row>
    <row r="1037" spans="1:22" x14ac:dyDescent="0.2">
      <c r="A1037" s="23" t="s">
        <v>1396</v>
      </c>
      <c r="B1037" s="22" t="s">
        <v>33</v>
      </c>
      <c r="C1037" s="22" t="s">
        <v>163</v>
      </c>
      <c r="D1037" s="22" t="s">
        <v>38</v>
      </c>
      <c r="E1037" s="24" t="s">
        <v>42</v>
      </c>
      <c r="F1037" s="22" t="s">
        <v>165</v>
      </c>
      <c r="G1037" s="25">
        <v>6943.9999999999973</v>
      </c>
      <c r="H1037" s="22" t="s">
        <v>43</v>
      </c>
      <c r="I1037" s="22">
        <v>0</v>
      </c>
      <c r="J1037" s="22" t="s">
        <v>165</v>
      </c>
      <c r="K1037" s="22" t="s">
        <v>23</v>
      </c>
      <c r="L1037" s="22">
        <v>4</v>
      </c>
      <c r="M1037" s="26">
        <v>56075</v>
      </c>
      <c r="N1037" s="26">
        <v>0</v>
      </c>
      <c r="O1037" s="15">
        <f t="shared" si="80"/>
        <v>56075</v>
      </c>
      <c r="P1037" s="15">
        <f t="shared" si="81"/>
        <v>8.0753168202765</v>
      </c>
      <c r="Q1037" s="25">
        <v>8011</v>
      </c>
      <c r="R1037" s="22">
        <v>87</v>
      </c>
      <c r="S1037" s="22" t="s">
        <v>1400</v>
      </c>
      <c r="T1037" s="22">
        <f t="shared" si="82"/>
        <v>1</v>
      </c>
      <c r="U1037" s="22">
        <f t="shared" si="83"/>
        <v>2021</v>
      </c>
      <c r="V1037" s="22" t="str">
        <f t="shared" si="84"/>
        <v>METROPOLITANA</v>
      </c>
    </row>
    <row r="1038" spans="1:22" x14ac:dyDescent="0.2">
      <c r="A1038" s="23" t="s">
        <v>1396</v>
      </c>
      <c r="B1038" s="22" t="s">
        <v>33</v>
      </c>
      <c r="C1038" s="22" t="s">
        <v>163</v>
      </c>
      <c r="D1038" s="22" t="s">
        <v>27</v>
      </c>
      <c r="E1038" s="24" t="s">
        <v>28</v>
      </c>
      <c r="F1038" s="22" t="s">
        <v>165</v>
      </c>
      <c r="G1038" s="25">
        <v>11409</v>
      </c>
      <c r="H1038" s="22" t="s">
        <v>22</v>
      </c>
      <c r="I1038" s="22">
        <v>1</v>
      </c>
      <c r="J1038" s="22" t="s">
        <v>165</v>
      </c>
      <c r="K1038" s="22" t="s">
        <v>23</v>
      </c>
      <c r="L1038" s="22">
        <v>4</v>
      </c>
      <c r="M1038" s="26">
        <v>79863</v>
      </c>
      <c r="N1038" s="26">
        <f>G1038*4</f>
        <v>45636</v>
      </c>
      <c r="O1038" s="15">
        <f t="shared" si="80"/>
        <v>125499</v>
      </c>
      <c r="P1038" s="15">
        <f t="shared" si="81"/>
        <v>11</v>
      </c>
      <c r="Q1038" s="25">
        <v>8011</v>
      </c>
      <c r="R1038" s="22">
        <v>100</v>
      </c>
      <c r="S1038" s="22" t="s">
        <v>1401</v>
      </c>
      <c r="T1038" s="22">
        <f t="shared" si="82"/>
        <v>1</v>
      </c>
      <c r="U1038" s="22">
        <f t="shared" si="83"/>
        <v>2021</v>
      </c>
      <c r="V1038" s="22" t="str">
        <f t="shared" si="84"/>
        <v>METROPOLITANA</v>
      </c>
    </row>
    <row r="1039" spans="1:22" x14ac:dyDescent="0.2">
      <c r="A1039" s="23" t="s">
        <v>1396</v>
      </c>
      <c r="B1039" s="22" t="s">
        <v>33</v>
      </c>
      <c r="C1039" s="22" t="s">
        <v>36</v>
      </c>
      <c r="D1039" s="22" t="s">
        <v>730</v>
      </c>
      <c r="E1039" s="24" t="s">
        <v>731</v>
      </c>
      <c r="F1039" s="22" t="s">
        <v>274</v>
      </c>
      <c r="G1039" s="25">
        <v>4174.8</v>
      </c>
      <c r="H1039" s="22" t="s">
        <v>24</v>
      </c>
      <c r="I1039" s="22">
        <v>1</v>
      </c>
      <c r="J1039" s="22" t="s">
        <v>274</v>
      </c>
      <c r="K1039" s="22" t="s">
        <v>78</v>
      </c>
      <c r="L1039" s="22">
        <v>0</v>
      </c>
      <c r="M1039" s="26">
        <v>230000</v>
      </c>
      <c r="N1039" s="26">
        <v>0</v>
      </c>
      <c r="O1039" s="15">
        <f t="shared" si="80"/>
        <v>230000</v>
      </c>
      <c r="P1039" s="15">
        <f t="shared" si="81"/>
        <v>55.092459519018874</v>
      </c>
      <c r="Q1039" s="25">
        <v>25000</v>
      </c>
      <c r="R1039" s="22">
        <v>17</v>
      </c>
      <c r="S1039" s="22" t="s">
        <v>1402</v>
      </c>
      <c r="T1039" s="22">
        <f t="shared" si="82"/>
        <v>1</v>
      </c>
      <c r="U1039" s="22">
        <f t="shared" si="83"/>
        <v>2021</v>
      </c>
      <c r="V1039" s="22" t="str">
        <f t="shared" si="84"/>
        <v>REGIONES</v>
      </c>
    </row>
    <row r="1040" spans="1:22" x14ac:dyDescent="0.2">
      <c r="A1040" s="23" t="s">
        <v>1396</v>
      </c>
      <c r="B1040" s="22" t="s">
        <v>33</v>
      </c>
      <c r="C1040" s="22" t="s">
        <v>36</v>
      </c>
      <c r="D1040" s="22" t="s">
        <v>730</v>
      </c>
      <c r="E1040" s="24" t="s">
        <v>731</v>
      </c>
      <c r="F1040" s="22" t="s">
        <v>59</v>
      </c>
      <c r="G1040" s="25">
        <v>3752</v>
      </c>
      <c r="H1040" s="22" t="s">
        <v>24</v>
      </c>
      <c r="I1040" s="22">
        <v>1</v>
      </c>
      <c r="J1040" s="22" t="s">
        <v>59</v>
      </c>
      <c r="K1040" s="22" t="s">
        <v>78</v>
      </c>
      <c r="L1040" s="22">
        <v>0</v>
      </c>
      <c r="M1040" s="26">
        <v>230000</v>
      </c>
      <c r="N1040" s="26">
        <v>0</v>
      </c>
      <c r="O1040" s="15">
        <f t="shared" si="80"/>
        <v>230000</v>
      </c>
      <c r="P1040" s="15">
        <f t="shared" si="81"/>
        <v>61.300639658848617</v>
      </c>
      <c r="Q1040" s="25">
        <v>25000</v>
      </c>
      <c r="R1040" s="22">
        <v>15</v>
      </c>
      <c r="S1040" s="22" t="s">
        <v>1403</v>
      </c>
      <c r="T1040" s="22">
        <f t="shared" si="82"/>
        <v>1</v>
      </c>
      <c r="U1040" s="22">
        <f t="shared" si="83"/>
        <v>2021</v>
      </c>
      <c r="V1040" s="22" t="str">
        <f t="shared" si="84"/>
        <v>REGIONES</v>
      </c>
    </row>
    <row r="1041" spans="1:22" x14ac:dyDescent="0.2">
      <c r="A1041" s="23" t="s">
        <v>1396</v>
      </c>
      <c r="B1041" s="22" t="s">
        <v>33</v>
      </c>
      <c r="C1041" s="22" t="s">
        <v>223</v>
      </c>
      <c r="D1041" s="22" t="s">
        <v>41</v>
      </c>
      <c r="E1041" s="24" t="s">
        <v>25</v>
      </c>
      <c r="F1041" s="22" t="s">
        <v>51</v>
      </c>
      <c r="G1041" s="25">
        <v>9634.7999999999956</v>
      </c>
      <c r="H1041" s="22" t="s">
        <v>43</v>
      </c>
      <c r="I1041" s="22">
        <v>0</v>
      </c>
      <c r="J1041" s="22" t="s">
        <v>51</v>
      </c>
      <c r="K1041" s="22" t="s">
        <v>23</v>
      </c>
      <c r="L1041" s="22">
        <v>4</v>
      </c>
      <c r="M1041" s="26">
        <v>67444</v>
      </c>
      <c r="N1041" s="26">
        <f>G1041*3</f>
        <v>28904.399999999987</v>
      </c>
      <c r="O1041" s="15">
        <f t="shared" si="80"/>
        <v>96348.4</v>
      </c>
      <c r="P1041" s="15">
        <f t="shared" si="81"/>
        <v>10.000041516170553</v>
      </c>
      <c r="Q1041" s="25">
        <v>8011</v>
      </c>
      <c r="R1041" s="22">
        <v>100</v>
      </c>
      <c r="S1041" s="22" t="s">
        <v>1404</v>
      </c>
      <c r="T1041" s="22">
        <f t="shared" si="82"/>
        <v>1</v>
      </c>
      <c r="U1041" s="22">
        <f t="shared" si="83"/>
        <v>2021</v>
      </c>
      <c r="V1041" s="22" t="str">
        <f t="shared" si="84"/>
        <v>METROPOLITANA</v>
      </c>
    </row>
    <row r="1042" spans="1:22" x14ac:dyDescent="0.2">
      <c r="A1042" s="23" t="s">
        <v>1396</v>
      </c>
      <c r="B1042" s="22" t="s">
        <v>33</v>
      </c>
      <c r="C1042" s="22" t="s">
        <v>29</v>
      </c>
      <c r="D1042" s="22" t="s">
        <v>82</v>
      </c>
      <c r="E1042" s="24" t="s">
        <v>83</v>
      </c>
      <c r="F1042" s="22" t="s">
        <v>170</v>
      </c>
      <c r="G1042" s="25">
        <v>21708.799999999999</v>
      </c>
      <c r="H1042" s="22" t="s">
        <v>85</v>
      </c>
      <c r="I1042" s="22">
        <v>1</v>
      </c>
      <c r="J1042" s="22" t="s">
        <v>170</v>
      </c>
      <c r="K1042" s="22" t="s">
        <v>171</v>
      </c>
      <c r="L1042" s="22">
        <v>0</v>
      </c>
      <c r="M1042" s="26">
        <v>230000</v>
      </c>
      <c r="N1042" s="26">
        <v>0</v>
      </c>
      <c r="O1042" s="15">
        <f t="shared" si="80"/>
        <v>230000</v>
      </c>
      <c r="P1042" s="15">
        <f t="shared" si="81"/>
        <v>10.594781839622643</v>
      </c>
      <c r="Q1042" s="25">
        <v>25000</v>
      </c>
      <c r="R1042" s="22">
        <v>87</v>
      </c>
      <c r="S1042" s="22" t="s">
        <v>1405</v>
      </c>
      <c r="T1042" s="22">
        <f t="shared" si="82"/>
        <v>1</v>
      </c>
      <c r="U1042" s="22">
        <f t="shared" si="83"/>
        <v>2021</v>
      </c>
      <c r="V1042" s="22" t="str">
        <f t="shared" si="84"/>
        <v>REGIONES</v>
      </c>
    </row>
    <row r="1043" spans="1:22" x14ac:dyDescent="0.2">
      <c r="A1043" s="23" t="s">
        <v>1396</v>
      </c>
      <c r="B1043" s="22" t="s">
        <v>33</v>
      </c>
      <c r="C1043" s="22" t="s">
        <v>44</v>
      </c>
      <c r="D1043" s="22" t="s">
        <v>56</v>
      </c>
      <c r="E1043" s="24" t="s">
        <v>49</v>
      </c>
      <c r="F1043" s="22" t="s">
        <v>182</v>
      </c>
      <c r="G1043" s="25">
        <v>5252.7999999999984</v>
      </c>
      <c r="H1043" s="22" t="s">
        <v>22</v>
      </c>
      <c r="I1043" s="22">
        <v>0</v>
      </c>
      <c r="J1043" s="22" t="s">
        <v>182</v>
      </c>
      <c r="K1043" s="22" t="s">
        <v>23</v>
      </c>
      <c r="L1043" s="22">
        <v>4</v>
      </c>
      <c r="M1043" s="26">
        <v>56075</v>
      </c>
      <c r="N1043" s="26">
        <v>21011</v>
      </c>
      <c r="O1043" s="15">
        <f t="shared" si="80"/>
        <v>77086</v>
      </c>
      <c r="P1043" s="15">
        <f t="shared" si="81"/>
        <v>14.675220834602502</v>
      </c>
      <c r="Q1043" s="25">
        <v>8011</v>
      </c>
      <c r="R1043" s="22">
        <v>66</v>
      </c>
      <c r="S1043" s="22" t="s">
        <v>1406</v>
      </c>
      <c r="T1043" s="22">
        <f t="shared" si="82"/>
        <v>1</v>
      </c>
      <c r="U1043" s="22">
        <f t="shared" si="83"/>
        <v>2021</v>
      </c>
      <c r="V1043" s="22" t="str">
        <f t="shared" si="84"/>
        <v>METROPOLITANA</v>
      </c>
    </row>
    <row r="1044" spans="1:22" x14ac:dyDescent="0.2">
      <c r="A1044" s="23" t="s">
        <v>1396</v>
      </c>
      <c r="B1044" s="22" t="s">
        <v>33</v>
      </c>
      <c r="C1044" s="22" t="s">
        <v>44</v>
      </c>
      <c r="D1044" s="22" t="s">
        <v>188</v>
      </c>
      <c r="E1044" s="24" t="s">
        <v>189</v>
      </c>
      <c r="F1044" s="22" t="s">
        <v>138</v>
      </c>
      <c r="G1044" s="25">
        <v>1500.8</v>
      </c>
      <c r="H1044" s="22" t="s">
        <v>190</v>
      </c>
      <c r="I1044" s="22">
        <v>0</v>
      </c>
      <c r="J1044" s="22" t="s">
        <v>138</v>
      </c>
      <c r="K1044" s="22" t="s">
        <v>23</v>
      </c>
      <c r="L1044" s="22">
        <v>3</v>
      </c>
      <c r="M1044" s="26">
        <v>48075</v>
      </c>
      <c r="N1044" s="26">
        <v>0</v>
      </c>
      <c r="O1044" s="15">
        <f t="shared" si="80"/>
        <v>48075</v>
      </c>
      <c r="P1044" s="15">
        <f t="shared" si="81"/>
        <v>32.032915778251599</v>
      </c>
      <c r="Q1044" s="25">
        <v>6868</v>
      </c>
      <c r="R1044" s="22">
        <v>22</v>
      </c>
      <c r="S1044" s="22" t="s">
        <v>1407</v>
      </c>
      <c r="T1044" s="22">
        <f t="shared" si="82"/>
        <v>1</v>
      </c>
      <c r="U1044" s="22">
        <f t="shared" si="83"/>
        <v>2021</v>
      </c>
      <c r="V1044" s="22" t="str">
        <f t="shared" si="84"/>
        <v>METROPOLITANA</v>
      </c>
    </row>
    <row r="1045" spans="1:22" x14ac:dyDescent="0.2">
      <c r="A1045" s="23" t="s">
        <v>1396</v>
      </c>
      <c r="B1045" s="22" t="s">
        <v>33</v>
      </c>
      <c r="C1045" s="22" t="s">
        <v>44</v>
      </c>
      <c r="D1045" s="22" t="s">
        <v>37</v>
      </c>
      <c r="E1045" s="24" t="s">
        <v>40</v>
      </c>
      <c r="F1045" s="22" t="s">
        <v>48</v>
      </c>
      <c r="G1045" s="25">
        <v>6884.4999999999991</v>
      </c>
      <c r="H1045" s="22" t="s">
        <v>22</v>
      </c>
      <c r="I1045" s="22">
        <v>0</v>
      </c>
      <c r="J1045" s="22" t="s">
        <v>48</v>
      </c>
      <c r="K1045" s="22" t="s">
        <v>23</v>
      </c>
      <c r="L1045" s="22">
        <v>1</v>
      </c>
      <c r="M1045" s="26">
        <v>48191</v>
      </c>
      <c r="N1045" s="26">
        <v>27538</v>
      </c>
      <c r="O1045" s="15">
        <f t="shared" si="80"/>
        <v>75729</v>
      </c>
      <c r="P1045" s="15">
        <f t="shared" si="81"/>
        <v>10.999927373084466</v>
      </c>
      <c r="Q1045" s="25">
        <v>4821</v>
      </c>
      <c r="R1045" s="22">
        <v>100</v>
      </c>
      <c r="S1045" s="22" t="s">
        <v>1408</v>
      </c>
      <c r="T1045" s="22">
        <f t="shared" si="82"/>
        <v>1</v>
      </c>
      <c r="U1045" s="22">
        <f t="shared" si="83"/>
        <v>2021</v>
      </c>
      <c r="V1045" s="22" t="str">
        <f t="shared" si="84"/>
        <v>METROPOLITANA</v>
      </c>
    </row>
    <row r="1046" spans="1:22" x14ac:dyDescent="0.2">
      <c r="A1046" s="23" t="s">
        <v>1396</v>
      </c>
      <c r="B1046" s="22" t="s">
        <v>33</v>
      </c>
      <c r="C1046" s="22" t="s">
        <v>44</v>
      </c>
      <c r="D1046" s="22" t="s">
        <v>45</v>
      </c>
      <c r="E1046" s="24" t="s">
        <v>28</v>
      </c>
      <c r="F1046" s="22" t="s">
        <v>46</v>
      </c>
      <c r="G1046" s="25">
        <v>2508.9</v>
      </c>
      <c r="H1046" s="22" t="s">
        <v>22</v>
      </c>
      <c r="I1046" s="22">
        <v>0</v>
      </c>
      <c r="J1046" s="22" t="s">
        <v>46</v>
      </c>
      <c r="K1046" s="22" t="s">
        <v>23</v>
      </c>
      <c r="L1046" s="22">
        <v>2</v>
      </c>
      <c r="M1046" s="26">
        <v>40475</v>
      </c>
      <c r="N1046" s="26">
        <v>12000</v>
      </c>
      <c r="O1046" s="15">
        <f t="shared" si="80"/>
        <v>52475</v>
      </c>
      <c r="P1046" s="15">
        <f t="shared" si="81"/>
        <v>20.915540675196301</v>
      </c>
      <c r="Q1046" s="25">
        <v>5782</v>
      </c>
      <c r="R1046" s="22">
        <v>43</v>
      </c>
      <c r="S1046" s="22" t="s">
        <v>1409</v>
      </c>
      <c r="T1046" s="22">
        <f t="shared" si="82"/>
        <v>1</v>
      </c>
      <c r="U1046" s="22">
        <f t="shared" si="83"/>
        <v>2021</v>
      </c>
      <c r="V1046" s="22" t="str">
        <f t="shared" si="84"/>
        <v>METROPOLITANA</v>
      </c>
    </row>
    <row r="1047" spans="1:22" x14ac:dyDescent="0.2">
      <c r="A1047" s="23" t="s">
        <v>1396</v>
      </c>
      <c r="B1047" s="22" t="s">
        <v>33</v>
      </c>
      <c r="C1047" s="22" t="s">
        <v>44</v>
      </c>
      <c r="D1047" s="22" t="s">
        <v>47</v>
      </c>
      <c r="E1047" s="24" t="s">
        <v>88</v>
      </c>
      <c r="F1047" s="22" t="s">
        <v>137</v>
      </c>
      <c r="G1047" s="25">
        <v>3041.4</v>
      </c>
      <c r="H1047" s="22" t="s">
        <v>22</v>
      </c>
      <c r="I1047" s="22">
        <v>0</v>
      </c>
      <c r="J1047" s="22" t="s">
        <v>137</v>
      </c>
      <c r="K1047" s="22" t="s">
        <v>23</v>
      </c>
      <c r="L1047" s="22">
        <v>1</v>
      </c>
      <c r="M1047" s="26">
        <v>33750</v>
      </c>
      <c r="N1047" s="26">
        <v>12166</v>
      </c>
      <c r="O1047" s="15">
        <f t="shared" si="80"/>
        <v>45916</v>
      </c>
      <c r="P1047" s="15">
        <f t="shared" si="81"/>
        <v>15.096994805024002</v>
      </c>
      <c r="Q1047" s="25">
        <v>4821</v>
      </c>
      <c r="R1047" s="22">
        <v>63</v>
      </c>
      <c r="S1047" s="22" t="s">
        <v>1410</v>
      </c>
      <c r="T1047" s="22">
        <f t="shared" si="82"/>
        <v>1</v>
      </c>
      <c r="U1047" s="22">
        <f t="shared" si="83"/>
        <v>2021</v>
      </c>
      <c r="V1047" s="22" t="str">
        <f t="shared" si="84"/>
        <v>METROPOLITANA</v>
      </c>
    </row>
    <row r="1048" spans="1:22" x14ac:dyDescent="0.2">
      <c r="A1048" s="23" t="s">
        <v>1396</v>
      </c>
      <c r="B1048" s="22" t="s">
        <v>33</v>
      </c>
      <c r="C1048" s="22" t="s">
        <v>44</v>
      </c>
      <c r="D1048" s="22" t="s">
        <v>35</v>
      </c>
      <c r="E1048" s="24" t="s">
        <v>52</v>
      </c>
      <c r="F1048" s="22" t="s">
        <v>34</v>
      </c>
      <c r="G1048" s="25">
        <v>5017.7999999999984</v>
      </c>
      <c r="H1048" s="22" t="s">
        <v>22</v>
      </c>
      <c r="I1048" s="22">
        <v>0</v>
      </c>
      <c r="J1048" s="22" t="s">
        <v>34</v>
      </c>
      <c r="K1048" s="22" t="s">
        <v>23</v>
      </c>
      <c r="L1048" s="22">
        <v>1</v>
      </c>
      <c r="M1048" s="26">
        <v>35125</v>
      </c>
      <c r="N1048" s="26">
        <v>20071</v>
      </c>
      <c r="O1048" s="15">
        <f t="shared" si="80"/>
        <v>55196</v>
      </c>
      <c r="P1048" s="15">
        <f t="shared" si="81"/>
        <v>11.000039858105149</v>
      </c>
      <c r="Q1048" s="25">
        <v>4821</v>
      </c>
      <c r="R1048" s="22">
        <v>100</v>
      </c>
      <c r="S1048" s="22" t="s">
        <v>1411</v>
      </c>
      <c r="T1048" s="22">
        <f t="shared" si="82"/>
        <v>1</v>
      </c>
      <c r="U1048" s="22">
        <f t="shared" si="83"/>
        <v>2021</v>
      </c>
      <c r="V1048" s="22" t="str">
        <f t="shared" si="84"/>
        <v>METROPOLITANA</v>
      </c>
    </row>
    <row r="1049" spans="1:22" x14ac:dyDescent="0.2">
      <c r="A1049" s="11" t="s">
        <v>1412</v>
      </c>
      <c r="B1049" s="12" t="s">
        <v>18</v>
      </c>
      <c r="C1049" s="12" t="s">
        <v>270</v>
      </c>
      <c r="D1049" s="12" t="s">
        <v>37</v>
      </c>
      <c r="E1049" s="13" t="s">
        <v>40</v>
      </c>
      <c r="F1049" s="12" t="s">
        <v>120</v>
      </c>
      <c r="G1049" s="14">
        <v>4784</v>
      </c>
      <c r="H1049" s="12" t="s">
        <v>22</v>
      </c>
      <c r="I1049" s="12">
        <v>0</v>
      </c>
      <c r="J1049" s="12" t="s">
        <v>120</v>
      </c>
      <c r="K1049" s="12" t="s">
        <v>23</v>
      </c>
      <c r="L1049" s="12">
        <v>5</v>
      </c>
      <c r="M1049" s="15">
        <v>70000</v>
      </c>
      <c r="N1049" s="15">
        <f>G1049*4</f>
        <v>19136</v>
      </c>
      <c r="O1049" s="15">
        <f t="shared" si="80"/>
        <v>89136</v>
      </c>
      <c r="P1049" s="15">
        <f t="shared" si="81"/>
        <v>18.632107023411372</v>
      </c>
      <c r="Q1049" s="14">
        <v>12000</v>
      </c>
      <c r="R1049" s="12">
        <v>40</v>
      </c>
      <c r="S1049" s="12" t="s">
        <v>1413</v>
      </c>
      <c r="T1049" s="22">
        <f t="shared" si="82"/>
        <v>1</v>
      </c>
      <c r="U1049" s="22">
        <f t="shared" si="83"/>
        <v>2021</v>
      </c>
      <c r="V1049" s="22" t="str">
        <f t="shared" si="84"/>
        <v>METROPOLITANA</v>
      </c>
    </row>
    <row r="1050" spans="1:22" x14ac:dyDescent="0.2">
      <c r="A1050" s="11" t="s">
        <v>1412</v>
      </c>
      <c r="B1050" s="12" t="s">
        <v>18</v>
      </c>
      <c r="C1050" s="12" t="s">
        <v>50</v>
      </c>
      <c r="D1050" s="12" t="s">
        <v>41</v>
      </c>
      <c r="E1050" s="13" t="s">
        <v>25</v>
      </c>
      <c r="F1050" s="12" t="s">
        <v>26</v>
      </c>
      <c r="G1050" s="14">
        <v>4891.26</v>
      </c>
      <c r="H1050" s="12" t="s">
        <v>43</v>
      </c>
      <c r="I1050" s="12">
        <v>0</v>
      </c>
      <c r="J1050" s="12" t="s">
        <v>26</v>
      </c>
      <c r="K1050" s="12" t="s">
        <v>23</v>
      </c>
      <c r="L1050" s="12">
        <v>4</v>
      </c>
      <c r="M1050" s="15">
        <v>56075</v>
      </c>
      <c r="N1050" s="15">
        <f>G1050*3</f>
        <v>14673.78</v>
      </c>
      <c r="O1050" s="15">
        <f t="shared" si="80"/>
        <v>70748.78</v>
      </c>
      <c r="P1050" s="15">
        <f t="shared" si="81"/>
        <v>14.464326165446121</v>
      </c>
      <c r="Q1050" s="14">
        <v>8011</v>
      </c>
      <c r="R1050" s="12">
        <v>61</v>
      </c>
      <c r="S1050" s="12" t="s">
        <v>1414</v>
      </c>
      <c r="T1050" s="22">
        <f t="shared" si="82"/>
        <v>1</v>
      </c>
      <c r="U1050" s="22">
        <f t="shared" si="83"/>
        <v>2021</v>
      </c>
      <c r="V1050" s="22" t="str">
        <f t="shared" si="84"/>
        <v>METROPOLITANA</v>
      </c>
    </row>
    <row r="1051" spans="1:22" x14ac:dyDescent="0.2">
      <c r="A1051" s="11" t="s">
        <v>1412</v>
      </c>
      <c r="B1051" s="12" t="s">
        <v>18</v>
      </c>
      <c r="C1051" s="12" t="s">
        <v>193</v>
      </c>
      <c r="D1051" s="12" t="s">
        <v>27</v>
      </c>
      <c r="E1051" s="13" t="s">
        <v>28</v>
      </c>
      <c r="F1051" s="12" t="s">
        <v>194</v>
      </c>
      <c r="G1051" s="14">
        <v>25646.75</v>
      </c>
      <c r="H1051" s="12" t="s">
        <v>22</v>
      </c>
      <c r="I1051" s="12">
        <v>1</v>
      </c>
      <c r="J1051" s="12" t="s">
        <v>194</v>
      </c>
      <c r="K1051" s="12" t="s">
        <v>23</v>
      </c>
      <c r="L1051" s="12">
        <v>4</v>
      </c>
      <c r="M1051" s="15">
        <v>179527</v>
      </c>
      <c r="N1051" s="15">
        <f>G1051*4</f>
        <v>102587</v>
      </c>
      <c r="O1051" s="15">
        <f t="shared" si="80"/>
        <v>282114</v>
      </c>
      <c r="P1051" s="15">
        <f t="shared" si="81"/>
        <v>10.999990252176202</v>
      </c>
      <c r="Q1051" s="14">
        <v>8011</v>
      </c>
      <c r="R1051" s="12">
        <v>100</v>
      </c>
      <c r="S1051" s="12" t="s">
        <v>1415</v>
      </c>
      <c r="T1051" s="22">
        <f t="shared" si="82"/>
        <v>1</v>
      </c>
      <c r="U1051" s="22">
        <f t="shared" si="83"/>
        <v>2021</v>
      </c>
      <c r="V1051" s="22" t="str">
        <f t="shared" si="84"/>
        <v>METROPOLITANA</v>
      </c>
    </row>
    <row r="1052" spans="1:22" x14ac:dyDescent="0.2">
      <c r="A1052" s="11" t="s">
        <v>1412</v>
      </c>
      <c r="B1052" s="12" t="s">
        <v>33</v>
      </c>
      <c r="C1052" s="12" t="s">
        <v>1416</v>
      </c>
      <c r="D1052" s="12" t="s">
        <v>38</v>
      </c>
      <c r="E1052" s="13" t="s">
        <v>42</v>
      </c>
      <c r="F1052" s="12" t="s">
        <v>26</v>
      </c>
      <c r="G1052" s="14">
        <v>3903</v>
      </c>
      <c r="H1052" s="12" t="s">
        <v>43</v>
      </c>
      <c r="I1052" s="12">
        <v>0</v>
      </c>
      <c r="J1052" s="12" t="s">
        <v>26</v>
      </c>
      <c r="K1052" s="12" t="s">
        <v>23</v>
      </c>
      <c r="L1052" s="12">
        <v>4</v>
      </c>
      <c r="M1052" s="15">
        <v>56075</v>
      </c>
      <c r="N1052" s="15">
        <f>G1052*3</f>
        <v>11709</v>
      </c>
      <c r="O1052" s="15">
        <f t="shared" si="80"/>
        <v>67784</v>
      </c>
      <c r="P1052" s="15">
        <f t="shared" si="81"/>
        <v>17.367153471688443</v>
      </c>
      <c r="Q1052" s="14">
        <v>8011</v>
      </c>
      <c r="R1052" s="12">
        <v>49</v>
      </c>
      <c r="S1052" s="12" t="s">
        <v>1417</v>
      </c>
      <c r="T1052" s="22">
        <f t="shared" si="82"/>
        <v>1</v>
      </c>
      <c r="U1052" s="22">
        <f t="shared" si="83"/>
        <v>2021</v>
      </c>
      <c r="V1052" s="22" t="str">
        <f t="shared" si="84"/>
        <v>METROPOLITANA</v>
      </c>
    </row>
    <row r="1053" spans="1:22" x14ac:dyDescent="0.2">
      <c r="A1053" s="11" t="s">
        <v>1412</v>
      </c>
      <c r="B1053" s="12" t="s">
        <v>33</v>
      </c>
      <c r="C1053" s="12" t="s">
        <v>1233</v>
      </c>
      <c r="D1053" s="12" t="s">
        <v>41</v>
      </c>
      <c r="E1053" s="13" t="s">
        <v>25</v>
      </c>
      <c r="F1053" s="12" t="s">
        <v>1234</v>
      </c>
      <c r="G1053" s="14">
        <v>1951.5</v>
      </c>
      <c r="H1053" s="12" t="s">
        <v>43</v>
      </c>
      <c r="I1053" s="12">
        <v>0</v>
      </c>
      <c r="J1053" s="12" t="s">
        <v>1234</v>
      </c>
      <c r="K1053" s="12" t="s">
        <v>23</v>
      </c>
      <c r="L1053" s="12">
        <v>3</v>
      </c>
      <c r="M1053" s="15">
        <v>48075</v>
      </c>
      <c r="N1053" s="15">
        <f>G1053*3</f>
        <v>5854.5</v>
      </c>
      <c r="O1053" s="15">
        <f t="shared" si="80"/>
        <v>53929.5</v>
      </c>
      <c r="P1053" s="15">
        <f t="shared" si="81"/>
        <v>27.63489623366641</v>
      </c>
      <c r="Q1053" s="14">
        <v>6868</v>
      </c>
      <c r="R1053" s="12">
        <v>28</v>
      </c>
      <c r="S1053" s="12" t="s">
        <v>1418</v>
      </c>
      <c r="T1053" s="22">
        <f t="shared" si="82"/>
        <v>1</v>
      </c>
      <c r="U1053" s="22">
        <f t="shared" si="83"/>
        <v>2021</v>
      </c>
      <c r="V1053" s="22" t="str">
        <f t="shared" si="84"/>
        <v>METROPOLITANA</v>
      </c>
    </row>
    <row r="1054" spans="1:22" x14ac:dyDescent="0.2">
      <c r="A1054" s="11" t="s">
        <v>1412</v>
      </c>
      <c r="B1054" s="12" t="s">
        <v>33</v>
      </c>
      <c r="C1054" s="12" t="s">
        <v>36</v>
      </c>
      <c r="D1054" s="12" t="s">
        <v>82</v>
      </c>
      <c r="E1054" s="13" t="s">
        <v>83</v>
      </c>
      <c r="F1054" s="12" t="s">
        <v>691</v>
      </c>
      <c r="G1054" s="14">
        <v>10125.200000000001</v>
      </c>
      <c r="H1054" s="12" t="s">
        <v>85</v>
      </c>
      <c r="I1054" s="12">
        <v>1</v>
      </c>
      <c r="J1054" s="12" t="s">
        <v>691</v>
      </c>
      <c r="K1054" s="12" t="s">
        <v>873</v>
      </c>
      <c r="L1054" s="12">
        <v>0</v>
      </c>
      <c r="M1054" s="15">
        <v>1020000</v>
      </c>
      <c r="N1054" s="15">
        <v>0</v>
      </c>
      <c r="O1054" s="15">
        <f t="shared" si="80"/>
        <v>1020000</v>
      </c>
      <c r="P1054" s="15">
        <f t="shared" si="81"/>
        <v>100.73875083948958</v>
      </c>
      <c r="Q1054" s="14">
        <v>25000</v>
      </c>
      <c r="R1054" s="12">
        <v>41</v>
      </c>
      <c r="S1054" s="12" t="s">
        <v>1419</v>
      </c>
      <c r="T1054" s="22">
        <f t="shared" si="82"/>
        <v>1</v>
      </c>
      <c r="U1054" s="22">
        <f t="shared" si="83"/>
        <v>2021</v>
      </c>
      <c r="V1054" s="22" t="str">
        <f t="shared" si="84"/>
        <v>REGIONES</v>
      </c>
    </row>
    <row r="1055" spans="1:22" x14ac:dyDescent="0.2">
      <c r="A1055" s="11" t="s">
        <v>1412</v>
      </c>
      <c r="B1055" s="12" t="s">
        <v>33</v>
      </c>
      <c r="C1055" s="12" t="s">
        <v>29</v>
      </c>
      <c r="D1055" s="12" t="s">
        <v>38</v>
      </c>
      <c r="E1055" s="13" t="s">
        <v>42</v>
      </c>
      <c r="F1055" s="12" t="s">
        <v>134</v>
      </c>
      <c r="G1055" s="14">
        <v>7503.9999999999973</v>
      </c>
      <c r="H1055" s="12" t="s">
        <v>43</v>
      </c>
      <c r="I1055" s="12">
        <v>0</v>
      </c>
      <c r="J1055" s="12" t="s">
        <v>134</v>
      </c>
      <c r="K1055" s="12" t="s">
        <v>23</v>
      </c>
      <c r="L1055" s="12">
        <v>2</v>
      </c>
      <c r="M1055" s="15">
        <v>52528</v>
      </c>
      <c r="N1055" s="15">
        <v>22512</v>
      </c>
      <c r="O1055" s="15">
        <f t="shared" si="80"/>
        <v>75040</v>
      </c>
      <c r="P1055" s="15">
        <f t="shared" si="81"/>
        <v>10.000000000000004</v>
      </c>
      <c r="Q1055" s="14">
        <v>5782</v>
      </c>
      <c r="R1055" s="12">
        <v>100</v>
      </c>
      <c r="S1055" s="12" t="s">
        <v>1420</v>
      </c>
      <c r="T1055" s="22">
        <f t="shared" si="82"/>
        <v>1</v>
      </c>
      <c r="U1055" s="22">
        <f t="shared" si="83"/>
        <v>2021</v>
      </c>
      <c r="V1055" s="22" t="str">
        <f t="shared" si="84"/>
        <v>METROPOLITANA</v>
      </c>
    </row>
    <row r="1056" spans="1:22" x14ac:dyDescent="0.2">
      <c r="A1056" s="11" t="s">
        <v>1412</v>
      </c>
      <c r="B1056" s="12" t="s">
        <v>33</v>
      </c>
      <c r="C1056" s="12" t="s">
        <v>29</v>
      </c>
      <c r="D1056" s="12" t="s">
        <v>730</v>
      </c>
      <c r="E1056" s="13" t="s">
        <v>731</v>
      </c>
      <c r="F1056" s="12" t="s">
        <v>132</v>
      </c>
      <c r="G1056" s="14">
        <v>8244.0000000000036</v>
      </c>
      <c r="H1056" s="12" t="s">
        <v>24</v>
      </c>
      <c r="I1056" s="12">
        <v>1</v>
      </c>
      <c r="J1056" s="12" t="s">
        <v>132</v>
      </c>
      <c r="K1056" s="12" t="s">
        <v>124</v>
      </c>
      <c r="L1056" s="12">
        <v>0</v>
      </c>
      <c r="M1056" s="15">
        <v>350000</v>
      </c>
      <c r="N1056" s="15">
        <v>0</v>
      </c>
      <c r="O1056" s="15">
        <f t="shared" si="80"/>
        <v>350000</v>
      </c>
      <c r="P1056" s="15">
        <f t="shared" si="81"/>
        <v>42.455118874332832</v>
      </c>
      <c r="Q1056" s="14">
        <v>25000</v>
      </c>
      <c r="R1056" s="12">
        <v>33</v>
      </c>
      <c r="S1056" s="12" t="s">
        <v>1421</v>
      </c>
      <c r="T1056" s="22">
        <f t="shared" si="82"/>
        <v>1</v>
      </c>
      <c r="U1056" s="22">
        <f t="shared" si="83"/>
        <v>2021</v>
      </c>
      <c r="V1056" s="22" t="str">
        <f t="shared" si="84"/>
        <v>REGIONES</v>
      </c>
    </row>
    <row r="1057" spans="1:22" x14ac:dyDescent="0.2">
      <c r="A1057" s="11" t="s">
        <v>1412</v>
      </c>
      <c r="B1057" s="12" t="s">
        <v>33</v>
      </c>
      <c r="C1057" s="12" t="s">
        <v>44</v>
      </c>
      <c r="D1057" s="12" t="s">
        <v>30</v>
      </c>
      <c r="E1057" s="13" t="s">
        <v>31</v>
      </c>
      <c r="F1057" s="12" t="s">
        <v>554</v>
      </c>
      <c r="G1057" s="14">
        <v>3752</v>
      </c>
      <c r="H1057" s="12" t="s">
        <v>32</v>
      </c>
      <c r="I1057" s="12">
        <v>0</v>
      </c>
      <c r="J1057" s="12" t="s">
        <v>554</v>
      </c>
      <c r="K1057" s="12" t="s">
        <v>23</v>
      </c>
      <c r="L1057" s="12">
        <v>4</v>
      </c>
      <c r="M1057" s="15">
        <v>56075</v>
      </c>
      <c r="N1057" s="15">
        <v>11256</v>
      </c>
      <c r="O1057" s="15">
        <f t="shared" si="80"/>
        <v>67331</v>
      </c>
      <c r="P1057" s="15">
        <f t="shared" si="81"/>
        <v>17.945362473347547</v>
      </c>
      <c r="Q1057" s="14">
        <v>8011</v>
      </c>
      <c r="R1057" s="12">
        <v>47</v>
      </c>
      <c r="S1057" s="12" t="s">
        <v>1422</v>
      </c>
      <c r="T1057" s="22">
        <f t="shared" si="82"/>
        <v>1</v>
      </c>
      <c r="U1057" s="22">
        <f t="shared" si="83"/>
        <v>2021</v>
      </c>
      <c r="V1057" s="22" t="str">
        <f t="shared" si="84"/>
        <v>METROPOLITANA</v>
      </c>
    </row>
    <row r="1058" spans="1:22" x14ac:dyDescent="0.2">
      <c r="A1058" s="11" t="s">
        <v>1423</v>
      </c>
      <c r="B1058" s="12" t="s">
        <v>33</v>
      </c>
      <c r="C1058" s="12" t="s">
        <v>44</v>
      </c>
      <c r="D1058" s="12" t="s">
        <v>56</v>
      </c>
      <c r="E1058" s="13" t="s">
        <v>49</v>
      </c>
      <c r="F1058" s="12" t="s">
        <v>53</v>
      </c>
      <c r="G1058" s="14">
        <v>1758.5</v>
      </c>
      <c r="H1058" s="12" t="s">
        <v>22</v>
      </c>
      <c r="I1058" s="12">
        <v>1</v>
      </c>
      <c r="J1058" s="12" t="s">
        <v>53</v>
      </c>
      <c r="K1058" s="12" t="s">
        <v>23</v>
      </c>
      <c r="L1058" s="12">
        <v>3</v>
      </c>
      <c r="M1058" s="15">
        <v>48075</v>
      </c>
      <c r="N1058" s="15">
        <v>12000</v>
      </c>
      <c r="O1058" s="15">
        <f t="shared" si="80"/>
        <v>60075</v>
      </c>
      <c r="P1058" s="15">
        <f t="shared" si="81"/>
        <v>34.162638612453797</v>
      </c>
      <c r="Q1058" s="14">
        <v>6868</v>
      </c>
      <c r="R1058" s="12">
        <v>26</v>
      </c>
      <c r="S1058" s="12" t="s">
        <v>1424</v>
      </c>
      <c r="T1058" s="22">
        <f t="shared" si="82"/>
        <v>1</v>
      </c>
      <c r="U1058" s="22">
        <f t="shared" si="83"/>
        <v>2021</v>
      </c>
      <c r="V1058" s="22" t="str">
        <f t="shared" si="84"/>
        <v>METROPOLITANA</v>
      </c>
    </row>
    <row r="1059" spans="1:22" x14ac:dyDescent="0.2">
      <c r="A1059" s="11" t="s">
        <v>1423</v>
      </c>
      <c r="B1059" s="12" t="s">
        <v>33</v>
      </c>
      <c r="C1059" s="12" t="s">
        <v>44</v>
      </c>
      <c r="D1059" s="12" t="s">
        <v>188</v>
      </c>
      <c r="E1059" s="13" t="s">
        <v>189</v>
      </c>
      <c r="F1059" s="12" t="s">
        <v>229</v>
      </c>
      <c r="G1059" s="14">
        <v>1500.8</v>
      </c>
      <c r="H1059" s="12" t="s">
        <v>190</v>
      </c>
      <c r="I1059" s="12">
        <v>0</v>
      </c>
      <c r="J1059" s="12" t="s">
        <v>230</v>
      </c>
      <c r="K1059" s="12" t="s">
        <v>23</v>
      </c>
      <c r="L1059" s="12">
        <v>4</v>
      </c>
      <c r="M1059" s="15">
        <v>56075</v>
      </c>
      <c r="N1059" s="15">
        <v>0</v>
      </c>
      <c r="O1059" s="15">
        <f t="shared" si="80"/>
        <v>56075</v>
      </c>
      <c r="P1059" s="15">
        <f t="shared" si="81"/>
        <v>37.363406183368873</v>
      </c>
      <c r="Q1059" s="14">
        <v>8011</v>
      </c>
      <c r="R1059" s="12">
        <v>19</v>
      </c>
      <c r="S1059" s="12" t="s">
        <v>1425</v>
      </c>
      <c r="T1059" s="22">
        <f t="shared" si="82"/>
        <v>1</v>
      </c>
      <c r="U1059" s="22">
        <f t="shared" si="83"/>
        <v>2021</v>
      </c>
      <c r="V1059" s="22" t="str">
        <f t="shared" si="84"/>
        <v>METROPOLITANA</v>
      </c>
    </row>
    <row r="1060" spans="1:22" x14ac:dyDescent="0.2">
      <c r="A1060" s="11" t="s">
        <v>1423</v>
      </c>
      <c r="B1060" s="12" t="s">
        <v>33</v>
      </c>
      <c r="C1060" s="12" t="s">
        <v>44</v>
      </c>
      <c r="D1060" s="12" t="s">
        <v>37</v>
      </c>
      <c r="E1060" s="13" t="s">
        <v>40</v>
      </c>
      <c r="F1060" s="12" t="s">
        <v>48</v>
      </c>
      <c r="G1060" s="14">
        <v>3517</v>
      </c>
      <c r="H1060" s="12" t="s">
        <v>22</v>
      </c>
      <c r="I1060" s="12">
        <v>0</v>
      </c>
      <c r="J1060" s="12" t="s">
        <v>48</v>
      </c>
      <c r="K1060" s="12" t="s">
        <v>23</v>
      </c>
      <c r="L1060" s="12">
        <v>1</v>
      </c>
      <c r="M1060" s="15">
        <v>33750</v>
      </c>
      <c r="N1060" s="15">
        <v>14068</v>
      </c>
      <c r="O1060" s="15">
        <f t="shared" si="80"/>
        <v>47818</v>
      </c>
      <c r="P1060" s="15">
        <f t="shared" si="81"/>
        <v>13.596246801251066</v>
      </c>
      <c r="Q1060" s="14">
        <v>4821</v>
      </c>
      <c r="R1060" s="12">
        <v>73</v>
      </c>
      <c r="S1060" s="12" t="s">
        <v>1426</v>
      </c>
      <c r="T1060" s="22">
        <f t="shared" si="82"/>
        <v>1</v>
      </c>
      <c r="U1060" s="22">
        <f t="shared" si="83"/>
        <v>2021</v>
      </c>
      <c r="V1060" s="22" t="str">
        <f t="shared" si="84"/>
        <v>METROPOLITANA</v>
      </c>
    </row>
    <row r="1061" spans="1:22" x14ac:dyDescent="0.2">
      <c r="A1061" s="11" t="s">
        <v>1423</v>
      </c>
      <c r="B1061" s="12" t="s">
        <v>33</v>
      </c>
      <c r="C1061" s="12" t="s">
        <v>44</v>
      </c>
      <c r="D1061" s="12" t="s">
        <v>45</v>
      </c>
      <c r="E1061" s="13" t="s">
        <v>52</v>
      </c>
      <c r="F1061" s="12" t="s">
        <v>95</v>
      </c>
      <c r="G1061" s="14">
        <v>2251.1999999999998</v>
      </c>
      <c r="H1061" s="12" t="s">
        <v>22</v>
      </c>
      <c r="I1061" s="12">
        <v>0</v>
      </c>
      <c r="J1061" s="12" t="s">
        <v>95</v>
      </c>
      <c r="K1061" s="12" t="s">
        <v>23</v>
      </c>
      <c r="L1061" s="12">
        <v>4</v>
      </c>
      <c r="M1061" s="15">
        <v>56075</v>
      </c>
      <c r="N1061" s="15">
        <v>12000</v>
      </c>
      <c r="O1061" s="15">
        <f t="shared" si="80"/>
        <v>68075</v>
      </c>
      <c r="P1061" s="15">
        <f t="shared" si="81"/>
        <v>30.239427860696519</v>
      </c>
      <c r="Q1061" s="14">
        <v>8011</v>
      </c>
      <c r="R1061" s="12">
        <v>28</v>
      </c>
      <c r="S1061" s="12" t="s">
        <v>1427</v>
      </c>
      <c r="T1061" s="22">
        <f t="shared" si="82"/>
        <v>1</v>
      </c>
      <c r="U1061" s="22">
        <f t="shared" si="83"/>
        <v>2021</v>
      </c>
      <c r="V1061" s="22" t="str">
        <f t="shared" si="84"/>
        <v>METROPOLITANA</v>
      </c>
    </row>
    <row r="1062" spans="1:22" x14ac:dyDescent="0.2">
      <c r="A1062" s="11" t="s">
        <v>1423</v>
      </c>
      <c r="B1062" s="12" t="s">
        <v>33</v>
      </c>
      <c r="C1062" s="12" t="s">
        <v>44</v>
      </c>
      <c r="D1062" s="12" t="s">
        <v>47</v>
      </c>
      <c r="E1062" s="13" t="s">
        <v>88</v>
      </c>
      <c r="F1062" s="12" t="s">
        <v>95</v>
      </c>
      <c r="G1062" s="14">
        <v>3259.3</v>
      </c>
      <c r="H1062" s="12" t="s">
        <v>22</v>
      </c>
      <c r="I1062" s="12">
        <v>0</v>
      </c>
      <c r="J1062" s="12" t="s">
        <v>95</v>
      </c>
      <c r="K1062" s="12" t="s">
        <v>23</v>
      </c>
      <c r="L1062" s="12">
        <v>4</v>
      </c>
      <c r="M1062" s="15">
        <v>56075</v>
      </c>
      <c r="N1062" s="15">
        <v>13037</v>
      </c>
      <c r="O1062" s="15">
        <f t="shared" si="80"/>
        <v>69112</v>
      </c>
      <c r="P1062" s="15">
        <f t="shared" si="81"/>
        <v>21.20455312490412</v>
      </c>
      <c r="Q1062" s="14">
        <v>8011</v>
      </c>
      <c r="R1062" s="12">
        <v>41</v>
      </c>
      <c r="S1062" s="12" t="s">
        <v>1428</v>
      </c>
      <c r="T1062" s="22">
        <f t="shared" si="82"/>
        <v>1</v>
      </c>
      <c r="U1062" s="22">
        <f t="shared" si="83"/>
        <v>2021</v>
      </c>
      <c r="V1062" s="22" t="str">
        <f t="shared" si="84"/>
        <v>METROPOLITANA</v>
      </c>
    </row>
    <row r="1063" spans="1:22" x14ac:dyDescent="0.2">
      <c r="A1063" s="11" t="s">
        <v>1423</v>
      </c>
      <c r="B1063" s="12" t="s">
        <v>33</v>
      </c>
      <c r="C1063" s="12" t="s">
        <v>44</v>
      </c>
      <c r="D1063" s="12" t="s">
        <v>35</v>
      </c>
      <c r="E1063" s="13" t="s">
        <v>21</v>
      </c>
      <c r="F1063" s="12" t="s">
        <v>129</v>
      </c>
      <c r="G1063" s="14">
        <v>2251.1999999999998</v>
      </c>
      <c r="H1063" s="12" t="s">
        <v>22</v>
      </c>
      <c r="I1063" s="12">
        <v>0</v>
      </c>
      <c r="J1063" s="12" t="s">
        <v>129</v>
      </c>
      <c r="K1063" s="12" t="s">
        <v>23</v>
      </c>
      <c r="L1063" s="12">
        <v>1</v>
      </c>
      <c r="M1063" s="15">
        <v>33750</v>
      </c>
      <c r="N1063" s="15">
        <v>12000</v>
      </c>
      <c r="O1063" s="15">
        <f t="shared" si="80"/>
        <v>45750</v>
      </c>
      <c r="P1063" s="15">
        <f t="shared" si="81"/>
        <v>20.322494669509595</v>
      </c>
      <c r="Q1063" s="14">
        <v>4821</v>
      </c>
      <c r="R1063" s="12">
        <v>47</v>
      </c>
      <c r="S1063" s="12" t="s">
        <v>1429</v>
      </c>
      <c r="T1063" s="22">
        <f t="shared" si="82"/>
        <v>1</v>
      </c>
      <c r="U1063" s="22">
        <f t="shared" si="83"/>
        <v>2021</v>
      </c>
      <c r="V1063" s="22" t="str">
        <f t="shared" si="84"/>
        <v>METROPOLITANA</v>
      </c>
    </row>
    <row r="1064" spans="1:22" x14ac:dyDescent="0.2">
      <c r="A1064" s="23" t="s">
        <v>1430</v>
      </c>
      <c r="B1064" s="22" t="s">
        <v>18</v>
      </c>
      <c r="C1064" s="22" t="s">
        <v>57</v>
      </c>
      <c r="D1064" s="22" t="s">
        <v>121</v>
      </c>
      <c r="E1064" s="24" t="s">
        <v>1431</v>
      </c>
      <c r="F1064" s="22" t="s">
        <v>458</v>
      </c>
      <c r="G1064" s="25">
        <v>9665.25</v>
      </c>
      <c r="H1064" s="22" t="s">
        <v>85</v>
      </c>
      <c r="I1064" s="22">
        <v>1</v>
      </c>
      <c r="J1064" s="22" t="s">
        <v>458</v>
      </c>
      <c r="K1064" s="22" t="s">
        <v>75</v>
      </c>
      <c r="L1064" s="22">
        <v>0</v>
      </c>
      <c r="M1064" s="26">
        <v>380000</v>
      </c>
      <c r="N1064" s="26">
        <v>0</v>
      </c>
      <c r="O1064" s="15">
        <f t="shared" si="80"/>
        <v>380000</v>
      </c>
      <c r="P1064" s="15">
        <f t="shared" si="81"/>
        <v>39.316106670805205</v>
      </c>
      <c r="Q1064" s="25">
        <v>25000</v>
      </c>
      <c r="R1064" s="22">
        <v>22</v>
      </c>
      <c r="S1064" s="22" t="s">
        <v>1432</v>
      </c>
      <c r="T1064" s="22">
        <f t="shared" si="82"/>
        <v>1</v>
      </c>
      <c r="U1064" s="22">
        <f t="shared" si="83"/>
        <v>2021</v>
      </c>
      <c r="V1064" s="22" t="str">
        <f t="shared" si="84"/>
        <v>REGIONES</v>
      </c>
    </row>
    <row r="1065" spans="1:22" x14ac:dyDescent="0.2">
      <c r="A1065" s="23" t="s">
        <v>1430</v>
      </c>
      <c r="B1065" s="22" t="s">
        <v>18</v>
      </c>
      <c r="C1065" s="22" t="s">
        <v>57</v>
      </c>
      <c r="D1065" s="22" t="s">
        <v>20</v>
      </c>
      <c r="E1065" s="24" t="s">
        <v>88</v>
      </c>
      <c r="F1065" s="22" t="s">
        <v>120</v>
      </c>
      <c r="G1065" s="25">
        <v>6392.2899999999991</v>
      </c>
      <c r="H1065" s="22" t="s">
        <v>22</v>
      </c>
      <c r="I1065" s="22">
        <v>0</v>
      </c>
      <c r="J1065" s="22" t="s">
        <v>120</v>
      </c>
      <c r="K1065" s="22" t="s">
        <v>23</v>
      </c>
      <c r="L1065" s="22">
        <v>5</v>
      </c>
      <c r="M1065" s="26">
        <v>70000</v>
      </c>
      <c r="N1065" s="26">
        <f>G1065*4</f>
        <v>25569.159999999996</v>
      </c>
      <c r="O1065" s="15">
        <f t="shared" si="80"/>
        <v>95569.16</v>
      </c>
      <c r="P1065" s="15">
        <f t="shared" si="81"/>
        <v>14.950692161963868</v>
      </c>
      <c r="Q1065" s="25">
        <v>12000</v>
      </c>
      <c r="R1065" s="22">
        <v>53</v>
      </c>
      <c r="S1065" s="22" t="s">
        <v>1433</v>
      </c>
      <c r="T1065" s="22">
        <f t="shared" si="82"/>
        <v>1</v>
      </c>
      <c r="U1065" s="22">
        <f t="shared" si="83"/>
        <v>2021</v>
      </c>
      <c r="V1065" s="22" t="str">
        <f t="shared" si="84"/>
        <v>METROPOLITANA</v>
      </c>
    </row>
    <row r="1066" spans="1:22" x14ac:dyDescent="0.2">
      <c r="A1066" s="23" t="s">
        <v>1430</v>
      </c>
      <c r="B1066" s="22" t="s">
        <v>18</v>
      </c>
      <c r="C1066" s="22" t="s">
        <v>193</v>
      </c>
      <c r="D1066" s="22" t="s">
        <v>27</v>
      </c>
      <c r="E1066" s="24" t="s">
        <v>28</v>
      </c>
      <c r="F1066" s="22" t="s">
        <v>194</v>
      </c>
      <c r="G1066" s="25">
        <v>22779.599999999999</v>
      </c>
      <c r="H1066" s="22" t="s">
        <v>22</v>
      </c>
      <c r="I1066" s="22">
        <v>1</v>
      </c>
      <c r="J1066" s="22" t="s">
        <v>194</v>
      </c>
      <c r="K1066" s="22" t="s">
        <v>23</v>
      </c>
      <c r="L1066" s="22">
        <v>4</v>
      </c>
      <c r="M1066" s="26">
        <v>159457</v>
      </c>
      <c r="N1066" s="26">
        <f>G1066*4</f>
        <v>91118.399999999994</v>
      </c>
      <c r="O1066" s="15">
        <f t="shared" si="80"/>
        <v>250575.4</v>
      </c>
      <c r="P1066" s="15">
        <f t="shared" si="81"/>
        <v>10.999991220214579</v>
      </c>
      <c r="Q1066" s="25">
        <v>8011</v>
      </c>
      <c r="R1066" s="22">
        <v>100</v>
      </c>
      <c r="S1066" s="22" t="s">
        <v>1434</v>
      </c>
      <c r="T1066" s="22">
        <f t="shared" si="82"/>
        <v>1</v>
      </c>
      <c r="U1066" s="22">
        <f t="shared" si="83"/>
        <v>2021</v>
      </c>
      <c r="V1066" s="22" t="str">
        <f t="shared" si="84"/>
        <v>METROPOLITANA</v>
      </c>
    </row>
    <row r="1067" spans="1:22" x14ac:dyDescent="0.2">
      <c r="A1067" s="23" t="s">
        <v>1430</v>
      </c>
      <c r="B1067" s="22" t="s">
        <v>33</v>
      </c>
      <c r="C1067" s="22" t="s">
        <v>128</v>
      </c>
      <c r="D1067" s="22" t="s">
        <v>38</v>
      </c>
      <c r="E1067" s="24" t="s">
        <v>42</v>
      </c>
      <c r="F1067" s="22" t="s">
        <v>34</v>
      </c>
      <c r="G1067" s="25">
        <v>7102.4</v>
      </c>
      <c r="H1067" s="22" t="s">
        <v>43</v>
      </c>
      <c r="I1067" s="22">
        <v>0</v>
      </c>
      <c r="J1067" s="22" t="s">
        <v>34</v>
      </c>
      <c r="K1067" s="22" t="s">
        <v>23</v>
      </c>
      <c r="L1067" s="22">
        <v>1</v>
      </c>
      <c r="M1067" s="26">
        <v>49717</v>
      </c>
      <c r="N1067" s="26">
        <v>21307</v>
      </c>
      <c r="O1067" s="15">
        <f t="shared" si="80"/>
        <v>71024</v>
      </c>
      <c r="P1067" s="15">
        <f t="shared" si="81"/>
        <v>10</v>
      </c>
      <c r="Q1067" s="25">
        <v>4821</v>
      </c>
      <c r="R1067" s="22">
        <v>100</v>
      </c>
      <c r="S1067" s="22" t="s">
        <v>1435</v>
      </c>
      <c r="T1067" s="22">
        <f t="shared" si="82"/>
        <v>1</v>
      </c>
      <c r="U1067" s="22">
        <f t="shared" si="83"/>
        <v>2021</v>
      </c>
      <c r="V1067" s="22" t="str">
        <f t="shared" si="84"/>
        <v>METROPOLITANA</v>
      </c>
    </row>
    <row r="1068" spans="1:22" x14ac:dyDescent="0.2">
      <c r="A1068" s="23" t="s">
        <v>1430</v>
      </c>
      <c r="B1068" s="22" t="s">
        <v>33</v>
      </c>
      <c r="C1068" s="22" t="s">
        <v>128</v>
      </c>
      <c r="D1068" s="22" t="s">
        <v>30</v>
      </c>
      <c r="E1068" s="24" t="s">
        <v>31</v>
      </c>
      <c r="F1068" s="22" t="s">
        <v>34</v>
      </c>
      <c r="G1068" s="25">
        <v>6425.9999999999991</v>
      </c>
      <c r="H1068" s="22" t="s">
        <v>32</v>
      </c>
      <c r="I1068" s="22">
        <v>0</v>
      </c>
      <c r="J1068" s="22" t="s">
        <v>34</v>
      </c>
      <c r="K1068" s="22" t="s">
        <v>23</v>
      </c>
      <c r="L1068" s="22">
        <v>1</v>
      </c>
      <c r="M1068" s="26">
        <v>44982</v>
      </c>
      <c r="N1068" s="26">
        <v>19278</v>
      </c>
      <c r="O1068" s="15">
        <f t="shared" si="80"/>
        <v>64260</v>
      </c>
      <c r="P1068" s="15">
        <f t="shared" si="81"/>
        <v>10.000000000000002</v>
      </c>
      <c r="Q1068" s="25">
        <v>4821</v>
      </c>
      <c r="R1068" s="22">
        <v>100</v>
      </c>
      <c r="S1068" s="22" t="s">
        <v>1436</v>
      </c>
      <c r="T1068" s="22">
        <f t="shared" si="82"/>
        <v>1</v>
      </c>
      <c r="U1068" s="22">
        <f t="shared" si="83"/>
        <v>2021</v>
      </c>
      <c r="V1068" s="22" t="str">
        <f t="shared" si="84"/>
        <v>METROPOLITANA</v>
      </c>
    </row>
    <row r="1069" spans="1:22" x14ac:dyDescent="0.2">
      <c r="A1069" s="23" t="s">
        <v>1430</v>
      </c>
      <c r="B1069" s="22" t="s">
        <v>33</v>
      </c>
      <c r="C1069" s="22" t="s">
        <v>128</v>
      </c>
      <c r="D1069" s="22" t="s">
        <v>41</v>
      </c>
      <c r="E1069" s="24" t="s">
        <v>25</v>
      </c>
      <c r="F1069" s="22" t="s">
        <v>34</v>
      </c>
      <c r="G1069" s="25">
        <v>7102.4</v>
      </c>
      <c r="H1069" s="22" t="s">
        <v>43</v>
      </c>
      <c r="I1069" s="22">
        <v>0</v>
      </c>
      <c r="J1069" s="22" t="s">
        <v>34</v>
      </c>
      <c r="K1069" s="22" t="s">
        <v>23</v>
      </c>
      <c r="L1069" s="22">
        <v>1</v>
      </c>
      <c r="M1069" s="26">
        <v>49717</v>
      </c>
      <c r="N1069" s="26">
        <v>21307</v>
      </c>
      <c r="O1069" s="15">
        <f t="shared" si="80"/>
        <v>71024</v>
      </c>
      <c r="P1069" s="15">
        <f t="shared" si="81"/>
        <v>10</v>
      </c>
      <c r="Q1069" s="25">
        <v>4821</v>
      </c>
      <c r="R1069" s="22">
        <v>100</v>
      </c>
      <c r="S1069" s="22" t="s">
        <v>1437</v>
      </c>
      <c r="T1069" s="22">
        <f t="shared" si="82"/>
        <v>1</v>
      </c>
      <c r="U1069" s="22">
        <f t="shared" si="83"/>
        <v>2021</v>
      </c>
      <c r="V1069" s="22" t="str">
        <f t="shared" si="84"/>
        <v>METROPOLITANA</v>
      </c>
    </row>
    <row r="1070" spans="1:22" x14ac:dyDescent="0.2">
      <c r="A1070" s="23" t="s">
        <v>1430</v>
      </c>
      <c r="B1070" s="22" t="s">
        <v>33</v>
      </c>
      <c r="C1070" s="22" t="s">
        <v>223</v>
      </c>
      <c r="D1070" s="22" t="s">
        <v>38</v>
      </c>
      <c r="E1070" s="24" t="s">
        <v>42</v>
      </c>
      <c r="F1070" s="22" t="s">
        <v>39</v>
      </c>
      <c r="G1070" s="25">
        <v>5886</v>
      </c>
      <c r="H1070" s="22" t="s">
        <v>43</v>
      </c>
      <c r="I1070" s="22">
        <v>0</v>
      </c>
      <c r="J1070" s="22" t="s">
        <v>39</v>
      </c>
      <c r="K1070" s="22" t="s">
        <v>23</v>
      </c>
      <c r="L1070" s="22">
        <v>1</v>
      </c>
      <c r="M1070" s="26">
        <v>41202</v>
      </c>
      <c r="N1070" s="26">
        <f>G1070*3</f>
        <v>17658</v>
      </c>
      <c r="O1070" s="15">
        <f t="shared" si="80"/>
        <v>58860</v>
      </c>
      <c r="P1070" s="15">
        <f t="shared" si="81"/>
        <v>10</v>
      </c>
      <c r="Q1070" s="25">
        <v>4821</v>
      </c>
      <c r="R1070" s="22">
        <v>100</v>
      </c>
      <c r="S1070" s="22" t="s">
        <v>1438</v>
      </c>
      <c r="T1070" s="22">
        <f t="shared" si="82"/>
        <v>1</v>
      </c>
      <c r="U1070" s="22">
        <f t="shared" si="83"/>
        <v>2021</v>
      </c>
      <c r="V1070" s="22" t="str">
        <f t="shared" si="84"/>
        <v>METROPOLITANA</v>
      </c>
    </row>
    <row r="1071" spans="1:22" x14ac:dyDescent="0.2">
      <c r="A1071" s="23" t="s">
        <v>1430</v>
      </c>
      <c r="B1071" s="22" t="s">
        <v>33</v>
      </c>
      <c r="C1071" s="22" t="s">
        <v>29</v>
      </c>
      <c r="D1071" s="22" t="s">
        <v>56</v>
      </c>
      <c r="E1071" s="24" t="s">
        <v>52</v>
      </c>
      <c r="F1071" s="22" t="s">
        <v>134</v>
      </c>
      <c r="G1071" s="25">
        <v>5601.6</v>
      </c>
      <c r="H1071" s="22" t="s">
        <v>22</v>
      </c>
      <c r="I1071" s="22">
        <v>0</v>
      </c>
      <c r="J1071" s="22" t="s">
        <v>134</v>
      </c>
      <c r="K1071" s="22" t="s">
        <v>23</v>
      </c>
      <c r="L1071" s="22">
        <v>2</v>
      </c>
      <c r="M1071" s="26">
        <v>40475</v>
      </c>
      <c r="N1071" s="26">
        <v>22406</v>
      </c>
      <c r="O1071" s="15">
        <f t="shared" si="80"/>
        <v>62881</v>
      </c>
      <c r="P1071" s="15">
        <f t="shared" si="81"/>
        <v>11.225542702085118</v>
      </c>
      <c r="Q1071" s="25">
        <v>5782</v>
      </c>
      <c r="R1071" s="22">
        <v>97</v>
      </c>
      <c r="S1071" s="22" t="s">
        <v>1439</v>
      </c>
      <c r="T1071" s="22">
        <f t="shared" si="82"/>
        <v>1</v>
      </c>
      <c r="U1071" s="22">
        <f t="shared" si="83"/>
        <v>2021</v>
      </c>
      <c r="V1071" s="22" t="str">
        <f t="shared" si="84"/>
        <v>METROPOLITANA</v>
      </c>
    </row>
    <row r="1072" spans="1:22" x14ac:dyDescent="0.2">
      <c r="A1072" s="23" t="s">
        <v>1430</v>
      </c>
      <c r="B1072" s="22" t="s">
        <v>33</v>
      </c>
      <c r="C1072" s="22" t="s">
        <v>29</v>
      </c>
      <c r="D1072" s="22" t="s">
        <v>37</v>
      </c>
      <c r="E1072" s="24" t="s">
        <v>40</v>
      </c>
      <c r="F1072" s="22" t="s">
        <v>129</v>
      </c>
      <c r="G1072" s="25">
        <v>13765.5</v>
      </c>
      <c r="H1072" s="22" t="s">
        <v>22</v>
      </c>
      <c r="I1072" s="22">
        <v>0</v>
      </c>
      <c r="J1072" s="22" t="s">
        <v>129</v>
      </c>
      <c r="K1072" s="22" t="s">
        <v>23</v>
      </c>
      <c r="L1072" s="22">
        <v>1</v>
      </c>
      <c r="M1072" s="26">
        <v>96358</v>
      </c>
      <c r="N1072" s="26">
        <v>55062</v>
      </c>
      <c r="O1072" s="15">
        <f t="shared" si="80"/>
        <v>151420</v>
      </c>
      <c r="P1072" s="15">
        <f t="shared" si="81"/>
        <v>10.999963677309214</v>
      </c>
      <c r="Q1072" s="25">
        <v>4821</v>
      </c>
      <c r="R1072" s="22">
        <v>100</v>
      </c>
      <c r="S1072" s="22" t="s">
        <v>1440</v>
      </c>
      <c r="T1072" s="22">
        <f t="shared" si="82"/>
        <v>1</v>
      </c>
      <c r="U1072" s="22">
        <f t="shared" si="83"/>
        <v>2021</v>
      </c>
      <c r="V1072" s="22" t="str">
        <f t="shared" si="84"/>
        <v>METROPOLITANA</v>
      </c>
    </row>
    <row r="1073" spans="1:22" x14ac:dyDescent="0.2">
      <c r="A1073" s="23" t="s">
        <v>1430</v>
      </c>
      <c r="B1073" s="22" t="s">
        <v>33</v>
      </c>
      <c r="C1073" s="22" t="s">
        <v>29</v>
      </c>
      <c r="D1073" s="22" t="s">
        <v>786</v>
      </c>
      <c r="E1073" s="24" t="s">
        <v>787</v>
      </c>
      <c r="F1073" s="22" t="s">
        <v>132</v>
      </c>
      <c r="G1073" s="25">
        <v>19510.400000000001</v>
      </c>
      <c r="H1073" s="22" t="s">
        <v>788</v>
      </c>
      <c r="I1073" s="22">
        <v>1</v>
      </c>
      <c r="J1073" s="22" t="s">
        <v>132</v>
      </c>
      <c r="K1073" s="22" t="s">
        <v>124</v>
      </c>
      <c r="L1073" s="22">
        <v>0</v>
      </c>
      <c r="M1073" s="26">
        <v>350000</v>
      </c>
      <c r="N1073" s="26">
        <v>0</v>
      </c>
      <c r="O1073" s="15">
        <f t="shared" si="80"/>
        <v>350000</v>
      </c>
      <c r="P1073" s="15">
        <f t="shared" si="81"/>
        <v>17.939150401836969</v>
      </c>
      <c r="Q1073" s="25">
        <v>25000</v>
      </c>
      <c r="R1073" s="22">
        <v>78</v>
      </c>
      <c r="S1073" s="22" t="s">
        <v>1441</v>
      </c>
      <c r="T1073" s="22">
        <f t="shared" si="82"/>
        <v>1</v>
      </c>
      <c r="U1073" s="22">
        <f t="shared" si="83"/>
        <v>2021</v>
      </c>
      <c r="V1073" s="22" t="str">
        <f t="shared" si="84"/>
        <v>REGIONES</v>
      </c>
    </row>
    <row r="1074" spans="1:22" x14ac:dyDescent="0.2">
      <c r="A1074" s="23" t="s">
        <v>1430</v>
      </c>
      <c r="B1074" s="22" t="s">
        <v>33</v>
      </c>
      <c r="C1074" s="22" t="s">
        <v>29</v>
      </c>
      <c r="D1074" s="22" t="s">
        <v>45</v>
      </c>
      <c r="E1074" s="24" t="s">
        <v>21</v>
      </c>
      <c r="F1074" s="22" t="s">
        <v>134</v>
      </c>
      <c r="G1074" s="25">
        <v>3001.6</v>
      </c>
      <c r="H1074" s="22" t="s">
        <v>22</v>
      </c>
      <c r="I1074" s="22">
        <v>0</v>
      </c>
      <c r="J1074" s="22" t="s">
        <v>134</v>
      </c>
      <c r="K1074" s="22" t="s">
        <v>23</v>
      </c>
      <c r="L1074" s="22">
        <v>2</v>
      </c>
      <c r="M1074" s="26">
        <v>40475</v>
      </c>
      <c r="N1074" s="26">
        <v>12006</v>
      </c>
      <c r="O1074" s="15">
        <f t="shared" si="80"/>
        <v>52481</v>
      </c>
      <c r="P1074" s="15">
        <f t="shared" si="81"/>
        <v>17.48434168443497</v>
      </c>
      <c r="Q1074" s="25">
        <v>5782</v>
      </c>
      <c r="R1074" s="22">
        <v>52</v>
      </c>
      <c r="S1074" s="22" t="s">
        <v>1442</v>
      </c>
      <c r="T1074" s="22">
        <f t="shared" si="82"/>
        <v>1</v>
      </c>
      <c r="U1074" s="22">
        <f t="shared" si="83"/>
        <v>2021</v>
      </c>
      <c r="V1074" s="22" t="str">
        <f t="shared" si="84"/>
        <v>METROPOLITANA</v>
      </c>
    </row>
    <row r="1075" spans="1:22" x14ac:dyDescent="0.2">
      <c r="A1075" s="23" t="s">
        <v>1430</v>
      </c>
      <c r="B1075" s="22" t="s">
        <v>33</v>
      </c>
      <c r="C1075" s="22" t="s">
        <v>29</v>
      </c>
      <c r="D1075" s="22" t="s">
        <v>35</v>
      </c>
      <c r="E1075" s="24" t="s">
        <v>49</v>
      </c>
      <c r="F1075" s="22" t="s">
        <v>129</v>
      </c>
      <c r="G1075" s="25">
        <v>4588.5</v>
      </c>
      <c r="H1075" s="22" t="s">
        <v>22</v>
      </c>
      <c r="I1075" s="22">
        <v>0</v>
      </c>
      <c r="J1075" s="22" t="s">
        <v>129</v>
      </c>
      <c r="K1075" s="22" t="s">
        <v>23</v>
      </c>
      <c r="L1075" s="22">
        <v>1</v>
      </c>
      <c r="M1075" s="26">
        <v>33750</v>
      </c>
      <c r="N1075" s="26">
        <v>18354</v>
      </c>
      <c r="O1075" s="15">
        <f t="shared" si="80"/>
        <v>52104</v>
      </c>
      <c r="P1075" s="15">
        <f t="shared" si="81"/>
        <v>11.355344883949003</v>
      </c>
      <c r="Q1075" s="25">
        <v>4821</v>
      </c>
      <c r="R1075" s="22">
        <v>95</v>
      </c>
      <c r="S1075" s="22" t="s">
        <v>1443</v>
      </c>
      <c r="T1075" s="22">
        <f t="shared" si="82"/>
        <v>1</v>
      </c>
      <c r="U1075" s="22">
        <f t="shared" si="83"/>
        <v>2021</v>
      </c>
      <c r="V1075" s="22" t="str">
        <f t="shared" si="84"/>
        <v>METROPOLITANA</v>
      </c>
    </row>
    <row r="1076" spans="1:22" x14ac:dyDescent="0.2">
      <c r="A1076" s="23" t="s">
        <v>1430</v>
      </c>
      <c r="B1076" s="22" t="s">
        <v>33</v>
      </c>
      <c r="C1076" s="22" t="s">
        <v>29</v>
      </c>
      <c r="D1076" s="22" t="s">
        <v>20</v>
      </c>
      <c r="E1076" s="24" t="s">
        <v>21</v>
      </c>
      <c r="F1076" s="22" t="s">
        <v>134</v>
      </c>
      <c r="G1076" s="25">
        <v>3075.6000000000008</v>
      </c>
      <c r="H1076" s="22" t="s">
        <v>22</v>
      </c>
      <c r="I1076" s="22">
        <v>0</v>
      </c>
      <c r="J1076" s="22" t="s">
        <v>134</v>
      </c>
      <c r="K1076" s="22" t="s">
        <v>23</v>
      </c>
      <c r="L1076" s="22">
        <v>2</v>
      </c>
      <c r="M1076" s="26">
        <v>40475</v>
      </c>
      <c r="N1076" s="26">
        <v>12302</v>
      </c>
      <c r="O1076" s="15">
        <f t="shared" si="80"/>
        <v>52777</v>
      </c>
      <c r="P1076" s="15">
        <f t="shared" si="81"/>
        <v>17.159903758616199</v>
      </c>
      <c r="Q1076" s="25">
        <v>5782</v>
      </c>
      <c r="R1076" s="22">
        <v>53</v>
      </c>
      <c r="S1076" s="22" t="s">
        <v>1444</v>
      </c>
      <c r="T1076" s="22">
        <f t="shared" si="82"/>
        <v>1</v>
      </c>
      <c r="U1076" s="22">
        <f t="shared" si="83"/>
        <v>2021</v>
      </c>
      <c r="V1076" s="22" t="str">
        <f t="shared" si="84"/>
        <v>METROPOLITANA</v>
      </c>
    </row>
    <row r="1077" spans="1:22" x14ac:dyDescent="0.2">
      <c r="A1077" s="23" t="s">
        <v>1430</v>
      </c>
      <c r="B1077" s="22" t="s">
        <v>33</v>
      </c>
      <c r="C1077" s="22" t="s">
        <v>44</v>
      </c>
      <c r="D1077" s="22" t="s">
        <v>56</v>
      </c>
      <c r="E1077" s="24" t="s">
        <v>49</v>
      </c>
      <c r="F1077" s="22" t="s">
        <v>94</v>
      </c>
      <c r="G1077" s="25">
        <v>1574.8</v>
      </c>
      <c r="H1077" s="22" t="s">
        <v>22</v>
      </c>
      <c r="I1077" s="22">
        <v>0</v>
      </c>
      <c r="J1077" s="22" t="s">
        <v>59</v>
      </c>
      <c r="K1077" s="22" t="s">
        <v>78</v>
      </c>
      <c r="L1077" s="22">
        <v>0</v>
      </c>
      <c r="M1077" s="26">
        <v>180000</v>
      </c>
      <c r="N1077" s="26">
        <v>12000</v>
      </c>
      <c r="O1077" s="15">
        <f t="shared" si="80"/>
        <v>192000</v>
      </c>
      <c r="P1077" s="15">
        <f t="shared" si="81"/>
        <v>121.92024384048769</v>
      </c>
      <c r="Q1077" s="25">
        <v>25000</v>
      </c>
      <c r="R1077" s="22">
        <v>6</v>
      </c>
      <c r="S1077" s="22" t="s">
        <v>1445</v>
      </c>
      <c r="T1077" s="22">
        <f t="shared" si="82"/>
        <v>1</v>
      </c>
      <c r="U1077" s="22">
        <f t="shared" si="83"/>
        <v>2021</v>
      </c>
      <c r="V1077" s="22" t="str">
        <f t="shared" si="84"/>
        <v>REGIONES</v>
      </c>
    </row>
    <row r="1078" spans="1:22" x14ac:dyDescent="0.2">
      <c r="A1078" s="23" t="s">
        <v>1430</v>
      </c>
      <c r="B1078" s="22" t="s">
        <v>33</v>
      </c>
      <c r="C1078" s="22" t="s">
        <v>44</v>
      </c>
      <c r="D1078" s="22" t="s">
        <v>56</v>
      </c>
      <c r="E1078" s="24" t="s">
        <v>49</v>
      </c>
      <c r="F1078" s="22" t="s">
        <v>59</v>
      </c>
      <c r="G1078" s="25">
        <v>2800.8</v>
      </c>
      <c r="H1078" s="22" t="s">
        <v>22</v>
      </c>
      <c r="I1078" s="22">
        <v>0</v>
      </c>
      <c r="J1078" s="22" t="s">
        <v>59</v>
      </c>
      <c r="K1078" s="22" t="s">
        <v>78</v>
      </c>
      <c r="L1078" s="22">
        <v>0</v>
      </c>
      <c r="M1078" s="26">
        <v>180000</v>
      </c>
      <c r="N1078" s="26">
        <v>120000</v>
      </c>
      <c r="O1078" s="15">
        <f t="shared" si="80"/>
        <v>300000</v>
      </c>
      <c r="P1078" s="15">
        <f t="shared" si="81"/>
        <v>107.11225364181662</v>
      </c>
      <c r="Q1078" s="25">
        <v>25000</v>
      </c>
      <c r="R1078" s="22">
        <v>11</v>
      </c>
      <c r="S1078" s="22" t="s">
        <v>1446</v>
      </c>
      <c r="T1078" s="22">
        <f t="shared" si="82"/>
        <v>1</v>
      </c>
      <c r="U1078" s="22">
        <f t="shared" si="83"/>
        <v>2021</v>
      </c>
      <c r="V1078" s="22" t="str">
        <f t="shared" si="84"/>
        <v>REGIONES</v>
      </c>
    </row>
    <row r="1079" spans="1:22" x14ac:dyDescent="0.2">
      <c r="A1079" s="23" t="s">
        <v>1430</v>
      </c>
      <c r="B1079" s="22" t="s">
        <v>33</v>
      </c>
      <c r="C1079" s="22" t="s">
        <v>44</v>
      </c>
      <c r="D1079" s="22" t="s">
        <v>188</v>
      </c>
      <c r="E1079" s="24" t="s">
        <v>189</v>
      </c>
      <c r="F1079" s="22" t="s">
        <v>26</v>
      </c>
      <c r="G1079" s="25">
        <v>2251.1999999999998</v>
      </c>
      <c r="H1079" s="22" t="s">
        <v>190</v>
      </c>
      <c r="I1079" s="22">
        <v>0</v>
      </c>
      <c r="J1079" s="22" t="s">
        <v>26</v>
      </c>
      <c r="K1079" s="22" t="s">
        <v>23</v>
      </c>
      <c r="L1079" s="22">
        <v>4</v>
      </c>
      <c r="M1079" s="26">
        <v>56075</v>
      </c>
      <c r="N1079" s="26">
        <v>6754</v>
      </c>
      <c r="O1079" s="15">
        <f t="shared" si="80"/>
        <v>62829</v>
      </c>
      <c r="P1079" s="15">
        <f t="shared" si="81"/>
        <v>27.909115138592753</v>
      </c>
      <c r="Q1079" s="25">
        <v>8011</v>
      </c>
      <c r="R1079" s="22">
        <v>28</v>
      </c>
      <c r="S1079" s="22" t="s">
        <v>1447</v>
      </c>
      <c r="T1079" s="22">
        <f t="shared" si="82"/>
        <v>1</v>
      </c>
      <c r="U1079" s="22">
        <f t="shared" si="83"/>
        <v>2021</v>
      </c>
      <c r="V1079" s="22" t="str">
        <f t="shared" si="84"/>
        <v>METROPOLITANA</v>
      </c>
    </row>
    <row r="1080" spans="1:22" x14ac:dyDescent="0.2">
      <c r="A1080" s="23" t="s">
        <v>1430</v>
      </c>
      <c r="B1080" s="22" t="s">
        <v>33</v>
      </c>
      <c r="C1080" s="22" t="s">
        <v>44</v>
      </c>
      <c r="D1080" s="22" t="s">
        <v>45</v>
      </c>
      <c r="E1080" s="24" t="s">
        <v>28</v>
      </c>
      <c r="F1080" s="22" t="s">
        <v>46</v>
      </c>
      <c r="G1080" s="25">
        <v>1775.6</v>
      </c>
      <c r="H1080" s="22" t="s">
        <v>22</v>
      </c>
      <c r="I1080" s="22">
        <v>0</v>
      </c>
      <c r="J1080" s="22" t="s">
        <v>46</v>
      </c>
      <c r="K1080" s="22" t="s">
        <v>23</v>
      </c>
      <c r="L1080" s="22">
        <v>2</v>
      </c>
      <c r="M1080" s="26">
        <v>40475</v>
      </c>
      <c r="N1080" s="26">
        <v>12000</v>
      </c>
      <c r="O1080" s="15">
        <f t="shared" si="80"/>
        <v>52475</v>
      </c>
      <c r="P1080" s="15">
        <f t="shared" si="81"/>
        <v>29.553390403243977</v>
      </c>
      <c r="Q1080" s="25">
        <v>5782</v>
      </c>
      <c r="R1080" s="22">
        <v>31</v>
      </c>
      <c r="S1080" s="22" t="s">
        <v>1448</v>
      </c>
      <c r="T1080" s="22">
        <f t="shared" si="82"/>
        <v>1</v>
      </c>
      <c r="U1080" s="22">
        <f t="shared" si="83"/>
        <v>2021</v>
      </c>
      <c r="V1080" s="22" t="str">
        <f t="shared" si="84"/>
        <v>METROPOLITANA</v>
      </c>
    </row>
    <row r="1081" spans="1:22" x14ac:dyDescent="0.2">
      <c r="A1081" s="23" t="s">
        <v>1430</v>
      </c>
      <c r="B1081" s="22" t="s">
        <v>33</v>
      </c>
      <c r="C1081" s="22" t="s">
        <v>44</v>
      </c>
      <c r="D1081" s="22" t="s">
        <v>47</v>
      </c>
      <c r="E1081" s="24" t="s">
        <v>88</v>
      </c>
      <c r="F1081" s="22" t="s">
        <v>48</v>
      </c>
      <c r="G1081" s="25">
        <v>7303.1999999999989</v>
      </c>
      <c r="H1081" s="22" t="s">
        <v>22</v>
      </c>
      <c r="I1081" s="22">
        <v>0</v>
      </c>
      <c r="J1081" s="22" t="s">
        <v>48</v>
      </c>
      <c r="K1081" s="22" t="s">
        <v>23</v>
      </c>
      <c r="L1081" s="22">
        <v>1</v>
      </c>
      <c r="M1081" s="26">
        <v>51122</v>
      </c>
      <c r="N1081" s="26">
        <v>29213</v>
      </c>
      <c r="O1081" s="15">
        <f t="shared" si="80"/>
        <v>80335</v>
      </c>
      <c r="P1081" s="15">
        <f t="shared" si="81"/>
        <v>10.999972614744223</v>
      </c>
      <c r="Q1081" s="25">
        <v>4821</v>
      </c>
      <c r="R1081" s="22">
        <v>100</v>
      </c>
      <c r="S1081" s="22" t="s">
        <v>1449</v>
      </c>
      <c r="T1081" s="22">
        <f t="shared" si="82"/>
        <v>1</v>
      </c>
      <c r="U1081" s="22">
        <f t="shared" si="83"/>
        <v>2021</v>
      </c>
      <c r="V1081" s="22" t="str">
        <f t="shared" si="84"/>
        <v>METROPOLITANA</v>
      </c>
    </row>
    <row r="1082" spans="1:22" x14ac:dyDescent="0.2">
      <c r="A1082" s="23" t="s">
        <v>1430</v>
      </c>
      <c r="B1082" s="22" t="s">
        <v>33</v>
      </c>
      <c r="C1082" s="22" t="s">
        <v>44</v>
      </c>
      <c r="D1082" s="22" t="s">
        <v>35</v>
      </c>
      <c r="E1082" s="24" t="s">
        <v>52</v>
      </c>
      <c r="F1082" s="22" t="s">
        <v>51</v>
      </c>
      <c r="G1082" s="25">
        <v>4026.8</v>
      </c>
      <c r="H1082" s="22" t="s">
        <v>22</v>
      </c>
      <c r="I1082" s="22">
        <v>0</v>
      </c>
      <c r="J1082" s="22" t="s">
        <v>51</v>
      </c>
      <c r="K1082" s="22" t="s">
        <v>23</v>
      </c>
      <c r="L1082" s="22">
        <v>4</v>
      </c>
      <c r="M1082" s="26">
        <v>56075</v>
      </c>
      <c r="N1082" s="26">
        <v>16107</v>
      </c>
      <c r="O1082" s="15">
        <f t="shared" si="80"/>
        <v>72182</v>
      </c>
      <c r="P1082" s="15">
        <f t="shared" si="81"/>
        <v>17.925399821197974</v>
      </c>
      <c r="Q1082" s="25">
        <v>8011</v>
      </c>
      <c r="R1082" s="22">
        <v>50</v>
      </c>
      <c r="S1082" s="22" t="s">
        <v>1450</v>
      </c>
      <c r="T1082" s="22">
        <f t="shared" si="82"/>
        <v>1</v>
      </c>
      <c r="U1082" s="22">
        <f t="shared" si="83"/>
        <v>2021</v>
      </c>
      <c r="V1082" s="22" t="str">
        <f t="shared" si="84"/>
        <v>METROPOLITANA</v>
      </c>
    </row>
    <row r="1083" spans="1:22" x14ac:dyDescent="0.2">
      <c r="A1083" s="11" t="s">
        <v>1451</v>
      </c>
      <c r="B1083" s="12" t="s">
        <v>18</v>
      </c>
      <c r="C1083" s="12" t="s">
        <v>57</v>
      </c>
      <c r="D1083" s="12" t="s">
        <v>38</v>
      </c>
      <c r="E1083" s="13" t="s">
        <v>42</v>
      </c>
      <c r="F1083" s="12" t="s">
        <v>120</v>
      </c>
      <c r="G1083" s="14">
        <v>11085.02</v>
      </c>
      <c r="H1083" s="12" t="s">
        <v>43</v>
      </c>
      <c r="I1083" s="12">
        <v>0</v>
      </c>
      <c r="J1083" s="12" t="s">
        <v>120</v>
      </c>
      <c r="K1083" s="12" t="s">
        <v>23</v>
      </c>
      <c r="L1083" s="12">
        <v>5</v>
      </c>
      <c r="M1083" s="15">
        <v>70000</v>
      </c>
      <c r="N1083" s="15">
        <f>G1083*3</f>
        <v>33255.06</v>
      </c>
      <c r="O1083" s="15">
        <f t="shared" si="80"/>
        <v>103255.06</v>
      </c>
      <c r="P1083" s="15">
        <f t="shared" si="81"/>
        <v>9.314828480237292</v>
      </c>
      <c r="Q1083" s="14">
        <v>12000</v>
      </c>
      <c r="R1083" s="12">
        <v>92</v>
      </c>
      <c r="S1083" s="12" t="s">
        <v>1452</v>
      </c>
      <c r="T1083" s="22">
        <f t="shared" si="82"/>
        <v>1</v>
      </c>
      <c r="U1083" s="22">
        <f t="shared" si="83"/>
        <v>2021</v>
      </c>
      <c r="V1083" s="22" t="str">
        <f t="shared" si="84"/>
        <v>METROPOLITANA</v>
      </c>
    </row>
    <row r="1084" spans="1:22" x14ac:dyDescent="0.2">
      <c r="A1084" s="11" t="s">
        <v>1451</v>
      </c>
      <c r="B1084" s="12" t="s">
        <v>18</v>
      </c>
      <c r="C1084" s="12" t="s">
        <v>57</v>
      </c>
      <c r="D1084" s="12" t="s">
        <v>41</v>
      </c>
      <c r="E1084" s="13" t="s">
        <v>25</v>
      </c>
      <c r="F1084" s="12" t="s">
        <v>120</v>
      </c>
      <c r="G1084" s="14">
        <v>10930.82</v>
      </c>
      <c r="H1084" s="12" t="s">
        <v>43</v>
      </c>
      <c r="I1084" s="12">
        <v>0</v>
      </c>
      <c r="J1084" s="12" t="s">
        <v>120</v>
      </c>
      <c r="K1084" s="12" t="s">
        <v>23</v>
      </c>
      <c r="L1084" s="12">
        <v>5</v>
      </c>
      <c r="M1084" s="15">
        <v>70000</v>
      </c>
      <c r="N1084" s="15">
        <f>G1084*3</f>
        <v>32792.46</v>
      </c>
      <c r="O1084" s="15">
        <f t="shared" si="80"/>
        <v>102792.45999999999</v>
      </c>
      <c r="P1084" s="15">
        <f t="shared" si="81"/>
        <v>9.403911142988358</v>
      </c>
      <c r="Q1084" s="14">
        <v>12000</v>
      </c>
      <c r="R1084" s="12">
        <v>91</v>
      </c>
      <c r="S1084" s="12" t="s">
        <v>1453</v>
      </c>
      <c r="T1084" s="22">
        <f t="shared" si="82"/>
        <v>1</v>
      </c>
      <c r="U1084" s="22">
        <f t="shared" si="83"/>
        <v>2021</v>
      </c>
      <c r="V1084" s="22" t="str">
        <f t="shared" si="84"/>
        <v>METROPOLITANA</v>
      </c>
    </row>
    <row r="1085" spans="1:22" x14ac:dyDescent="0.2">
      <c r="A1085" s="11" t="s">
        <v>1451</v>
      </c>
      <c r="B1085" s="12" t="s">
        <v>18</v>
      </c>
      <c r="C1085" s="12" t="s">
        <v>500</v>
      </c>
      <c r="D1085" s="12" t="s">
        <v>20</v>
      </c>
      <c r="E1085" s="13" t="s">
        <v>88</v>
      </c>
      <c r="F1085" s="12" t="s">
        <v>120</v>
      </c>
      <c r="G1085" s="14">
        <v>7849.4400000000014</v>
      </c>
      <c r="H1085" s="12" t="s">
        <v>22</v>
      </c>
      <c r="I1085" s="12">
        <v>0</v>
      </c>
      <c r="J1085" s="12" t="s">
        <v>120</v>
      </c>
      <c r="K1085" s="12" t="s">
        <v>23</v>
      </c>
      <c r="L1085" s="12">
        <v>5</v>
      </c>
      <c r="M1085" s="15">
        <v>70000</v>
      </c>
      <c r="N1085" s="15">
        <f>G1085*4</f>
        <v>31397.760000000006</v>
      </c>
      <c r="O1085" s="15">
        <f t="shared" si="80"/>
        <v>101397.76000000001</v>
      </c>
      <c r="P1085" s="15">
        <f t="shared" si="81"/>
        <v>12.917833628895819</v>
      </c>
      <c r="Q1085" s="14">
        <v>12000</v>
      </c>
      <c r="R1085" s="12">
        <v>65</v>
      </c>
      <c r="S1085" s="12" t="s">
        <v>1454</v>
      </c>
      <c r="T1085" s="22">
        <f t="shared" si="82"/>
        <v>1</v>
      </c>
      <c r="U1085" s="22">
        <f t="shared" si="83"/>
        <v>2021</v>
      </c>
      <c r="V1085" s="22" t="str">
        <f t="shared" si="84"/>
        <v>METROPOLITANA</v>
      </c>
    </row>
    <row r="1086" spans="1:22" x14ac:dyDescent="0.2">
      <c r="A1086" s="11" t="s">
        <v>1451</v>
      </c>
      <c r="B1086" s="12" t="s">
        <v>18</v>
      </c>
      <c r="C1086" s="12" t="s">
        <v>193</v>
      </c>
      <c r="D1086" s="12" t="s">
        <v>27</v>
      </c>
      <c r="E1086" s="13" t="s">
        <v>28</v>
      </c>
      <c r="F1086" s="12" t="s">
        <v>194</v>
      </c>
      <c r="G1086" s="14">
        <v>20951.2</v>
      </c>
      <c r="H1086" s="12" t="s">
        <v>22</v>
      </c>
      <c r="I1086" s="12">
        <v>1</v>
      </c>
      <c r="J1086" s="12" t="s">
        <v>194</v>
      </c>
      <c r="K1086" s="12" t="s">
        <v>23</v>
      </c>
      <c r="L1086" s="12">
        <v>4</v>
      </c>
      <c r="M1086" s="15">
        <v>146658</v>
      </c>
      <c r="N1086" s="15">
        <f>G1086*4</f>
        <v>83804.800000000003</v>
      </c>
      <c r="O1086" s="15">
        <f t="shared" si="80"/>
        <v>230462.8</v>
      </c>
      <c r="P1086" s="15">
        <f t="shared" si="81"/>
        <v>10.999980908014814</v>
      </c>
      <c r="Q1086" s="14">
        <v>8011</v>
      </c>
      <c r="R1086" s="12">
        <v>100</v>
      </c>
      <c r="S1086" s="12" t="s">
        <v>1455</v>
      </c>
      <c r="T1086" s="22">
        <f t="shared" si="82"/>
        <v>1</v>
      </c>
      <c r="U1086" s="22">
        <f t="shared" si="83"/>
        <v>2021</v>
      </c>
      <c r="V1086" s="22" t="str">
        <f t="shared" si="84"/>
        <v>METROPOLITANA</v>
      </c>
    </row>
    <row r="1087" spans="1:22" x14ac:dyDescent="0.2">
      <c r="A1087" s="11" t="s">
        <v>1451</v>
      </c>
      <c r="B1087" s="12" t="s">
        <v>18</v>
      </c>
      <c r="C1087" s="12" t="s">
        <v>1323</v>
      </c>
      <c r="D1087" s="12" t="s">
        <v>27</v>
      </c>
      <c r="E1087" s="13" t="s">
        <v>28</v>
      </c>
      <c r="F1087" s="12" t="s">
        <v>1324</v>
      </c>
      <c r="G1087" s="14">
        <v>8847.7799999999988</v>
      </c>
      <c r="H1087" s="12" t="s">
        <v>22</v>
      </c>
      <c r="I1087" s="12">
        <v>1</v>
      </c>
      <c r="J1087" s="12" t="s">
        <v>1324</v>
      </c>
      <c r="K1087" s="12" t="s">
        <v>23</v>
      </c>
      <c r="L1087" s="12">
        <v>2</v>
      </c>
      <c r="M1087" s="15">
        <v>61934</v>
      </c>
      <c r="N1087" s="15">
        <f>G1087*4</f>
        <v>35391.119999999995</v>
      </c>
      <c r="O1087" s="15">
        <f t="shared" si="80"/>
        <v>97325.119999999995</v>
      </c>
      <c r="P1087" s="15">
        <f t="shared" si="81"/>
        <v>10.999948009557201</v>
      </c>
      <c r="Q1087" s="14">
        <v>5782</v>
      </c>
      <c r="R1087" s="12">
        <v>100</v>
      </c>
      <c r="S1087" s="12" t="s">
        <v>1456</v>
      </c>
      <c r="T1087" s="22">
        <f t="shared" si="82"/>
        <v>1</v>
      </c>
      <c r="U1087" s="22">
        <f t="shared" si="83"/>
        <v>2021</v>
      </c>
      <c r="V1087" s="22" t="str">
        <f t="shared" si="84"/>
        <v>METROPOLITANA</v>
      </c>
    </row>
    <row r="1088" spans="1:22" x14ac:dyDescent="0.2">
      <c r="A1088" s="11" t="s">
        <v>1451</v>
      </c>
      <c r="B1088" s="12" t="s">
        <v>18</v>
      </c>
      <c r="C1088" s="12" t="s">
        <v>508</v>
      </c>
      <c r="D1088" s="12" t="s">
        <v>37</v>
      </c>
      <c r="E1088" s="13" t="s">
        <v>1457</v>
      </c>
      <c r="F1088" s="12" t="s">
        <v>800</v>
      </c>
      <c r="G1088" s="14">
        <v>4537.68</v>
      </c>
      <c r="H1088" s="12" t="s">
        <v>22</v>
      </c>
      <c r="I1088" s="12">
        <v>0</v>
      </c>
      <c r="J1088" s="12" t="s">
        <v>800</v>
      </c>
      <c r="K1088" s="12" t="s">
        <v>23</v>
      </c>
      <c r="L1088" s="12">
        <v>5</v>
      </c>
      <c r="M1088" s="15">
        <v>90000</v>
      </c>
      <c r="N1088" s="15">
        <f>G1088*4</f>
        <v>18150.72</v>
      </c>
      <c r="O1088" s="15">
        <f t="shared" si="80"/>
        <v>108150.72</v>
      </c>
      <c r="P1088" s="15">
        <f t="shared" si="81"/>
        <v>23.833923943512982</v>
      </c>
      <c r="Q1088" s="14">
        <v>12000</v>
      </c>
      <c r="R1088" s="12">
        <v>38</v>
      </c>
      <c r="S1088" s="12" t="s">
        <v>1458</v>
      </c>
      <c r="T1088" s="22">
        <f t="shared" si="82"/>
        <v>1</v>
      </c>
      <c r="U1088" s="22">
        <f t="shared" si="83"/>
        <v>2021</v>
      </c>
      <c r="V1088" s="22" t="str">
        <f t="shared" si="84"/>
        <v>METROPOLITANA</v>
      </c>
    </row>
    <row r="1089" spans="1:22" x14ac:dyDescent="0.2">
      <c r="A1089" s="11" t="s">
        <v>1451</v>
      </c>
      <c r="B1089" s="12" t="s">
        <v>18</v>
      </c>
      <c r="C1089" s="12" t="s">
        <v>508</v>
      </c>
      <c r="D1089" s="12" t="s">
        <v>37</v>
      </c>
      <c r="E1089" s="13" t="s">
        <v>40</v>
      </c>
      <c r="F1089" s="12" t="s">
        <v>800</v>
      </c>
      <c r="G1089" s="14">
        <v>6583.83</v>
      </c>
      <c r="H1089" s="12" t="s">
        <v>22</v>
      </c>
      <c r="I1089" s="12">
        <v>0</v>
      </c>
      <c r="J1089" s="12" t="s">
        <v>800</v>
      </c>
      <c r="K1089" s="12" t="s">
        <v>23</v>
      </c>
      <c r="L1089" s="12">
        <v>5</v>
      </c>
      <c r="M1089" s="15">
        <v>90000</v>
      </c>
      <c r="N1089" s="15">
        <f>G1089*4</f>
        <v>26335.32</v>
      </c>
      <c r="O1089" s="15">
        <f t="shared" si="80"/>
        <v>116335.32</v>
      </c>
      <c r="P1089" s="15">
        <f t="shared" si="81"/>
        <v>17.669854780576049</v>
      </c>
      <c r="Q1089" s="14">
        <v>12000</v>
      </c>
      <c r="R1089" s="12">
        <v>55</v>
      </c>
      <c r="S1089" s="12" t="s">
        <v>1459</v>
      </c>
      <c r="T1089" s="22">
        <f t="shared" si="82"/>
        <v>1</v>
      </c>
      <c r="U1089" s="22">
        <f t="shared" si="83"/>
        <v>2021</v>
      </c>
      <c r="V1089" s="22" t="str">
        <f t="shared" si="84"/>
        <v>METROPOLITANA</v>
      </c>
    </row>
    <row r="1090" spans="1:22" x14ac:dyDescent="0.2">
      <c r="A1090" s="11" t="s">
        <v>1451</v>
      </c>
      <c r="B1090" s="12" t="s">
        <v>33</v>
      </c>
      <c r="C1090" s="12" t="s">
        <v>128</v>
      </c>
      <c r="D1090" s="12" t="s">
        <v>188</v>
      </c>
      <c r="E1090" s="13" t="s">
        <v>189</v>
      </c>
      <c r="F1090" s="12" t="s">
        <v>34</v>
      </c>
      <c r="G1090" s="14">
        <v>6077.2</v>
      </c>
      <c r="H1090" s="12" t="s">
        <v>190</v>
      </c>
      <c r="I1090" s="12">
        <v>0</v>
      </c>
      <c r="J1090" s="12" t="s">
        <v>34</v>
      </c>
      <c r="K1090" s="12" t="s">
        <v>23</v>
      </c>
      <c r="L1090" s="12">
        <v>1</v>
      </c>
      <c r="M1090" s="15">
        <v>42540</v>
      </c>
      <c r="N1090" s="15">
        <v>18232</v>
      </c>
      <c r="O1090" s="15">
        <f t="shared" ref="O1090:O1153" si="85">SUM(M1090:N1090)</f>
        <v>60772</v>
      </c>
      <c r="P1090" s="15">
        <f t="shared" ref="P1090:P1153" si="86">O1090/G1090</f>
        <v>10</v>
      </c>
      <c r="Q1090" s="14">
        <v>4821</v>
      </c>
      <c r="R1090" s="12">
        <v>100</v>
      </c>
      <c r="S1090" s="12" t="s">
        <v>1460</v>
      </c>
      <c r="T1090" s="22">
        <f t="shared" ref="T1090:T1153" si="87">MONTH(A1090)</f>
        <v>1</v>
      </c>
      <c r="U1090" s="22">
        <f t="shared" ref="U1090:U1153" si="88">YEAR(A1090)</f>
        <v>2021</v>
      </c>
      <c r="V1090" s="22" t="str">
        <f t="shared" ref="V1090:V1153" si="89">IF(K1090="METROPOLITANA DE SANTIAGO","METROPOLITANA","REGIONES")</f>
        <v>METROPOLITANA</v>
      </c>
    </row>
    <row r="1091" spans="1:22" x14ac:dyDescent="0.2">
      <c r="A1091" s="11" t="s">
        <v>1451</v>
      </c>
      <c r="B1091" s="12" t="s">
        <v>33</v>
      </c>
      <c r="C1091" s="12" t="s">
        <v>36</v>
      </c>
      <c r="D1091" s="12" t="s">
        <v>35</v>
      </c>
      <c r="E1091" s="13" t="s">
        <v>49</v>
      </c>
      <c r="F1091" s="12" t="s">
        <v>376</v>
      </c>
      <c r="G1091" s="14">
        <v>3001.6</v>
      </c>
      <c r="H1091" s="12" t="s">
        <v>22</v>
      </c>
      <c r="I1091" s="12">
        <v>0</v>
      </c>
      <c r="J1091" s="12" t="s">
        <v>377</v>
      </c>
      <c r="K1091" s="12" t="s">
        <v>23</v>
      </c>
      <c r="L1091" s="12">
        <v>4</v>
      </c>
      <c r="M1091" s="15">
        <v>56075</v>
      </c>
      <c r="N1091" s="15">
        <v>12000</v>
      </c>
      <c r="O1091" s="15">
        <f t="shared" si="85"/>
        <v>68075</v>
      </c>
      <c r="P1091" s="15">
        <f t="shared" si="86"/>
        <v>22.679570895522389</v>
      </c>
      <c r="Q1091" s="14">
        <v>8011</v>
      </c>
      <c r="R1091" s="12">
        <v>37</v>
      </c>
      <c r="S1091" s="12" t="s">
        <v>1461</v>
      </c>
      <c r="T1091" s="22">
        <f t="shared" si="87"/>
        <v>1</v>
      </c>
      <c r="U1091" s="22">
        <f t="shared" si="88"/>
        <v>2021</v>
      </c>
      <c r="V1091" s="22" t="str">
        <f t="shared" si="89"/>
        <v>METROPOLITANA</v>
      </c>
    </row>
    <row r="1092" spans="1:22" x14ac:dyDescent="0.2">
      <c r="A1092" s="11" t="s">
        <v>1451</v>
      </c>
      <c r="B1092" s="12" t="s">
        <v>33</v>
      </c>
      <c r="C1092" s="12" t="s">
        <v>223</v>
      </c>
      <c r="D1092" s="12" t="s">
        <v>38</v>
      </c>
      <c r="E1092" s="13" t="s">
        <v>42</v>
      </c>
      <c r="F1092" s="12" t="s">
        <v>67</v>
      </c>
      <c r="G1092" s="14">
        <v>7400.4</v>
      </c>
      <c r="H1092" s="12" t="s">
        <v>43</v>
      </c>
      <c r="I1092" s="12">
        <v>0</v>
      </c>
      <c r="J1092" s="12" t="s">
        <v>67</v>
      </c>
      <c r="K1092" s="12" t="s">
        <v>23</v>
      </c>
      <c r="L1092" s="12">
        <v>2</v>
      </c>
      <c r="M1092" s="15">
        <v>51803</v>
      </c>
      <c r="N1092" s="15">
        <f>G1092*3</f>
        <v>22201.199999999997</v>
      </c>
      <c r="O1092" s="15">
        <f t="shared" si="85"/>
        <v>74004.2</v>
      </c>
      <c r="P1092" s="15">
        <f t="shared" si="86"/>
        <v>10.000027025566185</v>
      </c>
      <c r="Q1092" s="14">
        <v>5782</v>
      </c>
      <c r="R1092" s="12">
        <v>100</v>
      </c>
      <c r="S1092" s="12" t="s">
        <v>1462</v>
      </c>
      <c r="T1092" s="22">
        <f t="shared" si="87"/>
        <v>1</v>
      </c>
      <c r="U1092" s="22">
        <f t="shared" si="88"/>
        <v>2021</v>
      </c>
      <c r="V1092" s="22" t="str">
        <f t="shared" si="89"/>
        <v>METROPOLITANA</v>
      </c>
    </row>
    <row r="1093" spans="1:22" x14ac:dyDescent="0.2">
      <c r="A1093" s="11" t="s">
        <v>1451</v>
      </c>
      <c r="B1093" s="12" t="s">
        <v>33</v>
      </c>
      <c r="C1093" s="12" t="s">
        <v>44</v>
      </c>
      <c r="D1093" s="12" t="s">
        <v>30</v>
      </c>
      <c r="E1093" s="13" t="s">
        <v>31</v>
      </c>
      <c r="F1093" s="12" t="s">
        <v>133</v>
      </c>
      <c r="G1093" s="14">
        <v>9004.7999999999975</v>
      </c>
      <c r="H1093" s="12" t="s">
        <v>32</v>
      </c>
      <c r="I1093" s="12">
        <v>0</v>
      </c>
      <c r="J1093" s="12" t="s">
        <v>133</v>
      </c>
      <c r="K1093" s="12" t="s">
        <v>78</v>
      </c>
      <c r="L1093" s="12">
        <v>0</v>
      </c>
      <c r="M1093" s="15">
        <v>180000</v>
      </c>
      <c r="N1093" s="15">
        <f>G1093*3</f>
        <v>27014.399999999994</v>
      </c>
      <c r="O1093" s="15">
        <f t="shared" si="85"/>
        <v>207014.39999999999</v>
      </c>
      <c r="P1093" s="15">
        <f t="shared" si="86"/>
        <v>22.989339019189771</v>
      </c>
      <c r="Q1093" s="14">
        <v>25000</v>
      </c>
      <c r="R1093" s="12">
        <v>36</v>
      </c>
      <c r="S1093" s="12" t="s">
        <v>1463</v>
      </c>
      <c r="T1093" s="22">
        <f t="shared" si="87"/>
        <v>1</v>
      </c>
      <c r="U1093" s="22">
        <f t="shared" si="88"/>
        <v>2021</v>
      </c>
      <c r="V1093" s="22" t="str">
        <f t="shared" si="89"/>
        <v>REGIONES</v>
      </c>
    </row>
    <row r="1094" spans="1:22" x14ac:dyDescent="0.2">
      <c r="A1094" s="11" t="s">
        <v>1451</v>
      </c>
      <c r="B1094" s="12" t="s">
        <v>33</v>
      </c>
      <c r="C1094" s="12" t="s">
        <v>44</v>
      </c>
      <c r="D1094" s="12" t="s">
        <v>45</v>
      </c>
      <c r="E1094" s="13" t="s">
        <v>28</v>
      </c>
      <c r="F1094" s="12" t="s">
        <v>67</v>
      </c>
      <c r="G1094" s="14">
        <v>2251.1999999999998</v>
      </c>
      <c r="H1094" s="12" t="s">
        <v>22</v>
      </c>
      <c r="I1094" s="12">
        <v>0</v>
      </c>
      <c r="J1094" s="12" t="s">
        <v>67</v>
      </c>
      <c r="K1094" s="12" t="s">
        <v>23</v>
      </c>
      <c r="L1094" s="12">
        <v>2</v>
      </c>
      <c r="M1094" s="15">
        <v>40475</v>
      </c>
      <c r="N1094" s="15">
        <v>12000</v>
      </c>
      <c r="O1094" s="15">
        <f t="shared" si="85"/>
        <v>52475</v>
      </c>
      <c r="P1094" s="15">
        <f t="shared" si="86"/>
        <v>23.309790334044067</v>
      </c>
      <c r="Q1094" s="14">
        <v>5782</v>
      </c>
      <c r="R1094" s="12">
        <v>39</v>
      </c>
      <c r="S1094" s="12" t="s">
        <v>1464</v>
      </c>
      <c r="T1094" s="22">
        <f t="shared" si="87"/>
        <v>1</v>
      </c>
      <c r="U1094" s="22">
        <f t="shared" si="88"/>
        <v>2021</v>
      </c>
      <c r="V1094" s="22" t="str">
        <f t="shared" si="89"/>
        <v>METROPOLITANA</v>
      </c>
    </row>
    <row r="1095" spans="1:22" x14ac:dyDescent="0.2">
      <c r="A1095" s="11" t="s">
        <v>1451</v>
      </c>
      <c r="B1095" s="12" t="s">
        <v>33</v>
      </c>
      <c r="C1095" s="12" t="s">
        <v>44</v>
      </c>
      <c r="D1095" s="12" t="s">
        <v>47</v>
      </c>
      <c r="E1095" s="13" t="s">
        <v>52</v>
      </c>
      <c r="F1095" s="12" t="s">
        <v>48</v>
      </c>
      <c r="G1095" s="14">
        <v>7102.3999999999987</v>
      </c>
      <c r="H1095" s="12" t="s">
        <v>22</v>
      </c>
      <c r="I1095" s="12">
        <v>0</v>
      </c>
      <c r="J1095" s="12" t="s">
        <v>48</v>
      </c>
      <c r="K1095" s="12" t="s">
        <v>23</v>
      </c>
      <c r="L1095" s="12">
        <v>1</v>
      </c>
      <c r="M1095" s="15">
        <v>49717</v>
      </c>
      <c r="N1095" s="15">
        <v>28410</v>
      </c>
      <c r="O1095" s="15">
        <f t="shared" si="85"/>
        <v>78127</v>
      </c>
      <c r="P1095" s="15">
        <f t="shared" si="86"/>
        <v>11.000084478486148</v>
      </c>
      <c r="Q1095" s="14">
        <v>4821</v>
      </c>
      <c r="R1095" s="12">
        <v>100</v>
      </c>
      <c r="S1095" s="12" t="s">
        <v>1465</v>
      </c>
      <c r="T1095" s="22">
        <f t="shared" si="87"/>
        <v>1</v>
      </c>
      <c r="U1095" s="22">
        <f t="shared" si="88"/>
        <v>2021</v>
      </c>
      <c r="V1095" s="22" t="str">
        <f t="shared" si="89"/>
        <v>METROPOLITANA</v>
      </c>
    </row>
    <row r="1096" spans="1:22" x14ac:dyDescent="0.2">
      <c r="A1096" s="23" t="s">
        <v>1466</v>
      </c>
      <c r="B1096" s="22" t="s">
        <v>18</v>
      </c>
      <c r="C1096" s="22" t="s">
        <v>57</v>
      </c>
      <c r="D1096" s="22" t="s">
        <v>164</v>
      </c>
      <c r="E1096" s="24" t="s">
        <v>28</v>
      </c>
      <c r="F1096" s="22" t="s">
        <v>120</v>
      </c>
      <c r="G1096" s="25">
        <v>10468</v>
      </c>
      <c r="H1096" s="22" t="s">
        <v>22</v>
      </c>
      <c r="I1096" s="22">
        <v>1</v>
      </c>
      <c r="J1096" s="22" t="s">
        <v>120</v>
      </c>
      <c r="K1096" s="22" t="s">
        <v>23</v>
      </c>
      <c r="L1096" s="22">
        <v>5</v>
      </c>
      <c r="M1096" s="26">
        <v>120000</v>
      </c>
      <c r="N1096" s="26">
        <f>G1096*4</f>
        <v>41872</v>
      </c>
      <c r="O1096" s="15">
        <f t="shared" si="85"/>
        <v>161872</v>
      </c>
      <c r="P1096" s="15">
        <f t="shared" si="86"/>
        <v>15.463507833397019</v>
      </c>
      <c r="Q1096" s="25">
        <v>12000</v>
      </c>
      <c r="R1096" s="22">
        <v>87</v>
      </c>
      <c r="S1096" s="22" t="s">
        <v>1467</v>
      </c>
      <c r="T1096" s="22">
        <f t="shared" si="87"/>
        <v>1</v>
      </c>
      <c r="U1096" s="22">
        <f t="shared" si="88"/>
        <v>2021</v>
      </c>
      <c r="V1096" s="22" t="str">
        <f t="shared" si="89"/>
        <v>METROPOLITANA</v>
      </c>
    </row>
    <row r="1097" spans="1:22" x14ac:dyDescent="0.2">
      <c r="A1097" s="23" t="s">
        <v>1466</v>
      </c>
      <c r="B1097" s="22" t="s">
        <v>18</v>
      </c>
      <c r="C1097" s="22" t="s">
        <v>500</v>
      </c>
      <c r="D1097" s="22" t="s">
        <v>20</v>
      </c>
      <c r="E1097" s="24" t="s">
        <v>88</v>
      </c>
      <c r="F1097" s="22" t="s">
        <v>120</v>
      </c>
      <c r="G1097" s="25">
        <v>6719.2200000000012</v>
      </c>
      <c r="H1097" s="22" t="s">
        <v>22</v>
      </c>
      <c r="I1097" s="22">
        <v>0</v>
      </c>
      <c r="J1097" s="22" t="s">
        <v>120</v>
      </c>
      <c r="K1097" s="22" t="s">
        <v>23</v>
      </c>
      <c r="L1097" s="22">
        <v>5</v>
      </c>
      <c r="M1097" s="26">
        <v>70000</v>
      </c>
      <c r="N1097" s="26">
        <f>G1097*4</f>
        <v>26876.880000000005</v>
      </c>
      <c r="O1097" s="15">
        <f t="shared" si="85"/>
        <v>96876.88</v>
      </c>
      <c r="P1097" s="15">
        <f t="shared" si="86"/>
        <v>14.417875884403248</v>
      </c>
      <c r="Q1097" s="25">
        <v>12000</v>
      </c>
      <c r="R1097" s="22">
        <v>56</v>
      </c>
      <c r="S1097" s="22" t="s">
        <v>1468</v>
      </c>
      <c r="T1097" s="22">
        <f t="shared" si="87"/>
        <v>1</v>
      </c>
      <c r="U1097" s="22">
        <f t="shared" si="88"/>
        <v>2021</v>
      </c>
      <c r="V1097" s="22" t="str">
        <f t="shared" si="89"/>
        <v>METROPOLITANA</v>
      </c>
    </row>
    <row r="1098" spans="1:22" x14ac:dyDescent="0.2">
      <c r="A1098" s="23" t="s">
        <v>1466</v>
      </c>
      <c r="B1098" s="22" t="s">
        <v>33</v>
      </c>
      <c r="C1098" s="22" t="s">
        <v>50</v>
      </c>
      <c r="D1098" s="22" t="s">
        <v>37</v>
      </c>
      <c r="E1098" s="24" t="s">
        <v>40</v>
      </c>
      <c r="F1098" s="22" t="s">
        <v>26</v>
      </c>
      <c r="G1098" s="25">
        <v>14683.2</v>
      </c>
      <c r="H1098" s="22" t="s">
        <v>22</v>
      </c>
      <c r="I1098" s="22">
        <v>0</v>
      </c>
      <c r="J1098" s="22" t="s">
        <v>26</v>
      </c>
      <c r="K1098" s="22" t="s">
        <v>23</v>
      </c>
      <c r="L1098" s="22">
        <v>4</v>
      </c>
      <c r="M1098" s="26">
        <v>102782</v>
      </c>
      <c r="N1098" s="26">
        <f>G1098*4</f>
        <v>58732.800000000003</v>
      </c>
      <c r="O1098" s="15">
        <f t="shared" si="85"/>
        <v>161514.79999999999</v>
      </c>
      <c r="P1098" s="15">
        <f t="shared" si="86"/>
        <v>10.99997275798191</v>
      </c>
      <c r="Q1098" s="25">
        <v>8011</v>
      </c>
      <c r="R1098" s="22">
        <v>100</v>
      </c>
      <c r="S1098" s="22" t="s">
        <v>1469</v>
      </c>
      <c r="T1098" s="22">
        <f t="shared" si="87"/>
        <v>1</v>
      </c>
      <c r="U1098" s="22">
        <f t="shared" si="88"/>
        <v>2021</v>
      </c>
      <c r="V1098" s="22" t="str">
        <f t="shared" si="89"/>
        <v>METROPOLITANA</v>
      </c>
    </row>
    <row r="1099" spans="1:22" x14ac:dyDescent="0.2">
      <c r="A1099" s="23" t="s">
        <v>1466</v>
      </c>
      <c r="B1099" s="22" t="s">
        <v>33</v>
      </c>
      <c r="C1099" s="22" t="s">
        <v>50</v>
      </c>
      <c r="D1099" s="22" t="s">
        <v>20</v>
      </c>
      <c r="E1099" s="24" t="s">
        <v>88</v>
      </c>
      <c r="F1099" s="22" t="s">
        <v>26</v>
      </c>
      <c r="G1099" s="25">
        <v>10278.24</v>
      </c>
      <c r="H1099" s="22" t="s">
        <v>22</v>
      </c>
      <c r="I1099" s="22">
        <v>0</v>
      </c>
      <c r="J1099" s="22" t="s">
        <v>26</v>
      </c>
      <c r="K1099" s="22" t="s">
        <v>23</v>
      </c>
      <c r="L1099" s="22">
        <v>4</v>
      </c>
      <c r="M1099" s="26">
        <v>71948</v>
      </c>
      <c r="N1099" s="26">
        <f>G1099*4</f>
        <v>41112.959999999999</v>
      </c>
      <c r="O1099" s="15">
        <f t="shared" si="85"/>
        <v>113060.95999999999</v>
      </c>
      <c r="P1099" s="15">
        <f t="shared" si="86"/>
        <v>11.000031133734957</v>
      </c>
      <c r="Q1099" s="25">
        <v>8011</v>
      </c>
      <c r="R1099" s="22">
        <v>100</v>
      </c>
      <c r="S1099" s="22" t="s">
        <v>1470</v>
      </c>
      <c r="T1099" s="22">
        <f t="shared" si="87"/>
        <v>1</v>
      </c>
      <c r="U1099" s="22">
        <f t="shared" si="88"/>
        <v>2021</v>
      </c>
      <c r="V1099" s="22" t="str">
        <f t="shared" si="89"/>
        <v>METROPOLITANA</v>
      </c>
    </row>
    <row r="1100" spans="1:22" x14ac:dyDescent="0.2">
      <c r="A1100" s="23" t="s">
        <v>1466</v>
      </c>
      <c r="B1100" s="22" t="s">
        <v>33</v>
      </c>
      <c r="C1100" s="22" t="s">
        <v>324</v>
      </c>
      <c r="D1100" s="22" t="s">
        <v>56</v>
      </c>
      <c r="E1100" s="24" t="s">
        <v>21</v>
      </c>
      <c r="F1100" s="22" t="s">
        <v>1471</v>
      </c>
      <c r="G1100" s="25">
        <v>5378.4</v>
      </c>
      <c r="H1100" s="22" t="s">
        <v>22</v>
      </c>
      <c r="I1100" s="22">
        <v>0</v>
      </c>
      <c r="J1100" s="22" t="s">
        <v>1471</v>
      </c>
      <c r="K1100" s="22" t="s">
        <v>78</v>
      </c>
      <c r="L1100" s="22">
        <v>0</v>
      </c>
      <c r="M1100" s="26">
        <v>230000</v>
      </c>
      <c r="N1100" s="26">
        <v>0</v>
      </c>
      <c r="O1100" s="15">
        <f t="shared" si="85"/>
        <v>230000</v>
      </c>
      <c r="P1100" s="15">
        <f t="shared" si="86"/>
        <v>42.763647181317864</v>
      </c>
      <c r="Q1100" s="25">
        <v>25000</v>
      </c>
      <c r="R1100" s="22">
        <v>22</v>
      </c>
      <c r="S1100" s="22" t="s">
        <v>1472</v>
      </c>
      <c r="T1100" s="22">
        <f t="shared" si="87"/>
        <v>1</v>
      </c>
      <c r="U1100" s="22">
        <f t="shared" si="88"/>
        <v>2021</v>
      </c>
      <c r="V1100" s="22" t="str">
        <f t="shared" si="89"/>
        <v>REGIONES</v>
      </c>
    </row>
    <row r="1101" spans="1:22" x14ac:dyDescent="0.2">
      <c r="A1101" s="23" t="s">
        <v>1466</v>
      </c>
      <c r="B1101" s="22" t="s">
        <v>33</v>
      </c>
      <c r="C1101" s="22" t="s">
        <v>128</v>
      </c>
      <c r="D1101" s="22" t="s">
        <v>30</v>
      </c>
      <c r="E1101" s="24" t="s">
        <v>31</v>
      </c>
      <c r="F1101" s="22" t="s">
        <v>34</v>
      </c>
      <c r="G1101" s="25">
        <v>8328.4</v>
      </c>
      <c r="H1101" s="22" t="s">
        <v>32</v>
      </c>
      <c r="I1101" s="22">
        <v>0</v>
      </c>
      <c r="J1101" s="22" t="s">
        <v>34</v>
      </c>
      <c r="K1101" s="22" t="s">
        <v>23</v>
      </c>
      <c r="L1101" s="22">
        <v>1</v>
      </c>
      <c r="M1101" s="26">
        <v>58299</v>
      </c>
      <c r="N1101" s="26">
        <v>24985</v>
      </c>
      <c r="O1101" s="15">
        <f t="shared" si="85"/>
        <v>83284</v>
      </c>
      <c r="P1101" s="15">
        <f t="shared" si="86"/>
        <v>10</v>
      </c>
      <c r="Q1101" s="25">
        <v>4821</v>
      </c>
      <c r="R1101" s="22">
        <v>100</v>
      </c>
      <c r="S1101" s="22" t="s">
        <v>1473</v>
      </c>
      <c r="T1101" s="22">
        <f t="shared" si="87"/>
        <v>1</v>
      </c>
      <c r="U1101" s="22">
        <f t="shared" si="88"/>
        <v>2021</v>
      </c>
      <c r="V1101" s="22" t="str">
        <f t="shared" si="89"/>
        <v>METROPOLITANA</v>
      </c>
    </row>
    <row r="1102" spans="1:22" x14ac:dyDescent="0.2">
      <c r="A1102" s="23" t="s">
        <v>1466</v>
      </c>
      <c r="B1102" s="22" t="s">
        <v>33</v>
      </c>
      <c r="C1102" s="22" t="s">
        <v>128</v>
      </c>
      <c r="D1102" s="22" t="s">
        <v>45</v>
      </c>
      <c r="E1102" s="24" t="s">
        <v>49</v>
      </c>
      <c r="F1102" s="22" t="s">
        <v>129</v>
      </c>
      <c r="G1102" s="25">
        <v>3974.0000000000009</v>
      </c>
      <c r="H1102" s="22" t="s">
        <v>22</v>
      </c>
      <c r="I1102" s="22">
        <v>0</v>
      </c>
      <c r="J1102" s="22" t="s">
        <v>129</v>
      </c>
      <c r="K1102" s="22" t="s">
        <v>23</v>
      </c>
      <c r="L1102" s="22">
        <v>1</v>
      </c>
      <c r="M1102" s="26">
        <v>33750</v>
      </c>
      <c r="N1102" s="26">
        <v>15896</v>
      </c>
      <c r="O1102" s="15">
        <f t="shared" si="85"/>
        <v>49646</v>
      </c>
      <c r="P1102" s="15">
        <f t="shared" si="86"/>
        <v>12.492702566683439</v>
      </c>
      <c r="Q1102" s="25">
        <v>4821</v>
      </c>
      <c r="R1102" s="22">
        <v>82</v>
      </c>
      <c r="S1102" s="22" t="s">
        <v>1474</v>
      </c>
      <c r="T1102" s="22">
        <f t="shared" si="87"/>
        <v>1</v>
      </c>
      <c r="U1102" s="22">
        <f t="shared" si="88"/>
        <v>2021</v>
      </c>
      <c r="V1102" s="22" t="str">
        <f t="shared" si="89"/>
        <v>METROPOLITANA</v>
      </c>
    </row>
    <row r="1103" spans="1:22" x14ac:dyDescent="0.2">
      <c r="A1103" s="23" t="s">
        <v>1466</v>
      </c>
      <c r="B1103" s="22" t="s">
        <v>33</v>
      </c>
      <c r="C1103" s="22" t="s">
        <v>128</v>
      </c>
      <c r="D1103" s="22" t="s">
        <v>47</v>
      </c>
      <c r="E1103" s="24" t="s">
        <v>52</v>
      </c>
      <c r="F1103" s="22" t="s">
        <v>129</v>
      </c>
      <c r="G1103" s="25">
        <v>3974.0000000000009</v>
      </c>
      <c r="H1103" s="22" t="s">
        <v>22</v>
      </c>
      <c r="I1103" s="22">
        <v>0</v>
      </c>
      <c r="J1103" s="22" t="s">
        <v>129</v>
      </c>
      <c r="K1103" s="22" t="s">
        <v>23</v>
      </c>
      <c r="L1103" s="22">
        <v>1</v>
      </c>
      <c r="M1103" s="26">
        <v>33750</v>
      </c>
      <c r="N1103" s="26">
        <v>15896</v>
      </c>
      <c r="O1103" s="15">
        <f t="shared" si="85"/>
        <v>49646</v>
      </c>
      <c r="P1103" s="15">
        <f t="shared" si="86"/>
        <v>12.492702566683439</v>
      </c>
      <c r="Q1103" s="25">
        <v>4821</v>
      </c>
      <c r="R1103" s="22">
        <v>82</v>
      </c>
      <c r="S1103" s="22" t="s">
        <v>1475</v>
      </c>
      <c r="T1103" s="22">
        <f t="shared" si="87"/>
        <v>1</v>
      </c>
      <c r="U1103" s="22">
        <f t="shared" si="88"/>
        <v>2021</v>
      </c>
      <c r="V1103" s="22" t="str">
        <f t="shared" si="89"/>
        <v>METROPOLITANA</v>
      </c>
    </row>
    <row r="1104" spans="1:22" x14ac:dyDescent="0.2">
      <c r="A1104" s="23" t="s">
        <v>1466</v>
      </c>
      <c r="B1104" s="22" t="s">
        <v>33</v>
      </c>
      <c r="C1104" s="22" t="s">
        <v>128</v>
      </c>
      <c r="D1104" s="22" t="s">
        <v>41</v>
      </c>
      <c r="E1104" s="24" t="s">
        <v>25</v>
      </c>
      <c r="F1104" s="22" t="s">
        <v>34</v>
      </c>
      <c r="G1104" s="25">
        <v>8328.3999999999978</v>
      </c>
      <c r="H1104" s="22" t="s">
        <v>43</v>
      </c>
      <c r="I1104" s="22">
        <v>0</v>
      </c>
      <c r="J1104" s="22" t="s">
        <v>34</v>
      </c>
      <c r="K1104" s="22" t="s">
        <v>23</v>
      </c>
      <c r="L1104" s="22">
        <v>1</v>
      </c>
      <c r="M1104" s="26">
        <v>58299</v>
      </c>
      <c r="N1104" s="26">
        <v>24985</v>
      </c>
      <c r="O1104" s="15">
        <f t="shared" si="85"/>
        <v>83284</v>
      </c>
      <c r="P1104" s="15">
        <f t="shared" si="86"/>
        <v>10.000000000000002</v>
      </c>
      <c r="Q1104" s="25">
        <v>4821</v>
      </c>
      <c r="R1104" s="22">
        <v>100</v>
      </c>
      <c r="S1104" s="22" t="s">
        <v>1476</v>
      </c>
      <c r="T1104" s="22">
        <f t="shared" si="87"/>
        <v>1</v>
      </c>
      <c r="U1104" s="22">
        <f t="shared" si="88"/>
        <v>2021</v>
      </c>
      <c r="V1104" s="22" t="str">
        <f t="shared" si="89"/>
        <v>METROPOLITANA</v>
      </c>
    </row>
    <row r="1105" spans="1:22" x14ac:dyDescent="0.2">
      <c r="A1105" s="23" t="s">
        <v>1466</v>
      </c>
      <c r="B1105" s="22" t="s">
        <v>33</v>
      </c>
      <c r="C1105" s="22" t="s">
        <v>36</v>
      </c>
      <c r="D1105" s="22" t="s">
        <v>61</v>
      </c>
      <c r="E1105" s="24" t="s">
        <v>62</v>
      </c>
      <c r="F1105" s="22" t="s">
        <v>92</v>
      </c>
      <c r="G1105" s="25">
        <v>15296.769999999999</v>
      </c>
      <c r="H1105" s="22" t="s">
        <v>85</v>
      </c>
      <c r="I1105" s="22">
        <v>1</v>
      </c>
      <c r="J1105" s="22" t="s">
        <v>92</v>
      </c>
      <c r="K1105" s="22" t="s">
        <v>93</v>
      </c>
      <c r="L1105" s="22">
        <v>0</v>
      </c>
      <c r="M1105" s="26">
        <v>620000</v>
      </c>
      <c r="N1105" s="26">
        <v>0</v>
      </c>
      <c r="O1105" s="15">
        <f t="shared" si="85"/>
        <v>620000</v>
      </c>
      <c r="P1105" s="15">
        <f t="shared" si="86"/>
        <v>40.53143245273349</v>
      </c>
      <c r="Q1105" s="25">
        <v>25000</v>
      </c>
      <c r="R1105" s="22">
        <v>33</v>
      </c>
      <c r="S1105" s="22" t="s">
        <v>1477</v>
      </c>
      <c r="T1105" s="22">
        <f t="shared" si="87"/>
        <v>1</v>
      </c>
      <c r="U1105" s="22">
        <f t="shared" si="88"/>
        <v>2021</v>
      </c>
      <c r="V1105" s="22" t="str">
        <f t="shared" si="89"/>
        <v>REGIONES</v>
      </c>
    </row>
    <row r="1106" spans="1:22" x14ac:dyDescent="0.2">
      <c r="A1106" s="23" t="s">
        <v>1466</v>
      </c>
      <c r="B1106" s="22" t="s">
        <v>33</v>
      </c>
      <c r="C1106" s="22" t="s">
        <v>335</v>
      </c>
      <c r="D1106" s="22" t="s">
        <v>37</v>
      </c>
      <c r="E1106" s="24" t="s">
        <v>40</v>
      </c>
      <c r="F1106" s="22" t="s">
        <v>336</v>
      </c>
      <c r="G1106" s="25">
        <v>4683.6000000000004</v>
      </c>
      <c r="H1106" s="22" t="s">
        <v>22</v>
      </c>
      <c r="I1106" s="22">
        <v>0</v>
      </c>
      <c r="J1106" s="22" t="s">
        <v>120</v>
      </c>
      <c r="K1106" s="22" t="s">
        <v>23</v>
      </c>
      <c r="L1106" s="22">
        <v>5</v>
      </c>
      <c r="M1106" s="26">
        <v>70000</v>
      </c>
      <c r="N1106" s="26">
        <f>G1106*4</f>
        <v>18734.400000000001</v>
      </c>
      <c r="O1106" s="15">
        <f t="shared" si="85"/>
        <v>88734.399999999994</v>
      </c>
      <c r="P1106" s="15">
        <f t="shared" si="86"/>
        <v>18.945768212486119</v>
      </c>
      <c r="Q1106" s="25">
        <v>12000</v>
      </c>
      <c r="R1106" s="22">
        <v>39</v>
      </c>
      <c r="S1106" s="22" t="s">
        <v>1478</v>
      </c>
      <c r="T1106" s="22">
        <f t="shared" si="87"/>
        <v>1</v>
      </c>
      <c r="U1106" s="22">
        <f t="shared" si="88"/>
        <v>2021</v>
      </c>
      <c r="V1106" s="22" t="str">
        <f t="shared" si="89"/>
        <v>METROPOLITANA</v>
      </c>
    </row>
    <row r="1107" spans="1:22" x14ac:dyDescent="0.2">
      <c r="A1107" s="23" t="s">
        <v>1466</v>
      </c>
      <c r="B1107" s="22" t="s">
        <v>33</v>
      </c>
      <c r="C1107" s="22" t="s">
        <v>29</v>
      </c>
      <c r="D1107" s="22" t="s">
        <v>38</v>
      </c>
      <c r="E1107" s="24" t="s">
        <v>42</v>
      </c>
      <c r="F1107" s="22" t="s">
        <v>134</v>
      </c>
      <c r="G1107" s="25">
        <v>10928.4</v>
      </c>
      <c r="H1107" s="22" t="s">
        <v>43</v>
      </c>
      <c r="I1107" s="22">
        <v>0</v>
      </c>
      <c r="J1107" s="22" t="s">
        <v>134</v>
      </c>
      <c r="K1107" s="22" t="s">
        <v>23</v>
      </c>
      <c r="L1107" s="22">
        <v>2</v>
      </c>
      <c r="M1107" s="26">
        <v>76499</v>
      </c>
      <c r="N1107" s="26">
        <v>32785</v>
      </c>
      <c r="O1107" s="15">
        <f t="shared" si="85"/>
        <v>109284</v>
      </c>
      <c r="P1107" s="15">
        <f t="shared" si="86"/>
        <v>10</v>
      </c>
      <c r="Q1107" s="25">
        <v>5782</v>
      </c>
      <c r="R1107" s="22">
        <v>100</v>
      </c>
      <c r="S1107" s="22" t="s">
        <v>1479</v>
      </c>
      <c r="T1107" s="22">
        <f t="shared" si="87"/>
        <v>1</v>
      </c>
      <c r="U1107" s="22">
        <f t="shared" si="88"/>
        <v>2021</v>
      </c>
      <c r="V1107" s="22" t="str">
        <f t="shared" si="89"/>
        <v>METROPOLITANA</v>
      </c>
    </row>
    <row r="1108" spans="1:22" x14ac:dyDescent="0.2">
      <c r="A1108" s="23" t="s">
        <v>1466</v>
      </c>
      <c r="B1108" s="22" t="s">
        <v>33</v>
      </c>
      <c r="C1108" s="22" t="s">
        <v>29</v>
      </c>
      <c r="D1108" s="22" t="s">
        <v>125</v>
      </c>
      <c r="E1108" s="24" t="s">
        <v>126</v>
      </c>
      <c r="F1108" s="22" t="s">
        <v>173</v>
      </c>
      <c r="G1108" s="25">
        <v>11076.4</v>
      </c>
      <c r="H1108" s="22" t="s">
        <v>174</v>
      </c>
      <c r="I1108" s="22">
        <v>0</v>
      </c>
      <c r="J1108" s="22" t="s">
        <v>173</v>
      </c>
      <c r="K1108" s="22" t="s">
        <v>23</v>
      </c>
      <c r="L1108" s="22">
        <v>5</v>
      </c>
      <c r="M1108" s="26">
        <v>90000</v>
      </c>
      <c r="N1108" s="26">
        <v>33229</v>
      </c>
      <c r="O1108" s="15">
        <f t="shared" si="85"/>
        <v>123229</v>
      </c>
      <c r="P1108" s="15">
        <f t="shared" si="86"/>
        <v>11.125365642266441</v>
      </c>
      <c r="Q1108" s="25">
        <v>12000</v>
      </c>
      <c r="R1108" s="22">
        <v>92</v>
      </c>
      <c r="S1108" s="22" t="s">
        <v>1480</v>
      </c>
      <c r="T1108" s="22">
        <f t="shared" si="87"/>
        <v>1</v>
      </c>
      <c r="U1108" s="22">
        <f t="shared" si="88"/>
        <v>2021</v>
      </c>
      <c r="V1108" s="22" t="str">
        <f t="shared" si="89"/>
        <v>METROPOLITANA</v>
      </c>
    </row>
    <row r="1109" spans="1:22" x14ac:dyDescent="0.2">
      <c r="A1109" s="23" t="s">
        <v>1466</v>
      </c>
      <c r="B1109" s="22" t="s">
        <v>33</v>
      </c>
      <c r="C1109" s="22" t="s">
        <v>44</v>
      </c>
      <c r="D1109" s="22" t="s">
        <v>56</v>
      </c>
      <c r="E1109" s="24" t="s">
        <v>21</v>
      </c>
      <c r="F1109" s="22" t="s">
        <v>26</v>
      </c>
      <c r="G1109" s="25">
        <v>1600.6</v>
      </c>
      <c r="H1109" s="22" t="s">
        <v>22</v>
      </c>
      <c r="I1109" s="22">
        <v>0</v>
      </c>
      <c r="J1109" s="22" t="s">
        <v>26</v>
      </c>
      <c r="K1109" s="22" t="s">
        <v>23</v>
      </c>
      <c r="L1109" s="22">
        <v>4</v>
      </c>
      <c r="M1109" s="26">
        <v>56075</v>
      </c>
      <c r="N1109" s="26">
        <v>12000</v>
      </c>
      <c r="O1109" s="15">
        <f t="shared" si="85"/>
        <v>68075</v>
      </c>
      <c r="P1109" s="15">
        <f t="shared" si="86"/>
        <v>42.530925902786457</v>
      </c>
      <c r="Q1109" s="25">
        <v>8011</v>
      </c>
      <c r="R1109" s="22">
        <v>20</v>
      </c>
      <c r="S1109" s="22" t="s">
        <v>1481</v>
      </c>
      <c r="T1109" s="22">
        <f t="shared" si="87"/>
        <v>1</v>
      </c>
      <c r="U1109" s="22">
        <f t="shared" si="88"/>
        <v>2021</v>
      </c>
      <c r="V1109" s="22" t="str">
        <f t="shared" si="89"/>
        <v>METROPOLITANA</v>
      </c>
    </row>
    <row r="1110" spans="1:22" x14ac:dyDescent="0.2">
      <c r="A1110" s="23" t="s">
        <v>1466</v>
      </c>
      <c r="B1110" s="22" t="s">
        <v>33</v>
      </c>
      <c r="C1110" s="22" t="s">
        <v>44</v>
      </c>
      <c r="D1110" s="22" t="s">
        <v>38</v>
      </c>
      <c r="E1110" s="24" t="s">
        <v>42</v>
      </c>
      <c r="F1110" s="22" t="s">
        <v>53</v>
      </c>
      <c r="G1110" s="25">
        <v>7252.5999999999995</v>
      </c>
      <c r="H1110" s="22" t="s">
        <v>43</v>
      </c>
      <c r="I1110" s="22">
        <v>0</v>
      </c>
      <c r="J1110" s="22" t="s">
        <v>53</v>
      </c>
      <c r="K1110" s="22" t="s">
        <v>23</v>
      </c>
      <c r="L1110" s="22">
        <v>3</v>
      </c>
      <c r="M1110" s="26">
        <v>50768</v>
      </c>
      <c r="N1110" s="26">
        <v>21758</v>
      </c>
      <c r="O1110" s="15">
        <f t="shared" si="85"/>
        <v>72526</v>
      </c>
      <c r="P1110" s="15">
        <f t="shared" si="86"/>
        <v>10</v>
      </c>
      <c r="Q1110" s="25">
        <v>6868</v>
      </c>
      <c r="R1110" s="22">
        <v>100</v>
      </c>
      <c r="S1110" s="22" t="s">
        <v>1482</v>
      </c>
      <c r="T1110" s="22">
        <f t="shared" si="87"/>
        <v>1</v>
      </c>
      <c r="U1110" s="22">
        <f t="shared" si="88"/>
        <v>2021</v>
      </c>
      <c r="V1110" s="22" t="str">
        <f t="shared" si="89"/>
        <v>METROPOLITANA</v>
      </c>
    </row>
    <row r="1111" spans="1:22" x14ac:dyDescent="0.2">
      <c r="A1111" s="23" t="s">
        <v>1466</v>
      </c>
      <c r="B1111" s="22" t="s">
        <v>33</v>
      </c>
      <c r="C1111" s="22" t="s">
        <v>44</v>
      </c>
      <c r="D1111" s="22" t="s">
        <v>188</v>
      </c>
      <c r="E1111" s="24" t="s">
        <v>189</v>
      </c>
      <c r="F1111" s="22" t="s">
        <v>46</v>
      </c>
      <c r="G1111" s="25">
        <v>4801.8</v>
      </c>
      <c r="H1111" s="22" t="s">
        <v>190</v>
      </c>
      <c r="I1111" s="22">
        <v>0</v>
      </c>
      <c r="J1111" s="22" t="s">
        <v>46</v>
      </c>
      <c r="K1111" s="22" t="s">
        <v>23</v>
      </c>
      <c r="L1111" s="22">
        <v>2</v>
      </c>
      <c r="M1111" s="26">
        <v>40475</v>
      </c>
      <c r="N1111" s="26">
        <v>14405</v>
      </c>
      <c r="O1111" s="15">
        <f t="shared" si="85"/>
        <v>54880</v>
      </c>
      <c r="P1111" s="15">
        <f t="shared" si="86"/>
        <v>11.42904744054313</v>
      </c>
      <c r="Q1111" s="25">
        <v>5782</v>
      </c>
      <c r="R1111" s="22">
        <v>83</v>
      </c>
      <c r="S1111" s="22" t="s">
        <v>1483</v>
      </c>
      <c r="T1111" s="22">
        <f t="shared" si="87"/>
        <v>1</v>
      </c>
      <c r="U1111" s="22">
        <f t="shared" si="88"/>
        <v>2021</v>
      </c>
      <c r="V1111" s="22" t="str">
        <f t="shared" si="89"/>
        <v>METROPOLITANA</v>
      </c>
    </row>
    <row r="1112" spans="1:22" x14ac:dyDescent="0.2">
      <c r="A1112" s="23" t="s">
        <v>1466</v>
      </c>
      <c r="B1112" s="22" t="s">
        <v>33</v>
      </c>
      <c r="C1112" s="22" t="s">
        <v>44</v>
      </c>
      <c r="D1112" s="22" t="s">
        <v>37</v>
      </c>
      <c r="E1112" s="24" t="s">
        <v>40</v>
      </c>
      <c r="F1112" s="22" t="s">
        <v>48</v>
      </c>
      <c r="G1112" s="25">
        <v>8001.7999999999984</v>
      </c>
      <c r="H1112" s="22" t="s">
        <v>22</v>
      </c>
      <c r="I1112" s="22">
        <v>0</v>
      </c>
      <c r="J1112" s="22" t="s">
        <v>48</v>
      </c>
      <c r="K1112" s="22" t="s">
        <v>23</v>
      </c>
      <c r="L1112" s="22">
        <v>1</v>
      </c>
      <c r="M1112" s="26">
        <v>56013</v>
      </c>
      <c r="N1112" s="26">
        <v>32007</v>
      </c>
      <c r="O1112" s="15">
        <f t="shared" si="85"/>
        <v>88020</v>
      </c>
      <c r="P1112" s="15">
        <f t="shared" si="86"/>
        <v>11.000024994376268</v>
      </c>
      <c r="Q1112" s="25">
        <v>4821</v>
      </c>
      <c r="R1112" s="22">
        <v>100</v>
      </c>
      <c r="S1112" s="22" t="s">
        <v>1484</v>
      </c>
      <c r="T1112" s="22">
        <f t="shared" si="87"/>
        <v>1</v>
      </c>
      <c r="U1112" s="22">
        <f t="shared" si="88"/>
        <v>2021</v>
      </c>
      <c r="V1112" s="22" t="str">
        <f t="shared" si="89"/>
        <v>METROPOLITANA</v>
      </c>
    </row>
    <row r="1113" spans="1:22" x14ac:dyDescent="0.2">
      <c r="A1113" s="23" t="s">
        <v>1466</v>
      </c>
      <c r="B1113" s="22" t="s">
        <v>33</v>
      </c>
      <c r="C1113" s="22" t="s">
        <v>44</v>
      </c>
      <c r="D1113" s="22" t="s">
        <v>30</v>
      </c>
      <c r="E1113" s="24" t="s">
        <v>31</v>
      </c>
      <c r="F1113" s="22" t="s">
        <v>229</v>
      </c>
      <c r="G1113" s="25">
        <v>7703.5999999999976</v>
      </c>
      <c r="H1113" s="22" t="s">
        <v>32</v>
      </c>
      <c r="I1113" s="22">
        <v>0</v>
      </c>
      <c r="J1113" s="22" t="s">
        <v>230</v>
      </c>
      <c r="K1113" s="22" t="s">
        <v>23</v>
      </c>
      <c r="L1113" s="22">
        <v>4</v>
      </c>
      <c r="M1113" s="26">
        <v>56075</v>
      </c>
      <c r="N1113" s="26">
        <v>23111</v>
      </c>
      <c r="O1113" s="15">
        <f t="shared" si="85"/>
        <v>79186</v>
      </c>
      <c r="P1113" s="15">
        <f t="shared" si="86"/>
        <v>10.279090295446288</v>
      </c>
      <c r="Q1113" s="25">
        <v>8011</v>
      </c>
      <c r="R1113" s="22">
        <v>96</v>
      </c>
      <c r="S1113" s="22" t="s">
        <v>1485</v>
      </c>
      <c r="T1113" s="22">
        <f t="shared" si="87"/>
        <v>1</v>
      </c>
      <c r="U1113" s="22">
        <f t="shared" si="88"/>
        <v>2021</v>
      </c>
      <c r="V1113" s="22" t="str">
        <f t="shared" si="89"/>
        <v>METROPOLITANA</v>
      </c>
    </row>
    <row r="1114" spans="1:22" x14ac:dyDescent="0.2">
      <c r="A1114" s="23" t="s">
        <v>1466</v>
      </c>
      <c r="B1114" s="22" t="s">
        <v>33</v>
      </c>
      <c r="C1114" s="22" t="s">
        <v>44</v>
      </c>
      <c r="D1114" s="22" t="s">
        <v>45</v>
      </c>
      <c r="E1114" s="24" t="s">
        <v>52</v>
      </c>
      <c r="F1114" s="22" t="s">
        <v>95</v>
      </c>
      <c r="G1114" s="25">
        <v>4702</v>
      </c>
      <c r="H1114" s="22" t="s">
        <v>22</v>
      </c>
      <c r="I1114" s="22">
        <v>0</v>
      </c>
      <c r="J1114" s="22" t="s">
        <v>95</v>
      </c>
      <c r="K1114" s="22" t="s">
        <v>23</v>
      </c>
      <c r="L1114" s="22">
        <v>4</v>
      </c>
      <c r="M1114" s="26">
        <v>56075</v>
      </c>
      <c r="N1114" s="26">
        <v>18808</v>
      </c>
      <c r="O1114" s="15">
        <f t="shared" si="85"/>
        <v>74883</v>
      </c>
      <c r="P1114" s="15">
        <f t="shared" si="86"/>
        <v>15.925776265418971</v>
      </c>
      <c r="Q1114" s="25">
        <v>8011</v>
      </c>
      <c r="R1114" s="22">
        <v>59</v>
      </c>
      <c r="S1114" s="22" t="s">
        <v>1486</v>
      </c>
      <c r="T1114" s="22">
        <f t="shared" si="87"/>
        <v>1</v>
      </c>
      <c r="U1114" s="22">
        <f t="shared" si="88"/>
        <v>2021</v>
      </c>
      <c r="V1114" s="22" t="str">
        <f t="shared" si="89"/>
        <v>METROPOLITANA</v>
      </c>
    </row>
    <row r="1115" spans="1:22" x14ac:dyDescent="0.2">
      <c r="A1115" s="23" t="s">
        <v>1466</v>
      </c>
      <c r="B1115" s="22" t="s">
        <v>33</v>
      </c>
      <c r="C1115" s="22" t="s">
        <v>44</v>
      </c>
      <c r="D1115" s="22" t="s">
        <v>47</v>
      </c>
      <c r="E1115" s="24" t="s">
        <v>88</v>
      </c>
      <c r="F1115" s="22" t="s">
        <v>225</v>
      </c>
      <c r="G1115" s="25">
        <v>5352.5999999999995</v>
      </c>
      <c r="H1115" s="22" t="s">
        <v>22</v>
      </c>
      <c r="I1115" s="22">
        <v>0</v>
      </c>
      <c r="J1115" s="22" t="s">
        <v>225</v>
      </c>
      <c r="K1115" s="22" t="s">
        <v>23</v>
      </c>
      <c r="L1115" s="22">
        <v>3</v>
      </c>
      <c r="M1115" s="26">
        <v>48075</v>
      </c>
      <c r="N1115" s="26">
        <v>21410</v>
      </c>
      <c r="O1115" s="15">
        <f t="shared" si="85"/>
        <v>69485</v>
      </c>
      <c r="P1115" s="15">
        <f t="shared" si="86"/>
        <v>12.98154168067855</v>
      </c>
      <c r="Q1115" s="25">
        <v>6868</v>
      </c>
      <c r="R1115" s="22">
        <v>78</v>
      </c>
      <c r="S1115" s="22" t="s">
        <v>1487</v>
      </c>
      <c r="T1115" s="22">
        <f t="shared" si="87"/>
        <v>1</v>
      </c>
      <c r="U1115" s="22">
        <f t="shared" si="88"/>
        <v>2021</v>
      </c>
      <c r="V1115" s="22" t="str">
        <f t="shared" si="89"/>
        <v>METROPOLITANA</v>
      </c>
    </row>
    <row r="1116" spans="1:22" x14ac:dyDescent="0.2">
      <c r="A1116" s="23" t="s">
        <v>1466</v>
      </c>
      <c r="B1116" s="22" t="s">
        <v>33</v>
      </c>
      <c r="C1116" s="22" t="s">
        <v>44</v>
      </c>
      <c r="D1116" s="22" t="s">
        <v>35</v>
      </c>
      <c r="E1116" s="24" t="s">
        <v>49</v>
      </c>
      <c r="F1116" s="22" t="s">
        <v>51</v>
      </c>
      <c r="G1116" s="25">
        <v>1600.6</v>
      </c>
      <c r="H1116" s="22" t="s">
        <v>22</v>
      </c>
      <c r="I1116" s="22">
        <v>0</v>
      </c>
      <c r="J1116" s="22" t="s">
        <v>51</v>
      </c>
      <c r="K1116" s="22" t="s">
        <v>23</v>
      </c>
      <c r="L1116" s="22">
        <v>4</v>
      </c>
      <c r="M1116" s="26">
        <v>56075</v>
      </c>
      <c r="N1116" s="26">
        <v>12000</v>
      </c>
      <c r="O1116" s="15">
        <f t="shared" si="85"/>
        <v>68075</v>
      </c>
      <c r="P1116" s="15">
        <f t="shared" si="86"/>
        <v>42.530925902786457</v>
      </c>
      <c r="Q1116" s="25">
        <v>8011</v>
      </c>
      <c r="R1116" s="22">
        <v>20</v>
      </c>
      <c r="S1116" s="22" t="s">
        <v>1488</v>
      </c>
      <c r="T1116" s="22">
        <f t="shared" si="87"/>
        <v>1</v>
      </c>
      <c r="U1116" s="22">
        <f t="shared" si="88"/>
        <v>2021</v>
      </c>
      <c r="V1116" s="22" t="str">
        <f t="shared" si="89"/>
        <v>METROPOLITANA</v>
      </c>
    </row>
    <row r="1117" spans="1:22" x14ac:dyDescent="0.2">
      <c r="A1117" s="23" t="s">
        <v>1466</v>
      </c>
      <c r="B1117" s="22" t="s">
        <v>33</v>
      </c>
      <c r="C1117" s="22" t="s">
        <v>44</v>
      </c>
      <c r="D1117" s="22" t="s">
        <v>41</v>
      </c>
      <c r="E1117" s="24" t="s">
        <v>25</v>
      </c>
      <c r="F1117" s="22" t="s">
        <v>134</v>
      </c>
      <c r="G1117" s="25">
        <v>6402.3999999999987</v>
      </c>
      <c r="H1117" s="22" t="s">
        <v>43</v>
      </c>
      <c r="I1117" s="22">
        <v>0</v>
      </c>
      <c r="J1117" s="22" t="s">
        <v>134</v>
      </c>
      <c r="K1117" s="22" t="s">
        <v>23</v>
      </c>
      <c r="L1117" s="22">
        <v>2</v>
      </c>
      <c r="M1117" s="26">
        <v>44817</v>
      </c>
      <c r="N1117" s="26">
        <v>19207</v>
      </c>
      <c r="O1117" s="15">
        <f t="shared" si="85"/>
        <v>64024</v>
      </c>
      <c r="P1117" s="15">
        <f t="shared" si="86"/>
        <v>10.000000000000002</v>
      </c>
      <c r="Q1117" s="25">
        <v>5782</v>
      </c>
      <c r="R1117" s="22">
        <v>100</v>
      </c>
      <c r="S1117" s="22" t="s">
        <v>1489</v>
      </c>
      <c r="T1117" s="22">
        <f t="shared" si="87"/>
        <v>1</v>
      </c>
      <c r="U1117" s="22">
        <f t="shared" si="88"/>
        <v>2021</v>
      </c>
      <c r="V1117" s="22" t="str">
        <f t="shared" si="89"/>
        <v>METROPOLITANA</v>
      </c>
    </row>
    <row r="1118" spans="1:22" x14ac:dyDescent="0.2">
      <c r="A1118" s="11" t="s">
        <v>1490</v>
      </c>
      <c r="B1118" s="12" t="s">
        <v>18</v>
      </c>
      <c r="C1118" s="12" t="s">
        <v>160</v>
      </c>
      <c r="D1118" s="12" t="s">
        <v>30</v>
      </c>
      <c r="E1118" s="13" t="s">
        <v>31</v>
      </c>
      <c r="F1118" s="12" t="s">
        <v>161</v>
      </c>
      <c r="G1118" s="14">
        <v>5450.68</v>
      </c>
      <c r="H1118" s="12" t="s">
        <v>32</v>
      </c>
      <c r="I1118" s="12">
        <v>0</v>
      </c>
      <c r="J1118" s="12" t="s">
        <v>161</v>
      </c>
      <c r="K1118" s="12" t="s">
        <v>23</v>
      </c>
      <c r="L1118" s="12">
        <v>5</v>
      </c>
      <c r="M1118" s="15">
        <v>70000</v>
      </c>
      <c r="N1118" s="15">
        <f>G1118*3</f>
        <v>16352.04</v>
      </c>
      <c r="O1118" s="15">
        <f t="shared" si="85"/>
        <v>86352.040000000008</v>
      </c>
      <c r="P1118" s="15">
        <f t="shared" si="86"/>
        <v>15.842434338467861</v>
      </c>
      <c r="Q1118" s="14">
        <v>12000</v>
      </c>
      <c r="R1118" s="12">
        <v>45</v>
      </c>
      <c r="S1118" s="12" t="s">
        <v>1491</v>
      </c>
      <c r="T1118" s="22">
        <f t="shared" si="87"/>
        <v>1</v>
      </c>
      <c r="U1118" s="22">
        <f t="shared" si="88"/>
        <v>2021</v>
      </c>
      <c r="V1118" s="22" t="str">
        <f t="shared" si="89"/>
        <v>METROPOLITANA</v>
      </c>
    </row>
    <row r="1119" spans="1:22" x14ac:dyDescent="0.2">
      <c r="A1119" s="11" t="s">
        <v>1490</v>
      </c>
      <c r="B1119" s="12" t="s">
        <v>18</v>
      </c>
      <c r="C1119" s="12" t="s">
        <v>508</v>
      </c>
      <c r="D1119" s="12" t="s">
        <v>164</v>
      </c>
      <c r="E1119" s="13" t="s">
        <v>28</v>
      </c>
      <c r="F1119" s="12" t="s">
        <v>800</v>
      </c>
      <c r="G1119" s="14">
        <f>3375.72+1425</f>
        <v>4800.7199999999993</v>
      </c>
      <c r="H1119" s="12" t="s">
        <v>22</v>
      </c>
      <c r="I1119" s="12">
        <v>1</v>
      </c>
      <c r="J1119" s="12" t="s">
        <v>800</v>
      </c>
      <c r="K1119" s="12" t="s">
        <v>23</v>
      </c>
      <c r="L1119" s="12">
        <v>5</v>
      </c>
      <c r="M1119" s="15">
        <v>120000</v>
      </c>
      <c r="N1119" s="15">
        <v>0</v>
      </c>
      <c r="O1119" s="15">
        <f t="shared" si="85"/>
        <v>120000</v>
      </c>
      <c r="P1119" s="15">
        <f t="shared" si="86"/>
        <v>24.996250562415643</v>
      </c>
      <c r="Q1119" s="14">
        <v>12000</v>
      </c>
      <c r="R1119" s="12">
        <v>28</v>
      </c>
      <c r="S1119" s="12" t="s">
        <v>1492</v>
      </c>
      <c r="T1119" s="22">
        <f t="shared" si="87"/>
        <v>1</v>
      </c>
      <c r="U1119" s="22">
        <f t="shared" si="88"/>
        <v>2021</v>
      </c>
      <c r="V1119" s="22" t="str">
        <f t="shared" si="89"/>
        <v>METROPOLITANA</v>
      </c>
    </row>
    <row r="1120" spans="1:22" x14ac:dyDescent="0.2">
      <c r="A1120" s="11" t="s">
        <v>1490</v>
      </c>
      <c r="B1120" s="12" t="s">
        <v>33</v>
      </c>
      <c r="C1120" s="12" t="s">
        <v>50</v>
      </c>
      <c r="D1120" s="12" t="s">
        <v>38</v>
      </c>
      <c r="E1120" s="13" t="s">
        <v>25</v>
      </c>
      <c r="F1120" s="12" t="s">
        <v>26</v>
      </c>
      <c r="G1120" s="14">
        <v>16426.830000000002</v>
      </c>
      <c r="H1120" s="12" t="s">
        <v>43</v>
      </c>
      <c r="I1120" s="12">
        <v>0</v>
      </c>
      <c r="J1120" s="12" t="s">
        <v>26</v>
      </c>
      <c r="K1120" s="12" t="s">
        <v>23</v>
      </c>
      <c r="L1120" s="12">
        <v>4</v>
      </c>
      <c r="M1120" s="15">
        <v>114988</v>
      </c>
      <c r="N1120" s="15">
        <f>G1120*3</f>
        <v>49280.490000000005</v>
      </c>
      <c r="O1120" s="15">
        <f t="shared" si="85"/>
        <v>164268.49</v>
      </c>
      <c r="P1120" s="15">
        <f t="shared" si="86"/>
        <v>10.000011566443433</v>
      </c>
      <c r="Q1120" s="14">
        <v>8011</v>
      </c>
      <c r="R1120" s="12">
        <v>100</v>
      </c>
      <c r="S1120" s="12" t="s">
        <v>1493</v>
      </c>
      <c r="T1120" s="22">
        <f t="shared" si="87"/>
        <v>1</v>
      </c>
      <c r="U1120" s="22">
        <f t="shared" si="88"/>
        <v>2021</v>
      </c>
      <c r="V1120" s="22" t="str">
        <f t="shared" si="89"/>
        <v>METROPOLITANA</v>
      </c>
    </row>
    <row r="1121" spans="1:22" x14ac:dyDescent="0.2">
      <c r="A1121" s="11" t="s">
        <v>1490</v>
      </c>
      <c r="B1121" s="12" t="s">
        <v>33</v>
      </c>
      <c r="C1121" s="12" t="s">
        <v>354</v>
      </c>
      <c r="D1121" s="12" t="s">
        <v>37</v>
      </c>
      <c r="E1121" s="13" t="s">
        <v>88</v>
      </c>
      <c r="F1121" s="12" t="s">
        <v>53</v>
      </c>
      <c r="G1121" s="14">
        <v>11615.599999999989</v>
      </c>
      <c r="H1121" s="12" t="s">
        <v>22</v>
      </c>
      <c r="I1121" s="12">
        <v>0</v>
      </c>
      <c r="J1121" s="12" t="s">
        <v>53</v>
      </c>
      <c r="K1121" s="12" t="s">
        <v>23</v>
      </c>
      <c r="L1121" s="12">
        <v>3</v>
      </c>
      <c r="M1121" s="15">
        <v>81309</v>
      </c>
      <c r="N1121" s="15">
        <f>G1121*4</f>
        <v>46462.399999999958</v>
      </c>
      <c r="O1121" s="15">
        <f t="shared" si="85"/>
        <v>127771.39999999997</v>
      </c>
      <c r="P1121" s="15">
        <f t="shared" si="86"/>
        <v>10.999982781776239</v>
      </c>
      <c r="Q1121" s="14">
        <v>6868</v>
      </c>
      <c r="R1121" s="12">
        <v>100</v>
      </c>
      <c r="S1121" s="12" t="s">
        <v>1494</v>
      </c>
      <c r="T1121" s="22">
        <f t="shared" si="87"/>
        <v>1</v>
      </c>
      <c r="U1121" s="22">
        <f t="shared" si="88"/>
        <v>2021</v>
      </c>
      <c r="V1121" s="22" t="str">
        <f t="shared" si="89"/>
        <v>METROPOLITANA</v>
      </c>
    </row>
    <row r="1122" spans="1:22" x14ac:dyDescent="0.2">
      <c r="A1122" s="11" t="s">
        <v>1490</v>
      </c>
      <c r="B1122" s="12" t="s">
        <v>33</v>
      </c>
      <c r="C1122" s="12" t="s">
        <v>223</v>
      </c>
      <c r="D1122" s="12" t="s">
        <v>41</v>
      </c>
      <c r="E1122" s="13" t="s">
        <v>25</v>
      </c>
      <c r="F1122" s="12" t="s">
        <v>39</v>
      </c>
      <c r="G1122" s="14">
        <v>4502.3999999999996</v>
      </c>
      <c r="H1122" s="12" t="s">
        <v>43</v>
      </c>
      <c r="I1122" s="12">
        <v>0</v>
      </c>
      <c r="J1122" s="12" t="s">
        <v>39</v>
      </c>
      <c r="K1122" s="12" t="s">
        <v>23</v>
      </c>
      <c r="L1122" s="12">
        <v>1</v>
      </c>
      <c r="M1122" s="15">
        <v>33750</v>
      </c>
      <c r="N1122" s="15">
        <f>G1122*3</f>
        <v>13507.199999999999</v>
      </c>
      <c r="O1122" s="15">
        <f t="shared" si="85"/>
        <v>47257.2</v>
      </c>
      <c r="P1122" s="15">
        <f t="shared" si="86"/>
        <v>10.496002132196162</v>
      </c>
      <c r="Q1122" s="14">
        <v>4821</v>
      </c>
      <c r="R1122" s="12">
        <v>93</v>
      </c>
      <c r="S1122" s="12" t="s">
        <v>1495</v>
      </c>
      <c r="T1122" s="22">
        <f t="shared" si="87"/>
        <v>1</v>
      </c>
      <c r="U1122" s="22">
        <f t="shared" si="88"/>
        <v>2021</v>
      </c>
      <c r="V1122" s="22" t="str">
        <f t="shared" si="89"/>
        <v>METROPOLITANA</v>
      </c>
    </row>
    <row r="1123" spans="1:22" x14ac:dyDescent="0.2">
      <c r="A1123" s="11" t="s">
        <v>1490</v>
      </c>
      <c r="B1123" s="12" t="s">
        <v>33</v>
      </c>
      <c r="C1123" s="12" t="s">
        <v>29</v>
      </c>
      <c r="D1123" s="12" t="s">
        <v>37</v>
      </c>
      <c r="E1123" s="13" t="s">
        <v>40</v>
      </c>
      <c r="F1123" s="12" t="s">
        <v>134</v>
      </c>
      <c r="G1123" s="14">
        <v>7503.9999999999973</v>
      </c>
      <c r="H1123" s="12" t="s">
        <v>22</v>
      </c>
      <c r="I1123" s="12">
        <v>0</v>
      </c>
      <c r="J1123" s="12" t="s">
        <v>134</v>
      </c>
      <c r="K1123" s="12" t="s">
        <v>23</v>
      </c>
      <c r="L1123" s="12">
        <v>2</v>
      </c>
      <c r="M1123" s="15">
        <v>52528</v>
      </c>
      <c r="N1123" s="15">
        <v>30016</v>
      </c>
      <c r="O1123" s="15">
        <f t="shared" si="85"/>
        <v>82544</v>
      </c>
      <c r="P1123" s="15">
        <f t="shared" si="86"/>
        <v>11.000000000000004</v>
      </c>
      <c r="Q1123" s="14">
        <v>5782</v>
      </c>
      <c r="R1123" s="12">
        <v>100</v>
      </c>
      <c r="S1123" s="12" t="s">
        <v>1496</v>
      </c>
      <c r="T1123" s="22">
        <f t="shared" si="87"/>
        <v>1</v>
      </c>
      <c r="U1123" s="22">
        <f t="shared" si="88"/>
        <v>2021</v>
      </c>
      <c r="V1123" s="22" t="str">
        <f t="shared" si="89"/>
        <v>METROPOLITANA</v>
      </c>
    </row>
    <row r="1124" spans="1:22" x14ac:dyDescent="0.2">
      <c r="A1124" s="11" t="s">
        <v>1490</v>
      </c>
      <c r="B1124" s="12" t="s">
        <v>33</v>
      </c>
      <c r="C1124" s="12" t="s">
        <v>29</v>
      </c>
      <c r="D1124" s="12" t="s">
        <v>20</v>
      </c>
      <c r="E1124" s="13" t="s">
        <v>21</v>
      </c>
      <c r="F1124" s="12" t="s">
        <v>134</v>
      </c>
      <c r="G1124" s="14">
        <v>10147.799999999999</v>
      </c>
      <c r="H1124" s="12" t="s">
        <v>22</v>
      </c>
      <c r="I1124" s="12">
        <v>0</v>
      </c>
      <c r="J1124" s="12" t="s">
        <v>134</v>
      </c>
      <c r="K1124" s="12" t="s">
        <v>23</v>
      </c>
      <c r="L1124" s="12">
        <v>2</v>
      </c>
      <c r="M1124" s="15">
        <v>71035</v>
      </c>
      <c r="N1124" s="15">
        <v>40591</v>
      </c>
      <c r="O1124" s="15">
        <f t="shared" si="85"/>
        <v>111626</v>
      </c>
      <c r="P1124" s="15">
        <f t="shared" si="86"/>
        <v>11.000019708705336</v>
      </c>
      <c r="Q1124" s="14">
        <v>5782</v>
      </c>
      <c r="R1124" s="12">
        <v>100</v>
      </c>
      <c r="S1124" s="12" t="s">
        <v>1497</v>
      </c>
      <c r="T1124" s="22">
        <f t="shared" si="87"/>
        <v>1</v>
      </c>
      <c r="U1124" s="22">
        <f t="shared" si="88"/>
        <v>2021</v>
      </c>
      <c r="V1124" s="22" t="str">
        <f t="shared" si="89"/>
        <v>METROPOLITANA</v>
      </c>
    </row>
    <row r="1125" spans="1:22" x14ac:dyDescent="0.2">
      <c r="A1125" s="11" t="s">
        <v>1490</v>
      </c>
      <c r="B1125" s="12" t="s">
        <v>33</v>
      </c>
      <c r="C1125" s="12" t="s">
        <v>44</v>
      </c>
      <c r="D1125" s="12" t="s">
        <v>56</v>
      </c>
      <c r="E1125" s="13" t="s">
        <v>52</v>
      </c>
      <c r="F1125" s="12" t="s">
        <v>138</v>
      </c>
      <c r="G1125" s="14">
        <v>3101.4</v>
      </c>
      <c r="H1125" s="12" t="s">
        <v>22</v>
      </c>
      <c r="I1125" s="12">
        <v>0</v>
      </c>
      <c r="J1125" s="12" t="s">
        <v>138</v>
      </c>
      <c r="K1125" s="12" t="s">
        <v>23</v>
      </c>
      <c r="L1125" s="12">
        <v>3</v>
      </c>
      <c r="M1125" s="15">
        <v>48075</v>
      </c>
      <c r="N1125" s="15">
        <v>12406</v>
      </c>
      <c r="O1125" s="15">
        <f t="shared" si="85"/>
        <v>60481</v>
      </c>
      <c r="P1125" s="15">
        <f t="shared" si="86"/>
        <v>19.501193009608564</v>
      </c>
      <c r="Q1125" s="14">
        <v>6868</v>
      </c>
      <c r="R1125" s="12">
        <v>45</v>
      </c>
      <c r="S1125" s="12" t="s">
        <v>1498</v>
      </c>
      <c r="T1125" s="22">
        <f t="shared" si="87"/>
        <v>1</v>
      </c>
      <c r="U1125" s="22">
        <f t="shared" si="88"/>
        <v>2021</v>
      </c>
      <c r="V1125" s="22" t="str">
        <f t="shared" si="89"/>
        <v>METROPOLITANA</v>
      </c>
    </row>
    <row r="1126" spans="1:22" x14ac:dyDescent="0.2">
      <c r="A1126" s="11" t="s">
        <v>1490</v>
      </c>
      <c r="B1126" s="12" t="s">
        <v>33</v>
      </c>
      <c r="C1126" s="12" t="s">
        <v>44</v>
      </c>
      <c r="D1126" s="12" t="s">
        <v>188</v>
      </c>
      <c r="E1126" s="13" t="s">
        <v>189</v>
      </c>
      <c r="F1126" s="12" t="s">
        <v>182</v>
      </c>
      <c r="G1126" s="14">
        <v>5252.7999999999984</v>
      </c>
      <c r="H1126" s="12" t="s">
        <v>190</v>
      </c>
      <c r="I1126" s="12">
        <v>0</v>
      </c>
      <c r="J1126" s="12" t="s">
        <v>182</v>
      </c>
      <c r="K1126" s="12" t="s">
        <v>23</v>
      </c>
      <c r="L1126" s="12">
        <v>4</v>
      </c>
      <c r="M1126" s="15">
        <v>56075</v>
      </c>
      <c r="N1126" s="15">
        <v>15758</v>
      </c>
      <c r="O1126" s="15">
        <f t="shared" si="85"/>
        <v>71833</v>
      </c>
      <c r="P1126" s="15">
        <f t="shared" si="86"/>
        <v>13.675182759671037</v>
      </c>
      <c r="Q1126" s="14">
        <v>8011</v>
      </c>
      <c r="R1126" s="12">
        <v>66</v>
      </c>
      <c r="S1126" s="12" t="s">
        <v>1499</v>
      </c>
      <c r="T1126" s="22">
        <f t="shared" si="87"/>
        <v>1</v>
      </c>
      <c r="U1126" s="22">
        <f t="shared" si="88"/>
        <v>2021</v>
      </c>
      <c r="V1126" s="22" t="str">
        <f t="shared" si="89"/>
        <v>METROPOLITANA</v>
      </c>
    </row>
    <row r="1127" spans="1:22" x14ac:dyDescent="0.2">
      <c r="A1127" s="11" t="s">
        <v>1490</v>
      </c>
      <c r="B1127" s="12" t="s">
        <v>33</v>
      </c>
      <c r="C1127" s="12" t="s">
        <v>44</v>
      </c>
      <c r="D1127" s="12" t="s">
        <v>30</v>
      </c>
      <c r="E1127" s="13" t="s">
        <v>31</v>
      </c>
      <c r="F1127" s="12" t="s">
        <v>554</v>
      </c>
      <c r="G1127" s="14">
        <v>3001.6</v>
      </c>
      <c r="H1127" s="12" t="s">
        <v>32</v>
      </c>
      <c r="I1127" s="12">
        <v>0</v>
      </c>
      <c r="J1127" s="12" t="s">
        <v>554</v>
      </c>
      <c r="K1127" s="12" t="s">
        <v>23</v>
      </c>
      <c r="L1127" s="12">
        <v>4</v>
      </c>
      <c r="M1127" s="15">
        <v>56075</v>
      </c>
      <c r="N1127" s="15">
        <v>9005</v>
      </c>
      <c r="O1127" s="15">
        <f t="shared" si="85"/>
        <v>65080</v>
      </c>
      <c r="P1127" s="15">
        <f t="shared" si="86"/>
        <v>21.681769722814501</v>
      </c>
      <c r="Q1127" s="14">
        <v>8011</v>
      </c>
      <c r="R1127" s="12">
        <v>37</v>
      </c>
      <c r="S1127" s="12" t="s">
        <v>1500</v>
      </c>
      <c r="T1127" s="22">
        <f t="shared" si="87"/>
        <v>1</v>
      </c>
      <c r="U1127" s="22">
        <f t="shared" si="88"/>
        <v>2021</v>
      </c>
      <c r="V1127" s="22" t="str">
        <f t="shared" si="89"/>
        <v>METROPOLITANA</v>
      </c>
    </row>
    <row r="1128" spans="1:22" x14ac:dyDescent="0.2">
      <c r="A1128" s="11" t="s">
        <v>1490</v>
      </c>
      <c r="B1128" s="12" t="s">
        <v>33</v>
      </c>
      <c r="C1128" s="12" t="s">
        <v>44</v>
      </c>
      <c r="D1128" s="12" t="s">
        <v>45</v>
      </c>
      <c r="E1128" s="13" t="s">
        <v>28</v>
      </c>
      <c r="F1128" s="12" t="s">
        <v>48</v>
      </c>
      <c r="G1128" s="14">
        <v>4301.6000000000004</v>
      </c>
      <c r="H1128" s="12" t="s">
        <v>22</v>
      </c>
      <c r="I1128" s="12">
        <v>0</v>
      </c>
      <c r="J1128" s="12" t="s">
        <v>48</v>
      </c>
      <c r="K1128" s="12" t="s">
        <v>23</v>
      </c>
      <c r="L1128" s="12">
        <v>1</v>
      </c>
      <c r="M1128" s="15">
        <v>33750</v>
      </c>
      <c r="N1128" s="15">
        <v>17206</v>
      </c>
      <c r="O1128" s="15">
        <f t="shared" si="85"/>
        <v>50956</v>
      </c>
      <c r="P1128" s="15">
        <f t="shared" si="86"/>
        <v>11.845824809373255</v>
      </c>
      <c r="Q1128" s="14">
        <v>4821</v>
      </c>
      <c r="R1128" s="12">
        <v>89</v>
      </c>
      <c r="S1128" s="12" t="s">
        <v>1501</v>
      </c>
      <c r="T1128" s="22">
        <f t="shared" si="87"/>
        <v>1</v>
      </c>
      <c r="U1128" s="22">
        <f t="shared" si="88"/>
        <v>2021</v>
      </c>
      <c r="V1128" s="22" t="str">
        <f t="shared" si="89"/>
        <v>METROPOLITANA</v>
      </c>
    </row>
    <row r="1129" spans="1:22" x14ac:dyDescent="0.2">
      <c r="A1129" s="11" t="s">
        <v>1490</v>
      </c>
      <c r="B1129" s="12" t="s">
        <v>33</v>
      </c>
      <c r="C1129" s="12" t="s">
        <v>44</v>
      </c>
      <c r="D1129" s="12" t="s">
        <v>47</v>
      </c>
      <c r="E1129" s="13" t="s">
        <v>88</v>
      </c>
      <c r="F1129" s="12" t="s">
        <v>34</v>
      </c>
      <c r="G1129" s="14">
        <v>3826.0000000000009</v>
      </c>
      <c r="H1129" s="12" t="s">
        <v>22</v>
      </c>
      <c r="I1129" s="12">
        <v>0</v>
      </c>
      <c r="J1129" s="12" t="s">
        <v>34</v>
      </c>
      <c r="K1129" s="12" t="s">
        <v>23</v>
      </c>
      <c r="L1129" s="12">
        <v>1</v>
      </c>
      <c r="M1129" s="15">
        <v>33750</v>
      </c>
      <c r="N1129" s="15">
        <v>15304</v>
      </c>
      <c r="O1129" s="15">
        <f t="shared" si="85"/>
        <v>49054</v>
      </c>
      <c r="P1129" s="15">
        <f t="shared" si="86"/>
        <v>12.821223209618397</v>
      </c>
      <c r="Q1129" s="14">
        <v>4821</v>
      </c>
      <c r="R1129" s="12">
        <v>79</v>
      </c>
      <c r="S1129" s="12" t="s">
        <v>1502</v>
      </c>
      <c r="T1129" s="22">
        <f t="shared" si="87"/>
        <v>1</v>
      </c>
      <c r="U1129" s="22">
        <f t="shared" si="88"/>
        <v>2021</v>
      </c>
      <c r="V1129" s="22" t="str">
        <f t="shared" si="89"/>
        <v>METROPOLITANA</v>
      </c>
    </row>
    <row r="1130" spans="1:22" x14ac:dyDescent="0.2">
      <c r="A1130" s="11" t="s">
        <v>1490</v>
      </c>
      <c r="B1130" s="12" t="s">
        <v>33</v>
      </c>
      <c r="C1130" s="12" t="s">
        <v>44</v>
      </c>
      <c r="D1130" s="12" t="s">
        <v>35</v>
      </c>
      <c r="E1130" s="13" t="s">
        <v>49</v>
      </c>
      <c r="F1130" s="12" t="s">
        <v>129</v>
      </c>
      <c r="G1130" s="14">
        <v>4702</v>
      </c>
      <c r="H1130" s="12" t="s">
        <v>22</v>
      </c>
      <c r="I1130" s="12">
        <v>0</v>
      </c>
      <c r="J1130" s="12" t="s">
        <v>129</v>
      </c>
      <c r="K1130" s="12" t="s">
        <v>23</v>
      </c>
      <c r="L1130" s="12">
        <v>1</v>
      </c>
      <c r="M1130" s="15">
        <v>33750</v>
      </c>
      <c r="N1130" s="15">
        <v>18808</v>
      </c>
      <c r="O1130" s="15">
        <f t="shared" si="85"/>
        <v>52558</v>
      </c>
      <c r="P1130" s="15">
        <f t="shared" si="86"/>
        <v>11.177796682262867</v>
      </c>
      <c r="Q1130" s="14">
        <v>4821</v>
      </c>
      <c r="R1130" s="12">
        <v>98</v>
      </c>
      <c r="S1130" s="12" t="s">
        <v>1503</v>
      </c>
      <c r="T1130" s="22">
        <f t="shared" si="87"/>
        <v>1</v>
      </c>
      <c r="U1130" s="22">
        <f t="shared" si="88"/>
        <v>2021</v>
      </c>
      <c r="V1130" s="22" t="str">
        <f t="shared" si="89"/>
        <v>METROPOLITANA</v>
      </c>
    </row>
    <row r="1131" spans="1:22" x14ac:dyDescent="0.2">
      <c r="A1131" s="11" t="s">
        <v>1490</v>
      </c>
      <c r="B1131" s="12" t="s">
        <v>33</v>
      </c>
      <c r="C1131" s="12" t="s">
        <v>44</v>
      </c>
      <c r="D1131" s="12" t="s">
        <v>20</v>
      </c>
      <c r="E1131" s="13" t="s">
        <v>21</v>
      </c>
      <c r="F1131" s="12" t="s">
        <v>137</v>
      </c>
      <c r="G1131" s="14">
        <v>4326.2</v>
      </c>
      <c r="H1131" s="12" t="s">
        <v>22</v>
      </c>
      <c r="I1131" s="12">
        <v>0</v>
      </c>
      <c r="J1131" s="12" t="s">
        <v>137</v>
      </c>
      <c r="K1131" s="12" t="s">
        <v>23</v>
      </c>
      <c r="L1131" s="12">
        <v>1</v>
      </c>
      <c r="M1131" s="15">
        <v>33750</v>
      </c>
      <c r="N1131" s="15">
        <v>17305</v>
      </c>
      <c r="O1131" s="15">
        <f t="shared" si="85"/>
        <v>51055</v>
      </c>
      <c r="P1131" s="15">
        <f t="shared" si="86"/>
        <v>11.801349914474597</v>
      </c>
      <c r="Q1131" s="14">
        <v>4821</v>
      </c>
      <c r="R1131" s="12">
        <v>90</v>
      </c>
      <c r="S1131" s="12" t="s">
        <v>1504</v>
      </c>
      <c r="T1131" s="22">
        <f t="shared" si="87"/>
        <v>1</v>
      </c>
      <c r="U1131" s="22">
        <f t="shared" si="88"/>
        <v>2021</v>
      </c>
      <c r="V1131" s="22" t="str">
        <f t="shared" si="89"/>
        <v>METROPOLITANA</v>
      </c>
    </row>
    <row r="1132" spans="1:22" x14ac:dyDescent="0.2">
      <c r="A1132" s="11" t="s">
        <v>1490</v>
      </c>
      <c r="B1132" s="12" t="s">
        <v>33</v>
      </c>
      <c r="C1132" s="12" t="s">
        <v>1163</v>
      </c>
      <c r="D1132" s="12" t="s">
        <v>786</v>
      </c>
      <c r="E1132" s="13" t="s">
        <v>787</v>
      </c>
      <c r="F1132" s="12" t="s">
        <v>1166</v>
      </c>
      <c r="G1132" s="14">
        <v>9027.1999999999971</v>
      </c>
      <c r="H1132" s="12" t="s">
        <v>788</v>
      </c>
      <c r="I1132" s="12">
        <v>1</v>
      </c>
      <c r="J1132" s="12" t="s">
        <v>1166</v>
      </c>
      <c r="K1132" s="12" t="s">
        <v>23</v>
      </c>
      <c r="L1132" s="12">
        <v>5</v>
      </c>
      <c r="M1132" s="15">
        <v>120000</v>
      </c>
      <c r="N1132" s="15">
        <v>0</v>
      </c>
      <c r="O1132" s="15">
        <f t="shared" si="85"/>
        <v>120000</v>
      </c>
      <c r="P1132" s="15">
        <f t="shared" si="86"/>
        <v>13.293158454448781</v>
      </c>
      <c r="Q1132" s="14">
        <v>12000</v>
      </c>
      <c r="R1132" s="12">
        <v>75</v>
      </c>
      <c r="S1132" s="12" t="s">
        <v>1505</v>
      </c>
      <c r="T1132" s="22">
        <f t="shared" si="87"/>
        <v>1</v>
      </c>
      <c r="U1132" s="22">
        <f t="shared" si="88"/>
        <v>2021</v>
      </c>
      <c r="V1132" s="22" t="str">
        <f t="shared" si="89"/>
        <v>METROPOLITANA</v>
      </c>
    </row>
    <row r="1133" spans="1:22" x14ac:dyDescent="0.2">
      <c r="A1133" s="23" t="s">
        <v>1506</v>
      </c>
      <c r="B1133" s="22" t="s">
        <v>54</v>
      </c>
      <c r="C1133" s="22" t="s">
        <v>55</v>
      </c>
      <c r="D1133" s="22" t="s">
        <v>130</v>
      </c>
      <c r="E1133" s="24" t="s">
        <v>131</v>
      </c>
      <c r="F1133" s="22" t="s">
        <v>66</v>
      </c>
      <c r="G1133" s="25">
        <v>12450.4</v>
      </c>
      <c r="H1133" s="22" t="s">
        <v>85</v>
      </c>
      <c r="I1133" s="22">
        <v>1</v>
      </c>
      <c r="J1133" s="22" t="s">
        <v>66</v>
      </c>
      <c r="K1133" s="22" t="s">
        <v>75</v>
      </c>
      <c r="L1133" s="22">
        <v>0</v>
      </c>
      <c r="M1133" s="26">
        <v>380000</v>
      </c>
      <c r="N1133" s="26">
        <v>0</v>
      </c>
      <c r="O1133" s="15">
        <f t="shared" si="85"/>
        <v>380000</v>
      </c>
      <c r="P1133" s="15">
        <f t="shared" si="86"/>
        <v>30.521107755574118</v>
      </c>
      <c r="Q1133" s="25">
        <v>25000</v>
      </c>
      <c r="R1133" s="22">
        <v>50</v>
      </c>
      <c r="S1133" s="22" t="s">
        <v>1507</v>
      </c>
      <c r="T1133" s="22">
        <f t="shared" si="87"/>
        <v>1</v>
      </c>
      <c r="U1133" s="22">
        <f t="shared" si="88"/>
        <v>2021</v>
      </c>
      <c r="V1133" s="22" t="str">
        <f t="shared" si="89"/>
        <v>REGIONES</v>
      </c>
    </row>
    <row r="1134" spans="1:22" x14ac:dyDescent="0.2">
      <c r="A1134" s="23" t="s">
        <v>1506</v>
      </c>
      <c r="B1134" s="22" t="s">
        <v>33</v>
      </c>
      <c r="C1134" s="22" t="s">
        <v>270</v>
      </c>
      <c r="D1134" s="22" t="s">
        <v>30</v>
      </c>
      <c r="E1134" s="24" t="s">
        <v>31</v>
      </c>
      <c r="F1134" s="22" t="s">
        <v>120</v>
      </c>
      <c r="G1134" s="25">
        <v>11945.250000000009</v>
      </c>
      <c r="H1134" s="22" t="s">
        <v>32</v>
      </c>
      <c r="I1134" s="22">
        <v>0</v>
      </c>
      <c r="J1134" s="22" t="s">
        <v>120</v>
      </c>
      <c r="K1134" s="22" t="s">
        <v>23</v>
      </c>
      <c r="L1134" s="22">
        <v>5</v>
      </c>
      <c r="M1134" s="26">
        <v>70000</v>
      </c>
      <c r="N1134" s="26">
        <f>G1134*3</f>
        <v>35835.750000000029</v>
      </c>
      <c r="O1134" s="15">
        <f t="shared" si="85"/>
        <v>105835.75000000003</v>
      </c>
      <c r="P1134" s="15">
        <f t="shared" si="86"/>
        <v>8.860069902262401</v>
      </c>
      <c r="Q1134" s="25">
        <v>12000</v>
      </c>
      <c r="R1134" s="22">
        <v>100</v>
      </c>
      <c r="S1134" s="22" t="s">
        <v>1508</v>
      </c>
      <c r="T1134" s="22">
        <f t="shared" si="87"/>
        <v>1</v>
      </c>
      <c r="U1134" s="22">
        <f t="shared" si="88"/>
        <v>2021</v>
      </c>
      <c r="V1134" s="22" t="str">
        <f t="shared" si="89"/>
        <v>METROPOLITANA</v>
      </c>
    </row>
    <row r="1135" spans="1:22" x14ac:dyDescent="0.2">
      <c r="A1135" s="23" t="s">
        <v>1506</v>
      </c>
      <c r="B1135" s="22" t="s">
        <v>33</v>
      </c>
      <c r="C1135" s="22" t="s">
        <v>270</v>
      </c>
      <c r="D1135" s="22" t="s">
        <v>164</v>
      </c>
      <c r="E1135" s="24" t="s">
        <v>31</v>
      </c>
      <c r="F1135" s="22" t="s">
        <v>120</v>
      </c>
      <c r="G1135" s="25">
        <v>19908.75</v>
      </c>
      <c r="H1135" s="22" t="s">
        <v>22</v>
      </c>
      <c r="I1135" s="22">
        <v>1</v>
      </c>
      <c r="J1135" s="22" t="s">
        <v>120</v>
      </c>
      <c r="K1135" s="22" t="s">
        <v>23</v>
      </c>
      <c r="L1135" s="22">
        <v>5</v>
      </c>
      <c r="M1135" s="26">
        <v>120000</v>
      </c>
      <c r="N1135" s="26">
        <f>G1135*4</f>
        <v>79635</v>
      </c>
      <c r="O1135" s="15">
        <f t="shared" si="85"/>
        <v>199635</v>
      </c>
      <c r="P1135" s="15">
        <f t="shared" si="86"/>
        <v>10.027500470898474</v>
      </c>
      <c r="Q1135" s="25">
        <v>12000</v>
      </c>
      <c r="R1135" s="22">
        <v>100</v>
      </c>
      <c r="S1135" s="22" t="s">
        <v>1509</v>
      </c>
      <c r="T1135" s="22">
        <f t="shared" si="87"/>
        <v>1</v>
      </c>
      <c r="U1135" s="22">
        <f t="shared" si="88"/>
        <v>2021</v>
      </c>
      <c r="V1135" s="22" t="str">
        <f t="shared" si="89"/>
        <v>METROPOLITANA</v>
      </c>
    </row>
    <row r="1136" spans="1:22" x14ac:dyDescent="0.2">
      <c r="A1136" s="23" t="s">
        <v>1506</v>
      </c>
      <c r="B1136" s="22" t="s">
        <v>33</v>
      </c>
      <c r="C1136" s="22" t="s">
        <v>163</v>
      </c>
      <c r="D1136" s="22" t="s">
        <v>37</v>
      </c>
      <c r="E1136" s="24" t="s">
        <v>40</v>
      </c>
      <c r="F1136" s="22" t="s">
        <v>165</v>
      </c>
      <c r="G1136" s="25">
        <v>15417.36</v>
      </c>
      <c r="H1136" s="22" t="s">
        <v>22</v>
      </c>
      <c r="I1136" s="22">
        <v>0</v>
      </c>
      <c r="J1136" s="22" t="s">
        <v>165</v>
      </c>
      <c r="K1136" s="22" t="s">
        <v>23</v>
      </c>
      <c r="L1136" s="22">
        <v>4</v>
      </c>
      <c r="M1136" s="26">
        <v>107922</v>
      </c>
      <c r="N1136" s="26">
        <f>G1136*4</f>
        <v>61669.440000000002</v>
      </c>
      <c r="O1136" s="15">
        <f t="shared" si="85"/>
        <v>169591.44</v>
      </c>
      <c r="P1136" s="15">
        <f t="shared" si="86"/>
        <v>11.000031133734959</v>
      </c>
      <c r="Q1136" s="25">
        <v>8011</v>
      </c>
      <c r="R1136" s="22">
        <v>100</v>
      </c>
      <c r="S1136" s="22" t="s">
        <v>1510</v>
      </c>
      <c r="T1136" s="22">
        <f t="shared" si="87"/>
        <v>1</v>
      </c>
      <c r="U1136" s="22">
        <f t="shared" si="88"/>
        <v>2021</v>
      </c>
      <c r="V1136" s="22" t="str">
        <f t="shared" si="89"/>
        <v>METROPOLITANA</v>
      </c>
    </row>
    <row r="1137" spans="1:22" x14ac:dyDescent="0.2">
      <c r="A1137" s="23" t="s">
        <v>1506</v>
      </c>
      <c r="B1137" s="22" t="s">
        <v>33</v>
      </c>
      <c r="C1137" s="22" t="s">
        <v>163</v>
      </c>
      <c r="D1137" s="22" t="s">
        <v>41</v>
      </c>
      <c r="E1137" s="24" t="s">
        <v>25</v>
      </c>
      <c r="F1137" s="22" t="s">
        <v>165</v>
      </c>
      <c r="G1137" s="25">
        <v>15417.36</v>
      </c>
      <c r="H1137" s="22" t="s">
        <v>43</v>
      </c>
      <c r="I1137" s="22">
        <v>0</v>
      </c>
      <c r="J1137" s="22" t="s">
        <v>165</v>
      </c>
      <c r="K1137" s="22" t="s">
        <v>23</v>
      </c>
      <c r="L1137" s="22">
        <v>4</v>
      </c>
      <c r="M1137" s="26">
        <v>107922</v>
      </c>
      <c r="N1137" s="26">
        <f>G1137*3</f>
        <v>46252.08</v>
      </c>
      <c r="O1137" s="15">
        <f t="shared" si="85"/>
        <v>154174.08000000002</v>
      </c>
      <c r="P1137" s="15">
        <f t="shared" si="86"/>
        <v>10.000031133734959</v>
      </c>
      <c r="Q1137" s="25">
        <v>8011</v>
      </c>
      <c r="R1137" s="22">
        <v>100</v>
      </c>
      <c r="S1137" s="22" t="s">
        <v>1511</v>
      </c>
      <c r="T1137" s="22">
        <f t="shared" si="87"/>
        <v>1</v>
      </c>
      <c r="U1137" s="22">
        <f t="shared" si="88"/>
        <v>2021</v>
      </c>
      <c r="V1137" s="22" t="str">
        <f t="shared" si="89"/>
        <v>METROPOLITANA</v>
      </c>
    </row>
    <row r="1138" spans="1:22" x14ac:dyDescent="0.2">
      <c r="A1138" s="23" t="s">
        <v>1506</v>
      </c>
      <c r="B1138" s="22" t="s">
        <v>33</v>
      </c>
      <c r="C1138" s="22" t="s">
        <v>128</v>
      </c>
      <c r="D1138" s="22" t="s">
        <v>38</v>
      </c>
      <c r="E1138" s="24" t="s">
        <v>42</v>
      </c>
      <c r="F1138" s="22" t="s">
        <v>34</v>
      </c>
      <c r="G1138" s="25">
        <v>8328.4</v>
      </c>
      <c r="H1138" s="22" t="s">
        <v>43</v>
      </c>
      <c r="I1138" s="22">
        <v>0</v>
      </c>
      <c r="J1138" s="22" t="s">
        <v>34</v>
      </c>
      <c r="K1138" s="22" t="s">
        <v>23</v>
      </c>
      <c r="L1138" s="22">
        <v>1</v>
      </c>
      <c r="M1138" s="26">
        <v>58299</v>
      </c>
      <c r="N1138" s="26">
        <v>24985</v>
      </c>
      <c r="O1138" s="15">
        <f t="shared" si="85"/>
        <v>83284</v>
      </c>
      <c r="P1138" s="15">
        <f t="shared" si="86"/>
        <v>10</v>
      </c>
      <c r="Q1138" s="25">
        <v>4821</v>
      </c>
      <c r="R1138" s="22">
        <v>100</v>
      </c>
      <c r="S1138" s="22" t="s">
        <v>1512</v>
      </c>
      <c r="T1138" s="22">
        <f t="shared" si="87"/>
        <v>1</v>
      </c>
      <c r="U1138" s="22">
        <f t="shared" si="88"/>
        <v>2021</v>
      </c>
      <c r="V1138" s="22" t="str">
        <f t="shared" si="89"/>
        <v>METROPOLITANA</v>
      </c>
    </row>
    <row r="1139" spans="1:22" x14ac:dyDescent="0.2">
      <c r="A1139" s="23" t="s">
        <v>1506</v>
      </c>
      <c r="B1139" s="22" t="s">
        <v>33</v>
      </c>
      <c r="C1139" s="22" t="s">
        <v>128</v>
      </c>
      <c r="D1139" s="22" t="s">
        <v>35</v>
      </c>
      <c r="E1139" s="24" t="s">
        <v>49</v>
      </c>
      <c r="F1139" s="22" t="s">
        <v>34</v>
      </c>
      <c r="G1139" s="25">
        <v>5740.56</v>
      </c>
      <c r="H1139" s="22" t="s">
        <v>22</v>
      </c>
      <c r="I1139" s="22">
        <v>0</v>
      </c>
      <c r="J1139" s="22" t="s">
        <v>34</v>
      </c>
      <c r="K1139" s="22" t="s">
        <v>23</v>
      </c>
      <c r="L1139" s="22">
        <v>1</v>
      </c>
      <c r="M1139" s="26">
        <v>40184</v>
      </c>
      <c r="N1139" s="26">
        <v>22962</v>
      </c>
      <c r="O1139" s="15">
        <f t="shared" si="85"/>
        <v>63146</v>
      </c>
      <c r="P1139" s="15">
        <f t="shared" si="86"/>
        <v>10.999972128154743</v>
      </c>
      <c r="Q1139" s="25">
        <v>4821</v>
      </c>
      <c r="R1139" s="22">
        <v>100</v>
      </c>
      <c r="S1139" s="22" t="s">
        <v>1513</v>
      </c>
      <c r="T1139" s="22">
        <f t="shared" si="87"/>
        <v>1</v>
      </c>
      <c r="U1139" s="22">
        <f t="shared" si="88"/>
        <v>2021</v>
      </c>
      <c r="V1139" s="22" t="str">
        <f t="shared" si="89"/>
        <v>METROPOLITANA</v>
      </c>
    </row>
    <row r="1140" spans="1:22" x14ac:dyDescent="0.2">
      <c r="A1140" s="23" t="s">
        <v>1506</v>
      </c>
      <c r="B1140" s="22" t="s">
        <v>33</v>
      </c>
      <c r="C1140" s="22" t="s">
        <v>36</v>
      </c>
      <c r="D1140" s="22" t="s">
        <v>1514</v>
      </c>
      <c r="E1140" s="24" t="s">
        <v>410</v>
      </c>
      <c r="F1140" s="22" t="s">
        <v>893</v>
      </c>
      <c r="G1140" s="25">
        <v>9703.3999999999978</v>
      </c>
      <c r="H1140" s="22" t="s">
        <v>24</v>
      </c>
      <c r="I1140" s="22">
        <v>1</v>
      </c>
      <c r="J1140" s="22" t="s">
        <v>893</v>
      </c>
      <c r="K1140" s="22" t="s">
        <v>437</v>
      </c>
      <c r="L1140" s="22">
        <v>0</v>
      </c>
      <c r="M1140" s="26">
        <v>900000</v>
      </c>
      <c r="N1140" s="26">
        <v>0</v>
      </c>
      <c r="O1140" s="15">
        <f t="shared" si="85"/>
        <v>900000</v>
      </c>
      <c r="P1140" s="15">
        <f t="shared" si="86"/>
        <v>92.750994496774354</v>
      </c>
      <c r="Q1140" s="25">
        <v>25000</v>
      </c>
      <c r="R1140" s="22">
        <v>39</v>
      </c>
      <c r="S1140" s="22" t="s">
        <v>1515</v>
      </c>
      <c r="T1140" s="22">
        <f t="shared" si="87"/>
        <v>1</v>
      </c>
      <c r="U1140" s="22">
        <f t="shared" si="88"/>
        <v>2021</v>
      </c>
      <c r="V1140" s="22" t="str">
        <f t="shared" si="89"/>
        <v>REGIONES</v>
      </c>
    </row>
    <row r="1141" spans="1:22" x14ac:dyDescent="0.2">
      <c r="A1141" s="23" t="s">
        <v>1506</v>
      </c>
      <c r="B1141" s="22" t="s">
        <v>33</v>
      </c>
      <c r="C1141" s="22" t="s">
        <v>29</v>
      </c>
      <c r="D1141" s="22" t="s">
        <v>56</v>
      </c>
      <c r="E1141" s="24" t="s">
        <v>52</v>
      </c>
      <c r="F1141" s="22" t="s">
        <v>134</v>
      </c>
      <c r="G1141" s="25">
        <v>7503.9999999999973</v>
      </c>
      <c r="H1141" s="22" t="s">
        <v>22</v>
      </c>
      <c r="I1141" s="22">
        <v>0</v>
      </c>
      <c r="J1141" s="22" t="s">
        <v>134</v>
      </c>
      <c r="K1141" s="22" t="s">
        <v>23</v>
      </c>
      <c r="L1141" s="22">
        <v>2</v>
      </c>
      <c r="M1141" s="26">
        <v>52528</v>
      </c>
      <c r="N1141" s="26">
        <v>30016</v>
      </c>
      <c r="O1141" s="15">
        <f t="shared" si="85"/>
        <v>82544</v>
      </c>
      <c r="P1141" s="15">
        <f t="shared" si="86"/>
        <v>11.000000000000004</v>
      </c>
      <c r="Q1141" s="25">
        <v>5782</v>
      </c>
      <c r="R1141" s="22">
        <v>100</v>
      </c>
      <c r="S1141" s="22" t="s">
        <v>1516</v>
      </c>
      <c r="T1141" s="22">
        <f t="shared" si="87"/>
        <v>1</v>
      </c>
      <c r="U1141" s="22">
        <f t="shared" si="88"/>
        <v>2021</v>
      </c>
      <c r="V1141" s="22" t="str">
        <f t="shared" si="89"/>
        <v>METROPOLITANA</v>
      </c>
    </row>
    <row r="1142" spans="1:22" x14ac:dyDescent="0.2">
      <c r="A1142" s="23" t="s">
        <v>1506</v>
      </c>
      <c r="B1142" s="22" t="s">
        <v>33</v>
      </c>
      <c r="C1142" s="22" t="s">
        <v>29</v>
      </c>
      <c r="D1142" s="22" t="s">
        <v>45</v>
      </c>
      <c r="E1142" s="24" t="s">
        <v>21</v>
      </c>
      <c r="F1142" s="22" t="s">
        <v>134</v>
      </c>
      <c r="G1142" s="25">
        <v>7503.9999999999973</v>
      </c>
      <c r="H1142" s="22" t="s">
        <v>22</v>
      </c>
      <c r="I1142" s="22">
        <v>0</v>
      </c>
      <c r="J1142" s="22" t="s">
        <v>134</v>
      </c>
      <c r="K1142" s="22" t="s">
        <v>23</v>
      </c>
      <c r="L1142" s="22">
        <v>2</v>
      </c>
      <c r="M1142" s="26">
        <v>52528</v>
      </c>
      <c r="N1142" s="26">
        <v>30016</v>
      </c>
      <c r="O1142" s="15">
        <f t="shared" si="85"/>
        <v>82544</v>
      </c>
      <c r="P1142" s="15">
        <f t="shared" si="86"/>
        <v>11.000000000000004</v>
      </c>
      <c r="Q1142" s="25">
        <v>5782</v>
      </c>
      <c r="R1142" s="22">
        <v>100</v>
      </c>
      <c r="S1142" s="22" t="s">
        <v>1517</v>
      </c>
      <c r="T1142" s="22">
        <f t="shared" si="87"/>
        <v>1</v>
      </c>
      <c r="U1142" s="22">
        <f t="shared" si="88"/>
        <v>2021</v>
      </c>
      <c r="V1142" s="22" t="str">
        <f t="shared" si="89"/>
        <v>METROPOLITANA</v>
      </c>
    </row>
    <row r="1143" spans="1:22" x14ac:dyDescent="0.2">
      <c r="A1143" s="23" t="s">
        <v>1506</v>
      </c>
      <c r="B1143" s="22" t="s">
        <v>33</v>
      </c>
      <c r="C1143" s="22" t="s">
        <v>44</v>
      </c>
      <c r="D1143" s="22" t="s">
        <v>47</v>
      </c>
      <c r="E1143" s="24" t="s">
        <v>88</v>
      </c>
      <c r="F1143" s="22" t="s">
        <v>48</v>
      </c>
      <c r="G1143" s="25">
        <v>7191.1999999999989</v>
      </c>
      <c r="H1143" s="22" t="s">
        <v>22</v>
      </c>
      <c r="I1143" s="22">
        <v>0</v>
      </c>
      <c r="J1143" s="22" t="s">
        <v>48</v>
      </c>
      <c r="K1143" s="22" t="s">
        <v>23</v>
      </c>
      <c r="L1143" s="22">
        <v>1</v>
      </c>
      <c r="M1143" s="26">
        <v>50338</v>
      </c>
      <c r="N1143" s="26">
        <v>28765</v>
      </c>
      <c r="O1143" s="15">
        <f t="shared" si="85"/>
        <v>79103</v>
      </c>
      <c r="P1143" s="15">
        <f t="shared" si="86"/>
        <v>10.999972188230061</v>
      </c>
      <c r="Q1143" s="25">
        <v>4821</v>
      </c>
      <c r="R1143" s="22">
        <v>100</v>
      </c>
      <c r="S1143" s="22" t="s">
        <v>1518</v>
      </c>
      <c r="T1143" s="22">
        <f t="shared" si="87"/>
        <v>1</v>
      </c>
      <c r="U1143" s="22">
        <f t="shared" si="88"/>
        <v>2021</v>
      </c>
      <c r="V1143" s="22" t="str">
        <f t="shared" si="89"/>
        <v>METROPOLITANA</v>
      </c>
    </row>
    <row r="1144" spans="1:22" x14ac:dyDescent="0.2">
      <c r="A1144" s="23" t="s">
        <v>1506</v>
      </c>
      <c r="B1144" s="22" t="s">
        <v>33</v>
      </c>
      <c r="C1144" s="22" t="s">
        <v>44</v>
      </c>
      <c r="D1144" s="22" t="s">
        <v>35</v>
      </c>
      <c r="E1144" s="24" t="s">
        <v>49</v>
      </c>
      <c r="F1144" s="22" t="s">
        <v>46</v>
      </c>
      <c r="G1144" s="25">
        <v>2964</v>
      </c>
      <c r="H1144" s="22" t="s">
        <v>22</v>
      </c>
      <c r="I1144" s="22">
        <v>0</v>
      </c>
      <c r="J1144" s="22" t="s">
        <v>46</v>
      </c>
      <c r="K1144" s="22" t="s">
        <v>23</v>
      </c>
      <c r="L1144" s="22">
        <v>2</v>
      </c>
      <c r="M1144" s="26">
        <v>40475</v>
      </c>
      <c r="N1144" s="26">
        <v>11856</v>
      </c>
      <c r="O1144" s="15">
        <f t="shared" si="85"/>
        <v>52331</v>
      </c>
      <c r="P1144" s="15">
        <f t="shared" si="86"/>
        <v>17.6555330634278</v>
      </c>
      <c r="Q1144" s="25">
        <v>5782</v>
      </c>
      <c r="R1144" s="22">
        <v>51</v>
      </c>
      <c r="S1144" s="22" t="s">
        <v>1519</v>
      </c>
      <c r="T1144" s="22">
        <f t="shared" si="87"/>
        <v>1</v>
      </c>
      <c r="U1144" s="22">
        <f t="shared" si="88"/>
        <v>2021</v>
      </c>
      <c r="V1144" s="22" t="str">
        <f t="shared" si="89"/>
        <v>METROPOLITANA</v>
      </c>
    </row>
    <row r="1145" spans="1:22" x14ac:dyDescent="0.2">
      <c r="A1145" s="11" t="s">
        <v>1520</v>
      </c>
      <c r="B1145" s="12" t="s">
        <v>54</v>
      </c>
      <c r="C1145" s="12" t="s">
        <v>55</v>
      </c>
      <c r="D1145" s="12" t="s">
        <v>191</v>
      </c>
      <c r="E1145" s="13" t="s">
        <v>192</v>
      </c>
      <c r="F1145" s="12" t="s">
        <v>66</v>
      </c>
      <c r="G1145" s="14">
        <v>13727.19999999999</v>
      </c>
      <c r="H1145" s="12" t="s">
        <v>85</v>
      </c>
      <c r="I1145" s="12">
        <v>1</v>
      </c>
      <c r="J1145" s="12" t="s">
        <v>66</v>
      </c>
      <c r="K1145" s="12" t="s">
        <v>75</v>
      </c>
      <c r="L1145" s="12">
        <v>0</v>
      </c>
      <c r="M1145" s="15">
        <v>380000</v>
      </c>
      <c r="N1145" s="15">
        <v>0</v>
      </c>
      <c r="O1145" s="15">
        <f t="shared" si="85"/>
        <v>380000</v>
      </c>
      <c r="P1145" s="15">
        <f t="shared" si="86"/>
        <v>27.682265866309248</v>
      </c>
      <c r="Q1145" s="14">
        <v>25000</v>
      </c>
      <c r="R1145" s="12">
        <v>55</v>
      </c>
      <c r="S1145" s="12" t="s">
        <v>1521</v>
      </c>
      <c r="T1145" s="22">
        <f t="shared" si="87"/>
        <v>1</v>
      </c>
      <c r="U1145" s="22">
        <f t="shared" si="88"/>
        <v>2021</v>
      </c>
      <c r="V1145" s="22" t="str">
        <f t="shared" si="89"/>
        <v>REGIONES</v>
      </c>
    </row>
    <row r="1146" spans="1:22" x14ac:dyDescent="0.2">
      <c r="A1146" s="11" t="s">
        <v>1520</v>
      </c>
      <c r="B1146" s="12" t="s">
        <v>18</v>
      </c>
      <c r="C1146" s="12" t="s">
        <v>71</v>
      </c>
      <c r="D1146" s="12" t="s">
        <v>37</v>
      </c>
      <c r="E1146" s="13" t="s">
        <v>40</v>
      </c>
      <c r="F1146" s="12" t="s">
        <v>72</v>
      </c>
      <c r="G1146" s="14">
        <v>13203.84</v>
      </c>
      <c r="H1146" s="12" t="s">
        <v>22</v>
      </c>
      <c r="I1146" s="12">
        <v>0</v>
      </c>
      <c r="J1146" s="12" t="s">
        <v>72</v>
      </c>
      <c r="K1146" s="12" t="s">
        <v>23</v>
      </c>
      <c r="L1146" s="12">
        <v>5</v>
      </c>
      <c r="M1146" s="15">
        <v>90000</v>
      </c>
      <c r="N1146" s="15">
        <f>G1146*4</f>
        <v>52815.360000000001</v>
      </c>
      <c r="O1146" s="15">
        <f t="shared" si="85"/>
        <v>142815.35999999999</v>
      </c>
      <c r="P1146" s="15">
        <f t="shared" si="86"/>
        <v>10.816198923949395</v>
      </c>
      <c r="Q1146" s="14">
        <v>12000</v>
      </c>
      <c r="R1146" s="12">
        <v>100</v>
      </c>
      <c r="S1146" s="12" t="s">
        <v>1522</v>
      </c>
      <c r="T1146" s="22">
        <f t="shared" si="87"/>
        <v>1</v>
      </c>
      <c r="U1146" s="22">
        <f t="shared" si="88"/>
        <v>2021</v>
      </c>
      <c r="V1146" s="22" t="str">
        <f t="shared" si="89"/>
        <v>METROPOLITANA</v>
      </c>
    </row>
    <row r="1147" spans="1:22" x14ac:dyDescent="0.2">
      <c r="A1147" s="11" t="s">
        <v>1520</v>
      </c>
      <c r="B1147" s="12" t="s">
        <v>18</v>
      </c>
      <c r="C1147" s="12" t="s">
        <v>508</v>
      </c>
      <c r="D1147" s="12" t="s">
        <v>27</v>
      </c>
      <c r="E1147" s="13" t="s">
        <v>28</v>
      </c>
      <c r="F1147" s="12" t="s">
        <v>800</v>
      </c>
      <c r="G1147" s="14">
        <v>6191.5</v>
      </c>
      <c r="H1147" s="12" t="s">
        <v>22</v>
      </c>
      <c r="I1147" s="12">
        <v>1</v>
      </c>
      <c r="J1147" s="12" t="s">
        <v>800</v>
      </c>
      <c r="K1147" s="12" t="s">
        <v>23</v>
      </c>
      <c r="L1147" s="12">
        <v>5</v>
      </c>
      <c r="M1147" s="15">
        <v>120000</v>
      </c>
      <c r="N1147" s="15">
        <f>G1147*4</f>
        <v>24766</v>
      </c>
      <c r="O1147" s="15">
        <f t="shared" si="85"/>
        <v>144766</v>
      </c>
      <c r="P1147" s="15">
        <f t="shared" si="86"/>
        <v>23.381409997577325</v>
      </c>
      <c r="Q1147" s="14">
        <v>12000</v>
      </c>
      <c r="R1147" s="12">
        <v>52</v>
      </c>
      <c r="S1147" s="12" t="s">
        <v>1523</v>
      </c>
      <c r="T1147" s="22">
        <f t="shared" si="87"/>
        <v>1</v>
      </c>
      <c r="U1147" s="22">
        <f t="shared" si="88"/>
        <v>2021</v>
      </c>
      <c r="V1147" s="22" t="str">
        <f t="shared" si="89"/>
        <v>METROPOLITANA</v>
      </c>
    </row>
    <row r="1148" spans="1:22" x14ac:dyDescent="0.2">
      <c r="A1148" s="11" t="s">
        <v>1520</v>
      </c>
      <c r="B1148" s="12" t="s">
        <v>33</v>
      </c>
      <c r="C1148" s="12" t="s">
        <v>60</v>
      </c>
      <c r="D1148" s="12" t="s">
        <v>38</v>
      </c>
      <c r="E1148" s="13" t="s">
        <v>42</v>
      </c>
      <c r="F1148" s="12" t="s">
        <v>51</v>
      </c>
      <c r="G1148" s="14">
        <v>7503.9999999999973</v>
      </c>
      <c r="H1148" s="12" t="s">
        <v>43</v>
      </c>
      <c r="I1148" s="12">
        <v>0</v>
      </c>
      <c r="J1148" s="12" t="s">
        <v>51</v>
      </c>
      <c r="K1148" s="12" t="s">
        <v>23</v>
      </c>
      <c r="L1148" s="12">
        <v>4</v>
      </c>
      <c r="M1148" s="15">
        <v>56075</v>
      </c>
      <c r="N1148" s="15">
        <f>G1148*3</f>
        <v>22511.999999999993</v>
      </c>
      <c r="O1148" s="15">
        <f t="shared" si="85"/>
        <v>78587</v>
      </c>
      <c r="P1148" s="15">
        <f t="shared" si="86"/>
        <v>10.472681236673777</v>
      </c>
      <c r="Q1148" s="14">
        <v>8011</v>
      </c>
      <c r="R1148" s="12">
        <v>94</v>
      </c>
      <c r="S1148" s="12" t="s">
        <v>1524</v>
      </c>
      <c r="T1148" s="22">
        <f t="shared" si="87"/>
        <v>1</v>
      </c>
      <c r="U1148" s="22">
        <f t="shared" si="88"/>
        <v>2021</v>
      </c>
      <c r="V1148" s="22" t="str">
        <f t="shared" si="89"/>
        <v>METROPOLITANA</v>
      </c>
    </row>
    <row r="1149" spans="1:22" x14ac:dyDescent="0.2">
      <c r="A1149" s="11" t="s">
        <v>1520</v>
      </c>
      <c r="B1149" s="12" t="s">
        <v>33</v>
      </c>
      <c r="C1149" s="12" t="s">
        <v>1525</v>
      </c>
      <c r="D1149" s="12" t="s">
        <v>61</v>
      </c>
      <c r="E1149" s="13" t="s">
        <v>62</v>
      </c>
      <c r="F1149" s="12" t="s">
        <v>132</v>
      </c>
      <c r="G1149" s="14">
        <v>18417.5</v>
      </c>
      <c r="H1149" s="12" t="s">
        <v>85</v>
      </c>
      <c r="I1149" s="12">
        <v>1</v>
      </c>
      <c r="J1149" s="12" t="s">
        <v>132</v>
      </c>
      <c r="K1149" s="12" t="s">
        <v>124</v>
      </c>
      <c r="L1149" s="12">
        <v>0</v>
      </c>
      <c r="M1149" s="15">
        <v>350000</v>
      </c>
      <c r="N1149" s="15">
        <v>0</v>
      </c>
      <c r="O1149" s="15">
        <f t="shared" si="85"/>
        <v>350000</v>
      </c>
      <c r="P1149" s="15">
        <f t="shared" si="86"/>
        <v>19.003664992534276</v>
      </c>
      <c r="Q1149" s="14">
        <v>25000</v>
      </c>
      <c r="R1149" s="12">
        <v>74</v>
      </c>
      <c r="S1149" s="12" t="s">
        <v>1526</v>
      </c>
      <c r="T1149" s="22">
        <f t="shared" si="87"/>
        <v>1</v>
      </c>
      <c r="U1149" s="22">
        <f t="shared" si="88"/>
        <v>2021</v>
      </c>
      <c r="V1149" s="22" t="str">
        <f t="shared" si="89"/>
        <v>REGIONES</v>
      </c>
    </row>
    <row r="1150" spans="1:22" x14ac:dyDescent="0.2">
      <c r="A1150" s="11" t="s">
        <v>1520</v>
      </c>
      <c r="B1150" s="12" t="s">
        <v>33</v>
      </c>
      <c r="C1150" s="12" t="s">
        <v>1525</v>
      </c>
      <c r="D1150" s="12" t="s">
        <v>786</v>
      </c>
      <c r="E1150" s="13" t="s">
        <v>787</v>
      </c>
      <c r="F1150" s="12" t="s">
        <v>132</v>
      </c>
      <c r="G1150" s="14">
        <v>18417.5</v>
      </c>
      <c r="H1150" s="12" t="s">
        <v>788</v>
      </c>
      <c r="I1150" s="12">
        <v>1</v>
      </c>
      <c r="J1150" s="12" t="s">
        <v>132</v>
      </c>
      <c r="K1150" s="12" t="s">
        <v>124</v>
      </c>
      <c r="L1150" s="12">
        <v>0</v>
      </c>
      <c r="M1150" s="15">
        <v>350000</v>
      </c>
      <c r="N1150" s="15">
        <v>0</v>
      </c>
      <c r="O1150" s="15">
        <f t="shared" si="85"/>
        <v>350000</v>
      </c>
      <c r="P1150" s="15">
        <f t="shared" si="86"/>
        <v>19.003664992534276</v>
      </c>
      <c r="Q1150" s="14">
        <v>25000</v>
      </c>
      <c r="R1150" s="12">
        <v>74</v>
      </c>
      <c r="S1150" s="12" t="s">
        <v>1527</v>
      </c>
      <c r="T1150" s="22">
        <f t="shared" si="87"/>
        <v>1</v>
      </c>
      <c r="U1150" s="22">
        <f t="shared" si="88"/>
        <v>2021</v>
      </c>
      <c r="V1150" s="22" t="str">
        <f t="shared" si="89"/>
        <v>REGIONES</v>
      </c>
    </row>
    <row r="1151" spans="1:22" x14ac:dyDescent="0.2">
      <c r="A1151" s="11" t="s">
        <v>1520</v>
      </c>
      <c r="B1151" s="12" t="s">
        <v>33</v>
      </c>
      <c r="C1151" s="12" t="s">
        <v>44</v>
      </c>
      <c r="D1151" s="12" t="s">
        <v>56</v>
      </c>
      <c r="E1151" s="13" t="s">
        <v>28</v>
      </c>
      <c r="F1151" s="12" t="s">
        <v>95</v>
      </c>
      <c r="G1151" s="14">
        <v>4977.2</v>
      </c>
      <c r="H1151" s="12" t="s">
        <v>22</v>
      </c>
      <c r="I1151" s="12">
        <v>0</v>
      </c>
      <c r="J1151" s="12" t="s">
        <v>95</v>
      </c>
      <c r="K1151" s="12" t="s">
        <v>23</v>
      </c>
      <c r="L1151" s="12">
        <v>4</v>
      </c>
      <c r="M1151" s="15">
        <v>56075</v>
      </c>
      <c r="N1151" s="15">
        <v>19909</v>
      </c>
      <c r="O1151" s="15">
        <f t="shared" si="85"/>
        <v>75984</v>
      </c>
      <c r="P1151" s="15">
        <f t="shared" si="86"/>
        <v>15.26641485172386</v>
      </c>
      <c r="Q1151" s="14">
        <v>8011</v>
      </c>
      <c r="R1151" s="12">
        <v>62</v>
      </c>
      <c r="S1151" s="12" t="s">
        <v>1528</v>
      </c>
      <c r="T1151" s="22">
        <f t="shared" si="87"/>
        <v>1</v>
      </c>
      <c r="U1151" s="22">
        <f t="shared" si="88"/>
        <v>2021</v>
      </c>
      <c r="V1151" s="22" t="str">
        <f t="shared" si="89"/>
        <v>METROPOLITANA</v>
      </c>
    </row>
    <row r="1152" spans="1:22" x14ac:dyDescent="0.2">
      <c r="A1152" s="11" t="s">
        <v>1520</v>
      </c>
      <c r="B1152" s="12" t="s">
        <v>33</v>
      </c>
      <c r="C1152" s="12" t="s">
        <v>44</v>
      </c>
      <c r="D1152" s="12" t="s">
        <v>38</v>
      </c>
      <c r="E1152" s="13" t="s">
        <v>42</v>
      </c>
      <c r="F1152" s="12" t="s">
        <v>53</v>
      </c>
      <c r="G1152" s="14">
        <v>3714.4</v>
      </c>
      <c r="H1152" s="12" t="s">
        <v>43</v>
      </c>
      <c r="I1152" s="12">
        <v>0</v>
      </c>
      <c r="J1152" s="12" t="s">
        <v>53</v>
      </c>
      <c r="K1152" s="12" t="s">
        <v>23</v>
      </c>
      <c r="L1152" s="12">
        <v>3</v>
      </c>
      <c r="M1152" s="15">
        <v>48075</v>
      </c>
      <c r="N1152" s="15">
        <v>11143</v>
      </c>
      <c r="O1152" s="15">
        <f t="shared" si="85"/>
        <v>59218</v>
      </c>
      <c r="P1152" s="15">
        <f t="shared" si="86"/>
        <v>15.942817144087874</v>
      </c>
      <c r="Q1152" s="14">
        <v>6868</v>
      </c>
      <c r="R1152" s="12">
        <v>54</v>
      </c>
      <c r="S1152" s="12" t="s">
        <v>1529</v>
      </c>
      <c r="T1152" s="22">
        <f t="shared" si="87"/>
        <v>1</v>
      </c>
      <c r="U1152" s="22">
        <f t="shared" si="88"/>
        <v>2021</v>
      </c>
      <c r="V1152" s="22" t="str">
        <f t="shared" si="89"/>
        <v>METROPOLITANA</v>
      </c>
    </row>
    <row r="1153" spans="1:22" x14ac:dyDescent="0.2">
      <c r="A1153" s="11" t="s">
        <v>1520</v>
      </c>
      <c r="B1153" s="12" t="s">
        <v>33</v>
      </c>
      <c r="C1153" s="12" t="s">
        <v>44</v>
      </c>
      <c r="D1153" s="12" t="s">
        <v>30</v>
      </c>
      <c r="E1153" s="13" t="s">
        <v>31</v>
      </c>
      <c r="F1153" s="12" t="s">
        <v>173</v>
      </c>
      <c r="G1153" s="14">
        <v>8877.9999999999964</v>
      </c>
      <c r="H1153" s="12" t="s">
        <v>32</v>
      </c>
      <c r="I1153" s="12">
        <v>0</v>
      </c>
      <c r="J1153" s="12" t="s">
        <v>173</v>
      </c>
      <c r="K1153" s="12" t="s">
        <v>23</v>
      </c>
      <c r="L1153" s="12">
        <v>5</v>
      </c>
      <c r="M1153" s="15">
        <v>90000</v>
      </c>
      <c r="N1153" s="15">
        <v>26634</v>
      </c>
      <c r="O1153" s="15">
        <f t="shared" si="85"/>
        <v>116634</v>
      </c>
      <c r="P1153" s="15">
        <f t="shared" si="86"/>
        <v>13.137418337463398</v>
      </c>
      <c r="Q1153" s="14">
        <v>12000</v>
      </c>
      <c r="R1153" s="12">
        <v>74</v>
      </c>
      <c r="S1153" s="12" t="s">
        <v>1530</v>
      </c>
      <c r="T1153" s="22">
        <f t="shared" si="87"/>
        <v>1</v>
      </c>
      <c r="U1153" s="22">
        <f t="shared" si="88"/>
        <v>2021</v>
      </c>
      <c r="V1153" s="22" t="str">
        <f t="shared" si="89"/>
        <v>METROPOLITANA</v>
      </c>
    </row>
    <row r="1154" spans="1:22" x14ac:dyDescent="0.2">
      <c r="A1154" s="11" t="s">
        <v>1520</v>
      </c>
      <c r="B1154" s="12" t="s">
        <v>33</v>
      </c>
      <c r="C1154" s="12" t="s">
        <v>44</v>
      </c>
      <c r="D1154" s="12" t="s">
        <v>45</v>
      </c>
      <c r="E1154" s="13" t="s">
        <v>52</v>
      </c>
      <c r="F1154" s="12" t="s">
        <v>95</v>
      </c>
      <c r="G1154" s="14">
        <v>1738.4</v>
      </c>
      <c r="H1154" s="12" t="s">
        <v>22</v>
      </c>
      <c r="I1154" s="12">
        <v>0</v>
      </c>
      <c r="J1154" s="12" t="s">
        <v>95</v>
      </c>
      <c r="K1154" s="12" t="s">
        <v>23</v>
      </c>
      <c r="L1154" s="12">
        <v>4</v>
      </c>
      <c r="M1154" s="15">
        <v>56075</v>
      </c>
      <c r="N1154" s="15">
        <v>12000</v>
      </c>
      <c r="O1154" s="15">
        <f t="shared" ref="O1154:O1217" si="90">SUM(M1154:N1154)</f>
        <v>68075</v>
      </c>
      <c r="P1154" s="15">
        <f t="shared" ref="P1154:P1217" si="91">O1154/G1154</f>
        <v>39.159572020248504</v>
      </c>
      <c r="Q1154" s="14">
        <v>8011</v>
      </c>
      <c r="R1154" s="12">
        <v>22</v>
      </c>
      <c r="S1154" s="12" t="s">
        <v>1531</v>
      </c>
      <c r="T1154" s="22">
        <f t="shared" ref="T1154:T1217" si="92">MONTH(A1154)</f>
        <v>1</v>
      </c>
      <c r="U1154" s="22">
        <f t="shared" ref="U1154:U1217" si="93">YEAR(A1154)</f>
        <v>2021</v>
      </c>
      <c r="V1154" s="22" t="str">
        <f t="shared" ref="V1154:V1217" si="94">IF(K1154="METROPOLITANA DE SANTIAGO","METROPOLITANA","REGIONES")</f>
        <v>METROPOLITANA</v>
      </c>
    </row>
    <row r="1155" spans="1:22" x14ac:dyDescent="0.2">
      <c r="A1155" s="11" t="s">
        <v>1520</v>
      </c>
      <c r="B1155" s="12" t="s">
        <v>33</v>
      </c>
      <c r="C1155" s="12" t="s">
        <v>44</v>
      </c>
      <c r="D1155" s="12" t="s">
        <v>47</v>
      </c>
      <c r="E1155" s="13" t="s">
        <v>88</v>
      </c>
      <c r="F1155" s="12" t="s">
        <v>48</v>
      </c>
      <c r="G1155" s="14">
        <v>4538.0000000000009</v>
      </c>
      <c r="H1155" s="12" t="s">
        <v>22</v>
      </c>
      <c r="I1155" s="12">
        <v>0</v>
      </c>
      <c r="J1155" s="12" t="s">
        <v>48</v>
      </c>
      <c r="K1155" s="12" t="s">
        <v>23</v>
      </c>
      <c r="L1155" s="12">
        <v>1</v>
      </c>
      <c r="M1155" s="15">
        <v>33750</v>
      </c>
      <c r="N1155" s="15">
        <v>18152</v>
      </c>
      <c r="O1155" s="15">
        <f t="shared" si="90"/>
        <v>51902</v>
      </c>
      <c r="P1155" s="15">
        <f t="shared" si="91"/>
        <v>11.437197003085057</v>
      </c>
      <c r="Q1155" s="14">
        <v>4821</v>
      </c>
      <c r="R1155" s="12">
        <v>94</v>
      </c>
      <c r="S1155" s="12" t="s">
        <v>1532</v>
      </c>
      <c r="T1155" s="22">
        <f t="shared" si="92"/>
        <v>1</v>
      </c>
      <c r="U1155" s="22">
        <f t="shared" si="93"/>
        <v>2021</v>
      </c>
      <c r="V1155" s="22" t="str">
        <f t="shared" si="94"/>
        <v>METROPOLITANA</v>
      </c>
    </row>
    <row r="1156" spans="1:22" x14ac:dyDescent="0.2">
      <c r="A1156" s="11" t="s">
        <v>1520</v>
      </c>
      <c r="B1156" s="12" t="s">
        <v>33</v>
      </c>
      <c r="C1156" s="12" t="s">
        <v>44</v>
      </c>
      <c r="D1156" s="12" t="s">
        <v>35</v>
      </c>
      <c r="E1156" s="13" t="s">
        <v>49</v>
      </c>
      <c r="F1156" s="12" t="s">
        <v>229</v>
      </c>
      <c r="G1156" s="14">
        <v>3001.6</v>
      </c>
      <c r="H1156" s="12" t="s">
        <v>22</v>
      </c>
      <c r="I1156" s="12">
        <v>0</v>
      </c>
      <c r="J1156" s="12" t="s">
        <v>230</v>
      </c>
      <c r="K1156" s="12" t="s">
        <v>23</v>
      </c>
      <c r="L1156" s="12">
        <v>4</v>
      </c>
      <c r="M1156" s="15">
        <v>56075</v>
      </c>
      <c r="N1156" s="15">
        <v>12006</v>
      </c>
      <c r="O1156" s="15">
        <f t="shared" si="90"/>
        <v>68081</v>
      </c>
      <c r="P1156" s="15">
        <f t="shared" si="91"/>
        <v>22.681569829424308</v>
      </c>
      <c r="Q1156" s="14">
        <v>8011</v>
      </c>
      <c r="R1156" s="12">
        <v>37</v>
      </c>
      <c r="S1156" s="12" t="s">
        <v>1533</v>
      </c>
      <c r="T1156" s="22">
        <f t="shared" si="92"/>
        <v>1</v>
      </c>
      <c r="U1156" s="22">
        <f t="shared" si="93"/>
        <v>2021</v>
      </c>
      <c r="V1156" s="22" t="str">
        <f t="shared" si="94"/>
        <v>METROPOLITANA</v>
      </c>
    </row>
    <row r="1157" spans="1:22" x14ac:dyDescent="0.2">
      <c r="A1157" s="11" t="s">
        <v>1520</v>
      </c>
      <c r="B1157" s="12" t="s">
        <v>33</v>
      </c>
      <c r="C1157" s="12" t="s">
        <v>44</v>
      </c>
      <c r="D1157" s="12" t="s">
        <v>20</v>
      </c>
      <c r="E1157" s="13" t="s">
        <v>21</v>
      </c>
      <c r="F1157" s="12" t="s">
        <v>26</v>
      </c>
      <c r="G1157" s="14">
        <v>2726.4</v>
      </c>
      <c r="H1157" s="12" t="s">
        <v>22</v>
      </c>
      <c r="I1157" s="12">
        <v>0</v>
      </c>
      <c r="J1157" s="12" t="s">
        <v>26</v>
      </c>
      <c r="K1157" s="12" t="s">
        <v>23</v>
      </c>
      <c r="L1157" s="12">
        <v>4</v>
      </c>
      <c r="M1157" s="15">
        <v>56075</v>
      </c>
      <c r="N1157" s="15">
        <v>12000</v>
      </c>
      <c r="O1157" s="15">
        <f t="shared" si="90"/>
        <v>68075</v>
      </c>
      <c r="P1157" s="15">
        <f t="shared" si="91"/>
        <v>24.968823356807512</v>
      </c>
      <c r="Q1157" s="14">
        <v>8011</v>
      </c>
      <c r="R1157" s="12">
        <v>34</v>
      </c>
      <c r="S1157" s="12" t="s">
        <v>1534</v>
      </c>
      <c r="T1157" s="22">
        <f t="shared" si="92"/>
        <v>1</v>
      </c>
      <c r="U1157" s="22">
        <f t="shared" si="93"/>
        <v>2021</v>
      </c>
      <c r="V1157" s="22" t="str">
        <f t="shared" si="94"/>
        <v>METROPOLITANA</v>
      </c>
    </row>
    <row r="1158" spans="1:22" x14ac:dyDescent="0.2">
      <c r="A1158" s="23" t="s">
        <v>1535</v>
      </c>
      <c r="B1158" s="22" t="s">
        <v>18</v>
      </c>
      <c r="C1158" s="22" t="s">
        <v>57</v>
      </c>
      <c r="D1158" s="22" t="s">
        <v>1170</v>
      </c>
      <c r="E1158" s="24" t="s">
        <v>81</v>
      </c>
      <c r="F1158" s="22" t="s">
        <v>458</v>
      </c>
      <c r="G1158" s="25">
        <v>6441.17</v>
      </c>
      <c r="H1158" s="22" t="s">
        <v>24</v>
      </c>
      <c r="I1158" s="22">
        <v>1</v>
      </c>
      <c r="J1158" s="22" t="s">
        <v>458</v>
      </c>
      <c r="K1158" s="22" t="s">
        <v>75</v>
      </c>
      <c r="L1158" s="22">
        <v>0</v>
      </c>
      <c r="M1158" s="26">
        <v>380000</v>
      </c>
      <c r="N1158" s="26">
        <v>0</v>
      </c>
      <c r="O1158" s="15">
        <f t="shared" si="90"/>
        <v>380000</v>
      </c>
      <c r="P1158" s="15">
        <f t="shared" si="91"/>
        <v>58.995493054833204</v>
      </c>
      <c r="Q1158" s="25">
        <v>25000</v>
      </c>
      <c r="R1158" s="22">
        <v>26</v>
      </c>
      <c r="S1158" s="22" t="s">
        <v>1536</v>
      </c>
      <c r="T1158" s="22">
        <f t="shared" si="92"/>
        <v>1</v>
      </c>
      <c r="U1158" s="22">
        <f t="shared" si="93"/>
        <v>2021</v>
      </c>
      <c r="V1158" s="22" t="str">
        <f t="shared" si="94"/>
        <v>REGIONES</v>
      </c>
    </row>
    <row r="1159" spans="1:22" x14ac:dyDescent="0.2">
      <c r="A1159" s="23" t="s">
        <v>1535</v>
      </c>
      <c r="B1159" s="22" t="s">
        <v>33</v>
      </c>
      <c r="C1159" s="22" t="s">
        <v>50</v>
      </c>
      <c r="D1159" s="22" t="s">
        <v>37</v>
      </c>
      <c r="E1159" s="24" t="s">
        <v>40</v>
      </c>
      <c r="F1159" s="22" t="s">
        <v>26</v>
      </c>
      <c r="G1159" s="25">
        <v>12939.57</v>
      </c>
      <c r="H1159" s="22" t="s">
        <v>22</v>
      </c>
      <c r="I1159" s="22">
        <v>0</v>
      </c>
      <c r="J1159" s="22" t="s">
        <v>26</v>
      </c>
      <c r="K1159" s="22" t="s">
        <v>23</v>
      </c>
      <c r="L1159" s="22">
        <v>4</v>
      </c>
      <c r="M1159" s="26">
        <v>90577</v>
      </c>
      <c r="N1159" s="26">
        <f>G1159*4</f>
        <v>51758.28</v>
      </c>
      <c r="O1159" s="15">
        <f t="shared" si="90"/>
        <v>142335.28</v>
      </c>
      <c r="P1159" s="15">
        <f t="shared" si="91"/>
        <v>11.000000772823208</v>
      </c>
      <c r="Q1159" s="25">
        <v>8011</v>
      </c>
      <c r="R1159" s="22">
        <v>100</v>
      </c>
      <c r="S1159" s="22" t="s">
        <v>1537</v>
      </c>
      <c r="T1159" s="22">
        <f t="shared" si="92"/>
        <v>1</v>
      </c>
      <c r="U1159" s="22">
        <f t="shared" si="93"/>
        <v>2021</v>
      </c>
      <c r="V1159" s="22" t="str">
        <f t="shared" si="94"/>
        <v>METROPOLITANA</v>
      </c>
    </row>
    <row r="1160" spans="1:22" x14ac:dyDescent="0.2">
      <c r="A1160" s="23" t="s">
        <v>1535</v>
      </c>
      <c r="B1160" s="22" t="s">
        <v>33</v>
      </c>
      <c r="C1160" s="22" t="s">
        <v>50</v>
      </c>
      <c r="D1160" s="22" t="s">
        <v>41</v>
      </c>
      <c r="E1160" s="24" t="s">
        <v>25</v>
      </c>
      <c r="F1160" s="22" t="s">
        <v>26</v>
      </c>
      <c r="G1160" s="25">
        <v>13214.88</v>
      </c>
      <c r="H1160" s="22" t="s">
        <v>43</v>
      </c>
      <c r="I1160" s="22">
        <v>0</v>
      </c>
      <c r="J1160" s="22" t="s">
        <v>26</v>
      </c>
      <c r="K1160" s="22" t="s">
        <v>23</v>
      </c>
      <c r="L1160" s="22">
        <v>4</v>
      </c>
      <c r="M1160" s="26">
        <v>92504</v>
      </c>
      <c r="N1160" s="26">
        <f>G1160*3</f>
        <v>39644.639999999999</v>
      </c>
      <c r="O1160" s="15">
        <f t="shared" si="90"/>
        <v>132148.64000000001</v>
      </c>
      <c r="P1160" s="15">
        <f t="shared" si="91"/>
        <v>9.9999878924364065</v>
      </c>
      <c r="Q1160" s="25">
        <v>8011</v>
      </c>
      <c r="R1160" s="22">
        <v>100</v>
      </c>
      <c r="S1160" s="22" t="s">
        <v>1538</v>
      </c>
      <c r="T1160" s="22">
        <f t="shared" si="92"/>
        <v>1</v>
      </c>
      <c r="U1160" s="22">
        <f t="shared" si="93"/>
        <v>2021</v>
      </c>
      <c r="V1160" s="22" t="str">
        <f t="shared" si="94"/>
        <v>METROPOLITANA</v>
      </c>
    </row>
    <row r="1161" spans="1:22" x14ac:dyDescent="0.2">
      <c r="A1161" s="23" t="s">
        <v>1535</v>
      </c>
      <c r="B1161" s="22" t="s">
        <v>33</v>
      </c>
      <c r="C1161" s="22" t="s">
        <v>417</v>
      </c>
      <c r="D1161" s="22" t="s">
        <v>27</v>
      </c>
      <c r="E1161" s="24" t="s">
        <v>28</v>
      </c>
      <c r="F1161" s="22" t="s">
        <v>418</v>
      </c>
      <c r="G1161" s="25">
        <v>8236.7999999999993</v>
      </c>
      <c r="H1161" s="22" t="s">
        <v>22</v>
      </c>
      <c r="I1161" s="22">
        <v>1</v>
      </c>
      <c r="J1161" s="22" t="s">
        <v>418</v>
      </c>
      <c r="K1161" s="22" t="s">
        <v>171</v>
      </c>
      <c r="L1161" s="22">
        <v>0</v>
      </c>
      <c r="M1161" s="26">
        <v>230000</v>
      </c>
      <c r="N1161" s="26">
        <f>G1161*4</f>
        <v>32947.199999999997</v>
      </c>
      <c r="O1161" s="15">
        <f t="shared" si="90"/>
        <v>262947.20000000001</v>
      </c>
      <c r="P1161" s="15">
        <f t="shared" si="91"/>
        <v>31.923465423465426</v>
      </c>
      <c r="Q1161" s="25">
        <v>25000</v>
      </c>
      <c r="R1161" s="22">
        <v>33</v>
      </c>
      <c r="S1161" s="22" t="s">
        <v>1539</v>
      </c>
      <c r="T1161" s="22">
        <f t="shared" si="92"/>
        <v>1</v>
      </c>
      <c r="U1161" s="22">
        <f t="shared" si="93"/>
        <v>2021</v>
      </c>
      <c r="V1161" s="22" t="str">
        <f t="shared" si="94"/>
        <v>REGIONES</v>
      </c>
    </row>
    <row r="1162" spans="1:22" x14ac:dyDescent="0.2">
      <c r="A1162" s="23" t="s">
        <v>1535</v>
      </c>
      <c r="B1162" s="22" t="s">
        <v>33</v>
      </c>
      <c r="C1162" s="22" t="s">
        <v>44</v>
      </c>
      <c r="D1162" s="22" t="s">
        <v>56</v>
      </c>
      <c r="E1162" s="24" t="s">
        <v>52</v>
      </c>
      <c r="F1162" s="22" t="s">
        <v>34</v>
      </c>
      <c r="G1162" s="25">
        <v>2964</v>
      </c>
      <c r="H1162" s="22" t="s">
        <v>22</v>
      </c>
      <c r="I1162" s="22">
        <v>0</v>
      </c>
      <c r="J1162" s="22" t="s">
        <v>34</v>
      </c>
      <c r="K1162" s="22" t="s">
        <v>23</v>
      </c>
      <c r="L1162" s="22">
        <v>1</v>
      </c>
      <c r="M1162" s="26">
        <v>33750</v>
      </c>
      <c r="N1162" s="26">
        <v>11856</v>
      </c>
      <c r="O1162" s="15">
        <f t="shared" si="90"/>
        <v>45606</v>
      </c>
      <c r="P1162" s="15">
        <f t="shared" si="91"/>
        <v>15.38663967611336</v>
      </c>
      <c r="Q1162" s="25">
        <v>4821</v>
      </c>
      <c r="R1162" s="22">
        <v>61</v>
      </c>
      <c r="S1162" s="22" t="s">
        <v>1540</v>
      </c>
      <c r="T1162" s="22">
        <f t="shared" si="92"/>
        <v>1</v>
      </c>
      <c r="U1162" s="22">
        <f t="shared" si="93"/>
        <v>2021</v>
      </c>
      <c r="V1162" s="22" t="str">
        <f t="shared" si="94"/>
        <v>METROPOLITANA</v>
      </c>
    </row>
    <row r="1163" spans="1:22" x14ac:dyDescent="0.2">
      <c r="A1163" s="23" t="s">
        <v>1535</v>
      </c>
      <c r="B1163" s="22" t="s">
        <v>33</v>
      </c>
      <c r="C1163" s="22" t="s">
        <v>44</v>
      </c>
      <c r="D1163" s="22" t="s">
        <v>30</v>
      </c>
      <c r="E1163" s="24" t="s">
        <v>31</v>
      </c>
      <c r="F1163" s="22" t="s">
        <v>173</v>
      </c>
      <c r="G1163" s="25">
        <v>8328.3999999999978</v>
      </c>
      <c r="H1163" s="22" t="s">
        <v>32</v>
      </c>
      <c r="I1163" s="22">
        <v>0</v>
      </c>
      <c r="J1163" s="22" t="s">
        <v>173</v>
      </c>
      <c r="K1163" s="22" t="s">
        <v>23</v>
      </c>
      <c r="L1163" s="22">
        <v>5</v>
      </c>
      <c r="M1163" s="26">
        <v>90000</v>
      </c>
      <c r="N1163" s="26">
        <v>24985</v>
      </c>
      <c r="O1163" s="15">
        <f t="shared" si="90"/>
        <v>114985</v>
      </c>
      <c r="P1163" s="15">
        <f t="shared" si="91"/>
        <v>13.806373373036841</v>
      </c>
      <c r="Q1163" s="25">
        <v>12000</v>
      </c>
      <c r="R1163" s="22">
        <v>69</v>
      </c>
      <c r="S1163" s="22" t="s">
        <v>1541</v>
      </c>
      <c r="T1163" s="22">
        <f t="shared" si="92"/>
        <v>1</v>
      </c>
      <c r="U1163" s="22">
        <f t="shared" si="93"/>
        <v>2021</v>
      </c>
      <c r="V1163" s="22" t="str">
        <f t="shared" si="94"/>
        <v>METROPOLITANA</v>
      </c>
    </row>
    <row r="1164" spans="1:22" x14ac:dyDescent="0.2">
      <c r="A1164" s="23" t="s">
        <v>1535</v>
      </c>
      <c r="B1164" s="22" t="s">
        <v>33</v>
      </c>
      <c r="C1164" s="22" t="s">
        <v>44</v>
      </c>
      <c r="D1164" s="22" t="s">
        <v>45</v>
      </c>
      <c r="E1164" s="24" t="s">
        <v>88</v>
      </c>
      <c r="F1164" s="22" t="s">
        <v>26</v>
      </c>
      <c r="G1164" s="25">
        <v>3514</v>
      </c>
      <c r="H1164" s="22" t="s">
        <v>22</v>
      </c>
      <c r="I1164" s="22">
        <v>0</v>
      </c>
      <c r="J1164" s="22" t="s">
        <v>26</v>
      </c>
      <c r="K1164" s="22" t="s">
        <v>23</v>
      </c>
      <c r="L1164" s="22">
        <v>4</v>
      </c>
      <c r="M1164" s="26">
        <v>56075</v>
      </c>
      <c r="N1164" s="26">
        <v>14056</v>
      </c>
      <c r="O1164" s="15">
        <f t="shared" si="90"/>
        <v>70131</v>
      </c>
      <c r="P1164" s="15">
        <f t="shared" si="91"/>
        <v>19.957598178713717</v>
      </c>
      <c r="Q1164" s="25">
        <v>8011</v>
      </c>
      <c r="R1164" s="22">
        <v>44</v>
      </c>
      <c r="S1164" s="22" t="s">
        <v>1542</v>
      </c>
      <c r="T1164" s="22">
        <f t="shared" si="92"/>
        <v>1</v>
      </c>
      <c r="U1164" s="22">
        <f t="shared" si="93"/>
        <v>2021</v>
      </c>
      <c r="V1164" s="22" t="str">
        <f t="shared" si="94"/>
        <v>METROPOLITANA</v>
      </c>
    </row>
    <row r="1165" spans="1:22" x14ac:dyDescent="0.2">
      <c r="A1165" s="23" t="s">
        <v>1535</v>
      </c>
      <c r="B1165" s="22" t="s">
        <v>33</v>
      </c>
      <c r="C1165" s="22" t="s">
        <v>44</v>
      </c>
      <c r="D1165" s="22" t="s">
        <v>35</v>
      </c>
      <c r="E1165" s="24" t="s">
        <v>49</v>
      </c>
      <c r="F1165" s="22" t="s">
        <v>182</v>
      </c>
      <c r="G1165" s="25">
        <v>1976</v>
      </c>
      <c r="H1165" s="22" t="s">
        <v>22</v>
      </c>
      <c r="I1165" s="22">
        <v>0</v>
      </c>
      <c r="J1165" s="22" t="s">
        <v>182</v>
      </c>
      <c r="K1165" s="22" t="s">
        <v>23</v>
      </c>
      <c r="L1165" s="22">
        <v>4</v>
      </c>
      <c r="M1165" s="26">
        <v>56075</v>
      </c>
      <c r="N1165" s="26">
        <v>12000</v>
      </c>
      <c r="O1165" s="15">
        <f t="shared" si="90"/>
        <v>68075</v>
      </c>
      <c r="P1165" s="15">
        <f t="shared" si="91"/>
        <v>34.450910931174086</v>
      </c>
      <c r="Q1165" s="25">
        <v>8011</v>
      </c>
      <c r="R1165" s="22">
        <v>25</v>
      </c>
      <c r="S1165" s="22" t="s">
        <v>1543</v>
      </c>
      <c r="T1165" s="22">
        <f t="shared" si="92"/>
        <v>1</v>
      </c>
      <c r="U1165" s="22">
        <f t="shared" si="93"/>
        <v>2021</v>
      </c>
      <c r="V1165" s="22" t="str">
        <f t="shared" si="94"/>
        <v>METROPOLITANA</v>
      </c>
    </row>
    <row r="1166" spans="1:22" x14ac:dyDescent="0.2">
      <c r="A1166" s="11" t="s">
        <v>1544</v>
      </c>
      <c r="B1166" s="12" t="s">
        <v>18</v>
      </c>
      <c r="C1166" s="12" t="s">
        <v>71</v>
      </c>
      <c r="D1166" s="12" t="s">
        <v>63</v>
      </c>
      <c r="E1166" s="13" t="s">
        <v>1545</v>
      </c>
      <c r="F1166" s="12" t="s">
        <v>72</v>
      </c>
      <c r="G1166" s="14">
        <v>9457.6300000000028</v>
      </c>
      <c r="H1166" s="12" t="s">
        <v>65</v>
      </c>
      <c r="I1166" s="12">
        <v>0</v>
      </c>
      <c r="J1166" s="12" t="s">
        <v>72</v>
      </c>
      <c r="K1166" s="12" t="s">
        <v>23</v>
      </c>
      <c r="L1166" s="12">
        <v>5</v>
      </c>
      <c r="M1166" s="15">
        <v>90000</v>
      </c>
      <c r="N1166" s="15">
        <f>G1166*3</f>
        <v>28372.890000000007</v>
      </c>
      <c r="O1166" s="15">
        <f t="shared" si="90"/>
        <v>118372.89000000001</v>
      </c>
      <c r="P1166" s="15">
        <f t="shared" si="91"/>
        <v>12.516126133079849</v>
      </c>
      <c r="Q1166" s="14">
        <v>12000</v>
      </c>
      <c r="R1166" s="12">
        <v>79</v>
      </c>
      <c r="S1166" s="12" t="s">
        <v>1546</v>
      </c>
      <c r="T1166" s="22">
        <f t="shared" si="92"/>
        <v>1</v>
      </c>
      <c r="U1166" s="22">
        <f t="shared" si="93"/>
        <v>2021</v>
      </c>
      <c r="V1166" s="22" t="str">
        <f t="shared" si="94"/>
        <v>METROPOLITANA</v>
      </c>
    </row>
    <row r="1167" spans="1:22" x14ac:dyDescent="0.2">
      <c r="A1167" s="11" t="s">
        <v>1544</v>
      </c>
      <c r="B1167" s="12" t="s">
        <v>18</v>
      </c>
      <c r="C1167" s="12" t="s">
        <v>500</v>
      </c>
      <c r="D1167" s="12" t="s">
        <v>41</v>
      </c>
      <c r="E1167" s="13" t="s">
        <v>25</v>
      </c>
      <c r="F1167" s="12" t="s">
        <v>120</v>
      </c>
      <c r="G1167" s="14">
        <v>3608.32</v>
      </c>
      <c r="H1167" s="12" t="s">
        <v>43</v>
      </c>
      <c r="I1167" s="12">
        <v>0</v>
      </c>
      <c r="J1167" s="12" t="s">
        <v>120</v>
      </c>
      <c r="K1167" s="12" t="s">
        <v>23</v>
      </c>
      <c r="L1167" s="12">
        <v>5</v>
      </c>
      <c r="M1167" s="15">
        <v>70000</v>
      </c>
      <c r="N1167" s="15">
        <f>G1167*3</f>
        <v>10824.960000000001</v>
      </c>
      <c r="O1167" s="15">
        <f t="shared" si="90"/>
        <v>80824.960000000006</v>
      </c>
      <c r="P1167" s="15">
        <f t="shared" si="91"/>
        <v>22.399609790705924</v>
      </c>
      <c r="Q1167" s="14">
        <v>12000</v>
      </c>
      <c r="R1167" s="12">
        <v>30</v>
      </c>
      <c r="S1167" s="12" t="s">
        <v>1547</v>
      </c>
      <c r="T1167" s="22">
        <f t="shared" si="92"/>
        <v>1</v>
      </c>
      <c r="U1167" s="22">
        <f t="shared" si="93"/>
        <v>2021</v>
      </c>
      <c r="V1167" s="22" t="str">
        <f t="shared" si="94"/>
        <v>METROPOLITANA</v>
      </c>
    </row>
    <row r="1168" spans="1:22" x14ac:dyDescent="0.2">
      <c r="A1168" s="11" t="s">
        <v>1544</v>
      </c>
      <c r="B1168" s="12" t="s">
        <v>18</v>
      </c>
      <c r="C1168" s="12" t="s">
        <v>160</v>
      </c>
      <c r="D1168" s="12" t="s">
        <v>30</v>
      </c>
      <c r="E1168" s="13" t="s">
        <v>31</v>
      </c>
      <c r="F1168" s="12" t="s">
        <v>161</v>
      </c>
      <c r="G1168" s="14">
        <v>14446.76</v>
      </c>
      <c r="H1168" s="12" t="s">
        <v>32</v>
      </c>
      <c r="I1168" s="12">
        <v>0</v>
      </c>
      <c r="J1168" s="12" t="s">
        <v>161</v>
      </c>
      <c r="K1168" s="12" t="s">
        <v>23</v>
      </c>
      <c r="L1168" s="12">
        <v>5</v>
      </c>
      <c r="M1168" s="15">
        <v>70000</v>
      </c>
      <c r="N1168" s="15">
        <f>G1168*3</f>
        <v>43340.28</v>
      </c>
      <c r="O1168" s="15">
        <f t="shared" si="90"/>
        <v>113340.28</v>
      </c>
      <c r="P1168" s="15">
        <f t="shared" si="91"/>
        <v>7.8453770949333963</v>
      </c>
      <c r="Q1168" s="14">
        <v>12000</v>
      </c>
      <c r="R1168" s="12">
        <v>100</v>
      </c>
      <c r="S1168" s="12" t="s">
        <v>1548</v>
      </c>
      <c r="T1168" s="22">
        <f t="shared" si="92"/>
        <v>1</v>
      </c>
      <c r="U1168" s="22">
        <f t="shared" si="93"/>
        <v>2021</v>
      </c>
      <c r="V1168" s="22" t="str">
        <f t="shared" si="94"/>
        <v>METROPOLITANA</v>
      </c>
    </row>
    <row r="1169" spans="1:22" x14ac:dyDescent="0.2">
      <c r="A1169" s="11" t="s">
        <v>1544</v>
      </c>
      <c r="B1169" s="12" t="s">
        <v>18</v>
      </c>
      <c r="C1169" s="12" t="s">
        <v>44</v>
      </c>
      <c r="D1169" s="12" t="s">
        <v>27</v>
      </c>
      <c r="E1169" s="13" t="s">
        <v>1549</v>
      </c>
      <c r="F1169" s="12" t="s">
        <v>39</v>
      </c>
      <c r="G1169" s="14">
        <v>3296.28</v>
      </c>
      <c r="H1169" s="12" t="s">
        <v>22</v>
      </c>
      <c r="I1169" s="12">
        <v>1</v>
      </c>
      <c r="J1169" s="12" t="s">
        <v>39</v>
      </c>
      <c r="K1169" s="12" t="s">
        <v>23</v>
      </c>
      <c r="L1169" s="12">
        <v>1</v>
      </c>
      <c r="M1169" s="15">
        <v>33750</v>
      </c>
      <c r="N1169" s="15">
        <v>13185</v>
      </c>
      <c r="O1169" s="15">
        <f t="shared" si="90"/>
        <v>46935</v>
      </c>
      <c r="P1169" s="15">
        <f t="shared" si="91"/>
        <v>14.238778259128472</v>
      </c>
      <c r="Q1169" s="14">
        <v>4821</v>
      </c>
      <c r="R1169" s="12">
        <v>68</v>
      </c>
      <c r="S1169" s="12" t="s">
        <v>1550</v>
      </c>
      <c r="T1169" s="22">
        <f t="shared" si="92"/>
        <v>1</v>
      </c>
      <c r="U1169" s="22">
        <f t="shared" si="93"/>
        <v>2021</v>
      </c>
      <c r="V1169" s="22" t="str">
        <f t="shared" si="94"/>
        <v>METROPOLITANA</v>
      </c>
    </row>
    <row r="1170" spans="1:22" x14ac:dyDescent="0.2">
      <c r="A1170" s="11" t="s">
        <v>1544</v>
      </c>
      <c r="B1170" s="12" t="s">
        <v>18</v>
      </c>
      <c r="C1170" s="12" t="s">
        <v>44</v>
      </c>
      <c r="D1170" s="12" t="s">
        <v>27</v>
      </c>
      <c r="E1170" s="13" t="s">
        <v>28</v>
      </c>
      <c r="F1170" s="12" t="s">
        <v>39</v>
      </c>
      <c r="G1170" s="14">
        <v>11858.43</v>
      </c>
      <c r="H1170" s="12" t="s">
        <v>22</v>
      </c>
      <c r="I1170" s="12">
        <v>1</v>
      </c>
      <c r="J1170" s="12" t="s">
        <v>39</v>
      </c>
      <c r="K1170" s="12" t="s">
        <v>23</v>
      </c>
      <c r="L1170" s="12">
        <v>1</v>
      </c>
      <c r="M1170" s="15">
        <v>83009</v>
      </c>
      <c r="N1170" s="15">
        <v>47434</v>
      </c>
      <c r="O1170" s="15">
        <f t="shared" si="90"/>
        <v>130443</v>
      </c>
      <c r="P1170" s="15">
        <f t="shared" si="91"/>
        <v>11.000022768612709</v>
      </c>
      <c r="Q1170" s="14">
        <v>4821</v>
      </c>
      <c r="R1170" s="12">
        <v>100</v>
      </c>
      <c r="S1170" s="12" t="s">
        <v>1551</v>
      </c>
      <c r="T1170" s="22">
        <f t="shared" si="92"/>
        <v>1</v>
      </c>
      <c r="U1170" s="22">
        <f t="shared" si="93"/>
        <v>2021</v>
      </c>
      <c r="V1170" s="22" t="str">
        <f t="shared" si="94"/>
        <v>METROPOLITANA</v>
      </c>
    </row>
    <row r="1171" spans="1:22" x14ac:dyDescent="0.2">
      <c r="A1171" s="11" t="s">
        <v>1544</v>
      </c>
      <c r="B1171" s="12" t="s">
        <v>18</v>
      </c>
      <c r="C1171" s="12" t="s">
        <v>508</v>
      </c>
      <c r="D1171" s="12" t="s">
        <v>37</v>
      </c>
      <c r="E1171" s="13" t="s">
        <v>1552</v>
      </c>
      <c r="F1171" s="12" t="s">
        <v>800</v>
      </c>
      <c r="G1171" s="14">
        <v>4864.88</v>
      </c>
      <c r="H1171" s="12" t="s">
        <v>22</v>
      </c>
      <c r="I1171" s="12">
        <v>0</v>
      </c>
      <c r="J1171" s="12" t="s">
        <v>800</v>
      </c>
      <c r="K1171" s="12" t="s">
        <v>23</v>
      </c>
      <c r="L1171" s="12">
        <v>5</v>
      </c>
      <c r="M1171" s="15">
        <v>90000</v>
      </c>
      <c r="N1171" s="15">
        <f>G1170*4</f>
        <v>47433.72</v>
      </c>
      <c r="O1171" s="15">
        <f t="shared" si="90"/>
        <v>137433.72</v>
      </c>
      <c r="P1171" s="15">
        <f t="shared" si="91"/>
        <v>28.250176777227804</v>
      </c>
      <c r="Q1171" s="14">
        <v>12000</v>
      </c>
      <c r="R1171" s="12">
        <v>41</v>
      </c>
      <c r="S1171" s="12" t="s">
        <v>1553</v>
      </c>
      <c r="T1171" s="22">
        <f t="shared" si="92"/>
        <v>1</v>
      </c>
      <c r="U1171" s="22">
        <f t="shared" si="93"/>
        <v>2021</v>
      </c>
      <c r="V1171" s="22" t="str">
        <f t="shared" si="94"/>
        <v>METROPOLITANA</v>
      </c>
    </row>
    <row r="1172" spans="1:22" x14ac:dyDescent="0.2">
      <c r="A1172" s="11" t="s">
        <v>1544</v>
      </c>
      <c r="B1172" s="12" t="s">
        <v>18</v>
      </c>
      <c r="C1172" s="12" t="s">
        <v>508</v>
      </c>
      <c r="D1172" s="12" t="s">
        <v>37</v>
      </c>
      <c r="E1172" s="13" t="s">
        <v>1554</v>
      </c>
      <c r="F1172" s="12" t="s">
        <v>800</v>
      </c>
      <c r="G1172" s="14">
        <v>3490.6000000000008</v>
      </c>
      <c r="H1172" s="12" t="s">
        <v>22</v>
      </c>
      <c r="I1172" s="12">
        <v>0</v>
      </c>
      <c r="J1172" s="12" t="s">
        <v>800</v>
      </c>
      <c r="K1172" s="12" t="s">
        <v>23</v>
      </c>
      <c r="L1172" s="12">
        <v>5</v>
      </c>
      <c r="M1172" s="15">
        <v>90000</v>
      </c>
      <c r="N1172" s="15">
        <f>G1171*4</f>
        <v>19459.52</v>
      </c>
      <c r="O1172" s="15">
        <f t="shared" si="90"/>
        <v>109459.52</v>
      </c>
      <c r="P1172" s="15">
        <f t="shared" si="91"/>
        <v>31.358368188850047</v>
      </c>
      <c r="Q1172" s="14">
        <v>12000</v>
      </c>
      <c r="R1172" s="12">
        <v>29</v>
      </c>
      <c r="S1172" s="12" t="s">
        <v>1555</v>
      </c>
      <c r="T1172" s="22">
        <f t="shared" si="92"/>
        <v>1</v>
      </c>
      <c r="U1172" s="22">
        <f t="shared" si="93"/>
        <v>2021</v>
      </c>
      <c r="V1172" s="22" t="str">
        <f t="shared" si="94"/>
        <v>METROPOLITANA</v>
      </c>
    </row>
    <row r="1173" spans="1:22" x14ac:dyDescent="0.2">
      <c r="A1173" s="11" t="s">
        <v>1544</v>
      </c>
      <c r="B1173" s="12" t="s">
        <v>33</v>
      </c>
      <c r="C1173" s="12" t="s">
        <v>128</v>
      </c>
      <c r="D1173" s="12" t="s">
        <v>47</v>
      </c>
      <c r="E1173" s="13" t="s">
        <v>21</v>
      </c>
      <c r="F1173" s="12" t="s">
        <v>34</v>
      </c>
      <c r="G1173" s="14">
        <v>5326.8</v>
      </c>
      <c r="H1173" s="12" t="s">
        <v>22</v>
      </c>
      <c r="I1173" s="12">
        <v>0</v>
      </c>
      <c r="J1173" s="12" t="s">
        <v>34</v>
      </c>
      <c r="K1173" s="12" t="s">
        <v>23</v>
      </c>
      <c r="L1173" s="12">
        <v>1</v>
      </c>
      <c r="M1173" s="15">
        <v>37288</v>
      </c>
      <c r="N1173" s="15">
        <v>21307</v>
      </c>
      <c r="O1173" s="15">
        <f t="shared" si="90"/>
        <v>58595</v>
      </c>
      <c r="P1173" s="15">
        <f t="shared" si="91"/>
        <v>11.000037545993843</v>
      </c>
      <c r="Q1173" s="14">
        <v>4821</v>
      </c>
      <c r="R1173" s="12">
        <v>100</v>
      </c>
      <c r="S1173" s="12" t="s">
        <v>1556</v>
      </c>
      <c r="T1173" s="22">
        <f t="shared" si="92"/>
        <v>1</v>
      </c>
      <c r="U1173" s="22">
        <f t="shared" si="93"/>
        <v>2021</v>
      </c>
      <c r="V1173" s="22" t="str">
        <f t="shared" si="94"/>
        <v>METROPOLITANA</v>
      </c>
    </row>
    <row r="1174" spans="1:22" x14ac:dyDescent="0.2">
      <c r="A1174" s="11" t="s">
        <v>1544</v>
      </c>
      <c r="B1174" s="12" t="s">
        <v>33</v>
      </c>
      <c r="C1174" s="12" t="s">
        <v>223</v>
      </c>
      <c r="D1174" s="12" t="s">
        <v>38</v>
      </c>
      <c r="E1174" s="13" t="s">
        <v>25</v>
      </c>
      <c r="F1174" s="12" t="s">
        <v>39</v>
      </c>
      <c r="G1174" s="14">
        <v>11709.000000000009</v>
      </c>
      <c r="H1174" s="12" t="s">
        <v>43</v>
      </c>
      <c r="I1174" s="12">
        <v>0</v>
      </c>
      <c r="J1174" s="12" t="s">
        <v>39</v>
      </c>
      <c r="K1174" s="12" t="s">
        <v>23</v>
      </c>
      <c r="L1174" s="12">
        <v>1</v>
      </c>
      <c r="M1174" s="15">
        <v>81963</v>
      </c>
      <c r="N1174" s="15">
        <f>G1174*3</f>
        <v>35127.000000000029</v>
      </c>
      <c r="O1174" s="15">
        <f t="shared" si="90"/>
        <v>117090.00000000003</v>
      </c>
      <c r="P1174" s="15">
        <f t="shared" si="91"/>
        <v>9.9999999999999947</v>
      </c>
      <c r="Q1174" s="14">
        <v>4821</v>
      </c>
      <c r="R1174" s="12">
        <v>100</v>
      </c>
      <c r="S1174" s="12" t="s">
        <v>1557</v>
      </c>
      <c r="T1174" s="22">
        <f t="shared" si="92"/>
        <v>1</v>
      </c>
      <c r="U1174" s="22">
        <f t="shared" si="93"/>
        <v>2021</v>
      </c>
      <c r="V1174" s="22" t="str">
        <f t="shared" si="94"/>
        <v>METROPOLITANA</v>
      </c>
    </row>
    <row r="1175" spans="1:22" x14ac:dyDescent="0.2">
      <c r="A1175" s="11" t="s">
        <v>1544</v>
      </c>
      <c r="B1175" s="12" t="s">
        <v>33</v>
      </c>
      <c r="C1175" s="12" t="s">
        <v>44</v>
      </c>
      <c r="D1175" s="12" t="s">
        <v>56</v>
      </c>
      <c r="E1175" s="13" t="s">
        <v>21</v>
      </c>
      <c r="F1175" s="12" t="s">
        <v>46</v>
      </c>
      <c r="G1175" s="14">
        <v>3513.2</v>
      </c>
      <c r="H1175" s="12" t="s">
        <v>22</v>
      </c>
      <c r="I1175" s="12">
        <v>0</v>
      </c>
      <c r="J1175" s="12" t="s">
        <v>46</v>
      </c>
      <c r="K1175" s="12" t="s">
        <v>23</v>
      </c>
      <c r="L1175" s="12">
        <v>2</v>
      </c>
      <c r="M1175" s="15">
        <v>40475</v>
      </c>
      <c r="N1175" s="15">
        <v>14053</v>
      </c>
      <c r="O1175" s="15">
        <f t="shared" si="90"/>
        <v>54528</v>
      </c>
      <c r="P1175" s="15">
        <f t="shared" si="91"/>
        <v>15.520892633496528</v>
      </c>
      <c r="Q1175" s="14">
        <v>5782</v>
      </c>
      <c r="R1175" s="12">
        <v>61</v>
      </c>
      <c r="S1175" s="12" t="s">
        <v>1558</v>
      </c>
      <c r="T1175" s="22">
        <f t="shared" si="92"/>
        <v>1</v>
      </c>
      <c r="U1175" s="22">
        <f t="shared" si="93"/>
        <v>2021</v>
      </c>
      <c r="V1175" s="22" t="str">
        <f t="shared" si="94"/>
        <v>METROPOLITANA</v>
      </c>
    </row>
    <row r="1176" spans="1:22" x14ac:dyDescent="0.2">
      <c r="A1176" s="11" t="s">
        <v>1544</v>
      </c>
      <c r="B1176" s="12" t="s">
        <v>33</v>
      </c>
      <c r="C1176" s="12" t="s">
        <v>44</v>
      </c>
      <c r="D1176" s="12" t="s">
        <v>30</v>
      </c>
      <c r="E1176" s="13" t="s">
        <v>1559</v>
      </c>
      <c r="F1176" s="12" t="s">
        <v>51</v>
      </c>
      <c r="G1176" s="14">
        <v>5690.4000000000024</v>
      </c>
      <c r="H1176" s="12" t="s">
        <v>32</v>
      </c>
      <c r="I1176" s="12">
        <v>0</v>
      </c>
      <c r="J1176" s="12" t="s">
        <v>51</v>
      </c>
      <c r="K1176" s="12" t="s">
        <v>23</v>
      </c>
      <c r="L1176" s="12">
        <v>4</v>
      </c>
      <c r="M1176" s="15">
        <v>56075</v>
      </c>
      <c r="N1176" s="15">
        <v>17071</v>
      </c>
      <c r="O1176" s="15">
        <f t="shared" si="90"/>
        <v>73146</v>
      </c>
      <c r="P1176" s="15">
        <f t="shared" si="91"/>
        <v>12.854280894137489</v>
      </c>
      <c r="Q1176" s="14">
        <v>8011</v>
      </c>
      <c r="R1176" s="12">
        <v>71</v>
      </c>
      <c r="S1176" s="12" t="s">
        <v>1560</v>
      </c>
      <c r="T1176" s="22">
        <f t="shared" si="92"/>
        <v>1</v>
      </c>
      <c r="U1176" s="22">
        <f t="shared" si="93"/>
        <v>2021</v>
      </c>
      <c r="V1176" s="22" t="str">
        <f t="shared" si="94"/>
        <v>METROPOLITANA</v>
      </c>
    </row>
    <row r="1177" spans="1:22" x14ac:dyDescent="0.2">
      <c r="A1177" s="11" t="s">
        <v>1544</v>
      </c>
      <c r="B1177" s="12" t="s">
        <v>33</v>
      </c>
      <c r="C1177" s="12" t="s">
        <v>44</v>
      </c>
      <c r="D1177" s="12" t="s">
        <v>45</v>
      </c>
      <c r="E1177" s="13" t="s">
        <v>21</v>
      </c>
      <c r="F1177" s="12" t="s">
        <v>48</v>
      </c>
      <c r="G1177" s="14">
        <v>2524.8000000000002</v>
      </c>
      <c r="H1177" s="12" t="s">
        <v>22</v>
      </c>
      <c r="I1177" s="12">
        <v>0</v>
      </c>
      <c r="J1177" s="12" t="s">
        <v>48</v>
      </c>
      <c r="K1177" s="12" t="s">
        <v>23</v>
      </c>
      <c r="L1177" s="12">
        <v>1</v>
      </c>
      <c r="M1177" s="15">
        <v>33750</v>
      </c>
      <c r="N1177" s="15">
        <v>12000</v>
      </c>
      <c r="O1177" s="15">
        <f t="shared" si="90"/>
        <v>45750</v>
      </c>
      <c r="P1177" s="15">
        <f t="shared" si="91"/>
        <v>18.120247148288971</v>
      </c>
      <c r="Q1177" s="14">
        <v>4821</v>
      </c>
      <c r="R1177" s="12">
        <v>52</v>
      </c>
      <c r="S1177" s="12" t="s">
        <v>1561</v>
      </c>
      <c r="T1177" s="22">
        <f t="shared" si="92"/>
        <v>1</v>
      </c>
      <c r="U1177" s="22">
        <f t="shared" si="93"/>
        <v>2021</v>
      </c>
      <c r="V1177" s="22" t="str">
        <f t="shared" si="94"/>
        <v>METROPOLITANA</v>
      </c>
    </row>
    <row r="1178" spans="1:22" x14ac:dyDescent="0.2">
      <c r="A1178" s="11" t="s">
        <v>1544</v>
      </c>
      <c r="B1178" s="12" t="s">
        <v>33</v>
      </c>
      <c r="C1178" s="12" t="s">
        <v>44</v>
      </c>
      <c r="D1178" s="12" t="s">
        <v>45</v>
      </c>
      <c r="E1178" s="13" t="s">
        <v>21</v>
      </c>
      <c r="F1178" s="12" t="s">
        <v>48</v>
      </c>
      <c r="G1178" s="14">
        <v>1299.5999999999999</v>
      </c>
      <c r="H1178" s="12" t="s">
        <v>22</v>
      </c>
      <c r="I1178" s="12">
        <v>0</v>
      </c>
      <c r="J1178" s="12" t="s">
        <v>48</v>
      </c>
      <c r="K1178" s="12" t="s">
        <v>23</v>
      </c>
      <c r="L1178" s="12">
        <v>1</v>
      </c>
      <c r="M1178" s="15">
        <v>33750</v>
      </c>
      <c r="N1178" s="15">
        <v>12000</v>
      </c>
      <c r="O1178" s="15">
        <f t="shared" si="90"/>
        <v>45750</v>
      </c>
      <c r="P1178" s="15">
        <f t="shared" si="91"/>
        <v>35.203139427516163</v>
      </c>
      <c r="Q1178" s="14">
        <v>4821</v>
      </c>
      <c r="R1178" s="12">
        <v>27</v>
      </c>
      <c r="S1178" s="12" t="s">
        <v>1562</v>
      </c>
      <c r="T1178" s="22">
        <f t="shared" si="92"/>
        <v>1</v>
      </c>
      <c r="U1178" s="22">
        <f t="shared" si="93"/>
        <v>2021</v>
      </c>
      <c r="V1178" s="22" t="str">
        <f t="shared" si="94"/>
        <v>METROPOLITANA</v>
      </c>
    </row>
    <row r="1179" spans="1:22" x14ac:dyDescent="0.2">
      <c r="A1179" s="11" t="s">
        <v>1544</v>
      </c>
      <c r="B1179" s="12" t="s">
        <v>33</v>
      </c>
      <c r="C1179" s="12" t="s">
        <v>44</v>
      </c>
      <c r="D1179" s="12" t="s">
        <v>47</v>
      </c>
      <c r="E1179" s="13" t="s">
        <v>21</v>
      </c>
      <c r="F1179" s="12" t="s">
        <v>94</v>
      </c>
      <c r="G1179" s="14">
        <v>4062.8</v>
      </c>
      <c r="H1179" s="12" t="s">
        <v>22</v>
      </c>
      <c r="I1179" s="12">
        <v>0</v>
      </c>
      <c r="J1179" s="12" t="s">
        <v>59</v>
      </c>
      <c r="K1179" s="12" t="s">
        <v>78</v>
      </c>
      <c r="L1179" s="12">
        <v>0</v>
      </c>
      <c r="M1179" s="15">
        <v>180000</v>
      </c>
      <c r="N1179" s="15">
        <f>G1179*4</f>
        <v>16251.2</v>
      </c>
      <c r="O1179" s="15">
        <f t="shared" si="90"/>
        <v>196251.2</v>
      </c>
      <c r="P1179" s="15">
        <f t="shared" si="91"/>
        <v>48.304420596632866</v>
      </c>
      <c r="Q1179" s="14">
        <v>25000</v>
      </c>
      <c r="R1179" s="12">
        <v>16</v>
      </c>
      <c r="S1179" s="12" t="s">
        <v>1563</v>
      </c>
      <c r="T1179" s="22">
        <f t="shared" si="92"/>
        <v>1</v>
      </c>
      <c r="U1179" s="22">
        <f t="shared" si="93"/>
        <v>2021</v>
      </c>
      <c r="V1179" s="22" t="str">
        <f t="shared" si="94"/>
        <v>REGIONES</v>
      </c>
    </row>
    <row r="1180" spans="1:22" x14ac:dyDescent="0.2">
      <c r="A1180" s="11" t="s">
        <v>1544</v>
      </c>
      <c r="B1180" s="12" t="s">
        <v>33</v>
      </c>
      <c r="C1180" s="12" t="s">
        <v>44</v>
      </c>
      <c r="D1180" s="12" t="s">
        <v>35</v>
      </c>
      <c r="E1180" s="13" t="s">
        <v>21</v>
      </c>
      <c r="F1180" s="12" t="s">
        <v>26</v>
      </c>
      <c r="G1180" s="14">
        <v>1362.6</v>
      </c>
      <c r="H1180" s="12" t="s">
        <v>22</v>
      </c>
      <c r="I1180" s="12">
        <v>0</v>
      </c>
      <c r="J1180" s="12" t="s">
        <v>26</v>
      </c>
      <c r="K1180" s="12" t="s">
        <v>23</v>
      </c>
      <c r="L1180" s="12">
        <v>4</v>
      </c>
      <c r="M1180" s="15">
        <v>56075</v>
      </c>
      <c r="N1180" s="15">
        <v>12000</v>
      </c>
      <c r="O1180" s="15">
        <f t="shared" si="90"/>
        <v>68075</v>
      </c>
      <c r="P1180" s="15">
        <f t="shared" si="91"/>
        <v>49.959635990019088</v>
      </c>
      <c r="Q1180" s="14">
        <v>8011</v>
      </c>
      <c r="R1180" s="12">
        <v>17</v>
      </c>
      <c r="S1180" s="12" t="s">
        <v>1564</v>
      </c>
      <c r="T1180" s="22">
        <f t="shared" si="92"/>
        <v>1</v>
      </c>
      <c r="U1180" s="22">
        <f t="shared" si="93"/>
        <v>2021</v>
      </c>
      <c r="V1180" s="22" t="str">
        <f t="shared" si="94"/>
        <v>METROPOLITANA</v>
      </c>
    </row>
    <row r="1181" spans="1:22" x14ac:dyDescent="0.2">
      <c r="A1181" s="11" t="s">
        <v>1544</v>
      </c>
      <c r="B1181" s="12" t="s">
        <v>33</v>
      </c>
      <c r="C1181" s="12" t="s">
        <v>44</v>
      </c>
      <c r="D1181" s="12" t="s">
        <v>41</v>
      </c>
      <c r="E1181" s="13" t="s">
        <v>1565</v>
      </c>
      <c r="F1181" s="12" t="s">
        <v>225</v>
      </c>
      <c r="G1181" s="14">
        <v>4740</v>
      </c>
      <c r="H1181" s="12" t="s">
        <v>43</v>
      </c>
      <c r="I1181" s="12">
        <v>0</v>
      </c>
      <c r="J1181" s="12" t="s">
        <v>225</v>
      </c>
      <c r="K1181" s="12" t="s">
        <v>23</v>
      </c>
      <c r="L1181" s="12">
        <v>3</v>
      </c>
      <c r="M1181" s="15">
        <v>48075</v>
      </c>
      <c r="N1181" s="15">
        <v>14220</v>
      </c>
      <c r="O1181" s="15">
        <f t="shared" si="90"/>
        <v>62295</v>
      </c>
      <c r="P1181" s="15">
        <f t="shared" si="91"/>
        <v>13.14240506329114</v>
      </c>
      <c r="Q1181" s="14">
        <v>6868</v>
      </c>
      <c r="R1181" s="12">
        <v>69</v>
      </c>
      <c r="S1181" s="12" t="s">
        <v>1566</v>
      </c>
      <c r="T1181" s="22">
        <f t="shared" si="92"/>
        <v>1</v>
      </c>
      <c r="U1181" s="22">
        <f t="shared" si="93"/>
        <v>2021</v>
      </c>
      <c r="V1181" s="22" t="str">
        <f t="shared" si="94"/>
        <v>METROPOLITANA</v>
      </c>
    </row>
    <row r="1182" spans="1:22" x14ac:dyDescent="0.2">
      <c r="A1182" s="23" t="s">
        <v>1567</v>
      </c>
      <c r="B1182" s="22" t="s">
        <v>18</v>
      </c>
      <c r="C1182" s="22" t="s">
        <v>508</v>
      </c>
      <c r="D1182" s="22" t="s">
        <v>41</v>
      </c>
      <c r="E1182" s="24" t="s">
        <v>25</v>
      </c>
      <c r="F1182" s="22" t="s">
        <v>800</v>
      </c>
      <c r="G1182" s="25">
        <v>3004.2</v>
      </c>
      <c r="H1182" s="22" t="s">
        <v>43</v>
      </c>
      <c r="I1182" s="22">
        <v>0</v>
      </c>
      <c r="J1182" s="22" t="s">
        <v>800</v>
      </c>
      <c r="K1182" s="22" t="s">
        <v>23</v>
      </c>
      <c r="L1182" s="22">
        <v>5</v>
      </c>
      <c r="M1182" s="26">
        <v>90000</v>
      </c>
      <c r="N1182" s="26">
        <f>G1182*3</f>
        <v>9012.5999999999985</v>
      </c>
      <c r="O1182" s="15">
        <f t="shared" si="90"/>
        <v>99012.6</v>
      </c>
      <c r="P1182" s="15">
        <f t="shared" si="91"/>
        <v>32.95805871779509</v>
      </c>
      <c r="Q1182" s="25">
        <v>12000</v>
      </c>
      <c r="R1182" s="22">
        <v>17</v>
      </c>
      <c r="S1182" s="22" t="s">
        <v>1568</v>
      </c>
      <c r="T1182" s="22">
        <f t="shared" si="92"/>
        <v>1</v>
      </c>
      <c r="U1182" s="22">
        <f t="shared" si="93"/>
        <v>2021</v>
      </c>
      <c r="V1182" s="22" t="str">
        <f t="shared" si="94"/>
        <v>METROPOLITANA</v>
      </c>
    </row>
    <row r="1183" spans="1:22" x14ac:dyDescent="0.2">
      <c r="A1183" s="23" t="s">
        <v>1567</v>
      </c>
      <c r="B1183" s="22" t="s">
        <v>18</v>
      </c>
      <c r="C1183" s="22" t="s">
        <v>508</v>
      </c>
      <c r="D1183" s="22" t="s">
        <v>20</v>
      </c>
      <c r="E1183" s="24" t="s">
        <v>21</v>
      </c>
      <c r="F1183" s="22" t="s">
        <v>800</v>
      </c>
      <c r="G1183" s="25">
        <v>1971.2</v>
      </c>
      <c r="H1183" s="22" t="s">
        <v>22</v>
      </c>
      <c r="I1183" s="22">
        <v>0</v>
      </c>
      <c r="J1183" s="22" t="s">
        <v>800</v>
      </c>
      <c r="K1183" s="22" t="s">
        <v>23</v>
      </c>
      <c r="L1183" s="22">
        <v>5</v>
      </c>
      <c r="M1183" s="26">
        <v>90000</v>
      </c>
      <c r="N1183" s="26">
        <f>G1183*4</f>
        <v>7884.8</v>
      </c>
      <c r="O1183" s="15">
        <f t="shared" si="90"/>
        <v>97884.800000000003</v>
      </c>
      <c r="P1183" s="15">
        <f t="shared" si="91"/>
        <v>49.657467532467535</v>
      </c>
      <c r="Q1183" s="25">
        <v>12000</v>
      </c>
      <c r="R1183" s="22">
        <v>16</v>
      </c>
      <c r="S1183" s="22" t="s">
        <v>1569</v>
      </c>
      <c r="T1183" s="22">
        <f t="shared" si="92"/>
        <v>1</v>
      </c>
      <c r="U1183" s="22">
        <f t="shared" si="93"/>
        <v>2021</v>
      </c>
      <c r="V1183" s="22" t="str">
        <f t="shared" si="94"/>
        <v>METROPOLITANA</v>
      </c>
    </row>
    <row r="1184" spans="1:22" x14ac:dyDescent="0.2">
      <c r="A1184" s="23" t="s">
        <v>1567</v>
      </c>
      <c r="B1184" s="22" t="s">
        <v>33</v>
      </c>
      <c r="C1184" s="22" t="s">
        <v>36</v>
      </c>
      <c r="D1184" s="22" t="s">
        <v>1170</v>
      </c>
      <c r="E1184" s="24" t="s">
        <v>81</v>
      </c>
      <c r="F1184" s="22" t="s">
        <v>305</v>
      </c>
      <c r="G1184" s="25">
        <f>4600.2+5500</f>
        <v>10100.200000000001</v>
      </c>
      <c r="H1184" s="22" t="s">
        <v>24</v>
      </c>
      <c r="I1184" s="22">
        <v>1</v>
      </c>
      <c r="J1184" s="22" t="s">
        <v>305</v>
      </c>
      <c r="K1184" s="22" t="s">
        <v>306</v>
      </c>
      <c r="L1184" s="22">
        <v>0</v>
      </c>
      <c r="M1184" s="26">
        <v>1600000</v>
      </c>
      <c r="N1184" s="26">
        <v>0</v>
      </c>
      <c r="O1184" s="15">
        <f t="shared" si="90"/>
        <v>1600000</v>
      </c>
      <c r="P1184" s="15">
        <f t="shared" si="91"/>
        <v>158.41270469891685</v>
      </c>
      <c r="Q1184" s="25">
        <v>25000</v>
      </c>
      <c r="R1184" s="22">
        <v>18</v>
      </c>
      <c r="S1184" s="22" t="s">
        <v>1570</v>
      </c>
      <c r="T1184" s="22">
        <f t="shared" si="92"/>
        <v>1</v>
      </c>
      <c r="U1184" s="22">
        <f t="shared" si="93"/>
        <v>2021</v>
      </c>
      <c r="V1184" s="22" t="str">
        <f t="shared" si="94"/>
        <v>REGIONES</v>
      </c>
    </row>
    <row r="1185" spans="1:22" x14ac:dyDescent="0.2">
      <c r="A1185" s="23" t="s">
        <v>1567</v>
      </c>
      <c r="B1185" s="22" t="s">
        <v>33</v>
      </c>
      <c r="C1185" s="22" t="s">
        <v>87</v>
      </c>
      <c r="D1185" s="22" t="s">
        <v>188</v>
      </c>
      <c r="E1185" s="24" t="s">
        <v>189</v>
      </c>
      <c r="F1185" s="22" t="s">
        <v>51</v>
      </c>
      <c r="G1185" s="25">
        <v>541.4</v>
      </c>
      <c r="H1185" s="22" t="s">
        <v>190</v>
      </c>
      <c r="I1185" s="22">
        <v>0</v>
      </c>
      <c r="J1185" s="22" t="s">
        <v>51</v>
      </c>
      <c r="K1185" s="22" t="s">
        <v>23</v>
      </c>
      <c r="L1185" s="22">
        <v>4</v>
      </c>
      <c r="M1185" s="26">
        <v>56075</v>
      </c>
      <c r="N1185" s="26">
        <f>G1185*3</f>
        <v>1624.1999999999998</v>
      </c>
      <c r="O1185" s="15">
        <f t="shared" si="90"/>
        <v>57699.199999999997</v>
      </c>
      <c r="P1185" s="15">
        <f t="shared" si="91"/>
        <v>106.57406723309937</v>
      </c>
      <c r="Q1185" s="25">
        <v>8011</v>
      </c>
      <c r="R1185" s="22">
        <v>7</v>
      </c>
      <c r="S1185" s="22" t="s">
        <v>1571</v>
      </c>
      <c r="T1185" s="22">
        <f t="shared" si="92"/>
        <v>1</v>
      </c>
      <c r="U1185" s="22">
        <f t="shared" si="93"/>
        <v>2021</v>
      </c>
      <c r="V1185" s="22" t="str">
        <f t="shared" si="94"/>
        <v>METROPOLITANA</v>
      </c>
    </row>
    <row r="1186" spans="1:22" x14ac:dyDescent="0.2">
      <c r="A1186" s="23" t="s">
        <v>1567</v>
      </c>
      <c r="B1186" s="22" t="s">
        <v>33</v>
      </c>
      <c r="C1186" s="22" t="s">
        <v>29</v>
      </c>
      <c r="D1186" s="22" t="s">
        <v>82</v>
      </c>
      <c r="E1186" s="24" t="s">
        <v>83</v>
      </c>
      <c r="F1186" s="22" t="s">
        <v>132</v>
      </c>
      <c r="G1186" s="25">
        <v>16721.600000000009</v>
      </c>
      <c r="H1186" s="22" t="s">
        <v>85</v>
      </c>
      <c r="I1186" s="22">
        <v>1</v>
      </c>
      <c r="J1186" s="22" t="s">
        <v>132</v>
      </c>
      <c r="K1186" s="22" t="s">
        <v>124</v>
      </c>
      <c r="L1186" s="22">
        <v>0</v>
      </c>
      <c r="M1186" s="26">
        <v>350000</v>
      </c>
      <c r="N1186" s="26">
        <v>0</v>
      </c>
      <c r="O1186" s="15">
        <f t="shared" si="90"/>
        <v>350000</v>
      </c>
      <c r="P1186" s="15">
        <f t="shared" si="91"/>
        <v>20.931011386470182</v>
      </c>
      <c r="Q1186" s="25">
        <v>25000</v>
      </c>
      <c r="R1186" s="22">
        <v>67</v>
      </c>
      <c r="S1186" s="22" t="s">
        <v>1572</v>
      </c>
      <c r="T1186" s="22">
        <f t="shared" si="92"/>
        <v>1</v>
      </c>
      <c r="U1186" s="22">
        <f t="shared" si="93"/>
        <v>2021</v>
      </c>
      <c r="V1186" s="22" t="str">
        <f t="shared" si="94"/>
        <v>REGIONES</v>
      </c>
    </row>
    <row r="1187" spans="1:22" x14ac:dyDescent="0.2">
      <c r="A1187" s="23" t="s">
        <v>1567</v>
      </c>
      <c r="B1187" s="22" t="s">
        <v>33</v>
      </c>
      <c r="C1187" s="22" t="s">
        <v>29</v>
      </c>
      <c r="D1187" s="22" t="s">
        <v>37</v>
      </c>
      <c r="E1187" s="24" t="s">
        <v>40</v>
      </c>
      <c r="F1187" s="22" t="s">
        <v>34</v>
      </c>
      <c r="G1187" s="25">
        <v>13765.5</v>
      </c>
      <c r="H1187" s="22" t="s">
        <v>22</v>
      </c>
      <c r="I1187" s="22">
        <v>0</v>
      </c>
      <c r="J1187" s="22" t="s">
        <v>34</v>
      </c>
      <c r="K1187" s="22" t="s">
        <v>23</v>
      </c>
      <c r="L1187" s="22">
        <v>1</v>
      </c>
      <c r="M1187" s="26">
        <v>96358</v>
      </c>
      <c r="N1187" s="26">
        <v>55062</v>
      </c>
      <c r="O1187" s="15">
        <f t="shared" si="90"/>
        <v>151420</v>
      </c>
      <c r="P1187" s="15">
        <f t="shared" si="91"/>
        <v>10.999963677309214</v>
      </c>
      <c r="Q1187" s="25">
        <v>4821</v>
      </c>
      <c r="R1187" s="22">
        <v>100</v>
      </c>
      <c r="S1187" s="22" t="s">
        <v>1573</v>
      </c>
      <c r="T1187" s="22">
        <f t="shared" si="92"/>
        <v>1</v>
      </c>
      <c r="U1187" s="22">
        <f t="shared" si="93"/>
        <v>2021</v>
      </c>
      <c r="V1187" s="22" t="str">
        <f t="shared" si="94"/>
        <v>METROPOLITANA</v>
      </c>
    </row>
    <row r="1188" spans="1:22" x14ac:dyDescent="0.2">
      <c r="A1188" s="23" t="s">
        <v>1567</v>
      </c>
      <c r="B1188" s="22" t="s">
        <v>33</v>
      </c>
      <c r="C1188" s="22" t="s">
        <v>29</v>
      </c>
      <c r="D1188" s="22" t="s">
        <v>27</v>
      </c>
      <c r="E1188" s="24" t="s">
        <v>28</v>
      </c>
      <c r="F1188" s="22" t="s">
        <v>173</v>
      </c>
      <c r="G1188" s="25">
        <v>14627.599999999989</v>
      </c>
      <c r="H1188" s="22" t="s">
        <v>22</v>
      </c>
      <c r="I1188" s="22">
        <v>1</v>
      </c>
      <c r="J1188" s="22" t="s">
        <v>173</v>
      </c>
      <c r="K1188" s="22" t="s">
        <v>23</v>
      </c>
      <c r="L1188" s="22">
        <v>5</v>
      </c>
      <c r="M1188" s="26">
        <v>120000</v>
      </c>
      <c r="N1188" s="26">
        <v>58510</v>
      </c>
      <c r="O1188" s="15">
        <f t="shared" si="90"/>
        <v>178510</v>
      </c>
      <c r="P1188" s="15">
        <f t="shared" si="91"/>
        <v>12.203642429380086</v>
      </c>
      <c r="Q1188" s="25">
        <v>12000</v>
      </c>
      <c r="R1188" s="22">
        <v>100</v>
      </c>
      <c r="S1188" s="22" t="s">
        <v>1574</v>
      </c>
      <c r="T1188" s="22">
        <f t="shared" si="92"/>
        <v>1</v>
      </c>
      <c r="U1188" s="22">
        <f t="shared" si="93"/>
        <v>2021</v>
      </c>
      <c r="V1188" s="22" t="str">
        <f t="shared" si="94"/>
        <v>METROPOLITANA</v>
      </c>
    </row>
    <row r="1189" spans="1:22" x14ac:dyDescent="0.2">
      <c r="A1189" s="23" t="s">
        <v>1567</v>
      </c>
      <c r="B1189" s="22" t="s">
        <v>33</v>
      </c>
      <c r="C1189" s="22" t="s">
        <v>29</v>
      </c>
      <c r="D1189" s="22" t="s">
        <v>63</v>
      </c>
      <c r="E1189" s="24" t="s">
        <v>64</v>
      </c>
      <c r="F1189" s="22" t="s">
        <v>34</v>
      </c>
      <c r="G1189" s="25">
        <v>4588.5</v>
      </c>
      <c r="H1189" s="22" t="s">
        <v>65</v>
      </c>
      <c r="I1189" s="22">
        <v>0</v>
      </c>
      <c r="J1189" s="22" t="s">
        <v>34</v>
      </c>
      <c r="K1189" s="22" t="s">
        <v>23</v>
      </c>
      <c r="L1189" s="22">
        <v>1</v>
      </c>
      <c r="M1189" s="26">
        <v>33750</v>
      </c>
      <c r="N1189" s="26">
        <v>13766</v>
      </c>
      <c r="O1189" s="15">
        <f t="shared" si="90"/>
        <v>47516</v>
      </c>
      <c r="P1189" s="15">
        <f t="shared" si="91"/>
        <v>10.355453852021357</v>
      </c>
      <c r="Q1189" s="25">
        <v>4821</v>
      </c>
      <c r="R1189" s="22">
        <v>95</v>
      </c>
      <c r="S1189" s="22" t="s">
        <v>1575</v>
      </c>
      <c r="T1189" s="22">
        <f t="shared" si="92"/>
        <v>1</v>
      </c>
      <c r="U1189" s="22">
        <f t="shared" si="93"/>
        <v>2021</v>
      </c>
      <c r="V1189" s="22" t="str">
        <f t="shared" si="94"/>
        <v>METROPOLITANA</v>
      </c>
    </row>
    <row r="1190" spans="1:22" x14ac:dyDescent="0.2">
      <c r="A1190" s="23" t="s">
        <v>1567</v>
      </c>
      <c r="B1190" s="22" t="s">
        <v>33</v>
      </c>
      <c r="C1190" s="22" t="s">
        <v>29</v>
      </c>
      <c r="D1190" s="22" t="s">
        <v>45</v>
      </c>
      <c r="E1190" s="24" t="s">
        <v>1576</v>
      </c>
      <c r="F1190" s="22" t="s">
        <v>134</v>
      </c>
      <c r="G1190" s="25">
        <v>6753.5999999999995</v>
      </c>
      <c r="H1190" s="22" t="s">
        <v>22</v>
      </c>
      <c r="I1190" s="22">
        <v>0</v>
      </c>
      <c r="J1190" s="22" t="s">
        <v>134</v>
      </c>
      <c r="K1190" s="22" t="s">
        <v>23</v>
      </c>
      <c r="L1190" s="22">
        <v>2</v>
      </c>
      <c r="M1190" s="26">
        <v>47275</v>
      </c>
      <c r="N1190" s="26">
        <v>27014</v>
      </c>
      <c r="O1190" s="15">
        <f t="shared" si="90"/>
        <v>74289</v>
      </c>
      <c r="P1190" s="15">
        <f t="shared" si="91"/>
        <v>10.99991115849325</v>
      </c>
      <c r="Q1190" s="25">
        <v>5782</v>
      </c>
      <c r="R1190" s="22">
        <v>100</v>
      </c>
      <c r="S1190" s="22" t="s">
        <v>1577</v>
      </c>
      <c r="T1190" s="22">
        <f t="shared" si="92"/>
        <v>1</v>
      </c>
      <c r="U1190" s="22">
        <f t="shared" si="93"/>
        <v>2021</v>
      </c>
      <c r="V1190" s="22" t="str">
        <f t="shared" si="94"/>
        <v>METROPOLITANA</v>
      </c>
    </row>
    <row r="1191" spans="1:22" x14ac:dyDescent="0.2">
      <c r="A1191" s="23" t="s">
        <v>1567</v>
      </c>
      <c r="B1191" s="22" t="s">
        <v>33</v>
      </c>
      <c r="C1191" s="22" t="s">
        <v>29</v>
      </c>
      <c r="D1191" s="22" t="s">
        <v>35</v>
      </c>
      <c r="E1191" s="24" t="s">
        <v>52</v>
      </c>
      <c r="F1191" s="22" t="s">
        <v>134</v>
      </c>
      <c r="G1191" s="25">
        <v>6753.5999999999995</v>
      </c>
      <c r="H1191" s="22" t="s">
        <v>22</v>
      </c>
      <c r="I1191" s="22">
        <v>0</v>
      </c>
      <c r="J1191" s="22" t="s">
        <v>134</v>
      </c>
      <c r="K1191" s="22" t="s">
        <v>23</v>
      </c>
      <c r="L1191" s="22">
        <v>2</v>
      </c>
      <c r="M1191" s="26">
        <v>47275</v>
      </c>
      <c r="N1191" s="26">
        <v>27014</v>
      </c>
      <c r="O1191" s="15">
        <f t="shared" si="90"/>
        <v>74289</v>
      </c>
      <c r="P1191" s="15">
        <f t="shared" si="91"/>
        <v>10.99991115849325</v>
      </c>
      <c r="Q1191" s="25">
        <v>5782</v>
      </c>
      <c r="R1191" s="22">
        <v>100</v>
      </c>
      <c r="S1191" s="22" t="s">
        <v>1578</v>
      </c>
      <c r="T1191" s="22">
        <f t="shared" si="92"/>
        <v>1</v>
      </c>
      <c r="U1191" s="22">
        <f t="shared" si="93"/>
        <v>2021</v>
      </c>
      <c r="V1191" s="22" t="str">
        <f t="shared" si="94"/>
        <v>METROPOLITANA</v>
      </c>
    </row>
    <row r="1192" spans="1:22" x14ac:dyDescent="0.2">
      <c r="A1192" s="23" t="s">
        <v>1567</v>
      </c>
      <c r="B1192" s="22" t="s">
        <v>33</v>
      </c>
      <c r="C1192" s="22" t="s">
        <v>44</v>
      </c>
      <c r="D1192" s="22" t="s">
        <v>56</v>
      </c>
      <c r="E1192" s="24" t="s">
        <v>21</v>
      </c>
      <c r="F1192" s="22" t="s">
        <v>46</v>
      </c>
      <c r="G1192" s="25">
        <v>750.4</v>
      </c>
      <c r="H1192" s="22" t="s">
        <v>22</v>
      </c>
      <c r="I1192" s="22">
        <v>0</v>
      </c>
      <c r="J1192" s="22" t="s">
        <v>46</v>
      </c>
      <c r="K1192" s="22" t="s">
        <v>23</v>
      </c>
      <c r="L1192" s="22">
        <v>2</v>
      </c>
      <c r="M1192" s="26">
        <v>40475</v>
      </c>
      <c r="N1192" s="26">
        <v>12000</v>
      </c>
      <c r="O1192" s="15">
        <f t="shared" si="90"/>
        <v>52475</v>
      </c>
      <c r="P1192" s="15">
        <f t="shared" si="91"/>
        <v>69.9293710021322</v>
      </c>
      <c r="Q1192" s="25">
        <v>5782</v>
      </c>
      <c r="R1192" s="22">
        <v>13</v>
      </c>
      <c r="S1192" s="22" t="s">
        <v>1579</v>
      </c>
      <c r="T1192" s="22">
        <f t="shared" si="92"/>
        <v>1</v>
      </c>
      <c r="U1192" s="22">
        <f t="shared" si="93"/>
        <v>2021</v>
      </c>
      <c r="V1192" s="22" t="str">
        <f t="shared" si="94"/>
        <v>METROPOLITANA</v>
      </c>
    </row>
    <row r="1193" spans="1:22" x14ac:dyDescent="0.2">
      <c r="A1193" s="23" t="s">
        <v>1567</v>
      </c>
      <c r="B1193" s="22" t="s">
        <v>33</v>
      </c>
      <c r="C1193" s="22" t="s">
        <v>44</v>
      </c>
      <c r="D1193" s="22" t="s">
        <v>56</v>
      </c>
      <c r="E1193" s="24" t="s">
        <v>28</v>
      </c>
      <c r="F1193" s="22" t="s">
        <v>137</v>
      </c>
      <c r="G1193" s="25">
        <v>1125</v>
      </c>
      <c r="H1193" s="22" t="s">
        <v>22</v>
      </c>
      <c r="I1193" s="22">
        <v>0</v>
      </c>
      <c r="J1193" s="22" t="s">
        <v>137</v>
      </c>
      <c r="K1193" s="22" t="s">
        <v>23</v>
      </c>
      <c r="L1193" s="22">
        <v>1</v>
      </c>
      <c r="M1193" s="26">
        <v>33750</v>
      </c>
      <c r="N1193" s="26">
        <v>4500</v>
      </c>
      <c r="O1193" s="15">
        <f t="shared" si="90"/>
        <v>38250</v>
      </c>
      <c r="P1193" s="15">
        <f t="shared" si="91"/>
        <v>34</v>
      </c>
      <c r="Q1193" s="25">
        <v>4821</v>
      </c>
      <c r="R1193" s="22">
        <v>23</v>
      </c>
      <c r="S1193" s="22" t="s">
        <v>1580</v>
      </c>
      <c r="T1193" s="22">
        <f t="shared" si="92"/>
        <v>1</v>
      </c>
      <c r="U1193" s="22">
        <f t="shared" si="93"/>
        <v>2021</v>
      </c>
      <c r="V1193" s="22" t="str">
        <f t="shared" si="94"/>
        <v>METROPOLITANA</v>
      </c>
    </row>
    <row r="1194" spans="1:22" x14ac:dyDescent="0.2">
      <c r="A1194" s="23" t="s">
        <v>1567</v>
      </c>
      <c r="B1194" s="22" t="s">
        <v>33</v>
      </c>
      <c r="C1194" s="22" t="s">
        <v>44</v>
      </c>
      <c r="D1194" s="22" t="s">
        <v>38</v>
      </c>
      <c r="E1194" s="24" t="s">
        <v>42</v>
      </c>
      <c r="F1194" s="22" t="s">
        <v>182</v>
      </c>
      <c r="G1194" s="25">
        <v>4781.3999999999996</v>
      </c>
      <c r="H1194" s="22" t="s">
        <v>43</v>
      </c>
      <c r="I1194" s="22">
        <v>0</v>
      </c>
      <c r="J1194" s="22" t="s">
        <v>182</v>
      </c>
      <c r="K1194" s="22" t="s">
        <v>23</v>
      </c>
      <c r="L1194" s="22">
        <v>4</v>
      </c>
      <c r="M1194" s="26">
        <v>56075</v>
      </c>
      <c r="N1194" s="26">
        <v>14344</v>
      </c>
      <c r="O1194" s="15">
        <f t="shared" si="90"/>
        <v>70419</v>
      </c>
      <c r="P1194" s="15">
        <f t="shared" si="91"/>
        <v>14.727694817417493</v>
      </c>
      <c r="Q1194" s="25">
        <v>8011</v>
      </c>
      <c r="R1194" s="22">
        <v>60</v>
      </c>
      <c r="S1194" s="22" t="s">
        <v>1581</v>
      </c>
      <c r="T1194" s="22">
        <f t="shared" si="92"/>
        <v>1</v>
      </c>
      <c r="U1194" s="22">
        <f t="shared" si="93"/>
        <v>2021</v>
      </c>
      <c r="V1194" s="22" t="str">
        <f t="shared" si="94"/>
        <v>METROPOLITANA</v>
      </c>
    </row>
    <row r="1195" spans="1:22" x14ac:dyDescent="0.2">
      <c r="A1195" s="23" t="s">
        <v>1567</v>
      </c>
      <c r="B1195" s="22" t="s">
        <v>33</v>
      </c>
      <c r="C1195" s="22" t="s">
        <v>44</v>
      </c>
      <c r="D1195" s="22" t="s">
        <v>30</v>
      </c>
      <c r="E1195" s="24" t="s">
        <v>31</v>
      </c>
      <c r="F1195" s="22" t="s">
        <v>53</v>
      </c>
      <c r="G1195" s="25">
        <v>6161.9999999999991</v>
      </c>
      <c r="H1195" s="22" t="s">
        <v>32</v>
      </c>
      <c r="I1195" s="22">
        <v>0</v>
      </c>
      <c r="J1195" s="22" t="s">
        <v>53</v>
      </c>
      <c r="K1195" s="22" t="s">
        <v>23</v>
      </c>
      <c r="L1195" s="22">
        <v>3</v>
      </c>
      <c r="M1195" s="26">
        <v>48075</v>
      </c>
      <c r="N1195" s="26">
        <v>18486</v>
      </c>
      <c r="O1195" s="15">
        <f t="shared" si="90"/>
        <v>66561</v>
      </c>
      <c r="P1195" s="15">
        <f t="shared" si="91"/>
        <v>10.801850048685493</v>
      </c>
      <c r="Q1195" s="25">
        <v>6868</v>
      </c>
      <c r="R1195" s="22">
        <v>90</v>
      </c>
      <c r="S1195" s="22" t="s">
        <v>1582</v>
      </c>
      <c r="T1195" s="22">
        <f t="shared" si="92"/>
        <v>1</v>
      </c>
      <c r="U1195" s="22">
        <f t="shared" si="93"/>
        <v>2021</v>
      </c>
      <c r="V1195" s="22" t="str">
        <f t="shared" si="94"/>
        <v>METROPOLITANA</v>
      </c>
    </row>
    <row r="1196" spans="1:22" x14ac:dyDescent="0.2">
      <c r="A1196" s="23" t="s">
        <v>1567</v>
      </c>
      <c r="B1196" s="22" t="s">
        <v>33</v>
      </c>
      <c r="C1196" s="22" t="s">
        <v>44</v>
      </c>
      <c r="D1196" s="22" t="s">
        <v>45</v>
      </c>
      <c r="E1196" s="24" t="s">
        <v>21</v>
      </c>
      <c r="F1196" s="22" t="s">
        <v>95</v>
      </c>
      <c r="G1196" s="25">
        <v>4086.6</v>
      </c>
      <c r="H1196" s="22" t="s">
        <v>22</v>
      </c>
      <c r="I1196" s="22">
        <v>0</v>
      </c>
      <c r="J1196" s="22" t="s">
        <v>95</v>
      </c>
      <c r="K1196" s="22" t="s">
        <v>23</v>
      </c>
      <c r="L1196" s="22">
        <v>4</v>
      </c>
      <c r="M1196" s="26">
        <v>56075</v>
      </c>
      <c r="N1196" s="26">
        <v>16346</v>
      </c>
      <c r="O1196" s="15">
        <f t="shared" si="90"/>
        <v>72421</v>
      </c>
      <c r="P1196" s="15">
        <f t="shared" si="91"/>
        <v>17.721577839769001</v>
      </c>
      <c r="Q1196" s="25">
        <v>8011</v>
      </c>
      <c r="R1196" s="22">
        <v>51</v>
      </c>
      <c r="S1196" s="22" t="s">
        <v>1583</v>
      </c>
      <c r="T1196" s="22">
        <f t="shared" si="92"/>
        <v>1</v>
      </c>
      <c r="U1196" s="22">
        <f t="shared" si="93"/>
        <v>2021</v>
      </c>
      <c r="V1196" s="22" t="str">
        <f t="shared" si="94"/>
        <v>METROPOLITANA</v>
      </c>
    </row>
    <row r="1197" spans="1:22" x14ac:dyDescent="0.2">
      <c r="A1197" s="23" t="s">
        <v>1567</v>
      </c>
      <c r="B1197" s="22" t="s">
        <v>33</v>
      </c>
      <c r="C1197" s="22" t="s">
        <v>44</v>
      </c>
      <c r="D1197" s="22" t="s">
        <v>47</v>
      </c>
      <c r="E1197" s="24" t="s">
        <v>1576</v>
      </c>
      <c r="F1197" s="22" t="s">
        <v>48</v>
      </c>
      <c r="G1197" s="25">
        <v>6246.9999999999991</v>
      </c>
      <c r="H1197" s="22" t="s">
        <v>22</v>
      </c>
      <c r="I1197" s="22">
        <v>0</v>
      </c>
      <c r="J1197" s="22" t="s">
        <v>48</v>
      </c>
      <c r="K1197" s="22" t="s">
        <v>23</v>
      </c>
      <c r="L1197" s="22">
        <v>1</v>
      </c>
      <c r="M1197" s="26">
        <v>43729</v>
      </c>
      <c r="N1197" s="26">
        <v>24988</v>
      </c>
      <c r="O1197" s="15">
        <f t="shared" si="90"/>
        <v>68717</v>
      </c>
      <c r="P1197" s="15">
        <f t="shared" si="91"/>
        <v>11.000000000000002</v>
      </c>
      <c r="Q1197" s="25">
        <v>4821</v>
      </c>
      <c r="R1197" s="22">
        <v>100</v>
      </c>
      <c r="S1197" s="22" t="s">
        <v>1584</v>
      </c>
      <c r="T1197" s="22">
        <f t="shared" si="92"/>
        <v>1</v>
      </c>
      <c r="U1197" s="22">
        <f t="shared" si="93"/>
        <v>2021</v>
      </c>
      <c r="V1197" s="22" t="str">
        <f t="shared" si="94"/>
        <v>METROPOLITANA</v>
      </c>
    </row>
    <row r="1198" spans="1:22" x14ac:dyDescent="0.2">
      <c r="A1198" s="23" t="s">
        <v>1567</v>
      </c>
      <c r="B1198" s="22" t="s">
        <v>33</v>
      </c>
      <c r="C1198" s="22" t="s">
        <v>44</v>
      </c>
      <c r="D1198" s="22" t="s">
        <v>35</v>
      </c>
      <c r="E1198" s="24" t="s">
        <v>49</v>
      </c>
      <c r="F1198" s="22" t="s">
        <v>229</v>
      </c>
      <c r="G1198" s="25">
        <v>3201.2</v>
      </c>
      <c r="H1198" s="22" t="s">
        <v>22</v>
      </c>
      <c r="I1198" s="22">
        <v>0</v>
      </c>
      <c r="J1198" s="22" t="s">
        <v>230</v>
      </c>
      <c r="K1198" s="22" t="s">
        <v>23</v>
      </c>
      <c r="L1198" s="22">
        <v>4</v>
      </c>
      <c r="M1198" s="26">
        <v>56075</v>
      </c>
      <c r="N1198" s="26">
        <v>12805</v>
      </c>
      <c r="O1198" s="15">
        <f t="shared" si="90"/>
        <v>68880</v>
      </c>
      <c r="P1198" s="15">
        <f t="shared" si="91"/>
        <v>21.516931150818444</v>
      </c>
      <c r="Q1198" s="25">
        <v>8011</v>
      </c>
      <c r="R1198" s="22">
        <v>40</v>
      </c>
      <c r="S1198" s="22" t="s">
        <v>1585</v>
      </c>
      <c r="T1198" s="22">
        <f t="shared" si="92"/>
        <v>1</v>
      </c>
      <c r="U1198" s="22">
        <f t="shared" si="93"/>
        <v>2021</v>
      </c>
      <c r="V1198" s="22" t="str">
        <f t="shared" si="94"/>
        <v>METROPOLITANA</v>
      </c>
    </row>
    <row r="1199" spans="1:22" x14ac:dyDescent="0.2">
      <c r="A1199" s="23" t="s">
        <v>1567</v>
      </c>
      <c r="B1199" s="22" t="s">
        <v>33</v>
      </c>
      <c r="C1199" s="22" t="s">
        <v>44</v>
      </c>
      <c r="D1199" s="22" t="s">
        <v>20</v>
      </c>
      <c r="E1199" s="24" t="s">
        <v>21</v>
      </c>
      <c r="F1199" s="22" t="s">
        <v>95</v>
      </c>
      <c r="G1199" s="25">
        <v>1865.8</v>
      </c>
      <c r="H1199" s="22" t="s">
        <v>22</v>
      </c>
      <c r="I1199" s="22">
        <v>0</v>
      </c>
      <c r="J1199" s="22" t="s">
        <v>95</v>
      </c>
      <c r="K1199" s="22" t="s">
        <v>23</v>
      </c>
      <c r="L1199" s="22">
        <v>4</v>
      </c>
      <c r="M1199" s="26">
        <v>56075</v>
      </c>
      <c r="N1199" s="26">
        <v>12000</v>
      </c>
      <c r="O1199" s="15">
        <f t="shared" si="90"/>
        <v>68075</v>
      </c>
      <c r="P1199" s="15">
        <f t="shared" si="91"/>
        <v>36.485689784542828</v>
      </c>
      <c r="Q1199" s="25">
        <v>8011</v>
      </c>
      <c r="R1199" s="22">
        <v>23</v>
      </c>
      <c r="S1199" s="22" t="s">
        <v>1586</v>
      </c>
      <c r="T1199" s="22">
        <f t="shared" si="92"/>
        <v>1</v>
      </c>
      <c r="U1199" s="22">
        <f t="shared" si="93"/>
        <v>2021</v>
      </c>
      <c r="V1199" s="22" t="str">
        <f t="shared" si="94"/>
        <v>METROPOLITANA</v>
      </c>
    </row>
    <row r="1200" spans="1:22" x14ac:dyDescent="0.2">
      <c r="A1200" s="11" t="s">
        <v>1587</v>
      </c>
      <c r="B1200" s="12" t="s">
        <v>54</v>
      </c>
      <c r="C1200" s="12" t="s">
        <v>55</v>
      </c>
      <c r="D1200" s="12" t="s">
        <v>1588</v>
      </c>
      <c r="E1200" s="13" t="s">
        <v>1589</v>
      </c>
      <c r="F1200" s="12" t="s">
        <v>66</v>
      </c>
      <c r="G1200" s="14">
        <v>14484.000000000009</v>
      </c>
      <c r="H1200" s="12" t="s">
        <v>24</v>
      </c>
      <c r="I1200" s="12">
        <v>1</v>
      </c>
      <c r="J1200" s="12" t="s">
        <v>66</v>
      </c>
      <c r="K1200" s="12" t="s">
        <v>75</v>
      </c>
      <c r="L1200" s="12">
        <v>0</v>
      </c>
      <c r="M1200" s="15">
        <v>380000</v>
      </c>
      <c r="N1200" s="15">
        <v>0</v>
      </c>
      <c r="O1200" s="15">
        <f t="shared" si="90"/>
        <v>380000</v>
      </c>
      <c r="P1200" s="15">
        <f t="shared" si="91"/>
        <v>26.235846451256542</v>
      </c>
      <c r="Q1200" s="14">
        <v>25000</v>
      </c>
      <c r="R1200" s="12">
        <v>58</v>
      </c>
      <c r="S1200" s="12" t="s">
        <v>1590</v>
      </c>
      <c r="T1200" s="22">
        <f t="shared" si="92"/>
        <v>1</v>
      </c>
      <c r="U1200" s="22">
        <f t="shared" si="93"/>
        <v>2021</v>
      </c>
      <c r="V1200" s="22" t="str">
        <f t="shared" si="94"/>
        <v>REGIONES</v>
      </c>
    </row>
    <row r="1201" spans="1:22" x14ac:dyDescent="0.2">
      <c r="A1201" s="11" t="s">
        <v>1587</v>
      </c>
      <c r="B1201" s="12" t="s">
        <v>18</v>
      </c>
      <c r="C1201" s="12" t="s">
        <v>71</v>
      </c>
      <c r="D1201" s="12" t="s">
        <v>37</v>
      </c>
      <c r="E1201" s="13" t="s">
        <v>40</v>
      </c>
      <c r="F1201" s="12" t="s">
        <v>72</v>
      </c>
      <c r="G1201" s="14">
        <v>14990.14000000001</v>
      </c>
      <c r="H1201" s="12" t="s">
        <v>22</v>
      </c>
      <c r="I1201" s="12">
        <v>0</v>
      </c>
      <c r="J1201" s="12" t="s">
        <v>72</v>
      </c>
      <c r="K1201" s="12" t="s">
        <v>23</v>
      </c>
      <c r="L1201" s="12">
        <v>5</v>
      </c>
      <c r="M1201" s="15">
        <v>90000</v>
      </c>
      <c r="N1201" s="15">
        <f>G1201*4</f>
        <v>59960.560000000041</v>
      </c>
      <c r="O1201" s="15">
        <f t="shared" si="90"/>
        <v>149960.56000000006</v>
      </c>
      <c r="P1201" s="15">
        <f t="shared" si="91"/>
        <v>10.003946594227935</v>
      </c>
      <c r="Q1201" s="14">
        <v>12000</v>
      </c>
      <c r="R1201" s="12">
        <v>100</v>
      </c>
      <c r="S1201" s="12" t="s">
        <v>1591</v>
      </c>
      <c r="T1201" s="22">
        <f t="shared" si="92"/>
        <v>1</v>
      </c>
      <c r="U1201" s="22">
        <f t="shared" si="93"/>
        <v>2021</v>
      </c>
      <c r="V1201" s="22" t="str">
        <f t="shared" si="94"/>
        <v>METROPOLITANA</v>
      </c>
    </row>
    <row r="1202" spans="1:22" x14ac:dyDescent="0.2">
      <c r="A1202" s="11" t="s">
        <v>1587</v>
      </c>
      <c r="B1202" s="12" t="s">
        <v>18</v>
      </c>
      <c r="C1202" s="12" t="s">
        <v>57</v>
      </c>
      <c r="D1202" s="12" t="s">
        <v>636</v>
      </c>
      <c r="E1202" s="13" t="s">
        <v>639</v>
      </c>
      <c r="F1202" s="12" t="s">
        <v>458</v>
      </c>
      <c r="G1202" s="14">
        <v>9099.43</v>
      </c>
      <c r="H1202" s="12" t="s">
        <v>85</v>
      </c>
      <c r="I1202" s="12">
        <v>1</v>
      </c>
      <c r="J1202" s="12" t="s">
        <v>458</v>
      </c>
      <c r="K1202" s="12" t="s">
        <v>75</v>
      </c>
      <c r="L1202" s="12">
        <v>0</v>
      </c>
      <c r="M1202" s="15">
        <v>380000</v>
      </c>
      <c r="N1202" s="15">
        <v>0</v>
      </c>
      <c r="O1202" s="15">
        <f t="shared" si="90"/>
        <v>380000</v>
      </c>
      <c r="P1202" s="15">
        <f t="shared" si="91"/>
        <v>41.760857548220052</v>
      </c>
      <c r="Q1202" s="14">
        <v>25000</v>
      </c>
      <c r="R1202" s="12">
        <v>36</v>
      </c>
      <c r="S1202" s="12" t="s">
        <v>1592</v>
      </c>
      <c r="T1202" s="22">
        <f t="shared" si="92"/>
        <v>1</v>
      </c>
      <c r="U1202" s="22">
        <f t="shared" si="93"/>
        <v>2021</v>
      </c>
      <c r="V1202" s="22" t="str">
        <f t="shared" si="94"/>
        <v>REGIONES</v>
      </c>
    </row>
    <row r="1203" spans="1:22" x14ac:dyDescent="0.2">
      <c r="A1203" s="11" t="s">
        <v>1587</v>
      </c>
      <c r="B1203" s="12" t="s">
        <v>18</v>
      </c>
      <c r="C1203" s="12" t="s">
        <v>44</v>
      </c>
      <c r="D1203" s="12" t="s">
        <v>27</v>
      </c>
      <c r="E1203" s="13" t="s">
        <v>28</v>
      </c>
      <c r="F1203" s="12" t="s">
        <v>39</v>
      </c>
      <c r="G1203" s="14">
        <v>9452.5400000000009</v>
      </c>
      <c r="H1203" s="12" t="s">
        <v>22</v>
      </c>
      <c r="I1203" s="12">
        <v>1</v>
      </c>
      <c r="J1203" s="12" t="s">
        <v>39</v>
      </c>
      <c r="K1203" s="12" t="s">
        <v>23</v>
      </c>
      <c r="L1203" s="12">
        <v>1</v>
      </c>
      <c r="M1203" s="15">
        <v>66168</v>
      </c>
      <c r="N1203" s="15">
        <v>37810</v>
      </c>
      <c r="O1203" s="15">
        <f t="shared" si="90"/>
        <v>103978</v>
      </c>
      <c r="P1203" s="15">
        <f t="shared" si="91"/>
        <v>11.000006347500248</v>
      </c>
      <c r="Q1203" s="14">
        <v>4821</v>
      </c>
      <c r="R1203" s="12">
        <v>100</v>
      </c>
      <c r="S1203" s="12" t="s">
        <v>1593</v>
      </c>
      <c r="T1203" s="22">
        <f t="shared" si="92"/>
        <v>1</v>
      </c>
      <c r="U1203" s="22">
        <f t="shared" si="93"/>
        <v>2021</v>
      </c>
      <c r="V1203" s="22" t="str">
        <f t="shared" si="94"/>
        <v>METROPOLITANA</v>
      </c>
    </row>
    <row r="1204" spans="1:22" x14ac:dyDescent="0.2">
      <c r="A1204" s="11" t="s">
        <v>1587</v>
      </c>
      <c r="B1204" s="12" t="s">
        <v>18</v>
      </c>
      <c r="C1204" s="12" t="s">
        <v>508</v>
      </c>
      <c r="D1204" s="12" t="s">
        <v>188</v>
      </c>
      <c r="E1204" s="13" t="s">
        <v>189</v>
      </c>
      <c r="F1204" s="12" t="s">
        <v>800</v>
      </c>
      <c r="G1204" s="14">
        <v>3609.01</v>
      </c>
      <c r="H1204" s="12" t="s">
        <v>190</v>
      </c>
      <c r="I1204" s="12">
        <v>0</v>
      </c>
      <c r="J1204" s="12" t="s">
        <v>800</v>
      </c>
      <c r="K1204" s="12" t="s">
        <v>23</v>
      </c>
      <c r="L1204" s="12">
        <v>5</v>
      </c>
      <c r="M1204" s="15">
        <v>90000</v>
      </c>
      <c r="N1204" s="15">
        <f>G1204*4</f>
        <v>14436.04</v>
      </c>
      <c r="O1204" s="15">
        <f t="shared" si="90"/>
        <v>104436.04000000001</v>
      </c>
      <c r="P1204" s="15">
        <f t="shared" si="91"/>
        <v>28.937586762020612</v>
      </c>
      <c r="Q1204" s="14">
        <v>12000</v>
      </c>
      <c r="R1204" s="12">
        <v>30</v>
      </c>
      <c r="S1204" s="12" t="s">
        <v>1594</v>
      </c>
      <c r="T1204" s="22">
        <f t="shared" si="92"/>
        <v>1</v>
      </c>
      <c r="U1204" s="22">
        <f t="shared" si="93"/>
        <v>2021</v>
      </c>
      <c r="V1204" s="22" t="str">
        <f t="shared" si="94"/>
        <v>METROPOLITANA</v>
      </c>
    </row>
    <row r="1205" spans="1:22" x14ac:dyDescent="0.2">
      <c r="A1205" s="11" t="s">
        <v>1587</v>
      </c>
      <c r="B1205" s="12" t="s">
        <v>33</v>
      </c>
      <c r="C1205" s="12" t="s">
        <v>163</v>
      </c>
      <c r="D1205" s="12" t="s">
        <v>30</v>
      </c>
      <c r="E1205" s="13" t="s">
        <v>31</v>
      </c>
      <c r="F1205" s="12" t="s">
        <v>165</v>
      </c>
      <c r="G1205" s="14">
        <v>17409.75</v>
      </c>
      <c r="H1205" s="12" t="s">
        <v>32</v>
      </c>
      <c r="I1205" s="12">
        <v>0</v>
      </c>
      <c r="J1205" s="12" t="s">
        <v>165</v>
      </c>
      <c r="K1205" s="12" t="s">
        <v>23</v>
      </c>
      <c r="L1205" s="12">
        <v>4</v>
      </c>
      <c r="M1205" s="15">
        <v>121868</v>
      </c>
      <c r="N1205" s="15">
        <f>G1205*3</f>
        <v>52229.25</v>
      </c>
      <c r="O1205" s="15">
        <f t="shared" si="90"/>
        <v>174097.25</v>
      </c>
      <c r="P1205" s="15">
        <f t="shared" si="91"/>
        <v>9.9999856402303315</v>
      </c>
      <c r="Q1205" s="14">
        <v>8011</v>
      </c>
      <c r="R1205" s="12">
        <v>100</v>
      </c>
      <c r="S1205" s="12" t="s">
        <v>1595</v>
      </c>
      <c r="T1205" s="22">
        <f t="shared" si="92"/>
        <v>1</v>
      </c>
      <c r="U1205" s="22">
        <f t="shared" si="93"/>
        <v>2021</v>
      </c>
      <c r="V1205" s="22" t="str">
        <f t="shared" si="94"/>
        <v>METROPOLITANA</v>
      </c>
    </row>
    <row r="1206" spans="1:22" x14ac:dyDescent="0.2">
      <c r="A1206" s="11" t="s">
        <v>1587</v>
      </c>
      <c r="B1206" s="12" t="s">
        <v>33</v>
      </c>
      <c r="C1206" s="12" t="s">
        <v>163</v>
      </c>
      <c r="D1206" s="12" t="s">
        <v>20</v>
      </c>
      <c r="E1206" s="13" t="s">
        <v>21</v>
      </c>
      <c r="F1206" s="12" t="s">
        <v>165</v>
      </c>
      <c r="G1206" s="14">
        <v>10952.2</v>
      </c>
      <c r="H1206" s="12" t="s">
        <v>22</v>
      </c>
      <c r="I1206" s="12">
        <v>0</v>
      </c>
      <c r="J1206" s="12" t="s">
        <v>165</v>
      </c>
      <c r="K1206" s="12" t="s">
        <v>23</v>
      </c>
      <c r="L1206" s="12">
        <v>4</v>
      </c>
      <c r="M1206" s="15">
        <v>76665</v>
      </c>
      <c r="N1206" s="15">
        <f>G1206*4</f>
        <v>43808.800000000003</v>
      </c>
      <c r="O1206" s="15">
        <f t="shared" si="90"/>
        <v>120473.8</v>
      </c>
      <c r="P1206" s="15">
        <f t="shared" si="91"/>
        <v>10.999963477657456</v>
      </c>
      <c r="Q1206" s="14">
        <v>8011</v>
      </c>
      <c r="R1206" s="12">
        <v>100</v>
      </c>
      <c r="S1206" s="12" t="s">
        <v>1596</v>
      </c>
      <c r="T1206" s="22">
        <f t="shared" si="92"/>
        <v>1</v>
      </c>
      <c r="U1206" s="22">
        <f t="shared" si="93"/>
        <v>2021</v>
      </c>
      <c r="V1206" s="22" t="str">
        <f t="shared" si="94"/>
        <v>METROPOLITANA</v>
      </c>
    </row>
    <row r="1207" spans="1:22" x14ac:dyDescent="0.2">
      <c r="A1207" s="11" t="s">
        <v>1587</v>
      </c>
      <c r="B1207" s="12" t="s">
        <v>33</v>
      </c>
      <c r="C1207" s="12" t="s">
        <v>128</v>
      </c>
      <c r="D1207" s="12" t="s">
        <v>63</v>
      </c>
      <c r="E1207" s="13" t="s">
        <v>64</v>
      </c>
      <c r="F1207" s="12" t="s">
        <v>34</v>
      </c>
      <c r="G1207" s="14">
        <v>5124.0000000000018</v>
      </c>
      <c r="H1207" s="12" t="s">
        <v>65</v>
      </c>
      <c r="I1207" s="12">
        <v>0</v>
      </c>
      <c r="J1207" s="12" t="s">
        <v>34</v>
      </c>
      <c r="K1207" s="12" t="s">
        <v>23</v>
      </c>
      <c r="L1207" s="12">
        <v>1</v>
      </c>
      <c r="M1207" s="15">
        <v>35868</v>
      </c>
      <c r="N1207" s="15">
        <v>15372</v>
      </c>
      <c r="O1207" s="15">
        <f t="shared" si="90"/>
        <v>51240</v>
      </c>
      <c r="P1207" s="15">
        <f t="shared" si="91"/>
        <v>9.9999999999999964</v>
      </c>
      <c r="Q1207" s="14">
        <v>4821</v>
      </c>
      <c r="R1207" s="12">
        <v>100</v>
      </c>
      <c r="S1207" s="12" t="s">
        <v>1597</v>
      </c>
      <c r="T1207" s="22">
        <f t="shared" si="92"/>
        <v>1</v>
      </c>
      <c r="U1207" s="22">
        <f t="shared" si="93"/>
        <v>2021</v>
      </c>
      <c r="V1207" s="22" t="str">
        <f t="shared" si="94"/>
        <v>METROPOLITANA</v>
      </c>
    </row>
    <row r="1208" spans="1:22" x14ac:dyDescent="0.2">
      <c r="A1208" s="11" t="s">
        <v>1587</v>
      </c>
      <c r="B1208" s="12" t="s">
        <v>33</v>
      </c>
      <c r="C1208" s="12" t="s">
        <v>128</v>
      </c>
      <c r="D1208" s="12" t="s">
        <v>41</v>
      </c>
      <c r="E1208" s="13" t="s">
        <v>25</v>
      </c>
      <c r="F1208" s="12" t="s">
        <v>34</v>
      </c>
      <c r="G1208" s="14">
        <v>2962.7999999999988</v>
      </c>
      <c r="H1208" s="12" t="s">
        <v>43</v>
      </c>
      <c r="I1208" s="12">
        <v>0</v>
      </c>
      <c r="J1208" s="12" t="s">
        <v>34</v>
      </c>
      <c r="K1208" s="12" t="s">
        <v>23</v>
      </c>
      <c r="L1208" s="12">
        <v>1</v>
      </c>
      <c r="M1208" s="15">
        <v>33750</v>
      </c>
      <c r="N1208" s="15">
        <v>8888</v>
      </c>
      <c r="O1208" s="15">
        <f t="shared" si="90"/>
        <v>42638</v>
      </c>
      <c r="P1208" s="15">
        <f t="shared" si="91"/>
        <v>14.391116511408134</v>
      </c>
      <c r="Q1208" s="14">
        <v>4821</v>
      </c>
      <c r="R1208" s="12">
        <v>61</v>
      </c>
      <c r="S1208" s="12" t="s">
        <v>1598</v>
      </c>
      <c r="T1208" s="22">
        <f t="shared" si="92"/>
        <v>1</v>
      </c>
      <c r="U1208" s="22">
        <f t="shared" si="93"/>
        <v>2021</v>
      </c>
      <c r="V1208" s="22" t="str">
        <f t="shared" si="94"/>
        <v>METROPOLITANA</v>
      </c>
    </row>
    <row r="1209" spans="1:22" x14ac:dyDescent="0.2">
      <c r="A1209" s="11" t="s">
        <v>1587</v>
      </c>
      <c r="B1209" s="12" t="s">
        <v>33</v>
      </c>
      <c r="C1209" s="12" t="s">
        <v>29</v>
      </c>
      <c r="D1209" s="12" t="s">
        <v>35</v>
      </c>
      <c r="E1209" s="13" t="s">
        <v>49</v>
      </c>
      <c r="F1209" s="12" t="s">
        <v>134</v>
      </c>
      <c r="G1209" s="14">
        <v>6753.5999999999995</v>
      </c>
      <c r="H1209" s="12" t="s">
        <v>22</v>
      </c>
      <c r="I1209" s="12">
        <v>0</v>
      </c>
      <c r="J1209" s="12" t="s">
        <v>134</v>
      </c>
      <c r="K1209" s="12" t="s">
        <v>23</v>
      </c>
      <c r="L1209" s="12">
        <v>2</v>
      </c>
      <c r="M1209" s="15">
        <v>47275</v>
      </c>
      <c r="N1209" s="15">
        <v>27014</v>
      </c>
      <c r="O1209" s="15">
        <f t="shared" si="90"/>
        <v>74289</v>
      </c>
      <c r="P1209" s="15">
        <f t="shared" si="91"/>
        <v>10.99991115849325</v>
      </c>
      <c r="Q1209" s="14">
        <v>5782</v>
      </c>
      <c r="R1209" s="12">
        <v>100</v>
      </c>
      <c r="S1209" s="12" t="s">
        <v>1599</v>
      </c>
      <c r="T1209" s="22">
        <f t="shared" si="92"/>
        <v>1</v>
      </c>
      <c r="U1209" s="22">
        <f t="shared" si="93"/>
        <v>2021</v>
      </c>
      <c r="V1209" s="22" t="str">
        <f t="shared" si="94"/>
        <v>METROPOLITANA</v>
      </c>
    </row>
    <row r="1210" spans="1:22" x14ac:dyDescent="0.2">
      <c r="A1210" s="11" t="s">
        <v>1587</v>
      </c>
      <c r="B1210" s="12" t="s">
        <v>33</v>
      </c>
      <c r="C1210" s="12" t="s">
        <v>403</v>
      </c>
      <c r="D1210" s="12" t="s">
        <v>38</v>
      </c>
      <c r="E1210" s="13" t="s">
        <v>42</v>
      </c>
      <c r="F1210" s="12" t="s">
        <v>129</v>
      </c>
      <c r="G1210" s="14">
        <v>12489.6</v>
      </c>
      <c r="H1210" s="12" t="s">
        <v>43</v>
      </c>
      <c r="I1210" s="12">
        <v>0</v>
      </c>
      <c r="J1210" s="12" t="s">
        <v>129</v>
      </c>
      <c r="K1210" s="12" t="s">
        <v>23</v>
      </c>
      <c r="L1210" s="12">
        <v>1</v>
      </c>
      <c r="M1210" s="15">
        <v>87427</v>
      </c>
      <c r="N1210" s="15">
        <f>G1210*3</f>
        <v>37468.800000000003</v>
      </c>
      <c r="O1210" s="15">
        <f t="shared" si="90"/>
        <v>124895.8</v>
      </c>
      <c r="P1210" s="15">
        <f t="shared" si="91"/>
        <v>9.9999839866769147</v>
      </c>
      <c r="Q1210" s="14">
        <v>4821</v>
      </c>
      <c r="R1210" s="12">
        <v>100</v>
      </c>
      <c r="S1210" s="12" t="s">
        <v>1600</v>
      </c>
      <c r="T1210" s="22">
        <f t="shared" si="92"/>
        <v>1</v>
      </c>
      <c r="U1210" s="22">
        <f t="shared" si="93"/>
        <v>2021</v>
      </c>
      <c r="V1210" s="22" t="str">
        <f t="shared" si="94"/>
        <v>METROPOLITANA</v>
      </c>
    </row>
    <row r="1211" spans="1:22" x14ac:dyDescent="0.2">
      <c r="A1211" s="23" t="s">
        <v>1601</v>
      </c>
      <c r="B1211" s="22" t="s">
        <v>54</v>
      </c>
      <c r="C1211" s="22" t="s">
        <v>55</v>
      </c>
      <c r="D1211" s="22" t="s">
        <v>130</v>
      </c>
      <c r="E1211" s="24" t="s">
        <v>131</v>
      </c>
      <c r="F1211" s="22" t="s">
        <v>66</v>
      </c>
      <c r="G1211" s="25">
        <v>14579.599999999989</v>
      </c>
      <c r="H1211" s="22" t="s">
        <v>85</v>
      </c>
      <c r="I1211" s="22">
        <v>1</v>
      </c>
      <c r="J1211" s="22" t="s">
        <v>66</v>
      </c>
      <c r="K1211" s="22" t="s">
        <v>75</v>
      </c>
      <c r="L1211" s="22">
        <v>0</v>
      </c>
      <c r="M1211" s="26">
        <v>380000</v>
      </c>
      <c r="N1211" s="26">
        <v>0</v>
      </c>
      <c r="O1211" s="15">
        <f t="shared" si="90"/>
        <v>380000</v>
      </c>
      <c r="P1211" s="15">
        <f t="shared" si="91"/>
        <v>26.063815193832497</v>
      </c>
      <c r="Q1211" s="25">
        <v>25000</v>
      </c>
      <c r="R1211" s="22">
        <v>58</v>
      </c>
      <c r="S1211" s="22" t="s">
        <v>1602</v>
      </c>
      <c r="T1211" s="22">
        <f t="shared" si="92"/>
        <v>2</v>
      </c>
      <c r="U1211" s="22">
        <f t="shared" si="93"/>
        <v>2021</v>
      </c>
      <c r="V1211" s="22" t="str">
        <f t="shared" si="94"/>
        <v>REGIONES</v>
      </c>
    </row>
    <row r="1212" spans="1:22" x14ac:dyDescent="0.2">
      <c r="A1212" s="23" t="s">
        <v>1601</v>
      </c>
      <c r="B1212" s="22" t="s">
        <v>18</v>
      </c>
      <c r="C1212" s="22" t="s">
        <v>71</v>
      </c>
      <c r="D1212" s="22" t="s">
        <v>63</v>
      </c>
      <c r="E1212" s="24" t="s">
        <v>64</v>
      </c>
      <c r="F1212" s="22" t="s">
        <v>72</v>
      </c>
      <c r="G1212" s="25">
        <v>9678.4400000000023</v>
      </c>
      <c r="H1212" s="22" t="s">
        <v>65</v>
      </c>
      <c r="I1212" s="22">
        <v>0</v>
      </c>
      <c r="J1212" s="22" t="s">
        <v>72</v>
      </c>
      <c r="K1212" s="22" t="s">
        <v>23</v>
      </c>
      <c r="L1212" s="22">
        <v>5</v>
      </c>
      <c r="M1212" s="26">
        <v>90000</v>
      </c>
      <c r="N1212" s="26">
        <f>G1212*3</f>
        <v>29035.320000000007</v>
      </c>
      <c r="O1212" s="15">
        <f t="shared" si="90"/>
        <v>119035.32</v>
      </c>
      <c r="P1212" s="15">
        <f t="shared" si="91"/>
        <v>12.299019263435014</v>
      </c>
      <c r="Q1212" s="25">
        <v>12000</v>
      </c>
      <c r="R1212" s="22">
        <v>81</v>
      </c>
      <c r="S1212" s="22" t="s">
        <v>1603</v>
      </c>
      <c r="T1212" s="22">
        <f t="shared" si="92"/>
        <v>2</v>
      </c>
      <c r="U1212" s="22">
        <f t="shared" si="93"/>
        <v>2021</v>
      </c>
      <c r="V1212" s="22" t="str">
        <f t="shared" si="94"/>
        <v>METROPOLITANA</v>
      </c>
    </row>
    <row r="1213" spans="1:22" x14ac:dyDescent="0.2">
      <c r="A1213" s="23" t="s">
        <v>1601</v>
      </c>
      <c r="B1213" s="22" t="s">
        <v>18</v>
      </c>
      <c r="C1213" s="22" t="s">
        <v>71</v>
      </c>
      <c r="D1213" s="22" t="s">
        <v>41</v>
      </c>
      <c r="E1213" s="24" t="s">
        <v>25</v>
      </c>
      <c r="F1213" s="22" t="s">
        <v>72</v>
      </c>
      <c r="G1213" s="25">
        <v>9643.6799999999967</v>
      </c>
      <c r="H1213" s="22" t="s">
        <v>43</v>
      </c>
      <c r="I1213" s="22">
        <v>0</v>
      </c>
      <c r="J1213" s="22" t="s">
        <v>72</v>
      </c>
      <c r="K1213" s="22" t="s">
        <v>23</v>
      </c>
      <c r="L1213" s="22">
        <v>5</v>
      </c>
      <c r="M1213" s="26">
        <v>90000</v>
      </c>
      <c r="N1213" s="26">
        <f>G1213*3</f>
        <v>28931.03999999999</v>
      </c>
      <c r="O1213" s="15">
        <f t="shared" si="90"/>
        <v>118931.04</v>
      </c>
      <c r="P1213" s="15">
        <f t="shared" si="91"/>
        <v>12.332536956846353</v>
      </c>
      <c r="Q1213" s="25">
        <v>12000</v>
      </c>
      <c r="R1213" s="22">
        <v>80</v>
      </c>
      <c r="S1213" s="22" t="s">
        <v>1604</v>
      </c>
      <c r="T1213" s="22">
        <f t="shared" si="92"/>
        <v>2</v>
      </c>
      <c r="U1213" s="22">
        <f t="shared" si="93"/>
        <v>2021</v>
      </c>
      <c r="V1213" s="22" t="str">
        <f t="shared" si="94"/>
        <v>METROPOLITANA</v>
      </c>
    </row>
    <row r="1214" spans="1:22" x14ac:dyDescent="0.2">
      <c r="A1214" s="23" t="s">
        <v>1601</v>
      </c>
      <c r="B1214" s="22" t="s">
        <v>18</v>
      </c>
      <c r="C1214" s="22" t="s">
        <v>508</v>
      </c>
      <c r="D1214" s="22" t="s">
        <v>188</v>
      </c>
      <c r="E1214" s="24" t="s">
        <v>189</v>
      </c>
      <c r="F1214" s="22" t="s">
        <v>800</v>
      </c>
      <c r="G1214" s="25">
        <v>1338.19</v>
      </c>
      <c r="H1214" s="22" t="s">
        <v>190</v>
      </c>
      <c r="I1214" s="22">
        <v>0</v>
      </c>
      <c r="J1214" s="22" t="s">
        <v>800</v>
      </c>
      <c r="K1214" s="22" t="s">
        <v>23</v>
      </c>
      <c r="L1214" s="22">
        <v>5</v>
      </c>
      <c r="M1214" s="26">
        <v>90000</v>
      </c>
      <c r="N1214" s="26">
        <f>G1214*3</f>
        <v>4014.57</v>
      </c>
      <c r="O1214" s="15">
        <f t="shared" si="90"/>
        <v>94014.57</v>
      </c>
      <c r="P1214" s="15">
        <f t="shared" si="91"/>
        <v>70.25502357662215</v>
      </c>
      <c r="Q1214" s="25">
        <v>12000</v>
      </c>
      <c r="R1214" s="22">
        <v>11</v>
      </c>
      <c r="S1214" s="22" t="s">
        <v>1605</v>
      </c>
      <c r="T1214" s="22">
        <f t="shared" si="92"/>
        <v>2</v>
      </c>
      <c r="U1214" s="22">
        <f t="shared" si="93"/>
        <v>2021</v>
      </c>
      <c r="V1214" s="22" t="str">
        <f t="shared" si="94"/>
        <v>METROPOLITANA</v>
      </c>
    </row>
    <row r="1215" spans="1:22" x14ac:dyDescent="0.2">
      <c r="A1215" s="23" t="s">
        <v>1601</v>
      </c>
      <c r="B1215" s="22" t="s">
        <v>33</v>
      </c>
      <c r="C1215" s="22" t="s">
        <v>270</v>
      </c>
      <c r="D1215" s="22" t="s">
        <v>164</v>
      </c>
      <c r="E1215" s="24" t="s">
        <v>28</v>
      </c>
      <c r="F1215" s="22" t="s">
        <v>120</v>
      </c>
      <c r="G1215" s="25">
        <v>18284</v>
      </c>
      <c r="H1215" s="22" t="s">
        <v>22</v>
      </c>
      <c r="I1215" s="22">
        <v>1</v>
      </c>
      <c r="J1215" s="22" t="s">
        <v>120</v>
      </c>
      <c r="K1215" s="22" t="s">
        <v>23</v>
      </c>
      <c r="L1215" s="22">
        <v>5</v>
      </c>
      <c r="M1215" s="26">
        <v>120000</v>
      </c>
      <c r="N1215" s="26">
        <f>G1215*4</f>
        <v>73136</v>
      </c>
      <c r="O1215" s="15">
        <f t="shared" si="90"/>
        <v>193136</v>
      </c>
      <c r="P1215" s="15">
        <f t="shared" si="91"/>
        <v>10.563115292058631</v>
      </c>
      <c r="Q1215" s="25">
        <v>12000</v>
      </c>
      <c r="R1215" s="22">
        <v>100</v>
      </c>
      <c r="S1215" s="22" t="s">
        <v>1606</v>
      </c>
      <c r="T1215" s="22">
        <f t="shared" si="92"/>
        <v>2</v>
      </c>
      <c r="U1215" s="22">
        <f t="shared" si="93"/>
        <v>2021</v>
      </c>
      <c r="V1215" s="22" t="str">
        <f t="shared" si="94"/>
        <v>METROPOLITANA</v>
      </c>
    </row>
    <row r="1216" spans="1:22" x14ac:dyDescent="0.2">
      <c r="A1216" s="23" t="s">
        <v>1601</v>
      </c>
      <c r="B1216" s="22" t="s">
        <v>33</v>
      </c>
      <c r="C1216" s="22" t="s">
        <v>36</v>
      </c>
      <c r="D1216" s="22" t="s">
        <v>47</v>
      </c>
      <c r="E1216" s="24" t="s">
        <v>1576</v>
      </c>
      <c r="F1216" s="22" t="s">
        <v>376</v>
      </c>
      <c r="G1216" s="25">
        <v>7503.9999999999973</v>
      </c>
      <c r="H1216" s="22" t="s">
        <v>22</v>
      </c>
      <c r="I1216" s="22">
        <v>0</v>
      </c>
      <c r="J1216" s="22" t="s">
        <v>377</v>
      </c>
      <c r="K1216" s="22" t="s">
        <v>23</v>
      </c>
      <c r="L1216" s="22">
        <v>4</v>
      </c>
      <c r="M1216" s="26">
        <v>56075</v>
      </c>
      <c r="N1216" s="26">
        <f>G1216*4</f>
        <v>30015.999999999989</v>
      </c>
      <c r="O1216" s="15">
        <f t="shared" si="90"/>
        <v>86090.999999999985</v>
      </c>
      <c r="P1216" s="15">
        <f t="shared" si="91"/>
        <v>11.472681236673775</v>
      </c>
      <c r="Q1216" s="25">
        <v>8011</v>
      </c>
      <c r="R1216" s="22">
        <v>94</v>
      </c>
      <c r="S1216" s="22" t="s">
        <v>1607</v>
      </c>
      <c r="T1216" s="22">
        <f t="shared" si="92"/>
        <v>2</v>
      </c>
      <c r="U1216" s="22">
        <f t="shared" si="93"/>
        <v>2021</v>
      </c>
      <c r="V1216" s="22" t="str">
        <f t="shared" si="94"/>
        <v>METROPOLITANA</v>
      </c>
    </row>
    <row r="1217" spans="1:22" x14ac:dyDescent="0.2">
      <c r="A1217" s="23" t="s">
        <v>1601</v>
      </c>
      <c r="B1217" s="22" t="s">
        <v>33</v>
      </c>
      <c r="C1217" s="22" t="s">
        <v>29</v>
      </c>
      <c r="D1217" s="22" t="s">
        <v>37</v>
      </c>
      <c r="E1217" s="24" t="s">
        <v>40</v>
      </c>
      <c r="F1217" s="22" t="s">
        <v>134</v>
      </c>
      <c r="G1217" s="25">
        <v>7903.1999999999989</v>
      </c>
      <c r="H1217" s="22" t="s">
        <v>22</v>
      </c>
      <c r="I1217" s="22">
        <v>0</v>
      </c>
      <c r="J1217" s="22" t="s">
        <v>134</v>
      </c>
      <c r="K1217" s="22" t="s">
        <v>23</v>
      </c>
      <c r="L1217" s="22">
        <v>2</v>
      </c>
      <c r="M1217" s="26">
        <v>55322</v>
      </c>
      <c r="N1217" s="26">
        <v>31613</v>
      </c>
      <c r="O1217" s="15">
        <f t="shared" si="90"/>
        <v>86935</v>
      </c>
      <c r="P1217" s="15">
        <f t="shared" si="91"/>
        <v>10.99997469379492</v>
      </c>
      <c r="Q1217" s="25">
        <v>5782</v>
      </c>
      <c r="R1217" s="22">
        <v>100</v>
      </c>
      <c r="S1217" s="22" t="s">
        <v>1608</v>
      </c>
      <c r="T1217" s="22">
        <f t="shared" si="92"/>
        <v>2</v>
      </c>
      <c r="U1217" s="22">
        <f t="shared" si="93"/>
        <v>2021</v>
      </c>
      <c r="V1217" s="22" t="str">
        <f t="shared" si="94"/>
        <v>METROPOLITANA</v>
      </c>
    </row>
    <row r="1218" spans="1:22" x14ac:dyDescent="0.2">
      <c r="A1218" s="23" t="s">
        <v>1601</v>
      </c>
      <c r="B1218" s="22" t="s">
        <v>33</v>
      </c>
      <c r="C1218" s="22" t="s">
        <v>29</v>
      </c>
      <c r="D1218" s="22" t="s">
        <v>30</v>
      </c>
      <c r="E1218" s="24" t="s">
        <v>31</v>
      </c>
      <c r="F1218" s="22" t="s">
        <v>170</v>
      </c>
      <c r="G1218" s="25">
        <v>7500.3999999999978</v>
      </c>
      <c r="H1218" s="22" t="s">
        <v>32</v>
      </c>
      <c r="I1218" s="22">
        <v>0</v>
      </c>
      <c r="J1218" s="22" t="s">
        <v>170</v>
      </c>
      <c r="K1218" s="22" t="s">
        <v>171</v>
      </c>
      <c r="L1218" s="22">
        <v>0</v>
      </c>
      <c r="M1218" s="26">
        <v>180000</v>
      </c>
      <c r="N1218" s="26">
        <f>G1218*3</f>
        <v>22501.199999999993</v>
      </c>
      <c r="O1218" s="15">
        <f t="shared" ref="O1218:O1281" si="95">SUM(M1218:N1218)</f>
        <v>202501.19999999998</v>
      </c>
      <c r="P1218" s="15">
        <f t="shared" ref="P1218:P1281" si="96">O1218/G1218</f>
        <v>26.998720068263033</v>
      </c>
      <c r="Q1218" s="25">
        <v>25000</v>
      </c>
      <c r="R1218" s="22">
        <v>30</v>
      </c>
      <c r="S1218" s="22" t="s">
        <v>1609</v>
      </c>
      <c r="T1218" s="22">
        <f t="shared" ref="T1218:T1281" si="97">MONTH(A1218)</f>
        <v>2</v>
      </c>
      <c r="U1218" s="22">
        <f t="shared" ref="U1218:U1281" si="98">YEAR(A1218)</f>
        <v>2021</v>
      </c>
      <c r="V1218" s="22" t="str">
        <f t="shared" ref="V1218:V1281" si="99">IF(K1218="METROPOLITANA DE SANTIAGO","METROPOLITANA","REGIONES")</f>
        <v>REGIONES</v>
      </c>
    </row>
    <row r="1219" spans="1:22" x14ac:dyDescent="0.2">
      <c r="A1219" s="23" t="s">
        <v>1601</v>
      </c>
      <c r="B1219" s="22" t="s">
        <v>33</v>
      </c>
      <c r="C1219" s="22" t="s">
        <v>44</v>
      </c>
      <c r="D1219" s="22" t="s">
        <v>56</v>
      </c>
      <c r="E1219" s="24" t="s">
        <v>49</v>
      </c>
      <c r="F1219" s="22" t="s">
        <v>48</v>
      </c>
      <c r="G1219" s="25">
        <v>1890</v>
      </c>
      <c r="H1219" s="22" t="s">
        <v>22</v>
      </c>
      <c r="I1219" s="22">
        <v>0</v>
      </c>
      <c r="J1219" s="22" t="s">
        <v>48</v>
      </c>
      <c r="K1219" s="22" t="s">
        <v>23</v>
      </c>
      <c r="L1219" s="22">
        <v>1</v>
      </c>
      <c r="M1219" s="26">
        <v>33750</v>
      </c>
      <c r="N1219" s="26">
        <v>12000</v>
      </c>
      <c r="O1219" s="15">
        <f t="shared" si="95"/>
        <v>45750</v>
      </c>
      <c r="P1219" s="15">
        <f t="shared" si="96"/>
        <v>24.206349206349206</v>
      </c>
      <c r="Q1219" s="25">
        <v>4821</v>
      </c>
      <c r="R1219" s="22">
        <v>39</v>
      </c>
      <c r="S1219" s="22" t="s">
        <v>1610</v>
      </c>
      <c r="T1219" s="22">
        <f t="shared" si="97"/>
        <v>2</v>
      </c>
      <c r="U1219" s="22">
        <f t="shared" si="98"/>
        <v>2021</v>
      </c>
      <c r="V1219" s="22" t="str">
        <f t="shared" si="99"/>
        <v>METROPOLITANA</v>
      </c>
    </row>
    <row r="1220" spans="1:22" x14ac:dyDescent="0.2">
      <c r="A1220" s="23" t="s">
        <v>1601</v>
      </c>
      <c r="B1220" s="22" t="s">
        <v>33</v>
      </c>
      <c r="C1220" s="22" t="s">
        <v>44</v>
      </c>
      <c r="D1220" s="22" t="s">
        <v>56</v>
      </c>
      <c r="E1220" s="24" t="s">
        <v>52</v>
      </c>
      <c r="F1220" s="22" t="s">
        <v>134</v>
      </c>
      <c r="G1220" s="25">
        <v>1775.6</v>
      </c>
      <c r="H1220" s="22" t="s">
        <v>22</v>
      </c>
      <c r="I1220" s="22">
        <v>0</v>
      </c>
      <c r="J1220" s="22" t="s">
        <v>134</v>
      </c>
      <c r="K1220" s="22" t="s">
        <v>23</v>
      </c>
      <c r="L1220" s="22">
        <v>2</v>
      </c>
      <c r="M1220" s="26">
        <v>40475</v>
      </c>
      <c r="N1220" s="26">
        <v>12000</v>
      </c>
      <c r="O1220" s="15">
        <f t="shared" si="95"/>
        <v>52475</v>
      </c>
      <c r="P1220" s="15">
        <f t="shared" si="96"/>
        <v>29.553390403243977</v>
      </c>
      <c r="Q1220" s="25">
        <v>5782</v>
      </c>
      <c r="R1220" s="22">
        <v>31</v>
      </c>
      <c r="S1220" s="22" t="s">
        <v>1611</v>
      </c>
      <c r="T1220" s="22">
        <f t="shared" si="97"/>
        <v>2</v>
      </c>
      <c r="U1220" s="22">
        <f t="shared" si="98"/>
        <v>2021</v>
      </c>
      <c r="V1220" s="22" t="str">
        <f t="shared" si="99"/>
        <v>METROPOLITANA</v>
      </c>
    </row>
    <row r="1221" spans="1:22" x14ac:dyDescent="0.2">
      <c r="A1221" s="23" t="s">
        <v>1601</v>
      </c>
      <c r="B1221" s="22" t="s">
        <v>33</v>
      </c>
      <c r="C1221" s="22" t="s">
        <v>44</v>
      </c>
      <c r="D1221" s="22" t="s">
        <v>38</v>
      </c>
      <c r="E1221" s="24" t="s">
        <v>42</v>
      </c>
      <c r="F1221" s="22" t="s">
        <v>46</v>
      </c>
      <c r="G1221" s="25">
        <v>3001.6</v>
      </c>
      <c r="H1221" s="22" t="s">
        <v>43</v>
      </c>
      <c r="I1221" s="22">
        <v>0</v>
      </c>
      <c r="J1221" s="22" t="s">
        <v>46</v>
      </c>
      <c r="K1221" s="22" t="s">
        <v>23</v>
      </c>
      <c r="L1221" s="22">
        <v>2</v>
      </c>
      <c r="M1221" s="26">
        <v>40475</v>
      </c>
      <c r="N1221" s="26">
        <v>9005</v>
      </c>
      <c r="O1221" s="15">
        <f t="shared" si="95"/>
        <v>49480</v>
      </c>
      <c r="P1221" s="15">
        <f t="shared" si="96"/>
        <v>16.484541577825162</v>
      </c>
      <c r="Q1221" s="25">
        <v>5782</v>
      </c>
      <c r="R1221" s="22">
        <v>52</v>
      </c>
      <c r="S1221" s="22" t="s">
        <v>1612</v>
      </c>
      <c r="T1221" s="22">
        <f t="shared" si="97"/>
        <v>2</v>
      </c>
      <c r="U1221" s="22">
        <f t="shared" si="98"/>
        <v>2021</v>
      </c>
      <c r="V1221" s="22" t="str">
        <f t="shared" si="99"/>
        <v>METROPOLITANA</v>
      </c>
    </row>
    <row r="1222" spans="1:22" x14ac:dyDescent="0.2">
      <c r="A1222" s="23" t="s">
        <v>1601</v>
      </c>
      <c r="B1222" s="22" t="s">
        <v>33</v>
      </c>
      <c r="C1222" s="22" t="s">
        <v>44</v>
      </c>
      <c r="D1222" s="22" t="s">
        <v>45</v>
      </c>
      <c r="E1222" s="24" t="s">
        <v>88</v>
      </c>
      <c r="F1222" s="22" t="s">
        <v>48</v>
      </c>
      <c r="G1222" s="25">
        <v>2516.4</v>
      </c>
      <c r="H1222" s="22" t="s">
        <v>22</v>
      </c>
      <c r="I1222" s="22">
        <v>0</v>
      </c>
      <c r="J1222" s="22" t="s">
        <v>48</v>
      </c>
      <c r="K1222" s="22" t="s">
        <v>23</v>
      </c>
      <c r="L1222" s="22">
        <v>1</v>
      </c>
      <c r="M1222" s="26">
        <v>33750</v>
      </c>
      <c r="N1222" s="26">
        <v>12000</v>
      </c>
      <c r="O1222" s="15">
        <f t="shared" si="95"/>
        <v>45750</v>
      </c>
      <c r="P1222" s="15">
        <f t="shared" si="96"/>
        <v>18.180734382451121</v>
      </c>
      <c r="Q1222" s="25">
        <v>4821</v>
      </c>
      <c r="R1222" s="22">
        <v>52</v>
      </c>
      <c r="S1222" s="22" t="s">
        <v>1613</v>
      </c>
      <c r="T1222" s="22">
        <f t="shared" si="97"/>
        <v>2</v>
      </c>
      <c r="U1222" s="22">
        <f t="shared" si="98"/>
        <v>2021</v>
      </c>
      <c r="V1222" s="22" t="str">
        <f t="shared" si="99"/>
        <v>METROPOLITANA</v>
      </c>
    </row>
    <row r="1223" spans="1:22" x14ac:dyDescent="0.2">
      <c r="A1223" s="23" t="s">
        <v>1601</v>
      </c>
      <c r="B1223" s="22" t="s">
        <v>33</v>
      </c>
      <c r="C1223" s="22" t="s">
        <v>44</v>
      </c>
      <c r="D1223" s="22" t="s">
        <v>45</v>
      </c>
      <c r="E1223" s="24" t="s">
        <v>21</v>
      </c>
      <c r="F1223" s="22" t="s">
        <v>182</v>
      </c>
      <c r="G1223" s="25">
        <v>3336</v>
      </c>
      <c r="H1223" s="22" t="s">
        <v>22</v>
      </c>
      <c r="I1223" s="22">
        <v>0</v>
      </c>
      <c r="J1223" s="22" t="s">
        <v>182</v>
      </c>
      <c r="K1223" s="22" t="s">
        <v>23</v>
      </c>
      <c r="L1223" s="22">
        <v>4</v>
      </c>
      <c r="M1223" s="26">
        <v>56075</v>
      </c>
      <c r="N1223" s="26">
        <v>13344</v>
      </c>
      <c r="O1223" s="15">
        <f t="shared" si="95"/>
        <v>69419</v>
      </c>
      <c r="P1223" s="15">
        <f t="shared" si="96"/>
        <v>20.809052757793765</v>
      </c>
      <c r="Q1223" s="25">
        <v>8011</v>
      </c>
      <c r="R1223" s="22">
        <v>42</v>
      </c>
      <c r="S1223" s="22" t="s">
        <v>1614</v>
      </c>
      <c r="T1223" s="22">
        <f t="shared" si="97"/>
        <v>2</v>
      </c>
      <c r="U1223" s="22">
        <f t="shared" si="98"/>
        <v>2021</v>
      </c>
      <c r="V1223" s="22" t="str">
        <f t="shared" si="99"/>
        <v>METROPOLITANA</v>
      </c>
    </row>
    <row r="1224" spans="1:22" x14ac:dyDescent="0.2">
      <c r="A1224" s="23" t="s">
        <v>1601</v>
      </c>
      <c r="B1224" s="22" t="s">
        <v>33</v>
      </c>
      <c r="C1224" s="22" t="s">
        <v>44</v>
      </c>
      <c r="D1224" s="22" t="s">
        <v>47</v>
      </c>
      <c r="E1224" s="24" t="s">
        <v>1576</v>
      </c>
      <c r="F1224" s="22" t="s">
        <v>26</v>
      </c>
      <c r="G1224" s="25">
        <v>8667</v>
      </c>
      <c r="H1224" s="22" t="s">
        <v>22</v>
      </c>
      <c r="I1224" s="22">
        <v>0</v>
      </c>
      <c r="J1224" s="22" t="s">
        <v>26</v>
      </c>
      <c r="K1224" s="22" t="s">
        <v>23</v>
      </c>
      <c r="L1224" s="22">
        <v>4</v>
      </c>
      <c r="M1224" s="26">
        <v>60669</v>
      </c>
      <c r="N1224" s="26">
        <v>34668</v>
      </c>
      <c r="O1224" s="15">
        <f t="shared" si="95"/>
        <v>95337</v>
      </c>
      <c r="P1224" s="15">
        <f t="shared" si="96"/>
        <v>11</v>
      </c>
      <c r="Q1224" s="25">
        <v>8011</v>
      </c>
      <c r="R1224" s="22">
        <v>100</v>
      </c>
      <c r="S1224" s="22" t="s">
        <v>1615</v>
      </c>
      <c r="T1224" s="22">
        <f t="shared" si="97"/>
        <v>2</v>
      </c>
      <c r="U1224" s="22">
        <f t="shared" si="98"/>
        <v>2021</v>
      </c>
      <c r="V1224" s="22" t="str">
        <f t="shared" si="99"/>
        <v>METROPOLITANA</v>
      </c>
    </row>
    <row r="1225" spans="1:22" x14ac:dyDescent="0.2">
      <c r="A1225" s="23" t="s">
        <v>1601</v>
      </c>
      <c r="B1225" s="22" t="s">
        <v>33</v>
      </c>
      <c r="C1225" s="22" t="s">
        <v>44</v>
      </c>
      <c r="D1225" s="22" t="s">
        <v>35</v>
      </c>
      <c r="E1225" s="24" t="s">
        <v>49</v>
      </c>
      <c r="F1225" s="22" t="s">
        <v>138</v>
      </c>
      <c r="G1225" s="25">
        <v>2251.1999999999998</v>
      </c>
      <c r="H1225" s="22" t="s">
        <v>22</v>
      </c>
      <c r="I1225" s="22">
        <v>0</v>
      </c>
      <c r="J1225" s="22" t="s">
        <v>138</v>
      </c>
      <c r="K1225" s="22" t="s">
        <v>23</v>
      </c>
      <c r="L1225" s="22">
        <v>3</v>
      </c>
      <c r="M1225" s="26">
        <v>48075</v>
      </c>
      <c r="N1225" s="26">
        <v>12000</v>
      </c>
      <c r="O1225" s="15">
        <f t="shared" si="95"/>
        <v>60075</v>
      </c>
      <c r="P1225" s="15">
        <f t="shared" si="96"/>
        <v>26.68576759061834</v>
      </c>
      <c r="Q1225" s="25">
        <v>6868</v>
      </c>
      <c r="R1225" s="22">
        <v>33</v>
      </c>
      <c r="S1225" s="22" t="s">
        <v>1616</v>
      </c>
      <c r="T1225" s="22">
        <f t="shared" si="97"/>
        <v>2</v>
      </c>
      <c r="U1225" s="22">
        <f t="shared" si="98"/>
        <v>2021</v>
      </c>
      <c r="V1225" s="22" t="str">
        <f t="shared" si="99"/>
        <v>METROPOLITANA</v>
      </c>
    </row>
    <row r="1226" spans="1:22" x14ac:dyDescent="0.2">
      <c r="A1226" s="23" t="s">
        <v>1601</v>
      </c>
      <c r="B1226" s="22" t="s">
        <v>33</v>
      </c>
      <c r="C1226" s="22" t="s">
        <v>44</v>
      </c>
      <c r="D1226" s="22" t="s">
        <v>35</v>
      </c>
      <c r="E1226" s="24" t="s">
        <v>88</v>
      </c>
      <c r="F1226" s="22" t="s">
        <v>51</v>
      </c>
      <c r="G1226" s="25">
        <v>2365.6</v>
      </c>
      <c r="H1226" s="22" t="s">
        <v>22</v>
      </c>
      <c r="I1226" s="22">
        <v>0</v>
      </c>
      <c r="J1226" s="22" t="s">
        <v>51</v>
      </c>
      <c r="K1226" s="22" t="s">
        <v>23</v>
      </c>
      <c r="L1226" s="22">
        <v>4</v>
      </c>
      <c r="M1226" s="26">
        <v>56075</v>
      </c>
      <c r="N1226" s="26">
        <v>12000</v>
      </c>
      <c r="O1226" s="15">
        <f t="shared" si="95"/>
        <v>68075</v>
      </c>
      <c r="P1226" s="15">
        <f t="shared" si="96"/>
        <v>28.77705444707474</v>
      </c>
      <c r="Q1226" s="25">
        <v>8011</v>
      </c>
      <c r="R1226" s="22">
        <v>30</v>
      </c>
      <c r="S1226" s="22" t="s">
        <v>1617</v>
      </c>
      <c r="T1226" s="22">
        <f t="shared" si="97"/>
        <v>2</v>
      </c>
      <c r="U1226" s="22">
        <f t="shared" si="98"/>
        <v>2021</v>
      </c>
      <c r="V1226" s="22" t="str">
        <f t="shared" si="99"/>
        <v>METROPOLITANA</v>
      </c>
    </row>
    <row r="1227" spans="1:22" x14ac:dyDescent="0.2">
      <c r="A1227" s="23" t="s">
        <v>1601</v>
      </c>
      <c r="B1227" s="22" t="s">
        <v>33</v>
      </c>
      <c r="C1227" s="22" t="s">
        <v>44</v>
      </c>
      <c r="D1227" s="22" t="s">
        <v>20</v>
      </c>
      <c r="E1227" s="24" t="s">
        <v>52</v>
      </c>
      <c r="F1227" s="22" t="s">
        <v>95</v>
      </c>
      <c r="G1227" s="25">
        <v>2351</v>
      </c>
      <c r="H1227" s="22" t="s">
        <v>22</v>
      </c>
      <c r="I1227" s="22">
        <v>0</v>
      </c>
      <c r="J1227" s="22" t="s">
        <v>95</v>
      </c>
      <c r="K1227" s="22" t="s">
        <v>23</v>
      </c>
      <c r="L1227" s="22">
        <v>4</v>
      </c>
      <c r="M1227" s="26">
        <v>56075</v>
      </c>
      <c r="N1227" s="26">
        <v>12000</v>
      </c>
      <c r="O1227" s="15">
        <f t="shared" si="95"/>
        <v>68075</v>
      </c>
      <c r="P1227" s="15">
        <f t="shared" si="96"/>
        <v>28.955763504891536</v>
      </c>
      <c r="Q1227" s="25">
        <v>8011</v>
      </c>
      <c r="R1227" s="22">
        <v>29</v>
      </c>
      <c r="S1227" s="22" t="s">
        <v>1618</v>
      </c>
      <c r="T1227" s="22">
        <f t="shared" si="97"/>
        <v>2</v>
      </c>
      <c r="U1227" s="22">
        <f t="shared" si="98"/>
        <v>2021</v>
      </c>
      <c r="V1227" s="22" t="str">
        <f t="shared" si="99"/>
        <v>METROPOLITANA</v>
      </c>
    </row>
    <row r="1228" spans="1:22" x14ac:dyDescent="0.2">
      <c r="A1228" s="11" t="s">
        <v>1619</v>
      </c>
      <c r="B1228" s="12" t="s">
        <v>18</v>
      </c>
      <c r="C1228" s="12" t="s">
        <v>71</v>
      </c>
      <c r="D1228" s="12" t="s">
        <v>63</v>
      </c>
      <c r="E1228" s="13" t="s">
        <v>64</v>
      </c>
      <c r="F1228" s="12" t="s">
        <v>72</v>
      </c>
      <c r="G1228" s="14">
        <v>9168.48</v>
      </c>
      <c r="H1228" s="12" t="s">
        <v>65</v>
      </c>
      <c r="I1228" s="12">
        <v>0</v>
      </c>
      <c r="J1228" s="12" t="s">
        <v>72</v>
      </c>
      <c r="K1228" s="12" t="s">
        <v>23</v>
      </c>
      <c r="L1228" s="12">
        <v>5</v>
      </c>
      <c r="M1228" s="15">
        <f>G1228*11</f>
        <v>100853.28</v>
      </c>
      <c r="N1228" s="15">
        <v>0</v>
      </c>
      <c r="O1228" s="15">
        <f t="shared" si="95"/>
        <v>100853.28</v>
      </c>
      <c r="P1228" s="15">
        <f t="shared" si="96"/>
        <v>11</v>
      </c>
      <c r="Q1228" s="14">
        <v>12000</v>
      </c>
      <c r="R1228" s="12">
        <v>76</v>
      </c>
      <c r="S1228" s="12" t="s">
        <v>1620</v>
      </c>
      <c r="T1228" s="22">
        <f t="shared" si="97"/>
        <v>2</v>
      </c>
      <c r="U1228" s="22">
        <f t="shared" si="98"/>
        <v>2021</v>
      </c>
      <c r="V1228" s="22" t="str">
        <f t="shared" si="99"/>
        <v>METROPOLITANA</v>
      </c>
    </row>
    <row r="1229" spans="1:22" x14ac:dyDescent="0.2">
      <c r="A1229" s="11" t="s">
        <v>1619</v>
      </c>
      <c r="B1229" s="12" t="s">
        <v>18</v>
      </c>
      <c r="C1229" s="12" t="s">
        <v>71</v>
      </c>
      <c r="D1229" s="12" t="s">
        <v>1621</v>
      </c>
      <c r="E1229" s="13" t="s">
        <v>31</v>
      </c>
      <c r="F1229" s="12" t="s">
        <v>72</v>
      </c>
      <c r="G1229" s="14">
        <v>7681.7500000000027</v>
      </c>
      <c r="H1229" s="12" t="s">
        <v>24</v>
      </c>
      <c r="I1229" s="12">
        <v>1</v>
      </c>
      <c r="J1229" s="12" t="s">
        <v>72</v>
      </c>
      <c r="K1229" s="12" t="s">
        <v>23</v>
      </c>
      <c r="L1229" s="12">
        <v>5</v>
      </c>
      <c r="M1229" s="15">
        <v>120000</v>
      </c>
      <c r="N1229" s="15">
        <v>0</v>
      </c>
      <c r="O1229" s="15">
        <f t="shared" si="95"/>
        <v>120000</v>
      </c>
      <c r="P1229" s="15">
        <f t="shared" si="96"/>
        <v>15.621440426986032</v>
      </c>
      <c r="Q1229" s="14">
        <v>12000</v>
      </c>
      <c r="R1229" s="12">
        <v>64</v>
      </c>
      <c r="S1229" s="12" t="s">
        <v>1622</v>
      </c>
      <c r="T1229" s="22">
        <f t="shared" si="97"/>
        <v>2</v>
      </c>
      <c r="U1229" s="22">
        <f t="shared" si="98"/>
        <v>2021</v>
      </c>
      <c r="V1229" s="22" t="str">
        <f t="shared" si="99"/>
        <v>METROPOLITANA</v>
      </c>
    </row>
    <row r="1230" spans="1:22" x14ac:dyDescent="0.2">
      <c r="A1230" s="11" t="s">
        <v>1619</v>
      </c>
      <c r="B1230" s="12" t="s">
        <v>18</v>
      </c>
      <c r="C1230" s="12" t="s">
        <v>160</v>
      </c>
      <c r="D1230" s="12" t="s">
        <v>37</v>
      </c>
      <c r="E1230" s="13" t="s">
        <v>40</v>
      </c>
      <c r="F1230" s="12" t="s">
        <v>418</v>
      </c>
      <c r="G1230" s="14">
        <v>8326.99</v>
      </c>
      <c r="H1230" s="12" t="s">
        <v>22</v>
      </c>
      <c r="I1230" s="12">
        <v>0</v>
      </c>
      <c r="J1230" s="12" t="s">
        <v>418</v>
      </c>
      <c r="K1230" s="12" t="s">
        <v>171</v>
      </c>
      <c r="L1230" s="12">
        <v>0</v>
      </c>
      <c r="M1230" s="15">
        <v>180000</v>
      </c>
      <c r="N1230" s="15">
        <f>G1230*4</f>
        <v>33307.96</v>
      </c>
      <c r="O1230" s="15">
        <f t="shared" si="95"/>
        <v>213307.96</v>
      </c>
      <c r="P1230" s="15">
        <f t="shared" si="96"/>
        <v>25.61645444512363</v>
      </c>
      <c r="Q1230" s="14">
        <v>25000</v>
      </c>
      <c r="R1230" s="12">
        <v>33</v>
      </c>
      <c r="S1230" s="12" t="s">
        <v>1623</v>
      </c>
      <c r="T1230" s="22">
        <f t="shared" si="97"/>
        <v>2</v>
      </c>
      <c r="U1230" s="22">
        <f t="shared" si="98"/>
        <v>2021</v>
      </c>
      <c r="V1230" s="22" t="str">
        <f t="shared" si="99"/>
        <v>REGIONES</v>
      </c>
    </row>
    <row r="1231" spans="1:22" x14ac:dyDescent="0.2">
      <c r="A1231" s="11" t="s">
        <v>1619</v>
      </c>
      <c r="B1231" s="12" t="s">
        <v>18</v>
      </c>
      <c r="C1231" s="12" t="s">
        <v>193</v>
      </c>
      <c r="D1231" s="12" t="s">
        <v>188</v>
      </c>
      <c r="E1231" s="13" t="s">
        <v>189</v>
      </c>
      <c r="F1231" s="12" t="s">
        <v>194</v>
      </c>
      <c r="G1231" s="14">
        <v>1995</v>
      </c>
      <c r="H1231" s="12" t="s">
        <v>190</v>
      </c>
      <c r="I1231" s="12">
        <v>0</v>
      </c>
      <c r="J1231" s="12" t="s">
        <v>194</v>
      </c>
      <c r="K1231" s="12" t="s">
        <v>23</v>
      </c>
      <c r="L1231" s="12">
        <v>4</v>
      </c>
      <c r="M1231" s="15">
        <v>56075</v>
      </c>
      <c r="N1231" s="15">
        <f>G1231*3</f>
        <v>5985</v>
      </c>
      <c r="O1231" s="15">
        <f t="shared" si="95"/>
        <v>62060</v>
      </c>
      <c r="P1231" s="15">
        <f t="shared" si="96"/>
        <v>31.107769423558896</v>
      </c>
      <c r="Q1231" s="14">
        <v>8011</v>
      </c>
      <c r="R1231" s="12">
        <v>25</v>
      </c>
      <c r="S1231" s="12" t="s">
        <v>1624</v>
      </c>
      <c r="T1231" s="22">
        <f t="shared" si="97"/>
        <v>2</v>
      </c>
      <c r="U1231" s="22">
        <f t="shared" si="98"/>
        <v>2021</v>
      </c>
      <c r="V1231" s="22" t="str">
        <f t="shared" si="99"/>
        <v>METROPOLITANA</v>
      </c>
    </row>
    <row r="1232" spans="1:22" x14ac:dyDescent="0.2">
      <c r="A1232" s="11" t="s">
        <v>1619</v>
      </c>
      <c r="B1232" s="12" t="s">
        <v>33</v>
      </c>
      <c r="C1232" s="12" t="s">
        <v>60</v>
      </c>
      <c r="D1232" s="12" t="s">
        <v>125</v>
      </c>
      <c r="E1232" s="13" t="s">
        <v>126</v>
      </c>
      <c r="F1232" s="12" t="s">
        <v>173</v>
      </c>
      <c r="G1232" s="14">
        <v>18760</v>
      </c>
      <c r="H1232" s="12" t="s">
        <v>174</v>
      </c>
      <c r="I1232" s="12">
        <v>0</v>
      </c>
      <c r="J1232" s="12" t="s">
        <v>173</v>
      </c>
      <c r="K1232" s="12" t="s">
        <v>23</v>
      </c>
      <c r="L1232" s="12">
        <v>5</v>
      </c>
      <c r="M1232" s="15">
        <v>90000</v>
      </c>
      <c r="N1232" s="15">
        <f>G1232*4</f>
        <v>75040</v>
      </c>
      <c r="O1232" s="15">
        <f t="shared" si="95"/>
        <v>165040</v>
      </c>
      <c r="P1232" s="15">
        <f t="shared" si="96"/>
        <v>8.7974413646055432</v>
      </c>
      <c r="Q1232" s="14">
        <v>12000</v>
      </c>
      <c r="R1232" s="12">
        <v>100</v>
      </c>
      <c r="S1232" s="12" t="s">
        <v>1625</v>
      </c>
      <c r="T1232" s="22">
        <f t="shared" si="97"/>
        <v>2</v>
      </c>
      <c r="U1232" s="22">
        <f t="shared" si="98"/>
        <v>2021</v>
      </c>
      <c r="V1232" s="22" t="str">
        <f t="shared" si="99"/>
        <v>METROPOLITANA</v>
      </c>
    </row>
    <row r="1233" spans="1:22" x14ac:dyDescent="0.2">
      <c r="A1233" s="11" t="s">
        <v>1619</v>
      </c>
      <c r="B1233" s="12" t="s">
        <v>33</v>
      </c>
      <c r="C1233" s="12" t="s">
        <v>223</v>
      </c>
      <c r="D1233" s="12" t="s">
        <v>164</v>
      </c>
      <c r="E1233" s="13" t="s">
        <v>28</v>
      </c>
      <c r="F1233" s="12" t="s">
        <v>67</v>
      </c>
      <c r="G1233" s="14">
        <v>12756.8</v>
      </c>
      <c r="H1233" s="12" t="s">
        <v>22</v>
      </c>
      <c r="I1233" s="12">
        <v>1</v>
      </c>
      <c r="J1233" s="12" t="s">
        <v>67</v>
      </c>
      <c r="K1233" s="12" t="s">
        <v>23</v>
      </c>
      <c r="L1233" s="12">
        <v>0</v>
      </c>
      <c r="M1233" s="15">
        <v>40475</v>
      </c>
      <c r="N1233" s="15">
        <f>G1233*4</f>
        <v>51027.199999999997</v>
      </c>
      <c r="O1233" s="15">
        <f t="shared" si="95"/>
        <v>91502.2</v>
      </c>
      <c r="P1233" s="15">
        <f t="shared" si="96"/>
        <v>7.1728176345164929</v>
      </c>
      <c r="Q1233" s="14">
        <v>25000</v>
      </c>
      <c r="R1233" s="12">
        <v>51</v>
      </c>
      <c r="S1233" s="12" t="s">
        <v>1626</v>
      </c>
      <c r="T1233" s="22">
        <f t="shared" si="97"/>
        <v>2</v>
      </c>
      <c r="U1233" s="22">
        <f t="shared" si="98"/>
        <v>2021</v>
      </c>
      <c r="V1233" s="22" t="str">
        <f t="shared" si="99"/>
        <v>METROPOLITANA</v>
      </c>
    </row>
    <row r="1234" spans="1:22" x14ac:dyDescent="0.2">
      <c r="A1234" s="11" t="s">
        <v>1619</v>
      </c>
      <c r="B1234" s="12" t="s">
        <v>33</v>
      </c>
      <c r="C1234" s="12" t="s">
        <v>29</v>
      </c>
      <c r="D1234" s="12" t="s">
        <v>38</v>
      </c>
      <c r="E1234" s="13" t="s">
        <v>42</v>
      </c>
      <c r="F1234" s="12" t="s">
        <v>134</v>
      </c>
      <c r="G1234" s="14">
        <v>8302.4</v>
      </c>
      <c r="H1234" s="12" t="s">
        <v>43</v>
      </c>
      <c r="I1234" s="12">
        <v>0</v>
      </c>
      <c r="J1234" s="12" t="s">
        <v>134</v>
      </c>
      <c r="K1234" s="12" t="s">
        <v>23</v>
      </c>
      <c r="L1234" s="12">
        <v>2</v>
      </c>
      <c r="M1234" s="15">
        <v>58117</v>
      </c>
      <c r="N1234" s="15">
        <v>24907</v>
      </c>
      <c r="O1234" s="15">
        <f t="shared" si="95"/>
        <v>83024</v>
      </c>
      <c r="P1234" s="15">
        <f t="shared" si="96"/>
        <v>10</v>
      </c>
      <c r="Q1234" s="14">
        <v>5782</v>
      </c>
      <c r="R1234" s="12">
        <v>100</v>
      </c>
      <c r="S1234" s="12" t="s">
        <v>1627</v>
      </c>
      <c r="T1234" s="22">
        <f t="shared" si="97"/>
        <v>2</v>
      </c>
      <c r="U1234" s="22">
        <f t="shared" si="98"/>
        <v>2021</v>
      </c>
      <c r="V1234" s="22" t="str">
        <f t="shared" si="99"/>
        <v>METROPOLITANA</v>
      </c>
    </row>
    <row r="1235" spans="1:22" x14ac:dyDescent="0.2">
      <c r="A1235" s="11" t="s">
        <v>1619</v>
      </c>
      <c r="B1235" s="12" t="s">
        <v>33</v>
      </c>
      <c r="C1235" s="12" t="s">
        <v>29</v>
      </c>
      <c r="D1235" s="12" t="s">
        <v>41</v>
      </c>
      <c r="E1235" s="13" t="s">
        <v>25</v>
      </c>
      <c r="F1235" s="12" t="s">
        <v>134</v>
      </c>
      <c r="G1235" s="14">
        <v>7503.9999999999973</v>
      </c>
      <c r="H1235" s="12" t="s">
        <v>43</v>
      </c>
      <c r="I1235" s="12">
        <v>0</v>
      </c>
      <c r="J1235" s="12" t="s">
        <v>134</v>
      </c>
      <c r="K1235" s="12" t="s">
        <v>23</v>
      </c>
      <c r="L1235" s="12">
        <v>2</v>
      </c>
      <c r="M1235" s="15">
        <v>52528</v>
      </c>
      <c r="N1235" s="15">
        <v>22512</v>
      </c>
      <c r="O1235" s="15">
        <f t="shared" si="95"/>
        <v>75040</v>
      </c>
      <c r="P1235" s="15">
        <f t="shared" si="96"/>
        <v>10.000000000000004</v>
      </c>
      <c r="Q1235" s="14">
        <v>5782</v>
      </c>
      <c r="R1235" s="12">
        <v>100</v>
      </c>
      <c r="S1235" s="12" t="s">
        <v>1628</v>
      </c>
      <c r="T1235" s="22">
        <f t="shared" si="97"/>
        <v>2</v>
      </c>
      <c r="U1235" s="22">
        <f t="shared" si="98"/>
        <v>2021</v>
      </c>
      <c r="V1235" s="22" t="str">
        <f t="shared" si="99"/>
        <v>METROPOLITANA</v>
      </c>
    </row>
    <row r="1236" spans="1:22" x14ac:dyDescent="0.2">
      <c r="A1236" s="11" t="s">
        <v>1619</v>
      </c>
      <c r="B1236" s="12" t="s">
        <v>33</v>
      </c>
      <c r="C1236" s="12" t="s">
        <v>44</v>
      </c>
      <c r="D1236" s="12" t="s">
        <v>56</v>
      </c>
      <c r="E1236" s="13" t="s">
        <v>52</v>
      </c>
      <c r="F1236" s="12" t="s">
        <v>34</v>
      </c>
      <c r="G1236" s="14">
        <v>3941.6</v>
      </c>
      <c r="H1236" s="12" t="s">
        <v>22</v>
      </c>
      <c r="I1236" s="12">
        <v>0</v>
      </c>
      <c r="J1236" s="12" t="s">
        <v>34</v>
      </c>
      <c r="K1236" s="12" t="s">
        <v>23</v>
      </c>
      <c r="L1236" s="12">
        <v>1</v>
      </c>
      <c r="M1236" s="15">
        <v>33750</v>
      </c>
      <c r="N1236" s="15">
        <v>15766</v>
      </c>
      <c r="O1236" s="15">
        <f t="shared" si="95"/>
        <v>49516</v>
      </c>
      <c r="P1236" s="15">
        <f t="shared" si="96"/>
        <v>12.562411203572154</v>
      </c>
      <c r="Q1236" s="14">
        <v>4821</v>
      </c>
      <c r="R1236" s="12">
        <v>82</v>
      </c>
      <c r="S1236" s="12" t="s">
        <v>1629</v>
      </c>
      <c r="T1236" s="22">
        <f t="shared" si="97"/>
        <v>2</v>
      </c>
      <c r="U1236" s="22">
        <f t="shared" si="98"/>
        <v>2021</v>
      </c>
      <c r="V1236" s="22" t="str">
        <f t="shared" si="99"/>
        <v>METROPOLITANA</v>
      </c>
    </row>
    <row r="1237" spans="1:22" x14ac:dyDescent="0.2">
      <c r="A1237" s="11" t="s">
        <v>1619</v>
      </c>
      <c r="B1237" s="12" t="s">
        <v>33</v>
      </c>
      <c r="C1237" s="12" t="s">
        <v>44</v>
      </c>
      <c r="D1237" s="12" t="s">
        <v>188</v>
      </c>
      <c r="E1237" s="13" t="s">
        <v>189</v>
      </c>
      <c r="F1237" s="12" t="s">
        <v>95</v>
      </c>
      <c r="G1237" s="14">
        <v>3725.2</v>
      </c>
      <c r="H1237" s="12" t="s">
        <v>190</v>
      </c>
      <c r="I1237" s="12">
        <v>0</v>
      </c>
      <c r="J1237" s="12" t="s">
        <v>95</v>
      </c>
      <c r="K1237" s="12" t="s">
        <v>23</v>
      </c>
      <c r="L1237" s="12">
        <v>4</v>
      </c>
      <c r="M1237" s="15">
        <v>56075</v>
      </c>
      <c r="N1237" s="15">
        <v>11176</v>
      </c>
      <c r="O1237" s="15">
        <f t="shared" si="95"/>
        <v>67251</v>
      </c>
      <c r="P1237" s="15">
        <f t="shared" si="96"/>
        <v>18.052990443466122</v>
      </c>
      <c r="Q1237" s="14">
        <v>8011</v>
      </c>
      <c r="R1237" s="12">
        <v>47</v>
      </c>
      <c r="S1237" s="12" t="s">
        <v>1630</v>
      </c>
      <c r="T1237" s="22">
        <f t="shared" si="97"/>
        <v>2</v>
      </c>
      <c r="U1237" s="22">
        <f t="shared" si="98"/>
        <v>2021</v>
      </c>
      <c r="V1237" s="22" t="str">
        <f t="shared" si="99"/>
        <v>METROPOLITANA</v>
      </c>
    </row>
    <row r="1238" spans="1:22" x14ac:dyDescent="0.2">
      <c r="A1238" s="11" t="s">
        <v>1619</v>
      </c>
      <c r="B1238" s="12" t="s">
        <v>33</v>
      </c>
      <c r="C1238" s="12" t="s">
        <v>44</v>
      </c>
      <c r="D1238" s="12" t="s">
        <v>1631</v>
      </c>
      <c r="E1238" s="13" t="s">
        <v>64</v>
      </c>
      <c r="F1238" s="12" t="s">
        <v>129</v>
      </c>
      <c r="G1238" s="14">
        <v>1225.5999999999999</v>
      </c>
      <c r="H1238" s="12" t="s">
        <v>24</v>
      </c>
      <c r="I1238" s="12">
        <v>1</v>
      </c>
      <c r="J1238" s="12" t="s">
        <v>129</v>
      </c>
      <c r="K1238" s="12" t="s">
        <v>23</v>
      </c>
      <c r="L1238" s="12">
        <v>1</v>
      </c>
      <c r="M1238" s="15">
        <v>33750</v>
      </c>
      <c r="N1238" s="15">
        <v>3677</v>
      </c>
      <c r="O1238" s="15">
        <f t="shared" si="95"/>
        <v>37427</v>
      </c>
      <c r="P1238" s="15">
        <f t="shared" si="96"/>
        <v>30.53769582245431</v>
      </c>
      <c r="Q1238" s="14">
        <v>4821</v>
      </c>
      <c r="R1238" s="12">
        <v>25</v>
      </c>
      <c r="S1238" s="12" t="s">
        <v>1632</v>
      </c>
      <c r="T1238" s="22">
        <f t="shared" si="97"/>
        <v>2</v>
      </c>
      <c r="U1238" s="22">
        <f t="shared" si="98"/>
        <v>2021</v>
      </c>
      <c r="V1238" s="22" t="str">
        <f t="shared" si="99"/>
        <v>METROPOLITANA</v>
      </c>
    </row>
    <row r="1239" spans="1:22" x14ac:dyDescent="0.2">
      <c r="A1239" s="11" t="s">
        <v>1619</v>
      </c>
      <c r="B1239" s="12" t="s">
        <v>33</v>
      </c>
      <c r="C1239" s="12" t="s">
        <v>44</v>
      </c>
      <c r="D1239" s="12" t="s">
        <v>63</v>
      </c>
      <c r="E1239" s="13" t="s">
        <v>64</v>
      </c>
      <c r="F1239" s="12" t="s">
        <v>129</v>
      </c>
      <c r="G1239" s="14">
        <v>2488.8000000000002</v>
      </c>
      <c r="H1239" s="12" t="s">
        <v>65</v>
      </c>
      <c r="I1239" s="12">
        <v>0</v>
      </c>
      <c r="J1239" s="12" t="s">
        <v>129</v>
      </c>
      <c r="K1239" s="12" t="s">
        <v>23</v>
      </c>
      <c r="L1239" s="12">
        <v>1</v>
      </c>
      <c r="M1239" s="15">
        <v>55000</v>
      </c>
      <c r="N1239" s="15">
        <v>0</v>
      </c>
      <c r="O1239" s="15">
        <f t="shared" si="95"/>
        <v>55000</v>
      </c>
      <c r="P1239" s="15">
        <f t="shared" si="96"/>
        <v>22.099003535840563</v>
      </c>
      <c r="Q1239" s="14">
        <v>4821</v>
      </c>
      <c r="R1239" s="12">
        <v>52</v>
      </c>
      <c r="S1239" s="12" t="s">
        <v>1633</v>
      </c>
      <c r="T1239" s="22">
        <f t="shared" si="97"/>
        <v>2</v>
      </c>
      <c r="U1239" s="22">
        <f t="shared" si="98"/>
        <v>2021</v>
      </c>
      <c r="V1239" s="22" t="str">
        <f t="shared" si="99"/>
        <v>METROPOLITANA</v>
      </c>
    </row>
    <row r="1240" spans="1:22" x14ac:dyDescent="0.2">
      <c r="A1240" s="11" t="s">
        <v>1619</v>
      </c>
      <c r="B1240" s="12" t="s">
        <v>33</v>
      </c>
      <c r="C1240" s="12" t="s">
        <v>44</v>
      </c>
      <c r="D1240" s="12" t="s">
        <v>883</v>
      </c>
      <c r="E1240" s="13" t="s">
        <v>42</v>
      </c>
      <c r="F1240" s="12" t="s">
        <v>53</v>
      </c>
      <c r="G1240" s="14">
        <v>3185.2000000000012</v>
      </c>
      <c r="H1240" s="12" t="s">
        <v>43</v>
      </c>
      <c r="I1240" s="12">
        <v>0</v>
      </c>
      <c r="J1240" s="12" t="s">
        <v>53</v>
      </c>
      <c r="K1240" s="12" t="s">
        <v>23</v>
      </c>
      <c r="L1240" s="12">
        <v>3</v>
      </c>
      <c r="M1240" s="15">
        <v>48075</v>
      </c>
      <c r="N1240" s="15">
        <v>9556</v>
      </c>
      <c r="O1240" s="15">
        <f t="shared" si="95"/>
        <v>57631</v>
      </c>
      <c r="P1240" s="15">
        <f t="shared" si="96"/>
        <v>18.093369333165885</v>
      </c>
      <c r="Q1240" s="14">
        <v>6868</v>
      </c>
      <c r="R1240" s="12">
        <v>46</v>
      </c>
      <c r="S1240" s="12" t="s">
        <v>1634</v>
      </c>
      <c r="T1240" s="22">
        <f t="shared" si="97"/>
        <v>2</v>
      </c>
      <c r="U1240" s="22">
        <f t="shared" si="98"/>
        <v>2021</v>
      </c>
      <c r="V1240" s="22" t="str">
        <f t="shared" si="99"/>
        <v>METROPOLITANA</v>
      </c>
    </row>
    <row r="1241" spans="1:22" x14ac:dyDescent="0.2">
      <c r="A1241" s="11" t="s">
        <v>1619</v>
      </c>
      <c r="B1241" s="12" t="s">
        <v>33</v>
      </c>
      <c r="C1241" s="12" t="s">
        <v>44</v>
      </c>
      <c r="D1241" s="12" t="s">
        <v>45</v>
      </c>
      <c r="E1241" s="13" t="s">
        <v>88</v>
      </c>
      <c r="F1241" s="12" t="s">
        <v>229</v>
      </c>
      <c r="G1241" s="14">
        <v>4216.8</v>
      </c>
      <c r="H1241" s="12" t="s">
        <v>22</v>
      </c>
      <c r="I1241" s="12">
        <v>0</v>
      </c>
      <c r="J1241" s="12" t="s">
        <v>230</v>
      </c>
      <c r="K1241" s="12" t="s">
        <v>23</v>
      </c>
      <c r="L1241" s="12">
        <v>4</v>
      </c>
      <c r="M1241" s="15">
        <v>56075</v>
      </c>
      <c r="N1241" s="15">
        <v>16867</v>
      </c>
      <c r="O1241" s="15">
        <f t="shared" si="95"/>
        <v>72942</v>
      </c>
      <c r="P1241" s="15">
        <f t="shared" si="96"/>
        <v>17.297951052931133</v>
      </c>
      <c r="Q1241" s="14">
        <v>8011</v>
      </c>
      <c r="R1241" s="12">
        <v>53</v>
      </c>
      <c r="S1241" s="12" t="s">
        <v>1635</v>
      </c>
      <c r="T1241" s="22">
        <f t="shared" si="97"/>
        <v>2</v>
      </c>
      <c r="U1241" s="22">
        <f t="shared" si="98"/>
        <v>2021</v>
      </c>
      <c r="V1241" s="22" t="str">
        <f t="shared" si="99"/>
        <v>METROPOLITANA</v>
      </c>
    </row>
    <row r="1242" spans="1:22" x14ac:dyDescent="0.2">
      <c r="A1242" s="11" t="s">
        <v>1619</v>
      </c>
      <c r="B1242" s="12" t="s">
        <v>33</v>
      </c>
      <c r="C1242" s="12" t="s">
        <v>44</v>
      </c>
      <c r="D1242" s="12" t="s">
        <v>47</v>
      </c>
      <c r="E1242" s="13" t="s">
        <v>1576</v>
      </c>
      <c r="F1242" s="12" t="s">
        <v>48</v>
      </c>
      <c r="G1242" s="14">
        <v>6285.9999999999973</v>
      </c>
      <c r="H1242" s="12" t="s">
        <v>22</v>
      </c>
      <c r="I1242" s="12">
        <v>0</v>
      </c>
      <c r="J1242" s="12" t="s">
        <v>48</v>
      </c>
      <c r="K1242" s="12" t="s">
        <v>23</v>
      </c>
      <c r="L1242" s="12">
        <v>1</v>
      </c>
      <c r="M1242" s="15">
        <v>44002</v>
      </c>
      <c r="N1242" s="15">
        <v>25144</v>
      </c>
      <c r="O1242" s="15">
        <f t="shared" si="95"/>
        <v>69146</v>
      </c>
      <c r="P1242" s="15">
        <f t="shared" si="96"/>
        <v>11.000000000000005</v>
      </c>
      <c r="Q1242" s="14">
        <v>4821</v>
      </c>
      <c r="R1242" s="12">
        <v>100</v>
      </c>
      <c r="S1242" s="12" t="s">
        <v>1636</v>
      </c>
      <c r="T1242" s="22">
        <f t="shared" si="97"/>
        <v>2</v>
      </c>
      <c r="U1242" s="22">
        <f t="shared" si="98"/>
        <v>2021</v>
      </c>
      <c r="V1242" s="22" t="str">
        <f t="shared" si="99"/>
        <v>METROPOLITANA</v>
      </c>
    </row>
    <row r="1243" spans="1:22" x14ac:dyDescent="0.2">
      <c r="A1243" s="11" t="s">
        <v>1619</v>
      </c>
      <c r="B1243" s="12" t="s">
        <v>33</v>
      </c>
      <c r="C1243" s="12" t="s">
        <v>44</v>
      </c>
      <c r="D1243" s="12" t="s">
        <v>35</v>
      </c>
      <c r="E1243" s="13" t="s">
        <v>49</v>
      </c>
      <c r="F1243" s="12" t="s">
        <v>26</v>
      </c>
      <c r="G1243" s="14">
        <v>1645.8</v>
      </c>
      <c r="H1243" s="12" t="s">
        <v>22</v>
      </c>
      <c r="I1243" s="12">
        <v>0</v>
      </c>
      <c r="J1243" s="12" t="s">
        <v>26</v>
      </c>
      <c r="K1243" s="12" t="s">
        <v>23</v>
      </c>
      <c r="L1243" s="12">
        <v>4</v>
      </c>
      <c r="M1243" s="15">
        <v>56075</v>
      </c>
      <c r="N1243" s="15">
        <v>12000</v>
      </c>
      <c r="O1243" s="15">
        <f t="shared" si="95"/>
        <v>68075</v>
      </c>
      <c r="P1243" s="15">
        <f t="shared" si="96"/>
        <v>41.362863045327501</v>
      </c>
      <c r="Q1243" s="14">
        <v>8011</v>
      </c>
      <c r="R1243" s="12">
        <v>21</v>
      </c>
      <c r="S1243" s="12" t="s">
        <v>1637</v>
      </c>
      <c r="T1243" s="22">
        <f t="shared" si="97"/>
        <v>2</v>
      </c>
      <c r="U1243" s="22">
        <f t="shared" si="98"/>
        <v>2021</v>
      </c>
      <c r="V1243" s="22" t="str">
        <f t="shared" si="99"/>
        <v>METROPOLITANA</v>
      </c>
    </row>
    <row r="1244" spans="1:22" x14ac:dyDescent="0.2">
      <c r="A1244" s="11" t="s">
        <v>1619</v>
      </c>
      <c r="B1244" s="12" t="s">
        <v>33</v>
      </c>
      <c r="C1244" s="12" t="s">
        <v>44</v>
      </c>
      <c r="D1244" s="12" t="s">
        <v>20</v>
      </c>
      <c r="E1244" s="13" t="s">
        <v>21</v>
      </c>
      <c r="F1244" s="12" t="s">
        <v>46</v>
      </c>
      <c r="G1244" s="14">
        <v>3215.8</v>
      </c>
      <c r="H1244" s="12" t="s">
        <v>22</v>
      </c>
      <c r="I1244" s="12">
        <v>0</v>
      </c>
      <c r="J1244" s="12" t="s">
        <v>46</v>
      </c>
      <c r="K1244" s="12" t="s">
        <v>23</v>
      </c>
      <c r="L1244" s="12">
        <v>2</v>
      </c>
      <c r="M1244" s="15">
        <v>40475</v>
      </c>
      <c r="N1244" s="15">
        <v>12863</v>
      </c>
      <c r="O1244" s="15">
        <f t="shared" si="95"/>
        <v>53338</v>
      </c>
      <c r="P1244" s="15">
        <f t="shared" si="96"/>
        <v>16.586230486970582</v>
      </c>
      <c r="Q1244" s="14">
        <v>5782</v>
      </c>
      <c r="R1244" s="12">
        <v>56</v>
      </c>
      <c r="S1244" s="12" t="s">
        <v>1638</v>
      </c>
      <c r="T1244" s="22">
        <f t="shared" si="97"/>
        <v>2</v>
      </c>
      <c r="U1244" s="22">
        <f t="shared" si="98"/>
        <v>2021</v>
      </c>
      <c r="V1244" s="22" t="str">
        <f t="shared" si="99"/>
        <v>METROPOLITANA</v>
      </c>
    </row>
    <row r="1245" spans="1:22" x14ac:dyDescent="0.2">
      <c r="A1245" s="23" t="s">
        <v>1639</v>
      </c>
      <c r="B1245" s="22" t="s">
        <v>54</v>
      </c>
      <c r="C1245" s="22" t="s">
        <v>55</v>
      </c>
      <c r="D1245" s="22" t="s">
        <v>130</v>
      </c>
      <c r="E1245" s="24" t="s">
        <v>131</v>
      </c>
      <c r="F1245" s="22" t="s">
        <v>66</v>
      </c>
      <c r="G1245" s="25">
        <v>19689.599999999999</v>
      </c>
      <c r="H1245" s="22" t="s">
        <v>85</v>
      </c>
      <c r="I1245" s="22">
        <v>1</v>
      </c>
      <c r="J1245" s="22" t="s">
        <v>66</v>
      </c>
      <c r="K1245" s="22" t="s">
        <v>75</v>
      </c>
      <c r="L1245" s="22">
        <v>0</v>
      </c>
      <c r="M1245" s="26">
        <v>380000</v>
      </c>
      <c r="N1245" s="26">
        <v>0</v>
      </c>
      <c r="O1245" s="15">
        <f t="shared" si="95"/>
        <v>380000</v>
      </c>
      <c r="P1245" s="15">
        <f t="shared" si="96"/>
        <v>19.299528685194215</v>
      </c>
      <c r="Q1245" s="25">
        <v>25000</v>
      </c>
      <c r="R1245" s="22">
        <v>79</v>
      </c>
      <c r="S1245" s="22" t="s">
        <v>1640</v>
      </c>
      <c r="T1245" s="22">
        <f t="shared" si="97"/>
        <v>2</v>
      </c>
      <c r="U1245" s="22">
        <f t="shared" si="98"/>
        <v>2021</v>
      </c>
      <c r="V1245" s="22" t="str">
        <f t="shared" si="99"/>
        <v>REGIONES</v>
      </c>
    </row>
    <row r="1246" spans="1:22" x14ac:dyDescent="0.2">
      <c r="A1246" s="23" t="s">
        <v>1639</v>
      </c>
      <c r="B1246" s="22" t="s">
        <v>18</v>
      </c>
      <c r="C1246" s="22" t="s">
        <v>57</v>
      </c>
      <c r="D1246" s="22" t="s">
        <v>1170</v>
      </c>
      <c r="E1246" s="24" t="s">
        <v>81</v>
      </c>
      <c r="F1246" s="22" t="s">
        <v>458</v>
      </c>
      <c r="G1246" s="25">
        <v>9271.7999999999993</v>
      </c>
      <c r="H1246" s="22" t="s">
        <v>24</v>
      </c>
      <c r="I1246" s="22">
        <v>1</v>
      </c>
      <c r="J1246" s="22" t="s">
        <v>458</v>
      </c>
      <c r="K1246" s="22" t="s">
        <v>75</v>
      </c>
      <c r="L1246" s="22">
        <v>0</v>
      </c>
      <c r="M1246" s="26">
        <v>380000</v>
      </c>
      <c r="N1246" s="26">
        <v>0</v>
      </c>
      <c r="O1246" s="15">
        <f t="shared" si="95"/>
        <v>380000</v>
      </c>
      <c r="P1246" s="15">
        <f t="shared" si="96"/>
        <v>40.984490605923341</v>
      </c>
      <c r="Q1246" s="25">
        <v>25000</v>
      </c>
      <c r="R1246" s="22">
        <v>37</v>
      </c>
      <c r="S1246" s="22" t="s">
        <v>1641</v>
      </c>
      <c r="T1246" s="22">
        <f t="shared" si="97"/>
        <v>2</v>
      </c>
      <c r="U1246" s="22">
        <f t="shared" si="98"/>
        <v>2021</v>
      </c>
      <c r="V1246" s="22" t="str">
        <f t="shared" si="99"/>
        <v>REGIONES</v>
      </c>
    </row>
    <row r="1247" spans="1:22" x14ac:dyDescent="0.2">
      <c r="A1247" s="23" t="s">
        <v>1639</v>
      </c>
      <c r="B1247" s="22" t="s">
        <v>33</v>
      </c>
      <c r="C1247" s="22" t="s">
        <v>1642</v>
      </c>
      <c r="D1247" s="22" t="s">
        <v>30</v>
      </c>
      <c r="E1247" s="24" t="s">
        <v>31</v>
      </c>
      <c r="F1247" s="22" t="s">
        <v>46</v>
      </c>
      <c r="G1247" s="25">
        <v>6746.4999999999991</v>
      </c>
      <c r="H1247" s="22" t="s">
        <v>32</v>
      </c>
      <c r="I1247" s="22">
        <v>0</v>
      </c>
      <c r="J1247" s="22" t="s">
        <v>46</v>
      </c>
      <c r="K1247" s="22" t="s">
        <v>23</v>
      </c>
      <c r="L1247" s="22">
        <v>2</v>
      </c>
      <c r="M1247" s="26">
        <f>G1247*11</f>
        <v>74211.499999999985</v>
      </c>
      <c r="N1247" s="26">
        <v>0</v>
      </c>
      <c r="O1247" s="15">
        <f t="shared" si="95"/>
        <v>74211.499999999985</v>
      </c>
      <c r="P1247" s="15">
        <f t="shared" si="96"/>
        <v>11</v>
      </c>
      <c r="Q1247" s="25">
        <v>5782</v>
      </c>
      <c r="R1247" s="22">
        <v>100</v>
      </c>
      <c r="S1247" s="22" t="s">
        <v>1643</v>
      </c>
      <c r="T1247" s="22">
        <f t="shared" si="97"/>
        <v>2</v>
      </c>
      <c r="U1247" s="22">
        <f t="shared" si="98"/>
        <v>2021</v>
      </c>
      <c r="V1247" s="22" t="str">
        <f t="shared" si="99"/>
        <v>METROPOLITANA</v>
      </c>
    </row>
    <row r="1248" spans="1:22" x14ac:dyDescent="0.2">
      <c r="A1248" s="23" t="s">
        <v>1639</v>
      </c>
      <c r="B1248" s="22" t="s">
        <v>33</v>
      </c>
      <c r="C1248" s="22" t="s">
        <v>57</v>
      </c>
      <c r="D1248" s="22" t="s">
        <v>41</v>
      </c>
      <c r="E1248" s="24" t="s">
        <v>25</v>
      </c>
      <c r="F1248" s="22" t="s">
        <v>58</v>
      </c>
      <c r="G1248" s="25">
        <v>6480</v>
      </c>
      <c r="H1248" s="22" t="s">
        <v>43</v>
      </c>
      <c r="I1248" s="22">
        <v>0</v>
      </c>
      <c r="J1248" s="22" t="s">
        <v>58</v>
      </c>
      <c r="K1248" s="22" t="s">
        <v>23</v>
      </c>
      <c r="L1248" s="22">
        <v>5</v>
      </c>
      <c r="M1248" s="26">
        <v>70000</v>
      </c>
      <c r="N1248" s="26">
        <v>0</v>
      </c>
      <c r="O1248" s="15">
        <f t="shared" si="95"/>
        <v>70000</v>
      </c>
      <c r="P1248" s="15">
        <f t="shared" si="96"/>
        <v>10.802469135802468</v>
      </c>
      <c r="Q1248" s="25">
        <v>12000</v>
      </c>
      <c r="R1248" s="22">
        <v>54</v>
      </c>
      <c r="S1248" s="22" t="s">
        <v>1644</v>
      </c>
      <c r="T1248" s="22">
        <f t="shared" si="97"/>
        <v>2</v>
      </c>
      <c r="U1248" s="22">
        <f t="shared" si="98"/>
        <v>2021</v>
      </c>
      <c r="V1248" s="22" t="str">
        <f t="shared" si="99"/>
        <v>METROPOLITANA</v>
      </c>
    </row>
    <row r="1249" spans="1:22" x14ac:dyDescent="0.2">
      <c r="A1249" s="23" t="s">
        <v>1639</v>
      </c>
      <c r="B1249" s="22" t="s">
        <v>33</v>
      </c>
      <c r="C1249" s="22" t="s">
        <v>29</v>
      </c>
      <c r="D1249" s="22" t="s">
        <v>45</v>
      </c>
      <c r="E1249" s="24" t="s">
        <v>52</v>
      </c>
      <c r="F1249" s="22" t="s">
        <v>134</v>
      </c>
      <c r="G1249" s="25">
        <v>3801.599999999999</v>
      </c>
      <c r="H1249" s="22" t="s">
        <v>22</v>
      </c>
      <c r="I1249" s="22">
        <v>0</v>
      </c>
      <c r="J1249" s="22" t="s">
        <v>134</v>
      </c>
      <c r="K1249" s="22" t="s">
        <v>23</v>
      </c>
      <c r="L1249" s="22">
        <v>2</v>
      </c>
      <c r="M1249" s="26">
        <v>40475</v>
      </c>
      <c r="N1249" s="26">
        <v>15206</v>
      </c>
      <c r="O1249" s="15">
        <f t="shared" si="95"/>
        <v>55681</v>
      </c>
      <c r="P1249" s="15">
        <f t="shared" si="96"/>
        <v>14.646727693602697</v>
      </c>
      <c r="Q1249" s="25">
        <v>5782</v>
      </c>
      <c r="R1249" s="22">
        <v>66</v>
      </c>
      <c r="S1249" s="22" t="s">
        <v>1645</v>
      </c>
      <c r="T1249" s="22">
        <f t="shared" si="97"/>
        <v>2</v>
      </c>
      <c r="U1249" s="22">
        <f t="shared" si="98"/>
        <v>2021</v>
      </c>
      <c r="V1249" s="22" t="str">
        <f t="shared" si="99"/>
        <v>METROPOLITANA</v>
      </c>
    </row>
    <row r="1250" spans="1:22" x14ac:dyDescent="0.2">
      <c r="A1250" s="23" t="s">
        <v>1639</v>
      </c>
      <c r="B1250" s="22" t="s">
        <v>33</v>
      </c>
      <c r="C1250" s="22" t="s">
        <v>29</v>
      </c>
      <c r="D1250" s="22" t="s">
        <v>35</v>
      </c>
      <c r="E1250" s="24" t="s">
        <v>1576</v>
      </c>
      <c r="F1250" s="22" t="s">
        <v>134</v>
      </c>
      <c r="G1250" s="25">
        <v>3326.3999999999992</v>
      </c>
      <c r="H1250" s="22" t="s">
        <v>22</v>
      </c>
      <c r="I1250" s="22">
        <v>0</v>
      </c>
      <c r="J1250" s="22" t="s">
        <v>134</v>
      </c>
      <c r="K1250" s="22" t="s">
        <v>23</v>
      </c>
      <c r="L1250" s="22">
        <v>2</v>
      </c>
      <c r="M1250" s="26">
        <v>40475</v>
      </c>
      <c r="N1250" s="26">
        <v>13306</v>
      </c>
      <c r="O1250" s="15">
        <f t="shared" si="95"/>
        <v>53781</v>
      </c>
      <c r="P1250" s="15">
        <f t="shared" si="96"/>
        <v>16.167929292929298</v>
      </c>
      <c r="Q1250" s="25">
        <v>5782</v>
      </c>
      <c r="R1250" s="22">
        <v>58</v>
      </c>
      <c r="S1250" s="22" t="s">
        <v>1646</v>
      </c>
      <c r="T1250" s="22">
        <f t="shared" si="97"/>
        <v>2</v>
      </c>
      <c r="U1250" s="22">
        <f t="shared" si="98"/>
        <v>2021</v>
      </c>
      <c r="V1250" s="22" t="str">
        <f t="shared" si="99"/>
        <v>METROPOLITANA</v>
      </c>
    </row>
    <row r="1251" spans="1:22" x14ac:dyDescent="0.2">
      <c r="A1251" s="23" t="s">
        <v>1639</v>
      </c>
      <c r="B1251" s="22" t="s">
        <v>33</v>
      </c>
      <c r="C1251" s="22" t="s">
        <v>29</v>
      </c>
      <c r="D1251" s="22" t="s">
        <v>164</v>
      </c>
      <c r="E1251" s="24" t="s">
        <v>28</v>
      </c>
      <c r="F1251" s="22" t="s">
        <v>173</v>
      </c>
      <c r="G1251" s="25">
        <v>16582.399999999991</v>
      </c>
      <c r="H1251" s="22" t="s">
        <v>22</v>
      </c>
      <c r="I1251" s="22">
        <v>1</v>
      </c>
      <c r="J1251" s="22" t="s">
        <v>173</v>
      </c>
      <c r="K1251" s="22" t="s">
        <v>23</v>
      </c>
      <c r="L1251" s="22">
        <v>5</v>
      </c>
      <c r="M1251" s="26">
        <v>120000</v>
      </c>
      <c r="N1251" s="26">
        <v>66330</v>
      </c>
      <c r="O1251" s="15">
        <f t="shared" si="95"/>
        <v>186330</v>
      </c>
      <c r="P1251" s="15">
        <f t="shared" si="96"/>
        <v>11.236612311848713</v>
      </c>
      <c r="Q1251" s="25">
        <v>12000</v>
      </c>
      <c r="R1251" s="22">
        <v>100</v>
      </c>
      <c r="S1251" s="22" t="s">
        <v>1647</v>
      </c>
      <c r="T1251" s="22">
        <f t="shared" si="97"/>
        <v>2</v>
      </c>
      <c r="U1251" s="22">
        <f t="shared" si="98"/>
        <v>2021</v>
      </c>
      <c r="V1251" s="22" t="str">
        <f t="shared" si="99"/>
        <v>METROPOLITANA</v>
      </c>
    </row>
    <row r="1252" spans="1:22" x14ac:dyDescent="0.2">
      <c r="A1252" s="23" t="s">
        <v>1639</v>
      </c>
      <c r="B1252" s="22" t="s">
        <v>33</v>
      </c>
      <c r="C1252" s="22" t="s">
        <v>44</v>
      </c>
      <c r="D1252" s="22" t="s">
        <v>56</v>
      </c>
      <c r="E1252" s="24" t="s">
        <v>52</v>
      </c>
      <c r="F1252" s="22" t="s">
        <v>182</v>
      </c>
      <c r="G1252" s="25">
        <v>4048.8</v>
      </c>
      <c r="H1252" s="22" t="s">
        <v>22</v>
      </c>
      <c r="I1252" s="22">
        <v>0</v>
      </c>
      <c r="J1252" s="22" t="s">
        <v>182</v>
      </c>
      <c r="K1252" s="22" t="s">
        <v>23</v>
      </c>
      <c r="L1252" s="22">
        <v>4</v>
      </c>
      <c r="M1252" s="26">
        <v>56075</v>
      </c>
      <c r="N1252" s="26">
        <v>16195</v>
      </c>
      <c r="O1252" s="15">
        <f t="shared" si="95"/>
        <v>72270</v>
      </c>
      <c r="P1252" s="15">
        <f t="shared" si="96"/>
        <v>17.849733254297568</v>
      </c>
      <c r="Q1252" s="25">
        <v>8011</v>
      </c>
      <c r="R1252" s="22">
        <v>51</v>
      </c>
      <c r="S1252" s="22" t="s">
        <v>1648</v>
      </c>
      <c r="T1252" s="22">
        <f t="shared" si="97"/>
        <v>2</v>
      </c>
      <c r="U1252" s="22">
        <f t="shared" si="98"/>
        <v>2021</v>
      </c>
      <c r="V1252" s="22" t="str">
        <f t="shared" si="99"/>
        <v>METROPOLITANA</v>
      </c>
    </row>
    <row r="1253" spans="1:22" x14ac:dyDescent="0.2">
      <c r="A1253" s="23" t="s">
        <v>1639</v>
      </c>
      <c r="B1253" s="22" t="s">
        <v>33</v>
      </c>
      <c r="C1253" s="22" t="s">
        <v>44</v>
      </c>
      <c r="D1253" s="22" t="s">
        <v>38</v>
      </c>
      <c r="E1253" s="24" t="s">
        <v>42</v>
      </c>
      <c r="F1253" s="22" t="s">
        <v>134</v>
      </c>
      <c r="G1253" s="25">
        <v>4402.2</v>
      </c>
      <c r="H1253" s="22" t="s">
        <v>43</v>
      </c>
      <c r="I1253" s="22">
        <v>0</v>
      </c>
      <c r="J1253" s="22" t="s">
        <v>134</v>
      </c>
      <c r="K1253" s="22" t="s">
        <v>23</v>
      </c>
      <c r="L1253" s="22">
        <v>2</v>
      </c>
      <c r="M1253" s="26">
        <v>40475</v>
      </c>
      <c r="N1253" s="26">
        <v>13207</v>
      </c>
      <c r="O1253" s="15">
        <f t="shared" si="95"/>
        <v>53682</v>
      </c>
      <c r="P1253" s="15">
        <f t="shared" si="96"/>
        <v>12.194357366771161</v>
      </c>
      <c r="Q1253" s="25">
        <v>5782</v>
      </c>
      <c r="R1253" s="22">
        <v>76</v>
      </c>
      <c r="S1253" s="22" t="s">
        <v>1649</v>
      </c>
      <c r="T1253" s="22">
        <f t="shared" si="97"/>
        <v>2</v>
      </c>
      <c r="U1253" s="22">
        <f t="shared" si="98"/>
        <v>2021</v>
      </c>
      <c r="V1253" s="22" t="str">
        <f t="shared" si="99"/>
        <v>METROPOLITANA</v>
      </c>
    </row>
    <row r="1254" spans="1:22" x14ac:dyDescent="0.2">
      <c r="A1254" s="23" t="s">
        <v>1639</v>
      </c>
      <c r="B1254" s="22" t="s">
        <v>33</v>
      </c>
      <c r="C1254" s="22" t="s">
        <v>44</v>
      </c>
      <c r="D1254" s="22" t="s">
        <v>188</v>
      </c>
      <c r="E1254" s="24" t="s">
        <v>189</v>
      </c>
      <c r="F1254" s="22" t="s">
        <v>67</v>
      </c>
      <c r="G1254" s="25">
        <v>4248.7999999999984</v>
      </c>
      <c r="H1254" s="22" t="s">
        <v>190</v>
      </c>
      <c r="I1254" s="22">
        <v>0</v>
      </c>
      <c r="J1254" s="22" t="s">
        <v>67</v>
      </c>
      <c r="K1254" s="22" t="s">
        <v>23</v>
      </c>
      <c r="L1254" s="22">
        <v>2</v>
      </c>
      <c r="M1254" s="26">
        <v>55000</v>
      </c>
      <c r="N1254" s="26">
        <v>0</v>
      </c>
      <c r="O1254" s="15">
        <f t="shared" si="95"/>
        <v>55000</v>
      </c>
      <c r="P1254" s="15">
        <f t="shared" si="96"/>
        <v>12.944831481830169</v>
      </c>
      <c r="Q1254" s="25">
        <v>5782</v>
      </c>
      <c r="R1254" s="22">
        <v>73</v>
      </c>
      <c r="S1254" s="22" t="s">
        <v>1650</v>
      </c>
      <c r="T1254" s="22">
        <f t="shared" si="97"/>
        <v>2</v>
      </c>
      <c r="U1254" s="22">
        <f t="shared" si="98"/>
        <v>2021</v>
      </c>
      <c r="V1254" s="22" t="str">
        <f t="shared" si="99"/>
        <v>METROPOLITANA</v>
      </c>
    </row>
    <row r="1255" spans="1:22" x14ac:dyDescent="0.2">
      <c r="A1255" s="23" t="s">
        <v>1639</v>
      </c>
      <c r="B1255" s="22" t="s">
        <v>33</v>
      </c>
      <c r="C1255" s="22" t="s">
        <v>44</v>
      </c>
      <c r="D1255" s="22" t="s">
        <v>63</v>
      </c>
      <c r="E1255" s="24" t="s">
        <v>64</v>
      </c>
      <c r="F1255" s="22" t="s">
        <v>94</v>
      </c>
      <c r="G1255" s="25">
        <v>8377.2000000000007</v>
      </c>
      <c r="H1255" s="22" t="s">
        <v>65</v>
      </c>
      <c r="I1255" s="22">
        <v>0</v>
      </c>
      <c r="J1255" s="22" t="s">
        <v>59</v>
      </c>
      <c r="K1255" s="22" t="s">
        <v>78</v>
      </c>
      <c r="L1255" s="22">
        <v>0</v>
      </c>
      <c r="M1255" s="26">
        <v>180000</v>
      </c>
      <c r="N1255" s="26">
        <v>0</v>
      </c>
      <c r="O1255" s="15">
        <f t="shared" si="95"/>
        <v>180000</v>
      </c>
      <c r="P1255" s="15">
        <f t="shared" si="96"/>
        <v>21.486892995272882</v>
      </c>
      <c r="Q1255" s="25">
        <v>25000</v>
      </c>
      <c r="R1255" s="22">
        <v>34</v>
      </c>
      <c r="S1255" s="22" t="s">
        <v>1651</v>
      </c>
      <c r="T1255" s="22">
        <f t="shared" si="97"/>
        <v>2</v>
      </c>
      <c r="U1255" s="22">
        <f t="shared" si="98"/>
        <v>2021</v>
      </c>
      <c r="V1255" s="22" t="str">
        <f t="shared" si="99"/>
        <v>REGIONES</v>
      </c>
    </row>
    <row r="1256" spans="1:22" x14ac:dyDescent="0.2">
      <c r="A1256" s="23" t="s">
        <v>1639</v>
      </c>
      <c r="B1256" s="22" t="s">
        <v>33</v>
      </c>
      <c r="C1256" s="22" t="s">
        <v>44</v>
      </c>
      <c r="D1256" s="22" t="s">
        <v>45</v>
      </c>
      <c r="E1256" s="24" t="s">
        <v>21</v>
      </c>
      <c r="F1256" s="22" t="s">
        <v>48</v>
      </c>
      <c r="G1256" s="25">
        <v>2506.4</v>
      </c>
      <c r="H1256" s="22" t="s">
        <v>22</v>
      </c>
      <c r="I1256" s="22">
        <v>0</v>
      </c>
      <c r="J1256" s="22" t="s">
        <v>48</v>
      </c>
      <c r="K1256" s="22" t="s">
        <v>23</v>
      </c>
      <c r="L1256" s="22">
        <v>1</v>
      </c>
      <c r="M1256" s="26">
        <v>55000</v>
      </c>
      <c r="N1256" s="26">
        <v>10026</v>
      </c>
      <c r="O1256" s="15">
        <f t="shared" si="95"/>
        <v>65026</v>
      </c>
      <c r="P1256" s="15">
        <f t="shared" si="96"/>
        <v>25.943983402489625</v>
      </c>
      <c r="Q1256" s="25">
        <v>4821</v>
      </c>
      <c r="R1256" s="22">
        <v>52</v>
      </c>
      <c r="S1256" s="22" t="s">
        <v>1652</v>
      </c>
      <c r="T1256" s="22">
        <f t="shared" si="97"/>
        <v>2</v>
      </c>
      <c r="U1256" s="22">
        <f t="shared" si="98"/>
        <v>2021</v>
      </c>
      <c r="V1256" s="22" t="str">
        <f t="shared" si="99"/>
        <v>METROPOLITANA</v>
      </c>
    </row>
    <row r="1257" spans="1:22" x14ac:dyDescent="0.2">
      <c r="A1257" s="23" t="s">
        <v>1639</v>
      </c>
      <c r="B1257" s="22" t="s">
        <v>33</v>
      </c>
      <c r="C1257" s="22" t="s">
        <v>44</v>
      </c>
      <c r="D1257" s="22" t="s">
        <v>47</v>
      </c>
      <c r="E1257" s="24" t="s">
        <v>1576</v>
      </c>
      <c r="F1257" s="22" t="s">
        <v>225</v>
      </c>
      <c r="G1257" s="25">
        <v>7590.7999999999975</v>
      </c>
      <c r="H1257" s="22" t="s">
        <v>22</v>
      </c>
      <c r="I1257" s="22">
        <v>0</v>
      </c>
      <c r="J1257" s="22" t="s">
        <v>225</v>
      </c>
      <c r="K1257" s="22" t="s">
        <v>23</v>
      </c>
      <c r="L1257" s="22">
        <v>3</v>
      </c>
      <c r="M1257" s="26">
        <v>53136</v>
      </c>
      <c r="N1257" s="26">
        <v>30363</v>
      </c>
      <c r="O1257" s="15">
        <f t="shared" si="95"/>
        <v>83499</v>
      </c>
      <c r="P1257" s="15">
        <f t="shared" si="96"/>
        <v>11.000026347684042</v>
      </c>
      <c r="Q1257" s="25">
        <v>6868</v>
      </c>
      <c r="R1257" s="22">
        <v>100</v>
      </c>
      <c r="S1257" s="22" t="s">
        <v>1653</v>
      </c>
      <c r="T1257" s="22">
        <f t="shared" si="97"/>
        <v>2</v>
      </c>
      <c r="U1257" s="22">
        <f t="shared" si="98"/>
        <v>2021</v>
      </c>
      <c r="V1257" s="22" t="str">
        <f t="shared" si="99"/>
        <v>METROPOLITANA</v>
      </c>
    </row>
    <row r="1258" spans="1:22" x14ac:dyDescent="0.2">
      <c r="A1258" s="23" t="s">
        <v>1639</v>
      </c>
      <c r="B1258" s="22" t="s">
        <v>33</v>
      </c>
      <c r="C1258" s="22" t="s">
        <v>44</v>
      </c>
      <c r="D1258" s="22" t="s">
        <v>35</v>
      </c>
      <c r="E1258" s="24" t="s">
        <v>49</v>
      </c>
      <c r="F1258" s="22" t="s">
        <v>26</v>
      </c>
      <c r="G1258" s="25">
        <v>1931.1</v>
      </c>
      <c r="H1258" s="22" t="s">
        <v>22</v>
      </c>
      <c r="I1258" s="22">
        <v>0</v>
      </c>
      <c r="J1258" s="22" t="s">
        <v>26</v>
      </c>
      <c r="K1258" s="22" t="s">
        <v>23</v>
      </c>
      <c r="L1258" s="22">
        <v>4</v>
      </c>
      <c r="M1258" s="26">
        <v>56075</v>
      </c>
      <c r="N1258" s="26">
        <v>12000</v>
      </c>
      <c r="O1258" s="15">
        <f t="shared" si="95"/>
        <v>68075</v>
      </c>
      <c r="P1258" s="15">
        <f t="shared" si="96"/>
        <v>35.251928952410545</v>
      </c>
      <c r="Q1258" s="25">
        <v>8011</v>
      </c>
      <c r="R1258" s="22">
        <v>24</v>
      </c>
      <c r="S1258" s="22" t="s">
        <v>1654</v>
      </c>
      <c r="T1258" s="22">
        <f t="shared" si="97"/>
        <v>2</v>
      </c>
      <c r="U1258" s="22">
        <f t="shared" si="98"/>
        <v>2021</v>
      </c>
      <c r="V1258" s="22" t="str">
        <f t="shared" si="99"/>
        <v>METROPOLITANA</v>
      </c>
    </row>
    <row r="1259" spans="1:22" x14ac:dyDescent="0.2">
      <c r="A1259" s="23" t="s">
        <v>1639</v>
      </c>
      <c r="B1259" s="22" t="s">
        <v>33</v>
      </c>
      <c r="C1259" s="22" t="s">
        <v>44</v>
      </c>
      <c r="D1259" s="22" t="s">
        <v>20</v>
      </c>
      <c r="E1259" s="24" t="s">
        <v>88</v>
      </c>
      <c r="F1259" s="22" t="s">
        <v>51</v>
      </c>
      <c r="G1259" s="25">
        <v>2251.1999999999998</v>
      </c>
      <c r="H1259" s="22" t="s">
        <v>22</v>
      </c>
      <c r="I1259" s="22">
        <v>0</v>
      </c>
      <c r="J1259" s="22" t="s">
        <v>51</v>
      </c>
      <c r="K1259" s="22" t="s">
        <v>23</v>
      </c>
      <c r="L1259" s="22">
        <v>4</v>
      </c>
      <c r="M1259" s="26">
        <v>56075</v>
      </c>
      <c r="N1259" s="26">
        <v>12000</v>
      </c>
      <c r="O1259" s="15">
        <f t="shared" si="95"/>
        <v>68075</v>
      </c>
      <c r="P1259" s="15">
        <f t="shared" si="96"/>
        <v>30.239427860696519</v>
      </c>
      <c r="Q1259" s="25">
        <v>8011</v>
      </c>
      <c r="R1259" s="22">
        <v>28</v>
      </c>
      <c r="S1259" s="22" t="s">
        <v>1655</v>
      </c>
      <c r="T1259" s="22">
        <f t="shared" si="97"/>
        <v>2</v>
      </c>
      <c r="U1259" s="22">
        <f t="shared" si="98"/>
        <v>2021</v>
      </c>
      <c r="V1259" s="22" t="str">
        <f t="shared" si="99"/>
        <v>METROPOLITANA</v>
      </c>
    </row>
    <row r="1260" spans="1:22" x14ac:dyDescent="0.2">
      <c r="A1260" s="11" t="s">
        <v>1656</v>
      </c>
      <c r="B1260" s="12" t="s">
        <v>18</v>
      </c>
      <c r="C1260" s="12" t="s">
        <v>71</v>
      </c>
      <c r="D1260" s="12" t="s">
        <v>20</v>
      </c>
      <c r="E1260" s="13" t="s">
        <v>21</v>
      </c>
      <c r="F1260" s="12" t="s">
        <v>72</v>
      </c>
      <c r="G1260" s="14">
        <v>6264.4400000000014</v>
      </c>
      <c r="H1260" s="12" t="s">
        <v>22</v>
      </c>
      <c r="I1260" s="12">
        <v>0</v>
      </c>
      <c r="J1260" s="12" t="s">
        <v>72</v>
      </c>
      <c r="K1260" s="12" t="s">
        <v>23</v>
      </c>
      <c r="L1260" s="12">
        <v>5</v>
      </c>
      <c r="M1260" s="15">
        <v>90000</v>
      </c>
      <c r="N1260" s="15">
        <f>G1260*4</f>
        <v>25057.760000000006</v>
      </c>
      <c r="O1260" s="15">
        <f t="shared" si="95"/>
        <v>115057.76000000001</v>
      </c>
      <c r="P1260" s="15">
        <f t="shared" si="96"/>
        <v>18.366806929270609</v>
      </c>
      <c r="Q1260" s="14">
        <v>12000</v>
      </c>
      <c r="R1260" s="12">
        <v>52</v>
      </c>
      <c r="S1260" s="12" t="s">
        <v>1657</v>
      </c>
      <c r="T1260" s="22">
        <f t="shared" si="97"/>
        <v>2</v>
      </c>
      <c r="U1260" s="22">
        <f t="shared" si="98"/>
        <v>2021</v>
      </c>
      <c r="V1260" s="22" t="str">
        <f t="shared" si="99"/>
        <v>METROPOLITANA</v>
      </c>
    </row>
    <row r="1261" spans="1:22" x14ac:dyDescent="0.2">
      <c r="A1261" s="11" t="s">
        <v>1656</v>
      </c>
      <c r="B1261" s="12" t="s">
        <v>18</v>
      </c>
      <c r="C1261" s="12" t="s">
        <v>19</v>
      </c>
      <c r="D1261" s="12" t="s">
        <v>82</v>
      </c>
      <c r="E1261" s="13" t="s">
        <v>83</v>
      </c>
      <c r="F1261" s="12" t="s">
        <v>84</v>
      </c>
      <c r="G1261" s="14">
        <f>6418.48+4129.11</f>
        <v>10547.59</v>
      </c>
      <c r="H1261" s="12" t="s">
        <v>85</v>
      </c>
      <c r="I1261" s="12">
        <v>1</v>
      </c>
      <c r="J1261" s="12" t="s">
        <v>84</v>
      </c>
      <c r="K1261" s="12" t="s">
        <v>86</v>
      </c>
      <c r="L1261" s="12">
        <v>0</v>
      </c>
      <c r="M1261" s="15">
        <v>320000</v>
      </c>
      <c r="N1261" s="15">
        <v>0</v>
      </c>
      <c r="O1261" s="15">
        <f t="shared" si="95"/>
        <v>320000</v>
      </c>
      <c r="P1261" s="15">
        <f t="shared" si="96"/>
        <v>30.33868400269635</v>
      </c>
      <c r="Q1261" s="14">
        <v>25000</v>
      </c>
      <c r="R1261" s="12">
        <v>26</v>
      </c>
      <c r="S1261" s="12" t="s">
        <v>1658</v>
      </c>
      <c r="T1261" s="22">
        <f t="shared" si="97"/>
        <v>2</v>
      </c>
      <c r="U1261" s="22">
        <f t="shared" si="98"/>
        <v>2021</v>
      </c>
      <c r="V1261" s="22" t="str">
        <f t="shared" si="99"/>
        <v>REGIONES</v>
      </c>
    </row>
    <row r="1262" spans="1:22" x14ac:dyDescent="0.2">
      <c r="A1262" s="11" t="s">
        <v>1656</v>
      </c>
      <c r="B1262" s="12" t="s">
        <v>18</v>
      </c>
      <c r="C1262" s="12" t="s">
        <v>163</v>
      </c>
      <c r="D1262" s="12" t="s">
        <v>164</v>
      </c>
      <c r="E1262" s="13" t="s">
        <v>28</v>
      </c>
      <c r="F1262" s="12" t="s">
        <v>165</v>
      </c>
      <c r="G1262" s="14">
        <v>19203.75</v>
      </c>
      <c r="H1262" s="12" t="s">
        <v>22</v>
      </c>
      <c r="I1262" s="12">
        <v>1</v>
      </c>
      <c r="J1262" s="12" t="s">
        <v>165</v>
      </c>
      <c r="K1262" s="12" t="s">
        <v>23</v>
      </c>
      <c r="L1262" s="12">
        <v>4</v>
      </c>
      <c r="M1262" s="15">
        <v>134426</v>
      </c>
      <c r="N1262" s="15">
        <f>G1262*4</f>
        <v>76815</v>
      </c>
      <c r="O1262" s="15">
        <f t="shared" si="95"/>
        <v>211241</v>
      </c>
      <c r="P1262" s="15">
        <f t="shared" si="96"/>
        <v>10.999986981709302</v>
      </c>
      <c r="Q1262" s="14">
        <v>8011</v>
      </c>
      <c r="R1262" s="12">
        <v>100</v>
      </c>
      <c r="S1262" s="12" t="s">
        <v>1659</v>
      </c>
      <c r="T1262" s="22">
        <f t="shared" si="97"/>
        <v>2</v>
      </c>
      <c r="U1262" s="22">
        <f t="shared" si="98"/>
        <v>2021</v>
      </c>
      <c r="V1262" s="22" t="str">
        <f t="shared" si="99"/>
        <v>METROPOLITANA</v>
      </c>
    </row>
    <row r="1263" spans="1:22" x14ac:dyDescent="0.2">
      <c r="A1263" s="11" t="s">
        <v>1656</v>
      </c>
      <c r="B1263" s="12" t="s">
        <v>33</v>
      </c>
      <c r="C1263" s="12" t="s">
        <v>1642</v>
      </c>
      <c r="D1263" s="12" t="s">
        <v>37</v>
      </c>
      <c r="E1263" s="13" t="s">
        <v>40</v>
      </c>
      <c r="F1263" s="12" t="s">
        <v>46</v>
      </c>
      <c r="G1263" s="14">
        <v>3978</v>
      </c>
      <c r="H1263" s="12" t="s">
        <v>22</v>
      </c>
      <c r="I1263" s="12">
        <v>0</v>
      </c>
      <c r="J1263" s="12" t="s">
        <v>46</v>
      </c>
      <c r="K1263" s="12" t="s">
        <v>23</v>
      </c>
      <c r="L1263" s="12">
        <v>2</v>
      </c>
      <c r="M1263" s="15">
        <v>40475</v>
      </c>
      <c r="N1263" s="15">
        <f>G1263*4</f>
        <v>15912</v>
      </c>
      <c r="O1263" s="15">
        <f t="shared" si="95"/>
        <v>56387</v>
      </c>
      <c r="P1263" s="15">
        <f t="shared" si="96"/>
        <v>14.174710910005027</v>
      </c>
      <c r="Q1263" s="14">
        <v>5782</v>
      </c>
      <c r="R1263" s="12">
        <v>69</v>
      </c>
      <c r="S1263" s="12" t="s">
        <v>1660</v>
      </c>
      <c r="T1263" s="22">
        <f t="shared" si="97"/>
        <v>2</v>
      </c>
      <c r="U1263" s="22">
        <f t="shared" si="98"/>
        <v>2021</v>
      </c>
      <c r="V1263" s="22" t="str">
        <f t="shared" si="99"/>
        <v>METROPOLITANA</v>
      </c>
    </row>
    <row r="1264" spans="1:22" x14ac:dyDescent="0.2">
      <c r="A1264" s="11" t="s">
        <v>1656</v>
      </c>
      <c r="B1264" s="12" t="s">
        <v>33</v>
      </c>
      <c r="C1264" s="12" t="s">
        <v>1642</v>
      </c>
      <c r="D1264" s="12" t="s">
        <v>41</v>
      </c>
      <c r="E1264" s="13" t="s">
        <v>25</v>
      </c>
      <c r="F1264" s="12" t="s">
        <v>46</v>
      </c>
      <c r="G1264" s="14">
        <v>2163.8000000000002</v>
      </c>
      <c r="H1264" s="12" t="s">
        <v>43</v>
      </c>
      <c r="I1264" s="12">
        <v>0</v>
      </c>
      <c r="J1264" s="12" t="s">
        <v>46</v>
      </c>
      <c r="K1264" s="12" t="s">
        <v>23</v>
      </c>
      <c r="L1264" s="12">
        <v>2</v>
      </c>
      <c r="M1264" s="15">
        <v>55000</v>
      </c>
      <c r="N1264" s="15">
        <v>0</v>
      </c>
      <c r="O1264" s="15">
        <f t="shared" si="95"/>
        <v>55000</v>
      </c>
      <c r="P1264" s="15">
        <f t="shared" si="96"/>
        <v>25.418245678898231</v>
      </c>
      <c r="Q1264" s="14">
        <v>5782</v>
      </c>
      <c r="R1264" s="12">
        <v>37</v>
      </c>
      <c r="S1264" s="12" t="s">
        <v>1661</v>
      </c>
      <c r="T1264" s="22">
        <f t="shared" si="97"/>
        <v>2</v>
      </c>
      <c r="U1264" s="22">
        <f t="shared" si="98"/>
        <v>2021</v>
      </c>
      <c r="V1264" s="22" t="str">
        <f t="shared" si="99"/>
        <v>METROPOLITANA</v>
      </c>
    </row>
    <row r="1265" spans="1:22" x14ac:dyDescent="0.2">
      <c r="A1265" s="11" t="s">
        <v>1656</v>
      </c>
      <c r="B1265" s="12" t="s">
        <v>33</v>
      </c>
      <c r="C1265" s="12" t="s">
        <v>44</v>
      </c>
      <c r="D1265" s="12" t="s">
        <v>56</v>
      </c>
      <c r="E1265" s="13" t="s">
        <v>52</v>
      </c>
      <c r="F1265" s="12" t="s">
        <v>137</v>
      </c>
      <c r="G1265" s="14">
        <v>2788.2</v>
      </c>
      <c r="H1265" s="12" t="s">
        <v>22</v>
      </c>
      <c r="I1265" s="12">
        <v>0</v>
      </c>
      <c r="J1265" s="12" t="s">
        <v>137</v>
      </c>
      <c r="K1265" s="12" t="s">
        <v>23</v>
      </c>
      <c r="L1265" s="12">
        <v>1</v>
      </c>
      <c r="M1265" s="15">
        <v>33750</v>
      </c>
      <c r="N1265" s="15">
        <v>12000</v>
      </c>
      <c r="O1265" s="15">
        <f t="shared" si="95"/>
        <v>45750</v>
      </c>
      <c r="P1265" s="15">
        <f t="shared" si="96"/>
        <v>16.408435549817089</v>
      </c>
      <c r="Q1265" s="14">
        <v>4821</v>
      </c>
      <c r="R1265" s="12">
        <v>58</v>
      </c>
      <c r="S1265" s="12" t="s">
        <v>1662</v>
      </c>
      <c r="T1265" s="22">
        <f t="shared" si="97"/>
        <v>2</v>
      </c>
      <c r="U1265" s="22">
        <f t="shared" si="98"/>
        <v>2021</v>
      </c>
      <c r="V1265" s="22" t="str">
        <f t="shared" si="99"/>
        <v>METROPOLITANA</v>
      </c>
    </row>
    <row r="1266" spans="1:22" x14ac:dyDescent="0.2">
      <c r="A1266" s="11" t="s">
        <v>1656</v>
      </c>
      <c r="B1266" s="12" t="s">
        <v>33</v>
      </c>
      <c r="C1266" s="12" t="s">
        <v>44</v>
      </c>
      <c r="D1266" s="12" t="s">
        <v>45</v>
      </c>
      <c r="E1266" s="13" t="s">
        <v>21</v>
      </c>
      <c r="F1266" s="12" t="s">
        <v>46</v>
      </c>
      <c r="G1266" s="14">
        <v>6168.2000000000016</v>
      </c>
      <c r="H1266" s="12" t="s">
        <v>22</v>
      </c>
      <c r="I1266" s="12">
        <v>0</v>
      </c>
      <c r="J1266" s="12" t="s">
        <v>46</v>
      </c>
      <c r="K1266" s="12" t="s">
        <v>23</v>
      </c>
      <c r="L1266" s="12">
        <v>2</v>
      </c>
      <c r="M1266" s="15">
        <v>43177</v>
      </c>
      <c r="N1266" s="15">
        <v>24673</v>
      </c>
      <c r="O1266" s="15">
        <f t="shared" si="95"/>
        <v>67850</v>
      </c>
      <c r="P1266" s="15">
        <f t="shared" si="96"/>
        <v>10.999967575629841</v>
      </c>
      <c r="Q1266" s="14">
        <v>5782</v>
      </c>
      <c r="R1266" s="12">
        <v>100</v>
      </c>
      <c r="S1266" s="12" t="s">
        <v>1663</v>
      </c>
      <c r="T1266" s="22">
        <f t="shared" si="97"/>
        <v>2</v>
      </c>
      <c r="U1266" s="22">
        <f t="shared" si="98"/>
        <v>2021</v>
      </c>
      <c r="V1266" s="22" t="str">
        <f t="shared" si="99"/>
        <v>METROPOLITANA</v>
      </c>
    </row>
    <row r="1267" spans="1:22" x14ac:dyDescent="0.2">
      <c r="A1267" s="11" t="s">
        <v>1656</v>
      </c>
      <c r="B1267" s="12" t="s">
        <v>33</v>
      </c>
      <c r="C1267" s="12" t="s">
        <v>44</v>
      </c>
      <c r="D1267" s="12" t="s">
        <v>47</v>
      </c>
      <c r="E1267" s="13" t="s">
        <v>1576</v>
      </c>
      <c r="F1267" s="12" t="s">
        <v>48</v>
      </c>
      <c r="G1267" s="14">
        <v>7031.2000000000025</v>
      </c>
      <c r="H1267" s="12" t="s">
        <v>22</v>
      </c>
      <c r="I1267" s="12">
        <v>0</v>
      </c>
      <c r="J1267" s="12" t="s">
        <v>48</v>
      </c>
      <c r="K1267" s="12" t="s">
        <v>23</v>
      </c>
      <c r="L1267" s="12">
        <v>1</v>
      </c>
      <c r="M1267" s="15">
        <v>49218</v>
      </c>
      <c r="N1267" s="15">
        <v>28125</v>
      </c>
      <c r="O1267" s="15">
        <f t="shared" si="95"/>
        <v>77343</v>
      </c>
      <c r="P1267" s="15">
        <f t="shared" si="96"/>
        <v>10.999971555353278</v>
      </c>
      <c r="Q1267" s="14">
        <v>4821</v>
      </c>
      <c r="R1267" s="12">
        <v>100</v>
      </c>
      <c r="S1267" s="12" t="s">
        <v>1664</v>
      </c>
      <c r="T1267" s="22">
        <f t="shared" si="97"/>
        <v>2</v>
      </c>
      <c r="U1267" s="22">
        <f t="shared" si="98"/>
        <v>2021</v>
      </c>
      <c r="V1267" s="22" t="str">
        <f t="shared" si="99"/>
        <v>METROPOLITANA</v>
      </c>
    </row>
    <row r="1268" spans="1:22" x14ac:dyDescent="0.2">
      <c r="A1268" s="11" t="s">
        <v>1656</v>
      </c>
      <c r="B1268" s="12" t="s">
        <v>33</v>
      </c>
      <c r="C1268" s="12" t="s">
        <v>44</v>
      </c>
      <c r="D1268" s="12" t="s">
        <v>35</v>
      </c>
      <c r="E1268" s="13" t="s">
        <v>49</v>
      </c>
      <c r="F1268" s="12" t="s">
        <v>182</v>
      </c>
      <c r="G1268" s="14">
        <v>4588.8</v>
      </c>
      <c r="H1268" s="12" t="s">
        <v>22</v>
      </c>
      <c r="I1268" s="12">
        <v>0</v>
      </c>
      <c r="J1268" s="12" t="s">
        <v>182</v>
      </c>
      <c r="K1268" s="12" t="s">
        <v>23</v>
      </c>
      <c r="L1268" s="12">
        <v>4</v>
      </c>
      <c r="M1268" s="15">
        <v>56075</v>
      </c>
      <c r="N1268" s="15">
        <v>18355</v>
      </c>
      <c r="O1268" s="15">
        <f t="shared" si="95"/>
        <v>74430</v>
      </c>
      <c r="P1268" s="15">
        <f t="shared" si="96"/>
        <v>16.219926778242677</v>
      </c>
      <c r="Q1268" s="14">
        <v>8011</v>
      </c>
      <c r="R1268" s="12">
        <v>57</v>
      </c>
      <c r="S1268" s="12" t="s">
        <v>1665</v>
      </c>
      <c r="T1268" s="22">
        <f t="shared" si="97"/>
        <v>2</v>
      </c>
      <c r="U1268" s="22">
        <f t="shared" si="98"/>
        <v>2021</v>
      </c>
      <c r="V1268" s="22" t="str">
        <f t="shared" si="99"/>
        <v>METROPOLITANA</v>
      </c>
    </row>
    <row r="1269" spans="1:22" x14ac:dyDescent="0.2">
      <c r="A1269" s="23" t="s">
        <v>1666</v>
      </c>
      <c r="B1269" s="22" t="s">
        <v>18</v>
      </c>
      <c r="C1269" s="22" t="s">
        <v>50</v>
      </c>
      <c r="D1269" s="22" t="s">
        <v>37</v>
      </c>
      <c r="E1269" s="24" t="s">
        <v>40</v>
      </c>
      <c r="F1269" s="22" t="s">
        <v>26</v>
      </c>
      <c r="G1269" s="25">
        <v>6521.68</v>
      </c>
      <c r="H1269" s="22" t="s">
        <v>22</v>
      </c>
      <c r="I1269" s="22">
        <v>0</v>
      </c>
      <c r="J1269" s="22" t="s">
        <v>26</v>
      </c>
      <c r="K1269" s="22" t="s">
        <v>23</v>
      </c>
      <c r="L1269" s="22">
        <v>4</v>
      </c>
      <c r="M1269" s="26">
        <v>56075</v>
      </c>
      <c r="N1269" s="26">
        <f>G1269*4</f>
        <v>26086.720000000001</v>
      </c>
      <c r="O1269" s="15">
        <f t="shared" si="95"/>
        <v>82161.72</v>
      </c>
      <c r="P1269" s="15">
        <f t="shared" si="96"/>
        <v>12.598244624084591</v>
      </c>
      <c r="Q1269" s="25">
        <v>8011</v>
      </c>
      <c r="R1269" s="22">
        <v>81</v>
      </c>
      <c r="S1269" s="22" t="s">
        <v>1667</v>
      </c>
      <c r="T1269" s="22">
        <f t="shared" si="97"/>
        <v>2</v>
      </c>
      <c r="U1269" s="22">
        <f t="shared" si="98"/>
        <v>2021</v>
      </c>
      <c r="V1269" s="22" t="str">
        <f t="shared" si="99"/>
        <v>METROPOLITANA</v>
      </c>
    </row>
    <row r="1270" spans="1:22" x14ac:dyDescent="0.2">
      <c r="A1270" s="23" t="s">
        <v>1666</v>
      </c>
      <c r="B1270" s="22" t="s">
        <v>18</v>
      </c>
      <c r="C1270" s="22" t="s">
        <v>500</v>
      </c>
      <c r="D1270" s="22" t="s">
        <v>164</v>
      </c>
      <c r="E1270" s="24" t="s">
        <v>28</v>
      </c>
      <c r="F1270" s="22" t="s">
        <v>120</v>
      </c>
      <c r="G1270" s="25">
        <v>14237.86</v>
      </c>
      <c r="H1270" s="22" t="s">
        <v>22</v>
      </c>
      <c r="I1270" s="22">
        <v>1</v>
      </c>
      <c r="J1270" s="22" t="s">
        <v>120</v>
      </c>
      <c r="K1270" s="22" t="s">
        <v>23</v>
      </c>
      <c r="L1270" s="22">
        <v>5</v>
      </c>
      <c r="M1270" s="26">
        <v>120000</v>
      </c>
      <c r="N1270" s="26">
        <f>G1270*4</f>
        <v>56951.44</v>
      </c>
      <c r="O1270" s="15">
        <f t="shared" si="95"/>
        <v>176951.44</v>
      </c>
      <c r="P1270" s="15">
        <f t="shared" si="96"/>
        <v>12.428232894550163</v>
      </c>
      <c r="Q1270" s="25">
        <v>12000</v>
      </c>
      <c r="R1270" s="22">
        <v>100</v>
      </c>
      <c r="S1270" s="22" t="s">
        <v>1668</v>
      </c>
      <c r="T1270" s="22">
        <f t="shared" si="97"/>
        <v>2</v>
      </c>
      <c r="U1270" s="22">
        <f t="shared" si="98"/>
        <v>2021</v>
      </c>
      <c r="V1270" s="22" t="str">
        <f t="shared" si="99"/>
        <v>METROPOLITANA</v>
      </c>
    </row>
    <row r="1271" spans="1:22" x14ac:dyDescent="0.2">
      <c r="A1271" s="23" t="s">
        <v>1666</v>
      </c>
      <c r="B1271" s="22" t="s">
        <v>18</v>
      </c>
      <c r="C1271" s="22" t="s">
        <v>1669</v>
      </c>
      <c r="D1271" s="22" t="s">
        <v>121</v>
      </c>
      <c r="E1271" s="24" t="s">
        <v>1431</v>
      </c>
      <c r="F1271" s="22" t="s">
        <v>691</v>
      </c>
      <c r="G1271" s="25">
        <v>17873.310000000001</v>
      </c>
      <c r="H1271" s="22" t="s">
        <v>85</v>
      </c>
      <c r="I1271" s="22">
        <v>1</v>
      </c>
      <c r="J1271" s="22" t="s">
        <v>691</v>
      </c>
      <c r="K1271" s="22" t="s">
        <v>873</v>
      </c>
      <c r="L1271" s="22">
        <v>0</v>
      </c>
      <c r="M1271" s="26">
        <v>1020000</v>
      </c>
      <c r="N1271" s="26">
        <v>0</v>
      </c>
      <c r="O1271" s="15">
        <f t="shared" si="95"/>
        <v>1020000</v>
      </c>
      <c r="P1271" s="15">
        <f t="shared" si="96"/>
        <v>57.068332614384239</v>
      </c>
      <c r="Q1271" s="25">
        <v>25000</v>
      </c>
      <c r="R1271" s="22">
        <v>71</v>
      </c>
      <c r="S1271" s="22" t="s">
        <v>1670</v>
      </c>
      <c r="T1271" s="22">
        <f t="shared" si="97"/>
        <v>2</v>
      </c>
      <c r="U1271" s="22">
        <f t="shared" si="98"/>
        <v>2021</v>
      </c>
      <c r="V1271" s="22" t="str">
        <f t="shared" si="99"/>
        <v>REGIONES</v>
      </c>
    </row>
    <row r="1272" spans="1:22" x14ac:dyDescent="0.2">
      <c r="A1272" s="23" t="s">
        <v>1666</v>
      </c>
      <c r="B1272" s="22" t="s">
        <v>33</v>
      </c>
      <c r="C1272" s="22" t="s">
        <v>128</v>
      </c>
      <c r="D1272" s="22" t="s">
        <v>38</v>
      </c>
      <c r="E1272" s="24" t="s">
        <v>25</v>
      </c>
      <c r="F1272" s="22" t="s">
        <v>34</v>
      </c>
      <c r="G1272" s="25">
        <v>8502</v>
      </c>
      <c r="H1272" s="22" t="s">
        <v>43</v>
      </c>
      <c r="I1272" s="22">
        <v>0</v>
      </c>
      <c r="J1272" s="22" t="s">
        <v>34</v>
      </c>
      <c r="K1272" s="22" t="s">
        <v>23</v>
      </c>
      <c r="L1272" s="22">
        <v>1</v>
      </c>
      <c r="M1272" s="26">
        <f>G1272*11</f>
        <v>93522</v>
      </c>
      <c r="N1272" s="26">
        <v>0</v>
      </c>
      <c r="O1272" s="15">
        <f t="shared" si="95"/>
        <v>93522</v>
      </c>
      <c r="P1272" s="15">
        <f t="shared" si="96"/>
        <v>11</v>
      </c>
      <c r="Q1272" s="25">
        <v>4821</v>
      </c>
      <c r="R1272" s="22">
        <v>100</v>
      </c>
      <c r="S1272" s="22" t="s">
        <v>1671</v>
      </c>
      <c r="T1272" s="22">
        <f t="shared" si="97"/>
        <v>2</v>
      </c>
      <c r="U1272" s="22">
        <f t="shared" si="98"/>
        <v>2021</v>
      </c>
      <c r="V1272" s="22" t="str">
        <f t="shared" si="99"/>
        <v>METROPOLITANA</v>
      </c>
    </row>
    <row r="1273" spans="1:22" x14ac:dyDescent="0.2">
      <c r="A1273" s="23" t="s">
        <v>1666</v>
      </c>
      <c r="B1273" s="22" t="s">
        <v>33</v>
      </c>
      <c r="C1273" s="22" t="s">
        <v>128</v>
      </c>
      <c r="D1273" s="22" t="s">
        <v>20</v>
      </c>
      <c r="E1273" s="24" t="s">
        <v>21</v>
      </c>
      <c r="F1273" s="22" t="s">
        <v>34</v>
      </c>
      <c r="G1273" s="25">
        <v>5951.4</v>
      </c>
      <c r="H1273" s="22" t="s">
        <v>22</v>
      </c>
      <c r="I1273" s="22">
        <v>0</v>
      </c>
      <c r="J1273" s="22" t="s">
        <v>34</v>
      </c>
      <c r="K1273" s="22" t="s">
        <v>23</v>
      </c>
      <c r="L1273" s="22">
        <v>1</v>
      </c>
      <c r="M1273" s="26">
        <v>41660</v>
      </c>
      <c r="N1273" s="26">
        <v>23806</v>
      </c>
      <c r="O1273" s="15">
        <f t="shared" si="95"/>
        <v>65466</v>
      </c>
      <c r="P1273" s="15">
        <f t="shared" si="96"/>
        <v>11.000100816614578</v>
      </c>
      <c r="Q1273" s="25">
        <v>4821</v>
      </c>
      <c r="R1273" s="22">
        <v>100</v>
      </c>
      <c r="S1273" s="22" t="s">
        <v>1672</v>
      </c>
      <c r="T1273" s="22">
        <f t="shared" si="97"/>
        <v>2</v>
      </c>
      <c r="U1273" s="22">
        <f t="shared" si="98"/>
        <v>2021</v>
      </c>
      <c r="V1273" s="22" t="str">
        <f t="shared" si="99"/>
        <v>METROPOLITANA</v>
      </c>
    </row>
    <row r="1274" spans="1:22" x14ac:dyDescent="0.2">
      <c r="A1274" s="23" t="s">
        <v>1666</v>
      </c>
      <c r="B1274" s="22" t="s">
        <v>33</v>
      </c>
      <c r="C1274" s="22" t="s">
        <v>29</v>
      </c>
      <c r="D1274" s="22" t="s">
        <v>636</v>
      </c>
      <c r="E1274" s="24" t="s">
        <v>639</v>
      </c>
      <c r="F1274" s="22" t="s">
        <v>132</v>
      </c>
      <c r="G1274" s="25">
        <v>23403.20000000003</v>
      </c>
      <c r="H1274" s="22" t="s">
        <v>85</v>
      </c>
      <c r="I1274" s="22">
        <v>1</v>
      </c>
      <c r="J1274" s="22" t="s">
        <v>132</v>
      </c>
      <c r="K1274" s="22" t="s">
        <v>124</v>
      </c>
      <c r="L1274" s="22">
        <v>0</v>
      </c>
      <c r="M1274" s="26">
        <v>350000</v>
      </c>
      <c r="N1274" s="26">
        <v>0</v>
      </c>
      <c r="O1274" s="15">
        <f t="shared" si="95"/>
        <v>350000</v>
      </c>
      <c r="P1274" s="15">
        <f t="shared" si="96"/>
        <v>14.955219799001826</v>
      </c>
      <c r="Q1274" s="25">
        <v>25000</v>
      </c>
      <c r="R1274" s="22">
        <v>94</v>
      </c>
      <c r="S1274" s="22" t="s">
        <v>1673</v>
      </c>
      <c r="T1274" s="22">
        <f t="shared" si="97"/>
        <v>2</v>
      </c>
      <c r="U1274" s="22">
        <f t="shared" si="98"/>
        <v>2021</v>
      </c>
      <c r="V1274" s="22" t="str">
        <f t="shared" si="99"/>
        <v>REGIONES</v>
      </c>
    </row>
    <row r="1275" spans="1:22" x14ac:dyDescent="0.2">
      <c r="A1275" s="23" t="s">
        <v>1666</v>
      </c>
      <c r="B1275" s="22" t="s">
        <v>33</v>
      </c>
      <c r="C1275" s="22" t="s">
        <v>44</v>
      </c>
      <c r="D1275" s="22" t="s">
        <v>56</v>
      </c>
      <c r="E1275" s="24" t="s">
        <v>52</v>
      </c>
      <c r="F1275" s="22" t="s">
        <v>229</v>
      </c>
      <c r="G1275" s="25">
        <v>4351.2000000000016</v>
      </c>
      <c r="H1275" s="22" t="s">
        <v>22</v>
      </c>
      <c r="I1275" s="22">
        <v>0</v>
      </c>
      <c r="J1275" s="22" t="s">
        <v>230</v>
      </c>
      <c r="K1275" s="22" t="s">
        <v>23</v>
      </c>
      <c r="L1275" s="22">
        <v>4</v>
      </c>
      <c r="M1275" s="26">
        <v>56075</v>
      </c>
      <c r="N1275" s="26">
        <v>17405</v>
      </c>
      <c r="O1275" s="15">
        <f t="shared" si="95"/>
        <v>73480</v>
      </c>
      <c r="P1275" s="15">
        <f t="shared" si="96"/>
        <v>16.887295458724022</v>
      </c>
      <c r="Q1275" s="25">
        <v>8011</v>
      </c>
      <c r="R1275" s="22">
        <v>54</v>
      </c>
      <c r="S1275" s="22" t="s">
        <v>1674</v>
      </c>
      <c r="T1275" s="22">
        <f t="shared" si="97"/>
        <v>2</v>
      </c>
      <c r="U1275" s="22">
        <f t="shared" si="98"/>
        <v>2021</v>
      </c>
      <c r="V1275" s="22" t="str">
        <f t="shared" si="99"/>
        <v>METROPOLITANA</v>
      </c>
    </row>
    <row r="1276" spans="1:22" x14ac:dyDescent="0.2">
      <c r="A1276" s="23" t="s">
        <v>1666</v>
      </c>
      <c r="B1276" s="22" t="s">
        <v>33</v>
      </c>
      <c r="C1276" s="22" t="s">
        <v>44</v>
      </c>
      <c r="D1276" s="22" t="s">
        <v>188</v>
      </c>
      <c r="E1276" s="24" t="s">
        <v>189</v>
      </c>
      <c r="F1276" s="22" t="s">
        <v>53</v>
      </c>
      <c r="G1276" s="25">
        <v>5228.9999999999991</v>
      </c>
      <c r="H1276" s="22" t="s">
        <v>190</v>
      </c>
      <c r="I1276" s="22">
        <v>0</v>
      </c>
      <c r="J1276" s="22" t="s">
        <v>53</v>
      </c>
      <c r="K1276" s="22" t="s">
        <v>23</v>
      </c>
      <c r="L1276" s="22">
        <v>3</v>
      </c>
      <c r="M1276" s="26">
        <f>G1276*11</f>
        <v>57518.999999999993</v>
      </c>
      <c r="N1276" s="26">
        <v>0</v>
      </c>
      <c r="O1276" s="15">
        <f t="shared" si="95"/>
        <v>57518.999999999993</v>
      </c>
      <c r="P1276" s="15">
        <f t="shared" si="96"/>
        <v>11</v>
      </c>
      <c r="Q1276" s="25">
        <v>6868</v>
      </c>
      <c r="R1276" s="22">
        <v>76</v>
      </c>
      <c r="S1276" s="22" t="s">
        <v>1675</v>
      </c>
      <c r="T1276" s="22">
        <f t="shared" si="97"/>
        <v>2</v>
      </c>
      <c r="U1276" s="22">
        <f t="shared" si="98"/>
        <v>2021</v>
      </c>
      <c r="V1276" s="22" t="str">
        <f t="shared" si="99"/>
        <v>METROPOLITANA</v>
      </c>
    </row>
    <row r="1277" spans="1:22" x14ac:dyDescent="0.2">
      <c r="A1277" s="23" t="s">
        <v>1666</v>
      </c>
      <c r="B1277" s="22" t="s">
        <v>33</v>
      </c>
      <c r="C1277" s="22" t="s">
        <v>44</v>
      </c>
      <c r="D1277" s="22" t="s">
        <v>45</v>
      </c>
      <c r="E1277" s="24" t="s">
        <v>88</v>
      </c>
      <c r="F1277" s="22" t="s">
        <v>95</v>
      </c>
      <c r="G1277" s="25">
        <v>2496</v>
      </c>
      <c r="H1277" s="22" t="s">
        <v>22</v>
      </c>
      <c r="I1277" s="22">
        <v>0</v>
      </c>
      <c r="J1277" s="22" t="s">
        <v>95</v>
      </c>
      <c r="K1277" s="22" t="s">
        <v>23</v>
      </c>
      <c r="L1277" s="22">
        <v>4</v>
      </c>
      <c r="M1277" s="26">
        <v>56075</v>
      </c>
      <c r="N1277" s="26">
        <v>12000</v>
      </c>
      <c r="O1277" s="15">
        <f t="shared" si="95"/>
        <v>68075</v>
      </c>
      <c r="P1277" s="15">
        <f t="shared" si="96"/>
        <v>27.273637820512821</v>
      </c>
      <c r="Q1277" s="25">
        <v>8011</v>
      </c>
      <c r="R1277" s="22">
        <v>31</v>
      </c>
      <c r="S1277" s="22" t="s">
        <v>1676</v>
      </c>
      <c r="T1277" s="22">
        <f t="shared" si="97"/>
        <v>2</v>
      </c>
      <c r="U1277" s="22">
        <f t="shared" si="98"/>
        <v>2021</v>
      </c>
      <c r="V1277" s="22" t="str">
        <f t="shared" si="99"/>
        <v>METROPOLITANA</v>
      </c>
    </row>
    <row r="1278" spans="1:22" x14ac:dyDescent="0.2">
      <c r="A1278" s="23" t="s">
        <v>1666</v>
      </c>
      <c r="B1278" s="22" t="s">
        <v>33</v>
      </c>
      <c r="C1278" s="22" t="s">
        <v>44</v>
      </c>
      <c r="D1278" s="22" t="s">
        <v>47</v>
      </c>
      <c r="E1278" s="24" t="s">
        <v>1576</v>
      </c>
      <c r="F1278" s="22" t="s">
        <v>34</v>
      </c>
      <c r="G1278" s="25">
        <v>8922.6</v>
      </c>
      <c r="H1278" s="22" t="s">
        <v>22</v>
      </c>
      <c r="I1278" s="22">
        <v>0</v>
      </c>
      <c r="J1278" s="22" t="s">
        <v>34</v>
      </c>
      <c r="K1278" s="22" t="s">
        <v>23</v>
      </c>
      <c r="L1278" s="22">
        <v>1</v>
      </c>
      <c r="M1278" s="26">
        <v>62458</v>
      </c>
      <c r="N1278" s="26">
        <v>35690</v>
      </c>
      <c r="O1278" s="15">
        <f t="shared" si="95"/>
        <v>98148</v>
      </c>
      <c r="P1278" s="15">
        <f t="shared" si="96"/>
        <v>10.999932755026562</v>
      </c>
      <c r="Q1278" s="25">
        <v>4821</v>
      </c>
      <c r="R1278" s="22">
        <v>100</v>
      </c>
      <c r="S1278" s="22" t="s">
        <v>1677</v>
      </c>
      <c r="T1278" s="22">
        <f t="shared" si="97"/>
        <v>2</v>
      </c>
      <c r="U1278" s="22">
        <f t="shared" si="98"/>
        <v>2021</v>
      </c>
      <c r="V1278" s="22" t="str">
        <f t="shared" si="99"/>
        <v>METROPOLITANA</v>
      </c>
    </row>
    <row r="1279" spans="1:22" x14ac:dyDescent="0.2">
      <c r="A1279" s="23" t="s">
        <v>1666</v>
      </c>
      <c r="B1279" s="22" t="s">
        <v>33</v>
      </c>
      <c r="C1279" s="22" t="s">
        <v>44</v>
      </c>
      <c r="D1279" s="22" t="s">
        <v>35</v>
      </c>
      <c r="E1279" s="24" t="s">
        <v>49</v>
      </c>
      <c r="F1279" s="22" t="s">
        <v>182</v>
      </c>
      <c r="G1279" s="25">
        <v>1270.8</v>
      </c>
      <c r="H1279" s="22" t="s">
        <v>22</v>
      </c>
      <c r="I1279" s="22">
        <v>0</v>
      </c>
      <c r="J1279" s="22" t="s">
        <v>182</v>
      </c>
      <c r="K1279" s="22" t="s">
        <v>23</v>
      </c>
      <c r="L1279" s="22">
        <v>4</v>
      </c>
      <c r="M1279" s="26">
        <v>56075</v>
      </c>
      <c r="N1279" s="26">
        <v>12000</v>
      </c>
      <c r="O1279" s="15">
        <f t="shared" si="95"/>
        <v>68075</v>
      </c>
      <c r="P1279" s="15">
        <f t="shared" si="96"/>
        <v>53.568618193264086</v>
      </c>
      <c r="Q1279" s="25">
        <v>8011</v>
      </c>
      <c r="R1279" s="22">
        <v>16</v>
      </c>
      <c r="S1279" s="22" t="s">
        <v>1678</v>
      </c>
      <c r="T1279" s="22">
        <f t="shared" si="97"/>
        <v>2</v>
      </c>
      <c r="U1279" s="22">
        <f t="shared" si="98"/>
        <v>2021</v>
      </c>
      <c r="V1279" s="22" t="str">
        <f t="shared" si="99"/>
        <v>METROPOLITANA</v>
      </c>
    </row>
    <row r="1280" spans="1:22" x14ac:dyDescent="0.2">
      <c r="A1280" s="11" t="s">
        <v>1679</v>
      </c>
      <c r="B1280" s="12" t="s">
        <v>54</v>
      </c>
      <c r="C1280" s="12" t="s">
        <v>55</v>
      </c>
      <c r="D1280" s="12" t="s">
        <v>191</v>
      </c>
      <c r="E1280" s="13" t="s">
        <v>1680</v>
      </c>
      <c r="F1280" s="12" t="s">
        <v>66</v>
      </c>
      <c r="G1280" s="14">
        <v>16142.400000000011</v>
      </c>
      <c r="H1280" s="12" t="s">
        <v>85</v>
      </c>
      <c r="I1280" s="12">
        <v>1</v>
      </c>
      <c r="J1280" s="12" t="s">
        <v>66</v>
      </c>
      <c r="K1280" s="12" t="s">
        <v>75</v>
      </c>
      <c r="L1280" s="12">
        <v>0</v>
      </c>
      <c r="M1280" s="15">
        <v>380000</v>
      </c>
      <c r="N1280" s="15">
        <v>0</v>
      </c>
      <c r="O1280" s="15">
        <f t="shared" si="95"/>
        <v>380000</v>
      </c>
      <c r="P1280" s="15">
        <f t="shared" si="96"/>
        <v>23.540489642184543</v>
      </c>
      <c r="Q1280" s="14">
        <v>25000</v>
      </c>
      <c r="R1280" s="12">
        <v>65</v>
      </c>
      <c r="S1280" s="12" t="s">
        <v>1681</v>
      </c>
      <c r="T1280" s="22">
        <f t="shared" si="97"/>
        <v>2</v>
      </c>
      <c r="U1280" s="22">
        <f t="shared" si="98"/>
        <v>2021</v>
      </c>
      <c r="V1280" s="22" t="str">
        <f t="shared" si="99"/>
        <v>REGIONES</v>
      </c>
    </row>
    <row r="1281" spans="1:22" x14ac:dyDescent="0.2">
      <c r="A1281" s="11" t="s">
        <v>1679</v>
      </c>
      <c r="B1281" s="12" t="s">
        <v>18</v>
      </c>
      <c r="C1281" s="12" t="s">
        <v>50</v>
      </c>
      <c r="D1281" s="12" t="s">
        <v>63</v>
      </c>
      <c r="E1281" s="13" t="s">
        <v>64</v>
      </c>
      <c r="F1281" s="12" t="s">
        <v>26</v>
      </c>
      <c r="G1281" s="14">
        <v>11412.94</v>
      </c>
      <c r="H1281" s="12" t="s">
        <v>65</v>
      </c>
      <c r="I1281" s="12">
        <v>0</v>
      </c>
      <c r="J1281" s="12" t="s">
        <v>26</v>
      </c>
      <c r="K1281" s="12" t="s">
        <v>23</v>
      </c>
      <c r="L1281" s="12">
        <v>4</v>
      </c>
      <c r="M1281" s="15">
        <f>G1281*11</f>
        <v>125542.34000000001</v>
      </c>
      <c r="N1281" s="15">
        <v>0</v>
      </c>
      <c r="O1281" s="15">
        <f t="shared" si="95"/>
        <v>125542.34000000001</v>
      </c>
      <c r="P1281" s="15">
        <f t="shared" si="96"/>
        <v>11</v>
      </c>
      <c r="Q1281" s="14">
        <v>8011</v>
      </c>
      <c r="R1281" s="12">
        <v>100</v>
      </c>
      <c r="S1281" s="12" t="s">
        <v>1682</v>
      </c>
      <c r="T1281" s="22">
        <f t="shared" si="97"/>
        <v>2</v>
      </c>
      <c r="U1281" s="22">
        <f t="shared" si="98"/>
        <v>2021</v>
      </c>
      <c r="V1281" s="22" t="str">
        <f t="shared" si="99"/>
        <v>METROPOLITANA</v>
      </c>
    </row>
    <row r="1282" spans="1:22" x14ac:dyDescent="0.2">
      <c r="A1282" s="11" t="s">
        <v>1679</v>
      </c>
      <c r="B1282" s="12" t="s">
        <v>18</v>
      </c>
      <c r="C1282" s="12" t="s">
        <v>71</v>
      </c>
      <c r="D1282" s="12" t="s">
        <v>20</v>
      </c>
      <c r="E1282" s="13" t="s">
        <v>21</v>
      </c>
      <c r="F1282" s="12" t="s">
        <v>72</v>
      </c>
      <c r="G1282" s="14">
        <v>4870.32</v>
      </c>
      <c r="H1282" s="12" t="s">
        <v>22</v>
      </c>
      <c r="I1282" s="12">
        <v>0</v>
      </c>
      <c r="J1282" s="12" t="s">
        <v>72</v>
      </c>
      <c r="K1282" s="12" t="s">
        <v>23</v>
      </c>
      <c r="L1282" s="12">
        <v>5</v>
      </c>
      <c r="M1282" s="15">
        <v>90000</v>
      </c>
      <c r="N1282" s="15">
        <f>G1282*4</f>
        <v>19481.28</v>
      </c>
      <c r="O1282" s="15">
        <f t="shared" ref="O1282:O1345" si="100">SUM(M1282:N1282)</f>
        <v>109481.28</v>
      </c>
      <c r="P1282" s="15">
        <f t="shared" ref="P1282:P1345" si="101">O1282/G1282</f>
        <v>22.47927856896467</v>
      </c>
      <c r="Q1282" s="14">
        <v>12000</v>
      </c>
      <c r="R1282" s="12">
        <v>41</v>
      </c>
      <c r="S1282" s="12" t="s">
        <v>1683</v>
      </c>
      <c r="T1282" s="22">
        <f t="shared" ref="T1282:T1345" si="102">MONTH(A1282)</f>
        <v>2</v>
      </c>
      <c r="U1282" s="22">
        <f t="shared" ref="U1282:U1345" si="103">YEAR(A1282)</f>
        <v>2021</v>
      </c>
      <c r="V1282" s="22" t="str">
        <f t="shared" ref="V1282:V1345" si="104">IF(K1282="METROPOLITANA DE SANTIAGO","METROPOLITANA","REGIONES")</f>
        <v>METROPOLITANA</v>
      </c>
    </row>
    <row r="1283" spans="1:22" x14ac:dyDescent="0.2">
      <c r="A1283" s="11" t="s">
        <v>1679</v>
      </c>
      <c r="B1283" s="12" t="s">
        <v>33</v>
      </c>
      <c r="C1283" s="12" t="s">
        <v>50</v>
      </c>
      <c r="D1283" s="12" t="s">
        <v>38</v>
      </c>
      <c r="E1283" s="13" t="s">
        <v>25</v>
      </c>
      <c r="F1283" s="12" t="s">
        <v>26</v>
      </c>
      <c r="G1283" s="14">
        <v>9760</v>
      </c>
      <c r="H1283" s="12" t="s">
        <v>43</v>
      </c>
      <c r="I1283" s="12">
        <v>1</v>
      </c>
      <c r="J1283" s="12" t="s">
        <v>26</v>
      </c>
      <c r="K1283" s="12" t="s">
        <v>23</v>
      </c>
      <c r="L1283" s="12">
        <v>4</v>
      </c>
      <c r="M1283" s="15">
        <f>G1283*11</f>
        <v>107360</v>
      </c>
      <c r="N1283" s="15">
        <v>0</v>
      </c>
      <c r="O1283" s="15">
        <f t="shared" si="100"/>
        <v>107360</v>
      </c>
      <c r="P1283" s="15">
        <f t="shared" si="101"/>
        <v>11</v>
      </c>
      <c r="Q1283" s="14">
        <v>8011</v>
      </c>
      <c r="R1283" s="12">
        <v>100</v>
      </c>
      <c r="S1283" s="12" t="s">
        <v>1684</v>
      </c>
      <c r="T1283" s="22">
        <f t="shared" si="102"/>
        <v>2</v>
      </c>
      <c r="U1283" s="22">
        <f t="shared" si="103"/>
        <v>2021</v>
      </c>
      <c r="V1283" s="22" t="str">
        <f t="shared" si="104"/>
        <v>METROPOLITANA</v>
      </c>
    </row>
    <row r="1284" spans="1:22" x14ac:dyDescent="0.2">
      <c r="A1284" s="11" t="s">
        <v>1679</v>
      </c>
      <c r="B1284" s="12" t="s">
        <v>33</v>
      </c>
      <c r="C1284" s="12" t="s">
        <v>36</v>
      </c>
      <c r="D1284" s="12" t="s">
        <v>30</v>
      </c>
      <c r="E1284" s="13" t="s">
        <v>31</v>
      </c>
      <c r="F1284" s="12" t="s">
        <v>308</v>
      </c>
      <c r="G1284" s="14">
        <v>6151.800000000002</v>
      </c>
      <c r="H1284" s="12" t="s">
        <v>32</v>
      </c>
      <c r="I1284" s="12">
        <v>0</v>
      </c>
      <c r="J1284" s="12" t="s">
        <v>308</v>
      </c>
      <c r="K1284" s="12" t="s">
        <v>78</v>
      </c>
      <c r="L1284" s="12">
        <v>0</v>
      </c>
      <c r="M1284" s="15">
        <v>180000</v>
      </c>
      <c r="N1284" s="15">
        <v>0</v>
      </c>
      <c r="O1284" s="15">
        <f t="shared" si="100"/>
        <v>180000</v>
      </c>
      <c r="P1284" s="15">
        <f t="shared" si="101"/>
        <v>29.25972885984589</v>
      </c>
      <c r="Q1284" s="14">
        <v>25000</v>
      </c>
      <c r="R1284" s="12">
        <v>25</v>
      </c>
      <c r="S1284" s="12" t="s">
        <v>1685</v>
      </c>
      <c r="T1284" s="22">
        <f t="shared" si="102"/>
        <v>2</v>
      </c>
      <c r="U1284" s="22">
        <f t="shared" si="103"/>
        <v>2021</v>
      </c>
      <c r="V1284" s="22" t="str">
        <f t="shared" si="104"/>
        <v>REGIONES</v>
      </c>
    </row>
    <row r="1285" spans="1:22" x14ac:dyDescent="0.2">
      <c r="A1285" s="11" t="s">
        <v>1679</v>
      </c>
      <c r="B1285" s="12" t="s">
        <v>33</v>
      </c>
      <c r="C1285" s="12" t="s">
        <v>29</v>
      </c>
      <c r="D1285" s="12" t="s">
        <v>37</v>
      </c>
      <c r="E1285" s="13" t="s">
        <v>40</v>
      </c>
      <c r="F1285" s="12" t="s">
        <v>129</v>
      </c>
      <c r="G1285" s="14">
        <v>11745.87</v>
      </c>
      <c r="H1285" s="12" t="s">
        <v>22</v>
      </c>
      <c r="I1285" s="12">
        <v>0</v>
      </c>
      <c r="J1285" s="12" t="s">
        <v>129</v>
      </c>
      <c r="K1285" s="12" t="s">
        <v>23</v>
      </c>
      <c r="L1285" s="12">
        <v>1</v>
      </c>
      <c r="M1285" s="15">
        <v>82221</v>
      </c>
      <c r="N1285" s="15">
        <v>46983</v>
      </c>
      <c r="O1285" s="15">
        <f t="shared" si="100"/>
        <v>129204</v>
      </c>
      <c r="P1285" s="15">
        <f t="shared" si="101"/>
        <v>10.999951472304733</v>
      </c>
      <c r="Q1285" s="14">
        <v>4821</v>
      </c>
      <c r="R1285" s="12">
        <v>100</v>
      </c>
      <c r="S1285" s="12" t="s">
        <v>1686</v>
      </c>
      <c r="T1285" s="22">
        <f t="shared" si="102"/>
        <v>2</v>
      </c>
      <c r="U1285" s="22">
        <f t="shared" si="103"/>
        <v>2021</v>
      </c>
      <c r="V1285" s="22" t="str">
        <f t="shared" si="104"/>
        <v>METROPOLITANA</v>
      </c>
    </row>
    <row r="1286" spans="1:22" x14ac:dyDescent="0.2">
      <c r="A1286" s="11" t="s">
        <v>1679</v>
      </c>
      <c r="B1286" s="12" t="s">
        <v>33</v>
      </c>
      <c r="C1286" s="12" t="s">
        <v>44</v>
      </c>
      <c r="D1286" s="12" t="s">
        <v>56</v>
      </c>
      <c r="E1286" s="13" t="s">
        <v>52</v>
      </c>
      <c r="F1286" s="12" t="s">
        <v>46</v>
      </c>
      <c r="G1286" s="14">
        <v>2568.6</v>
      </c>
      <c r="H1286" s="12" t="s">
        <v>22</v>
      </c>
      <c r="I1286" s="12">
        <v>0</v>
      </c>
      <c r="J1286" s="12" t="s">
        <v>46</v>
      </c>
      <c r="K1286" s="12" t="s">
        <v>23</v>
      </c>
      <c r="L1286" s="12">
        <v>2</v>
      </c>
      <c r="M1286" s="15">
        <v>40475</v>
      </c>
      <c r="N1286" s="15">
        <v>10274</v>
      </c>
      <c r="O1286" s="15">
        <f t="shared" si="100"/>
        <v>50749</v>
      </c>
      <c r="P1286" s="15">
        <f t="shared" si="101"/>
        <v>19.757455423187729</v>
      </c>
      <c r="Q1286" s="14">
        <v>5782</v>
      </c>
      <c r="R1286" s="12">
        <v>44</v>
      </c>
      <c r="S1286" s="12" t="s">
        <v>1687</v>
      </c>
      <c r="T1286" s="22">
        <f t="shared" si="102"/>
        <v>2</v>
      </c>
      <c r="U1286" s="22">
        <f t="shared" si="103"/>
        <v>2021</v>
      </c>
      <c r="V1286" s="22" t="str">
        <f t="shared" si="104"/>
        <v>METROPOLITANA</v>
      </c>
    </row>
    <row r="1287" spans="1:22" x14ac:dyDescent="0.2">
      <c r="A1287" s="11" t="s">
        <v>1679</v>
      </c>
      <c r="B1287" s="12" t="s">
        <v>33</v>
      </c>
      <c r="C1287" s="12" t="s">
        <v>44</v>
      </c>
      <c r="D1287" s="12" t="s">
        <v>45</v>
      </c>
      <c r="E1287" s="13" t="s">
        <v>21</v>
      </c>
      <c r="F1287" s="12" t="s">
        <v>26</v>
      </c>
      <c r="G1287" s="14">
        <v>3556.2</v>
      </c>
      <c r="H1287" s="12" t="s">
        <v>22</v>
      </c>
      <c r="I1287" s="12">
        <v>0</v>
      </c>
      <c r="J1287" s="12" t="s">
        <v>26</v>
      </c>
      <c r="K1287" s="12" t="s">
        <v>23</v>
      </c>
      <c r="L1287" s="12">
        <v>4</v>
      </c>
      <c r="M1287" s="15">
        <v>56075</v>
      </c>
      <c r="N1287" s="15">
        <v>14225</v>
      </c>
      <c r="O1287" s="15">
        <f t="shared" si="100"/>
        <v>70300</v>
      </c>
      <c r="P1287" s="15">
        <f t="shared" si="101"/>
        <v>19.768291997075529</v>
      </c>
      <c r="Q1287" s="14">
        <v>8011</v>
      </c>
      <c r="R1287" s="12">
        <v>44</v>
      </c>
      <c r="S1287" s="12" t="s">
        <v>1688</v>
      </c>
      <c r="T1287" s="22">
        <f t="shared" si="102"/>
        <v>2</v>
      </c>
      <c r="U1287" s="22">
        <f t="shared" si="103"/>
        <v>2021</v>
      </c>
      <c r="V1287" s="22" t="str">
        <f t="shared" si="104"/>
        <v>METROPOLITANA</v>
      </c>
    </row>
    <row r="1288" spans="1:22" x14ac:dyDescent="0.2">
      <c r="A1288" s="11" t="s">
        <v>1679</v>
      </c>
      <c r="B1288" s="12" t="s">
        <v>33</v>
      </c>
      <c r="C1288" s="12" t="s">
        <v>44</v>
      </c>
      <c r="D1288" s="12" t="s">
        <v>47</v>
      </c>
      <c r="E1288" s="13" t="s">
        <v>1576</v>
      </c>
      <c r="F1288" s="12" t="s">
        <v>48</v>
      </c>
      <c r="G1288" s="14">
        <v>4597.1999999999989</v>
      </c>
      <c r="H1288" s="12" t="s">
        <v>22</v>
      </c>
      <c r="I1288" s="12">
        <v>0</v>
      </c>
      <c r="J1288" s="12" t="s">
        <v>48</v>
      </c>
      <c r="K1288" s="12" t="s">
        <v>23</v>
      </c>
      <c r="L1288" s="12">
        <v>1</v>
      </c>
      <c r="M1288" s="15">
        <v>33750</v>
      </c>
      <c r="N1288" s="15">
        <v>18389</v>
      </c>
      <c r="O1288" s="15">
        <f t="shared" si="100"/>
        <v>52139</v>
      </c>
      <c r="P1288" s="15">
        <f t="shared" si="101"/>
        <v>11.341468720090493</v>
      </c>
      <c r="Q1288" s="14">
        <v>4821</v>
      </c>
      <c r="R1288" s="12">
        <v>95</v>
      </c>
      <c r="S1288" s="12" t="s">
        <v>1689</v>
      </c>
      <c r="T1288" s="22">
        <f t="shared" si="102"/>
        <v>2</v>
      </c>
      <c r="U1288" s="22">
        <f t="shared" si="103"/>
        <v>2021</v>
      </c>
      <c r="V1288" s="22" t="str">
        <f t="shared" si="104"/>
        <v>METROPOLITANA</v>
      </c>
    </row>
    <row r="1289" spans="1:22" x14ac:dyDescent="0.2">
      <c r="A1289" s="11" t="s">
        <v>1679</v>
      </c>
      <c r="B1289" s="12" t="s">
        <v>33</v>
      </c>
      <c r="C1289" s="12" t="s">
        <v>44</v>
      </c>
      <c r="D1289" s="12" t="s">
        <v>35</v>
      </c>
      <c r="E1289" s="13" t="s">
        <v>49</v>
      </c>
      <c r="F1289" s="12" t="s">
        <v>51</v>
      </c>
      <c r="G1289" s="14">
        <v>1453.2</v>
      </c>
      <c r="H1289" s="12" t="s">
        <v>22</v>
      </c>
      <c r="I1289" s="12">
        <v>0</v>
      </c>
      <c r="J1289" s="12" t="s">
        <v>51</v>
      </c>
      <c r="K1289" s="12" t="s">
        <v>23</v>
      </c>
      <c r="L1289" s="12">
        <v>4</v>
      </c>
      <c r="M1289" s="15">
        <v>56075</v>
      </c>
      <c r="N1289" s="15">
        <v>5813</v>
      </c>
      <c r="O1289" s="15">
        <f t="shared" si="100"/>
        <v>61888</v>
      </c>
      <c r="P1289" s="15">
        <f t="shared" si="101"/>
        <v>42.587393338838424</v>
      </c>
      <c r="Q1289" s="14">
        <v>8011</v>
      </c>
      <c r="R1289" s="12">
        <v>18</v>
      </c>
      <c r="S1289" s="12" t="s">
        <v>1690</v>
      </c>
      <c r="T1289" s="22">
        <f t="shared" si="102"/>
        <v>2</v>
      </c>
      <c r="U1289" s="22">
        <f t="shared" si="103"/>
        <v>2021</v>
      </c>
      <c r="V1289" s="22" t="str">
        <f t="shared" si="104"/>
        <v>METROPOLITANA</v>
      </c>
    </row>
    <row r="1290" spans="1:22" x14ac:dyDescent="0.2">
      <c r="A1290" s="23" t="s">
        <v>1691</v>
      </c>
      <c r="B1290" s="22" t="s">
        <v>18</v>
      </c>
      <c r="C1290" s="22" t="s">
        <v>50</v>
      </c>
      <c r="D1290" s="22" t="s">
        <v>37</v>
      </c>
      <c r="E1290" s="24" t="s">
        <v>40</v>
      </c>
      <c r="F1290" s="22" t="s">
        <v>26</v>
      </c>
      <c r="G1290" s="25">
        <v>11412.94</v>
      </c>
      <c r="H1290" s="22" t="s">
        <v>22</v>
      </c>
      <c r="I1290" s="22">
        <v>0</v>
      </c>
      <c r="J1290" s="22" t="s">
        <v>26</v>
      </c>
      <c r="K1290" s="22" t="s">
        <v>23</v>
      </c>
      <c r="L1290" s="22">
        <v>4</v>
      </c>
      <c r="M1290" s="26">
        <v>79891</v>
      </c>
      <c r="N1290" s="26">
        <f>G1290*4</f>
        <v>45651.76</v>
      </c>
      <c r="O1290" s="15">
        <f t="shared" si="100"/>
        <v>125542.76000000001</v>
      </c>
      <c r="P1290" s="15">
        <f t="shared" si="101"/>
        <v>11.000036800333657</v>
      </c>
      <c r="Q1290" s="25">
        <v>8011</v>
      </c>
      <c r="R1290" s="22">
        <v>100</v>
      </c>
      <c r="S1290" s="22" t="s">
        <v>1692</v>
      </c>
      <c r="T1290" s="22">
        <f t="shared" si="102"/>
        <v>2</v>
      </c>
      <c r="U1290" s="22">
        <f t="shared" si="103"/>
        <v>2021</v>
      </c>
      <c r="V1290" s="22" t="str">
        <f t="shared" si="104"/>
        <v>METROPOLITANA</v>
      </c>
    </row>
    <row r="1291" spans="1:22" x14ac:dyDescent="0.2">
      <c r="A1291" s="23" t="s">
        <v>1691</v>
      </c>
      <c r="B1291" s="22" t="s">
        <v>18</v>
      </c>
      <c r="C1291" s="22" t="s">
        <v>500</v>
      </c>
      <c r="D1291" s="22" t="s">
        <v>164</v>
      </c>
      <c r="E1291" s="24" t="s">
        <v>28</v>
      </c>
      <c r="F1291" s="22" t="s">
        <v>120</v>
      </c>
      <c r="G1291" s="25">
        <v>9423.4699999999993</v>
      </c>
      <c r="H1291" s="22" t="s">
        <v>22</v>
      </c>
      <c r="I1291" s="22">
        <v>1</v>
      </c>
      <c r="J1291" s="22" t="s">
        <v>120</v>
      </c>
      <c r="K1291" s="22" t="s">
        <v>23</v>
      </c>
      <c r="L1291" s="22">
        <v>5</v>
      </c>
      <c r="M1291" s="26">
        <v>120000</v>
      </c>
      <c r="N1291" s="26">
        <v>0</v>
      </c>
      <c r="O1291" s="15">
        <f t="shared" si="100"/>
        <v>120000</v>
      </c>
      <c r="P1291" s="15">
        <f t="shared" si="101"/>
        <v>12.734162681050611</v>
      </c>
      <c r="Q1291" s="25">
        <v>12000</v>
      </c>
      <c r="R1291" s="22">
        <v>79</v>
      </c>
      <c r="S1291" s="22" t="s">
        <v>1693</v>
      </c>
      <c r="T1291" s="22">
        <f t="shared" si="102"/>
        <v>2</v>
      </c>
      <c r="U1291" s="22">
        <f t="shared" si="103"/>
        <v>2021</v>
      </c>
      <c r="V1291" s="22" t="str">
        <f t="shared" si="104"/>
        <v>METROPOLITANA</v>
      </c>
    </row>
    <row r="1292" spans="1:22" x14ac:dyDescent="0.2">
      <c r="A1292" s="23" t="s">
        <v>1691</v>
      </c>
      <c r="B1292" s="22" t="s">
        <v>18</v>
      </c>
      <c r="C1292" s="22" t="s">
        <v>19</v>
      </c>
      <c r="D1292" s="22" t="s">
        <v>1694</v>
      </c>
      <c r="E1292" s="24" t="s">
        <v>1695</v>
      </c>
      <c r="F1292" s="22" t="s">
        <v>92</v>
      </c>
      <c r="G1292" s="25">
        <v>14226.240000000011</v>
      </c>
      <c r="H1292" s="22" t="s">
        <v>24</v>
      </c>
      <c r="I1292" s="22">
        <v>1</v>
      </c>
      <c r="J1292" s="22" t="s">
        <v>92</v>
      </c>
      <c r="K1292" s="22" t="s">
        <v>93</v>
      </c>
      <c r="L1292" s="22">
        <v>0</v>
      </c>
      <c r="M1292" s="26">
        <v>620000</v>
      </c>
      <c r="N1292" s="26">
        <v>0</v>
      </c>
      <c r="O1292" s="15">
        <f t="shared" si="100"/>
        <v>620000</v>
      </c>
      <c r="P1292" s="15">
        <f t="shared" si="101"/>
        <v>43.58143824369612</v>
      </c>
      <c r="Q1292" s="25">
        <v>25000</v>
      </c>
      <c r="R1292" s="22">
        <v>57</v>
      </c>
      <c r="S1292" s="22" t="s">
        <v>1696</v>
      </c>
      <c r="T1292" s="22">
        <f t="shared" si="102"/>
        <v>2</v>
      </c>
      <c r="U1292" s="22">
        <f t="shared" si="103"/>
        <v>2021</v>
      </c>
      <c r="V1292" s="22" t="str">
        <f t="shared" si="104"/>
        <v>REGIONES</v>
      </c>
    </row>
    <row r="1293" spans="1:22" x14ac:dyDescent="0.2">
      <c r="A1293" s="23" t="s">
        <v>1691</v>
      </c>
      <c r="B1293" s="22" t="s">
        <v>18</v>
      </c>
      <c r="C1293" s="22" t="s">
        <v>163</v>
      </c>
      <c r="D1293" s="22" t="s">
        <v>38</v>
      </c>
      <c r="E1293" s="24" t="s">
        <v>25</v>
      </c>
      <c r="F1293" s="22" t="s">
        <v>165</v>
      </c>
      <c r="G1293" s="25">
        <v>12680.85</v>
      </c>
      <c r="H1293" s="22" t="s">
        <v>43</v>
      </c>
      <c r="I1293" s="22">
        <v>0</v>
      </c>
      <c r="J1293" s="22" t="s">
        <v>165</v>
      </c>
      <c r="K1293" s="22" t="s">
        <v>23</v>
      </c>
      <c r="L1293" s="22">
        <v>4</v>
      </c>
      <c r="M1293" s="26">
        <f>G1293*11</f>
        <v>139489.35</v>
      </c>
      <c r="N1293" s="26">
        <v>0</v>
      </c>
      <c r="O1293" s="15">
        <f t="shared" si="100"/>
        <v>139489.35</v>
      </c>
      <c r="P1293" s="15">
        <f t="shared" si="101"/>
        <v>11</v>
      </c>
      <c r="Q1293" s="25">
        <v>8011</v>
      </c>
      <c r="R1293" s="22">
        <v>100</v>
      </c>
      <c r="S1293" s="22" t="s">
        <v>1697</v>
      </c>
      <c r="T1293" s="22">
        <f t="shared" si="102"/>
        <v>2</v>
      </c>
      <c r="U1293" s="22">
        <f t="shared" si="103"/>
        <v>2021</v>
      </c>
      <c r="V1293" s="22" t="str">
        <f t="shared" si="104"/>
        <v>METROPOLITANA</v>
      </c>
    </row>
    <row r="1294" spans="1:22" x14ac:dyDescent="0.2">
      <c r="A1294" s="23" t="s">
        <v>1691</v>
      </c>
      <c r="B1294" s="22" t="s">
        <v>18</v>
      </c>
      <c r="C1294" s="22" t="s">
        <v>163</v>
      </c>
      <c r="D1294" s="22" t="s">
        <v>63</v>
      </c>
      <c r="E1294" s="24" t="s">
        <v>64</v>
      </c>
      <c r="F1294" s="22" t="s">
        <v>165</v>
      </c>
      <c r="G1294" s="25">
        <v>12680.85</v>
      </c>
      <c r="H1294" s="22" t="s">
        <v>65</v>
      </c>
      <c r="I1294" s="22">
        <v>0</v>
      </c>
      <c r="J1294" s="22" t="s">
        <v>165</v>
      </c>
      <c r="K1294" s="22" t="s">
        <v>23</v>
      </c>
      <c r="L1294" s="22">
        <v>4</v>
      </c>
      <c r="M1294" s="26">
        <f>G1294*11</f>
        <v>139489.35</v>
      </c>
      <c r="N1294" s="26">
        <v>0</v>
      </c>
      <c r="O1294" s="15">
        <f t="shared" si="100"/>
        <v>139489.35</v>
      </c>
      <c r="P1294" s="15">
        <f t="shared" si="101"/>
        <v>11</v>
      </c>
      <c r="Q1294" s="25">
        <v>8011</v>
      </c>
      <c r="R1294" s="22">
        <v>100</v>
      </c>
      <c r="S1294" s="22" t="s">
        <v>1698</v>
      </c>
      <c r="T1294" s="22">
        <f t="shared" si="102"/>
        <v>2</v>
      </c>
      <c r="U1294" s="22">
        <f t="shared" si="103"/>
        <v>2021</v>
      </c>
      <c r="V1294" s="22" t="str">
        <f t="shared" si="104"/>
        <v>METROPOLITANA</v>
      </c>
    </row>
    <row r="1295" spans="1:22" x14ac:dyDescent="0.2">
      <c r="A1295" s="23" t="s">
        <v>1691</v>
      </c>
      <c r="B1295" s="22" t="s">
        <v>33</v>
      </c>
      <c r="C1295" s="22" t="s">
        <v>1525</v>
      </c>
      <c r="D1295" s="22" t="s">
        <v>1699</v>
      </c>
      <c r="E1295" s="24" t="s">
        <v>1700</v>
      </c>
      <c r="F1295" s="22" t="s">
        <v>132</v>
      </c>
      <c r="G1295" s="25">
        <v>18417.5</v>
      </c>
      <c r="H1295" s="22" t="s">
        <v>24</v>
      </c>
      <c r="I1295" s="22">
        <v>1</v>
      </c>
      <c r="J1295" s="22" t="s">
        <v>132</v>
      </c>
      <c r="K1295" s="22" t="s">
        <v>124</v>
      </c>
      <c r="L1295" s="22">
        <v>0</v>
      </c>
      <c r="M1295" s="26">
        <v>350000</v>
      </c>
      <c r="N1295" s="26">
        <v>0</v>
      </c>
      <c r="O1295" s="15">
        <f t="shared" si="100"/>
        <v>350000</v>
      </c>
      <c r="P1295" s="15">
        <f t="shared" si="101"/>
        <v>19.003664992534276</v>
      </c>
      <c r="Q1295" s="25">
        <v>25000</v>
      </c>
      <c r="R1295" s="22">
        <v>74</v>
      </c>
      <c r="S1295" s="22" t="s">
        <v>1701</v>
      </c>
      <c r="T1295" s="22">
        <f t="shared" si="102"/>
        <v>2</v>
      </c>
      <c r="U1295" s="22">
        <f t="shared" si="103"/>
        <v>2021</v>
      </c>
      <c r="V1295" s="22" t="str">
        <f t="shared" si="104"/>
        <v>REGIONES</v>
      </c>
    </row>
    <row r="1296" spans="1:22" x14ac:dyDescent="0.2">
      <c r="A1296" s="23" t="s">
        <v>1691</v>
      </c>
      <c r="B1296" s="22" t="s">
        <v>33</v>
      </c>
      <c r="C1296" s="22" t="s">
        <v>29</v>
      </c>
      <c r="D1296" s="22" t="s">
        <v>30</v>
      </c>
      <c r="E1296" s="24" t="s">
        <v>31</v>
      </c>
      <c r="F1296" s="22" t="s">
        <v>134</v>
      </c>
      <c r="G1296" s="25">
        <v>8502</v>
      </c>
      <c r="H1296" s="22" t="s">
        <v>32</v>
      </c>
      <c r="I1296" s="22">
        <v>0</v>
      </c>
      <c r="J1296" s="22" t="s">
        <v>134</v>
      </c>
      <c r="K1296" s="22" t="s">
        <v>23</v>
      </c>
      <c r="L1296" s="22">
        <v>2</v>
      </c>
      <c r="M1296" s="26">
        <v>59514</v>
      </c>
      <c r="N1296" s="26">
        <v>25506</v>
      </c>
      <c r="O1296" s="15">
        <f t="shared" si="100"/>
        <v>85020</v>
      </c>
      <c r="P1296" s="15">
        <f t="shared" si="101"/>
        <v>10</v>
      </c>
      <c r="Q1296" s="25">
        <v>5782</v>
      </c>
      <c r="R1296" s="22">
        <v>100</v>
      </c>
      <c r="S1296" s="22" t="s">
        <v>1702</v>
      </c>
      <c r="T1296" s="22">
        <f t="shared" si="102"/>
        <v>2</v>
      </c>
      <c r="U1296" s="22">
        <f t="shared" si="103"/>
        <v>2021</v>
      </c>
      <c r="V1296" s="22" t="str">
        <f t="shared" si="104"/>
        <v>METROPOLITANA</v>
      </c>
    </row>
    <row r="1297" spans="1:22" x14ac:dyDescent="0.2">
      <c r="A1297" s="23" t="s">
        <v>1691</v>
      </c>
      <c r="B1297" s="22" t="s">
        <v>33</v>
      </c>
      <c r="C1297" s="22" t="s">
        <v>29</v>
      </c>
      <c r="D1297" s="22" t="s">
        <v>20</v>
      </c>
      <c r="E1297" s="24" t="s">
        <v>1703</v>
      </c>
      <c r="F1297" s="22" t="s">
        <v>134</v>
      </c>
      <c r="G1297" s="25">
        <v>8502</v>
      </c>
      <c r="H1297" s="22" t="s">
        <v>22</v>
      </c>
      <c r="I1297" s="22">
        <v>0</v>
      </c>
      <c r="J1297" s="22" t="s">
        <v>134</v>
      </c>
      <c r="K1297" s="22" t="s">
        <v>23</v>
      </c>
      <c r="L1297" s="22">
        <v>2</v>
      </c>
      <c r="M1297" s="26">
        <v>59514</v>
      </c>
      <c r="N1297" s="26">
        <v>34008</v>
      </c>
      <c r="O1297" s="15">
        <f t="shared" si="100"/>
        <v>93522</v>
      </c>
      <c r="P1297" s="15">
        <f t="shared" si="101"/>
        <v>11</v>
      </c>
      <c r="Q1297" s="25">
        <v>5782</v>
      </c>
      <c r="R1297" s="22">
        <v>100</v>
      </c>
      <c r="S1297" s="22" t="s">
        <v>1704</v>
      </c>
      <c r="T1297" s="22">
        <f t="shared" si="102"/>
        <v>2</v>
      </c>
      <c r="U1297" s="22">
        <f t="shared" si="103"/>
        <v>2021</v>
      </c>
      <c r="V1297" s="22" t="str">
        <f t="shared" si="104"/>
        <v>METROPOLITANA</v>
      </c>
    </row>
    <row r="1298" spans="1:22" x14ac:dyDescent="0.2">
      <c r="A1298" s="23" t="s">
        <v>1691</v>
      </c>
      <c r="B1298" s="22" t="s">
        <v>33</v>
      </c>
      <c r="C1298" s="22" t="s">
        <v>44</v>
      </c>
      <c r="D1298" s="22" t="s">
        <v>56</v>
      </c>
      <c r="E1298" s="24" t="s">
        <v>52</v>
      </c>
      <c r="F1298" s="22" t="s">
        <v>95</v>
      </c>
      <c r="G1298" s="25">
        <v>3528.599999999999</v>
      </c>
      <c r="H1298" s="22" t="s">
        <v>22</v>
      </c>
      <c r="I1298" s="22">
        <v>0</v>
      </c>
      <c r="J1298" s="22" t="s">
        <v>95</v>
      </c>
      <c r="K1298" s="22" t="s">
        <v>23</v>
      </c>
      <c r="L1298" s="22">
        <v>4</v>
      </c>
      <c r="M1298" s="26">
        <v>56075</v>
      </c>
      <c r="N1298" s="26">
        <v>14114</v>
      </c>
      <c r="O1298" s="15">
        <f t="shared" si="100"/>
        <v>70189</v>
      </c>
      <c r="P1298" s="15">
        <f t="shared" si="101"/>
        <v>19.891458368758155</v>
      </c>
      <c r="Q1298" s="25">
        <v>8011</v>
      </c>
      <c r="R1298" s="22">
        <v>44</v>
      </c>
      <c r="S1298" s="22" t="s">
        <v>1705</v>
      </c>
      <c r="T1298" s="22">
        <f t="shared" si="102"/>
        <v>2</v>
      </c>
      <c r="U1298" s="22">
        <f t="shared" si="103"/>
        <v>2021</v>
      </c>
      <c r="V1298" s="22" t="str">
        <f t="shared" si="104"/>
        <v>METROPOLITANA</v>
      </c>
    </row>
    <row r="1299" spans="1:22" x14ac:dyDescent="0.2">
      <c r="A1299" s="23" t="s">
        <v>1691</v>
      </c>
      <c r="B1299" s="22" t="s">
        <v>33</v>
      </c>
      <c r="C1299" s="22" t="s">
        <v>44</v>
      </c>
      <c r="D1299" s="22" t="s">
        <v>45</v>
      </c>
      <c r="E1299" s="24" t="s">
        <v>88</v>
      </c>
      <c r="F1299" s="22" t="s">
        <v>138</v>
      </c>
      <c r="G1299" s="25">
        <v>5146.7999999999984</v>
      </c>
      <c r="H1299" s="22" t="s">
        <v>22</v>
      </c>
      <c r="I1299" s="22">
        <v>0</v>
      </c>
      <c r="J1299" s="22" t="s">
        <v>138</v>
      </c>
      <c r="K1299" s="22" t="s">
        <v>23</v>
      </c>
      <c r="L1299" s="22">
        <v>3</v>
      </c>
      <c r="M1299" s="26">
        <v>48075</v>
      </c>
      <c r="N1299" s="26">
        <v>20587</v>
      </c>
      <c r="O1299" s="15">
        <f t="shared" si="100"/>
        <v>68662</v>
      </c>
      <c r="P1299" s="15">
        <f t="shared" si="101"/>
        <v>13.34071656174711</v>
      </c>
      <c r="Q1299" s="25">
        <v>6868</v>
      </c>
      <c r="R1299" s="22">
        <v>75</v>
      </c>
      <c r="S1299" s="22" t="s">
        <v>1706</v>
      </c>
      <c r="T1299" s="22">
        <f t="shared" si="102"/>
        <v>2</v>
      </c>
      <c r="U1299" s="22">
        <f t="shared" si="103"/>
        <v>2021</v>
      </c>
      <c r="V1299" s="22" t="str">
        <f t="shared" si="104"/>
        <v>METROPOLITANA</v>
      </c>
    </row>
    <row r="1300" spans="1:22" x14ac:dyDescent="0.2">
      <c r="A1300" s="23" t="s">
        <v>1691</v>
      </c>
      <c r="B1300" s="22" t="s">
        <v>33</v>
      </c>
      <c r="C1300" s="22" t="s">
        <v>44</v>
      </c>
      <c r="D1300" s="22" t="s">
        <v>47</v>
      </c>
      <c r="E1300" s="24" t="s">
        <v>1576</v>
      </c>
      <c r="F1300" s="22" t="s">
        <v>48</v>
      </c>
      <c r="G1300" s="25">
        <v>3976.2</v>
      </c>
      <c r="H1300" s="22" t="s">
        <v>22</v>
      </c>
      <c r="I1300" s="22">
        <v>0</v>
      </c>
      <c r="J1300" s="22" t="s">
        <v>48</v>
      </c>
      <c r="K1300" s="22" t="s">
        <v>23</v>
      </c>
      <c r="L1300" s="22">
        <v>1</v>
      </c>
      <c r="M1300" s="26">
        <v>33750</v>
      </c>
      <c r="N1300" s="26">
        <v>15905</v>
      </c>
      <c r="O1300" s="15">
        <f t="shared" si="100"/>
        <v>49655</v>
      </c>
      <c r="P1300" s="15">
        <f t="shared" si="101"/>
        <v>12.488053920828932</v>
      </c>
      <c r="Q1300" s="25">
        <v>4821</v>
      </c>
      <c r="R1300" s="22">
        <v>82</v>
      </c>
      <c r="S1300" s="22" t="s">
        <v>1707</v>
      </c>
      <c r="T1300" s="22">
        <f t="shared" si="102"/>
        <v>2</v>
      </c>
      <c r="U1300" s="22">
        <f t="shared" si="103"/>
        <v>2021</v>
      </c>
      <c r="V1300" s="22" t="str">
        <f t="shared" si="104"/>
        <v>METROPOLITANA</v>
      </c>
    </row>
    <row r="1301" spans="1:22" x14ac:dyDescent="0.2">
      <c r="A1301" s="23" t="s">
        <v>1691</v>
      </c>
      <c r="B1301" s="22" t="s">
        <v>33</v>
      </c>
      <c r="C1301" s="22" t="s">
        <v>44</v>
      </c>
      <c r="D1301" s="22" t="s">
        <v>35</v>
      </c>
      <c r="E1301" s="24" t="s">
        <v>49</v>
      </c>
      <c r="F1301" s="22" t="s">
        <v>129</v>
      </c>
      <c r="G1301" s="25">
        <v>1938</v>
      </c>
      <c r="H1301" s="22" t="s">
        <v>22</v>
      </c>
      <c r="I1301" s="22">
        <v>0</v>
      </c>
      <c r="J1301" s="22" t="s">
        <v>129</v>
      </c>
      <c r="K1301" s="22" t="s">
        <v>23</v>
      </c>
      <c r="L1301" s="22">
        <v>1</v>
      </c>
      <c r="M1301" s="26">
        <v>33750</v>
      </c>
      <c r="N1301" s="26">
        <v>12000</v>
      </c>
      <c r="O1301" s="15">
        <f t="shared" si="100"/>
        <v>45750</v>
      </c>
      <c r="P1301" s="15">
        <f t="shared" si="101"/>
        <v>23.606811145510836</v>
      </c>
      <c r="Q1301" s="25">
        <v>4821</v>
      </c>
      <c r="R1301" s="22">
        <v>40</v>
      </c>
      <c r="S1301" s="22" t="s">
        <v>1708</v>
      </c>
      <c r="T1301" s="22">
        <f t="shared" si="102"/>
        <v>2</v>
      </c>
      <c r="U1301" s="22">
        <f t="shared" si="103"/>
        <v>2021</v>
      </c>
      <c r="V1301" s="22" t="str">
        <f t="shared" si="104"/>
        <v>METROPOLITANA</v>
      </c>
    </row>
    <row r="1302" spans="1:22" x14ac:dyDescent="0.2">
      <c r="A1302" s="23" t="s">
        <v>1691</v>
      </c>
      <c r="B1302" s="22" t="s">
        <v>33</v>
      </c>
      <c r="C1302" s="22" t="s">
        <v>44</v>
      </c>
      <c r="D1302" s="22" t="s">
        <v>20</v>
      </c>
      <c r="E1302" s="24" t="s">
        <v>21</v>
      </c>
      <c r="F1302" s="22" t="s">
        <v>95</v>
      </c>
      <c r="G1302" s="25">
        <v>2203.1999999999998</v>
      </c>
      <c r="H1302" s="22" t="s">
        <v>22</v>
      </c>
      <c r="I1302" s="22">
        <v>0</v>
      </c>
      <c r="J1302" s="22" t="s">
        <v>95</v>
      </c>
      <c r="K1302" s="22" t="s">
        <v>23</v>
      </c>
      <c r="L1302" s="22">
        <v>4</v>
      </c>
      <c r="M1302" s="26">
        <v>56075</v>
      </c>
      <c r="N1302" s="26">
        <v>12000</v>
      </c>
      <c r="O1302" s="15">
        <f t="shared" si="100"/>
        <v>68075</v>
      </c>
      <c r="P1302" s="15">
        <f t="shared" si="101"/>
        <v>30.898238925199713</v>
      </c>
      <c r="Q1302" s="25">
        <v>8011</v>
      </c>
      <c r="R1302" s="22">
        <v>28</v>
      </c>
      <c r="S1302" s="22" t="s">
        <v>1709</v>
      </c>
      <c r="T1302" s="22">
        <f t="shared" si="102"/>
        <v>2</v>
      </c>
      <c r="U1302" s="22">
        <f t="shared" si="103"/>
        <v>2021</v>
      </c>
      <c r="V1302" s="22" t="str">
        <f t="shared" si="104"/>
        <v>METROPOLITANA</v>
      </c>
    </row>
    <row r="1303" spans="1:22" x14ac:dyDescent="0.2">
      <c r="A1303" s="11" t="s">
        <v>1710</v>
      </c>
      <c r="B1303" s="12" t="s">
        <v>54</v>
      </c>
      <c r="C1303" s="12" t="s">
        <v>55</v>
      </c>
      <c r="D1303" s="12" t="s">
        <v>867</v>
      </c>
      <c r="E1303" s="13" t="s">
        <v>868</v>
      </c>
      <c r="F1303" s="12" t="s">
        <v>66</v>
      </c>
      <c r="G1303" s="14">
        <v>10056</v>
      </c>
      <c r="H1303" s="12" t="s">
        <v>85</v>
      </c>
      <c r="I1303" s="12">
        <v>1</v>
      </c>
      <c r="J1303" s="12" t="s">
        <v>66</v>
      </c>
      <c r="K1303" s="12" t="s">
        <v>75</v>
      </c>
      <c r="L1303" s="12">
        <v>0</v>
      </c>
      <c r="M1303" s="15">
        <v>380000</v>
      </c>
      <c r="N1303" s="15">
        <v>0</v>
      </c>
      <c r="O1303" s="15">
        <f t="shared" si="100"/>
        <v>380000</v>
      </c>
      <c r="P1303" s="15">
        <f t="shared" si="101"/>
        <v>37.788385043754971</v>
      </c>
      <c r="Q1303" s="14">
        <v>25000</v>
      </c>
      <c r="R1303" s="12">
        <v>40</v>
      </c>
      <c r="S1303" s="12" t="s">
        <v>1711</v>
      </c>
      <c r="T1303" s="22">
        <f t="shared" si="102"/>
        <v>2</v>
      </c>
      <c r="U1303" s="22">
        <f t="shared" si="103"/>
        <v>2021</v>
      </c>
      <c r="V1303" s="22" t="str">
        <f t="shared" si="104"/>
        <v>REGIONES</v>
      </c>
    </row>
    <row r="1304" spans="1:22" x14ac:dyDescent="0.2">
      <c r="A1304" s="11" t="s">
        <v>1710</v>
      </c>
      <c r="B1304" s="12" t="s">
        <v>18</v>
      </c>
      <c r="C1304" s="12" t="s">
        <v>50</v>
      </c>
      <c r="D1304" s="12" t="s">
        <v>37</v>
      </c>
      <c r="E1304" s="13" t="s">
        <v>40</v>
      </c>
      <c r="F1304" s="12" t="s">
        <v>26</v>
      </c>
      <c r="G1304" s="14">
        <v>10952.76</v>
      </c>
      <c r="H1304" s="12" t="s">
        <v>22</v>
      </c>
      <c r="I1304" s="12">
        <v>0</v>
      </c>
      <c r="J1304" s="12" t="s">
        <v>26</v>
      </c>
      <c r="K1304" s="12" t="s">
        <v>23</v>
      </c>
      <c r="L1304" s="12">
        <v>4</v>
      </c>
      <c r="M1304" s="15">
        <v>76669</v>
      </c>
      <c r="N1304" s="15">
        <f>G1304*4</f>
        <v>43811.040000000001</v>
      </c>
      <c r="O1304" s="15">
        <f t="shared" si="100"/>
        <v>120480.04000000001</v>
      </c>
      <c r="P1304" s="15">
        <f t="shared" si="101"/>
        <v>10.999970783619837</v>
      </c>
      <c r="Q1304" s="14">
        <v>8011</v>
      </c>
      <c r="R1304" s="12">
        <v>100</v>
      </c>
      <c r="S1304" s="12" t="s">
        <v>1712</v>
      </c>
      <c r="T1304" s="22">
        <f t="shared" si="102"/>
        <v>2</v>
      </c>
      <c r="U1304" s="22">
        <f t="shared" si="103"/>
        <v>2021</v>
      </c>
      <c r="V1304" s="22" t="str">
        <f t="shared" si="104"/>
        <v>METROPOLITANA</v>
      </c>
    </row>
    <row r="1305" spans="1:22" x14ac:dyDescent="0.2">
      <c r="A1305" s="11" t="s">
        <v>1710</v>
      </c>
      <c r="B1305" s="12" t="s">
        <v>18</v>
      </c>
      <c r="C1305" s="12" t="s">
        <v>500</v>
      </c>
      <c r="D1305" s="12" t="s">
        <v>164</v>
      </c>
      <c r="E1305" s="13" t="s">
        <v>28</v>
      </c>
      <c r="F1305" s="12" t="s">
        <v>120</v>
      </c>
      <c r="G1305" s="14">
        <v>14428.97</v>
      </c>
      <c r="H1305" s="12" t="s">
        <v>22</v>
      </c>
      <c r="I1305" s="12">
        <v>1</v>
      </c>
      <c r="J1305" s="12" t="s">
        <v>120</v>
      </c>
      <c r="K1305" s="12" t="s">
        <v>23</v>
      </c>
      <c r="L1305" s="12">
        <v>5</v>
      </c>
      <c r="M1305" s="15">
        <v>120000</v>
      </c>
      <c r="N1305" s="15">
        <f>G1305*4</f>
        <v>57715.88</v>
      </c>
      <c r="O1305" s="15">
        <f t="shared" si="100"/>
        <v>177715.88</v>
      </c>
      <c r="P1305" s="15">
        <f t="shared" si="101"/>
        <v>12.316601947332346</v>
      </c>
      <c r="Q1305" s="14">
        <v>12000</v>
      </c>
      <c r="R1305" s="12">
        <v>100</v>
      </c>
      <c r="S1305" s="12" t="s">
        <v>1713</v>
      </c>
      <c r="T1305" s="22">
        <f t="shared" si="102"/>
        <v>2</v>
      </c>
      <c r="U1305" s="22">
        <f t="shared" si="103"/>
        <v>2021</v>
      </c>
      <c r="V1305" s="22" t="str">
        <f t="shared" si="104"/>
        <v>METROPOLITANA</v>
      </c>
    </row>
    <row r="1306" spans="1:22" x14ac:dyDescent="0.2">
      <c r="A1306" s="11" t="s">
        <v>1710</v>
      </c>
      <c r="B1306" s="12" t="s">
        <v>18</v>
      </c>
      <c r="C1306" s="12" t="s">
        <v>163</v>
      </c>
      <c r="D1306" s="12" t="s">
        <v>41</v>
      </c>
      <c r="E1306" s="13" t="s">
        <v>25</v>
      </c>
      <c r="F1306" s="12" t="s">
        <v>165</v>
      </c>
      <c r="G1306" s="14">
        <v>14504.4</v>
      </c>
      <c r="H1306" s="12" t="s">
        <v>43</v>
      </c>
      <c r="I1306" s="12">
        <v>0</v>
      </c>
      <c r="J1306" s="12" t="s">
        <v>165</v>
      </c>
      <c r="K1306" s="12" t="s">
        <v>23</v>
      </c>
      <c r="L1306" s="12">
        <v>4</v>
      </c>
      <c r="M1306" s="15">
        <f>G1306*11</f>
        <v>159548.4</v>
      </c>
      <c r="N1306" s="15">
        <v>0</v>
      </c>
      <c r="O1306" s="15">
        <f t="shared" si="100"/>
        <v>159548.4</v>
      </c>
      <c r="P1306" s="15">
        <f t="shared" si="101"/>
        <v>11</v>
      </c>
      <c r="Q1306" s="14">
        <v>8011</v>
      </c>
      <c r="R1306" s="12">
        <v>100</v>
      </c>
      <c r="S1306" s="12" t="s">
        <v>1714</v>
      </c>
      <c r="T1306" s="22">
        <f t="shared" si="102"/>
        <v>2</v>
      </c>
      <c r="U1306" s="22">
        <f t="shared" si="103"/>
        <v>2021</v>
      </c>
      <c r="V1306" s="22" t="str">
        <f t="shared" si="104"/>
        <v>METROPOLITANA</v>
      </c>
    </row>
    <row r="1307" spans="1:22" x14ac:dyDescent="0.2">
      <c r="A1307" s="11" t="s">
        <v>1710</v>
      </c>
      <c r="B1307" s="12" t="s">
        <v>18</v>
      </c>
      <c r="C1307" s="12" t="s">
        <v>163</v>
      </c>
      <c r="D1307" s="12" t="s">
        <v>20</v>
      </c>
      <c r="E1307" s="13" t="s">
        <v>88</v>
      </c>
      <c r="F1307" s="12" t="s">
        <v>165</v>
      </c>
      <c r="G1307" s="14">
        <v>9061.75</v>
      </c>
      <c r="H1307" s="12" t="s">
        <v>22</v>
      </c>
      <c r="I1307" s="12">
        <v>0</v>
      </c>
      <c r="J1307" s="12" t="s">
        <v>165</v>
      </c>
      <c r="K1307" s="12" t="s">
        <v>23</v>
      </c>
      <c r="L1307" s="12">
        <v>4</v>
      </c>
      <c r="M1307" s="15">
        <v>63432</v>
      </c>
      <c r="N1307" s="15">
        <f>G1307*4</f>
        <v>36247</v>
      </c>
      <c r="O1307" s="15">
        <f t="shared" si="100"/>
        <v>99679</v>
      </c>
      <c r="P1307" s="15">
        <f t="shared" si="101"/>
        <v>10.999972411509917</v>
      </c>
      <c r="Q1307" s="14">
        <v>8011</v>
      </c>
      <c r="R1307" s="12">
        <v>100</v>
      </c>
      <c r="S1307" s="12" t="s">
        <v>1715</v>
      </c>
      <c r="T1307" s="22">
        <f t="shared" si="102"/>
        <v>2</v>
      </c>
      <c r="U1307" s="22">
        <f t="shared" si="103"/>
        <v>2021</v>
      </c>
      <c r="V1307" s="22" t="str">
        <f t="shared" si="104"/>
        <v>METROPOLITANA</v>
      </c>
    </row>
    <row r="1308" spans="1:22" x14ac:dyDescent="0.2">
      <c r="A1308" s="11" t="s">
        <v>1710</v>
      </c>
      <c r="B1308" s="12" t="s">
        <v>33</v>
      </c>
      <c r="C1308" s="12" t="s">
        <v>128</v>
      </c>
      <c r="D1308" s="12" t="s">
        <v>38</v>
      </c>
      <c r="E1308" s="13" t="s">
        <v>42</v>
      </c>
      <c r="F1308" s="12" t="s">
        <v>129</v>
      </c>
      <c r="G1308" s="14">
        <v>7952.4000000000033</v>
      </c>
      <c r="H1308" s="12" t="s">
        <v>43</v>
      </c>
      <c r="I1308" s="12">
        <v>0</v>
      </c>
      <c r="J1308" s="12" t="s">
        <v>129</v>
      </c>
      <c r="K1308" s="12" t="s">
        <v>23</v>
      </c>
      <c r="L1308" s="12">
        <v>1</v>
      </c>
      <c r="M1308" s="15">
        <f>G1308*11</f>
        <v>87476.400000000038</v>
      </c>
      <c r="N1308" s="15"/>
      <c r="O1308" s="15">
        <f t="shared" si="100"/>
        <v>87476.400000000038</v>
      </c>
      <c r="P1308" s="15">
        <f t="shared" si="101"/>
        <v>11</v>
      </c>
      <c r="Q1308" s="14">
        <v>4821</v>
      </c>
      <c r="R1308" s="12">
        <v>100</v>
      </c>
      <c r="S1308" s="12" t="s">
        <v>1716</v>
      </c>
      <c r="T1308" s="22">
        <f t="shared" si="102"/>
        <v>2</v>
      </c>
      <c r="U1308" s="22">
        <f t="shared" si="103"/>
        <v>2021</v>
      </c>
      <c r="V1308" s="22" t="str">
        <f t="shared" si="104"/>
        <v>METROPOLITANA</v>
      </c>
    </row>
    <row r="1309" spans="1:22" x14ac:dyDescent="0.2">
      <c r="A1309" s="11" t="s">
        <v>1710</v>
      </c>
      <c r="B1309" s="12" t="s">
        <v>33</v>
      </c>
      <c r="C1309" s="12" t="s">
        <v>128</v>
      </c>
      <c r="D1309" s="12" t="s">
        <v>63</v>
      </c>
      <c r="E1309" s="13" t="s">
        <v>64</v>
      </c>
      <c r="F1309" s="12" t="s">
        <v>129</v>
      </c>
      <c r="G1309" s="14">
        <v>4899.5999999999995</v>
      </c>
      <c r="H1309" s="12" t="s">
        <v>65</v>
      </c>
      <c r="I1309" s="12">
        <v>0</v>
      </c>
      <c r="J1309" s="12" t="s">
        <v>129</v>
      </c>
      <c r="K1309" s="12" t="s">
        <v>23</v>
      </c>
      <c r="L1309" s="12">
        <v>1</v>
      </c>
      <c r="M1309" s="15">
        <f>G1309*11</f>
        <v>53895.599999999991</v>
      </c>
      <c r="N1309" s="15"/>
      <c r="O1309" s="15">
        <f t="shared" si="100"/>
        <v>53895.599999999991</v>
      </c>
      <c r="P1309" s="15">
        <f t="shared" si="101"/>
        <v>11</v>
      </c>
      <c r="Q1309" s="14">
        <v>4821</v>
      </c>
      <c r="R1309" s="12">
        <v>100</v>
      </c>
      <c r="S1309" s="12" t="s">
        <v>1717</v>
      </c>
      <c r="T1309" s="22">
        <f t="shared" si="102"/>
        <v>2</v>
      </c>
      <c r="U1309" s="22">
        <f t="shared" si="103"/>
        <v>2021</v>
      </c>
      <c r="V1309" s="22" t="str">
        <f t="shared" si="104"/>
        <v>METROPOLITANA</v>
      </c>
    </row>
    <row r="1310" spans="1:22" x14ac:dyDescent="0.2">
      <c r="A1310" s="11" t="s">
        <v>1710</v>
      </c>
      <c r="B1310" s="12" t="s">
        <v>33</v>
      </c>
      <c r="C1310" s="12" t="s">
        <v>44</v>
      </c>
      <c r="D1310" s="12" t="s">
        <v>56</v>
      </c>
      <c r="E1310" s="13" t="s">
        <v>21</v>
      </c>
      <c r="F1310" s="12" t="s">
        <v>26</v>
      </c>
      <c r="G1310" s="14">
        <v>3666</v>
      </c>
      <c r="H1310" s="12" t="s">
        <v>22</v>
      </c>
      <c r="I1310" s="12">
        <v>0</v>
      </c>
      <c r="J1310" s="12" t="s">
        <v>26</v>
      </c>
      <c r="K1310" s="12" t="s">
        <v>23</v>
      </c>
      <c r="L1310" s="12">
        <v>4</v>
      </c>
      <c r="M1310" s="15">
        <v>56075</v>
      </c>
      <c r="N1310" s="15">
        <v>14664</v>
      </c>
      <c r="O1310" s="15">
        <f t="shared" si="100"/>
        <v>70739</v>
      </c>
      <c r="P1310" s="15">
        <f t="shared" si="101"/>
        <v>19.295962902345881</v>
      </c>
      <c r="Q1310" s="14">
        <v>8011</v>
      </c>
      <c r="R1310" s="12">
        <v>46</v>
      </c>
      <c r="S1310" s="12" t="s">
        <v>1718</v>
      </c>
      <c r="T1310" s="22">
        <f t="shared" si="102"/>
        <v>2</v>
      </c>
      <c r="U1310" s="22">
        <f t="shared" si="103"/>
        <v>2021</v>
      </c>
      <c r="V1310" s="22" t="str">
        <f t="shared" si="104"/>
        <v>METROPOLITANA</v>
      </c>
    </row>
    <row r="1311" spans="1:22" x14ac:dyDescent="0.2">
      <c r="A1311" s="11" t="s">
        <v>1710</v>
      </c>
      <c r="B1311" s="12" t="s">
        <v>33</v>
      </c>
      <c r="C1311" s="12" t="s">
        <v>44</v>
      </c>
      <c r="D1311" s="12" t="s">
        <v>45</v>
      </c>
      <c r="E1311" s="13" t="s">
        <v>52</v>
      </c>
      <c r="F1311" s="12" t="s">
        <v>53</v>
      </c>
      <c r="G1311" s="14">
        <v>1298.4000000000001</v>
      </c>
      <c r="H1311" s="12" t="s">
        <v>22</v>
      </c>
      <c r="I1311" s="12">
        <v>0</v>
      </c>
      <c r="J1311" s="12" t="s">
        <v>53</v>
      </c>
      <c r="K1311" s="12" t="s">
        <v>23</v>
      </c>
      <c r="L1311" s="12">
        <v>3</v>
      </c>
      <c r="M1311" s="15">
        <v>48075</v>
      </c>
      <c r="N1311" s="15">
        <v>12000</v>
      </c>
      <c r="O1311" s="15">
        <f t="shared" si="100"/>
        <v>60075</v>
      </c>
      <c r="P1311" s="15">
        <f t="shared" si="101"/>
        <v>46.268484288354898</v>
      </c>
      <c r="Q1311" s="14">
        <v>6868</v>
      </c>
      <c r="R1311" s="12">
        <v>19</v>
      </c>
      <c r="S1311" s="12" t="s">
        <v>1719</v>
      </c>
      <c r="T1311" s="22">
        <f t="shared" si="102"/>
        <v>2</v>
      </c>
      <c r="U1311" s="22">
        <f t="shared" si="103"/>
        <v>2021</v>
      </c>
      <c r="V1311" s="22" t="str">
        <f t="shared" si="104"/>
        <v>METROPOLITANA</v>
      </c>
    </row>
    <row r="1312" spans="1:22" x14ac:dyDescent="0.2">
      <c r="A1312" s="11" t="s">
        <v>1710</v>
      </c>
      <c r="B1312" s="12" t="s">
        <v>33</v>
      </c>
      <c r="C1312" s="12" t="s">
        <v>44</v>
      </c>
      <c r="D1312" s="12" t="s">
        <v>47</v>
      </c>
      <c r="E1312" s="13" t="s">
        <v>1576</v>
      </c>
      <c r="F1312" s="12" t="s">
        <v>48</v>
      </c>
      <c r="G1312" s="14">
        <v>1243.2</v>
      </c>
      <c r="H1312" s="12" t="s">
        <v>22</v>
      </c>
      <c r="I1312" s="12">
        <v>0</v>
      </c>
      <c r="J1312" s="12" t="s">
        <v>48</v>
      </c>
      <c r="K1312" s="12" t="s">
        <v>23</v>
      </c>
      <c r="L1312" s="12">
        <v>1</v>
      </c>
      <c r="M1312" s="15">
        <v>33750</v>
      </c>
      <c r="N1312" s="15">
        <v>12000</v>
      </c>
      <c r="O1312" s="15">
        <f t="shared" si="100"/>
        <v>45750</v>
      </c>
      <c r="P1312" s="15">
        <f t="shared" si="101"/>
        <v>36.800193050193052</v>
      </c>
      <c r="Q1312" s="14">
        <v>4821</v>
      </c>
      <c r="R1312" s="12">
        <v>26</v>
      </c>
      <c r="S1312" s="12" t="s">
        <v>1720</v>
      </c>
      <c r="T1312" s="22">
        <f t="shared" si="102"/>
        <v>2</v>
      </c>
      <c r="U1312" s="22">
        <f t="shared" si="103"/>
        <v>2021</v>
      </c>
      <c r="V1312" s="22" t="str">
        <f t="shared" si="104"/>
        <v>METROPOLITANA</v>
      </c>
    </row>
    <row r="1313" spans="1:22" x14ac:dyDescent="0.2">
      <c r="A1313" s="11" t="s">
        <v>1710</v>
      </c>
      <c r="B1313" s="12" t="s">
        <v>33</v>
      </c>
      <c r="C1313" s="12" t="s">
        <v>44</v>
      </c>
      <c r="D1313" s="12" t="s">
        <v>35</v>
      </c>
      <c r="E1313" s="13" t="s">
        <v>49</v>
      </c>
      <c r="F1313" s="12" t="s">
        <v>67</v>
      </c>
      <c r="G1313" s="14">
        <v>1718.4</v>
      </c>
      <c r="H1313" s="12" t="s">
        <v>22</v>
      </c>
      <c r="I1313" s="12">
        <v>0</v>
      </c>
      <c r="J1313" s="12" t="s">
        <v>67</v>
      </c>
      <c r="K1313" s="12" t="s">
        <v>23</v>
      </c>
      <c r="L1313" s="12">
        <v>2</v>
      </c>
      <c r="M1313" s="15">
        <v>40475</v>
      </c>
      <c r="N1313" s="15">
        <v>12000</v>
      </c>
      <c r="O1313" s="15">
        <f t="shared" si="100"/>
        <v>52475</v>
      </c>
      <c r="P1313" s="15">
        <f t="shared" si="101"/>
        <v>30.537127560521412</v>
      </c>
      <c r="Q1313" s="14">
        <v>5782</v>
      </c>
      <c r="R1313" s="12">
        <v>30</v>
      </c>
      <c r="S1313" s="12" t="s">
        <v>1721</v>
      </c>
      <c r="T1313" s="22">
        <f t="shared" si="102"/>
        <v>2</v>
      </c>
      <c r="U1313" s="22">
        <f t="shared" si="103"/>
        <v>2021</v>
      </c>
      <c r="V1313" s="22" t="str">
        <f t="shared" si="104"/>
        <v>METROPOLITANA</v>
      </c>
    </row>
    <row r="1314" spans="1:22" x14ac:dyDescent="0.2">
      <c r="A1314" s="11" t="s">
        <v>1710</v>
      </c>
      <c r="B1314" s="12" t="s">
        <v>33</v>
      </c>
      <c r="C1314" s="12" t="s">
        <v>1722</v>
      </c>
      <c r="D1314" s="12" t="s">
        <v>30</v>
      </c>
      <c r="E1314" s="13" t="s">
        <v>31</v>
      </c>
      <c r="F1314" s="12" t="s">
        <v>26</v>
      </c>
      <c r="G1314" s="14">
        <v>8759.8500000000022</v>
      </c>
      <c r="H1314" s="12" t="s">
        <v>32</v>
      </c>
      <c r="I1314" s="12">
        <v>0</v>
      </c>
      <c r="J1314" s="12" t="s">
        <v>26</v>
      </c>
      <c r="K1314" s="12" t="s">
        <v>23</v>
      </c>
      <c r="L1314" s="12">
        <v>4</v>
      </c>
      <c r="M1314" s="15">
        <f>G1314*11</f>
        <v>96358.35000000002</v>
      </c>
      <c r="N1314" s="15">
        <v>0</v>
      </c>
      <c r="O1314" s="15">
        <f t="shared" si="100"/>
        <v>96358.35000000002</v>
      </c>
      <c r="P1314" s="15">
        <f t="shared" si="101"/>
        <v>11</v>
      </c>
      <c r="Q1314" s="14">
        <v>8011</v>
      </c>
      <c r="R1314" s="12">
        <v>100</v>
      </c>
      <c r="S1314" s="12" t="s">
        <v>1723</v>
      </c>
      <c r="T1314" s="22">
        <f t="shared" si="102"/>
        <v>2</v>
      </c>
      <c r="U1314" s="22">
        <f t="shared" si="103"/>
        <v>2021</v>
      </c>
      <c r="V1314" s="22" t="str">
        <f t="shared" si="104"/>
        <v>METROPOLITANA</v>
      </c>
    </row>
    <row r="1315" spans="1:22" x14ac:dyDescent="0.2">
      <c r="A1315" s="23" t="s">
        <v>1724</v>
      </c>
      <c r="B1315" s="22" t="s">
        <v>54</v>
      </c>
      <c r="C1315" s="22" t="s">
        <v>55</v>
      </c>
      <c r="D1315" s="22" t="s">
        <v>61</v>
      </c>
      <c r="E1315" s="24" t="s">
        <v>62</v>
      </c>
      <c r="F1315" s="22" t="s">
        <v>66</v>
      </c>
      <c r="G1315" s="25">
        <v>16915.900000000009</v>
      </c>
      <c r="H1315" s="22" t="s">
        <v>85</v>
      </c>
      <c r="I1315" s="22">
        <v>1</v>
      </c>
      <c r="J1315" s="22" t="s">
        <v>66</v>
      </c>
      <c r="K1315" s="22" t="s">
        <v>75</v>
      </c>
      <c r="L1315" s="22">
        <v>0</v>
      </c>
      <c r="M1315" s="26">
        <v>380000</v>
      </c>
      <c r="N1315" s="26">
        <v>0</v>
      </c>
      <c r="O1315" s="15">
        <f t="shared" si="100"/>
        <v>380000</v>
      </c>
      <c r="P1315" s="15">
        <f t="shared" si="101"/>
        <v>22.464072263373502</v>
      </c>
      <c r="Q1315" s="25">
        <v>25000</v>
      </c>
      <c r="R1315" s="22">
        <v>68</v>
      </c>
      <c r="S1315" s="22" t="s">
        <v>1725</v>
      </c>
      <c r="T1315" s="22">
        <f t="shared" si="102"/>
        <v>2</v>
      </c>
      <c r="U1315" s="22">
        <f t="shared" si="103"/>
        <v>2021</v>
      </c>
      <c r="V1315" s="22" t="str">
        <f t="shared" si="104"/>
        <v>REGIONES</v>
      </c>
    </row>
    <row r="1316" spans="1:22" x14ac:dyDescent="0.2">
      <c r="A1316" s="23" t="s">
        <v>1724</v>
      </c>
      <c r="B1316" s="22" t="s">
        <v>18</v>
      </c>
      <c r="C1316" s="22" t="s">
        <v>50</v>
      </c>
      <c r="D1316" s="22" t="s">
        <v>38</v>
      </c>
      <c r="E1316" s="24" t="s">
        <v>25</v>
      </c>
      <c r="F1316" s="22" t="s">
        <v>26</v>
      </c>
      <c r="G1316" s="25">
        <v>9236.68</v>
      </c>
      <c r="H1316" s="22" t="s">
        <v>43</v>
      </c>
      <c r="I1316" s="22">
        <v>0</v>
      </c>
      <c r="J1316" s="22" t="s">
        <v>26</v>
      </c>
      <c r="K1316" s="22" t="s">
        <v>23</v>
      </c>
      <c r="L1316" s="22">
        <v>4</v>
      </c>
      <c r="M1316" s="26">
        <f>G1316*11</f>
        <v>101603.48000000001</v>
      </c>
      <c r="N1316" s="26">
        <v>0</v>
      </c>
      <c r="O1316" s="15">
        <f t="shared" si="100"/>
        <v>101603.48000000001</v>
      </c>
      <c r="P1316" s="15">
        <f t="shared" si="101"/>
        <v>11</v>
      </c>
      <c r="Q1316" s="25">
        <v>8011</v>
      </c>
      <c r="R1316" s="22">
        <v>100</v>
      </c>
      <c r="S1316" s="22" t="s">
        <v>1726</v>
      </c>
      <c r="T1316" s="22">
        <f t="shared" si="102"/>
        <v>2</v>
      </c>
      <c r="U1316" s="22">
        <f t="shared" si="103"/>
        <v>2021</v>
      </c>
      <c r="V1316" s="22" t="str">
        <f t="shared" si="104"/>
        <v>METROPOLITANA</v>
      </c>
    </row>
    <row r="1317" spans="1:22" x14ac:dyDescent="0.2">
      <c r="A1317" s="23" t="s">
        <v>1724</v>
      </c>
      <c r="B1317" s="22" t="s">
        <v>18</v>
      </c>
      <c r="C1317" s="22" t="s">
        <v>500</v>
      </c>
      <c r="D1317" s="22" t="s">
        <v>164</v>
      </c>
      <c r="E1317" s="24" t="s">
        <v>28</v>
      </c>
      <c r="F1317" s="22" t="s">
        <v>120</v>
      </c>
      <c r="G1317" s="25">
        <f>6251.54+1229</f>
        <v>7480.54</v>
      </c>
      <c r="H1317" s="22" t="s">
        <v>22</v>
      </c>
      <c r="I1317" s="22">
        <v>1</v>
      </c>
      <c r="J1317" s="22" t="s">
        <v>120</v>
      </c>
      <c r="K1317" s="22" t="s">
        <v>23</v>
      </c>
      <c r="L1317" s="22">
        <v>5</v>
      </c>
      <c r="M1317" s="26">
        <v>120000</v>
      </c>
      <c r="N1317" s="26">
        <v>0</v>
      </c>
      <c r="O1317" s="15">
        <f t="shared" si="100"/>
        <v>120000</v>
      </c>
      <c r="P1317" s="15">
        <f t="shared" si="101"/>
        <v>16.0416226636045</v>
      </c>
      <c r="Q1317" s="25">
        <v>12000</v>
      </c>
      <c r="R1317" s="22">
        <v>52</v>
      </c>
      <c r="S1317" s="22" t="s">
        <v>1727</v>
      </c>
      <c r="T1317" s="22">
        <f t="shared" si="102"/>
        <v>2</v>
      </c>
      <c r="U1317" s="22">
        <f t="shared" si="103"/>
        <v>2021</v>
      </c>
      <c r="V1317" s="22" t="str">
        <f t="shared" si="104"/>
        <v>METROPOLITANA</v>
      </c>
    </row>
    <row r="1318" spans="1:22" x14ac:dyDescent="0.2">
      <c r="A1318" s="23" t="s">
        <v>1724</v>
      </c>
      <c r="B1318" s="22" t="s">
        <v>18</v>
      </c>
      <c r="C1318" s="22" t="s">
        <v>160</v>
      </c>
      <c r="D1318" s="22" t="s">
        <v>30</v>
      </c>
      <c r="E1318" s="24" t="s">
        <v>31</v>
      </c>
      <c r="F1318" s="22" t="s">
        <v>418</v>
      </c>
      <c r="G1318" s="25">
        <v>11324.04</v>
      </c>
      <c r="H1318" s="22" t="s">
        <v>32</v>
      </c>
      <c r="I1318" s="22">
        <v>0</v>
      </c>
      <c r="J1318" s="22" t="s">
        <v>418</v>
      </c>
      <c r="K1318" s="22" t="s">
        <v>171</v>
      </c>
      <c r="L1318" s="22">
        <v>0</v>
      </c>
      <c r="M1318" s="26">
        <v>180000</v>
      </c>
      <c r="N1318" s="26">
        <v>0</v>
      </c>
      <c r="O1318" s="15">
        <f t="shared" si="100"/>
        <v>180000</v>
      </c>
      <c r="P1318" s="15">
        <f t="shared" si="101"/>
        <v>15.89538715864656</v>
      </c>
      <c r="Q1318" s="25">
        <v>25000</v>
      </c>
      <c r="R1318" s="22">
        <v>45</v>
      </c>
      <c r="S1318" s="22" t="s">
        <v>1728</v>
      </c>
      <c r="T1318" s="22">
        <f t="shared" si="102"/>
        <v>2</v>
      </c>
      <c r="U1318" s="22">
        <f t="shared" si="103"/>
        <v>2021</v>
      </c>
      <c r="V1318" s="22" t="str">
        <f t="shared" si="104"/>
        <v>REGIONES</v>
      </c>
    </row>
    <row r="1319" spans="1:22" x14ac:dyDescent="0.2">
      <c r="A1319" s="23" t="s">
        <v>1724</v>
      </c>
      <c r="B1319" s="22" t="s">
        <v>18</v>
      </c>
      <c r="C1319" s="22" t="s">
        <v>163</v>
      </c>
      <c r="D1319" s="22" t="s">
        <v>37</v>
      </c>
      <c r="E1319" s="24" t="s">
        <v>40</v>
      </c>
      <c r="F1319" s="22" t="s">
        <v>165</v>
      </c>
      <c r="G1319" s="25">
        <v>12892.8</v>
      </c>
      <c r="H1319" s="22" t="s">
        <v>22</v>
      </c>
      <c r="I1319" s="22">
        <v>0</v>
      </c>
      <c r="J1319" s="22" t="s">
        <v>165</v>
      </c>
      <c r="K1319" s="22" t="s">
        <v>23</v>
      </c>
      <c r="L1319" s="22">
        <v>4</v>
      </c>
      <c r="M1319" s="26">
        <v>90250</v>
      </c>
      <c r="N1319" s="26">
        <v>0</v>
      </c>
      <c r="O1319" s="15">
        <f t="shared" si="100"/>
        <v>90250</v>
      </c>
      <c r="P1319" s="15">
        <f t="shared" si="101"/>
        <v>7.0000310250682558</v>
      </c>
      <c r="Q1319" s="25">
        <v>8011</v>
      </c>
      <c r="R1319" s="22">
        <v>100</v>
      </c>
      <c r="S1319" s="22" t="s">
        <v>1729</v>
      </c>
      <c r="T1319" s="22">
        <f t="shared" si="102"/>
        <v>2</v>
      </c>
      <c r="U1319" s="22">
        <f t="shared" si="103"/>
        <v>2021</v>
      </c>
      <c r="V1319" s="22" t="str">
        <f t="shared" si="104"/>
        <v>METROPOLITANA</v>
      </c>
    </row>
    <row r="1320" spans="1:22" x14ac:dyDescent="0.2">
      <c r="A1320" s="23" t="s">
        <v>1724</v>
      </c>
      <c r="B1320" s="22" t="s">
        <v>18</v>
      </c>
      <c r="C1320" s="22" t="s">
        <v>163</v>
      </c>
      <c r="D1320" s="22" t="s">
        <v>41</v>
      </c>
      <c r="E1320" s="24" t="s">
        <v>25</v>
      </c>
      <c r="F1320" s="22" t="s">
        <v>165</v>
      </c>
      <c r="G1320" s="25">
        <v>6574.76</v>
      </c>
      <c r="H1320" s="22" t="s">
        <v>43</v>
      </c>
      <c r="I1320" s="22">
        <v>0</v>
      </c>
      <c r="J1320" s="22" t="s">
        <v>165</v>
      </c>
      <c r="K1320" s="22" t="s">
        <v>23</v>
      </c>
      <c r="L1320" s="22">
        <v>4</v>
      </c>
      <c r="M1320" s="26">
        <f>G1320*11</f>
        <v>72322.36</v>
      </c>
      <c r="N1320" s="26">
        <v>0</v>
      </c>
      <c r="O1320" s="15">
        <f t="shared" si="100"/>
        <v>72322.36</v>
      </c>
      <c r="P1320" s="15">
        <f t="shared" si="101"/>
        <v>11</v>
      </c>
      <c r="Q1320" s="25">
        <v>8011</v>
      </c>
      <c r="R1320" s="22">
        <v>82</v>
      </c>
      <c r="S1320" s="22" t="s">
        <v>1730</v>
      </c>
      <c r="T1320" s="22">
        <f t="shared" si="102"/>
        <v>2</v>
      </c>
      <c r="U1320" s="22">
        <f t="shared" si="103"/>
        <v>2021</v>
      </c>
      <c r="V1320" s="22" t="str">
        <f t="shared" si="104"/>
        <v>METROPOLITANA</v>
      </c>
    </row>
    <row r="1321" spans="1:22" x14ac:dyDescent="0.2">
      <c r="A1321" s="23" t="s">
        <v>1724</v>
      </c>
      <c r="B1321" s="22" t="s">
        <v>18</v>
      </c>
      <c r="C1321" s="22" t="s">
        <v>29</v>
      </c>
      <c r="D1321" s="22" t="s">
        <v>63</v>
      </c>
      <c r="E1321" s="24" t="s">
        <v>64</v>
      </c>
      <c r="F1321" s="22" t="s">
        <v>39</v>
      </c>
      <c r="G1321" s="25">
        <v>4925.5499999999984</v>
      </c>
      <c r="H1321" s="22" t="s">
        <v>65</v>
      </c>
      <c r="I1321" s="22">
        <v>0</v>
      </c>
      <c r="J1321" s="22" t="s">
        <v>39</v>
      </c>
      <c r="K1321" s="22" t="s">
        <v>23</v>
      </c>
      <c r="L1321" s="22">
        <v>1</v>
      </c>
      <c r="M1321" s="26">
        <v>55000</v>
      </c>
      <c r="N1321" s="26">
        <v>0</v>
      </c>
      <c r="O1321" s="15">
        <f t="shared" si="100"/>
        <v>55000</v>
      </c>
      <c r="P1321" s="15">
        <f t="shared" si="101"/>
        <v>11.166265696216669</v>
      </c>
      <c r="Q1321" s="25">
        <v>4821</v>
      </c>
      <c r="R1321" s="22">
        <v>100</v>
      </c>
      <c r="S1321" s="22" t="s">
        <v>1731</v>
      </c>
      <c r="T1321" s="22">
        <f t="shared" si="102"/>
        <v>2</v>
      </c>
      <c r="U1321" s="22">
        <f t="shared" si="103"/>
        <v>2021</v>
      </c>
      <c r="V1321" s="22" t="str">
        <f t="shared" si="104"/>
        <v>METROPOLITANA</v>
      </c>
    </row>
    <row r="1322" spans="1:22" x14ac:dyDescent="0.2">
      <c r="A1322" s="23" t="s">
        <v>1724</v>
      </c>
      <c r="B1322" s="22" t="s">
        <v>18</v>
      </c>
      <c r="C1322" s="22" t="s">
        <v>29</v>
      </c>
      <c r="D1322" s="22" t="s">
        <v>20</v>
      </c>
      <c r="E1322" s="24" t="s">
        <v>21</v>
      </c>
      <c r="F1322" s="22" t="s">
        <v>39</v>
      </c>
      <c r="G1322" s="25">
        <v>5672.32</v>
      </c>
      <c r="H1322" s="22" t="s">
        <v>22</v>
      </c>
      <c r="I1322" s="22">
        <v>0</v>
      </c>
      <c r="J1322" s="22" t="s">
        <v>39</v>
      </c>
      <c r="K1322" s="22" t="s">
        <v>23</v>
      </c>
      <c r="L1322" s="22">
        <v>1</v>
      </c>
      <c r="M1322" s="26">
        <v>39706</v>
      </c>
      <c r="N1322" s="26">
        <v>22689</v>
      </c>
      <c r="O1322" s="15">
        <f t="shared" si="100"/>
        <v>62395</v>
      </c>
      <c r="P1322" s="15">
        <f t="shared" si="101"/>
        <v>10.999908326751665</v>
      </c>
      <c r="Q1322" s="25">
        <v>4821</v>
      </c>
      <c r="R1322" s="22">
        <v>100</v>
      </c>
      <c r="S1322" s="22" t="s">
        <v>1732</v>
      </c>
      <c r="T1322" s="22">
        <f t="shared" si="102"/>
        <v>2</v>
      </c>
      <c r="U1322" s="22">
        <f t="shared" si="103"/>
        <v>2021</v>
      </c>
      <c r="V1322" s="22" t="str">
        <f t="shared" si="104"/>
        <v>METROPOLITANA</v>
      </c>
    </row>
    <row r="1323" spans="1:22" x14ac:dyDescent="0.2">
      <c r="A1323" s="23" t="s">
        <v>1724</v>
      </c>
      <c r="B1323" s="22" t="s">
        <v>33</v>
      </c>
      <c r="C1323" s="22" t="s">
        <v>29</v>
      </c>
      <c r="D1323" s="22" t="s">
        <v>56</v>
      </c>
      <c r="E1323" s="24" t="s">
        <v>1576</v>
      </c>
      <c r="F1323" s="22" t="s">
        <v>134</v>
      </c>
      <c r="G1323" s="25">
        <v>5574.4500000000016</v>
      </c>
      <c r="H1323" s="22" t="s">
        <v>22</v>
      </c>
      <c r="I1323" s="22">
        <v>0</v>
      </c>
      <c r="J1323" s="22" t="s">
        <v>134</v>
      </c>
      <c r="K1323" s="22" t="s">
        <v>23</v>
      </c>
      <c r="L1323" s="22">
        <v>2</v>
      </c>
      <c r="M1323" s="26">
        <v>40475</v>
      </c>
      <c r="N1323" s="26">
        <v>22298</v>
      </c>
      <c r="O1323" s="15">
        <f t="shared" si="100"/>
        <v>62773</v>
      </c>
      <c r="P1323" s="15">
        <f t="shared" si="101"/>
        <v>11.260841876777079</v>
      </c>
      <c r="Q1323" s="25">
        <v>5782</v>
      </c>
      <c r="R1323" s="22">
        <v>96</v>
      </c>
      <c r="S1323" s="22" t="s">
        <v>1733</v>
      </c>
      <c r="T1323" s="22">
        <f t="shared" si="102"/>
        <v>2</v>
      </c>
      <c r="U1323" s="22">
        <f t="shared" si="103"/>
        <v>2021</v>
      </c>
      <c r="V1323" s="22" t="str">
        <f t="shared" si="104"/>
        <v>METROPOLITANA</v>
      </c>
    </row>
    <row r="1324" spans="1:22" x14ac:dyDescent="0.2">
      <c r="A1324" s="23" t="s">
        <v>1724</v>
      </c>
      <c r="B1324" s="22" t="s">
        <v>33</v>
      </c>
      <c r="C1324" s="22" t="s">
        <v>29</v>
      </c>
      <c r="D1324" s="22" t="s">
        <v>35</v>
      </c>
      <c r="E1324" s="24" t="s">
        <v>88</v>
      </c>
      <c r="F1324" s="22" t="s">
        <v>134</v>
      </c>
      <c r="G1324" s="25">
        <v>6372.5</v>
      </c>
      <c r="H1324" s="22" t="s">
        <v>22</v>
      </c>
      <c r="I1324" s="22">
        <v>0</v>
      </c>
      <c r="J1324" s="22" t="s">
        <v>134</v>
      </c>
      <c r="K1324" s="22" t="s">
        <v>23</v>
      </c>
      <c r="L1324" s="22">
        <v>2</v>
      </c>
      <c r="M1324" s="26">
        <v>44608</v>
      </c>
      <c r="N1324" s="26">
        <v>25490</v>
      </c>
      <c r="O1324" s="15">
        <f t="shared" si="100"/>
        <v>70098</v>
      </c>
      <c r="P1324" s="15">
        <f t="shared" si="101"/>
        <v>11.000078462142017</v>
      </c>
      <c r="Q1324" s="25">
        <v>5782</v>
      </c>
      <c r="R1324" s="22">
        <v>100</v>
      </c>
      <c r="S1324" s="22" t="s">
        <v>1734</v>
      </c>
      <c r="T1324" s="22">
        <f t="shared" si="102"/>
        <v>2</v>
      </c>
      <c r="U1324" s="22">
        <f t="shared" si="103"/>
        <v>2021</v>
      </c>
      <c r="V1324" s="22" t="str">
        <f t="shared" si="104"/>
        <v>METROPOLITANA</v>
      </c>
    </row>
    <row r="1325" spans="1:22" x14ac:dyDescent="0.2">
      <c r="A1325" s="23" t="s">
        <v>1724</v>
      </c>
      <c r="B1325" s="22" t="s">
        <v>33</v>
      </c>
      <c r="C1325" s="22" t="s">
        <v>44</v>
      </c>
      <c r="D1325" s="22" t="s">
        <v>56</v>
      </c>
      <c r="E1325" s="24" t="s">
        <v>28</v>
      </c>
      <c r="F1325" s="22" t="s">
        <v>94</v>
      </c>
      <c r="G1325" s="25">
        <v>2906.4</v>
      </c>
      <c r="H1325" s="22" t="s">
        <v>22</v>
      </c>
      <c r="I1325" s="22">
        <v>0</v>
      </c>
      <c r="J1325" s="22" t="s">
        <v>59</v>
      </c>
      <c r="K1325" s="22" t="s">
        <v>78</v>
      </c>
      <c r="L1325" s="22">
        <v>0</v>
      </c>
      <c r="M1325" s="26">
        <v>180000</v>
      </c>
      <c r="N1325" s="26">
        <v>12000</v>
      </c>
      <c r="O1325" s="15">
        <f t="shared" si="100"/>
        <v>192000</v>
      </c>
      <c r="P1325" s="15">
        <f t="shared" si="101"/>
        <v>66.061106523534264</v>
      </c>
      <c r="Q1325" s="25">
        <v>25000</v>
      </c>
      <c r="R1325" s="22">
        <v>12</v>
      </c>
      <c r="S1325" s="22" t="s">
        <v>1735</v>
      </c>
      <c r="T1325" s="22">
        <f t="shared" si="102"/>
        <v>2</v>
      </c>
      <c r="U1325" s="22">
        <f t="shared" si="103"/>
        <v>2021</v>
      </c>
      <c r="V1325" s="22" t="str">
        <f t="shared" si="104"/>
        <v>REGIONES</v>
      </c>
    </row>
    <row r="1326" spans="1:22" x14ac:dyDescent="0.2">
      <c r="A1326" s="23" t="s">
        <v>1724</v>
      </c>
      <c r="B1326" s="22" t="s">
        <v>33</v>
      </c>
      <c r="C1326" s="22" t="s">
        <v>44</v>
      </c>
      <c r="D1326" s="22" t="s">
        <v>47</v>
      </c>
      <c r="E1326" s="24" t="s">
        <v>1576</v>
      </c>
      <c r="F1326" s="22" t="s">
        <v>48</v>
      </c>
      <c r="G1326" s="25">
        <v>2221.1999999999998</v>
      </c>
      <c r="H1326" s="22" t="s">
        <v>22</v>
      </c>
      <c r="I1326" s="22">
        <v>0</v>
      </c>
      <c r="J1326" s="22" t="s">
        <v>48</v>
      </c>
      <c r="K1326" s="22" t="s">
        <v>23</v>
      </c>
      <c r="L1326" s="22">
        <v>1</v>
      </c>
      <c r="M1326" s="26">
        <v>33750</v>
      </c>
      <c r="N1326" s="26">
        <v>12000</v>
      </c>
      <c r="O1326" s="15">
        <f t="shared" si="100"/>
        <v>45750</v>
      </c>
      <c r="P1326" s="15">
        <f t="shared" si="101"/>
        <v>20.59697460831983</v>
      </c>
      <c r="Q1326" s="25">
        <v>4821</v>
      </c>
      <c r="R1326" s="22">
        <v>46</v>
      </c>
      <c r="S1326" s="22" t="s">
        <v>1736</v>
      </c>
      <c r="T1326" s="22">
        <f t="shared" si="102"/>
        <v>2</v>
      </c>
      <c r="U1326" s="22">
        <f t="shared" si="103"/>
        <v>2021</v>
      </c>
      <c r="V1326" s="22" t="str">
        <f t="shared" si="104"/>
        <v>METROPOLITANA</v>
      </c>
    </row>
    <row r="1327" spans="1:22" x14ac:dyDescent="0.2">
      <c r="A1327" s="11" t="s">
        <v>1737</v>
      </c>
      <c r="B1327" s="12" t="s">
        <v>18</v>
      </c>
      <c r="C1327" s="12" t="s">
        <v>500</v>
      </c>
      <c r="D1327" s="12" t="s">
        <v>30</v>
      </c>
      <c r="E1327" s="13" t="s">
        <v>31</v>
      </c>
      <c r="F1327" s="12" t="s">
        <v>120</v>
      </c>
      <c r="G1327" s="14">
        <v>5020.3700000000008</v>
      </c>
      <c r="H1327" s="12" t="s">
        <v>32</v>
      </c>
      <c r="I1327" s="12">
        <v>0</v>
      </c>
      <c r="J1327" s="12" t="s">
        <v>120</v>
      </c>
      <c r="K1327" s="12" t="s">
        <v>23</v>
      </c>
      <c r="L1327" s="12">
        <v>5</v>
      </c>
      <c r="M1327" s="15">
        <f>G1327*11</f>
        <v>55224.070000000007</v>
      </c>
      <c r="N1327" s="15">
        <v>0</v>
      </c>
      <c r="O1327" s="15">
        <f t="shared" si="100"/>
        <v>55224.070000000007</v>
      </c>
      <c r="P1327" s="15">
        <f t="shared" si="101"/>
        <v>11</v>
      </c>
      <c r="Q1327" s="14">
        <v>12000</v>
      </c>
      <c r="R1327" s="12">
        <v>42</v>
      </c>
      <c r="S1327" s="12" t="s">
        <v>1738</v>
      </c>
      <c r="T1327" s="22">
        <f t="shared" si="102"/>
        <v>2</v>
      </c>
      <c r="U1327" s="22">
        <f t="shared" si="103"/>
        <v>2021</v>
      </c>
      <c r="V1327" s="22" t="str">
        <f t="shared" si="104"/>
        <v>METROPOLITANA</v>
      </c>
    </row>
    <row r="1328" spans="1:22" x14ac:dyDescent="0.2">
      <c r="A1328" s="11" t="s">
        <v>1737</v>
      </c>
      <c r="B1328" s="12" t="s">
        <v>33</v>
      </c>
      <c r="C1328" s="12" t="s">
        <v>29</v>
      </c>
      <c r="D1328" s="12" t="s">
        <v>38</v>
      </c>
      <c r="E1328" s="13" t="s">
        <v>42</v>
      </c>
      <c r="F1328" s="12" t="s">
        <v>134</v>
      </c>
      <c r="G1328" s="14">
        <v>6403.3000000000011</v>
      </c>
      <c r="H1328" s="12" t="s">
        <v>43</v>
      </c>
      <c r="I1328" s="12">
        <v>0</v>
      </c>
      <c r="J1328" s="12" t="s">
        <v>134</v>
      </c>
      <c r="K1328" s="12" t="s">
        <v>23</v>
      </c>
      <c r="L1328" s="12">
        <v>2</v>
      </c>
      <c r="M1328" s="15">
        <f>G1328*11</f>
        <v>70436.300000000017</v>
      </c>
      <c r="N1328" s="15">
        <v>0</v>
      </c>
      <c r="O1328" s="15">
        <f t="shared" si="100"/>
        <v>70436.300000000017</v>
      </c>
      <c r="P1328" s="15">
        <f t="shared" si="101"/>
        <v>11</v>
      </c>
      <c r="Q1328" s="14">
        <v>5782</v>
      </c>
      <c r="R1328" s="12">
        <v>100</v>
      </c>
      <c r="S1328" s="12" t="s">
        <v>1739</v>
      </c>
      <c r="T1328" s="22">
        <f t="shared" si="102"/>
        <v>2</v>
      </c>
      <c r="U1328" s="22">
        <f t="shared" si="103"/>
        <v>2021</v>
      </c>
      <c r="V1328" s="22" t="str">
        <f t="shared" si="104"/>
        <v>METROPOLITANA</v>
      </c>
    </row>
    <row r="1329" spans="1:22" x14ac:dyDescent="0.2">
      <c r="A1329" s="11" t="s">
        <v>1737</v>
      </c>
      <c r="B1329" s="12" t="s">
        <v>33</v>
      </c>
      <c r="C1329" s="12" t="s">
        <v>29</v>
      </c>
      <c r="D1329" s="12" t="s">
        <v>188</v>
      </c>
      <c r="E1329" s="13" t="s">
        <v>189</v>
      </c>
      <c r="F1329" s="12" t="s">
        <v>173</v>
      </c>
      <c r="G1329" s="14">
        <v>4039.1999999999989</v>
      </c>
      <c r="H1329" s="12" t="s">
        <v>190</v>
      </c>
      <c r="I1329" s="12">
        <v>0</v>
      </c>
      <c r="J1329" s="12" t="s">
        <v>173</v>
      </c>
      <c r="K1329" s="12" t="s">
        <v>23</v>
      </c>
      <c r="L1329" s="12">
        <v>5</v>
      </c>
      <c r="M1329" s="15">
        <f>G1329*11</f>
        <v>44431.19999999999</v>
      </c>
      <c r="N1329" s="15"/>
      <c r="O1329" s="15">
        <f t="shared" si="100"/>
        <v>44431.19999999999</v>
      </c>
      <c r="P1329" s="15">
        <f t="shared" si="101"/>
        <v>11</v>
      </c>
      <c r="Q1329" s="14">
        <v>12000</v>
      </c>
      <c r="R1329" s="12">
        <v>34</v>
      </c>
      <c r="S1329" s="12" t="s">
        <v>1740</v>
      </c>
      <c r="T1329" s="22">
        <f t="shared" si="102"/>
        <v>2</v>
      </c>
      <c r="U1329" s="22">
        <f t="shared" si="103"/>
        <v>2021</v>
      </c>
      <c r="V1329" s="22" t="str">
        <f t="shared" si="104"/>
        <v>METROPOLITANA</v>
      </c>
    </row>
    <row r="1330" spans="1:22" x14ac:dyDescent="0.2">
      <c r="A1330" s="11" t="s">
        <v>1737</v>
      </c>
      <c r="B1330" s="12" t="s">
        <v>33</v>
      </c>
      <c r="C1330" s="12" t="s">
        <v>29</v>
      </c>
      <c r="D1330" s="12" t="s">
        <v>37</v>
      </c>
      <c r="E1330" s="13" t="s">
        <v>40</v>
      </c>
      <c r="F1330" s="12" t="s">
        <v>173</v>
      </c>
      <c r="G1330" s="14">
        <v>4039.1999999999989</v>
      </c>
      <c r="H1330" s="12" t="s">
        <v>22</v>
      </c>
      <c r="I1330" s="12">
        <v>0</v>
      </c>
      <c r="J1330" s="12" t="s">
        <v>173</v>
      </c>
      <c r="K1330" s="12" t="s">
        <v>23</v>
      </c>
      <c r="L1330" s="12">
        <v>5</v>
      </c>
      <c r="M1330" s="15">
        <v>90000</v>
      </c>
      <c r="N1330" s="15">
        <v>16157</v>
      </c>
      <c r="O1330" s="15">
        <f t="shared" si="100"/>
        <v>106157</v>
      </c>
      <c r="P1330" s="15">
        <f t="shared" si="101"/>
        <v>26.281689443454155</v>
      </c>
      <c r="Q1330" s="14">
        <v>12000</v>
      </c>
      <c r="R1330" s="12">
        <v>34</v>
      </c>
      <c r="S1330" s="12" t="s">
        <v>1741</v>
      </c>
      <c r="T1330" s="22">
        <f t="shared" si="102"/>
        <v>2</v>
      </c>
      <c r="U1330" s="22">
        <f t="shared" si="103"/>
        <v>2021</v>
      </c>
      <c r="V1330" s="22" t="str">
        <f t="shared" si="104"/>
        <v>METROPOLITANA</v>
      </c>
    </row>
    <row r="1331" spans="1:22" x14ac:dyDescent="0.2">
      <c r="A1331" s="11" t="s">
        <v>1737</v>
      </c>
      <c r="B1331" s="12" t="s">
        <v>33</v>
      </c>
      <c r="C1331" s="12" t="s">
        <v>29</v>
      </c>
      <c r="D1331" s="12" t="s">
        <v>786</v>
      </c>
      <c r="E1331" s="13" t="s">
        <v>787</v>
      </c>
      <c r="F1331" s="12" t="s">
        <v>132</v>
      </c>
      <c r="G1331" s="14">
        <v>9504.0000000000091</v>
      </c>
      <c r="H1331" s="12" t="s">
        <v>788</v>
      </c>
      <c r="I1331" s="12">
        <v>1</v>
      </c>
      <c r="J1331" s="12" t="s">
        <v>132</v>
      </c>
      <c r="K1331" s="12" t="s">
        <v>124</v>
      </c>
      <c r="L1331" s="12">
        <v>0</v>
      </c>
      <c r="M1331" s="15">
        <v>350000</v>
      </c>
      <c r="N1331" s="15">
        <v>0</v>
      </c>
      <c r="O1331" s="15">
        <f t="shared" si="100"/>
        <v>350000</v>
      </c>
      <c r="P1331" s="15">
        <f t="shared" si="101"/>
        <v>36.826599326599293</v>
      </c>
      <c r="Q1331" s="14">
        <v>25000</v>
      </c>
      <c r="R1331" s="12">
        <v>38</v>
      </c>
      <c r="S1331" s="12" t="s">
        <v>1742</v>
      </c>
      <c r="T1331" s="22">
        <f t="shared" si="102"/>
        <v>2</v>
      </c>
      <c r="U1331" s="22">
        <f t="shared" si="103"/>
        <v>2021</v>
      </c>
      <c r="V1331" s="22" t="str">
        <f t="shared" si="104"/>
        <v>REGIONES</v>
      </c>
    </row>
    <row r="1332" spans="1:22" x14ac:dyDescent="0.2">
      <c r="A1332" s="11" t="s">
        <v>1737</v>
      </c>
      <c r="B1332" s="12" t="s">
        <v>33</v>
      </c>
      <c r="C1332" s="12" t="s">
        <v>29</v>
      </c>
      <c r="D1332" s="12" t="s">
        <v>41</v>
      </c>
      <c r="E1332" s="13" t="s">
        <v>25</v>
      </c>
      <c r="F1332" s="12" t="s">
        <v>134</v>
      </c>
      <c r="G1332" s="14">
        <v>4397.6499999999996</v>
      </c>
      <c r="H1332" s="12" t="s">
        <v>43</v>
      </c>
      <c r="I1332" s="12">
        <v>0</v>
      </c>
      <c r="J1332" s="12" t="s">
        <v>134</v>
      </c>
      <c r="K1332" s="12" t="s">
        <v>23</v>
      </c>
      <c r="L1332" s="12">
        <v>2</v>
      </c>
      <c r="M1332" s="15">
        <f>G1332*11</f>
        <v>48374.149999999994</v>
      </c>
      <c r="N1332" s="15"/>
      <c r="O1332" s="15">
        <f t="shared" si="100"/>
        <v>48374.149999999994</v>
      </c>
      <c r="P1332" s="15">
        <f t="shared" si="101"/>
        <v>11</v>
      </c>
      <c r="Q1332" s="14">
        <v>5782</v>
      </c>
      <c r="R1332" s="12">
        <v>76</v>
      </c>
      <c r="S1332" s="12" t="s">
        <v>1743</v>
      </c>
      <c r="T1332" s="22">
        <f t="shared" si="102"/>
        <v>2</v>
      </c>
      <c r="U1332" s="22">
        <f t="shared" si="103"/>
        <v>2021</v>
      </c>
      <c r="V1332" s="22" t="str">
        <f t="shared" si="104"/>
        <v>METROPOLITANA</v>
      </c>
    </row>
    <row r="1333" spans="1:22" x14ac:dyDescent="0.2">
      <c r="A1333" s="23" t="s">
        <v>1744</v>
      </c>
      <c r="B1333" s="22" t="s">
        <v>18</v>
      </c>
      <c r="C1333" s="22" t="s">
        <v>163</v>
      </c>
      <c r="D1333" s="22" t="s">
        <v>30</v>
      </c>
      <c r="E1333" s="24">
        <v>72564391</v>
      </c>
      <c r="F1333" s="22" t="s">
        <v>165</v>
      </c>
      <c r="G1333" s="25">
        <v>10144.68</v>
      </c>
      <c r="H1333" s="22" t="s">
        <v>32</v>
      </c>
      <c r="I1333" s="22">
        <v>0</v>
      </c>
      <c r="J1333" s="22" t="s">
        <v>165</v>
      </c>
      <c r="K1333" s="22" t="s">
        <v>23</v>
      </c>
      <c r="L1333" s="22">
        <v>4</v>
      </c>
      <c r="M1333" s="26">
        <f>G1333*11</f>
        <v>111591.48000000001</v>
      </c>
      <c r="N1333" s="26">
        <v>0</v>
      </c>
      <c r="O1333" s="15">
        <f t="shared" si="100"/>
        <v>111591.48000000001</v>
      </c>
      <c r="P1333" s="15">
        <f t="shared" si="101"/>
        <v>11</v>
      </c>
      <c r="Q1333" s="25">
        <v>8011</v>
      </c>
      <c r="R1333" s="22">
        <v>100</v>
      </c>
      <c r="S1333" s="22" t="s">
        <v>1745</v>
      </c>
      <c r="T1333" s="22">
        <f t="shared" si="102"/>
        <v>2</v>
      </c>
      <c r="U1333" s="22">
        <f t="shared" si="103"/>
        <v>2021</v>
      </c>
      <c r="V1333" s="22" t="str">
        <f t="shared" si="104"/>
        <v>METROPOLITANA</v>
      </c>
    </row>
    <row r="1334" spans="1:22" x14ac:dyDescent="0.2">
      <c r="A1334" s="23" t="s">
        <v>1744</v>
      </c>
      <c r="B1334" s="22" t="s">
        <v>18</v>
      </c>
      <c r="C1334" s="22" t="s">
        <v>163</v>
      </c>
      <c r="D1334" s="22" t="s">
        <v>41</v>
      </c>
      <c r="E1334" s="24">
        <v>125108660</v>
      </c>
      <c r="F1334" s="22" t="s">
        <v>165</v>
      </c>
      <c r="G1334" s="25">
        <v>10144.68</v>
      </c>
      <c r="H1334" s="22" t="s">
        <v>43</v>
      </c>
      <c r="I1334" s="22">
        <v>0</v>
      </c>
      <c r="J1334" s="22" t="s">
        <v>165</v>
      </c>
      <c r="K1334" s="22" t="s">
        <v>23</v>
      </c>
      <c r="L1334" s="22">
        <v>4</v>
      </c>
      <c r="M1334" s="26">
        <f>G1334*11</f>
        <v>111591.48000000001</v>
      </c>
      <c r="N1334" s="26">
        <v>0</v>
      </c>
      <c r="O1334" s="15">
        <f t="shared" si="100"/>
        <v>111591.48000000001</v>
      </c>
      <c r="P1334" s="15">
        <f t="shared" si="101"/>
        <v>11</v>
      </c>
      <c r="Q1334" s="25">
        <v>8011</v>
      </c>
      <c r="R1334" s="22">
        <v>100</v>
      </c>
      <c r="S1334" s="22" t="s">
        <v>1746</v>
      </c>
      <c r="T1334" s="22">
        <f t="shared" si="102"/>
        <v>2</v>
      </c>
      <c r="U1334" s="22">
        <f t="shared" si="103"/>
        <v>2021</v>
      </c>
      <c r="V1334" s="22" t="str">
        <f t="shared" si="104"/>
        <v>METROPOLITANA</v>
      </c>
    </row>
    <row r="1335" spans="1:22" x14ac:dyDescent="0.2">
      <c r="A1335" s="23" t="s">
        <v>1744</v>
      </c>
      <c r="B1335" s="22" t="s">
        <v>18</v>
      </c>
      <c r="C1335" s="22" t="s">
        <v>163</v>
      </c>
      <c r="D1335" s="22" t="s">
        <v>164</v>
      </c>
      <c r="E1335" s="24">
        <v>81417709</v>
      </c>
      <c r="F1335" s="22" t="s">
        <v>165</v>
      </c>
      <c r="G1335" s="25">
        <v>8423.89</v>
      </c>
      <c r="H1335" s="22" t="s">
        <v>22</v>
      </c>
      <c r="I1335" s="22">
        <v>1</v>
      </c>
      <c r="J1335" s="22" t="s">
        <v>165</v>
      </c>
      <c r="K1335" s="22" t="s">
        <v>23</v>
      </c>
      <c r="L1335" s="22">
        <v>4</v>
      </c>
      <c r="M1335" s="26">
        <v>58967</v>
      </c>
      <c r="N1335" s="26">
        <f>G1335*4</f>
        <v>33695.56</v>
      </c>
      <c r="O1335" s="15">
        <f t="shared" si="100"/>
        <v>92662.56</v>
      </c>
      <c r="P1335" s="15">
        <f t="shared" si="101"/>
        <v>10.999972696699507</v>
      </c>
      <c r="Q1335" s="25">
        <v>8011</v>
      </c>
      <c r="R1335" s="22">
        <v>100</v>
      </c>
      <c r="S1335" s="22" t="s">
        <v>1747</v>
      </c>
      <c r="T1335" s="22">
        <f t="shared" si="102"/>
        <v>2</v>
      </c>
      <c r="U1335" s="22">
        <f t="shared" si="103"/>
        <v>2021</v>
      </c>
      <c r="V1335" s="22" t="str">
        <f t="shared" si="104"/>
        <v>METROPOLITANA</v>
      </c>
    </row>
    <row r="1336" spans="1:22" x14ac:dyDescent="0.2">
      <c r="A1336" s="23" t="s">
        <v>1744</v>
      </c>
      <c r="B1336" s="22" t="s">
        <v>18</v>
      </c>
      <c r="C1336" s="22" t="s">
        <v>87</v>
      </c>
      <c r="D1336" s="22" t="s">
        <v>20</v>
      </c>
      <c r="E1336" s="24">
        <v>78907355</v>
      </c>
      <c r="F1336" s="22" t="s">
        <v>51</v>
      </c>
      <c r="G1336" s="25">
        <v>7694.76</v>
      </c>
      <c r="H1336" s="22" t="s">
        <v>22</v>
      </c>
      <c r="I1336" s="22">
        <v>0</v>
      </c>
      <c r="J1336" s="22" t="s">
        <v>51</v>
      </c>
      <c r="K1336" s="22" t="s">
        <v>23</v>
      </c>
      <c r="L1336" s="22">
        <v>4</v>
      </c>
      <c r="M1336" s="26">
        <v>56075</v>
      </c>
      <c r="N1336" s="26">
        <f>G1336*4</f>
        <v>30779.040000000001</v>
      </c>
      <c r="O1336" s="15">
        <f t="shared" si="100"/>
        <v>86854.040000000008</v>
      </c>
      <c r="P1336" s="15">
        <f t="shared" si="101"/>
        <v>11.287426768346252</v>
      </c>
      <c r="Q1336" s="25">
        <v>8011</v>
      </c>
      <c r="R1336" s="22">
        <v>96</v>
      </c>
      <c r="S1336" s="22" t="s">
        <v>1748</v>
      </c>
      <c r="T1336" s="22">
        <f t="shared" si="102"/>
        <v>2</v>
      </c>
      <c r="U1336" s="22">
        <f t="shared" si="103"/>
        <v>2021</v>
      </c>
      <c r="V1336" s="22" t="str">
        <f t="shared" si="104"/>
        <v>METROPOLITANA</v>
      </c>
    </row>
    <row r="1337" spans="1:22" x14ac:dyDescent="0.2">
      <c r="A1337" s="11" t="s">
        <v>1749</v>
      </c>
      <c r="B1337" s="12" t="s">
        <v>54</v>
      </c>
      <c r="C1337" s="12" t="s">
        <v>55</v>
      </c>
      <c r="D1337" s="12" t="s">
        <v>130</v>
      </c>
      <c r="E1337" s="13">
        <v>167832741</v>
      </c>
      <c r="F1337" s="12" t="s">
        <v>66</v>
      </c>
      <c r="G1337" s="14">
        <v>10480.799999999999</v>
      </c>
      <c r="H1337" s="12" t="s">
        <v>85</v>
      </c>
      <c r="I1337" s="12">
        <v>1</v>
      </c>
      <c r="J1337" s="12" t="s">
        <v>66</v>
      </c>
      <c r="K1337" s="12" t="s">
        <v>75</v>
      </c>
      <c r="L1337" s="12">
        <v>0</v>
      </c>
      <c r="M1337" s="15">
        <v>380000</v>
      </c>
      <c r="N1337" s="15">
        <v>0</v>
      </c>
      <c r="O1337" s="15">
        <f t="shared" si="100"/>
        <v>380000</v>
      </c>
      <c r="P1337" s="15">
        <f t="shared" si="101"/>
        <v>36.256774292038777</v>
      </c>
      <c r="Q1337" s="14">
        <v>25000</v>
      </c>
      <c r="R1337" s="12">
        <v>42</v>
      </c>
      <c r="S1337" s="12" t="s">
        <v>1750</v>
      </c>
      <c r="T1337" s="22">
        <f t="shared" si="102"/>
        <v>2</v>
      </c>
      <c r="U1337" s="22">
        <f t="shared" si="103"/>
        <v>2021</v>
      </c>
      <c r="V1337" s="22" t="str">
        <f t="shared" si="104"/>
        <v>REGIONES</v>
      </c>
    </row>
    <row r="1338" spans="1:22" x14ac:dyDescent="0.2">
      <c r="A1338" s="11" t="s">
        <v>1749</v>
      </c>
      <c r="B1338" s="12" t="s">
        <v>33</v>
      </c>
      <c r="C1338" s="12" t="s">
        <v>1233</v>
      </c>
      <c r="D1338" s="12" t="s">
        <v>38</v>
      </c>
      <c r="E1338" s="13">
        <v>125108660</v>
      </c>
      <c r="F1338" s="12" t="s">
        <v>1234</v>
      </c>
      <c r="G1338" s="14">
        <v>3169.05</v>
      </c>
      <c r="H1338" s="12" t="s">
        <v>43</v>
      </c>
      <c r="I1338" s="12">
        <v>0</v>
      </c>
      <c r="J1338" s="12" t="s">
        <v>1234</v>
      </c>
      <c r="K1338" s="12" t="s">
        <v>23</v>
      </c>
      <c r="L1338" s="12">
        <v>3</v>
      </c>
      <c r="M1338" s="15">
        <v>55000</v>
      </c>
      <c r="N1338" s="15">
        <v>0</v>
      </c>
      <c r="O1338" s="15">
        <f t="shared" si="100"/>
        <v>55000</v>
      </c>
      <c r="P1338" s="15">
        <f t="shared" si="101"/>
        <v>17.355358861488458</v>
      </c>
      <c r="Q1338" s="14">
        <v>6868</v>
      </c>
      <c r="R1338" s="12">
        <v>46</v>
      </c>
      <c r="S1338" s="12" t="s">
        <v>1751</v>
      </c>
      <c r="T1338" s="22">
        <f t="shared" si="102"/>
        <v>2</v>
      </c>
      <c r="U1338" s="22">
        <f t="shared" si="103"/>
        <v>2021</v>
      </c>
      <c r="V1338" s="22" t="str">
        <f t="shared" si="104"/>
        <v>METROPOLITANA</v>
      </c>
    </row>
    <row r="1339" spans="1:22" x14ac:dyDescent="0.2">
      <c r="A1339" s="11" t="s">
        <v>1749</v>
      </c>
      <c r="B1339" s="12" t="s">
        <v>33</v>
      </c>
      <c r="C1339" s="12" t="s">
        <v>29</v>
      </c>
      <c r="D1339" s="12" t="s">
        <v>63</v>
      </c>
      <c r="E1339" s="13">
        <v>138841065</v>
      </c>
      <c r="F1339" s="12" t="s">
        <v>134</v>
      </c>
      <c r="G1339" s="14">
        <v>6244.8000000000011</v>
      </c>
      <c r="H1339" s="12" t="s">
        <v>65</v>
      </c>
      <c r="I1339" s="12">
        <v>0</v>
      </c>
      <c r="J1339" s="12" t="s">
        <v>134</v>
      </c>
      <c r="K1339" s="12" t="s">
        <v>23</v>
      </c>
      <c r="L1339" s="12">
        <v>2</v>
      </c>
      <c r="M1339" s="15">
        <v>43714</v>
      </c>
      <c r="N1339" s="15">
        <v>18734</v>
      </c>
      <c r="O1339" s="15">
        <f t="shared" si="100"/>
        <v>62448</v>
      </c>
      <c r="P1339" s="15">
        <f t="shared" si="101"/>
        <v>9.9999999999999982</v>
      </c>
      <c r="Q1339" s="14">
        <v>5782</v>
      </c>
      <c r="R1339" s="12">
        <v>100</v>
      </c>
      <c r="S1339" s="12" t="s">
        <v>1752</v>
      </c>
      <c r="T1339" s="22">
        <f t="shared" si="102"/>
        <v>2</v>
      </c>
      <c r="U1339" s="22">
        <f t="shared" si="103"/>
        <v>2021</v>
      </c>
      <c r="V1339" s="22" t="str">
        <f t="shared" si="104"/>
        <v>METROPOLITANA</v>
      </c>
    </row>
    <row r="1340" spans="1:22" x14ac:dyDescent="0.2">
      <c r="A1340" s="11" t="s">
        <v>1749</v>
      </c>
      <c r="B1340" s="12" t="s">
        <v>33</v>
      </c>
      <c r="C1340" s="12" t="s">
        <v>44</v>
      </c>
      <c r="D1340" s="12" t="s">
        <v>45</v>
      </c>
      <c r="E1340" s="13">
        <v>78907355</v>
      </c>
      <c r="F1340" s="12" t="s">
        <v>34</v>
      </c>
      <c r="G1340" s="14">
        <v>1293.9000000000001</v>
      </c>
      <c r="H1340" s="12" t="s">
        <v>22</v>
      </c>
      <c r="I1340" s="12">
        <v>0</v>
      </c>
      <c r="J1340" s="12" t="s">
        <v>34</v>
      </c>
      <c r="K1340" s="12" t="s">
        <v>23</v>
      </c>
      <c r="L1340" s="12">
        <v>1</v>
      </c>
      <c r="M1340" s="15">
        <v>33750</v>
      </c>
      <c r="N1340" s="15">
        <v>12000</v>
      </c>
      <c r="O1340" s="15">
        <f t="shared" si="100"/>
        <v>45750</v>
      </c>
      <c r="P1340" s="15">
        <f t="shared" si="101"/>
        <v>35.358219336888475</v>
      </c>
      <c r="Q1340" s="14">
        <v>4821</v>
      </c>
      <c r="R1340" s="12">
        <v>27</v>
      </c>
      <c r="S1340" s="12" t="s">
        <v>1753</v>
      </c>
      <c r="T1340" s="22">
        <f t="shared" si="102"/>
        <v>2</v>
      </c>
      <c r="U1340" s="22">
        <f t="shared" si="103"/>
        <v>2021</v>
      </c>
      <c r="V1340" s="22" t="str">
        <f t="shared" si="104"/>
        <v>METROPOLITANA</v>
      </c>
    </row>
    <row r="1341" spans="1:22" x14ac:dyDescent="0.2">
      <c r="A1341" s="11" t="s">
        <v>1749</v>
      </c>
      <c r="B1341" s="12" t="s">
        <v>33</v>
      </c>
      <c r="C1341" s="12" t="s">
        <v>44</v>
      </c>
      <c r="D1341" s="12" t="s">
        <v>47</v>
      </c>
      <c r="E1341" s="13">
        <v>154837728</v>
      </c>
      <c r="F1341" s="12" t="s">
        <v>48</v>
      </c>
      <c r="G1341" s="14">
        <v>2658.8</v>
      </c>
      <c r="H1341" s="12" t="s">
        <v>22</v>
      </c>
      <c r="I1341" s="12">
        <v>0</v>
      </c>
      <c r="J1341" s="12" t="s">
        <v>48</v>
      </c>
      <c r="K1341" s="12" t="s">
        <v>23</v>
      </c>
      <c r="L1341" s="12">
        <v>1</v>
      </c>
      <c r="M1341" s="15">
        <v>33750</v>
      </c>
      <c r="N1341" s="15">
        <v>12000</v>
      </c>
      <c r="O1341" s="15">
        <f t="shared" si="100"/>
        <v>45750</v>
      </c>
      <c r="P1341" s="15">
        <f t="shared" si="101"/>
        <v>17.207010681510454</v>
      </c>
      <c r="Q1341" s="14">
        <v>4821</v>
      </c>
      <c r="R1341" s="12">
        <v>55</v>
      </c>
      <c r="S1341" s="12" t="s">
        <v>1754</v>
      </c>
      <c r="T1341" s="22">
        <f t="shared" si="102"/>
        <v>2</v>
      </c>
      <c r="U1341" s="22">
        <f t="shared" si="103"/>
        <v>2021</v>
      </c>
      <c r="V1341" s="22" t="str">
        <f t="shared" si="104"/>
        <v>METROPOLITANA</v>
      </c>
    </row>
    <row r="1342" spans="1:22" x14ac:dyDescent="0.2">
      <c r="A1342" s="11" t="s">
        <v>1749</v>
      </c>
      <c r="B1342" s="12" t="s">
        <v>33</v>
      </c>
      <c r="C1342" s="12" t="s">
        <v>44</v>
      </c>
      <c r="D1342" s="12" t="s">
        <v>35</v>
      </c>
      <c r="E1342" s="13">
        <v>107643206</v>
      </c>
      <c r="F1342" s="12" t="s">
        <v>46</v>
      </c>
      <c r="G1342" s="14">
        <v>1865.9</v>
      </c>
      <c r="H1342" s="12" t="s">
        <v>22</v>
      </c>
      <c r="I1342" s="12">
        <v>0</v>
      </c>
      <c r="J1342" s="12" t="s">
        <v>46</v>
      </c>
      <c r="K1342" s="12" t="s">
        <v>23</v>
      </c>
      <c r="L1342" s="12">
        <v>2</v>
      </c>
      <c r="M1342" s="15">
        <v>40475</v>
      </c>
      <c r="N1342" s="15">
        <v>12000</v>
      </c>
      <c r="O1342" s="15">
        <f t="shared" si="100"/>
        <v>52475</v>
      </c>
      <c r="P1342" s="15">
        <f t="shared" si="101"/>
        <v>28.123157725494398</v>
      </c>
      <c r="Q1342" s="14">
        <v>5782</v>
      </c>
      <c r="R1342" s="12">
        <v>32</v>
      </c>
      <c r="S1342" s="12" t="s">
        <v>1755</v>
      </c>
      <c r="T1342" s="22">
        <f t="shared" si="102"/>
        <v>2</v>
      </c>
      <c r="U1342" s="22">
        <f t="shared" si="103"/>
        <v>2021</v>
      </c>
      <c r="V1342" s="22" t="str">
        <f t="shared" si="104"/>
        <v>METROPOLITANA</v>
      </c>
    </row>
    <row r="1343" spans="1:22" x14ac:dyDescent="0.2">
      <c r="A1343" s="23" t="s">
        <v>1756</v>
      </c>
      <c r="B1343" s="22" t="s">
        <v>18</v>
      </c>
      <c r="C1343" s="22" t="s">
        <v>50</v>
      </c>
      <c r="D1343" s="22" t="s">
        <v>37</v>
      </c>
      <c r="E1343" s="24">
        <v>161268070</v>
      </c>
      <c r="F1343" s="22" t="s">
        <v>26</v>
      </c>
      <c r="G1343" s="25">
        <v>13332</v>
      </c>
      <c r="H1343" s="22" t="s">
        <v>22</v>
      </c>
      <c r="I1343" s="22">
        <v>0</v>
      </c>
      <c r="J1343" s="22" t="s">
        <v>26</v>
      </c>
      <c r="K1343" s="22" t="s">
        <v>23</v>
      </c>
      <c r="L1343" s="22">
        <v>4</v>
      </c>
      <c r="M1343" s="26">
        <v>93324</v>
      </c>
      <c r="N1343" s="26">
        <f>G1343*4</f>
        <v>53328</v>
      </c>
      <c r="O1343" s="15">
        <f t="shared" si="100"/>
        <v>146652</v>
      </c>
      <c r="P1343" s="15">
        <f t="shared" si="101"/>
        <v>11</v>
      </c>
      <c r="Q1343" s="25">
        <v>8011</v>
      </c>
      <c r="R1343" s="22">
        <v>100</v>
      </c>
      <c r="S1343" s="22" t="s">
        <v>1757</v>
      </c>
      <c r="T1343" s="22">
        <f t="shared" si="102"/>
        <v>2</v>
      </c>
      <c r="U1343" s="22">
        <f t="shared" si="103"/>
        <v>2021</v>
      </c>
      <c r="V1343" s="22" t="str">
        <f t="shared" si="104"/>
        <v>METROPOLITANA</v>
      </c>
    </row>
    <row r="1344" spans="1:22" x14ac:dyDescent="0.2">
      <c r="A1344" s="23" t="s">
        <v>1756</v>
      </c>
      <c r="B1344" s="22" t="s">
        <v>18</v>
      </c>
      <c r="C1344" s="22" t="s">
        <v>57</v>
      </c>
      <c r="D1344" s="22" t="s">
        <v>41</v>
      </c>
      <c r="E1344" s="24">
        <v>125108660</v>
      </c>
      <c r="F1344" s="22" t="s">
        <v>800</v>
      </c>
      <c r="G1344" s="25">
        <v>11496.1</v>
      </c>
      <c r="H1344" s="22" t="s">
        <v>43</v>
      </c>
      <c r="I1344" s="22">
        <v>1</v>
      </c>
      <c r="J1344" s="22" t="s">
        <v>800</v>
      </c>
      <c r="K1344" s="22" t="s">
        <v>23</v>
      </c>
      <c r="L1344" s="22">
        <v>5</v>
      </c>
      <c r="M1344" s="26">
        <f>G1344*11</f>
        <v>126457.1</v>
      </c>
      <c r="N1344" s="26">
        <v>0</v>
      </c>
      <c r="O1344" s="15">
        <f t="shared" si="100"/>
        <v>126457.1</v>
      </c>
      <c r="P1344" s="15">
        <f t="shared" si="101"/>
        <v>11</v>
      </c>
      <c r="Q1344" s="25">
        <v>12000</v>
      </c>
      <c r="R1344" s="22">
        <v>96</v>
      </c>
      <c r="S1344" s="22" t="s">
        <v>1758</v>
      </c>
      <c r="T1344" s="22">
        <f t="shared" si="102"/>
        <v>2</v>
      </c>
      <c r="U1344" s="22">
        <f t="shared" si="103"/>
        <v>2021</v>
      </c>
      <c r="V1344" s="22" t="str">
        <f t="shared" si="104"/>
        <v>METROPOLITANA</v>
      </c>
    </row>
    <row r="1345" spans="1:22" x14ac:dyDescent="0.2">
      <c r="A1345" s="23" t="s">
        <v>1756</v>
      </c>
      <c r="B1345" s="22" t="s">
        <v>33</v>
      </c>
      <c r="C1345" s="22" t="s">
        <v>667</v>
      </c>
      <c r="D1345" s="22" t="s">
        <v>61</v>
      </c>
      <c r="E1345" s="24">
        <v>115812335</v>
      </c>
      <c r="F1345" s="22" t="s">
        <v>668</v>
      </c>
      <c r="G1345" s="25">
        <v>19515</v>
      </c>
      <c r="H1345" s="22" t="s">
        <v>85</v>
      </c>
      <c r="I1345" s="22">
        <v>1</v>
      </c>
      <c r="J1345" s="22" t="s">
        <v>668</v>
      </c>
      <c r="K1345" s="22" t="s">
        <v>93</v>
      </c>
      <c r="L1345" s="22">
        <v>0</v>
      </c>
      <c r="M1345" s="26">
        <v>620000</v>
      </c>
      <c r="N1345" s="26">
        <v>0</v>
      </c>
      <c r="O1345" s="15">
        <f t="shared" si="100"/>
        <v>620000</v>
      </c>
      <c r="P1345" s="15">
        <f t="shared" si="101"/>
        <v>31.770433000256212</v>
      </c>
      <c r="Q1345" s="25">
        <v>25000</v>
      </c>
      <c r="R1345" s="22">
        <v>78</v>
      </c>
      <c r="S1345" s="22" t="s">
        <v>1759</v>
      </c>
      <c r="T1345" s="22">
        <f t="shared" si="102"/>
        <v>2</v>
      </c>
      <c r="U1345" s="22">
        <f t="shared" si="103"/>
        <v>2021</v>
      </c>
      <c r="V1345" s="22" t="str">
        <f t="shared" si="104"/>
        <v>REGIONES</v>
      </c>
    </row>
    <row r="1346" spans="1:22" x14ac:dyDescent="0.2">
      <c r="A1346" s="23" t="s">
        <v>1756</v>
      </c>
      <c r="B1346" s="22" t="s">
        <v>33</v>
      </c>
      <c r="C1346" s="22" t="s">
        <v>29</v>
      </c>
      <c r="D1346" s="22" t="s">
        <v>786</v>
      </c>
      <c r="E1346" s="24">
        <v>95707734</v>
      </c>
      <c r="F1346" s="22" t="s">
        <v>132</v>
      </c>
      <c r="G1346" s="25">
        <v>13162.5</v>
      </c>
      <c r="H1346" s="22" t="s">
        <v>788</v>
      </c>
      <c r="I1346" s="22">
        <v>1</v>
      </c>
      <c r="J1346" s="22" t="s">
        <v>132</v>
      </c>
      <c r="K1346" s="22" t="s">
        <v>124</v>
      </c>
      <c r="L1346" s="22">
        <v>0</v>
      </c>
      <c r="M1346" s="26">
        <v>350000</v>
      </c>
      <c r="N1346" s="26">
        <v>0</v>
      </c>
      <c r="O1346" s="15">
        <f t="shared" ref="O1346:O1409" si="105">SUM(M1346:N1346)</f>
        <v>350000</v>
      </c>
      <c r="P1346" s="15">
        <f t="shared" ref="P1346:P1409" si="106">O1346/G1346</f>
        <v>26.590693257359924</v>
      </c>
      <c r="Q1346" s="25">
        <v>25000</v>
      </c>
      <c r="R1346" s="22">
        <v>53</v>
      </c>
      <c r="S1346" s="22" t="s">
        <v>1760</v>
      </c>
      <c r="T1346" s="22">
        <f t="shared" ref="T1346:T1409" si="107">MONTH(A1346)</f>
        <v>2</v>
      </c>
      <c r="U1346" s="22">
        <f t="shared" ref="U1346:U1409" si="108">YEAR(A1346)</f>
        <v>2021</v>
      </c>
      <c r="V1346" s="22" t="str">
        <f t="shared" ref="V1346:V1409" si="109">IF(K1346="METROPOLITANA DE SANTIAGO","METROPOLITANA","REGIONES")</f>
        <v>REGIONES</v>
      </c>
    </row>
    <row r="1347" spans="1:22" x14ac:dyDescent="0.2">
      <c r="A1347" s="23" t="s">
        <v>1756</v>
      </c>
      <c r="B1347" s="22" t="s">
        <v>33</v>
      </c>
      <c r="C1347" s="22" t="s">
        <v>29</v>
      </c>
      <c r="D1347" s="22" t="s">
        <v>164</v>
      </c>
      <c r="E1347" s="24">
        <v>81417709</v>
      </c>
      <c r="F1347" s="22" t="s">
        <v>170</v>
      </c>
      <c r="G1347" s="25">
        <v>13053.3</v>
      </c>
      <c r="H1347" s="22" t="s">
        <v>22</v>
      </c>
      <c r="I1347" s="22">
        <v>1</v>
      </c>
      <c r="J1347" s="22" t="s">
        <v>170</v>
      </c>
      <c r="K1347" s="22" t="s">
        <v>171</v>
      </c>
      <c r="L1347" s="22">
        <v>0</v>
      </c>
      <c r="M1347" s="26">
        <v>230000</v>
      </c>
      <c r="N1347" s="26">
        <f>G1347*4</f>
        <v>52213.2</v>
      </c>
      <c r="O1347" s="15">
        <f t="shared" si="105"/>
        <v>282213.2</v>
      </c>
      <c r="P1347" s="15">
        <f t="shared" si="106"/>
        <v>21.620065424069011</v>
      </c>
      <c r="Q1347" s="25">
        <v>25000</v>
      </c>
      <c r="R1347" s="22">
        <v>52</v>
      </c>
      <c r="S1347" s="22" t="s">
        <v>1761</v>
      </c>
      <c r="T1347" s="22">
        <f t="shared" si="107"/>
        <v>2</v>
      </c>
      <c r="U1347" s="22">
        <f t="shared" si="108"/>
        <v>2021</v>
      </c>
      <c r="V1347" s="22" t="str">
        <f t="shared" si="109"/>
        <v>REGIONES</v>
      </c>
    </row>
    <row r="1348" spans="1:22" x14ac:dyDescent="0.2">
      <c r="A1348" s="23" t="s">
        <v>1756</v>
      </c>
      <c r="B1348" s="22" t="s">
        <v>33</v>
      </c>
      <c r="C1348" s="22" t="s">
        <v>44</v>
      </c>
      <c r="D1348" s="22" t="s">
        <v>188</v>
      </c>
      <c r="E1348" s="24">
        <v>35488103</v>
      </c>
      <c r="F1348" s="22" t="s">
        <v>51</v>
      </c>
      <c r="G1348" s="25">
        <v>1021.4</v>
      </c>
      <c r="H1348" s="22" t="s">
        <v>190</v>
      </c>
      <c r="I1348" s="22">
        <v>0</v>
      </c>
      <c r="J1348" s="22" t="s">
        <v>51</v>
      </c>
      <c r="K1348" s="22" t="s">
        <v>23</v>
      </c>
      <c r="L1348" s="22">
        <v>4</v>
      </c>
      <c r="M1348" s="26">
        <v>55000</v>
      </c>
      <c r="N1348" s="26">
        <v>0</v>
      </c>
      <c r="O1348" s="15">
        <f t="shared" si="105"/>
        <v>55000</v>
      </c>
      <c r="P1348" s="15">
        <f t="shared" si="106"/>
        <v>53.847660074407678</v>
      </c>
      <c r="Q1348" s="25">
        <v>8011</v>
      </c>
      <c r="R1348" s="22">
        <v>13</v>
      </c>
      <c r="S1348" s="22" t="s">
        <v>1762</v>
      </c>
      <c r="T1348" s="22">
        <f t="shared" si="107"/>
        <v>2</v>
      </c>
      <c r="U1348" s="22">
        <f t="shared" si="108"/>
        <v>2021</v>
      </c>
      <c r="V1348" s="22" t="str">
        <f t="shared" si="109"/>
        <v>METROPOLITANA</v>
      </c>
    </row>
    <row r="1349" spans="1:22" x14ac:dyDescent="0.2">
      <c r="A1349" s="23" t="s">
        <v>1756</v>
      </c>
      <c r="B1349" s="22" t="s">
        <v>33</v>
      </c>
      <c r="C1349" s="22" t="s">
        <v>44</v>
      </c>
      <c r="D1349" s="22" t="s">
        <v>45</v>
      </c>
      <c r="E1349" s="24">
        <v>99626232</v>
      </c>
      <c r="F1349" s="22" t="s">
        <v>95</v>
      </c>
      <c r="G1349" s="25">
        <v>1153.0999999999999</v>
      </c>
      <c r="H1349" s="22" t="s">
        <v>22</v>
      </c>
      <c r="I1349" s="22">
        <v>0</v>
      </c>
      <c r="J1349" s="22" t="s">
        <v>95</v>
      </c>
      <c r="K1349" s="22" t="s">
        <v>23</v>
      </c>
      <c r="L1349" s="22">
        <v>4</v>
      </c>
      <c r="M1349" s="26">
        <v>56075</v>
      </c>
      <c r="N1349" s="26">
        <v>12000</v>
      </c>
      <c r="O1349" s="15">
        <f t="shared" si="105"/>
        <v>68075</v>
      </c>
      <c r="P1349" s="15">
        <f t="shared" si="106"/>
        <v>59.036510276645572</v>
      </c>
      <c r="Q1349" s="25">
        <v>8011</v>
      </c>
      <c r="R1349" s="22">
        <v>14</v>
      </c>
      <c r="S1349" s="22" t="s">
        <v>1763</v>
      </c>
      <c r="T1349" s="22">
        <f t="shared" si="107"/>
        <v>2</v>
      </c>
      <c r="U1349" s="22">
        <f t="shared" si="108"/>
        <v>2021</v>
      </c>
      <c r="V1349" s="22" t="str">
        <f t="shared" si="109"/>
        <v>METROPOLITANA</v>
      </c>
    </row>
    <row r="1350" spans="1:22" x14ac:dyDescent="0.2">
      <c r="A1350" s="23" t="s">
        <v>1756</v>
      </c>
      <c r="B1350" s="22" t="s">
        <v>33</v>
      </c>
      <c r="C1350" s="22" t="s">
        <v>44</v>
      </c>
      <c r="D1350" s="22" t="s">
        <v>47</v>
      </c>
      <c r="E1350" s="24">
        <v>154837728</v>
      </c>
      <c r="F1350" s="22" t="s">
        <v>48</v>
      </c>
      <c r="G1350" s="25">
        <v>1374</v>
      </c>
      <c r="H1350" s="22" t="s">
        <v>22</v>
      </c>
      <c r="I1350" s="22">
        <v>0</v>
      </c>
      <c r="J1350" s="22" t="s">
        <v>48</v>
      </c>
      <c r="K1350" s="22" t="s">
        <v>23</v>
      </c>
      <c r="L1350" s="22">
        <v>1</v>
      </c>
      <c r="M1350" s="26">
        <v>33750</v>
      </c>
      <c r="N1350" s="26">
        <v>12000</v>
      </c>
      <c r="O1350" s="15">
        <f t="shared" si="105"/>
        <v>45750</v>
      </c>
      <c r="P1350" s="15">
        <f t="shared" si="106"/>
        <v>33.296943231441048</v>
      </c>
      <c r="Q1350" s="25">
        <v>4821</v>
      </c>
      <c r="R1350" s="22">
        <v>29</v>
      </c>
      <c r="S1350" s="22" t="s">
        <v>1764</v>
      </c>
      <c r="T1350" s="22">
        <f t="shared" si="107"/>
        <v>2</v>
      </c>
      <c r="U1350" s="22">
        <f t="shared" si="108"/>
        <v>2021</v>
      </c>
      <c r="V1350" s="22" t="str">
        <f t="shared" si="109"/>
        <v>METROPOLITANA</v>
      </c>
    </row>
    <row r="1351" spans="1:22" x14ac:dyDescent="0.2">
      <c r="A1351" s="23" t="s">
        <v>1756</v>
      </c>
      <c r="B1351" s="22" t="s">
        <v>33</v>
      </c>
      <c r="C1351" s="22" t="s">
        <v>44</v>
      </c>
      <c r="D1351" s="22" t="s">
        <v>35</v>
      </c>
      <c r="E1351" s="24">
        <v>107643206</v>
      </c>
      <c r="F1351" s="22" t="s">
        <v>67</v>
      </c>
      <c r="G1351" s="25">
        <v>1708.4</v>
      </c>
      <c r="H1351" s="22" t="s">
        <v>22</v>
      </c>
      <c r="I1351" s="22">
        <v>0</v>
      </c>
      <c r="J1351" s="22" t="s">
        <v>67</v>
      </c>
      <c r="K1351" s="22" t="s">
        <v>23</v>
      </c>
      <c r="L1351" s="22">
        <v>2</v>
      </c>
      <c r="M1351" s="26">
        <v>40475</v>
      </c>
      <c r="N1351" s="26">
        <v>12000</v>
      </c>
      <c r="O1351" s="15">
        <f t="shared" si="105"/>
        <v>52475</v>
      </c>
      <c r="P1351" s="15">
        <f t="shared" si="106"/>
        <v>30.715874502458441</v>
      </c>
      <c r="Q1351" s="25">
        <v>5782</v>
      </c>
      <c r="R1351" s="22">
        <v>30</v>
      </c>
      <c r="S1351" s="22" t="s">
        <v>1765</v>
      </c>
      <c r="T1351" s="22">
        <f t="shared" si="107"/>
        <v>2</v>
      </c>
      <c r="U1351" s="22">
        <f t="shared" si="108"/>
        <v>2021</v>
      </c>
      <c r="V1351" s="22" t="str">
        <f t="shared" si="109"/>
        <v>METROPOLITANA</v>
      </c>
    </row>
    <row r="1352" spans="1:22" x14ac:dyDescent="0.2">
      <c r="A1352" s="11" t="s">
        <v>1766</v>
      </c>
      <c r="B1352" s="12" t="s">
        <v>18</v>
      </c>
      <c r="C1352" s="12" t="s">
        <v>50</v>
      </c>
      <c r="D1352" s="12" t="s">
        <v>63</v>
      </c>
      <c r="E1352" s="13" t="s">
        <v>64</v>
      </c>
      <c r="F1352" s="12" t="s">
        <v>26</v>
      </c>
      <c r="G1352" s="14">
        <v>11918</v>
      </c>
      <c r="H1352" s="12" t="s">
        <v>65</v>
      </c>
      <c r="I1352" s="12">
        <v>0</v>
      </c>
      <c r="J1352" s="12" t="s">
        <v>26</v>
      </c>
      <c r="K1352" s="12" t="s">
        <v>23</v>
      </c>
      <c r="L1352" s="12">
        <v>4</v>
      </c>
      <c r="M1352" s="15">
        <f>G1352*11</f>
        <v>131098</v>
      </c>
      <c r="N1352" s="15">
        <v>0</v>
      </c>
      <c r="O1352" s="15">
        <f t="shared" si="105"/>
        <v>131098</v>
      </c>
      <c r="P1352" s="15">
        <f t="shared" si="106"/>
        <v>11</v>
      </c>
      <c r="Q1352" s="14">
        <v>8011</v>
      </c>
      <c r="R1352" s="12">
        <v>100</v>
      </c>
      <c r="S1352" s="12" t="s">
        <v>1767</v>
      </c>
      <c r="T1352" s="22">
        <f t="shared" si="107"/>
        <v>2</v>
      </c>
      <c r="U1352" s="22">
        <f t="shared" si="108"/>
        <v>2021</v>
      </c>
      <c r="V1352" s="22" t="str">
        <f t="shared" si="109"/>
        <v>METROPOLITANA</v>
      </c>
    </row>
    <row r="1353" spans="1:22" x14ac:dyDescent="0.2">
      <c r="A1353" s="11" t="s">
        <v>1766</v>
      </c>
      <c r="B1353" s="12" t="s">
        <v>18</v>
      </c>
      <c r="C1353" s="12" t="s">
        <v>57</v>
      </c>
      <c r="D1353" s="12" t="s">
        <v>41</v>
      </c>
      <c r="E1353" s="13" t="s">
        <v>25</v>
      </c>
      <c r="F1353" s="12" t="s">
        <v>800</v>
      </c>
      <c r="G1353" s="14">
        <v>7825.18</v>
      </c>
      <c r="H1353" s="12" t="s">
        <v>43</v>
      </c>
      <c r="I1353" s="12">
        <v>0</v>
      </c>
      <c r="J1353" s="12" t="s">
        <v>800</v>
      </c>
      <c r="K1353" s="12" t="s">
        <v>23</v>
      </c>
      <c r="L1353" s="12">
        <v>5</v>
      </c>
      <c r="M1353" s="15">
        <f>G1353*11</f>
        <v>86076.98000000001</v>
      </c>
      <c r="N1353" s="15">
        <v>0</v>
      </c>
      <c r="O1353" s="15">
        <f t="shared" si="105"/>
        <v>86076.98000000001</v>
      </c>
      <c r="P1353" s="15">
        <f t="shared" si="106"/>
        <v>11.000000000000002</v>
      </c>
      <c r="Q1353" s="14">
        <v>12000</v>
      </c>
      <c r="R1353" s="12">
        <v>65</v>
      </c>
      <c r="S1353" s="12" t="s">
        <v>1768</v>
      </c>
      <c r="T1353" s="22">
        <f t="shared" si="107"/>
        <v>2</v>
      </c>
      <c r="U1353" s="22">
        <f t="shared" si="108"/>
        <v>2021</v>
      </c>
      <c r="V1353" s="22" t="str">
        <f t="shared" si="109"/>
        <v>METROPOLITANA</v>
      </c>
    </row>
    <row r="1354" spans="1:22" x14ac:dyDescent="0.2">
      <c r="A1354" s="11" t="s">
        <v>1766</v>
      </c>
      <c r="B1354" s="12" t="s">
        <v>18</v>
      </c>
      <c r="C1354" s="12" t="s">
        <v>500</v>
      </c>
      <c r="D1354" s="12" t="s">
        <v>20</v>
      </c>
      <c r="E1354" s="13" t="s">
        <v>21</v>
      </c>
      <c r="F1354" s="12" t="s">
        <v>120</v>
      </c>
      <c r="G1354" s="14">
        <v>5601.83</v>
      </c>
      <c r="H1354" s="12" t="s">
        <v>22</v>
      </c>
      <c r="I1354" s="12">
        <v>0</v>
      </c>
      <c r="J1354" s="12" t="s">
        <v>120</v>
      </c>
      <c r="K1354" s="12" t="s">
        <v>23</v>
      </c>
      <c r="L1354" s="12">
        <v>5</v>
      </c>
      <c r="M1354" s="15">
        <v>70000</v>
      </c>
      <c r="N1354" s="15">
        <f>G1354*4</f>
        <v>22407.32</v>
      </c>
      <c r="O1354" s="15">
        <f t="shared" si="105"/>
        <v>92407.32</v>
      </c>
      <c r="P1354" s="15">
        <f t="shared" si="106"/>
        <v>16.495916512996647</v>
      </c>
      <c r="Q1354" s="14">
        <v>12000</v>
      </c>
      <c r="R1354" s="12">
        <v>47</v>
      </c>
      <c r="S1354" s="12" t="s">
        <v>1769</v>
      </c>
      <c r="T1354" s="22">
        <f t="shared" si="107"/>
        <v>2</v>
      </c>
      <c r="U1354" s="22">
        <f t="shared" si="108"/>
        <v>2021</v>
      </c>
      <c r="V1354" s="22" t="str">
        <f t="shared" si="109"/>
        <v>METROPOLITANA</v>
      </c>
    </row>
    <row r="1355" spans="1:22" x14ac:dyDescent="0.2">
      <c r="A1355" s="11" t="s">
        <v>1766</v>
      </c>
      <c r="B1355" s="12" t="s">
        <v>18</v>
      </c>
      <c r="C1355" s="12" t="s">
        <v>324</v>
      </c>
      <c r="D1355" s="12" t="s">
        <v>164</v>
      </c>
      <c r="E1355" s="13" t="s">
        <v>28</v>
      </c>
      <c r="F1355" s="12" t="s">
        <v>325</v>
      </c>
      <c r="G1355" s="14">
        <v>11902.8</v>
      </c>
      <c r="H1355" s="12" t="s">
        <v>22</v>
      </c>
      <c r="I1355" s="12">
        <v>1</v>
      </c>
      <c r="J1355" s="12" t="s">
        <v>325</v>
      </c>
      <c r="K1355" s="12" t="s">
        <v>78</v>
      </c>
      <c r="L1355" s="12">
        <v>0</v>
      </c>
      <c r="M1355" s="15">
        <v>180000</v>
      </c>
      <c r="N1355" s="15">
        <f>G1355*4</f>
        <v>47611.199999999997</v>
      </c>
      <c r="O1355" s="15">
        <f t="shared" si="105"/>
        <v>227611.2</v>
      </c>
      <c r="P1355" s="15">
        <f t="shared" si="106"/>
        <v>19.122492186712371</v>
      </c>
      <c r="Q1355" s="14">
        <v>25000</v>
      </c>
      <c r="R1355" s="12">
        <v>48</v>
      </c>
      <c r="S1355" s="12" t="s">
        <v>1770</v>
      </c>
      <c r="T1355" s="22">
        <f t="shared" si="107"/>
        <v>2</v>
      </c>
      <c r="U1355" s="22">
        <f t="shared" si="108"/>
        <v>2021</v>
      </c>
      <c r="V1355" s="22" t="str">
        <f t="shared" si="109"/>
        <v>REGIONES</v>
      </c>
    </row>
    <row r="1356" spans="1:22" x14ac:dyDescent="0.2">
      <c r="A1356" s="11" t="s">
        <v>1766</v>
      </c>
      <c r="B1356" s="12" t="s">
        <v>18</v>
      </c>
      <c r="C1356" s="12" t="s">
        <v>508</v>
      </c>
      <c r="D1356" s="12" t="s">
        <v>38</v>
      </c>
      <c r="E1356" s="13" t="s">
        <v>42</v>
      </c>
      <c r="F1356" s="12" t="s">
        <v>800</v>
      </c>
      <c r="G1356" s="14">
        <v>5189.0600000000004</v>
      </c>
      <c r="H1356" s="12" t="s">
        <v>43</v>
      </c>
      <c r="I1356" s="12">
        <v>0</v>
      </c>
      <c r="J1356" s="12" t="s">
        <v>800</v>
      </c>
      <c r="K1356" s="12" t="s">
        <v>23</v>
      </c>
      <c r="L1356" s="12">
        <v>5</v>
      </c>
      <c r="M1356" s="15">
        <v>90000</v>
      </c>
      <c r="N1356" s="15">
        <v>0</v>
      </c>
      <c r="O1356" s="15">
        <f t="shared" si="105"/>
        <v>90000</v>
      </c>
      <c r="P1356" s="15">
        <f t="shared" si="106"/>
        <v>17.344181797859342</v>
      </c>
      <c r="Q1356" s="14">
        <v>12000</v>
      </c>
      <c r="R1356" s="12">
        <v>43</v>
      </c>
      <c r="S1356" s="12" t="s">
        <v>1771</v>
      </c>
      <c r="T1356" s="22">
        <f t="shared" si="107"/>
        <v>2</v>
      </c>
      <c r="U1356" s="22">
        <f t="shared" si="108"/>
        <v>2021</v>
      </c>
      <c r="V1356" s="22" t="str">
        <f t="shared" si="109"/>
        <v>METROPOLITANA</v>
      </c>
    </row>
    <row r="1357" spans="1:22" x14ac:dyDescent="0.2">
      <c r="A1357" s="11" t="s">
        <v>1766</v>
      </c>
      <c r="B1357" s="12" t="s">
        <v>33</v>
      </c>
      <c r="C1357" s="12" t="s">
        <v>1772</v>
      </c>
      <c r="D1357" s="12" t="s">
        <v>56</v>
      </c>
      <c r="E1357" s="13" t="s">
        <v>88</v>
      </c>
      <c r="F1357" s="12" t="s">
        <v>129</v>
      </c>
      <c r="G1357" s="14">
        <v>1173.45</v>
      </c>
      <c r="H1357" s="12" t="s">
        <v>22</v>
      </c>
      <c r="I1357" s="12">
        <v>0</v>
      </c>
      <c r="J1357" s="12" t="s">
        <v>129</v>
      </c>
      <c r="K1357" s="12" t="s">
        <v>23</v>
      </c>
      <c r="L1357" s="12">
        <v>1</v>
      </c>
      <c r="M1357" s="15">
        <v>33750</v>
      </c>
      <c r="N1357" s="15">
        <v>12000</v>
      </c>
      <c r="O1357" s="15">
        <f t="shared" si="105"/>
        <v>45750</v>
      </c>
      <c r="P1357" s="15">
        <f t="shared" si="106"/>
        <v>38.987600664706633</v>
      </c>
      <c r="Q1357" s="14">
        <v>4821</v>
      </c>
      <c r="R1357" s="12">
        <v>24</v>
      </c>
      <c r="S1357" s="12" t="s">
        <v>1773</v>
      </c>
      <c r="T1357" s="22">
        <f t="shared" si="107"/>
        <v>2</v>
      </c>
      <c r="U1357" s="22">
        <f t="shared" si="108"/>
        <v>2021</v>
      </c>
      <c r="V1357" s="22" t="str">
        <f t="shared" si="109"/>
        <v>METROPOLITANA</v>
      </c>
    </row>
    <row r="1358" spans="1:22" x14ac:dyDescent="0.2">
      <c r="A1358" s="11" t="s">
        <v>1766</v>
      </c>
      <c r="B1358" s="12" t="s">
        <v>33</v>
      </c>
      <c r="C1358" s="12" t="s">
        <v>29</v>
      </c>
      <c r="D1358" s="12" t="s">
        <v>1170</v>
      </c>
      <c r="E1358" s="13" t="s">
        <v>81</v>
      </c>
      <c r="F1358" s="12" t="s">
        <v>195</v>
      </c>
      <c r="G1358" s="14">
        <v>10106</v>
      </c>
      <c r="H1358" s="12" t="s">
        <v>24</v>
      </c>
      <c r="I1358" s="12">
        <v>1</v>
      </c>
      <c r="J1358" s="12" t="s">
        <v>195</v>
      </c>
      <c r="K1358" s="12" t="s">
        <v>124</v>
      </c>
      <c r="L1358" s="12">
        <v>0</v>
      </c>
      <c r="M1358" s="15">
        <v>350000</v>
      </c>
      <c r="N1358" s="15">
        <v>0</v>
      </c>
      <c r="O1358" s="15">
        <f t="shared" si="105"/>
        <v>350000</v>
      </c>
      <c r="P1358" s="15">
        <f t="shared" si="106"/>
        <v>34.632891351672271</v>
      </c>
      <c r="Q1358" s="14">
        <v>25000</v>
      </c>
      <c r="R1358" s="12">
        <v>40</v>
      </c>
      <c r="S1358" s="12" t="s">
        <v>1774</v>
      </c>
      <c r="T1358" s="22">
        <f t="shared" si="107"/>
        <v>2</v>
      </c>
      <c r="U1358" s="22">
        <f t="shared" si="108"/>
        <v>2021</v>
      </c>
      <c r="V1358" s="22" t="str">
        <f t="shared" si="109"/>
        <v>REGIONES</v>
      </c>
    </row>
    <row r="1359" spans="1:22" x14ac:dyDescent="0.2">
      <c r="A1359" s="11" t="s">
        <v>1766</v>
      </c>
      <c r="B1359" s="12" t="s">
        <v>33</v>
      </c>
      <c r="C1359" s="12" t="s">
        <v>44</v>
      </c>
      <c r="D1359" s="12" t="s">
        <v>188</v>
      </c>
      <c r="E1359" s="13" t="s">
        <v>189</v>
      </c>
      <c r="F1359" s="12" t="s">
        <v>95</v>
      </c>
      <c r="G1359" s="14">
        <v>1086.2</v>
      </c>
      <c r="H1359" s="12" t="s">
        <v>190</v>
      </c>
      <c r="I1359" s="12">
        <v>0</v>
      </c>
      <c r="J1359" s="12" t="s">
        <v>95</v>
      </c>
      <c r="K1359" s="12" t="s">
        <v>23</v>
      </c>
      <c r="L1359" s="12">
        <v>4</v>
      </c>
      <c r="M1359" s="15">
        <v>55000</v>
      </c>
      <c r="N1359" s="15">
        <v>0</v>
      </c>
      <c r="O1359" s="15">
        <f t="shared" si="105"/>
        <v>55000</v>
      </c>
      <c r="P1359" s="15">
        <f t="shared" si="106"/>
        <v>50.635242128521448</v>
      </c>
      <c r="Q1359" s="14">
        <v>8011</v>
      </c>
      <c r="R1359" s="12">
        <v>14</v>
      </c>
      <c r="S1359" s="12" t="s">
        <v>1775</v>
      </c>
      <c r="T1359" s="22">
        <f t="shared" si="107"/>
        <v>2</v>
      </c>
      <c r="U1359" s="22">
        <f t="shared" si="108"/>
        <v>2021</v>
      </c>
      <c r="V1359" s="22" t="str">
        <f t="shared" si="109"/>
        <v>METROPOLITANA</v>
      </c>
    </row>
    <row r="1360" spans="1:22" x14ac:dyDescent="0.2">
      <c r="A1360" s="11" t="s">
        <v>1766</v>
      </c>
      <c r="B1360" s="12" t="s">
        <v>33</v>
      </c>
      <c r="C1360" s="12" t="s">
        <v>44</v>
      </c>
      <c r="D1360" s="12" t="s">
        <v>45</v>
      </c>
      <c r="E1360" s="13" t="s">
        <v>21</v>
      </c>
      <c r="F1360" s="12" t="s">
        <v>48</v>
      </c>
      <c r="G1360" s="14">
        <v>1946</v>
      </c>
      <c r="H1360" s="12" t="s">
        <v>22</v>
      </c>
      <c r="I1360" s="12">
        <v>0</v>
      </c>
      <c r="J1360" s="12" t="s">
        <v>48</v>
      </c>
      <c r="K1360" s="12" t="s">
        <v>23</v>
      </c>
      <c r="L1360" s="12">
        <v>1</v>
      </c>
      <c r="M1360" s="15">
        <v>33750</v>
      </c>
      <c r="N1360" s="15">
        <v>12000</v>
      </c>
      <c r="O1360" s="15">
        <f t="shared" si="105"/>
        <v>45750</v>
      </c>
      <c r="P1360" s="15">
        <f t="shared" si="106"/>
        <v>23.509763617677287</v>
      </c>
      <c r="Q1360" s="14">
        <v>4821</v>
      </c>
      <c r="R1360" s="12">
        <v>40</v>
      </c>
      <c r="S1360" s="12" t="s">
        <v>1776</v>
      </c>
      <c r="T1360" s="22">
        <f t="shared" si="107"/>
        <v>2</v>
      </c>
      <c r="U1360" s="22">
        <f t="shared" si="108"/>
        <v>2021</v>
      </c>
      <c r="V1360" s="22" t="str">
        <f t="shared" si="109"/>
        <v>METROPOLITANA</v>
      </c>
    </row>
    <row r="1361" spans="1:22" x14ac:dyDescent="0.2">
      <c r="A1361" s="11" t="s">
        <v>1766</v>
      </c>
      <c r="B1361" s="12" t="s">
        <v>33</v>
      </c>
      <c r="C1361" s="12" t="s">
        <v>44</v>
      </c>
      <c r="D1361" s="12" t="s">
        <v>35</v>
      </c>
      <c r="E1361" s="13" t="s">
        <v>1576</v>
      </c>
      <c r="F1361" s="12" t="s">
        <v>134</v>
      </c>
      <c r="G1361" s="14">
        <v>1215.8</v>
      </c>
      <c r="H1361" s="12" t="s">
        <v>22</v>
      </c>
      <c r="I1361" s="12">
        <v>0</v>
      </c>
      <c r="J1361" s="12" t="s">
        <v>134</v>
      </c>
      <c r="K1361" s="12" t="s">
        <v>23</v>
      </c>
      <c r="L1361" s="12">
        <v>2</v>
      </c>
      <c r="M1361" s="15">
        <v>40475</v>
      </c>
      <c r="N1361" s="15">
        <v>12000</v>
      </c>
      <c r="O1361" s="15">
        <f t="shared" si="105"/>
        <v>52475</v>
      </c>
      <c r="P1361" s="15">
        <f t="shared" si="106"/>
        <v>43.160881723967762</v>
      </c>
      <c r="Q1361" s="14">
        <v>5782</v>
      </c>
      <c r="R1361" s="12">
        <v>21</v>
      </c>
      <c r="S1361" s="12" t="s">
        <v>1777</v>
      </c>
      <c r="T1361" s="22">
        <f t="shared" si="107"/>
        <v>2</v>
      </c>
      <c r="U1361" s="22">
        <f t="shared" si="108"/>
        <v>2021</v>
      </c>
      <c r="V1361" s="22" t="str">
        <f t="shared" si="109"/>
        <v>METROPOLITANA</v>
      </c>
    </row>
    <row r="1362" spans="1:22" x14ac:dyDescent="0.2">
      <c r="A1362" s="23" t="s">
        <v>1778</v>
      </c>
      <c r="B1362" s="22" t="s">
        <v>54</v>
      </c>
      <c r="C1362" s="22" t="s">
        <v>55</v>
      </c>
      <c r="D1362" s="22" t="s">
        <v>1779</v>
      </c>
      <c r="E1362" s="24">
        <v>115381083</v>
      </c>
      <c r="F1362" s="22" t="s">
        <v>66</v>
      </c>
      <c r="G1362" s="25">
        <v>10305</v>
      </c>
      <c r="H1362" s="22" t="s">
        <v>24</v>
      </c>
      <c r="I1362" s="22">
        <v>1</v>
      </c>
      <c r="J1362" s="22" t="s">
        <v>66</v>
      </c>
      <c r="K1362" s="22" t="s">
        <v>75</v>
      </c>
      <c r="L1362" s="22">
        <v>0</v>
      </c>
      <c r="M1362" s="26">
        <v>380000</v>
      </c>
      <c r="N1362" s="26">
        <v>0</v>
      </c>
      <c r="O1362" s="15">
        <f t="shared" si="105"/>
        <v>380000</v>
      </c>
      <c r="P1362" s="15">
        <f t="shared" si="106"/>
        <v>36.8753032508491</v>
      </c>
      <c r="Q1362" s="25">
        <v>25000</v>
      </c>
      <c r="R1362" s="22">
        <v>41</v>
      </c>
      <c r="S1362" s="22" t="s">
        <v>1780</v>
      </c>
      <c r="T1362" s="22">
        <f t="shared" si="107"/>
        <v>2</v>
      </c>
      <c r="U1362" s="22">
        <f t="shared" si="108"/>
        <v>2021</v>
      </c>
      <c r="V1362" s="22" t="str">
        <f t="shared" si="109"/>
        <v>REGIONES</v>
      </c>
    </row>
    <row r="1363" spans="1:22" x14ac:dyDescent="0.2">
      <c r="A1363" s="23" t="s">
        <v>1778</v>
      </c>
      <c r="B1363" s="22" t="s">
        <v>18</v>
      </c>
      <c r="C1363" s="22" t="s">
        <v>508</v>
      </c>
      <c r="D1363" s="22" t="s">
        <v>37</v>
      </c>
      <c r="E1363" s="24">
        <v>161268070</v>
      </c>
      <c r="F1363" s="22" t="s">
        <v>800</v>
      </c>
      <c r="G1363" s="25">
        <v>6293.8400000000011</v>
      </c>
      <c r="H1363" s="22" t="s">
        <v>22</v>
      </c>
      <c r="I1363" s="22">
        <v>0</v>
      </c>
      <c r="J1363" s="22" t="s">
        <v>800</v>
      </c>
      <c r="K1363" s="22" t="s">
        <v>23</v>
      </c>
      <c r="L1363" s="22">
        <v>5</v>
      </c>
      <c r="M1363" s="26">
        <v>90000</v>
      </c>
      <c r="N1363" s="26">
        <f>G1363*4</f>
        <v>25175.360000000004</v>
      </c>
      <c r="O1363" s="15">
        <f t="shared" si="105"/>
        <v>115175.36</v>
      </c>
      <c r="P1363" s="15">
        <f t="shared" si="106"/>
        <v>18.299696210898272</v>
      </c>
      <c r="Q1363" s="25">
        <v>12000</v>
      </c>
      <c r="R1363" s="22">
        <v>52</v>
      </c>
      <c r="S1363" s="22" t="s">
        <v>1781</v>
      </c>
      <c r="T1363" s="22">
        <f t="shared" si="107"/>
        <v>2</v>
      </c>
      <c r="U1363" s="22">
        <f t="shared" si="108"/>
        <v>2021</v>
      </c>
      <c r="V1363" s="22" t="str">
        <f t="shared" si="109"/>
        <v>METROPOLITANA</v>
      </c>
    </row>
    <row r="1364" spans="1:22" x14ac:dyDescent="0.2">
      <c r="A1364" s="23" t="s">
        <v>1778</v>
      </c>
      <c r="B1364" s="22" t="s">
        <v>18</v>
      </c>
      <c r="C1364" s="22" t="s">
        <v>508</v>
      </c>
      <c r="D1364" s="22" t="s">
        <v>20</v>
      </c>
      <c r="E1364" s="24">
        <v>78907355</v>
      </c>
      <c r="F1364" s="22" t="s">
        <v>800</v>
      </c>
      <c r="G1364" s="25">
        <v>2390</v>
      </c>
      <c r="H1364" s="22" t="s">
        <v>22</v>
      </c>
      <c r="I1364" s="22">
        <v>0</v>
      </c>
      <c r="J1364" s="22" t="s">
        <v>800</v>
      </c>
      <c r="K1364" s="22" t="s">
        <v>23</v>
      </c>
      <c r="L1364" s="22">
        <v>5</v>
      </c>
      <c r="M1364" s="26">
        <v>90000</v>
      </c>
      <c r="N1364" s="26">
        <f>G1364*4</f>
        <v>9560</v>
      </c>
      <c r="O1364" s="15">
        <f t="shared" si="105"/>
        <v>99560</v>
      </c>
      <c r="P1364" s="15">
        <f t="shared" si="106"/>
        <v>41.656903765690373</v>
      </c>
      <c r="Q1364" s="25">
        <v>12000</v>
      </c>
      <c r="R1364" s="22">
        <v>20</v>
      </c>
      <c r="S1364" s="22" t="s">
        <v>1782</v>
      </c>
      <c r="T1364" s="22">
        <f t="shared" si="107"/>
        <v>2</v>
      </c>
      <c r="U1364" s="22">
        <f t="shared" si="108"/>
        <v>2021</v>
      </c>
      <c r="V1364" s="22" t="str">
        <f t="shared" si="109"/>
        <v>METROPOLITANA</v>
      </c>
    </row>
    <row r="1365" spans="1:22" x14ac:dyDescent="0.2">
      <c r="A1365" s="23" t="s">
        <v>1778</v>
      </c>
      <c r="B1365" s="22" t="s">
        <v>33</v>
      </c>
      <c r="C1365" s="22" t="s">
        <v>29</v>
      </c>
      <c r="D1365" s="22" t="s">
        <v>41</v>
      </c>
      <c r="E1365" s="24">
        <v>125108660</v>
      </c>
      <c r="F1365" s="22" t="s">
        <v>1783</v>
      </c>
      <c r="G1365" s="25">
        <v>5552.2</v>
      </c>
      <c r="H1365" s="22" t="s">
        <v>43</v>
      </c>
      <c r="I1365" s="22">
        <v>0</v>
      </c>
      <c r="J1365" s="22" t="s">
        <v>1784</v>
      </c>
      <c r="K1365" s="22" t="s">
        <v>23</v>
      </c>
      <c r="L1365" s="22">
        <v>5</v>
      </c>
      <c r="M1365" s="26">
        <v>90000</v>
      </c>
      <c r="N1365" s="26">
        <v>0</v>
      </c>
      <c r="O1365" s="15">
        <f t="shared" si="105"/>
        <v>90000</v>
      </c>
      <c r="P1365" s="15">
        <f t="shared" si="106"/>
        <v>16.209790713591008</v>
      </c>
      <c r="Q1365" s="25">
        <v>12000</v>
      </c>
      <c r="R1365" s="22">
        <v>46</v>
      </c>
      <c r="S1365" s="22" t="s">
        <v>1785</v>
      </c>
      <c r="T1365" s="22">
        <f t="shared" si="107"/>
        <v>2</v>
      </c>
      <c r="U1365" s="22">
        <f t="shared" si="108"/>
        <v>2021</v>
      </c>
      <c r="V1365" s="22" t="str">
        <f t="shared" si="109"/>
        <v>METROPOLITANA</v>
      </c>
    </row>
    <row r="1366" spans="1:22" x14ac:dyDescent="0.2">
      <c r="A1366" s="23" t="s">
        <v>1778</v>
      </c>
      <c r="B1366" s="22" t="s">
        <v>33</v>
      </c>
      <c r="C1366" s="22" t="s">
        <v>44</v>
      </c>
      <c r="D1366" s="22" t="s">
        <v>45</v>
      </c>
      <c r="E1366" s="24">
        <v>78907355</v>
      </c>
      <c r="F1366" s="22" t="s">
        <v>48</v>
      </c>
      <c r="G1366" s="25">
        <v>1346.7</v>
      </c>
      <c r="H1366" s="22" t="s">
        <v>22</v>
      </c>
      <c r="I1366" s="22">
        <v>0</v>
      </c>
      <c r="J1366" s="22" t="s">
        <v>48</v>
      </c>
      <c r="K1366" s="22" t="s">
        <v>23</v>
      </c>
      <c r="L1366" s="22">
        <v>1</v>
      </c>
      <c r="M1366" s="26">
        <v>33750</v>
      </c>
      <c r="N1366" s="26">
        <v>12000</v>
      </c>
      <c r="O1366" s="15">
        <f t="shared" si="105"/>
        <v>45750</v>
      </c>
      <c r="P1366" s="15">
        <f t="shared" si="106"/>
        <v>33.971931387836932</v>
      </c>
      <c r="Q1366" s="25">
        <v>4821</v>
      </c>
      <c r="R1366" s="22">
        <v>28</v>
      </c>
      <c r="S1366" s="22" t="s">
        <v>1786</v>
      </c>
      <c r="T1366" s="22">
        <f t="shared" si="107"/>
        <v>2</v>
      </c>
      <c r="U1366" s="22">
        <f t="shared" si="108"/>
        <v>2021</v>
      </c>
      <c r="V1366" s="22" t="str">
        <f t="shared" si="109"/>
        <v>METROPOLITANA</v>
      </c>
    </row>
    <row r="1367" spans="1:22" x14ac:dyDescent="0.2">
      <c r="A1367" s="11" t="s">
        <v>1787</v>
      </c>
      <c r="B1367" s="12" t="s">
        <v>54</v>
      </c>
      <c r="C1367" s="12" t="s">
        <v>55</v>
      </c>
      <c r="D1367" s="12" t="s">
        <v>867</v>
      </c>
      <c r="E1367" s="13">
        <v>98494073</v>
      </c>
      <c r="F1367" s="12" t="s">
        <v>66</v>
      </c>
      <c r="G1367" s="14">
        <f>11476.2+3760.96</f>
        <v>15237.16</v>
      </c>
      <c r="H1367" s="12" t="s">
        <v>85</v>
      </c>
      <c r="I1367" s="12">
        <v>1</v>
      </c>
      <c r="J1367" s="12" t="s">
        <v>66</v>
      </c>
      <c r="K1367" s="12" t="s">
        <v>75</v>
      </c>
      <c r="L1367" s="12">
        <v>0</v>
      </c>
      <c r="M1367" s="15">
        <v>380000</v>
      </c>
      <c r="N1367" s="15">
        <v>0</v>
      </c>
      <c r="O1367" s="15">
        <f t="shared" si="105"/>
        <v>380000</v>
      </c>
      <c r="P1367" s="15">
        <f t="shared" si="106"/>
        <v>24.9390306330051</v>
      </c>
      <c r="Q1367" s="14">
        <v>25000</v>
      </c>
      <c r="R1367" s="12">
        <v>46</v>
      </c>
      <c r="S1367" s="12" t="s">
        <v>1788</v>
      </c>
      <c r="T1367" s="22">
        <f t="shared" si="107"/>
        <v>2</v>
      </c>
      <c r="U1367" s="22">
        <f t="shared" si="108"/>
        <v>2021</v>
      </c>
      <c r="V1367" s="22" t="str">
        <f t="shared" si="109"/>
        <v>REGIONES</v>
      </c>
    </row>
    <row r="1368" spans="1:22" x14ac:dyDescent="0.2">
      <c r="A1368" s="11" t="s">
        <v>1787</v>
      </c>
      <c r="B1368" s="12" t="s">
        <v>18</v>
      </c>
      <c r="C1368" s="12" t="s">
        <v>500</v>
      </c>
      <c r="D1368" s="12" t="s">
        <v>20</v>
      </c>
      <c r="E1368" s="13">
        <v>78907355</v>
      </c>
      <c r="F1368" s="12" t="s">
        <v>120</v>
      </c>
      <c r="G1368" s="14">
        <v>5672.380000000001</v>
      </c>
      <c r="H1368" s="12" t="s">
        <v>22</v>
      </c>
      <c r="I1368" s="12">
        <v>0</v>
      </c>
      <c r="J1368" s="12" t="s">
        <v>120</v>
      </c>
      <c r="K1368" s="12" t="s">
        <v>23</v>
      </c>
      <c r="L1368" s="12">
        <v>5</v>
      </c>
      <c r="M1368" s="15">
        <v>70000</v>
      </c>
      <c r="N1368" s="15">
        <f>+G1368*4</f>
        <v>22689.520000000004</v>
      </c>
      <c r="O1368" s="15">
        <f t="shared" si="105"/>
        <v>92689.52</v>
      </c>
      <c r="P1368" s="15">
        <f t="shared" si="106"/>
        <v>16.34049904978157</v>
      </c>
      <c r="Q1368" s="14">
        <v>12000</v>
      </c>
      <c r="R1368" s="12">
        <v>47</v>
      </c>
      <c r="S1368" s="12" t="s">
        <v>1789</v>
      </c>
      <c r="T1368" s="22">
        <f t="shared" si="107"/>
        <v>2</v>
      </c>
      <c r="U1368" s="22">
        <f t="shared" si="108"/>
        <v>2021</v>
      </c>
      <c r="V1368" s="22" t="str">
        <f t="shared" si="109"/>
        <v>METROPOLITANA</v>
      </c>
    </row>
    <row r="1369" spans="1:22" x14ac:dyDescent="0.2">
      <c r="A1369" s="11" t="s">
        <v>1787</v>
      </c>
      <c r="B1369" s="12" t="s">
        <v>18</v>
      </c>
      <c r="C1369" s="12" t="s">
        <v>19</v>
      </c>
      <c r="D1369" s="12" t="s">
        <v>61</v>
      </c>
      <c r="E1369" s="13">
        <v>115812335</v>
      </c>
      <c r="F1369" s="12" t="s">
        <v>92</v>
      </c>
      <c r="G1369" s="14">
        <v>18303.439999999999</v>
      </c>
      <c r="H1369" s="12" t="s">
        <v>85</v>
      </c>
      <c r="I1369" s="12">
        <v>1</v>
      </c>
      <c r="J1369" s="12" t="s">
        <v>92</v>
      </c>
      <c r="K1369" s="12" t="s">
        <v>93</v>
      </c>
      <c r="L1369" s="12">
        <v>0</v>
      </c>
      <c r="M1369" s="15">
        <v>620000</v>
      </c>
      <c r="N1369" s="15">
        <v>0</v>
      </c>
      <c r="O1369" s="15">
        <f t="shared" si="105"/>
        <v>620000</v>
      </c>
      <c r="P1369" s="15">
        <f t="shared" si="106"/>
        <v>33.873413959343161</v>
      </c>
      <c r="Q1369" s="14">
        <v>25000</v>
      </c>
      <c r="R1369" s="12">
        <v>73</v>
      </c>
      <c r="S1369" s="12" t="s">
        <v>1790</v>
      </c>
      <c r="T1369" s="22">
        <f t="shared" si="107"/>
        <v>2</v>
      </c>
      <c r="U1369" s="22">
        <f t="shared" si="108"/>
        <v>2021</v>
      </c>
      <c r="V1369" s="22" t="str">
        <f t="shared" si="109"/>
        <v>REGIONES</v>
      </c>
    </row>
    <row r="1370" spans="1:22" x14ac:dyDescent="0.2">
      <c r="A1370" s="11" t="s">
        <v>1787</v>
      </c>
      <c r="B1370" s="12" t="s">
        <v>18</v>
      </c>
      <c r="C1370" s="12" t="s">
        <v>324</v>
      </c>
      <c r="D1370" s="12" t="s">
        <v>30</v>
      </c>
      <c r="E1370" s="13">
        <v>72564391</v>
      </c>
      <c r="F1370" s="12" t="s">
        <v>325</v>
      </c>
      <c r="G1370" s="14">
        <v>7035.62</v>
      </c>
      <c r="H1370" s="12" t="s">
        <v>32</v>
      </c>
      <c r="I1370" s="12">
        <v>0</v>
      </c>
      <c r="J1370" s="12" t="s">
        <v>325</v>
      </c>
      <c r="K1370" s="12" t="s">
        <v>78</v>
      </c>
      <c r="L1370" s="12">
        <v>0</v>
      </c>
      <c r="M1370" s="15">
        <v>180000</v>
      </c>
      <c r="N1370" s="15">
        <v>0</v>
      </c>
      <c r="O1370" s="15">
        <f t="shared" si="105"/>
        <v>180000</v>
      </c>
      <c r="P1370" s="15">
        <f t="shared" si="106"/>
        <v>25.584099198080626</v>
      </c>
      <c r="Q1370" s="14">
        <v>25000</v>
      </c>
      <c r="R1370" s="12">
        <v>28</v>
      </c>
      <c r="S1370" s="12" t="s">
        <v>1791</v>
      </c>
      <c r="T1370" s="22">
        <f t="shared" si="107"/>
        <v>2</v>
      </c>
      <c r="U1370" s="22">
        <f t="shared" si="108"/>
        <v>2021</v>
      </c>
      <c r="V1370" s="22" t="str">
        <f t="shared" si="109"/>
        <v>REGIONES</v>
      </c>
    </row>
    <row r="1371" spans="1:22" x14ac:dyDescent="0.2">
      <c r="A1371" s="11" t="s">
        <v>1787</v>
      </c>
      <c r="B1371" s="12" t="s">
        <v>18</v>
      </c>
      <c r="C1371" s="12" t="s">
        <v>508</v>
      </c>
      <c r="D1371" s="12" t="s">
        <v>41</v>
      </c>
      <c r="E1371" s="13">
        <v>53173292</v>
      </c>
      <c r="F1371" s="12" t="s">
        <v>51</v>
      </c>
      <c r="G1371" s="14">
        <v>6816.619999999999</v>
      </c>
      <c r="H1371" s="12" t="s">
        <v>43</v>
      </c>
      <c r="I1371" s="12">
        <v>0</v>
      </c>
      <c r="J1371" s="12" t="s">
        <v>51</v>
      </c>
      <c r="K1371" s="12" t="s">
        <v>23</v>
      </c>
      <c r="L1371" s="12">
        <v>4</v>
      </c>
      <c r="M1371" s="15">
        <f>+G1371*11</f>
        <v>74982.819999999992</v>
      </c>
      <c r="N1371" s="15">
        <v>0</v>
      </c>
      <c r="O1371" s="15">
        <f t="shared" si="105"/>
        <v>74982.819999999992</v>
      </c>
      <c r="P1371" s="15">
        <f t="shared" si="106"/>
        <v>11</v>
      </c>
      <c r="Q1371" s="14">
        <v>8011</v>
      </c>
      <c r="R1371" s="12">
        <v>85</v>
      </c>
      <c r="S1371" s="12" t="s">
        <v>1792</v>
      </c>
      <c r="T1371" s="22">
        <f t="shared" si="107"/>
        <v>2</v>
      </c>
      <c r="U1371" s="22">
        <f t="shared" si="108"/>
        <v>2021</v>
      </c>
      <c r="V1371" s="22" t="str">
        <f t="shared" si="109"/>
        <v>METROPOLITANA</v>
      </c>
    </row>
    <row r="1372" spans="1:22" x14ac:dyDescent="0.2">
      <c r="A1372" s="11" t="s">
        <v>1787</v>
      </c>
      <c r="B1372" s="12" t="s">
        <v>33</v>
      </c>
      <c r="C1372" s="12" t="s">
        <v>187</v>
      </c>
      <c r="D1372" s="12" t="s">
        <v>56</v>
      </c>
      <c r="E1372" s="13">
        <v>154837728</v>
      </c>
      <c r="F1372" s="12" t="s">
        <v>129</v>
      </c>
      <c r="G1372" s="14">
        <v>1409.8</v>
      </c>
      <c r="H1372" s="12" t="s">
        <v>22</v>
      </c>
      <c r="I1372" s="12">
        <v>0</v>
      </c>
      <c r="J1372" s="12" t="s">
        <v>129</v>
      </c>
      <c r="K1372" s="12" t="s">
        <v>23</v>
      </c>
      <c r="L1372" s="12">
        <v>1</v>
      </c>
      <c r="M1372" s="15">
        <v>33750</v>
      </c>
      <c r="N1372" s="15">
        <f>+G1372*4</f>
        <v>5639.2</v>
      </c>
      <c r="O1372" s="15">
        <f t="shared" si="105"/>
        <v>39389.199999999997</v>
      </c>
      <c r="P1372" s="15">
        <f t="shared" si="106"/>
        <v>27.939565895871755</v>
      </c>
      <c r="Q1372" s="14">
        <v>4821</v>
      </c>
      <c r="R1372" s="12">
        <v>29</v>
      </c>
      <c r="S1372" s="12" t="s">
        <v>1793</v>
      </c>
      <c r="T1372" s="22">
        <f t="shared" si="107"/>
        <v>2</v>
      </c>
      <c r="U1372" s="22">
        <f t="shared" si="108"/>
        <v>2021</v>
      </c>
      <c r="V1372" s="22" t="str">
        <f t="shared" si="109"/>
        <v>METROPOLITANA</v>
      </c>
    </row>
    <row r="1373" spans="1:22" x14ac:dyDescent="0.2">
      <c r="A1373" s="11" t="s">
        <v>1787</v>
      </c>
      <c r="B1373" s="12" t="s">
        <v>33</v>
      </c>
      <c r="C1373" s="12" t="s">
        <v>1233</v>
      </c>
      <c r="D1373" s="12" t="s">
        <v>38</v>
      </c>
      <c r="E1373" s="13">
        <v>53173292</v>
      </c>
      <c r="F1373" s="12" t="s">
        <v>1234</v>
      </c>
      <c r="G1373" s="14">
        <v>4822.8</v>
      </c>
      <c r="H1373" s="12" t="s">
        <v>43</v>
      </c>
      <c r="I1373" s="12">
        <v>0</v>
      </c>
      <c r="J1373" s="12" t="s">
        <v>1234</v>
      </c>
      <c r="K1373" s="12" t="s">
        <v>23</v>
      </c>
      <c r="L1373" s="12">
        <v>3</v>
      </c>
      <c r="M1373" s="15">
        <v>55000</v>
      </c>
      <c r="N1373" s="15">
        <v>0</v>
      </c>
      <c r="O1373" s="15">
        <f t="shared" si="105"/>
        <v>55000</v>
      </c>
      <c r="P1373" s="15">
        <f t="shared" si="106"/>
        <v>11.404163556440242</v>
      </c>
      <c r="Q1373" s="14">
        <v>6868</v>
      </c>
      <c r="R1373" s="12">
        <v>70</v>
      </c>
      <c r="S1373" s="12" t="s">
        <v>1794</v>
      </c>
      <c r="T1373" s="22">
        <f t="shared" si="107"/>
        <v>2</v>
      </c>
      <c r="U1373" s="22">
        <f t="shared" si="108"/>
        <v>2021</v>
      </c>
      <c r="V1373" s="22" t="str">
        <f t="shared" si="109"/>
        <v>METROPOLITANA</v>
      </c>
    </row>
    <row r="1374" spans="1:22" x14ac:dyDescent="0.2">
      <c r="A1374" s="11" t="s">
        <v>1787</v>
      </c>
      <c r="B1374" s="12" t="s">
        <v>33</v>
      </c>
      <c r="C1374" s="12" t="s">
        <v>29</v>
      </c>
      <c r="D1374" s="12" t="s">
        <v>636</v>
      </c>
      <c r="E1374" s="13">
        <v>113693568</v>
      </c>
      <c r="F1374" s="12" t="s">
        <v>39</v>
      </c>
      <c r="G1374" s="14">
        <v>23931.19999999999</v>
      </c>
      <c r="H1374" s="12" t="s">
        <v>85</v>
      </c>
      <c r="I1374" s="12">
        <v>1</v>
      </c>
      <c r="J1374" s="12" t="s">
        <v>66</v>
      </c>
      <c r="K1374" s="12" t="s">
        <v>75</v>
      </c>
      <c r="L1374" s="12">
        <v>1</v>
      </c>
      <c r="M1374" s="15">
        <v>380000</v>
      </c>
      <c r="N1374" s="15">
        <v>0</v>
      </c>
      <c r="O1374" s="15">
        <f t="shared" si="105"/>
        <v>380000</v>
      </c>
      <c r="P1374" s="15">
        <f t="shared" si="106"/>
        <v>15.878852711105175</v>
      </c>
      <c r="Q1374" s="14">
        <v>4821</v>
      </c>
      <c r="R1374" s="12">
        <v>100</v>
      </c>
      <c r="S1374" s="12" t="s">
        <v>1795</v>
      </c>
      <c r="T1374" s="22">
        <f t="shared" si="107"/>
        <v>2</v>
      </c>
      <c r="U1374" s="22">
        <f t="shared" si="108"/>
        <v>2021</v>
      </c>
      <c r="V1374" s="22" t="str">
        <f t="shared" si="109"/>
        <v>REGIONES</v>
      </c>
    </row>
    <row r="1375" spans="1:22" x14ac:dyDescent="0.2">
      <c r="A1375" s="11" t="s">
        <v>1787</v>
      </c>
      <c r="B1375" s="12" t="s">
        <v>33</v>
      </c>
      <c r="C1375" s="12" t="s">
        <v>29</v>
      </c>
      <c r="D1375" s="12" t="s">
        <v>37</v>
      </c>
      <c r="E1375" s="13">
        <v>161268070</v>
      </c>
      <c r="F1375" s="12" t="s">
        <v>1783</v>
      </c>
      <c r="G1375" s="14">
        <v>9703.3999999999978</v>
      </c>
      <c r="H1375" s="12" t="s">
        <v>22</v>
      </c>
      <c r="I1375" s="12">
        <v>0</v>
      </c>
      <c r="J1375" s="12" t="s">
        <v>1784</v>
      </c>
      <c r="K1375" s="12" t="s">
        <v>23</v>
      </c>
      <c r="L1375" s="12">
        <v>5</v>
      </c>
      <c r="M1375" s="15">
        <v>90000</v>
      </c>
      <c r="N1375" s="15">
        <v>38814</v>
      </c>
      <c r="O1375" s="15">
        <f t="shared" si="105"/>
        <v>128814</v>
      </c>
      <c r="P1375" s="15">
        <f t="shared" si="106"/>
        <v>13.275140672341657</v>
      </c>
      <c r="Q1375" s="14">
        <v>12000</v>
      </c>
      <c r="R1375" s="12">
        <v>81</v>
      </c>
      <c r="S1375" s="12" t="s">
        <v>1796</v>
      </c>
      <c r="T1375" s="22">
        <f t="shared" si="107"/>
        <v>2</v>
      </c>
      <c r="U1375" s="22">
        <f t="shared" si="108"/>
        <v>2021</v>
      </c>
      <c r="V1375" s="22" t="str">
        <f t="shared" si="109"/>
        <v>METROPOLITANA</v>
      </c>
    </row>
    <row r="1376" spans="1:22" x14ac:dyDescent="0.2">
      <c r="A1376" s="11" t="s">
        <v>1787</v>
      </c>
      <c r="B1376" s="12" t="s">
        <v>33</v>
      </c>
      <c r="C1376" s="12" t="s">
        <v>44</v>
      </c>
      <c r="D1376" s="12" t="s">
        <v>56</v>
      </c>
      <c r="E1376" s="13">
        <v>154837728</v>
      </c>
      <c r="F1376" s="12" t="s">
        <v>94</v>
      </c>
      <c r="G1376" s="14">
        <v>4309.1000000000004</v>
      </c>
      <c r="H1376" s="12" t="s">
        <v>22</v>
      </c>
      <c r="I1376" s="12">
        <v>0</v>
      </c>
      <c r="J1376" s="12" t="s">
        <v>59</v>
      </c>
      <c r="K1376" s="12" t="s">
        <v>78</v>
      </c>
      <c r="L1376" s="12">
        <v>0</v>
      </c>
      <c r="M1376" s="15">
        <v>180000</v>
      </c>
      <c r="N1376" s="15">
        <f>G1376*4</f>
        <v>17236.400000000001</v>
      </c>
      <c r="O1376" s="15">
        <f t="shared" si="105"/>
        <v>197236.4</v>
      </c>
      <c r="P1376" s="15">
        <f t="shared" si="106"/>
        <v>45.772063772017354</v>
      </c>
      <c r="Q1376" s="14">
        <v>25000</v>
      </c>
      <c r="R1376" s="12">
        <v>17</v>
      </c>
      <c r="S1376" s="12" t="s">
        <v>1797</v>
      </c>
      <c r="T1376" s="22">
        <f t="shared" si="107"/>
        <v>2</v>
      </c>
      <c r="U1376" s="22">
        <f t="shared" si="108"/>
        <v>2021</v>
      </c>
      <c r="V1376" s="22" t="str">
        <f t="shared" si="109"/>
        <v>REGIONES</v>
      </c>
    </row>
    <row r="1377" spans="1:22" x14ac:dyDescent="0.2">
      <c r="A1377" s="11" t="s">
        <v>1787</v>
      </c>
      <c r="B1377" s="12" t="s">
        <v>33</v>
      </c>
      <c r="C1377" s="12" t="s">
        <v>44</v>
      </c>
      <c r="D1377" s="12" t="s">
        <v>188</v>
      </c>
      <c r="E1377" s="13">
        <v>35488103</v>
      </c>
      <c r="F1377" s="12" t="s">
        <v>51</v>
      </c>
      <c r="G1377" s="14">
        <v>1818.22</v>
      </c>
      <c r="H1377" s="12" t="s">
        <v>190</v>
      </c>
      <c r="I1377" s="12">
        <v>0</v>
      </c>
      <c r="J1377" s="12" t="s">
        <v>51</v>
      </c>
      <c r="K1377" s="12" t="s">
        <v>23</v>
      </c>
      <c r="L1377" s="12">
        <v>4</v>
      </c>
      <c r="M1377" s="15">
        <v>55000</v>
      </c>
      <c r="N1377" s="15">
        <v>0</v>
      </c>
      <c r="O1377" s="15">
        <f t="shared" si="105"/>
        <v>55000</v>
      </c>
      <c r="P1377" s="15">
        <f t="shared" si="106"/>
        <v>30.249364763339969</v>
      </c>
      <c r="Q1377" s="14">
        <v>8011</v>
      </c>
      <c r="R1377" s="12">
        <v>23</v>
      </c>
      <c r="S1377" s="12" t="s">
        <v>1798</v>
      </c>
      <c r="T1377" s="22">
        <f t="shared" si="107"/>
        <v>2</v>
      </c>
      <c r="U1377" s="22">
        <f t="shared" si="108"/>
        <v>2021</v>
      </c>
      <c r="V1377" s="22" t="str">
        <f t="shared" si="109"/>
        <v>METROPOLITANA</v>
      </c>
    </row>
    <row r="1378" spans="1:22" x14ac:dyDescent="0.2">
      <c r="A1378" s="11" t="s">
        <v>1787</v>
      </c>
      <c r="B1378" s="12" t="s">
        <v>33</v>
      </c>
      <c r="C1378" s="12" t="s">
        <v>44</v>
      </c>
      <c r="D1378" s="12" t="s">
        <v>37</v>
      </c>
      <c r="E1378" s="13">
        <v>161268070</v>
      </c>
      <c r="F1378" s="12" t="s">
        <v>229</v>
      </c>
      <c r="G1378" s="14">
        <v>7068.4999999999991</v>
      </c>
      <c r="H1378" s="12" t="s">
        <v>22</v>
      </c>
      <c r="I1378" s="12">
        <v>0</v>
      </c>
      <c r="J1378" s="12" t="s">
        <v>230</v>
      </c>
      <c r="K1378" s="12" t="s">
        <v>23</v>
      </c>
      <c r="L1378" s="12">
        <v>4</v>
      </c>
      <c r="M1378" s="15">
        <v>56075</v>
      </c>
      <c r="N1378" s="15">
        <v>28274</v>
      </c>
      <c r="O1378" s="15">
        <f t="shared" si="105"/>
        <v>84349</v>
      </c>
      <c r="P1378" s="15">
        <f t="shared" si="106"/>
        <v>11.933083398175004</v>
      </c>
      <c r="Q1378" s="14">
        <v>8011</v>
      </c>
      <c r="R1378" s="12">
        <v>88</v>
      </c>
      <c r="S1378" s="12" t="s">
        <v>1799</v>
      </c>
      <c r="T1378" s="22">
        <f t="shared" si="107"/>
        <v>2</v>
      </c>
      <c r="U1378" s="22">
        <f t="shared" si="108"/>
        <v>2021</v>
      </c>
      <c r="V1378" s="22" t="str">
        <f t="shared" si="109"/>
        <v>METROPOLITANA</v>
      </c>
    </row>
    <row r="1379" spans="1:22" x14ac:dyDescent="0.2">
      <c r="A1379" s="11" t="s">
        <v>1787</v>
      </c>
      <c r="B1379" s="12" t="s">
        <v>33</v>
      </c>
      <c r="C1379" s="12" t="s">
        <v>44</v>
      </c>
      <c r="D1379" s="12" t="s">
        <v>45</v>
      </c>
      <c r="E1379" s="13">
        <v>81417709</v>
      </c>
      <c r="F1379" s="12" t="s">
        <v>95</v>
      </c>
      <c r="G1379" s="14">
        <v>2319.62</v>
      </c>
      <c r="H1379" s="12" t="s">
        <v>22</v>
      </c>
      <c r="I1379" s="12">
        <v>0</v>
      </c>
      <c r="J1379" s="12" t="s">
        <v>95</v>
      </c>
      <c r="K1379" s="12" t="s">
        <v>23</v>
      </c>
      <c r="L1379" s="12">
        <v>4</v>
      </c>
      <c r="M1379" s="15">
        <v>56075</v>
      </c>
      <c r="N1379" s="15">
        <v>12000</v>
      </c>
      <c r="O1379" s="15">
        <f t="shared" si="105"/>
        <v>68075</v>
      </c>
      <c r="P1379" s="15">
        <f t="shared" si="106"/>
        <v>29.347479328510705</v>
      </c>
      <c r="Q1379" s="14">
        <v>8011</v>
      </c>
      <c r="R1379" s="12">
        <v>29</v>
      </c>
      <c r="S1379" s="12" t="s">
        <v>1800</v>
      </c>
      <c r="T1379" s="22">
        <f t="shared" si="107"/>
        <v>2</v>
      </c>
      <c r="U1379" s="22">
        <f t="shared" si="108"/>
        <v>2021</v>
      </c>
      <c r="V1379" s="22" t="str">
        <f t="shared" si="109"/>
        <v>METROPOLITANA</v>
      </c>
    </row>
    <row r="1380" spans="1:22" x14ac:dyDescent="0.2">
      <c r="A1380" s="11" t="s">
        <v>1787</v>
      </c>
      <c r="B1380" s="12" t="s">
        <v>33</v>
      </c>
      <c r="C1380" s="12" t="s">
        <v>44</v>
      </c>
      <c r="D1380" s="12" t="s">
        <v>47</v>
      </c>
      <c r="E1380" s="13">
        <v>99626232</v>
      </c>
      <c r="F1380" s="12" t="s">
        <v>48</v>
      </c>
      <c r="G1380" s="14">
        <v>4299.9399999999996</v>
      </c>
      <c r="H1380" s="12" t="s">
        <v>22</v>
      </c>
      <c r="I1380" s="12">
        <v>0</v>
      </c>
      <c r="J1380" s="12" t="s">
        <v>48</v>
      </c>
      <c r="K1380" s="12" t="s">
        <v>23</v>
      </c>
      <c r="L1380" s="12">
        <v>1</v>
      </c>
      <c r="M1380" s="15">
        <v>33750</v>
      </c>
      <c r="N1380" s="15">
        <v>17200</v>
      </c>
      <c r="O1380" s="15">
        <f t="shared" si="105"/>
        <v>50950</v>
      </c>
      <c r="P1380" s="15">
        <f t="shared" si="106"/>
        <v>11.849002544221548</v>
      </c>
      <c r="Q1380" s="14">
        <v>4821</v>
      </c>
      <c r="R1380" s="12">
        <v>89</v>
      </c>
      <c r="S1380" s="12" t="s">
        <v>1801</v>
      </c>
      <c r="T1380" s="22">
        <f t="shared" si="107"/>
        <v>2</v>
      </c>
      <c r="U1380" s="22">
        <f t="shared" si="108"/>
        <v>2021</v>
      </c>
      <c r="V1380" s="22" t="str">
        <f t="shared" si="109"/>
        <v>METROPOLITANA</v>
      </c>
    </row>
    <row r="1381" spans="1:22" x14ac:dyDescent="0.2">
      <c r="A1381" s="11" t="s">
        <v>1787</v>
      </c>
      <c r="B1381" s="12" t="s">
        <v>33</v>
      </c>
      <c r="C1381" s="12" t="s">
        <v>44</v>
      </c>
      <c r="D1381" s="12" t="s">
        <v>35</v>
      </c>
      <c r="E1381" s="13">
        <v>107643206</v>
      </c>
      <c r="F1381" s="12" t="s">
        <v>26</v>
      </c>
      <c r="G1381" s="14">
        <v>1302.42</v>
      </c>
      <c r="H1381" s="12" t="s">
        <v>22</v>
      </c>
      <c r="I1381" s="12">
        <v>0</v>
      </c>
      <c r="J1381" s="12" t="s">
        <v>26</v>
      </c>
      <c r="K1381" s="12" t="s">
        <v>23</v>
      </c>
      <c r="L1381" s="12">
        <v>4</v>
      </c>
      <c r="M1381" s="15">
        <v>56075</v>
      </c>
      <c r="N1381" s="15">
        <v>12000</v>
      </c>
      <c r="O1381" s="15">
        <f t="shared" si="105"/>
        <v>68075</v>
      </c>
      <c r="P1381" s="15">
        <f t="shared" si="106"/>
        <v>52.268085563796625</v>
      </c>
      <c r="Q1381" s="14">
        <v>8011</v>
      </c>
      <c r="R1381" s="12">
        <v>16</v>
      </c>
      <c r="S1381" s="12" t="s">
        <v>1802</v>
      </c>
      <c r="T1381" s="22">
        <f t="shared" si="107"/>
        <v>2</v>
      </c>
      <c r="U1381" s="22">
        <f t="shared" si="108"/>
        <v>2021</v>
      </c>
      <c r="V1381" s="22" t="str">
        <f t="shared" si="109"/>
        <v>METROPOLITANA</v>
      </c>
    </row>
    <row r="1382" spans="1:22" x14ac:dyDescent="0.2">
      <c r="A1382" s="11" t="s">
        <v>1787</v>
      </c>
      <c r="B1382" s="12" t="s">
        <v>33</v>
      </c>
      <c r="C1382" s="12" t="s">
        <v>44</v>
      </c>
      <c r="D1382" s="12" t="s">
        <v>20</v>
      </c>
      <c r="E1382" s="13">
        <v>78907355</v>
      </c>
      <c r="F1382" s="12" t="s">
        <v>46</v>
      </c>
      <c r="G1382" s="14">
        <v>2880.74</v>
      </c>
      <c r="H1382" s="12" t="s">
        <v>22</v>
      </c>
      <c r="I1382" s="12">
        <v>0</v>
      </c>
      <c r="J1382" s="12" t="s">
        <v>46</v>
      </c>
      <c r="K1382" s="12" t="s">
        <v>23</v>
      </c>
      <c r="L1382" s="12">
        <v>2</v>
      </c>
      <c r="M1382" s="15">
        <v>40475</v>
      </c>
      <c r="N1382" s="15">
        <v>12000</v>
      </c>
      <c r="O1382" s="15">
        <f t="shared" si="105"/>
        <v>52475</v>
      </c>
      <c r="P1382" s="15">
        <f t="shared" si="106"/>
        <v>18.215805661045426</v>
      </c>
      <c r="Q1382" s="14">
        <v>5782</v>
      </c>
      <c r="R1382" s="12">
        <v>50</v>
      </c>
      <c r="S1382" s="12" t="s">
        <v>1803</v>
      </c>
      <c r="T1382" s="22">
        <f t="shared" si="107"/>
        <v>2</v>
      </c>
      <c r="U1382" s="22">
        <f t="shared" si="108"/>
        <v>2021</v>
      </c>
      <c r="V1382" s="22" t="str">
        <f t="shared" si="109"/>
        <v>METROPOLITANA</v>
      </c>
    </row>
    <row r="1383" spans="1:22" x14ac:dyDescent="0.2">
      <c r="A1383" s="23" t="s">
        <v>1804</v>
      </c>
      <c r="B1383" s="22" t="s">
        <v>18</v>
      </c>
      <c r="C1383" s="22" t="s">
        <v>508</v>
      </c>
      <c r="D1383" s="22" t="s">
        <v>37</v>
      </c>
      <c r="E1383" s="24">
        <v>161268070</v>
      </c>
      <c r="F1383" s="22" t="s">
        <v>800</v>
      </c>
      <c r="G1383" s="25">
        <v>2016.41</v>
      </c>
      <c r="H1383" s="22" t="s">
        <v>22</v>
      </c>
      <c r="I1383" s="22">
        <v>0</v>
      </c>
      <c r="J1383" s="22" t="s">
        <v>800</v>
      </c>
      <c r="K1383" s="22" t="s">
        <v>23</v>
      </c>
      <c r="L1383" s="22">
        <v>5</v>
      </c>
      <c r="M1383" s="26">
        <v>90000</v>
      </c>
      <c r="N1383" s="26">
        <v>12000</v>
      </c>
      <c r="O1383" s="15">
        <f t="shared" si="105"/>
        <v>102000</v>
      </c>
      <c r="P1383" s="15">
        <f t="shared" si="106"/>
        <v>50.584950481300922</v>
      </c>
      <c r="Q1383" s="25">
        <v>12000</v>
      </c>
      <c r="R1383" s="22">
        <v>17</v>
      </c>
      <c r="S1383" s="22" t="s">
        <v>1805</v>
      </c>
      <c r="T1383" s="22">
        <f t="shared" si="107"/>
        <v>2</v>
      </c>
      <c r="U1383" s="22">
        <f t="shared" si="108"/>
        <v>2021</v>
      </c>
      <c r="V1383" s="22" t="str">
        <f t="shared" si="109"/>
        <v>METROPOLITANA</v>
      </c>
    </row>
    <row r="1384" spans="1:22" x14ac:dyDescent="0.2">
      <c r="A1384" s="23" t="s">
        <v>1804</v>
      </c>
      <c r="B1384" s="22" t="s">
        <v>18</v>
      </c>
      <c r="C1384" s="22" t="s">
        <v>508</v>
      </c>
      <c r="D1384" s="22" t="s">
        <v>37</v>
      </c>
      <c r="E1384" s="24">
        <v>161268070</v>
      </c>
      <c r="F1384" s="22" t="s">
        <v>51</v>
      </c>
      <c r="G1384" s="25">
        <v>4306.12</v>
      </c>
      <c r="H1384" s="22" t="s">
        <v>22</v>
      </c>
      <c r="I1384" s="22">
        <v>0</v>
      </c>
      <c r="J1384" s="22" t="s">
        <v>51</v>
      </c>
      <c r="K1384" s="22" t="s">
        <v>23</v>
      </c>
      <c r="L1384" s="22">
        <v>4</v>
      </c>
      <c r="M1384" s="26">
        <v>56075</v>
      </c>
      <c r="N1384" s="26">
        <f>+G1384*4</f>
        <v>17224.48</v>
      </c>
      <c r="O1384" s="15">
        <f t="shared" si="105"/>
        <v>73299.48</v>
      </c>
      <c r="P1384" s="15">
        <f t="shared" si="106"/>
        <v>17.0221638040742</v>
      </c>
      <c r="Q1384" s="25">
        <v>8011</v>
      </c>
      <c r="R1384" s="22">
        <v>54</v>
      </c>
      <c r="S1384" s="22" t="s">
        <v>1806</v>
      </c>
      <c r="T1384" s="22">
        <f t="shared" si="107"/>
        <v>2</v>
      </c>
      <c r="U1384" s="22">
        <f t="shared" si="108"/>
        <v>2021</v>
      </c>
      <c r="V1384" s="22" t="str">
        <f t="shared" si="109"/>
        <v>METROPOLITANA</v>
      </c>
    </row>
    <row r="1385" spans="1:22" x14ac:dyDescent="0.2">
      <c r="A1385" s="23" t="s">
        <v>1804</v>
      </c>
      <c r="B1385" s="22" t="s">
        <v>33</v>
      </c>
      <c r="C1385" s="22" t="s">
        <v>1807</v>
      </c>
      <c r="D1385" s="22" t="s">
        <v>38</v>
      </c>
      <c r="E1385" s="24">
        <v>53173292</v>
      </c>
      <c r="F1385" s="22" t="s">
        <v>194</v>
      </c>
      <c r="G1385" s="25">
        <v>6258.4</v>
      </c>
      <c r="H1385" s="22" t="s">
        <v>43</v>
      </c>
      <c r="I1385" s="22">
        <v>0</v>
      </c>
      <c r="J1385" s="22" t="s">
        <v>194</v>
      </c>
      <c r="K1385" s="22" t="s">
        <v>23</v>
      </c>
      <c r="L1385" s="22">
        <v>4</v>
      </c>
      <c r="M1385" s="26">
        <f>+G1385*11</f>
        <v>68842.399999999994</v>
      </c>
      <c r="N1385" s="26">
        <v>0</v>
      </c>
      <c r="O1385" s="15">
        <f t="shared" si="105"/>
        <v>68842.399999999994</v>
      </c>
      <c r="P1385" s="15">
        <f t="shared" si="106"/>
        <v>11</v>
      </c>
      <c r="Q1385" s="25">
        <v>8011</v>
      </c>
      <c r="R1385" s="22">
        <v>78</v>
      </c>
      <c r="S1385" s="22" t="s">
        <v>1808</v>
      </c>
      <c r="T1385" s="22">
        <f t="shared" si="107"/>
        <v>2</v>
      </c>
      <c r="U1385" s="22">
        <f t="shared" si="108"/>
        <v>2021</v>
      </c>
      <c r="V1385" s="22" t="str">
        <f t="shared" si="109"/>
        <v>METROPOLITANA</v>
      </c>
    </row>
    <row r="1386" spans="1:22" x14ac:dyDescent="0.2">
      <c r="A1386" s="23" t="s">
        <v>1804</v>
      </c>
      <c r="B1386" s="22" t="s">
        <v>33</v>
      </c>
      <c r="C1386" s="22" t="s">
        <v>44</v>
      </c>
      <c r="D1386" s="22" t="s">
        <v>188</v>
      </c>
      <c r="E1386" s="24">
        <v>35488103</v>
      </c>
      <c r="F1386" s="22" t="s">
        <v>95</v>
      </c>
      <c r="G1386" s="25">
        <v>1342.5</v>
      </c>
      <c r="H1386" s="22" t="s">
        <v>190</v>
      </c>
      <c r="I1386" s="22">
        <v>0</v>
      </c>
      <c r="J1386" s="22" t="s">
        <v>95</v>
      </c>
      <c r="K1386" s="22" t="s">
        <v>23</v>
      </c>
      <c r="L1386" s="22">
        <v>4</v>
      </c>
      <c r="M1386" s="26">
        <v>56075</v>
      </c>
      <c r="N1386" s="26">
        <v>12000</v>
      </c>
      <c r="O1386" s="15">
        <f t="shared" si="105"/>
        <v>68075</v>
      </c>
      <c r="P1386" s="15">
        <f t="shared" si="106"/>
        <v>50.707635009310984</v>
      </c>
      <c r="Q1386" s="25">
        <v>8011</v>
      </c>
      <c r="R1386" s="22">
        <v>17</v>
      </c>
      <c r="S1386" s="22" t="s">
        <v>1809</v>
      </c>
      <c r="T1386" s="22">
        <f t="shared" si="107"/>
        <v>2</v>
      </c>
      <c r="U1386" s="22">
        <f t="shared" si="108"/>
        <v>2021</v>
      </c>
      <c r="V1386" s="22" t="str">
        <f t="shared" si="109"/>
        <v>METROPOLITANA</v>
      </c>
    </row>
    <row r="1387" spans="1:22" x14ac:dyDescent="0.2">
      <c r="A1387" s="23" t="s">
        <v>1804</v>
      </c>
      <c r="B1387" s="22" t="s">
        <v>33</v>
      </c>
      <c r="C1387" s="22" t="s">
        <v>44</v>
      </c>
      <c r="D1387" s="22" t="s">
        <v>45</v>
      </c>
      <c r="E1387" s="24">
        <v>99626232</v>
      </c>
      <c r="F1387" s="22" t="s">
        <v>26</v>
      </c>
      <c r="G1387" s="25">
        <v>1637.64</v>
      </c>
      <c r="H1387" s="22" t="s">
        <v>22</v>
      </c>
      <c r="I1387" s="22">
        <v>0</v>
      </c>
      <c r="J1387" s="22" t="s">
        <v>26</v>
      </c>
      <c r="K1387" s="22" t="s">
        <v>23</v>
      </c>
      <c r="L1387" s="22">
        <v>4</v>
      </c>
      <c r="M1387" s="26">
        <v>56075</v>
      </c>
      <c r="N1387" s="26">
        <v>12000</v>
      </c>
      <c r="O1387" s="15">
        <f t="shared" si="105"/>
        <v>68075</v>
      </c>
      <c r="P1387" s="15">
        <f t="shared" si="106"/>
        <v>41.568965096113921</v>
      </c>
      <c r="Q1387" s="25">
        <v>8011</v>
      </c>
      <c r="R1387" s="22">
        <v>20</v>
      </c>
      <c r="S1387" s="22" t="s">
        <v>1810</v>
      </c>
      <c r="T1387" s="22">
        <f t="shared" si="107"/>
        <v>2</v>
      </c>
      <c r="U1387" s="22">
        <f t="shared" si="108"/>
        <v>2021</v>
      </c>
      <c r="V1387" s="22" t="str">
        <f t="shared" si="109"/>
        <v>METROPOLITANA</v>
      </c>
    </row>
    <row r="1388" spans="1:22" x14ac:dyDescent="0.2">
      <c r="A1388" s="23" t="s">
        <v>1804</v>
      </c>
      <c r="B1388" s="22" t="s">
        <v>33</v>
      </c>
      <c r="C1388" s="22" t="s">
        <v>44</v>
      </c>
      <c r="D1388" s="22" t="s">
        <v>35</v>
      </c>
      <c r="E1388" s="24">
        <v>78907355</v>
      </c>
      <c r="F1388" s="22" t="s">
        <v>48</v>
      </c>
      <c r="G1388" s="25">
        <v>2102</v>
      </c>
      <c r="H1388" s="22" t="s">
        <v>22</v>
      </c>
      <c r="I1388" s="22">
        <v>0</v>
      </c>
      <c r="J1388" s="22" t="s">
        <v>48</v>
      </c>
      <c r="K1388" s="22" t="s">
        <v>23</v>
      </c>
      <c r="L1388" s="22">
        <v>1</v>
      </c>
      <c r="M1388" s="26">
        <v>33750</v>
      </c>
      <c r="N1388" s="26">
        <v>12000</v>
      </c>
      <c r="O1388" s="15">
        <f t="shared" si="105"/>
        <v>45750</v>
      </c>
      <c r="P1388" s="15">
        <f t="shared" si="106"/>
        <v>21.764985727878212</v>
      </c>
      <c r="Q1388" s="25">
        <v>4821</v>
      </c>
      <c r="R1388" s="22">
        <v>44</v>
      </c>
      <c r="S1388" s="22" t="s">
        <v>1811</v>
      </c>
      <c r="T1388" s="22">
        <f t="shared" si="107"/>
        <v>2</v>
      </c>
      <c r="U1388" s="22">
        <f t="shared" si="108"/>
        <v>2021</v>
      </c>
      <c r="V1388" s="22" t="str">
        <f t="shared" si="109"/>
        <v>METROPOLITANA</v>
      </c>
    </row>
    <row r="1389" spans="1:22" x14ac:dyDescent="0.2">
      <c r="A1389" s="11" t="s">
        <v>1812</v>
      </c>
      <c r="B1389" s="12" t="s">
        <v>18</v>
      </c>
      <c r="C1389" s="12" t="s">
        <v>500</v>
      </c>
      <c r="D1389" s="12" t="s">
        <v>164</v>
      </c>
      <c r="E1389" s="13">
        <v>81417709</v>
      </c>
      <c r="F1389" s="12" t="s">
        <v>120</v>
      </c>
      <c r="G1389" s="14">
        <v>13901.35</v>
      </c>
      <c r="H1389" s="12" t="s">
        <v>22</v>
      </c>
      <c r="I1389" s="12">
        <v>1</v>
      </c>
      <c r="J1389" s="12" t="s">
        <v>120</v>
      </c>
      <c r="K1389" s="12" t="s">
        <v>23</v>
      </c>
      <c r="L1389" s="12">
        <v>5</v>
      </c>
      <c r="M1389" s="15">
        <v>120000</v>
      </c>
      <c r="N1389" s="15">
        <f>G1389*4</f>
        <v>55605.4</v>
      </c>
      <c r="O1389" s="15">
        <f t="shared" si="105"/>
        <v>175605.4</v>
      </c>
      <c r="P1389" s="15">
        <f t="shared" si="106"/>
        <v>12.632255140687775</v>
      </c>
      <c r="Q1389" s="14">
        <v>12000</v>
      </c>
      <c r="R1389" s="12">
        <v>100</v>
      </c>
      <c r="S1389" s="12" t="s">
        <v>1813</v>
      </c>
      <c r="T1389" s="22">
        <f t="shared" si="107"/>
        <v>2</v>
      </c>
      <c r="U1389" s="22">
        <f t="shared" si="108"/>
        <v>2021</v>
      </c>
      <c r="V1389" s="22" t="str">
        <f t="shared" si="109"/>
        <v>METROPOLITANA</v>
      </c>
    </row>
    <row r="1390" spans="1:22" x14ac:dyDescent="0.2">
      <c r="A1390" s="11" t="s">
        <v>1812</v>
      </c>
      <c r="B1390" s="12" t="s">
        <v>33</v>
      </c>
      <c r="C1390" s="12" t="s">
        <v>187</v>
      </c>
      <c r="D1390" s="12" t="s">
        <v>20</v>
      </c>
      <c r="E1390" s="13">
        <v>78907355</v>
      </c>
      <c r="F1390" s="12" t="s">
        <v>129</v>
      </c>
      <c r="G1390" s="14">
        <v>1852.5</v>
      </c>
      <c r="H1390" s="12" t="s">
        <v>22</v>
      </c>
      <c r="I1390" s="12">
        <v>0</v>
      </c>
      <c r="J1390" s="12" t="s">
        <v>129</v>
      </c>
      <c r="K1390" s="12" t="s">
        <v>23</v>
      </c>
      <c r="L1390" s="12">
        <v>1</v>
      </c>
      <c r="M1390" s="15">
        <v>33750</v>
      </c>
      <c r="N1390" s="15">
        <v>12000</v>
      </c>
      <c r="O1390" s="15">
        <f t="shared" si="105"/>
        <v>45750</v>
      </c>
      <c r="P1390" s="15">
        <f t="shared" si="106"/>
        <v>24.696356275303643</v>
      </c>
      <c r="Q1390" s="14">
        <v>4821</v>
      </c>
      <c r="R1390" s="12">
        <v>38</v>
      </c>
      <c r="S1390" s="12" t="s">
        <v>1814</v>
      </c>
      <c r="T1390" s="22">
        <f t="shared" si="107"/>
        <v>2</v>
      </c>
      <c r="U1390" s="22">
        <f t="shared" si="108"/>
        <v>2021</v>
      </c>
      <c r="V1390" s="22" t="str">
        <f t="shared" si="109"/>
        <v>METROPOLITANA</v>
      </c>
    </row>
    <row r="1391" spans="1:22" x14ac:dyDescent="0.2">
      <c r="A1391" s="11" t="s">
        <v>1812</v>
      </c>
      <c r="B1391" s="12" t="s">
        <v>33</v>
      </c>
      <c r="C1391" s="12" t="s">
        <v>500</v>
      </c>
      <c r="D1391" s="12" t="s">
        <v>30</v>
      </c>
      <c r="E1391" s="13">
        <v>72564391</v>
      </c>
      <c r="F1391" s="12" t="s">
        <v>120</v>
      </c>
      <c r="G1391" s="14">
        <v>4859.3999999999996</v>
      </c>
      <c r="H1391" s="12" t="s">
        <v>32</v>
      </c>
      <c r="I1391" s="12">
        <v>0</v>
      </c>
      <c r="J1391" s="12" t="s">
        <v>120</v>
      </c>
      <c r="K1391" s="12" t="s">
        <v>23</v>
      </c>
      <c r="L1391" s="12">
        <v>5</v>
      </c>
      <c r="M1391" s="15">
        <v>70000</v>
      </c>
      <c r="N1391" s="15">
        <v>0</v>
      </c>
      <c r="O1391" s="15">
        <f t="shared" si="105"/>
        <v>70000</v>
      </c>
      <c r="P1391" s="15">
        <f t="shared" si="106"/>
        <v>14.405070584845866</v>
      </c>
      <c r="Q1391" s="14">
        <v>12000</v>
      </c>
      <c r="R1391" s="12">
        <v>40</v>
      </c>
      <c r="S1391" s="12" t="s">
        <v>1815</v>
      </c>
      <c r="T1391" s="22">
        <f t="shared" si="107"/>
        <v>2</v>
      </c>
      <c r="U1391" s="22">
        <f t="shared" si="108"/>
        <v>2021</v>
      </c>
      <c r="V1391" s="22" t="str">
        <f t="shared" si="109"/>
        <v>METROPOLITANA</v>
      </c>
    </row>
    <row r="1392" spans="1:22" x14ac:dyDescent="0.2">
      <c r="A1392" s="11" t="s">
        <v>1812</v>
      </c>
      <c r="B1392" s="12" t="s">
        <v>33</v>
      </c>
      <c r="C1392" s="12" t="s">
        <v>1816</v>
      </c>
      <c r="D1392" s="12" t="s">
        <v>41</v>
      </c>
      <c r="E1392" s="13">
        <v>125108660</v>
      </c>
      <c r="F1392" s="12" t="s">
        <v>170</v>
      </c>
      <c r="G1392" s="14">
        <v>10733.25</v>
      </c>
      <c r="H1392" s="12" t="s">
        <v>43</v>
      </c>
      <c r="I1392" s="12">
        <v>0</v>
      </c>
      <c r="J1392" s="12" t="s">
        <v>170</v>
      </c>
      <c r="K1392" s="12" t="s">
        <v>171</v>
      </c>
      <c r="L1392" s="12">
        <v>0</v>
      </c>
      <c r="M1392" s="15">
        <v>180000</v>
      </c>
      <c r="N1392" s="15">
        <v>0</v>
      </c>
      <c r="O1392" s="15">
        <f t="shared" si="105"/>
        <v>180000</v>
      </c>
      <c r="P1392" s="15">
        <f t="shared" si="106"/>
        <v>16.770316539724686</v>
      </c>
      <c r="Q1392" s="14">
        <v>14000</v>
      </c>
      <c r="R1392" s="28">
        <f>G1392/Q1392*100</f>
        <v>76.666071428571428</v>
      </c>
      <c r="S1392" s="12" t="s">
        <v>1817</v>
      </c>
      <c r="T1392" s="22">
        <f t="shared" si="107"/>
        <v>2</v>
      </c>
      <c r="U1392" s="22">
        <f t="shared" si="108"/>
        <v>2021</v>
      </c>
      <c r="V1392" s="22" t="str">
        <f t="shared" si="109"/>
        <v>REGIONES</v>
      </c>
    </row>
    <row r="1393" spans="1:22" x14ac:dyDescent="0.2">
      <c r="A1393" s="11" t="s">
        <v>1812</v>
      </c>
      <c r="B1393" s="12" t="s">
        <v>33</v>
      </c>
      <c r="C1393" s="12" t="s">
        <v>44</v>
      </c>
      <c r="D1393" s="12" t="s">
        <v>56</v>
      </c>
      <c r="E1393" s="13">
        <v>78907355</v>
      </c>
      <c r="F1393" s="12" t="s">
        <v>46</v>
      </c>
      <c r="G1393" s="14">
        <v>2130.84</v>
      </c>
      <c r="H1393" s="12" t="s">
        <v>22</v>
      </c>
      <c r="I1393" s="12">
        <v>0</v>
      </c>
      <c r="J1393" s="12" t="s">
        <v>46</v>
      </c>
      <c r="K1393" s="12" t="s">
        <v>23</v>
      </c>
      <c r="L1393" s="12">
        <v>2</v>
      </c>
      <c r="M1393" s="15">
        <v>40475</v>
      </c>
      <c r="N1393" s="15">
        <v>12000</v>
      </c>
      <c r="O1393" s="15">
        <f t="shared" si="105"/>
        <v>52475</v>
      </c>
      <c r="P1393" s="15">
        <f t="shared" si="106"/>
        <v>24.626438399879859</v>
      </c>
      <c r="Q1393" s="14">
        <v>5782</v>
      </c>
      <c r="R1393" s="12">
        <v>37</v>
      </c>
      <c r="S1393" s="12" t="s">
        <v>1818</v>
      </c>
      <c r="T1393" s="22">
        <f t="shared" si="107"/>
        <v>2</v>
      </c>
      <c r="U1393" s="22">
        <f t="shared" si="108"/>
        <v>2021</v>
      </c>
      <c r="V1393" s="22" t="str">
        <f t="shared" si="109"/>
        <v>METROPOLITANA</v>
      </c>
    </row>
    <row r="1394" spans="1:22" x14ac:dyDescent="0.2">
      <c r="A1394" s="11" t="s">
        <v>1812</v>
      </c>
      <c r="B1394" s="12" t="s">
        <v>33</v>
      </c>
      <c r="C1394" s="12" t="s">
        <v>44</v>
      </c>
      <c r="D1394" s="12" t="s">
        <v>45</v>
      </c>
      <c r="E1394" s="13">
        <v>161268070</v>
      </c>
      <c r="F1394" s="12" t="s">
        <v>26</v>
      </c>
      <c r="G1394" s="14">
        <v>1508.12</v>
      </c>
      <c r="H1394" s="12" t="s">
        <v>22</v>
      </c>
      <c r="I1394" s="12">
        <v>0</v>
      </c>
      <c r="J1394" s="12" t="s">
        <v>26</v>
      </c>
      <c r="K1394" s="12" t="s">
        <v>23</v>
      </c>
      <c r="L1394" s="12">
        <v>4</v>
      </c>
      <c r="M1394" s="15">
        <v>56075</v>
      </c>
      <c r="N1394" s="15">
        <v>12000</v>
      </c>
      <c r="O1394" s="15">
        <f t="shared" si="105"/>
        <v>68075</v>
      </c>
      <c r="P1394" s="15">
        <f t="shared" si="106"/>
        <v>45.138980982945661</v>
      </c>
      <c r="Q1394" s="14">
        <v>8011</v>
      </c>
      <c r="R1394" s="12">
        <v>19</v>
      </c>
      <c r="S1394" s="12" t="s">
        <v>1819</v>
      </c>
      <c r="T1394" s="22">
        <f t="shared" si="107"/>
        <v>2</v>
      </c>
      <c r="U1394" s="22">
        <f t="shared" si="108"/>
        <v>2021</v>
      </c>
      <c r="V1394" s="22" t="str">
        <f t="shared" si="109"/>
        <v>METROPOLITANA</v>
      </c>
    </row>
    <row r="1395" spans="1:22" x14ac:dyDescent="0.2">
      <c r="A1395" s="11" t="s">
        <v>1812</v>
      </c>
      <c r="B1395" s="12" t="s">
        <v>33</v>
      </c>
      <c r="C1395" s="12" t="s">
        <v>44</v>
      </c>
      <c r="D1395" s="12" t="s">
        <v>47</v>
      </c>
      <c r="E1395" s="13">
        <v>154837728</v>
      </c>
      <c r="F1395" s="12" t="s">
        <v>95</v>
      </c>
      <c r="G1395" s="14">
        <v>4071.64</v>
      </c>
      <c r="H1395" s="12" t="s">
        <v>22</v>
      </c>
      <c r="I1395" s="12">
        <v>0</v>
      </c>
      <c r="J1395" s="12" t="s">
        <v>95</v>
      </c>
      <c r="K1395" s="12" t="s">
        <v>23</v>
      </c>
      <c r="L1395" s="12">
        <v>4</v>
      </c>
      <c r="M1395" s="15">
        <v>56075</v>
      </c>
      <c r="N1395" s="15">
        <v>16287</v>
      </c>
      <c r="O1395" s="15">
        <f t="shared" si="105"/>
        <v>72362</v>
      </c>
      <c r="P1395" s="15">
        <f t="shared" si="106"/>
        <v>17.772199899794678</v>
      </c>
      <c r="Q1395" s="14">
        <v>8011</v>
      </c>
      <c r="R1395" s="12">
        <v>51</v>
      </c>
      <c r="S1395" s="12" t="s">
        <v>1820</v>
      </c>
      <c r="T1395" s="22">
        <f t="shared" si="107"/>
        <v>2</v>
      </c>
      <c r="U1395" s="22">
        <f t="shared" si="108"/>
        <v>2021</v>
      </c>
      <c r="V1395" s="22" t="str">
        <f t="shared" si="109"/>
        <v>METROPOLITANA</v>
      </c>
    </row>
    <row r="1396" spans="1:22" x14ac:dyDescent="0.2">
      <c r="A1396" s="11" t="s">
        <v>1812</v>
      </c>
      <c r="B1396" s="12" t="s">
        <v>33</v>
      </c>
      <c r="C1396" s="12" t="s">
        <v>44</v>
      </c>
      <c r="D1396" s="12" t="s">
        <v>35</v>
      </c>
      <c r="E1396" s="13">
        <v>107643206</v>
      </c>
      <c r="F1396" s="12" t="s">
        <v>51</v>
      </c>
      <c r="G1396" s="14">
        <v>1370.839999999999</v>
      </c>
      <c r="H1396" s="12" t="s">
        <v>22</v>
      </c>
      <c r="I1396" s="12">
        <v>0</v>
      </c>
      <c r="J1396" s="12" t="s">
        <v>51</v>
      </c>
      <c r="K1396" s="12" t="s">
        <v>23</v>
      </c>
      <c r="L1396" s="12">
        <v>4</v>
      </c>
      <c r="M1396" s="15">
        <v>56075</v>
      </c>
      <c r="N1396" s="15">
        <v>12000</v>
      </c>
      <c r="O1396" s="15">
        <f t="shared" si="105"/>
        <v>68075</v>
      </c>
      <c r="P1396" s="15">
        <f t="shared" si="106"/>
        <v>49.6593329637303</v>
      </c>
      <c r="Q1396" s="14">
        <v>8011</v>
      </c>
      <c r="R1396" s="12">
        <v>17</v>
      </c>
      <c r="S1396" s="12" t="s">
        <v>1821</v>
      </c>
      <c r="T1396" s="22">
        <f t="shared" si="107"/>
        <v>2</v>
      </c>
      <c r="U1396" s="22">
        <f t="shared" si="108"/>
        <v>2021</v>
      </c>
      <c r="V1396" s="22" t="str">
        <f t="shared" si="109"/>
        <v>METROPOLITANA</v>
      </c>
    </row>
    <row r="1397" spans="1:22" x14ac:dyDescent="0.2">
      <c r="A1397" s="23" t="s">
        <v>1822</v>
      </c>
      <c r="B1397" s="22" t="s">
        <v>54</v>
      </c>
      <c r="C1397" s="22" t="s">
        <v>55</v>
      </c>
      <c r="D1397" s="22" t="s">
        <v>61</v>
      </c>
      <c r="E1397" s="24">
        <v>115812335</v>
      </c>
      <c r="F1397" s="22" t="s">
        <v>66</v>
      </c>
      <c r="G1397" s="25">
        <v>8998.1400000000012</v>
      </c>
      <c r="H1397" s="22" t="s">
        <v>85</v>
      </c>
      <c r="I1397" s="22">
        <v>1</v>
      </c>
      <c r="J1397" s="22" t="s">
        <v>66</v>
      </c>
      <c r="K1397" s="22" t="s">
        <v>75</v>
      </c>
      <c r="L1397" s="22">
        <v>0</v>
      </c>
      <c r="M1397" s="26">
        <v>380000</v>
      </c>
      <c r="N1397" s="26">
        <v>0</v>
      </c>
      <c r="O1397" s="15">
        <f t="shared" si="105"/>
        <v>380000</v>
      </c>
      <c r="P1397" s="15">
        <f t="shared" si="106"/>
        <v>42.230949951878941</v>
      </c>
      <c r="Q1397" s="25">
        <v>25000</v>
      </c>
      <c r="R1397" s="22">
        <v>36</v>
      </c>
      <c r="S1397" s="22" t="s">
        <v>1823</v>
      </c>
      <c r="T1397" s="22">
        <f t="shared" si="107"/>
        <v>2</v>
      </c>
      <c r="U1397" s="22">
        <f t="shared" si="108"/>
        <v>2021</v>
      </c>
      <c r="V1397" s="22" t="str">
        <f t="shared" si="109"/>
        <v>REGIONES</v>
      </c>
    </row>
    <row r="1398" spans="1:22" x14ac:dyDescent="0.2">
      <c r="A1398" s="23" t="s">
        <v>1822</v>
      </c>
      <c r="B1398" s="22" t="s">
        <v>18</v>
      </c>
      <c r="C1398" s="22" t="s">
        <v>270</v>
      </c>
      <c r="D1398" s="22" t="s">
        <v>63</v>
      </c>
      <c r="E1398" s="24">
        <v>138841065</v>
      </c>
      <c r="F1398" s="22" t="s">
        <v>120</v>
      </c>
      <c r="G1398" s="25">
        <v>10166</v>
      </c>
      <c r="H1398" s="22" t="s">
        <v>65</v>
      </c>
      <c r="I1398" s="22">
        <v>0</v>
      </c>
      <c r="J1398" s="22" t="s">
        <v>120</v>
      </c>
      <c r="K1398" s="22" t="s">
        <v>23</v>
      </c>
      <c r="L1398" s="22">
        <v>5</v>
      </c>
      <c r="M1398" s="26">
        <f>+G1398*11</f>
        <v>111826</v>
      </c>
      <c r="N1398" s="26">
        <v>0</v>
      </c>
      <c r="O1398" s="15">
        <f t="shared" si="105"/>
        <v>111826</v>
      </c>
      <c r="P1398" s="15">
        <f t="shared" si="106"/>
        <v>11</v>
      </c>
      <c r="Q1398" s="25">
        <v>12000</v>
      </c>
      <c r="R1398" s="22">
        <v>85</v>
      </c>
      <c r="S1398" s="22" t="s">
        <v>1824</v>
      </c>
      <c r="T1398" s="22">
        <f t="shared" si="107"/>
        <v>2</v>
      </c>
      <c r="U1398" s="22">
        <f t="shared" si="108"/>
        <v>2021</v>
      </c>
      <c r="V1398" s="22" t="str">
        <f t="shared" si="109"/>
        <v>METROPOLITANA</v>
      </c>
    </row>
    <row r="1399" spans="1:22" x14ac:dyDescent="0.2">
      <c r="A1399" s="23" t="s">
        <v>1822</v>
      </c>
      <c r="B1399" s="22" t="s">
        <v>33</v>
      </c>
      <c r="C1399" s="22" t="s">
        <v>354</v>
      </c>
      <c r="D1399" s="22" t="s">
        <v>41</v>
      </c>
      <c r="E1399" s="24">
        <v>53173292</v>
      </c>
      <c r="F1399" s="22" t="s">
        <v>53</v>
      </c>
      <c r="G1399" s="25">
        <v>5624.8</v>
      </c>
      <c r="H1399" s="22" t="s">
        <v>43</v>
      </c>
      <c r="I1399" s="22">
        <v>0</v>
      </c>
      <c r="J1399" s="22" t="s">
        <v>53</v>
      </c>
      <c r="K1399" s="22" t="s">
        <v>23</v>
      </c>
      <c r="L1399" s="22">
        <v>3</v>
      </c>
      <c r="M1399" s="26">
        <f>+G1399*11</f>
        <v>61872.800000000003</v>
      </c>
      <c r="N1399" s="26">
        <v>0</v>
      </c>
      <c r="O1399" s="15">
        <f t="shared" si="105"/>
        <v>61872.800000000003</v>
      </c>
      <c r="P1399" s="15">
        <f t="shared" si="106"/>
        <v>11</v>
      </c>
      <c r="Q1399" s="25">
        <v>6868</v>
      </c>
      <c r="R1399" s="22">
        <v>82</v>
      </c>
      <c r="S1399" s="22" t="s">
        <v>1825</v>
      </c>
      <c r="T1399" s="22">
        <f t="shared" si="107"/>
        <v>2</v>
      </c>
      <c r="U1399" s="22">
        <f t="shared" si="108"/>
        <v>2021</v>
      </c>
      <c r="V1399" s="22" t="str">
        <f t="shared" si="109"/>
        <v>METROPOLITANA</v>
      </c>
    </row>
    <row r="1400" spans="1:22" x14ac:dyDescent="0.2">
      <c r="A1400" s="23" t="s">
        <v>1822</v>
      </c>
      <c r="B1400" s="22" t="s">
        <v>33</v>
      </c>
      <c r="C1400" s="22" t="s">
        <v>44</v>
      </c>
      <c r="D1400" s="22" t="s">
        <v>56</v>
      </c>
      <c r="E1400" s="24">
        <v>99626232</v>
      </c>
      <c r="F1400" s="22" t="s">
        <v>34</v>
      </c>
      <c r="G1400" s="25">
        <v>1773.9</v>
      </c>
      <c r="H1400" s="22" t="s">
        <v>22</v>
      </c>
      <c r="I1400" s="22">
        <v>0</v>
      </c>
      <c r="J1400" s="22" t="s">
        <v>34</v>
      </c>
      <c r="K1400" s="22" t="s">
        <v>23</v>
      </c>
      <c r="L1400" s="22">
        <v>1</v>
      </c>
      <c r="M1400" s="26">
        <v>33750</v>
      </c>
      <c r="N1400" s="26">
        <v>12000</v>
      </c>
      <c r="O1400" s="15">
        <f t="shared" si="105"/>
        <v>45750</v>
      </c>
      <c r="P1400" s="15">
        <f t="shared" si="106"/>
        <v>25.790630813461863</v>
      </c>
      <c r="Q1400" s="25">
        <v>4821</v>
      </c>
      <c r="R1400" s="22">
        <v>37</v>
      </c>
      <c r="S1400" s="22" t="s">
        <v>1826</v>
      </c>
      <c r="T1400" s="22">
        <f t="shared" si="107"/>
        <v>2</v>
      </c>
      <c r="U1400" s="22">
        <f t="shared" si="108"/>
        <v>2021</v>
      </c>
      <c r="V1400" s="22" t="str">
        <f t="shared" si="109"/>
        <v>METROPOLITANA</v>
      </c>
    </row>
    <row r="1401" spans="1:22" x14ac:dyDescent="0.2">
      <c r="A1401" s="23" t="s">
        <v>1822</v>
      </c>
      <c r="B1401" s="22" t="s">
        <v>33</v>
      </c>
      <c r="C1401" s="22" t="s">
        <v>44</v>
      </c>
      <c r="D1401" s="22" t="s">
        <v>188</v>
      </c>
      <c r="E1401" s="24">
        <v>35488103</v>
      </c>
      <c r="F1401" s="22" t="s">
        <v>67</v>
      </c>
      <c r="G1401" s="25">
        <v>1015.44</v>
      </c>
      <c r="H1401" s="22" t="s">
        <v>190</v>
      </c>
      <c r="I1401" s="22">
        <v>0</v>
      </c>
      <c r="J1401" s="22" t="s">
        <v>67</v>
      </c>
      <c r="K1401" s="22" t="s">
        <v>23</v>
      </c>
      <c r="L1401" s="22">
        <v>2</v>
      </c>
      <c r="M1401" s="26">
        <v>55000</v>
      </c>
      <c r="N1401" s="26">
        <v>0</v>
      </c>
      <c r="O1401" s="15">
        <f t="shared" si="105"/>
        <v>55000</v>
      </c>
      <c r="P1401" s="15">
        <f t="shared" si="106"/>
        <v>54.163712282360351</v>
      </c>
      <c r="Q1401" s="25">
        <v>5782</v>
      </c>
      <c r="R1401" s="22">
        <v>18</v>
      </c>
      <c r="S1401" s="22" t="s">
        <v>1827</v>
      </c>
      <c r="T1401" s="22">
        <f t="shared" si="107"/>
        <v>2</v>
      </c>
      <c r="U1401" s="22">
        <f t="shared" si="108"/>
        <v>2021</v>
      </c>
      <c r="V1401" s="22" t="str">
        <f t="shared" si="109"/>
        <v>METROPOLITANA</v>
      </c>
    </row>
    <row r="1402" spans="1:22" x14ac:dyDescent="0.2">
      <c r="A1402" s="23" t="s">
        <v>1822</v>
      </c>
      <c r="B1402" s="22" t="s">
        <v>33</v>
      </c>
      <c r="C1402" s="22" t="s">
        <v>44</v>
      </c>
      <c r="D1402" s="22" t="s">
        <v>45</v>
      </c>
      <c r="E1402" s="24">
        <v>78907355</v>
      </c>
      <c r="F1402" s="22" t="s">
        <v>53</v>
      </c>
      <c r="G1402" s="25">
        <v>4200.66</v>
      </c>
      <c r="H1402" s="22" t="s">
        <v>22</v>
      </c>
      <c r="I1402" s="22">
        <v>0</v>
      </c>
      <c r="J1402" s="22" t="s">
        <v>53</v>
      </c>
      <c r="K1402" s="22" t="s">
        <v>23</v>
      </c>
      <c r="L1402" s="22">
        <v>3</v>
      </c>
      <c r="M1402" s="26">
        <v>48075</v>
      </c>
      <c r="N1402" s="26">
        <v>16803</v>
      </c>
      <c r="O1402" s="15">
        <f t="shared" si="105"/>
        <v>64878</v>
      </c>
      <c r="P1402" s="15">
        <f t="shared" si="106"/>
        <v>15.444715830369514</v>
      </c>
      <c r="Q1402" s="25">
        <v>6868</v>
      </c>
      <c r="R1402" s="22">
        <v>61</v>
      </c>
      <c r="S1402" s="22" t="s">
        <v>1828</v>
      </c>
      <c r="T1402" s="22">
        <f t="shared" si="107"/>
        <v>2</v>
      </c>
      <c r="U1402" s="22">
        <f t="shared" si="108"/>
        <v>2021</v>
      </c>
      <c r="V1402" s="22" t="str">
        <f t="shared" si="109"/>
        <v>METROPOLITANA</v>
      </c>
    </row>
    <row r="1403" spans="1:22" x14ac:dyDescent="0.2">
      <c r="A1403" s="23" t="s">
        <v>1822</v>
      </c>
      <c r="B1403" s="22" t="s">
        <v>33</v>
      </c>
      <c r="C1403" s="22" t="s">
        <v>44</v>
      </c>
      <c r="D1403" s="22" t="s">
        <v>47</v>
      </c>
      <c r="E1403" s="24">
        <v>154827728</v>
      </c>
      <c r="F1403" s="22" t="s">
        <v>48</v>
      </c>
      <c r="G1403" s="25">
        <v>1294.1400000000001</v>
      </c>
      <c r="H1403" s="22" t="s">
        <v>22</v>
      </c>
      <c r="I1403" s="22">
        <v>0</v>
      </c>
      <c r="J1403" s="22" t="s">
        <v>48</v>
      </c>
      <c r="K1403" s="22" t="s">
        <v>23</v>
      </c>
      <c r="L1403" s="22">
        <v>1</v>
      </c>
      <c r="M1403" s="26">
        <v>33750</v>
      </c>
      <c r="N1403" s="26">
        <v>12000</v>
      </c>
      <c r="O1403" s="15">
        <f t="shared" si="105"/>
        <v>45750</v>
      </c>
      <c r="P1403" s="15">
        <f t="shared" si="106"/>
        <v>35.351662107654498</v>
      </c>
      <c r="Q1403" s="25">
        <v>4821</v>
      </c>
      <c r="R1403" s="22">
        <v>27</v>
      </c>
      <c r="S1403" s="22" t="s">
        <v>1829</v>
      </c>
      <c r="T1403" s="22">
        <f t="shared" si="107"/>
        <v>2</v>
      </c>
      <c r="U1403" s="22">
        <f t="shared" si="108"/>
        <v>2021</v>
      </c>
      <c r="V1403" s="22" t="str">
        <f t="shared" si="109"/>
        <v>METROPOLITANA</v>
      </c>
    </row>
    <row r="1404" spans="1:22" x14ac:dyDescent="0.2">
      <c r="A1404" s="23" t="s">
        <v>1822</v>
      </c>
      <c r="B1404" s="22" t="s">
        <v>33</v>
      </c>
      <c r="C1404" s="22" t="s">
        <v>44</v>
      </c>
      <c r="D1404" s="22" t="s">
        <v>47</v>
      </c>
      <c r="E1404" s="24">
        <v>154837728</v>
      </c>
      <c r="F1404" s="22" t="s">
        <v>48</v>
      </c>
      <c r="G1404" s="25">
        <v>2851.619999999999</v>
      </c>
      <c r="H1404" s="22" t="s">
        <v>22</v>
      </c>
      <c r="I1404" s="22">
        <v>0</v>
      </c>
      <c r="J1404" s="22" t="s">
        <v>48</v>
      </c>
      <c r="K1404" s="22" t="s">
        <v>23</v>
      </c>
      <c r="L1404" s="22">
        <v>1</v>
      </c>
      <c r="M1404" s="26">
        <v>33750</v>
      </c>
      <c r="N1404" s="26">
        <v>12000</v>
      </c>
      <c r="O1404" s="15">
        <f t="shared" si="105"/>
        <v>45750</v>
      </c>
      <c r="P1404" s="15">
        <f t="shared" si="106"/>
        <v>16.043512108906523</v>
      </c>
      <c r="Q1404" s="25">
        <v>4821</v>
      </c>
      <c r="R1404" s="22">
        <v>59</v>
      </c>
      <c r="S1404" s="22" t="s">
        <v>1830</v>
      </c>
      <c r="T1404" s="22">
        <f t="shared" si="107"/>
        <v>2</v>
      </c>
      <c r="U1404" s="22">
        <f t="shared" si="108"/>
        <v>2021</v>
      </c>
      <c r="V1404" s="22" t="str">
        <f t="shared" si="109"/>
        <v>METROPOLITANA</v>
      </c>
    </row>
    <row r="1405" spans="1:22" x14ac:dyDescent="0.2">
      <c r="A1405" s="23" t="s">
        <v>1822</v>
      </c>
      <c r="B1405" s="22" t="s">
        <v>33</v>
      </c>
      <c r="C1405" s="22" t="s">
        <v>44</v>
      </c>
      <c r="D1405" s="22" t="s">
        <v>35</v>
      </c>
      <c r="E1405" s="24">
        <v>107643206</v>
      </c>
      <c r="F1405" s="22" t="s">
        <v>182</v>
      </c>
      <c r="G1405" s="25">
        <v>2240.52</v>
      </c>
      <c r="H1405" s="22" t="s">
        <v>22</v>
      </c>
      <c r="I1405" s="22">
        <v>0</v>
      </c>
      <c r="J1405" s="22" t="s">
        <v>182</v>
      </c>
      <c r="K1405" s="22" t="s">
        <v>23</v>
      </c>
      <c r="L1405" s="22">
        <v>4</v>
      </c>
      <c r="M1405" s="26">
        <v>56075</v>
      </c>
      <c r="N1405" s="26">
        <v>12000</v>
      </c>
      <c r="O1405" s="15">
        <f t="shared" si="105"/>
        <v>68075</v>
      </c>
      <c r="P1405" s="15">
        <f t="shared" si="106"/>
        <v>30.383571670862121</v>
      </c>
      <c r="Q1405" s="25">
        <v>8011</v>
      </c>
      <c r="R1405" s="22">
        <v>28</v>
      </c>
      <c r="S1405" s="22" t="s">
        <v>1831</v>
      </c>
      <c r="T1405" s="22">
        <f t="shared" si="107"/>
        <v>2</v>
      </c>
      <c r="U1405" s="22">
        <f t="shared" si="108"/>
        <v>2021</v>
      </c>
      <c r="V1405" s="22" t="str">
        <f t="shared" si="109"/>
        <v>METROPOLITANA</v>
      </c>
    </row>
    <row r="1406" spans="1:22" x14ac:dyDescent="0.2">
      <c r="A1406" s="11" t="s">
        <v>1832</v>
      </c>
      <c r="B1406" s="12" t="s">
        <v>54</v>
      </c>
      <c r="C1406" s="12" t="s">
        <v>55</v>
      </c>
      <c r="D1406" s="12" t="s">
        <v>786</v>
      </c>
      <c r="E1406" s="13">
        <v>95707734</v>
      </c>
      <c r="F1406" s="12" t="s">
        <v>66</v>
      </c>
      <c r="G1406" s="14">
        <v>6528.5999999999976</v>
      </c>
      <c r="H1406" s="12" t="s">
        <v>788</v>
      </c>
      <c r="I1406" s="12">
        <v>1</v>
      </c>
      <c r="J1406" s="12" t="s">
        <v>66</v>
      </c>
      <c r="K1406" s="12" t="s">
        <v>75</v>
      </c>
      <c r="L1406" s="12">
        <v>0</v>
      </c>
      <c r="M1406" s="15">
        <v>380000</v>
      </c>
      <c r="N1406" s="15">
        <v>0</v>
      </c>
      <c r="O1406" s="15">
        <f t="shared" si="105"/>
        <v>380000</v>
      </c>
      <c r="P1406" s="15">
        <f t="shared" si="106"/>
        <v>58.205434549520589</v>
      </c>
      <c r="Q1406" s="14">
        <v>25000</v>
      </c>
      <c r="R1406" s="12">
        <v>26</v>
      </c>
      <c r="S1406" s="12" t="s">
        <v>1833</v>
      </c>
      <c r="T1406" s="22">
        <f t="shared" si="107"/>
        <v>2</v>
      </c>
      <c r="U1406" s="22">
        <f t="shared" si="108"/>
        <v>2021</v>
      </c>
      <c r="V1406" s="22" t="str">
        <f t="shared" si="109"/>
        <v>REGIONES</v>
      </c>
    </row>
    <row r="1407" spans="1:22" x14ac:dyDescent="0.2">
      <c r="A1407" s="11" t="s">
        <v>1832</v>
      </c>
      <c r="B1407" s="12" t="s">
        <v>18</v>
      </c>
      <c r="C1407" s="12" t="s">
        <v>270</v>
      </c>
      <c r="D1407" s="12" t="s">
        <v>63</v>
      </c>
      <c r="E1407" s="13">
        <v>138841065</v>
      </c>
      <c r="F1407" s="12" t="s">
        <v>120</v>
      </c>
      <c r="G1407" s="14">
        <v>10166</v>
      </c>
      <c r="H1407" s="12" t="s">
        <v>65</v>
      </c>
      <c r="I1407" s="12">
        <v>0</v>
      </c>
      <c r="J1407" s="12" t="s">
        <v>120</v>
      </c>
      <c r="K1407" s="12" t="s">
        <v>23</v>
      </c>
      <c r="L1407" s="12">
        <v>5</v>
      </c>
      <c r="M1407" s="15">
        <f>+G1407*11</f>
        <v>111826</v>
      </c>
      <c r="N1407" s="15">
        <v>0</v>
      </c>
      <c r="O1407" s="15">
        <f t="shared" si="105"/>
        <v>111826</v>
      </c>
      <c r="P1407" s="15">
        <f t="shared" si="106"/>
        <v>11</v>
      </c>
      <c r="Q1407" s="14">
        <v>12000</v>
      </c>
      <c r="R1407" s="12">
        <v>85</v>
      </c>
      <c r="S1407" s="12" t="s">
        <v>1834</v>
      </c>
      <c r="T1407" s="22">
        <f t="shared" si="107"/>
        <v>2</v>
      </c>
      <c r="U1407" s="22">
        <f t="shared" si="108"/>
        <v>2021</v>
      </c>
      <c r="V1407" s="22" t="str">
        <f t="shared" si="109"/>
        <v>METROPOLITANA</v>
      </c>
    </row>
    <row r="1408" spans="1:22" x14ac:dyDescent="0.2">
      <c r="A1408" s="11" t="s">
        <v>1832</v>
      </c>
      <c r="B1408" s="12" t="s">
        <v>18</v>
      </c>
      <c r="C1408" s="12" t="s">
        <v>500</v>
      </c>
      <c r="D1408" s="12" t="s">
        <v>30</v>
      </c>
      <c r="E1408" s="13">
        <v>72564391</v>
      </c>
      <c r="F1408" s="12" t="s">
        <v>120</v>
      </c>
      <c r="G1408" s="14">
        <v>7163.7300000000014</v>
      </c>
      <c r="H1408" s="12" t="s">
        <v>32</v>
      </c>
      <c r="I1408" s="12">
        <v>0</v>
      </c>
      <c r="J1408" s="12" t="s">
        <v>120</v>
      </c>
      <c r="K1408" s="12" t="s">
        <v>23</v>
      </c>
      <c r="L1408" s="12">
        <v>5</v>
      </c>
      <c r="M1408" s="15">
        <f>+G1408*11</f>
        <v>78801.030000000013</v>
      </c>
      <c r="N1408" s="15">
        <v>0</v>
      </c>
      <c r="O1408" s="15">
        <f t="shared" si="105"/>
        <v>78801.030000000013</v>
      </c>
      <c r="P1408" s="15">
        <f t="shared" si="106"/>
        <v>11</v>
      </c>
      <c r="Q1408" s="14">
        <v>12000</v>
      </c>
      <c r="R1408" s="12">
        <v>60</v>
      </c>
      <c r="S1408" s="12" t="s">
        <v>1835</v>
      </c>
      <c r="T1408" s="22">
        <f t="shared" si="107"/>
        <v>2</v>
      </c>
      <c r="U1408" s="22">
        <f t="shared" si="108"/>
        <v>2021</v>
      </c>
      <c r="V1408" s="22" t="str">
        <f t="shared" si="109"/>
        <v>METROPOLITANA</v>
      </c>
    </row>
    <row r="1409" spans="1:22" x14ac:dyDescent="0.2">
      <c r="A1409" s="11" t="s">
        <v>1832</v>
      </c>
      <c r="B1409" s="12" t="s">
        <v>18</v>
      </c>
      <c r="C1409" s="12" t="s">
        <v>160</v>
      </c>
      <c r="D1409" s="12" t="s">
        <v>41</v>
      </c>
      <c r="E1409" s="13">
        <v>53173292</v>
      </c>
      <c r="F1409" s="12" t="s">
        <v>161</v>
      </c>
      <c r="G1409" s="14">
        <v>2035.71</v>
      </c>
      <c r="H1409" s="12" t="s">
        <v>43</v>
      </c>
      <c r="I1409" s="12">
        <v>0</v>
      </c>
      <c r="J1409" s="12" t="s">
        <v>161</v>
      </c>
      <c r="K1409" s="12" t="s">
        <v>23</v>
      </c>
      <c r="L1409" s="12">
        <v>5</v>
      </c>
      <c r="M1409" s="15">
        <v>55000</v>
      </c>
      <c r="N1409" s="15">
        <v>0</v>
      </c>
      <c r="O1409" s="15">
        <f t="shared" si="105"/>
        <v>55000</v>
      </c>
      <c r="P1409" s="15">
        <f t="shared" si="106"/>
        <v>27.017600738808571</v>
      </c>
      <c r="Q1409" s="14">
        <v>12000</v>
      </c>
      <c r="R1409" s="12">
        <v>17</v>
      </c>
      <c r="S1409" s="12" t="s">
        <v>1836</v>
      </c>
      <c r="T1409" s="22">
        <f t="shared" si="107"/>
        <v>2</v>
      </c>
      <c r="U1409" s="22">
        <f t="shared" si="108"/>
        <v>2021</v>
      </c>
      <c r="V1409" s="22" t="str">
        <f t="shared" si="109"/>
        <v>METROPOLITANA</v>
      </c>
    </row>
    <row r="1410" spans="1:22" x14ac:dyDescent="0.2">
      <c r="A1410" s="11" t="s">
        <v>1832</v>
      </c>
      <c r="B1410" s="12" t="s">
        <v>18</v>
      </c>
      <c r="C1410" s="12" t="s">
        <v>160</v>
      </c>
      <c r="D1410" s="12" t="s">
        <v>1837</v>
      </c>
      <c r="E1410" s="13">
        <v>161268070</v>
      </c>
      <c r="F1410" s="12" t="s">
        <v>161</v>
      </c>
      <c r="G1410" s="14">
        <v>2834.06</v>
      </c>
      <c r="H1410" s="12" t="s">
        <v>22</v>
      </c>
      <c r="I1410" s="12">
        <v>1</v>
      </c>
      <c r="J1410" s="12" t="s">
        <v>161</v>
      </c>
      <c r="K1410" s="12" t="s">
        <v>23</v>
      </c>
      <c r="L1410" s="12">
        <v>5</v>
      </c>
      <c r="M1410" s="15">
        <v>120000</v>
      </c>
      <c r="N1410" s="15">
        <v>12000</v>
      </c>
      <c r="O1410" s="15">
        <f t="shared" ref="O1410:O1473" si="110">SUM(M1410:N1410)</f>
        <v>132000</v>
      </c>
      <c r="P1410" s="15">
        <f t="shared" ref="P1410:P1473" si="111">O1410/G1410</f>
        <v>46.576289845663112</v>
      </c>
      <c r="Q1410" s="14">
        <v>12000</v>
      </c>
      <c r="R1410" s="12">
        <v>24</v>
      </c>
      <c r="S1410" s="12" t="s">
        <v>1838</v>
      </c>
      <c r="T1410" s="22">
        <f t="shared" ref="T1410:T1473" si="112">MONTH(A1410)</f>
        <v>2</v>
      </c>
      <c r="U1410" s="22">
        <f t="shared" ref="U1410:U1473" si="113">YEAR(A1410)</f>
        <v>2021</v>
      </c>
      <c r="V1410" s="22" t="str">
        <f t="shared" ref="V1410:V1473" si="114">IF(K1410="METROPOLITANA DE SANTIAGO","METROPOLITANA","REGIONES")</f>
        <v>METROPOLITANA</v>
      </c>
    </row>
    <row r="1411" spans="1:22" x14ac:dyDescent="0.2">
      <c r="A1411" s="11" t="s">
        <v>1832</v>
      </c>
      <c r="B1411" s="12" t="s">
        <v>18</v>
      </c>
      <c r="C1411" s="12" t="s">
        <v>324</v>
      </c>
      <c r="D1411" s="12" t="s">
        <v>37</v>
      </c>
      <c r="E1411" s="13">
        <v>161268070</v>
      </c>
      <c r="F1411" s="12" t="s">
        <v>325</v>
      </c>
      <c r="G1411" s="14">
        <v>11379.56</v>
      </c>
      <c r="H1411" s="12" t="s">
        <v>22</v>
      </c>
      <c r="I1411" s="12">
        <v>0</v>
      </c>
      <c r="J1411" s="12" t="s">
        <v>325</v>
      </c>
      <c r="K1411" s="12" t="s">
        <v>78</v>
      </c>
      <c r="L1411" s="12">
        <v>0</v>
      </c>
      <c r="M1411" s="15">
        <v>180000</v>
      </c>
      <c r="N1411" s="15">
        <f>G1411*4</f>
        <v>45518.239999999998</v>
      </c>
      <c r="O1411" s="15">
        <f t="shared" si="110"/>
        <v>225518.24</v>
      </c>
      <c r="P1411" s="15">
        <f t="shared" si="111"/>
        <v>19.817834784473213</v>
      </c>
      <c r="Q1411" s="14">
        <v>25000</v>
      </c>
      <c r="R1411" s="12">
        <v>46</v>
      </c>
      <c r="S1411" s="12" t="s">
        <v>1839</v>
      </c>
      <c r="T1411" s="22">
        <f t="shared" si="112"/>
        <v>2</v>
      </c>
      <c r="U1411" s="22">
        <f t="shared" si="113"/>
        <v>2021</v>
      </c>
      <c r="V1411" s="22" t="str">
        <f t="shared" si="114"/>
        <v>REGIONES</v>
      </c>
    </row>
    <row r="1412" spans="1:22" x14ac:dyDescent="0.2">
      <c r="A1412" s="11" t="s">
        <v>1832</v>
      </c>
      <c r="B1412" s="12" t="s">
        <v>18</v>
      </c>
      <c r="C1412" s="12" t="s">
        <v>508</v>
      </c>
      <c r="D1412" s="12" t="s">
        <v>38</v>
      </c>
      <c r="E1412" s="13">
        <v>53173292</v>
      </c>
      <c r="F1412" s="12" t="s">
        <v>51</v>
      </c>
      <c r="G1412" s="14">
        <v>2103.75</v>
      </c>
      <c r="H1412" s="12" t="s">
        <v>43</v>
      </c>
      <c r="I1412" s="12">
        <v>0</v>
      </c>
      <c r="J1412" s="12" t="s">
        <v>51</v>
      </c>
      <c r="K1412" s="12" t="s">
        <v>23</v>
      </c>
      <c r="L1412" s="12">
        <v>4</v>
      </c>
      <c r="M1412" s="15">
        <v>55000</v>
      </c>
      <c r="N1412" s="15">
        <v>0</v>
      </c>
      <c r="O1412" s="15">
        <f t="shared" si="110"/>
        <v>55000</v>
      </c>
      <c r="P1412" s="15">
        <f t="shared" si="111"/>
        <v>26.143790849673202</v>
      </c>
      <c r="Q1412" s="14">
        <v>8011</v>
      </c>
      <c r="R1412" s="12">
        <v>26</v>
      </c>
      <c r="S1412" s="12" t="s">
        <v>1840</v>
      </c>
      <c r="T1412" s="22">
        <f t="shared" si="112"/>
        <v>2</v>
      </c>
      <c r="U1412" s="22">
        <f t="shared" si="113"/>
        <v>2021</v>
      </c>
      <c r="V1412" s="22" t="str">
        <f t="shared" si="114"/>
        <v>METROPOLITANA</v>
      </c>
    </row>
    <row r="1413" spans="1:22" x14ac:dyDescent="0.2">
      <c r="A1413" s="11" t="s">
        <v>1832</v>
      </c>
      <c r="B1413" s="12" t="s">
        <v>33</v>
      </c>
      <c r="C1413" s="12" t="s">
        <v>44</v>
      </c>
      <c r="D1413" s="12" t="s">
        <v>56</v>
      </c>
      <c r="E1413" s="13">
        <v>81417709</v>
      </c>
      <c r="F1413" s="12" t="s">
        <v>134</v>
      </c>
      <c r="G1413" s="14">
        <v>3221.48</v>
      </c>
      <c r="H1413" s="12" t="s">
        <v>22</v>
      </c>
      <c r="I1413" s="12">
        <v>0</v>
      </c>
      <c r="J1413" s="12" t="s">
        <v>134</v>
      </c>
      <c r="K1413" s="12" t="s">
        <v>23</v>
      </c>
      <c r="L1413" s="12">
        <v>2</v>
      </c>
      <c r="M1413" s="15">
        <v>40475</v>
      </c>
      <c r="N1413" s="15">
        <v>12886</v>
      </c>
      <c r="O1413" s="15">
        <f t="shared" si="110"/>
        <v>53361</v>
      </c>
      <c r="P1413" s="15">
        <f t="shared" si="111"/>
        <v>16.564125805530377</v>
      </c>
      <c r="Q1413" s="14">
        <v>5782</v>
      </c>
      <c r="R1413" s="12">
        <v>56</v>
      </c>
      <c r="S1413" s="12" t="s">
        <v>1841</v>
      </c>
      <c r="T1413" s="22">
        <f t="shared" si="112"/>
        <v>2</v>
      </c>
      <c r="U1413" s="22">
        <f t="shared" si="113"/>
        <v>2021</v>
      </c>
      <c r="V1413" s="22" t="str">
        <f t="shared" si="114"/>
        <v>METROPOLITANA</v>
      </c>
    </row>
    <row r="1414" spans="1:22" x14ac:dyDescent="0.2">
      <c r="A1414" s="11" t="s">
        <v>1832</v>
      </c>
      <c r="B1414" s="12" t="s">
        <v>33</v>
      </c>
      <c r="C1414" s="12" t="s">
        <v>44</v>
      </c>
      <c r="D1414" s="12" t="s">
        <v>188</v>
      </c>
      <c r="E1414" s="13">
        <v>35488103</v>
      </c>
      <c r="F1414" s="12" t="s">
        <v>138</v>
      </c>
      <c r="G1414" s="14">
        <v>3985.4</v>
      </c>
      <c r="H1414" s="12" t="s">
        <v>190</v>
      </c>
      <c r="I1414" s="12">
        <v>0</v>
      </c>
      <c r="J1414" s="12" t="s">
        <v>138</v>
      </c>
      <c r="K1414" s="12" t="s">
        <v>23</v>
      </c>
      <c r="L1414" s="12">
        <v>3</v>
      </c>
      <c r="M1414" s="15">
        <v>55000</v>
      </c>
      <c r="N1414" s="15">
        <v>0</v>
      </c>
      <c r="O1414" s="15">
        <f t="shared" si="110"/>
        <v>55000</v>
      </c>
      <c r="P1414" s="15">
        <f t="shared" si="111"/>
        <v>13.800371355447382</v>
      </c>
      <c r="Q1414" s="14">
        <v>6868</v>
      </c>
      <c r="R1414" s="12">
        <v>58</v>
      </c>
      <c r="S1414" s="12" t="s">
        <v>1842</v>
      </c>
      <c r="T1414" s="22">
        <f t="shared" si="112"/>
        <v>2</v>
      </c>
      <c r="U1414" s="22">
        <f t="shared" si="113"/>
        <v>2021</v>
      </c>
      <c r="V1414" s="22" t="str">
        <f t="shared" si="114"/>
        <v>METROPOLITANA</v>
      </c>
    </row>
    <row r="1415" spans="1:22" x14ac:dyDescent="0.2">
      <c r="A1415" s="11" t="s">
        <v>1832</v>
      </c>
      <c r="B1415" s="12" t="s">
        <v>33</v>
      </c>
      <c r="C1415" s="12" t="s">
        <v>44</v>
      </c>
      <c r="D1415" s="12" t="s">
        <v>45</v>
      </c>
      <c r="E1415" s="13">
        <v>99626232</v>
      </c>
      <c r="F1415" s="12" t="s">
        <v>225</v>
      </c>
      <c r="G1415" s="14">
        <v>2801.64</v>
      </c>
      <c r="H1415" s="12" t="s">
        <v>22</v>
      </c>
      <c r="I1415" s="12">
        <v>0</v>
      </c>
      <c r="J1415" s="12" t="s">
        <v>225</v>
      </c>
      <c r="K1415" s="12" t="s">
        <v>23</v>
      </c>
      <c r="L1415" s="12">
        <v>3</v>
      </c>
      <c r="M1415" s="15">
        <v>48075</v>
      </c>
      <c r="N1415" s="15">
        <v>12000</v>
      </c>
      <c r="O1415" s="15">
        <f t="shared" si="110"/>
        <v>60075</v>
      </c>
      <c r="P1415" s="15">
        <f t="shared" si="111"/>
        <v>21.442797789865935</v>
      </c>
      <c r="Q1415" s="14">
        <v>6868</v>
      </c>
      <c r="R1415" s="12">
        <v>41</v>
      </c>
      <c r="S1415" s="12" t="s">
        <v>1843</v>
      </c>
      <c r="T1415" s="22">
        <f t="shared" si="112"/>
        <v>2</v>
      </c>
      <c r="U1415" s="22">
        <f t="shared" si="113"/>
        <v>2021</v>
      </c>
      <c r="V1415" s="22" t="str">
        <f t="shared" si="114"/>
        <v>METROPOLITANA</v>
      </c>
    </row>
    <row r="1416" spans="1:22" x14ac:dyDescent="0.2">
      <c r="A1416" s="11" t="s">
        <v>1832</v>
      </c>
      <c r="B1416" s="12" t="s">
        <v>33</v>
      </c>
      <c r="C1416" s="12" t="s">
        <v>44</v>
      </c>
      <c r="D1416" s="12" t="s">
        <v>47</v>
      </c>
      <c r="E1416" s="13">
        <v>154837728</v>
      </c>
      <c r="F1416" s="12" t="s">
        <v>48</v>
      </c>
      <c r="G1416" s="14">
        <v>3510.14</v>
      </c>
      <c r="H1416" s="12" t="s">
        <v>22</v>
      </c>
      <c r="I1416" s="12">
        <v>0</v>
      </c>
      <c r="J1416" s="12" t="s">
        <v>48</v>
      </c>
      <c r="K1416" s="12" t="s">
        <v>23</v>
      </c>
      <c r="L1416" s="12">
        <v>1</v>
      </c>
      <c r="M1416" s="15">
        <v>33750</v>
      </c>
      <c r="N1416" s="15">
        <v>14041</v>
      </c>
      <c r="O1416" s="15">
        <f t="shared" si="110"/>
        <v>47791</v>
      </c>
      <c r="P1416" s="15">
        <f t="shared" si="111"/>
        <v>13.615126462192391</v>
      </c>
      <c r="Q1416" s="14">
        <v>4821</v>
      </c>
      <c r="R1416" s="12">
        <v>73</v>
      </c>
      <c r="S1416" s="12" t="s">
        <v>1844</v>
      </c>
      <c r="T1416" s="22">
        <f t="shared" si="112"/>
        <v>2</v>
      </c>
      <c r="U1416" s="22">
        <f t="shared" si="113"/>
        <v>2021</v>
      </c>
      <c r="V1416" s="22" t="str">
        <f t="shared" si="114"/>
        <v>METROPOLITANA</v>
      </c>
    </row>
    <row r="1417" spans="1:22" x14ac:dyDescent="0.2">
      <c r="A1417" s="11" t="s">
        <v>1832</v>
      </c>
      <c r="B1417" s="12" t="s">
        <v>33</v>
      </c>
      <c r="C1417" s="12" t="s">
        <v>44</v>
      </c>
      <c r="D1417" s="12" t="s">
        <v>35</v>
      </c>
      <c r="E1417" s="13">
        <v>107643206</v>
      </c>
      <c r="F1417" s="12" t="s">
        <v>229</v>
      </c>
      <c r="G1417" s="14">
        <v>2833.02</v>
      </c>
      <c r="H1417" s="12" t="s">
        <v>22</v>
      </c>
      <c r="I1417" s="12">
        <v>0</v>
      </c>
      <c r="J1417" s="12" t="s">
        <v>230</v>
      </c>
      <c r="K1417" s="12" t="s">
        <v>23</v>
      </c>
      <c r="L1417" s="12">
        <v>4</v>
      </c>
      <c r="M1417" s="15">
        <v>56075</v>
      </c>
      <c r="N1417" s="15">
        <v>12000</v>
      </c>
      <c r="O1417" s="15">
        <f t="shared" si="110"/>
        <v>68075</v>
      </c>
      <c r="P1417" s="15">
        <f t="shared" si="111"/>
        <v>24.029127927088407</v>
      </c>
      <c r="Q1417" s="14">
        <v>8011</v>
      </c>
      <c r="R1417" s="12">
        <v>35</v>
      </c>
      <c r="S1417" s="12" t="s">
        <v>1845</v>
      </c>
      <c r="T1417" s="22">
        <f t="shared" si="112"/>
        <v>2</v>
      </c>
      <c r="U1417" s="22">
        <f t="shared" si="113"/>
        <v>2021</v>
      </c>
      <c r="V1417" s="22" t="str">
        <f t="shared" si="114"/>
        <v>METROPOLITANA</v>
      </c>
    </row>
    <row r="1418" spans="1:22" x14ac:dyDescent="0.2">
      <c r="A1418" s="11" t="s">
        <v>1832</v>
      </c>
      <c r="B1418" s="12" t="s">
        <v>33</v>
      </c>
      <c r="C1418" s="12" t="s">
        <v>44</v>
      </c>
      <c r="D1418" s="12" t="s">
        <v>20</v>
      </c>
      <c r="E1418" s="13">
        <v>78907355</v>
      </c>
      <c r="F1418" s="12" t="s">
        <v>46</v>
      </c>
      <c r="G1418" s="14">
        <v>3298.400000000001</v>
      </c>
      <c r="H1418" s="12" t="s">
        <v>22</v>
      </c>
      <c r="I1418" s="12">
        <v>0</v>
      </c>
      <c r="J1418" s="12" t="s">
        <v>46</v>
      </c>
      <c r="K1418" s="12" t="s">
        <v>23</v>
      </c>
      <c r="L1418" s="12">
        <v>2</v>
      </c>
      <c r="M1418" s="15">
        <v>40475</v>
      </c>
      <c r="N1418" s="15">
        <v>13194</v>
      </c>
      <c r="O1418" s="15">
        <f t="shared" si="110"/>
        <v>53669</v>
      </c>
      <c r="P1418" s="15">
        <f t="shared" si="111"/>
        <v>16.271222410865871</v>
      </c>
      <c r="Q1418" s="14">
        <v>5782</v>
      </c>
      <c r="R1418" s="12">
        <v>57</v>
      </c>
      <c r="S1418" s="12" t="s">
        <v>1846</v>
      </c>
      <c r="T1418" s="22">
        <f t="shared" si="112"/>
        <v>2</v>
      </c>
      <c r="U1418" s="22">
        <f t="shared" si="113"/>
        <v>2021</v>
      </c>
      <c r="V1418" s="22" t="str">
        <f t="shared" si="114"/>
        <v>METROPOLITANA</v>
      </c>
    </row>
    <row r="1419" spans="1:22" x14ac:dyDescent="0.2">
      <c r="A1419" s="11" t="s">
        <v>1832</v>
      </c>
      <c r="B1419" s="12" t="s">
        <v>33</v>
      </c>
      <c r="C1419" s="12" t="s">
        <v>1847</v>
      </c>
      <c r="D1419" s="12" t="s">
        <v>20</v>
      </c>
      <c r="E1419" s="13">
        <v>78907355</v>
      </c>
      <c r="F1419" s="12" t="s">
        <v>129</v>
      </c>
      <c r="G1419" s="14">
        <v>3752</v>
      </c>
      <c r="H1419" s="12" t="s">
        <v>22</v>
      </c>
      <c r="I1419" s="12">
        <v>0</v>
      </c>
      <c r="J1419" s="12" t="s">
        <v>129</v>
      </c>
      <c r="K1419" s="12" t="s">
        <v>23</v>
      </c>
      <c r="L1419" s="12">
        <v>1</v>
      </c>
      <c r="M1419" s="15">
        <v>33750</v>
      </c>
      <c r="N1419" s="15">
        <v>12000</v>
      </c>
      <c r="O1419" s="15">
        <f t="shared" si="110"/>
        <v>45750</v>
      </c>
      <c r="P1419" s="15">
        <f t="shared" si="111"/>
        <v>12.193496801705757</v>
      </c>
      <c r="Q1419" s="14">
        <v>4821</v>
      </c>
      <c r="R1419" s="12">
        <v>78</v>
      </c>
      <c r="S1419" s="12" t="s">
        <v>1848</v>
      </c>
      <c r="T1419" s="22">
        <f t="shared" si="112"/>
        <v>2</v>
      </c>
      <c r="U1419" s="22">
        <f t="shared" si="113"/>
        <v>2021</v>
      </c>
      <c r="V1419" s="22" t="str">
        <f t="shared" si="114"/>
        <v>METROPOLITANA</v>
      </c>
    </row>
    <row r="1420" spans="1:22" x14ac:dyDescent="0.2">
      <c r="A1420" s="23" t="s">
        <v>1849</v>
      </c>
      <c r="B1420" s="22" t="s">
        <v>18</v>
      </c>
      <c r="C1420" s="22" t="s">
        <v>57</v>
      </c>
      <c r="D1420" s="22" t="s">
        <v>30</v>
      </c>
      <c r="E1420" s="24" t="s">
        <v>31</v>
      </c>
      <c r="F1420" s="22" t="s">
        <v>800</v>
      </c>
      <c r="G1420" s="25">
        <v>8600.2400000000016</v>
      </c>
      <c r="H1420" s="22" t="s">
        <v>32</v>
      </c>
      <c r="I1420" s="22">
        <v>0</v>
      </c>
      <c r="J1420" s="22" t="s">
        <v>800</v>
      </c>
      <c r="K1420" s="22" t="s">
        <v>23</v>
      </c>
      <c r="L1420" s="22">
        <v>5</v>
      </c>
      <c r="M1420" s="26">
        <f>+G1420*11</f>
        <v>94602.640000000014</v>
      </c>
      <c r="N1420" s="26">
        <v>0</v>
      </c>
      <c r="O1420" s="15">
        <f t="shared" si="110"/>
        <v>94602.640000000014</v>
      </c>
      <c r="P1420" s="15">
        <f t="shared" si="111"/>
        <v>11</v>
      </c>
      <c r="Q1420" s="25">
        <v>12000</v>
      </c>
      <c r="R1420" s="22">
        <v>72</v>
      </c>
      <c r="S1420" s="22" t="s">
        <v>1850</v>
      </c>
      <c r="T1420" s="22">
        <f t="shared" si="112"/>
        <v>3</v>
      </c>
      <c r="U1420" s="22">
        <f t="shared" si="113"/>
        <v>2021</v>
      </c>
      <c r="V1420" s="22" t="str">
        <f t="shared" si="114"/>
        <v>METROPOLITANA</v>
      </c>
    </row>
    <row r="1421" spans="1:22" x14ac:dyDescent="0.2">
      <c r="A1421" s="23" t="s">
        <v>1849</v>
      </c>
      <c r="B1421" s="22" t="s">
        <v>18</v>
      </c>
      <c r="C1421" s="22" t="s">
        <v>500</v>
      </c>
      <c r="D1421" s="22" t="s">
        <v>63</v>
      </c>
      <c r="E1421" s="24" t="s">
        <v>64</v>
      </c>
      <c r="F1421" s="22" t="s">
        <v>120</v>
      </c>
      <c r="G1421" s="25">
        <v>4314.6000000000004</v>
      </c>
      <c r="H1421" s="22" t="s">
        <v>65</v>
      </c>
      <c r="I1421" s="22">
        <v>0</v>
      </c>
      <c r="J1421" s="22" t="s">
        <v>120</v>
      </c>
      <c r="K1421" s="22" t="s">
        <v>23</v>
      </c>
      <c r="L1421" s="22">
        <v>5</v>
      </c>
      <c r="M1421" s="26">
        <v>55000</v>
      </c>
      <c r="N1421" s="26">
        <v>0</v>
      </c>
      <c r="O1421" s="15">
        <f t="shared" si="110"/>
        <v>55000</v>
      </c>
      <c r="P1421" s="15">
        <f t="shared" si="111"/>
        <v>12.747415751170443</v>
      </c>
      <c r="Q1421" s="25">
        <v>12000</v>
      </c>
      <c r="R1421" s="22">
        <v>36</v>
      </c>
      <c r="S1421" s="22" t="s">
        <v>1851</v>
      </c>
      <c r="T1421" s="22">
        <f t="shared" si="112"/>
        <v>3</v>
      </c>
      <c r="U1421" s="22">
        <f t="shared" si="113"/>
        <v>2021</v>
      </c>
      <c r="V1421" s="22" t="str">
        <f t="shared" si="114"/>
        <v>METROPOLITANA</v>
      </c>
    </row>
    <row r="1422" spans="1:22" x14ac:dyDescent="0.2">
      <c r="A1422" s="23" t="s">
        <v>1849</v>
      </c>
      <c r="B1422" s="22" t="s">
        <v>18</v>
      </c>
      <c r="C1422" s="22" t="s">
        <v>324</v>
      </c>
      <c r="D1422" s="22" t="s">
        <v>37</v>
      </c>
      <c r="E1422" s="24" t="s">
        <v>40</v>
      </c>
      <c r="F1422" s="22" t="s">
        <v>325</v>
      </c>
      <c r="G1422" s="25">
        <v>9574.32</v>
      </c>
      <c r="H1422" s="22" t="s">
        <v>22</v>
      </c>
      <c r="I1422" s="22">
        <v>0</v>
      </c>
      <c r="J1422" s="22" t="s">
        <v>325</v>
      </c>
      <c r="K1422" s="22" t="s">
        <v>78</v>
      </c>
      <c r="L1422" s="22">
        <v>0</v>
      </c>
      <c r="M1422" s="26">
        <v>180000</v>
      </c>
      <c r="N1422" s="26">
        <v>0</v>
      </c>
      <c r="O1422" s="15">
        <f t="shared" si="110"/>
        <v>180000</v>
      </c>
      <c r="P1422" s="15">
        <f t="shared" si="111"/>
        <v>18.800290777830696</v>
      </c>
      <c r="Q1422" s="25">
        <v>25000</v>
      </c>
      <c r="R1422" s="22">
        <v>38</v>
      </c>
      <c r="S1422" s="22" t="s">
        <v>1852</v>
      </c>
      <c r="T1422" s="22">
        <f t="shared" si="112"/>
        <v>3</v>
      </c>
      <c r="U1422" s="22">
        <f t="shared" si="113"/>
        <v>2021</v>
      </c>
      <c r="V1422" s="22" t="str">
        <f t="shared" si="114"/>
        <v>REGIONES</v>
      </c>
    </row>
    <row r="1423" spans="1:22" x14ac:dyDescent="0.2">
      <c r="A1423" s="23" t="s">
        <v>1849</v>
      </c>
      <c r="B1423" s="22" t="s">
        <v>18</v>
      </c>
      <c r="C1423" s="22" t="s">
        <v>508</v>
      </c>
      <c r="D1423" s="22" t="s">
        <v>20</v>
      </c>
      <c r="E1423" s="24" t="s">
        <v>21</v>
      </c>
      <c r="F1423" s="22" t="s">
        <v>51</v>
      </c>
      <c r="G1423" s="25">
        <v>4223.6799999999976</v>
      </c>
      <c r="H1423" s="22" t="s">
        <v>22</v>
      </c>
      <c r="I1423" s="22">
        <v>0</v>
      </c>
      <c r="J1423" s="22" t="s">
        <v>51</v>
      </c>
      <c r="K1423" s="22" t="s">
        <v>23</v>
      </c>
      <c r="L1423" s="22">
        <v>4</v>
      </c>
      <c r="M1423" s="26">
        <v>56075</v>
      </c>
      <c r="N1423" s="26">
        <f>G1423*4</f>
        <v>16894.71999999999</v>
      </c>
      <c r="O1423" s="15">
        <f t="shared" si="110"/>
        <v>72969.719999999987</v>
      </c>
      <c r="P1423" s="15">
        <f t="shared" si="111"/>
        <v>17.276337222516865</v>
      </c>
      <c r="Q1423" s="25">
        <v>8011</v>
      </c>
      <c r="R1423" s="22">
        <v>53</v>
      </c>
      <c r="S1423" s="22" t="s">
        <v>1853</v>
      </c>
      <c r="T1423" s="22">
        <f t="shared" si="112"/>
        <v>3</v>
      </c>
      <c r="U1423" s="22">
        <f t="shared" si="113"/>
        <v>2021</v>
      </c>
      <c r="V1423" s="22" t="str">
        <f t="shared" si="114"/>
        <v>METROPOLITANA</v>
      </c>
    </row>
    <row r="1424" spans="1:22" x14ac:dyDescent="0.2">
      <c r="A1424" s="23" t="s">
        <v>1849</v>
      </c>
      <c r="B1424" s="22" t="s">
        <v>33</v>
      </c>
      <c r="C1424" s="22" t="s">
        <v>44</v>
      </c>
      <c r="D1424" s="22" t="s">
        <v>56</v>
      </c>
      <c r="E1424" s="24" t="s">
        <v>88</v>
      </c>
      <c r="F1424" s="22" t="s">
        <v>94</v>
      </c>
      <c r="G1424" s="25">
        <f>3259.3+561+218</f>
        <v>4038.3</v>
      </c>
      <c r="H1424" s="22" t="s">
        <v>22</v>
      </c>
      <c r="I1424" s="22">
        <v>0</v>
      </c>
      <c r="J1424" s="22" t="s">
        <v>59</v>
      </c>
      <c r="K1424" s="22" t="s">
        <v>78</v>
      </c>
      <c r="L1424" s="22">
        <v>0</v>
      </c>
      <c r="M1424" s="26">
        <v>180000</v>
      </c>
      <c r="N1424" s="26">
        <f>G1424*4</f>
        <v>16153.2</v>
      </c>
      <c r="O1424" s="15">
        <f t="shared" si="110"/>
        <v>196153.2</v>
      </c>
      <c r="P1424" s="15">
        <f t="shared" si="111"/>
        <v>48.573211499888565</v>
      </c>
      <c r="Q1424" s="25">
        <v>25000</v>
      </c>
      <c r="R1424" s="22">
        <v>13</v>
      </c>
      <c r="S1424" s="22" t="s">
        <v>1854</v>
      </c>
      <c r="T1424" s="22">
        <f t="shared" si="112"/>
        <v>3</v>
      </c>
      <c r="U1424" s="22">
        <f t="shared" si="113"/>
        <v>2021</v>
      </c>
      <c r="V1424" s="22" t="str">
        <f t="shared" si="114"/>
        <v>REGIONES</v>
      </c>
    </row>
    <row r="1425" spans="1:22" x14ac:dyDescent="0.2">
      <c r="A1425" s="23" t="s">
        <v>1849</v>
      </c>
      <c r="B1425" s="22" t="s">
        <v>33</v>
      </c>
      <c r="C1425" s="22" t="s">
        <v>44</v>
      </c>
      <c r="D1425" s="22" t="s">
        <v>188</v>
      </c>
      <c r="E1425" s="24" t="s">
        <v>189</v>
      </c>
      <c r="F1425" s="22" t="s">
        <v>26</v>
      </c>
      <c r="G1425" s="25">
        <v>2379.34</v>
      </c>
      <c r="H1425" s="22" t="s">
        <v>190</v>
      </c>
      <c r="I1425" s="22">
        <v>0</v>
      </c>
      <c r="J1425" s="22" t="s">
        <v>26</v>
      </c>
      <c r="K1425" s="22" t="s">
        <v>23</v>
      </c>
      <c r="L1425" s="22">
        <v>4</v>
      </c>
      <c r="M1425" s="26">
        <v>55000</v>
      </c>
      <c r="N1425" s="26">
        <v>0</v>
      </c>
      <c r="O1425" s="15">
        <f t="shared" si="110"/>
        <v>55000</v>
      </c>
      <c r="P1425" s="15">
        <f t="shared" si="111"/>
        <v>23.115653920835189</v>
      </c>
      <c r="Q1425" s="25">
        <v>8011</v>
      </c>
      <c r="R1425" s="22">
        <v>30</v>
      </c>
      <c r="S1425" s="22" t="s">
        <v>1855</v>
      </c>
      <c r="T1425" s="22">
        <f t="shared" si="112"/>
        <v>3</v>
      </c>
      <c r="U1425" s="22">
        <f t="shared" si="113"/>
        <v>2021</v>
      </c>
      <c r="V1425" s="22" t="str">
        <f t="shared" si="114"/>
        <v>METROPOLITANA</v>
      </c>
    </row>
    <row r="1426" spans="1:22" x14ac:dyDescent="0.2">
      <c r="A1426" s="23" t="s">
        <v>1849</v>
      </c>
      <c r="B1426" s="22" t="s">
        <v>33</v>
      </c>
      <c r="C1426" s="22" t="s">
        <v>44</v>
      </c>
      <c r="D1426" s="22" t="s">
        <v>45</v>
      </c>
      <c r="E1426" s="24" t="s">
        <v>52</v>
      </c>
      <c r="F1426" s="22" t="s">
        <v>95</v>
      </c>
      <c r="G1426" s="25">
        <v>2794.3</v>
      </c>
      <c r="H1426" s="22" t="s">
        <v>22</v>
      </c>
      <c r="I1426" s="22">
        <v>0</v>
      </c>
      <c r="J1426" s="22" t="s">
        <v>95</v>
      </c>
      <c r="K1426" s="22" t="s">
        <v>23</v>
      </c>
      <c r="L1426" s="22">
        <v>4</v>
      </c>
      <c r="M1426" s="26">
        <v>56075</v>
      </c>
      <c r="N1426" s="26">
        <v>12000</v>
      </c>
      <c r="O1426" s="15">
        <f t="shared" si="110"/>
        <v>68075</v>
      </c>
      <c r="P1426" s="15">
        <f t="shared" si="111"/>
        <v>24.362094263321762</v>
      </c>
      <c r="Q1426" s="25">
        <v>8011</v>
      </c>
      <c r="R1426" s="22">
        <v>35</v>
      </c>
      <c r="S1426" s="22" t="s">
        <v>1856</v>
      </c>
      <c r="T1426" s="22">
        <f t="shared" si="112"/>
        <v>3</v>
      </c>
      <c r="U1426" s="22">
        <f t="shared" si="113"/>
        <v>2021</v>
      </c>
      <c r="V1426" s="22" t="str">
        <f t="shared" si="114"/>
        <v>METROPOLITANA</v>
      </c>
    </row>
    <row r="1427" spans="1:22" x14ac:dyDescent="0.2">
      <c r="A1427" s="23" t="s">
        <v>1849</v>
      </c>
      <c r="B1427" s="22" t="s">
        <v>33</v>
      </c>
      <c r="C1427" s="22" t="s">
        <v>44</v>
      </c>
      <c r="D1427" s="22" t="s">
        <v>47</v>
      </c>
      <c r="E1427" s="24" t="s">
        <v>1576</v>
      </c>
      <c r="F1427" s="22" t="s">
        <v>48</v>
      </c>
      <c r="G1427" s="25">
        <v>5689.3799999999992</v>
      </c>
      <c r="H1427" s="22" t="s">
        <v>22</v>
      </c>
      <c r="I1427" s="22">
        <v>0</v>
      </c>
      <c r="J1427" s="22" t="s">
        <v>48</v>
      </c>
      <c r="K1427" s="22" t="s">
        <v>23</v>
      </c>
      <c r="L1427" s="22">
        <v>1</v>
      </c>
      <c r="M1427" s="26">
        <v>39826</v>
      </c>
      <c r="N1427" s="26">
        <v>22758</v>
      </c>
      <c r="O1427" s="15">
        <f t="shared" si="110"/>
        <v>62584</v>
      </c>
      <c r="P1427" s="15">
        <f t="shared" si="111"/>
        <v>11.000144128182686</v>
      </c>
      <c r="Q1427" s="25">
        <v>4821</v>
      </c>
      <c r="R1427" s="22">
        <v>100</v>
      </c>
      <c r="S1427" s="22" t="s">
        <v>1857</v>
      </c>
      <c r="T1427" s="22">
        <f t="shared" si="112"/>
        <v>3</v>
      </c>
      <c r="U1427" s="22">
        <f t="shared" si="113"/>
        <v>2021</v>
      </c>
      <c r="V1427" s="22" t="str">
        <f t="shared" si="114"/>
        <v>METROPOLITANA</v>
      </c>
    </row>
    <row r="1428" spans="1:22" x14ac:dyDescent="0.2">
      <c r="A1428" s="23" t="s">
        <v>1849</v>
      </c>
      <c r="B1428" s="22" t="s">
        <v>33</v>
      </c>
      <c r="C1428" s="22" t="s">
        <v>44</v>
      </c>
      <c r="D1428" s="22" t="s">
        <v>35</v>
      </c>
      <c r="E1428" s="24" t="s">
        <v>49</v>
      </c>
      <c r="F1428" s="22" t="s">
        <v>51</v>
      </c>
      <c r="G1428" s="25">
        <v>3355.42</v>
      </c>
      <c r="H1428" s="22" t="s">
        <v>22</v>
      </c>
      <c r="I1428" s="22">
        <v>0</v>
      </c>
      <c r="J1428" s="22" t="s">
        <v>51</v>
      </c>
      <c r="K1428" s="22" t="s">
        <v>23</v>
      </c>
      <c r="L1428" s="22">
        <v>4</v>
      </c>
      <c r="M1428" s="26">
        <v>56075</v>
      </c>
      <c r="N1428" s="26">
        <v>13422</v>
      </c>
      <c r="O1428" s="15">
        <f t="shared" si="110"/>
        <v>69497</v>
      </c>
      <c r="P1428" s="15">
        <f t="shared" si="111"/>
        <v>20.71186319447342</v>
      </c>
      <c r="Q1428" s="25">
        <v>8011</v>
      </c>
      <c r="R1428" s="22">
        <v>42</v>
      </c>
      <c r="S1428" s="22" t="s">
        <v>1858</v>
      </c>
      <c r="T1428" s="22">
        <f t="shared" si="112"/>
        <v>3</v>
      </c>
      <c r="U1428" s="22">
        <f t="shared" si="113"/>
        <v>2021</v>
      </c>
      <c r="V1428" s="22" t="str">
        <f t="shared" si="114"/>
        <v>METROPOLITANA</v>
      </c>
    </row>
    <row r="1429" spans="1:22" x14ac:dyDescent="0.2">
      <c r="A1429" s="11" t="s">
        <v>1859</v>
      </c>
      <c r="B1429" s="12" t="s">
        <v>18</v>
      </c>
      <c r="C1429" s="12" t="s">
        <v>57</v>
      </c>
      <c r="D1429" s="12" t="s">
        <v>30</v>
      </c>
      <c r="E1429" s="13" t="s">
        <v>31</v>
      </c>
      <c r="F1429" s="12" t="s">
        <v>800</v>
      </c>
      <c r="G1429" s="14">
        <v>11232.63</v>
      </c>
      <c r="H1429" s="12" t="s">
        <v>32</v>
      </c>
      <c r="I1429" s="12">
        <v>0</v>
      </c>
      <c r="J1429" s="12" t="s">
        <v>800</v>
      </c>
      <c r="K1429" s="12" t="s">
        <v>23</v>
      </c>
      <c r="L1429" s="12">
        <v>5</v>
      </c>
      <c r="M1429" s="15">
        <f>+G1429*11</f>
        <v>123558.93</v>
      </c>
      <c r="N1429" s="15">
        <v>0</v>
      </c>
      <c r="O1429" s="15">
        <f t="shared" si="110"/>
        <v>123558.93</v>
      </c>
      <c r="P1429" s="15">
        <f t="shared" si="111"/>
        <v>11</v>
      </c>
      <c r="Q1429" s="14">
        <v>12000</v>
      </c>
      <c r="R1429" s="12">
        <v>94</v>
      </c>
      <c r="S1429" s="12" t="s">
        <v>1860</v>
      </c>
      <c r="T1429" s="22">
        <f t="shared" si="112"/>
        <v>3</v>
      </c>
      <c r="U1429" s="22">
        <f t="shared" si="113"/>
        <v>2021</v>
      </c>
      <c r="V1429" s="22" t="str">
        <f t="shared" si="114"/>
        <v>METROPOLITANA</v>
      </c>
    </row>
    <row r="1430" spans="1:22" x14ac:dyDescent="0.2">
      <c r="A1430" s="11" t="s">
        <v>1859</v>
      </c>
      <c r="B1430" s="12" t="s">
        <v>18</v>
      </c>
      <c r="C1430" s="12" t="s">
        <v>160</v>
      </c>
      <c r="D1430" s="12" t="s">
        <v>38</v>
      </c>
      <c r="E1430" s="13" t="s">
        <v>42</v>
      </c>
      <c r="F1430" s="12" t="s">
        <v>418</v>
      </c>
      <c r="G1430" s="14">
        <v>8564.48</v>
      </c>
      <c r="H1430" s="12" t="s">
        <v>43</v>
      </c>
      <c r="I1430" s="12">
        <v>0</v>
      </c>
      <c r="J1430" s="12" t="s">
        <v>418</v>
      </c>
      <c r="K1430" s="12" t="s">
        <v>171</v>
      </c>
      <c r="L1430" s="12">
        <v>0</v>
      </c>
      <c r="M1430" s="15">
        <v>180000</v>
      </c>
      <c r="N1430" s="15">
        <v>0</v>
      </c>
      <c r="O1430" s="15">
        <f t="shared" si="110"/>
        <v>180000</v>
      </c>
      <c r="P1430" s="15">
        <f t="shared" si="111"/>
        <v>21.017037811986253</v>
      </c>
      <c r="Q1430" s="14">
        <v>25000</v>
      </c>
      <c r="R1430" s="12">
        <v>34</v>
      </c>
      <c r="S1430" s="12" t="s">
        <v>1861</v>
      </c>
      <c r="T1430" s="22">
        <f t="shared" si="112"/>
        <v>3</v>
      </c>
      <c r="U1430" s="22">
        <f t="shared" si="113"/>
        <v>2021</v>
      </c>
      <c r="V1430" s="22" t="str">
        <f t="shared" si="114"/>
        <v>REGIONES</v>
      </c>
    </row>
    <row r="1431" spans="1:22" x14ac:dyDescent="0.2">
      <c r="A1431" s="11" t="s">
        <v>1859</v>
      </c>
      <c r="B1431" s="12" t="s">
        <v>18</v>
      </c>
      <c r="C1431" s="12" t="s">
        <v>508</v>
      </c>
      <c r="D1431" s="12" t="s">
        <v>37</v>
      </c>
      <c r="E1431" s="13" t="s">
        <v>40</v>
      </c>
      <c r="F1431" s="12" t="s">
        <v>51</v>
      </c>
      <c r="G1431" s="14">
        <v>5687.86</v>
      </c>
      <c r="H1431" s="12" t="s">
        <v>22</v>
      </c>
      <c r="I1431" s="12">
        <v>0</v>
      </c>
      <c r="J1431" s="12" t="s">
        <v>51</v>
      </c>
      <c r="K1431" s="12" t="s">
        <v>23</v>
      </c>
      <c r="L1431" s="12">
        <v>4</v>
      </c>
      <c r="M1431" s="15">
        <v>56075</v>
      </c>
      <c r="N1431" s="15">
        <f>+G1431*4</f>
        <v>22751.439999999999</v>
      </c>
      <c r="O1431" s="15">
        <f t="shared" si="110"/>
        <v>78826.44</v>
      </c>
      <c r="P1431" s="15">
        <f t="shared" si="111"/>
        <v>13.858716635078924</v>
      </c>
      <c r="Q1431" s="14">
        <v>8011</v>
      </c>
      <c r="R1431" s="12">
        <v>71</v>
      </c>
      <c r="S1431" s="12" t="s">
        <v>1862</v>
      </c>
      <c r="T1431" s="22">
        <f t="shared" si="112"/>
        <v>3</v>
      </c>
      <c r="U1431" s="22">
        <f t="shared" si="113"/>
        <v>2021</v>
      </c>
      <c r="V1431" s="22" t="str">
        <f t="shared" si="114"/>
        <v>METROPOLITANA</v>
      </c>
    </row>
    <row r="1432" spans="1:22" x14ac:dyDescent="0.2">
      <c r="A1432" s="11" t="s">
        <v>1859</v>
      </c>
      <c r="B1432" s="12" t="s">
        <v>18</v>
      </c>
      <c r="C1432" s="12" t="s">
        <v>508</v>
      </c>
      <c r="D1432" s="12" t="s">
        <v>27</v>
      </c>
      <c r="E1432" s="13" t="s">
        <v>28</v>
      </c>
      <c r="F1432" s="12" t="s">
        <v>51</v>
      </c>
      <c r="G1432" s="14">
        <v>8633.840000000002</v>
      </c>
      <c r="H1432" s="12" t="s">
        <v>22</v>
      </c>
      <c r="I1432" s="12">
        <v>1</v>
      </c>
      <c r="J1432" s="12" t="s">
        <v>51</v>
      </c>
      <c r="K1432" s="12" t="s">
        <v>23</v>
      </c>
      <c r="L1432" s="12">
        <v>4</v>
      </c>
      <c r="M1432" s="15">
        <v>60437</v>
      </c>
      <c r="N1432" s="15">
        <f>+G1432*4</f>
        <v>34535.360000000008</v>
      </c>
      <c r="O1432" s="15">
        <f t="shared" si="110"/>
        <v>94972.360000000015</v>
      </c>
      <c r="P1432" s="15">
        <f t="shared" si="111"/>
        <v>11.000013898798217</v>
      </c>
      <c r="Q1432" s="14">
        <v>8011</v>
      </c>
      <c r="R1432" s="12">
        <v>100</v>
      </c>
      <c r="S1432" s="12" t="s">
        <v>1863</v>
      </c>
      <c r="T1432" s="22">
        <f t="shared" si="112"/>
        <v>3</v>
      </c>
      <c r="U1432" s="22">
        <f t="shared" si="113"/>
        <v>2021</v>
      </c>
      <c r="V1432" s="22" t="str">
        <f t="shared" si="114"/>
        <v>METROPOLITANA</v>
      </c>
    </row>
    <row r="1433" spans="1:22" x14ac:dyDescent="0.2">
      <c r="A1433" s="11" t="s">
        <v>1859</v>
      </c>
      <c r="B1433" s="12" t="s">
        <v>33</v>
      </c>
      <c r="C1433" s="12" t="s">
        <v>44</v>
      </c>
      <c r="D1433" s="12" t="s">
        <v>56</v>
      </c>
      <c r="E1433" s="13" t="s">
        <v>28</v>
      </c>
      <c r="F1433" s="12" t="s">
        <v>182</v>
      </c>
      <c r="G1433" s="14">
        <v>1686.12</v>
      </c>
      <c r="H1433" s="12" t="s">
        <v>22</v>
      </c>
      <c r="I1433" s="12">
        <v>0</v>
      </c>
      <c r="J1433" s="12" t="s">
        <v>182</v>
      </c>
      <c r="K1433" s="12" t="s">
        <v>23</v>
      </c>
      <c r="L1433" s="12">
        <v>4</v>
      </c>
      <c r="M1433" s="15">
        <v>56075</v>
      </c>
      <c r="N1433" s="15">
        <v>12000</v>
      </c>
      <c r="O1433" s="15">
        <f t="shared" si="110"/>
        <v>68075</v>
      </c>
      <c r="P1433" s="15">
        <f t="shared" si="111"/>
        <v>40.373757502431623</v>
      </c>
      <c r="Q1433" s="14">
        <v>8011</v>
      </c>
      <c r="R1433" s="12">
        <v>21</v>
      </c>
      <c r="S1433" s="12" t="s">
        <v>1864</v>
      </c>
      <c r="T1433" s="22">
        <f t="shared" si="112"/>
        <v>3</v>
      </c>
      <c r="U1433" s="22">
        <f t="shared" si="113"/>
        <v>2021</v>
      </c>
      <c r="V1433" s="22" t="str">
        <f t="shared" si="114"/>
        <v>METROPOLITANA</v>
      </c>
    </row>
    <row r="1434" spans="1:22" x14ac:dyDescent="0.2">
      <c r="A1434" s="11" t="s">
        <v>1859</v>
      </c>
      <c r="B1434" s="12" t="s">
        <v>33</v>
      </c>
      <c r="C1434" s="12" t="s">
        <v>44</v>
      </c>
      <c r="D1434" s="12" t="s">
        <v>45</v>
      </c>
      <c r="E1434" s="13" t="s">
        <v>88</v>
      </c>
      <c r="F1434" s="12" t="s">
        <v>95</v>
      </c>
      <c r="G1434" s="14">
        <v>1812</v>
      </c>
      <c r="H1434" s="12" t="s">
        <v>22</v>
      </c>
      <c r="I1434" s="12">
        <v>0</v>
      </c>
      <c r="J1434" s="12" t="s">
        <v>95</v>
      </c>
      <c r="K1434" s="12" t="s">
        <v>23</v>
      </c>
      <c r="L1434" s="12">
        <v>4</v>
      </c>
      <c r="M1434" s="15">
        <v>56075</v>
      </c>
      <c r="N1434" s="15">
        <v>12000</v>
      </c>
      <c r="O1434" s="15">
        <f t="shared" si="110"/>
        <v>68075</v>
      </c>
      <c r="P1434" s="15">
        <f t="shared" si="111"/>
        <v>37.568984547461369</v>
      </c>
      <c r="Q1434" s="14">
        <v>8011</v>
      </c>
      <c r="R1434" s="12">
        <v>23</v>
      </c>
      <c r="S1434" s="12" t="s">
        <v>1865</v>
      </c>
      <c r="T1434" s="22">
        <f t="shared" si="112"/>
        <v>3</v>
      </c>
      <c r="U1434" s="22">
        <f t="shared" si="113"/>
        <v>2021</v>
      </c>
      <c r="V1434" s="22" t="str">
        <f t="shared" si="114"/>
        <v>METROPOLITANA</v>
      </c>
    </row>
    <row r="1435" spans="1:22" x14ac:dyDescent="0.2">
      <c r="A1435" s="11" t="s">
        <v>1859</v>
      </c>
      <c r="B1435" s="12" t="s">
        <v>33</v>
      </c>
      <c r="C1435" s="12" t="s">
        <v>44</v>
      </c>
      <c r="D1435" s="12" t="s">
        <v>47</v>
      </c>
      <c r="E1435" s="13" t="s">
        <v>52</v>
      </c>
      <c r="F1435" s="12" t="s">
        <v>48</v>
      </c>
      <c r="G1435" s="14">
        <v>1683.359999999999</v>
      </c>
      <c r="H1435" s="12" t="s">
        <v>22</v>
      </c>
      <c r="I1435" s="12">
        <v>0</v>
      </c>
      <c r="J1435" s="12" t="s">
        <v>48</v>
      </c>
      <c r="K1435" s="12" t="s">
        <v>23</v>
      </c>
      <c r="L1435" s="12">
        <v>1</v>
      </c>
      <c r="M1435" s="15">
        <v>33750</v>
      </c>
      <c r="N1435" s="15">
        <v>12000</v>
      </c>
      <c r="O1435" s="15">
        <f t="shared" si="110"/>
        <v>45750</v>
      </c>
      <c r="P1435" s="15">
        <f t="shared" si="111"/>
        <v>27.177787282577718</v>
      </c>
      <c r="Q1435" s="14">
        <v>4821</v>
      </c>
      <c r="R1435" s="12">
        <v>35</v>
      </c>
      <c r="S1435" s="12" t="s">
        <v>1866</v>
      </c>
      <c r="T1435" s="22">
        <f t="shared" si="112"/>
        <v>3</v>
      </c>
      <c r="U1435" s="22">
        <f t="shared" si="113"/>
        <v>2021</v>
      </c>
      <c r="V1435" s="22" t="str">
        <f t="shared" si="114"/>
        <v>METROPOLITANA</v>
      </c>
    </row>
    <row r="1436" spans="1:22" x14ac:dyDescent="0.2">
      <c r="A1436" s="11" t="s">
        <v>1859</v>
      </c>
      <c r="B1436" s="12" t="s">
        <v>33</v>
      </c>
      <c r="C1436" s="12" t="s">
        <v>44</v>
      </c>
      <c r="D1436" s="12" t="s">
        <v>35</v>
      </c>
      <c r="E1436" s="13" t="s">
        <v>1576</v>
      </c>
      <c r="F1436" s="12" t="s">
        <v>34</v>
      </c>
      <c r="G1436" s="14">
        <v>1889.46</v>
      </c>
      <c r="H1436" s="12" t="s">
        <v>22</v>
      </c>
      <c r="I1436" s="12">
        <v>0</v>
      </c>
      <c r="J1436" s="12" t="s">
        <v>34</v>
      </c>
      <c r="K1436" s="12" t="s">
        <v>23</v>
      </c>
      <c r="L1436" s="12">
        <v>1</v>
      </c>
      <c r="M1436" s="15">
        <v>33750</v>
      </c>
      <c r="N1436" s="15">
        <v>12000</v>
      </c>
      <c r="O1436" s="15">
        <f t="shared" si="110"/>
        <v>45750</v>
      </c>
      <c r="P1436" s="15">
        <f t="shared" si="111"/>
        <v>24.213267282715695</v>
      </c>
      <c r="Q1436" s="14">
        <v>4821</v>
      </c>
      <c r="R1436" s="12">
        <v>39</v>
      </c>
      <c r="S1436" s="12" t="s">
        <v>1867</v>
      </c>
      <c r="T1436" s="22">
        <f t="shared" si="112"/>
        <v>3</v>
      </c>
      <c r="U1436" s="22">
        <f t="shared" si="113"/>
        <v>2021</v>
      </c>
      <c r="V1436" s="22" t="str">
        <f t="shared" si="114"/>
        <v>METROPOLITANA</v>
      </c>
    </row>
    <row r="1437" spans="1:22" x14ac:dyDescent="0.2">
      <c r="A1437" s="23" t="s">
        <v>1868</v>
      </c>
      <c r="B1437" s="22" t="s">
        <v>54</v>
      </c>
      <c r="C1437" s="22" t="s">
        <v>55</v>
      </c>
      <c r="D1437" s="22" t="s">
        <v>1869</v>
      </c>
      <c r="E1437" s="24" t="s">
        <v>1870</v>
      </c>
      <c r="F1437" s="22" t="s">
        <v>66</v>
      </c>
      <c r="G1437" s="25">
        <v>7408.5000000000027</v>
      </c>
      <c r="H1437" s="22" t="s">
        <v>24</v>
      </c>
      <c r="I1437" s="22">
        <v>1</v>
      </c>
      <c r="J1437" s="22" t="s">
        <v>66</v>
      </c>
      <c r="K1437" s="22" t="s">
        <v>75</v>
      </c>
      <c r="L1437" s="22">
        <v>0</v>
      </c>
      <c r="M1437" s="26">
        <v>380000</v>
      </c>
      <c r="N1437" s="26">
        <v>0</v>
      </c>
      <c r="O1437" s="15">
        <f t="shared" si="110"/>
        <v>380000</v>
      </c>
      <c r="P1437" s="15">
        <f t="shared" si="111"/>
        <v>51.292434365931008</v>
      </c>
      <c r="Q1437" s="25">
        <v>25000</v>
      </c>
      <c r="R1437" s="22">
        <v>30</v>
      </c>
      <c r="S1437" s="22" t="s">
        <v>1871</v>
      </c>
      <c r="T1437" s="22">
        <f t="shared" si="112"/>
        <v>3</v>
      </c>
      <c r="U1437" s="22">
        <f t="shared" si="113"/>
        <v>2021</v>
      </c>
      <c r="V1437" s="22" t="str">
        <f t="shared" si="114"/>
        <v>REGIONES</v>
      </c>
    </row>
    <row r="1438" spans="1:22" x14ac:dyDescent="0.2">
      <c r="A1438" s="23" t="s">
        <v>1868</v>
      </c>
      <c r="B1438" s="22" t="s">
        <v>18</v>
      </c>
      <c r="C1438" s="22" t="s">
        <v>57</v>
      </c>
      <c r="D1438" s="22" t="s">
        <v>38</v>
      </c>
      <c r="E1438" s="24" t="s">
        <v>1872</v>
      </c>
      <c r="F1438" s="22" t="s">
        <v>800</v>
      </c>
      <c r="G1438" s="25">
        <f>6811.5+1527+1285</f>
        <v>9623.5</v>
      </c>
      <c r="H1438" s="22" t="s">
        <v>43</v>
      </c>
      <c r="I1438" s="22">
        <v>0</v>
      </c>
      <c r="J1438" s="22" t="s">
        <v>800</v>
      </c>
      <c r="K1438" s="22" t="s">
        <v>23</v>
      </c>
      <c r="L1438" s="22">
        <v>5</v>
      </c>
      <c r="M1438" s="26">
        <f>+G1438*11</f>
        <v>105858.5</v>
      </c>
      <c r="N1438" s="26">
        <v>0</v>
      </c>
      <c r="O1438" s="15">
        <f t="shared" si="110"/>
        <v>105858.5</v>
      </c>
      <c r="P1438" s="15">
        <f t="shared" si="111"/>
        <v>11</v>
      </c>
      <c r="Q1438" s="25">
        <v>12000</v>
      </c>
      <c r="R1438" s="22">
        <v>57</v>
      </c>
      <c r="S1438" s="22" t="s">
        <v>1873</v>
      </c>
      <c r="T1438" s="22">
        <f t="shared" si="112"/>
        <v>3</v>
      </c>
      <c r="U1438" s="22">
        <f t="shared" si="113"/>
        <v>2021</v>
      </c>
      <c r="V1438" s="22" t="str">
        <f t="shared" si="114"/>
        <v>METROPOLITANA</v>
      </c>
    </row>
    <row r="1439" spans="1:22" x14ac:dyDescent="0.2">
      <c r="A1439" s="23" t="s">
        <v>1868</v>
      </c>
      <c r="B1439" s="22" t="s">
        <v>33</v>
      </c>
      <c r="C1439" s="22" t="s">
        <v>50</v>
      </c>
      <c r="D1439" s="22" t="s">
        <v>37</v>
      </c>
      <c r="E1439" s="24" t="s">
        <v>40</v>
      </c>
      <c r="F1439" s="22" t="s">
        <v>26</v>
      </c>
      <c r="G1439" s="25">
        <v>11734.5</v>
      </c>
      <c r="H1439" s="22" t="s">
        <v>22</v>
      </c>
      <c r="I1439" s="22">
        <v>0</v>
      </c>
      <c r="J1439" s="22" t="s">
        <v>26</v>
      </c>
      <c r="K1439" s="22" t="s">
        <v>23</v>
      </c>
      <c r="L1439" s="22">
        <v>4</v>
      </c>
      <c r="M1439" s="26">
        <v>82141</v>
      </c>
      <c r="N1439" s="26">
        <f>+G1439*4</f>
        <v>46938</v>
      </c>
      <c r="O1439" s="15">
        <f t="shared" si="110"/>
        <v>129079</v>
      </c>
      <c r="P1439" s="15">
        <f t="shared" si="111"/>
        <v>10.999957390600366</v>
      </c>
      <c r="Q1439" s="25">
        <v>8011</v>
      </c>
      <c r="R1439" s="22">
        <v>100</v>
      </c>
      <c r="S1439" s="22" t="s">
        <v>1874</v>
      </c>
      <c r="T1439" s="22">
        <f t="shared" si="112"/>
        <v>3</v>
      </c>
      <c r="U1439" s="22">
        <f t="shared" si="113"/>
        <v>2021</v>
      </c>
      <c r="V1439" s="22" t="str">
        <f t="shared" si="114"/>
        <v>METROPOLITANA</v>
      </c>
    </row>
    <row r="1440" spans="1:22" x14ac:dyDescent="0.2">
      <c r="A1440" s="23" t="s">
        <v>1868</v>
      </c>
      <c r="B1440" s="22" t="s">
        <v>33</v>
      </c>
      <c r="C1440" s="22" t="s">
        <v>50</v>
      </c>
      <c r="D1440" s="22" t="s">
        <v>30</v>
      </c>
      <c r="E1440" s="24" t="s">
        <v>31</v>
      </c>
      <c r="F1440" s="22" t="s">
        <v>26</v>
      </c>
      <c r="G1440" s="25">
        <v>11734.5</v>
      </c>
      <c r="H1440" s="22" t="s">
        <v>32</v>
      </c>
      <c r="I1440" s="22">
        <v>0</v>
      </c>
      <c r="J1440" s="22" t="s">
        <v>26</v>
      </c>
      <c r="K1440" s="22" t="s">
        <v>23</v>
      </c>
      <c r="L1440" s="22">
        <v>4</v>
      </c>
      <c r="M1440" s="26">
        <f>+G1440*11</f>
        <v>129079.5</v>
      </c>
      <c r="N1440" s="26">
        <v>0</v>
      </c>
      <c r="O1440" s="15">
        <f t="shared" si="110"/>
        <v>129079.5</v>
      </c>
      <c r="P1440" s="15">
        <f t="shared" si="111"/>
        <v>11</v>
      </c>
      <c r="Q1440" s="25">
        <v>8011</v>
      </c>
      <c r="R1440" s="22">
        <v>100</v>
      </c>
      <c r="S1440" s="22" t="s">
        <v>1875</v>
      </c>
      <c r="T1440" s="22">
        <f t="shared" si="112"/>
        <v>3</v>
      </c>
      <c r="U1440" s="22">
        <f t="shared" si="113"/>
        <v>2021</v>
      </c>
      <c r="V1440" s="22" t="str">
        <f t="shared" si="114"/>
        <v>METROPOLITANA</v>
      </c>
    </row>
    <row r="1441" spans="1:22" x14ac:dyDescent="0.2">
      <c r="A1441" s="23" t="s">
        <v>1868</v>
      </c>
      <c r="B1441" s="22" t="s">
        <v>33</v>
      </c>
      <c r="C1441" s="22" t="s">
        <v>193</v>
      </c>
      <c r="D1441" s="22" t="s">
        <v>20</v>
      </c>
      <c r="E1441" s="24" t="s">
        <v>21</v>
      </c>
      <c r="F1441" s="22" t="s">
        <v>194</v>
      </c>
      <c r="G1441" s="25">
        <v>1995</v>
      </c>
      <c r="H1441" s="22" t="s">
        <v>22</v>
      </c>
      <c r="I1441" s="22">
        <v>0</v>
      </c>
      <c r="J1441" s="22" t="s">
        <v>194</v>
      </c>
      <c r="K1441" s="22" t="s">
        <v>23</v>
      </c>
      <c r="L1441" s="22">
        <v>4</v>
      </c>
      <c r="M1441" s="26">
        <v>56075</v>
      </c>
      <c r="N1441" s="26">
        <f>+G1441*4</f>
        <v>7980</v>
      </c>
      <c r="O1441" s="15">
        <f t="shared" si="110"/>
        <v>64055</v>
      </c>
      <c r="P1441" s="15">
        <f t="shared" si="111"/>
        <v>32.107769423558899</v>
      </c>
      <c r="Q1441" s="25">
        <v>8011</v>
      </c>
      <c r="R1441" s="22">
        <v>25</v>
      </c>
      <c r="S1441" s="22" t="s">
        <v>1876</v>
      </c>
      <c r="T1441" s="22">
        <f t="shared" si="112"/>
        <v>3</v>
      </c>
      <c r="U1441" s="22">
        <f t="shared" si="113"/>
        <v>2021</v>
      </c>
      <c r="V1441" s="22" t="str">
        <f t="shared" si="114"/>
        <v>METROPOLITANA</v>
      </c>
    </row>
    <row r="1442" spans="1:22" x14ac:dyDescent="0.2">
      <c r="A1442" s="23" t="s">
        <v>1868</v>
      </c>
      <c r="B1442" s="22" t="s">
        <v>33</v>
      </c>
      <c r="C1442" s="22" t="s">
        <v>667</v>
      </c>
      <c r="D1442" s="22" t="s">
        <v>1877</v>
      </c>
      <c r="E1442" s="24" t="s">
        <v>639</v>
      </c>
      <c r="F1442" s="22" t="s">
        <v>668</v>
      </c>
      <c r="G1442" s="25">
        <v>23027.69999999999</v>
      </c>
      <c r="H1442" s="22" t="s">
        <v>24</v>
      </c>
      <c r="I1442" s="22">
        <v>1</v>
      </c>
      <c r="J1442" s="22" t="s">
        <v>668</v>
      </c>
      <c r="K1442" s="22" t="s">
        <v>93</v>
      </c>
      <c r="L1442" s="22">
        <v>0</v>
      </c>
      <c r="M1442" s="26">
        <v>620000</v>
      </c>
      <c r="N1442" s="26">
        <v>0</v>
      </c>
      <c r="O1442" s="15">
        <f t="shared" si="110"/>
        <v>620000</v>
      </c>
      <c r="P1442" s="15">
        <f t="shared" si="111"/>
        <v>26.924095762929007</v>
      </c>
      <c r="Q1442" s="25">
        <v>25000</v>
      </c>
      <c r="R1442" s="22">
        <v>92</v>
      </c>
      <c r="S1442" s="22" t="s">
        <v>1878</v>
      </c>
      <c r="T1442" s="22">
        <f t="shared" si="112"/>
        <v>3</v>
      </c>
      <c r="U1442" s="22">
        <f t="shared" si="113"/>
        <v>2021</v>
      </c>
      <c r="V1442" s="22" t="str">
        <f t="shared" si="114"/>
        <v>REGIONES</v>
      </c>
    </row>
    <row r="1443" spans="1:22" x14ac:dyDescent="0.2">
      <c r="A1443" s="23" t="s">
        <v>1868</v>
      </c>
      <c r="B1443" s="22" t="s">
        <v>33</v>
      </c>
      <c r="C1443" s="22" t="s">
        <v>29</v>
      </c>
      <c r="D1443" s="22" t="s">
        <v>188</v>
      </c>
      <c r="E1443" s="24" t="s">
        <v>189</v>
      </c>
      <c r="F1443" s="22" t="s">
        <v>129</v>
      </c>
      <c r="G1443" s="25">
        <v>2748</v>
      </c>
      <c r="H1443" s="22" t="s">
        <v>190</v>
      </c>
      <c r="I1443" s="22">
        <v>0</v>
      </c>
      <c r="J1443" s="22" t="s">
        <v>129</v>
      </c>
      <c r="K1443" s="22" t="s">
        <v>23</v>
      </c>
      <c r="L1443" s="22">
        <v>1</v>
      </c>
      <c r="M1443" s="26">
        <v>55000</v>
      </c>
      <c r="N1443" s="26">
        <v>0</v>
      </c>
      <c r="O1443" s="15">
        <f t="shared" si="110"/>
        <v>55000</v>
      </c>
      <c r="P1443" s="15">
        <f t="shared" si="111"/>
        <v>20.014556040756915</v>
      </c>
      <c r="Q1443" s="25">
        <v>4821</v>
      </c>
      <c r="R1443" s="22">
        <v>57</v>
      </c>
      <c r="S1443" s="22" t="s">
        <v>1879</v>
      </c>
      <c r="T1443" s="22">
        <f t="shared" si="112"/>
        <v>3</v>
      </c>
      <c r="U1443" s="22">
        <f t="shared" si="113"/>
        <v>2021</v>
      </c>
      <c r="V1443" s="22" t="str">
        <f t="shared" si="114"/>
        <v>METROPOLITANA</v>
      </c>
    </row>
    <row r="1444" spans="1:22" x14ac:dyDescent="0.2">
      <c r="A1444" s="23" t="s">
        <v>1868</v>
      </c>
      <c r="B1444" s="22" t="s">
        <v>33</v>
      </c>
      <c r="C1444" s="22" t="s">
        <v>29</v>
      </c>
      <c r="D1444" s="22" t="s">
        <v>27</v>
      </c>
      <c r="E1444" s="24" t="s">
        <v>28</v>
      </c>
      <c r="F1444" s="22" t="s">
        <v>170</v>
      </c>
      <c r="G1444" s="25">
        <v>7386.3000000000011</v>
      </c>
      <c r="H1444" s="22" t="s">
        <v>22</v>
      </c>
      <c r="I1444" s="22">
        <v>1</v>
      </c>
      <c r="J1444" s="22" t="s">
        <v>170</v>
      </c>
      <c r="K1444" s="22" t="s">
        <v>171</v>
      </c>
      <c r="L1444" s="22">
        <v>0</v>
      </c>
      <c r="M1444" s="26">
        <v>230000</v>
      </c>
      <c r="N1444" s="26">
        <v>0</v>
      </c>
      <c r="O1444" s="15">
        <f t="shared" si="110"/>
        <v>230000</v>
      </c>
      <c r="P1444" s="15">
        <f t="shared" si="111"/>
        <v>31.138729810595287</v>
      </c>
      <c r="Q1444" s="25">
        <v>25000</v>
      </c>
      <c r="R1444" s="22">
        <v>30</v>
      </c>
      <c r="S1444" s="22" t="s">
        <v>1880</v>
      </c>
      <c r="T1444" s="22">
        <f t="shared" si="112"/>
        <v>3</v>
      </c>
      <c r="U1444" s="22">
        <f t="shared" si="113"/>
        <v>2021</v>
      </c>
      <c r="V1444" s="22" t="str">
        <f t="shared" si="114"/>
        <v>REGIONES</v>
      </c>
    </row>
    <row r="1445" spans="1:22" x14ac:dyDescent="0.2">
      <c r="A1445" s="23" t="s">
        <v>1868</v>
      </c>
      <c r="B1445" s="22" t="s">
        <v>33</v>
      </c>
      <c r="C1445" s="22" t="s">
        <v>29</v>
      </c>
      <c r="D1445" s="22" t="s">
        <v>63</v>
      </c>
      <c r="E1445" s="24" t="s">
        <v>64</v>
      </c>
      <c r="F1445" s="22" t="s">
        <v>173</v>
      </c>
      <c r="G1445" s="25">
        <v>4034.400000000001</v>
      </c>
      <c r="H1445" s="22" t="s">
        <v>65</v>
      </c>
      <c r="I1445" s="22">
        <v>0</v>
      </c>
      <c r="J1445" s="22" t="s">
        <v>173</v>
      </c>
      <c r="K1445" s="22" t="s">
        <v>23</v>
      </c>
      <c r="L1445" s="22">
        <v>5</v>
      </c>
      <c r="M1445" s="26">
        <v>90000</v>
      </c>
      <c r="N1445" s="26">
        <v>0</v>
      </c>
      <c r="O1445" s="15">
        <f t="shared" si="110"/>
        <v>90000</v>
      </c>
      <c r="P1445" s="15">
        <f t="shared" si="111"/>
        <v>22.308149910767394</v>
      </c>
      <c r="Q1445" s="25">
        <v>12000</v>
      </c>
      <c r="R1445" s="22">
        <v>34</v>
      </c>
      <c r="S1445" s="22" t="s">
        <v>1881</v>
      </c>
      <c r="T1445" s="22">
        <f t="shared" si="112"/>
        <v>3</v>
      </c>
      <c r="U1445" s="22">
        <f t="shared" si="113"/>
        <v>2021</v>
      </c>
      <c r="V1445" s="22" t="str">
        <f t="shared" si="114"/>
        <v>METROPOLITANA</v>
      </c>
    </row>
    <row r="1446" spans="1:22" x14ac:dyDescent="0.2">
      <c r="A1446" s="23" t="s">
        <v>1868</v>
      </c>
      <c r="B1446" s="22" t="s">
        <v>33</v>
      </c>
      <c r="C1446" s="22" t="s">
        <v>44</v>
      </c>
      <c r="D1446" s="22" t="s">
        <v>1869</v>
      </c>
      <c r="E1446" s="24" t="s">
        <v>1870</v>
      </c>
      <c r="F1446" s="22" t="s">
        <v>66</v>
      </c>
      <c r="G1446" s="25">
        <v>10400</v>
      </c>
      <c r="H1446" s="22" t="s">
        <v>24</v>
      </c>
      <c r="I1446" s="22">
        <v>1</v>
      </c>
      <c r="J1446" s="22" t="s">
        <v>66</v>
      </c>
      <c r="K1446" s="22" t="s">
        <v>75</v>
      </c>
      <c r="L1446" s="22">
        <v>0</v>
      </c>
      <c r="M1446" s="26">
        <v>380000</v>
      </c>
      <c r="N1446" s="26">
        <v>0</v>
      </c>
      <c r="O1446" s="15">
        <f t="shared" si="110"/>
        <v>380000</v>
      </c>
      <c r="P1446" s="15">
        <f t="shared" si="111"/>
        <v>36.53846153846154</v>
      </c>
      <c r="Q1446" s="25">
        <v>25000</v>
      </c>
      <c r="R1446" s="22">
        <v>42</v>
      </c>
      <c r="S1446" s="22" t="s">
        <v>1882</v>
      </c>
      <c r="T1446" s="22">
        <f t="shared" si="112"/>
        <v>3</v>
      </c>
      <c r="U1446" s="22">
        <f t="shared" si="113"/>
        <v>2021</v>
      </c>
      <c r="V1446" s="22" t="str">
        <f t="shared" si="114"/>
        <v>REGIONES</v>
      </c>
    </row>
    <row r="1447" spans="1:22" x14ac:dyDescent="0.2">
      <c r="A1447" s="23" t="s">
        <v>1868</v>
      </c>
      <c r="B1447" s="22" t="s">
        <v>33</v>
      </c>
      <c r="C1447" s="22" t="s">
        <v>44</v>
      </c>
      <c r="D1447" s="22" t="s">
        <v>45</v>
      </c>
      <c r="E1447" s="24" t="s">
        <v>52</v>
      </c>
      <c r="F1447" s="22" t="s">
        <v>46</v>
      </c>
      <c r="G1447" s="25">
        <v>1397.04</v>
      </c>
      <c r="H1447" s="22" t="s">
        <v>22</v>
      </c>
      <c r="I1447" s="22">
        <v>0</v>
      </c>
      <c r="J1447" s="22" t="s">
        <v>46</v>
      </c>
      <c r="K1447" s="22" t="s">
        <v>23</v>
      </c>
      <c r="L1447" s="22">
        <v>2</v>
      </c>
      <c r="M1447" s="26">
        <v>40475</v>
      </c>
      <c r="N1447" s="26">
        <v>12000</v>
      </c>
      <c r="O1447" s="15">
        <f t="shared" si="110"/>
        <v>52475</v>
      </c>
      <c r="P1447" s="15">
        <f t="shared" si="111"/>
        <v>37.561558724159653</v>
      </c>
      <c r="Q1447" s="25">
        <v>5782</v>
      </c>
      <c r="R1447" s="22">
        <v>24</v>
      </c>
      <c r="S1447" s="22" t="s">
        <v>1883</v>
      </c>
      <c r="T1447" s="22">
        <f t="shared" si="112"/>
        <v>3</v>
      </c>
      <c r="U1447" s="22">
        <f t="shared" si="113"/>
        <v>2021</v>
      </c>
      <c r="V1447" s="22" t="str">
        <f t="shared" si="114"/>
        <v>METROPOLITANA</v>
      </c>
    </row>
    <row r="1448" spans="1:22" x14ac:dyDescent="0.2">
      <c r="A1448" s="11" t="s">
        <v>1868</v>
      </c>
      <c r="B1448" s="12" t="s">
        <v>33</v>
      </c>
      <c r="C1448" s="12" t="s">
        <v>44</v>
      </c>
      <c r="D1448" s="12" t="s">
        <v>35</v>
      </c>
      <c r="E1448" s="13" t="s">
        <v>1576</v>
      </c>
      <c r="F1448" s="12" t="s">
        <v>129</v>
      </c>
      <c r="G1448" s="14">
        <v>1560.24</v>
      </c>
      <c r="H1448" s="12" t="s">
        <v>22</v>
      </c>
      <c r="I1448" s="12">
        <v>0</v>
      </c>
      <c r="J1448" s="12" t="s">
        <v>129</v>
      </c>
      <c r="K1448" s="12" t="s">
        <v>23</v>
      </c>
      <c r="L1448" s="12">
        <v>1</v>
      </c>
      <c r="M1448" s="15">
        <v>33750</v>
      </c>
      <c r="N1448" s="15">
        <v>12000</v>
      </c>
      <c r="O1448" s="15">
        <f t="shared" si="110"/>
        <v>45750</v>
      </c>
      <c r="P1448" s="15">
        <f t="shared" si="111"/>
        <v>29.322411936625134</v>
      </c>
      <c r="Q1448" s="14">
        <v>4821</v>
      </c>
      <c r="R1448" s="12">
        <v>32</v>
      </c>
      <c r="S1448" s="12" t="s">
        <v>1884</v>
      </c>
      <c r="T1448" s="22">
        <f t="shared" si="112"/>
        <v>3</v>
      </c>
      <c r="U1448" s="22">
        <f t="shared" si="113"/>
        <v>2021</v>
      </c>
      <c r="V1448" s="22" t="str">
        <f t="shared" si="114"/>
        <v>METROPOLITANA</v>
      </c>
    </row>
    <row r="1449" spans="1:22" x14ac:dyDescent="0.2">
      <c r="A1449" s="11" t="s">
        <v>1885</v>
      </c>
      <c r="B1449" s="12" t="s">
        <v>18</v>
      </c>
      <c r="C1449" s="12" t="s">
        <v>50</v>
      </c>
      <c r="D1449" s="12" t="s">
        <v>37</v>
      </c>
      <c r="E1449" s="13" t="s">
        <v>40</v>
      </c>
      <c r="F1449" s="12" t="s">
        <v>26</v>
      </c>
      <c r="G1449" s="14">
        <v>12598.7</v>
      </c>
      <c r="H1449" s="12" t="s">
        <v>22</v>
      </c>
      <c r="I1449" s="12">
        <v>0</v>
      </c>
      <c r="J1449" s="12" t="s">
        <v>26</v>
      </c>
      <c r="K1449" s="12" t="s">
        <v>23</v>
      </c>
      <c r="L1449" s="12">
        <v>4</v>
      </c>
      <c r="M1449" s="15">
        <v>88191</v>
      </c>
      <c r="N1449" s="15">
        <f>+G1449*4</f>
        <v>50394.8</v>
      </c>
      <c r="O1449" s="15">
        <f t="shared" si="110"/>
        <v>138585.79999999999</v>
      </c>
      <c r="P1449" s="15">
        <f t="shared" si="111"/>
        <v>11.000007937326865</v>
      </c>
      <c r="Q1449" s="14">
        <v>8011</v>
      </c>
      <c r="R1449" s="12">
        <v>100</v>
      </c>
      <c r="S1449" s="12" t="s">
        <v>1886</v>
      </c>
      <c r="T1449" s="22">
        <f t="shared" si="112"/>
        <v>3</v>
      </c>
      <c r="U1449" s="22">
        <f t="shared" si="113"/>
        <v>2021</v>
      </c>
      <c r="V1449" s="22" t="str">
        <f t="shared" si="114"/>
        <v>METROPOLITANA</v>
      </c>
    </row>
    <row r="1450" spans="1:22" x14ac:dyDescent="0.2">
      <c r="A1450" s="11" t="s">
        <v>1885</v>
      </c>
      <c r="B1450" s="12" t="s">
        <v>18</v>
      </c>
      <c r="C1450" s="12" t="s">
        <v>50</v>
      </c>
      <c r="D1450" s="12" t="s">
        <v>63</v>
      </c>
      <c r="E1450" s="13" t="s">
        <v>64</v>
      </c>
      <c r="F1450" s="12" t="s">
        <v>26</v>
      </c>
      <c r="G1450" s="14">
        <v>12598.7</v>
      </c>
      <c r="H1450" s="12" t="s">
        <v>65</v>
      </c>
      <c r="I1450" s="12">
        <v>0</v>
      </c>
      <c r="J1450" s="12" t="s">
        <v>26</v>
      </c>
      <c r="K1450" s="12" t="s">
        <v>23</v>
      </c>
      <c r="L1450" s="12">
        <v>4</v>
      </c>
      <c r="M1450" s="15">
        <f>+G1450*11</f>
        <v>138585.70000000001</v>
      </c>
      <c r="N1450" s="15">
        <v>0</v>
      </c>
      <c r="O1450" s="15">
        <f t="shared" si="110"/>
        <v>138585.70000000001</v>
      </c>
      <c r="P1450" s="15">
        <f t="shared" si="111"/>
        <v>11</v>
      </c>
      <c r="Q1450" s="14">
        <v>8011</v>
      </c>
      <c r="R1450" s="12">
        <v>100</v>
      </c>
      <c r="S1450" s="12" t="s">
        <v>1887</v>
      </c>
      <c r="T1450" s="22">
        <f t="shared" si="112"/>
        <v>3</v>
      </c>
      <c r="U1450" s="22">
        <f t="shared" si="113"/>
        <v>2021</v>
      </c>
      <c r="V1450" s="22" t="str">
        <f t="shared" si="114"/>
        <v>METROPOLITANA</v>
      </c>
    </row>
    <row r="1451" spans="1:22" x14ac:dyDescent="0.2">
      <c r="A1451" s="11" t="s">
        <v>1885</v>
      </c>
      <c r="B1451" s="12" t="s">
        <v>18</v>
      </c>
      <c r="C1451" s="12" t="s">
        <v>71</v>
      </c>
      <c r="D1451" s="12" t="s">
        <v>30</v>
      </c>
      <c r="E1451" s="13" t="s">
        <v>31</v>
      </c>
      <c r="F1451" s="12" t="s">
        <v>72</v>
      </c>
      <c r="G1451" s="14">
        <v>5298.8799999999992</v>
      </c>
      <c r="H1451" s="12" t="s">
        <v>32</v>
      </c>
      <c r="I1451" s="12">
        <v>0</v>
      </c>
      <c r="J1451" s="12" t="s">
        <v>72</v>
      </c>
      <c r="K1451" s="12" t="s">
        <v>23</v>
      </c>
      <c r="L1451" s="12">
        <v>5</v>
      </c>
      <c r="M1451" s="15">
        <v>90000</v>
      </c>
      <c r="N1451" s="15">
        <v>0</v>
      </c>
      <c r="O1451" s="15">
        <f t="shared" si="110"/>
        <v>90000</v>
      </c>
      <c r="P1451" s="15">
        <f t="shared" si="111"/>
        <v>16.984721299595389</v>
      </c>
      <c r="Q1451" s="14">
        <v>12000</v>
      </c>
      <c r="R1451" s="12">
        <v>44</v>
      </c>
      <c r="S1451" s="12" t="s">
        <v>1888</v>
      </c>
      <c r="T1451" s="22">
        <f t="shared" si="112"/>
        <v>3</v>
      </c>
      <c r="U1451" s="22">
        <f t="shared" si="113"/>
        <v>2021</v>
      </c>
      <c r="V1451" s="22" t="str">
        <f t="shared" si="114"/>
        <v>METROPOLITANA</v>
      </c>
    </row>
    <row r="1452" spans="1:22" x14ac:dyDescent="0.2">
      <c r="A1452" s="11" t="s">
        <v>1885</v>
      </c>
      <c r="B1452" s="12" t="s">
        <v>33</v>
      </c>
      <c r="C1452" s="12" t="s">
        <v>50</v>
      </c>
      <c r="D1452" s="12" t="s">
        <v>38</v>
      </c>
      <c r="E1452" s="13" t="s">
        <v>42</v>
      </c>
      <c r="F1452" s="12" t="s">
        <v>26</v>
      </c>
      <c r="G1452" s="14">
        <v>8809.92</v>
      </c>
      <c r="H1452" s="12" t="s">
        <v>43</v>
      </c>
      <c r="I1452" s="12">
        <v>0</v>
      </c>
      <c r="J1452" s="12" t="s">
        <v>26</v>
      </c>
      <c r="K1452" s="12" t="s">
        <v>23</v>
      </c>
      <c r="L1452" s="12">
        <v>4</v>
      </c>
      <c r="M1452" s="15">
        <f>+G1452*11</f>
        <v>96909.119999999995</v>
      </c>
      <c r="N1452" s="15">
        <v>0</v>
      </c>
      <c r="O1452" s="15">
        <f t="shared" si="110"/>
        <v>96909.119999999995</v>
      </c>
      <c r="P1452" s="15">
        <f t="shared" si="111"/>
        <v>11</v>
      </c>
      <c r="Q1452" s="14">
        <v>8011</v>
      </c>
      <c r="R1452" s="12">
        <v>100</v>
      </c>
      <c r="S1452" s="12" t="s">
        <v>1889</v>
      </c>
      <c r="T1452" s="22">
        <f t="shared" si="112"/>
        <v>3</v>
      </c>
      <c r="U1452" s="22">
        <f t="shared" si="113"/>
        <v>2021</v>
      </c>
      <c r="V1452" s="22" t="str">
        <f t="shared" si="114"/>
        <v>METROPOLITANA</v>
      </c>
    </row>
    <row r="1453" spans="1:22" x14ac:dyDescent="0.2">
      <c r="A1453" s="11" t="s">
        <v>1885</v>
      </c>
      <c r="B1453" s="12" t="s">
        <v>33</v>
      </c>
      <c r="C1453" s="12" t="s">
        <v>50</v>
      </c>
      <c r="D1453" s="12" t="s">
        <v>30</v>
      </c>
      <c r="E1453" s="13" t="s">
        <v>31</v>
      </c>
      <c r="F1453" s="12" t="s">
        <v>26</v>
      </c>
      <c r="G1453" s="14">
        <v>9544.08</v>
      </c>
      <c r="H1453" s="12" t="s">
        <v>32</v>
      </c>
      <c r="I1453" s="12">
        <v>0</v>
      </c>
      <c r="J1453" s="12" t="s">
        <v>26</v>
      </c>
      <c r="K1453" s="12" t="s">
        <v>23</v>
      </c>
      <c r="L1453" s="12">
        <v>4</v>
      </c>
      <c r="M1453" s="15">
        <f>+G1453*11</f>
        <v>104984.88</v>
      </c>
      <c r="N1453" s="15">
        <v>0</v>
      </c>
      <c r="O1453" s="15">
        <f t="shared" si="110"/>
        <v>104984.88</v>
      </c>
      <c r="P1453" s="15">
        <f t="shared" si="111"/>
        <v>11</v>
      </c>
      <c r="Q1453" s="14">
        <v>8011</v>
      </c>
      <c r="R1453" s="12">
        <v>100</v>
      </c>
      <c r="S1453" s="12" t="s">
        <v>1890</v>
      </c>
      <c r="T1453" s="22">
        <f t="shared" si="112"/>
        <v>3</v>
      </c>
      <c r="U1453" s="22">
        <f t="shared" si="113"/>
        <v>2021</v>
      </c>
      <c r="V1453" s="22" t="str">
        <f t="shared" si="114"/>
        <v>METROPOLITANA</v>
      </c>
    </row>
    <row r="1454" spans="1:22" x14ac:dyDescent="0.2">
      <c r="A1454" s="11" t="s">
        <v>1885</v>
      </c>
      <c r="B1454" s="12" t="s">
        <v>33</v>
      </c>
      <c r="C1454" s="12" t="s">
        <v>29</v>
      </c>
      <c r="D1454" s="12" t="s">
        <v>786</v>
      </c>
      <c r="E1454" s="13" t="s">
        <v>1891</v>
      </c>
      <c r="F1454" s="12" t="s">
        <v>173</v>
      </c>
      <c r="G1454" s="14">
        <v>1374</v>
      </c>
      <c r="H1454" s="12" t="s">
        <v>788</v>
      </c>
      <c r="I1454" s="12">
        <v>1</v>
      </c>
      <c r="J1454" s="12" t="s">
        <v>173</v>
      </c>
      <c r="K1454" s="12" t="s">
        <v>23</v>
      </c>
      <c r="L1454" s="12">
        <v>5</v>
      </c>
      <c r="M1454" s="15">
        <v>120000</v>
      </c>
      <c r="N1454" s="15">
        <v>4122</v>
      </c>
      <c r="O1454" s="15">
        <f t="shared" si="110"/>
        <v>124122</v>
      </c>
      <c r="P1454" s="15">
        <f t="shared" si="111"/>
        <v>90.336244541484717</v>
      </c>
      <c r="Q1454" s="14">
        <v>12000</v>
      </c>
      <c r="R1454" s="12">
        <v>11</v>
      </c>
      <c r="S1454" s="12" t="s">
        <v>1892</v>
      </c>
      <c r="T1454" s="22">
        <f t="shared" si="112"/>
        <v>3</v>
      </c>
      <c r="U1454" s="22">
        <f t="shared" si="113"/>
        <v>2021</v>
      </c>
      <c r="V1454" s="22" t="str">
        <f t="shared" si="114"/>
        <v>METROPOLITANA</v>
      </c>
    </row>
    <row r="1455" spans="1:22" x14ac:dyDescent="0.2">
      <c r="A1455" s="11" t="s">
        <v>1885</v>
      </c>
      <c r="B1455" s="12" t="s">
        <v>33</v>
      </c>
      <c r="C1455" s="12" t="s">
        <v>29</v>
      </c>
      <c r="D1455" s="12" t="s">
        <v>786</v>
      </c>
      <c r="E1455" s="13" t="s">
        <v>787</v>
      </c>
      <c r="F1455" s="12" t="s">
        <v>132</v>
      </c>
      <c r="G1455" s="14">
        <v>6814.4999999999991</v>
      </c>
      <c r="H1455" s="12" t="s">
        <v>788</v>
      </c>
      <c r="I1455" s="12">
        <v>1</v>
      </c>
      <c r="J1455" s="12" t="s">
        <v>132</v>
      </c>
      <c r="K1455" s="12" t="s">
        <v>124</v>
      </c>
      <c r="L1455" s="12">
        <v>0</v>
      </c>
      <c r="M1455" s="15">
        <v>350000</v>
      </c>
      <c r="N1455" s="15">
        <v>0</v>
      </c>
      <c r="O1455" s="15">
        <f t="shared" si="110"/>
        <v>350000</v>
      </c>
      <c r="P1455" s="15">
        <f t="shared" si="111"/>
        <v>51.361068310220858</v>
      </c>
      <c r="Q1455" s="14">
        <v>25000</v>
      </c>
      <c r="R1455" s="12">
        <v>27</v>
      </c>
      <c r="S1455" s="12" t="s">
        <v>1893</v>
      </c>
      <c r="T1455" s="22">
        <f t="shared" si="112"/>
        <v>3</v>
      </c>
      <c r="U1455" s="22">
        <f t="shared" si="113"/>
        <v>2021</v>
      </c>
      <c r="V1455" s="22" t="str">
        <f t="shared" si="114"/>
        <v>REGIONES</v>
      </c>
    </row>
    <row r="1456" spans="1:22" x14ac:dyDescent="0.2">
      <c r="A1456" s="11" t="s">
        <v>1885</v>
      </c>
      <c r="B1456" s="12" t="s">
        <v>33</v>
      </c>
      <c r="C1456" s="12" t="s">
        <v>29</v>
      </c>
      <c r="D1456" s="12" t="s">
        <v>786</v>
      </c>
      <c r="E1456" s="13" t="s">
        <v>787</v>
      </c>
      <c r="F1456" s="12" t="s">
        <v>173</v>
      </c>
      <c r="G1456" s="14">
        <v>6355.3800000000028</v>
      </c>
      <c r="H1456" s="12" t="s">
        <v>788</v>
      </c>
      <c r="I1456" s="12">
        <v>1</v>
      </c>
      <c r="J1456" s="12" t="s">
        <v>173</v>
      </c>
      <c r="K1456" s="12" t="s">
        <v>23</v>
      </c>
      <c r="L1456" s="12">
        <v>5</v>
      </c>
      <c r="M1456" s="15">
        <v>120000</v>
      </c>
      <c r="N1456" s="15">
        <v>19066</v>
      </c>
      <c r="O1456" s="15">
        <f t="shared" si="110"/>
        <v>139066</v>
      </c>
      <c r="P1456" s="15">
        <f t="shared" si="111"/>
        <v>21.881618408340639</v>
      </c>
      <c r="Q1456" s="14">
        <v>12000</v>
      </c>
      <c r="R1456" s="12">
        <v>53</v>
      </c>
      <c r="S1456" s="12" t="s">
        <v>1894</v>
      </c>
      <c r="T1456" s="22">
        <f t="shared" si="112"/>
        <v>3</v>
      </c>
      <c r="U1456" s="22">
        <f t="shared" si="113"/>
        <v>2021</v>
      </c>
      <c r="V1456" s="22" t="str">
        <f t="shared" si="114"/>
        <v>METROPOLITANA</v>
      </c>
    </row>
    <row r="1457" spans="1:22" x14ac:dyDescent="0.2">
      <c r="A1457" s="11" t="s">
        <v>1885</v>
      </c>
      <c r="B1457" s="12" t="s">
        <v>33</v>
      </c>
      <c r="C1457" s="12" t="s">
        <v>29</v>
      </c>
      <c r="D1457" s="12" t="s">
        <v>45</v>
      </c>
      <c r="E1457" s="13" t="s">
        <v>52</v>
      </c>
      <c r="F1457" s="12" t="s">
        <v>134</v>
      </c>
      <c r="G1457" s="14">
        <v>7025.4000000000024</v>
      </c>
      <c r="H1457" s="12" t="s">
        <v>22</v>
      </c>
      <c r="I1457" s="12">
        <v>0</v>
      </c>
      <c r="J1457" s="12" t="s">
        <v>134</v>
      </c>
      <c r="K1457" s="12" t="s">
        <v>23</v>
      </c>
      <c r="L1457" s="12">
        <v>2</v>
      </c>
      <c r="M1457" s="15">
        <v>49178</v>
      </c>
      <c r="N1457" s="15">
        <v>28102</v>
      </c>
      <c r="O1457" s="15">
        <f t="shared" si="110"/>
        <v>77280</v>
      </c>
      <c r="P1457" s="15">
        <f t="shared" si="111"/>
        <v>11.000085404389782</v>
      </c>
      <c r="Q1457" s="14">
        <v>5782</v>
      </c>
      <c r="R1457" s="12">
        <v>100</v>
      </c>
      <c r="S1457" s="12" t="s">
        <v>1895</v>
      </c>
      <c r="T1457" s="22">
        <f t="shared" si="112"/>
        <v>3</v>
      </c>
      <c r="U1457" s="22">
        <f t="shared" si="113"/>
        <v>2021</v>
      </c>
      <c r="V1457" s="22" t="str">
        <f t="shared" si="114"/>
        <v>METROPOLITANA</v>
      </c>
    </row>
    <row r="1458" spans="1:22" x14ac:dyDescent="0.2">
      <c r="A1458" s="11" t="s">
        <v>1885</v>
      </c>
      <c r="B1458" s="12" t="s">
        <v>33</v>
      </c>
      <c r="C1458" s="12" t="s">
        <v>29</v>
      </c>
      <c r="D1458" s="12" t="s">
        <v>20</v>
      </c>
      <c r="E1458" s="13" t="s">
        <v>21</v>
      </c>
      <c r="F1458" s="12" t="s">
        <v>1783</v>
      </c>
      <c r="G1458" s="14">
        <v>5951.4</v>
      </c>
      <c r="H1458" s="12" t="s">
        <v>22</v>
      </c>
      <c r="I1458" s="12">
        <v>0</v>
      </c>
      <c r="J1458" s="12" t="s">
        <v>1784</v>
      </c>
      <c r="K1458" s="12" t="s">
        <v>23</v>
      </c>
      <c r="L1458" s="12">
        <v>5</v>
      </c>
      <c r="M1458" s="15">
        <v>90000</v>
      </c>
      <c r="N1458" s="15">
        <v>23806</v>
      </c>
      <c r="O1458" s="15">
        <f t="shared" si="110"/>
        <v>113806</v>
      </c>
      <c r="P1458" s="15">
        <f t="shared" si="111"/>
        <v>19.122559397788756</v>
      </c>
      <c r="Q1458" s="14">
        <v>12000</v>
      </c>
      <c r="R1458" s="12">
        <v>50</v>
      </c>
      <c r="S1458" s="12" t="s">
        <v>1896</v>
      </c>
      <c r="T1458" s="22">
        <f t="shared" si="112"/>
        <v>3</v>
      </c>
      <c r="U1458" s="22">
        <f t="shared" si="113"/>
        <v>2021</v>
      </c>
      <c r="V1458" s="22" t="str">
        <f t="shared" si="114"/>
        <v>METROPOLITANA</v>
      </c>
    </row>
    <row r="1459" spans="1:22" x14ac:dyDescent="0.2">
      <c r="A1459" s="11" t="s">
        <v>1885</v>
      </c>
      <c r="B1459" s="12" t="s">
        <v>33</v>
      </c>
      <c r="C1459" s="12" t="s">
        <v>44</v>
      </c>
      <c r="D1459" s="12" t="s">
        <v>188</v>
      </c>
      <c r="E1459" s="13" t="s">
        <v>189</v>
      </c>
      <c r="F1459" s="12" t="s">
        <v>95</v>
      </c>
      <c r="G1459" s="14">
        <v>2353.2600000000002</v>
      </c>
      <c r="H1459" s="12" t="s">
        <v>190</v>
      </c>
      <c r="I1459" s="12">
        <v>0</v>
      </c>
      <c r="J1459" s="12" t="s">
        <v>95</v>
      </c>
      <c r="K1459" s="12" t="s">
        <v>23</v>
      </c>
      <c r="L1459" s="12">
        <v>4</v>
      </c>
      <c r="M1459" s="15">
        <v>55000</v>
      </c>
      <c r="N1459" s="15">
        <v>0</v>
      </c>
      <c r="O1459" s="15">
        <f t="shared" si="110"/>
        <v>55000</v>
      </c>
      <c r="P1459" s="15">
        <f t="shared" si="111"/>
        <v>23.371833116612695</v>
      </c>
      <c r="Q1459" s="14">
        <v>8011</v>
      </c>
      <c r="R1459" s="12">
        <v>29</v>
      </c>
      <c r="S1459" s="12" t="s">
        <v>1897</v>
      </c>
      <c r="T1459" s="22">
        <f t="shared" si="112"/>
        <v>3</v>
      </c>
      <c r="U1459" s="22">
        <f t="shared" si="113"/>
        <v>2021</v>
      </c>
      <c r="V1459" s="22" t="str">
        <f t="shared" si="114"/>
        <v>METROPOLITANA</v>
      </c>
    </row>
    <row r="1460" spans="1:22" x14ac:dyDescent="0.2">
      <c r="A1460" s="11" t="s">
        <v>1885</v>
      </c>
      <c r="B1460" s="12" t="s">
        <v>33</v>
      </c>
      <c r="C1460" s="12" t="s">
        <v>44</v>
      </c>
      <c r="D1460" s="12" t="s">
        <v>1170</v>
      </c>
      <c r="E1460" s="13" t="s">
        <v>81</v>
      </c>
      <c r="F1460" s="12" t="s">
        <v>1026</v>
      </c>
      <c r="G1460" s="14">
        <v>26745.250000000018</v>
      </c>
      <c r="H1460" s="12" t="s">
        <v>24</v>
      </c>
      <c r="I1460" s="12">
        <v>1</v>
      </c>
      <c r="J1460" s="12" t="s">
        <v>1026</v>
      </c>
      <c r="K1460" s="12" t="s">
        <v>408</v>
      </c>
      <c r="L1460" s="12">
        <v>0</v>
      </c>
      <c r="M1460" s="15">
        <v>600000</v>
      </c>
      <c r="N1460" s="15">
        <v>0</v>
      </c>
      <c r="O1460" s="15">
        <f t="shared" si="110"/>
        <v>600000</v>
      </c>
      <c r="P1460" s="15">
        <f t="shared" si="111"/>
        <v>22.433890130023073</v>
      </c>
      <c r="Q1460" s="14">
        <v>25000</v>
      </c>
      <c r="R1460" s="12">
        <v>100</v>
      </c>
      <c r="S1460" s="12" t="s">
        <v>1898</v>
      </c>
      <c r="T1460" s="22">
        <f t="shared" si="112"/>
        <v>3</v>
      </c>
      <c r="U1460" s="22">
        <f t="shared" si="113"/>
        <v>2021</v>
      </c>
      <c r="V1460" s="22" t="str">
        <f t="shared" si="114"/>
        <v>REGIONES</v>
      </c>
    </row>
    <row r="1461" spans="1:22" x14ac:dyDescent="0.2">
      <c r="A1461" s="11" t="s">
        <v>1885</v>
      </c>
      <c r="B1461" s="12" t="s">
        <v>33</v>
      </c>
      <c r="C1461" s="12" t="s">
        <v>44</v>
      </c>
      <c r="D1461" s="12" t="s">
        <v>47</v>
      </c>
      <c r="E1461" s="13" t="s">
        <v>1576</v>
      </c>
      <c r="F1461" s="12" t="s">
        <v>48</v>
      </c>
      <c r="G1461" s="14">
        <v>1958.16</v>
      </c>
      <c r="H1461" s="12" t="s">
        <v>22</v>
      </c>
      <c r="I1461" s="12">
        <v>0</v>
      </c>
      <c r="J1461" s="12" t="s">
        <v>48</v>
      </c>
      <c r="K1461" s="12" t="s">
        <v>23</v>
      </c>
      <c r="L1461" s="12">
        <v>1</v>
      </c>
      <c r="M1461" s="15">
        <v>33750</v>
      </c>
      <c r="N1461" s="15">
        <v>12000</v>
      </c>
      <c r="O1461" s="15">
        <f t="shared" si="110"/>
        <v>45750</v>
      </c>
      <c r="P1461" s="15">
        <f t="shared" si="111"/>
        <v>23.363770069861502</v>
      </c>
      <c r="Q1461" s="14">
        <v>4821</v>
      </c>
      <c r="R1461" s="12">
        <v>41</v>
      </c>
      <c r="S1461" s="12" t="s">
        <v>1899</v>
      </c>
      <c r="T1461" s="22">
        <f t="shared" si="112"/>
        <v>3</v>
      </c>
      <c r="U1461" s="22">
        <f t="shared" si="113"/>
        <v>2021</v>
      </c>
      <c r="V1461" s="22" t="str">
        <f t="shared" si="114"/>
        <v>METROPOLITANA</v>
      </c>
    </row>
    <row r="1462" spans="1:22" x14ac:dyDescent="0.2">
      <c r="A1462" s="11" t="s">
        <v>1885</v>
      </c>
      <c r="B1462" s="12" t="s">
        <v>33</v>
      </c>
      <c r="C1462" s="12" t="s">
        <v>44</v>
      </c>
      <c r="D1462" s="12" t="s">
        <v>35</v>
      </c>
      <c r="E1462" s="13" t="s">
        <v>52</v>
      </c>
      <c r="F1462" s="12" t="s">
        <v>53</v>
      </c>
      <c r="G1462" s="14">
        <v>1846.56</v>
      </c>
      <c r="H1462" s="12" t="s">
        <v>22</v>
      </c>
      <c r="I1462" s="12">
        <v>0</v>
      </c>
      <c r="J1462" s="12" t="s">
        <v>53</v>
      </c>
      <c r="K1462" s="12" t="s">
        <v>23</v>
      </c>
      <c r="L1462" s="12">
        <v>3</v>
      </c>
      <c r="M1462" s="15">
        <v>48075</v>
      </c>
      <c r="N1462" s="15">
        <v>12000</v>
      </c>
      <c r="O1462" s="15">
        <f t="shared" si="110"/>
        <v>60075</v>
      </c>
      <c r="P1462" s="15">
        <f t="shared" si="111"/>
        <v>32.533467637119834</v>
      </c>
      <c r="Q1462" s="14">
        <v>6868</v>
      </c>
      <c r="R1462" s="12">
        <v>27</v>
      </c>
      <c r="S1462" s="12" t="s">
        <v>1900</v>
      </c>
      <c r="T1462" s="22">
        <f t="shared" si="112"/>
        <v>3</v>
      </c>
      <c r="U1462" s="22">
        <f t="shared" si="113"/>
        <v>2021</v>
      </c>
      <c r="V1462" s="22" t="str">
        <f t="shared" si="114"/>
        <v>METROPOLITANA</v>
      </c>
    </row>
    <row r="1463" spans="1:22" x14ac:dyDescent="0.2">
      <c r="A1463" s="23" t="s">
        <v>1901</v>
      </c>
      <c r="B1463" s="22" t="s">
        <v>18</v>
      </c>
      <c r="C1463" s="22" t="s">
        <v>50</v>
      </c>
      <c r="D1463" s="22" t="s">
        <v>37</v>
      </c>
      <c r="E1463" s="24" t="s">
        <v>40</v>
      </c>
      <c r="F1463" s="22" t="s">
        <v>26</v>
      </c>
      <c r="G1463" s="25">
        <v>11857.6</v>
      </c>
      <c r="H1463" s="22" t="s">
        <v>22</v>
      </c>
      <c r="I1463" s="22">
        <v>0</v>
      </c>
      <c r="J1463" s="22" t="s">
        <v>26</v>
      </c>
      <c r="K1463" s="22" t="s">
        <v>23</v>
      </c>
      <c r="L1463" s="22">
        <v>4</v>
      </c>
      <c r="M1463" s="26">
        <v>83003</v>
      </c>
      <c r="N1463" s="26">
        <f>+G1463*4</f>
        <v>47430.400000000001</v>
      </c>
      <c r="O1463" s="15">
        <f t="shared" si="110"/>
        <v>130433.4</v>
      </c>
      <c r="P1463" s="15">
        <f t="shared" si="111"/>
        <v>10.999983133180407</v>
      </c>
      <c r="Q1463" s="25">
        <v>8011</v>
      </c>
      <c r="R1463" s="22">
        <v>100</v>
      </c>
      <c r="S1463" s="22" t="s">
        <v>1902</v>
      </c>
      <c r="T1463" s="22">
        <f t="shared" si="112"/>
        <v>3</v>
      </c>
      <c r="U1463" s="22">
        <f t="shared" si="113"/>
        <v>2021</v>
      </c>
      <c r="V1463" s="22" t="str">
        <f t="shared" si="114"/>
        <v>METROPOLITANA</v>
      </c>
    </row>
    <row r="1464" spans="1:22" x14ac:dyDescent="0.2">
      <c r="A1464" s="23" t="s">
        <v>1901</v>
      </c>
      <c r="B1464" s="22" t="s">
        <v>18</v>
      </c>
      <c r="C1464" s="22" t="s">
        <v>508</v>
      </c>
      <c r="D1464" s="22" t="s">
        <v>38</v>
      </c>
      <c r="E1464" s="24" t="s">
        <v>42</v>
      </c>
      <c r="F1464" s="22" t="s">
        <v>51</v>
      </c>
      <c r="G1464" s="25">
        <v>5385.91</v>
      </c>
      <c r="H1464" s="22" t="s">
        <v>43</v>
      </c>
      <c r="I1464" s="22">
        <v>0</v>
      </c>
      <c r="J1464" s="22" t="s">
        <v>51</v>
      </c>
      <c r="K1464" s="22" t="s">
        <v>23</v>
      </c>
      <c r="L1464" s="22">
        <v>4</v>
      </c>
      <c r="M1464" s="26">
        <f>G1464+11</f>
        <v>5396.91</v>
      </c>
      <c r="N1464" s="26">
        <v>0</v>
      </c>
      <c r="O1464" s="15">
        <f t="shared" si="110"/>
        <v>5396.91</v>
      </c>
      <c r="P1464" s="15">
        <f t="shared" si="111"/>
        <v>1.0020423660996935</v>
      </c>
      <c r="Q1464" s="25">
        <v>8011</v>
      </c>
      <c r="R1464" s="22">
        <v>67</v>
      </c>
      <c r="S1464" s="22" t="s">
        <v>1903</v>
      </c>
      <c r="T1464" s="22">
        <f t="shared" si="112"/>
        <v>3</v>
      </c>
      <c r="U1464" s="22">
        <f t="shared" si="113"/>
        <v>2021</v>
      </c>
      <c r="V1464" s="22" t="str">
        <f t="shared" si="114"/>
        <v>METROPOLITANA</v>
      </c>
    </row>
    <row r="1465" spans="1:22" x14ac:dyDescent="0.2">
      <c r="A1465" s="23" t="s">
        <v>1901</v>
      </c>
      <c r="B1465" s="22" t="s">
        <v>18</v>
      </c>
      <c r="C1465" s="22" t="s">
        <v>508</v>
      </c>
      <c r="D1465" s="22" t="s">
        <v>20</v>
      </c>
      <c r="E1465" s="24" t="s">
        <v>21</v>
      </c>
      <c r="F1465" s="22" t="s">
        <v>800</v>
      </c>
      <c r="G1465" s="25">
        <f>3986.4+1124</f>
        <v>5110.3999999999996</v>
      </c>
      <c r="H1465" s="22" t="s">
        <v>22</v>
      </c>
      <c r="I1465" s="22">
        <v>0</v>
      </c>
      <c r="J1465" s="22" t="s">
        <v>800</v>
      </c>
      <c r="K1465" s="22" t="s">
        <v>23</v>
      </c>
      <c r="L1465" s="22">
        <v>5</v>
      </c>
      <c r="M1465" s="26">
        <v>90000</v>
      </c>
      <c r="N1465" s="26">
        <f>+G1465*4</f>
        <v>20441.599999999999</v>
      </c>
      <c r="O1465" s="15">
        <f t="shared" si="110"/>
        <v>110441.60000000001</v>
      </c>
      <c r="P1465" s="15">
        <f t="shared" si="111"/>
        <v>21.611145898559801</v>
      </c>
      <c r="Q1465" s="25">
        <v>12000</v>
      </c>
      <c r="R1465" s="22">
        <v>33</v>
      </c>
      <c r="S1465" s="22" t="s">
        <v>1904</v>
      </c>
      <c r="T1465" s="22">
        <f t="shared" si="112"/>
        <v>3</v>
      </c>
      <c r="U1465" s="22">
        <f t="shared" si="113"/>
        <v>2021</v>
      </c>
      <c r="V1465" s="22" t="str">
        <f t="shared" si="114"/>
        <v>METROPOLITANA</v>
      </c>
    </row>
    <row r="1466" spans="1:22" x14ac:dyDescent="0.2">
      <c r="A1466" s="23" t="s">
        <v>1901</v>
      </c>
      <c r="B1466" s="22" t="s">
        <v>33</v>
      </c>
      <c r="C1466" s="22" t="s">
        <v>50</v>
      </c>
      <c r="D1466" s="22" t="s">
        <v>37</v>
      </c>
      <c r="E1466" s="24" t="s">
        <v>40</v>
      </c>
      <c r="F1466" s="22" t="s">
        <v>26</v>
      </c>
      <c r="G1466" s="25">
        <v>9150</v>
      </c>
      <c r="H1466" s="22" t="s">
        <v>22</v>
      </c>
      <c r="I1466" s="22">
        <v>0</v>
      </c>
      <c r="J1466" s="22" t="s">
        <v>26</v>
      </c>
      <c r="K1466" s="22" t="s">
        <v>23</v>
      </c>
      <c r="L1466" s="22">
        <v>4</v>
      </c>
      <c r="M1466" s="26">
        <v>64050</v>
      </c>
      <c r="N1466" s="26">
        <f>+G1466*4</f>
        <v>36600</v>
      </c>
      <c r="O1466" s="15">
        <f t="shared" si="110"/>
        <v>100650</v>
      </c>
      <c r="P1466" s="15">
        <f t="shared" si="111"/>
        <v>11</v>
      </c>
      <c r="Q1466" s="25">
        <v>8011</v>
      </c>
      <c r="R1466" s="22">
        <v>100</v>
      </c>
      <c r="S1466" s="22" t="s">
        <v>1905</v>
      </c>
      <c r="T1466" s="22">
        <f t="shared" si="112"/>
        <v>3</v>
      </c>
      <c r="U1466" s="22">
        <f t="shared" si="113"/>
        <v>2021</v>
      </c>
      <c r="V1466" s="22" t="str">
        <f t="shared" si="114"/>
        <v>METROPOLITANA</v>
      </c>
    </row>
    <row r="1467" spans="1:22" x14ac:dyDescent="0.2">
      <c r="A1467" s="23" t="s">
        <v>1901</v>
      </c>
      <c r="B1467" s="22" t="s">
        <v>33</v>
      </c>
      <c r="C1467" s="22" t="s">
        <v>50</v>
      </c>
      <c r="D1467" s="22" t="s">
        <v>30</v>
      </c>
      <c r="E1467" s="24" t="s">
        <v>31</v>
      </c>
      <c r="F1467" s="22" t="s">
        <v>26</v>
      </c>
      <c r="G1467" s="25">
        <v>9150</v>
      </c>
      <c r="H1467" s="22" t="s">
        <v>32</v>
      </c>
      <c r="I1467" s="22">
        <v>0</v>
      </c>
      <c r="J1467" s="22" t="s">
        <v>26</v>
      </c>
      <c r="K1467" s="22" t="s">
        <v>23</v>
      </c>
      <c r="L1467" s="22">
        <v>4</v>
      </c>
      <c r="M1467" s="26">
        <f>+G1467*11</f>
        <v>100650</v>
      </c>
      <c r="N1467" s="26">
        <v>0</v>
      </c>
      <c r="O1467" s="15">
        <f t="shared" si="110"/>
        <v>100650</v>
      </c>
      <c r="P1467" s="15">
        <f t="shared" si="111"/>
        <v>11</v>
      </c>
      <c r="Q1467" s="25">
        <v>8011</v>
      </c>
      <c r="R1467" s="22">
        <v>100</v>
      </c>
      <c r="S1467" s="22" t="s">
        <v>1906</v>
      </c>
      <c r="T1467" s="22">
        <f t="shared" si="112"/>
        <v>3</v>
      </c>
      <c r="U1467" s="22">
        <f t="shared" si="113"/>
        <v>2021</v>
      </c>
      <c r="V1467" s="22" t="str">
        <f t="shared" si="114"/>
        <v>METROPOLITANA</v>
      </c>
    </row>
    <row r="1468" spans="1:22" x14ac:dyDescent="0.2">
      <c r="A1468" s="23" t="s">
        <v>1901</v>
      </c>
      <c r="B1468" s="22" t="s">
        <v>33</v>
      </c>
      <c r="C1468" s="22" t="s">
        <v>44</v>
      </c>
      <c r="D1468" s="22" t="s">
        <v>56</v>
      </c>
      <c r="E1468" s="24" t="s">
        <v>28</v>
      </c>
      <c r="F1468" s="22" t="s">
        <v>46</v>
      </c>
      <c r="G1468" s="25">
        <v>2685.24</v>
      </c>
      <c r="H1468" s="22" t="s">
        <v>22</v>
      </c>
      <c r="I1468" s="22">
        <v>0</v>
      </c>
      <c r="J1468" s="22" t="s">
        <v>46</v>
      </c>
      <c r="K1468" s="22" t="s">
        <v>23</v>
      </c>
      <c r="L1468" s="22">
        <v>2</v>
      </c>
      <c r="M1468" s="26">
        <v>40475</v>
      </c>
      <c r="N1468" s="26">
        <v>10741</v>
      </c>
      <c r="O1468" s="15">
        <f t="shared" si="110"/>
        <v>51216</v>
      </c>
      <c r="P1468" s="15">
        <f t="shared" si="111"/>
        <v>19.07315547213657</v>
      </c>
      <c r="Q1468" s="25">
        <v>5782</v>
      </c>
      <c r="R1468" s="22">
        <v>46</v>
      </c>
      <c r="S1468" s="22" t="s">
        <v>1907</v>
      </c>
      <c r="T1468" s="22">
        <f t="shared" si="112"/>
        <v>3</v>
      </c>
      <c r="U1468" s="22">
        <f t="shared" si="113"/>
        <v>2021</v>
      </c>
      <c r="V1468" s="22" t="str">
        <f t="shared" si="114"/>
        <v>METROPOLITANA</v>
      </c>
    </row>
    <row r="1469" spans="1:22" x14ac:dyDescent="0.2">
      <c r="A1469" s="23" t="s">
        <v>1901</v>
      </c>
      <c r="B1469" s="22" t="s">
        <v>33</v>
      </c>
      <c r="C1469" s="22" t="s">
        <v>44</v>
      </c>
      <c r="D1469" s="22" t="s">
        <v>188</v>
      </c>
      <c r="E1469" s="24" t="s">
        <v>189</v>
      </c>
      <c r="F1469" s="22" t="s">
        <v>34</v>
      </c>
      <c r="G1469" s="25">
        <v>2550.6000000000008</v>
      </c>
      <c r="H1469" s="22" t="s">
        <v>190</v>
      </c>
      <c r="I1469" s="22">
        <v>0</v>
      </c>
      <c r="J1469" s="22" t="s">
        <v>34</v>
      </c>
      <c r="K1469" s="22" t="s">
        <v>23</v>
      </c>
      <c r="L1469" s="22">
        <v>1</v>
      </c>
      <c r="M1469" s="26">
        <v>33750</v>
      </c>
      <c r="N1469" s="26">
        <v>7652</v>
      </c>
      <c r="O1469" s="15">
        <f t="shared" si="110"/>
        <v>41402</v>
      </c>
      <c r="P1469" s="15">
        <f t="shared" si="111"/>
        <v>16.232259076295769</v>
      </c>
      <c r="Q1469" s="25">
        <v>4821</v>
      </c>
      <c r="R1469" s="22">
        <v>53</v>
      </c>
      <c r="S1469" s="22" t="s">
        <v>1908</v>
      </c>
      <c r="T1469" s="22">
        <f t="shared" si="112"/>
        <v>3</v>
      </c>
      <c r="U1469" s="22">
        <f t="shared" si="113"/>
        <v>2021</v>
      </c>
      <c r="V1469" s="22" t="str">
        <f t="shared" si="114"/>
        <v>METROPOLITANA</v>
      </c>
    </row>
    <row r="1470" spans="1:22" x14ac:dyDescent="0.2">
      <c r="A1470" s="23" t="s">
        <v>1901</v>
      </c>
      <c r="B1470" s="22" t="s">
        <v>33</v>
      </c>
      <c r="C1470" s="22" t="s">
        <v>44</v>
      </c>
      <c r="D1470" s="22" t="s">
        <v>45</v>
      </c>
      <c r="E1470" s="24" t="s">
        <v>21</v>
      </c>
      <c r="F1470" s="22" t="s">
        <v>138</v>
      </c>
      <c r="G1470" s="25">
        <v>1700.4</v>
      </c>
      <c r="H1470" s="22" t="s">
        <v>22</v>
      </c>
      <c r="I1470" s="22">
        <v>0</v>
      </c>
      <c r="J1470" s="22" t="s">
        <v>138</v>
      </c>
      <c r="K1470" s="22" t="s">
        <v>23</v>
      </c>
      <c r="L1470" s="22">
        <v>3</v>
      </c>
      <c r="M1470" s="26">
        <v>48075</v>
      </c>
      <c r="N1470" s="26">
        <v>12000</v>
      </c>
      <c r="O1470" s="15">
        <f t="shared" si="110"/>
        <v>60075</v>
      </c>
      <c r="P1470" s="15">
        <f t="shared" si="111"/>
        <v>35.32992237120677</v>
      </c>
      <c r="Q1470" s="25">
        <v>6868</v>
      </c>
      <c r="R1470" s="22">
        <v>25</v>
      </c>
      <c r="S1470" s="22" t="s">
        <v>1909</v>
      </c>
      <c r="T1470" s="22">
        <f t="shared" si="112"/>
        <v>3</v>
      </c>
      <c r="U1470" s="22">
        <f t="shared" si="113"/>
        <v>2021</v>
      </c>
      <c r="V1470" s="22" t="str">
        <f t="shared" si="114"/>
        <v>METROPOLITANA</v>
      </c>
    </row>
    <row r="1471" spans="1:22" x14ac:dyDescent="0.2">
      <c r="A1471" s="23" t="s">
        <v>1901</v>
      </c>
      <c r="B1471" s="22" t="s">
        <v>33</v>
      </c>
      <c r="C1471" s="22" t="s">
        <v>44</v>
      </c>
      <c r="D1471" s="22" t="s">
        <v>47</v>
      </c>
      <c r="E1471" s="24" t="s">
        <v>1576</v>
      </c>
      <c r="F1471" s="22" t="s">
        <v>48</v>
      </c>
      <c r="G1471" s="25">
        <v>3587.099999999999</v>
      </c>
      <c r="H1471" s="22" t="s">
        <v>22</v>
      </c>
      <c r="I1471" s="22">
        <v>0</v>
      </c>
      <c r="J1471" s="22" t="s">
        <v>48</v>
      </c>
      <c r="K1471" s="22" t="s">
        <v>23</v>
      </c>
      <c r="L1471" s="22">
        <v>1</v>
      </c>
      <c r="M1471" s="26">
        <v>33750</v>
      </c>
      <c r="N1471" s="26">
        <v>14348</v>
      </c>
      <c r="O1471" s="15">
        <f t="shared" si="110"/>
        <v>48098</v>
      </c>
      <c r="P1471" s="15">
        <f t="shared" si="111"/>
        <v>13.408603049817405</v>
      </c>
      <c r="Q1471" s="25">
        <v>4821</v>
      </c>
      <c r="R1471" s="22">
        <v>74</v>
      </c>
      <c r="S1471" s="22" t="s">
        <v>1910</v>
      </c>
      <c r="T1471" s="22">
        <f t="shared" si="112"/>
        <v>3</v>
      </c>
      <c r="U1471" s="22">
        <f t="shared" si="113"/>
        <v>2021</v>
      </c>
      <c r="V1471" s="22" t="str">
        <f t="shared" si="114"/>
        <v>METROPOLITANA</v>
      </c>
    </row>
    <row r="1472" spans="1:22" x14ac:dyDescent="0.2">
      <c r="A1472" s="23" t="s">
        <v>1901</v>
      </c>
      <c r="B1472" s="22" t="s">
        <v>33</v>
      </c>
      <c r="C1472" s="22" t="s">
        <v>44</v>
      </c>
      <c r="D1472" s="22" t="s">
        <v>35</v>
      </c>
      <c r="E1472" s="24" t="s">
        <v>88</v>
      </c>
      <c r="F1472" s="22" t="s">
        <v>182</v>
      </c>
      <c r="G1472" s="25">
        <v>1975.2</v>
      </c>
      <c r="H1472" s="22" t="s">
        <v>22</v>
      </c>
      <c r="I1472" s="22">
        <v>0</v>
      </c>
      <c r="J1472" s="22" t="s">
        <v>182</v>
      </c>
      <c r="K1472" s="22" t="s">
        <v>23</v>
      </c>
      <c r="L1472" s="22">
        <v>4</v>
      </c>
      <c r="M1472" s="26">
        <v>56075</v>
      </c>
      <c r="N1472" s="26">
        <v>12000</v>
      </c>
      <c r="O1472" s="15">
        <f t="shared" si="110"/>
        <v>68075</v>
      </c>
      <c r="P1472" s="15">
        <f t="shared" si="111"/>
        <v>34.464864317537462</v>
      </c>
      <c r="Q1472" s="25">
        <v>8011</v>
      </c>
      <c r="R1472" s="22">
        <v>25</v>
      </c>
      <c r="S1472" s="22" t="s">
        <v>1911</v>
      </c>
      <c r="T1472" s="22">
        <f t="shared" si="112"/>
        <v>3</v>
      </c>
      <c r="U1472" s="22">
        <f t="shared" si="113"/>
        <v>2021</v>
      </c>
      <c r="V1472" s="22" t="str">
        <f t="shared" si="114"/>
        <v>METROPOLITANA</v>
      </c>
    </row>
    <row r="1473" spans="1:22" x14ac:dyDescent="0.2">
      <c r="A1473" s="11" t="s">
        <v>1912</v>
      </c>
      <c r="B1473" s="12" t="s">
        <v>18</v>
      </c>
      <c r="C1473" s="12" t="s">
        <v>160</v>
      </c>
      <c r="D1473" s="12" t="s">
        <v>27</v>
      </c>
      <c r="E1473" s="13">
        <v>81417709</v>
      </c>
      <c r="F1473" s="12" t="s">
        <v>418</v>
      </c>
      <c r="G1473" s="14">
        <v>19450.73</v>
      </c>
      <c r="H1473" s="12" t="s">
        <v>22</v>
      </c>
      <c r="I1473" s="12">
        <v>1</v>
      </c>
      <c r="J1473" s="12" t="s">
        <v>418</v>
      </c>
      <c r="K1473" s="12" t="s">
        <v>171</v>
      </c>
      <c r="L1473" s="12">
        <v>0</v>
      </c>
      <c r="M1473" s="15">
        <v>230000</v>
      </c>
      <c r="N1473" s="15">
        <f>+G1473*4</f>
        <v>77802.92</v>
      </c>
      <c r="O1473" s="15">
        <f t="shared" si="110"/>
        <v>307802.92</v>
      </c>
      <c r="P1473" s="15">
        <f t="shared" si="111"/>
        <v>15.824748993996625</v>
      </c>
      <c r="Q1473" s="14">
        <v>25000</v>
      </c>
      <c r="R1473" s="12">
        <v>78</v>
      </c>
      <c r="S1473" s="12" t="s">
        <v>1913</v>
      </c>
      <c r="T1473" s="22">
        <f t="shared" si="112"/>
        <v>3</v>
      </c>
      <c r="U1473" s="22">
        <f t="shared" si="113"/>
        <v>2021</v>
      </c>
      <c r="V1473" s="22" t="str">
        <f t="shared" si="114"/>
        <v>REGIONES</v>
      </c>
    </row>
    <row r="1474" spans="1:22" x14ac:dyDescent="0.2">
      <c r="A1474" s="11" t="s">
        <v>1912</v>
      </c>
      <c r="B1474" s="12" t="s">
        <v>33</v>
      </c>
      <c r="C1474" s="12" t="s">
        <v>50</v>
      </c>
      <c r="D1474" s="12" t="s">
        <v>63</v>
      </c>
      <c r="E1474" s="13">
        <v>138841065</v>
      </c>
      <c r="F1474" s="12" t="s">
        <v>26</v>
      </c>
      <c r="G1474" s="14">
        <v>15417.36</v>
      </c>
      <c r="H1474" s="12" t="s">
        <v>65</v>
      </c>
      <c r="I1474" s="12">
        <v>0</v>
      </c>
      <c r="J1474" s="12" t="s">
        <v>26</v>
      </c>
      <c r="K1474" s="12" t="s">
        <v>23</v>
      </c>
      <c r="L1474" s="12">
        <v>4</v>
      </c>
      <c r="M1474" s="15">
        <f>+G1474*11</f>
        <v>169590.96000000002</v>
      </c>
      <c r="N1474" s="15">
        <v>0</v>
      </c>
      <c r="O1474" s="15">
        <f t="shared" ref="O1474:O1537" si="115">SUM(M1474:N1474)</f>
        <v>169590.96000000002</v>
      </c>
      <c r="P1474" s="15">
        <f t="shared" ref="P1474:P1537" si="116">O1474/G1474</f>
        <v>11.000000000000002</v>
      </c>
      <c r="Q1474" s="14">
        <v>8011</v>
      </c>
      <c r="R1474" s="12">
        <v>100</v>
      </c>
      <c r="S1474" s="12" t="s">
        <v>1914</v>
      </c>
      <c r="T1474" s="22">
        <f t="shared" ref="T1474:T1537" si="117">MONTH(A1474)</f>
        <v>3</v>
      </c>
      <c r="U1474" s="22">
        <f t="shared" ref="U1474:U1537" si="118">YEAR(A1474)</f>
        <v>2021</v>
      </c>
      <c r="V1474" s="22" t="str">
        <f t="shared" ref="V1474:V1537" si="119">IF(K1474="METROPOLITANA DE SANTIAGO","METROPOLITANA","REGIONES")</f>
        <v>METROPOLITANA</v>
      </c>
    </row>
    <row r="1475" spans="1:22" x14ac:dyDescent="0.2">
      <c r="A1475" s="11" t="s">
        <v>1912</v>
      </c>
      <c r="B1475" s="12" t="s">
        <v>33</v>
      </c>
      <c r="C1475" s="12" t="s">
        <v>44</v>
      </c>
      <c r="D1475" s="12" t="s">
        <v>56</v>
      </c>
      <c r="E1475" s="13">
        <v>161268070</v>
      </c>
      <c r="F1475" s="12" t="s">
        <v>94</v>
      </c>
      <c r="G1475" s="14">
        <v>2685.24</v>
      </c>
      <c r="H1475" s="12" t="s">
        <v>22</v>
      </c>
      <c r="I1475" s="12">
        <v>0</v>
      </c>
      <c r="J1475" s="12" t="s">
        <v>59</v>
      </c>
      <c r="K1475" s="12" t="s">
        <v>78</v>
      </c>
      <c r="L1475" s="12">
        <v>0</v>
      </c>
      <c r="M1475" s="15">
        <v>180000</v>
      </c>
      <c r="N1475" s="15">
        <v>0</v>
      </c>
      <c r="O1475" s="15">
        <f t="shared" si="115"/>
        <v>180000</v>
      </c>
      <c r="P1475" s="15">
        <f t="shared" si="116"/>
        <v>67.033114358493094</v>
      </c>
      <c r="Q1475" s="14">
        <v>25000</v>
      </c>
      <c r="R1475" s="12">
        <v>11</v>
      </c>
      <c r="S1475" s="12" t="s">
        <v>1915</v>
      </c>
      <c r="T1475" s="22">
        <f t="shared" si="117"/>
        <v>3</v>
      </c>
      <c r="U1475" s="22">
        <f t="shared" si="118"/>
        <v>2021</v>
      </c>
      <c r="V1475" s="22" t="str">
        <f t="shared" si="119"/>
        <v>REGIONES</v>
      </c>
    </row>
    <row r="1476" spans="1:22" x14ac:dyDescent="0.2">
      <c r="A1476" s="11" t="s">
        <v>1912</v>
      </c>
      <c r="B1476" s="12" t="s">
        <v>33</v>
      </c>
      <c r="C1476" s="12" t="s">
        <v>44</v>
      </c>
      <c r="D1476" s="12" t="s">
        <v>188</v>
      </c>
      <c r="E1476" s="13">
        <v>35488103</v>
      </c>
      <c r="F1476" s="12" t="s">
        <v>229</v>
      </c>
      <c r="G1476" s="14">
        <v>1700.4</v>
      </c>
      <c r="H1476" s="12" t="s">
        <v>190</v>
      </c>
      <c r="I1476" s="12">
        <v>0</v>
      </c>
      <c r="J1476" s="12" t="s">
        <v>230</v>
      </c>
      <c r="K1476" s="12" t="s">
        <v>23</v>
      </c>
      <c r="L1476" s="12">
        <v>4</v>
      </c>
      <c r="M1476" s="15">
        <v>56075</v>
      </c>
      <c r="N1476" s="15">
        <v>5101</v>
      </c>
      <c r="O1476" s="15">
        <f t="shared" si="115"/>
        <v>61176</v>
      </c>
      <c r="P1476" s="15">
        <f t="shared" si="116"/>
        <v>35.977417078334504</v>
      </c>
      <c r="Q1476" s="14">
        <v>8011</v>
      </c>
      <c r="R1476" s="12">
        <v>21</v>
      </c>
      <c r="S1476" s="12" t="s">
        <v>1916</v>
      </c>
      <c r="T1476" s="22">
        <f t="shared" si="117"/>
        <v>3</v>
      </c>
      <c r="U1476" s="22">
        <f t="shared" si="118"/>
        <v>2021</v>
      </c>
      <c r="V1476" s="22" t="str">
        <f t="shared" si="119"/>
        <v>METROPOLITANA</v>
      </c>
    </row>
    <row r="1477" spans="1:22" x14ac:dyDescent="0.2">
      <c r="A1477" s="11" t="s">
        <v>1912</v>
      </c>
      <c r="B1477" s="12" t="s">
        <v>33</v>
      </c>
      <c r="C1477" s="12" t="s">
        <v>44</v>
      </c>
      <c r="D1477" s="12" t="s">
        <v>45</v>
      </c>
      <c r="E1477" s="13">
        <v>81417709</v>
      </c>
      <c r="F1477" s="12" t="s">
        <v>26</v>
      </c>
      <c r="G1477" s="14">
        <v>2250</v>
      </c>
      <c r="H1477" s="12" t="s">
        <v>22</v>
      </c>
      <c r="I1477" s="12">
        <v>0</v>
      </c>
      <c r="J1477" s="12" t="s">
        <v>26</v>
      </c>
      <c r="K1477" s="12" t="s">
        <v>23</v>
      </c>
      <c r="L1477" s="12">
        <v>4</v>
      </c>
      <c r="M1477" s="15">
        <v>56075</v>
      </c>
      <c r="N1477" s="15">
        <v>9000</v>
      </c>
      <c r="O1477" s="15">
        <f t="shared" si="115"/>
        <v>65075</v>
      </c>
      <c r="P1477" s="15">
        <f t="shared" si="116"/>
        <v>28.922222222222221</v>
      </c>
      <c r="Q1477" s="14">
        <v>8011</v>
      </c>
      <c r="R1477" s="12">
        <v>28</v>
      </c>
      <c r="S1477" s="12" t="s">
        <v>1917</v>
      </c>
      <c r="T1477" s="22">
        <f t="shared" si="117"/>
        <v>3</v>
      </c>
      <c r="U1477" s="22">
        <f t="shared" si="118"/>
        <v>2021</v>
      </c>
      <c r="V1477" s="22" t="str">
        <f t="shared" si="119"/>
        <v>METROPOLITANA</v>
      </c>
    </row>
    <row r="1478" spans="1:22" x14ac:dyDescent="0.2">
      <c r="A1478" s="11" t="s">
        <v>1912</v>
      </c>
      <c r="B1478" s="12" t="s">
        <v>33</v>
      </c>
      <c r="C1478" s="12" t="s">
        <v>44</v>
      </c>
      <c r="D1478" s="12" t="s">
        <v>47</v>
      </c>
      <c r="E1478" s="13">
        <v>154837728</v>
      </c>
      <c r="F1478" s="12" t="s">
        <v>48</v>
      </c>
      <c r="G1478" s="14">
        <v>3837.1800000000012</v>
      </c>
      <c r="H1478" s="12" t="s">
        <v>22</v>
      </c>
      <c r="I1478" s="12">
        <v>0</v>
      </c>
      <c r="J1478" s="12" t="s">
        <v>48</v>
      </c>
      <c r="K1478" s="12" t="s">
        <v>23</v>
      </c>
      <c r="L1478" s="12">
        <v>1</v>
      </c>
      <c r="M1478" s="15">
        <v>33750</v>
      </c>
      <c r="N1478" s="15">
        <v>15349</v>
      </c>
      <c r="O1478" s="15">
        <f t="shared" si="115"/>
        <v>49099</v>
      </c>
      <c r="P1478" s="15">
        <f t="shared" si="116"/>
        <v>12.795594681510897</v>
      </c>
      <c r="Q1478" s="14">
        <v>4821</v>
      </c>
      <c r="R1478" s="12">
        <v>80</v>
      </c>
      <c r="S1478" s="12" t="s">
        <v>1918</v>
      </c>
      <c r="T1478" s="22">
        <f t="shared" si="117"/>
        <v>3</v>
      </c>
      <c r="U1478" s="22">
        <f t="shared" si="118"/>
        <v>2021</v>
      </c>
      <c r="V1478" s="22" t="str">
        <f t="shared" si="119"/>
        <v>METROPOLITANA</v>
      </c>
    </row>
    <row r="1479" spans="1:22" x14ac:dyDescent="0.2">
      <c r="A1479" s="11" t="s">
        <v>1912</v>
      </c>
      <c r="B1479" s="12" t="s">
        <v>33</v>
      </c>
      <c r="C1479" s="12" t="s">
        <v>44</v>
      </c>
      <c r="D1479" s="12" t="s">
        <v>35</v>
      </c>
      <c r="E1479" s="13">
        <v>78907355</v>
      </c>
      <c r="F1479" s="12" t="s">
        <v>51</v>
      </c>
      <c r="G1479" s="14">
        <v>2505.2399999999998</v>
      </c>
      <c r="H1479" s="12" t="s">
        <v>22</v>
      </c>
      <c r="I1479" s="12">
        <v>0</v>
      </c>
      <c r="J1479" s="12" t="s">
        <v>51</v>
      </c>
      <c r="K1479" s="12" t="s">
        <v>23</v>
      </c>
      <c r="L1479" s="12">
        <v>4</v>
      </c>
      <c r="M1479" s="15">
        <v>56075</v>
      </c>
      <c r="N1479" s="15">
        <v>10021</v>
      </c>
      <c r="O1479" s="15">
        <f t="shared" si="115"/>
        <v>66096</v>
      </c>
      <c r="P1479" s="15">
        <f t="shared" si="116"/>
        <v>26.383101020261535</v>
      </c>
      <c r="Q1479" s="14">
        <v>8011</v>
      </c>
      <c r="R1479" s="12">
        <v>31</v>
      </c>
      <c r="S1479" s="12" t="s">
        <v>1919</v>
      </c>
      <c r="T1479" s="22">
        <f t="shared" si="117"/>
        <v>3</v>
      </c>
      <c r="U1479" s="22">
        <f t="shared" si="118"/>
        <v>2021</v>
      </c>
      <c r="V1479" s="22" t="str">
        <f t="shared" si="119"/>
        <v>METROPOLITANA</v>
      </c>
    </row>
    <row r="1480" spans="1:22" x14ac:dyDescent="0.2">
      <c r="A1480" s="23" t="s">
        <v>1920</v>
      </c>
      <c r="B1480" s="22" t="s">
        <v>18</v>
      </c>
      <c r="C1480" s="22" t="s">
        <v>324</v>
      </c>
      <c r="D1480" s="22" t="s">
        <v>30</v>
      </c>
      <c r="E1480" s="24" t="s">
        <v>31</v>
      </c>
      <c r="F1480" s="22" t="s">
        <v>325</v>
      </c>
      <c r="G1480" s="25">
        <v>7509.24</v>
      </c>
      <c r="H1480" s="22" t="s">
        <v>32</v>
      </c>
      <c r="I1480" s="22">
        <v>0</v>
      </c>
      <c r="J1480" s="22" t="s">
        <v>325</v>
      </c>
      <c r="K1480" s="22" t="s">
        <v>78</v>
      </c>
      <c r="L1480" s="22">
        <v>0</v>
      </c>
      <c r="M1480" s="26">
        <v>180000</v>
      </c>
      <c r="N1480" s="26">
        <v>0</v>
      </c>
      <c r="O1480" s="15">
        <f t="shared" si="115"/>
        <v>180000</v>
      </c>
      <c r="P1480" s="15">
        <f t="shared" si="116"/>
        <v>23.970468382952202</v>
      </c>
      <c r="Q1480" s="25">
        <v>25000</v>
      </c>
      <c r="R1480" s="22">
        <v>30</v>
      </c>
      <c r="S1480" s="22" t="s">
        <v>1921</v>
      </c>
      <c r="T1480" s="22">
        <f t="shared" si="117"/>
        <v>3</v>
      </c>
      <c r="U1480" s="22">
        <f t="shared" si="118"/>
        <v>2021</v>
      </c>
      <c r="V1480" s="22" t="str">
        <f t="shared" si="119"/>
        <v>REGIONES</v>
      </c>
    </row>
    <row r="1481" spans="1:22" x14ac:dyDescent="0.2">
      <c r="A1481" s="23" t="s">
        <v>1920</v>
      </c>
      <c r="B1481" s="22" t="s">
        <v>18</v>
      </c>
      <c r="C1481" s="22" t="s">
        <v>163</v>
      </c>
      <c r="D1481" s="22" t="s">
        <v>37</v>
      </c>
      <c r="E1481" s="24" t="s">
        <v>40</v>
      </c>
      <c r="F1481" s="22" t="s">
        <v>165</v>
      </c>
      <c r="G1481" s="25">
        <v>8467.9999999999982</v>
      </c>
      <c r="H1481" s="22" t="s">
        <v>22</v>
      </c>
      <c r="I1481" s="22">
        <v>0</v>
      </c>
      <c r="J1481" s="22" t="s">
        <v>165</v>
      </c>
      <c r="K1481" s="22" t="s">
        <v>23</v>
      </c>
      <c r="L1481" s="22">
        <v>4</v>
      </c>
      <c r="M1481" s="26">
        <v>59276</v>
      </c>
      <c r="N1481" s="26">
        <f>+G1481*4</f>
        <v>33871.999999999993</v>
      </c>
      <c r="O1481" s="15">
        <f t="shared" si="115"/>
        <v>93148</v>
      </c>
      <c r="P1481" s="15">
        <f t="shared" si="116"/>
        <v>11.000000000000002</v>
      </c>
      <c r="Q1481" s="25">
        <v>8011</v>
      </c>
      <c r="R1481" s="22">
        <v>100</v>
      </c>
      <c r="S1481" s="22" t="s">
        <v>1922</v>
      </c>
      <c r="T1481" s="22">
        <f t="shared" si="117"/>
        <v>3</v>
      </c>
      <c r="U1481" s="22">
        <f t="shared" si="118"/>
        <v>2021</v>
      </c>
      <c r="V1481" s="22" t="str">
        <f t="shared" si="119"/>
        <v>METROPOLITANA</v>
      </c>
    </row>
    <row r="1482" spans="1:22" x14ac:dyDescent="0.2">
      <c r="A1482" s="23" t="s">
        <v>1920</v>
      </c>
      <c r="B1482" s="22" t="s">
        <v>18</v>
      </c>
      <c r="C1482" s="22" t="s">
        <v>163</v>
      </c>
      <c r="D1482" s="22" t="s">
        <v>63</v>
      </c>
      <c r="E1482" s="24" t="s">
        <v>64</v>
      </c>
      <c r="F1482" s="22" t="s">
        <v>165</v>
      </c>
      <c r="G1482" s="25">
        <v>8352</v>
      </c>
      <c r="H1482" s="22" t="s">
        <v>65</v>
      </c>
      <c r="I1482" s="22">
        <v>0</v>
      </c>
      <c r="J1482" s="22" t="s">
        <v>165</v>
      </c>
      <c r="K1482" s="22" t="s">
        <v>23</v>
      </c>
      <c r="L1482" s="22">
        <v>4</v>
      </c>
      <c r="M1482" s="26">
        <f>+G1482*11</f>
        <v>91872</v>
      </c>
      <c r="N1482" s="26">
        <v>0</v>
      </c>
      <c r="O1482" s="15">
        <f t="shared" si="115"/>
        <v>91872</v>
      </c>
      <c r="P1482" s="15">
        <f t="shared" si="116"/>
        <v>11</v>
      </c>
      <c r="Q1482" s="25">
        <v>8011</v>
      </c>
      <c r="R1482" s="22">
        <v>100</v>
      </c>
      <c r="S1482" s="22" t="s">
        <v>1923</v>
      </c>
      <c r="T1482" s="22">
        <f t="shared" si="117"/>
        <v>3</v>
      </c>
      <c r="U1482" s="22">
        <f t="shared" si="118"/>
        <v>2021</v>
      </c>
      <c r="V1482" s="22" t="str">
        <f t="shared" si="119"/>
        <v>METROPOLITANA</v>
      </c>
    </row>
    <row r="1483" spans="1:22" x14ac:dyDescent="0.2">
      <c r="A1483" s="23" t="s">
        <v>1920</v>
      </c>
      <c r="B1483" s="22" t="s">
        <v>18</v>
      </c>
      <c r="C1483" s="22" t="s">
        <v>163</v>
      </c>
      <c r="D1483" s="22" t="s">
        <v>20</v>
      </c>
      <c r="E1483" s="24" t="s">
        <v>21</v>
      </c>
      <c r="F1483" s="22" t="s">
        <v>165</v>
      </c>
      <c r="G1483" s="25">
        <v>4698</v>
      </c>
      <c r="H1483" s="22" t="s">
        <v>22</v>
      </c>
      <c r="I1483" s="22">
        <v>0</v>
      </c>
      <c r="J1483" s="22" t="s">
        <v>165</v>
      </c>
      <c r="K1483" s="22" t="s">
        <v>23</v>
      </c>
      <c r="L1483" s="22">
        <v>4</v>
      </c>
      <c r="M1483" s="26">
        <v>56075</v>
      </c>
      <c r="N1483" s="26">
        <f>+G1483*4</f>
        <v>18792</v>
      </c>
      <c r="O1483" s="15">
        <f t="shared" si="115"/>
        <v>74867</v>
      </c>
      <c r="P1483" s="15">
        <f t="shared" si="116"/>
        <v>15.93593018305662</v>
      </c>
      <c r="Q1483" s="25">
        <v>8011</v>
      </c>
      <c r="R1483" s="22">
        <v>59</v>
      </c>
      <c r="S1483" s="22" t="s">
        <v>1924</v>
      </c>
      <c r="T1483" s="22">
        <f t="shared" si="117"/>
        <v>3</v>
      </c>
      <c r="U1483" s="22">
        <f t="shared" si="118"/>
        <v>2021</v>
      </c>
      <c r="V1483" s="22" t="str">
        <f t="shared" si="119"/>
        <v>METROPOLITANA</v>
      </c>
    </row>
    <row r="1484" spans="1:22" x14ac:dyDescent="0.2">
      <c r="A1484" s="23" t="s">
        <v>1920</v>
      </c>
      <c r="B1484" s="22" t="s">
        <v>18</v>
      </c>
      <c r="C1484" s="22" t="s">
        <v>508</v>
      </c>
      <c r="D1484" s="22" t="s">
        <v>38</v>
      </c>
      <c r="E1484" s="24" t="s">
        <v>42</v>
      </c>
      <c r="F1484" s="22" t="s">
        <v>800</v>
      </c>
      <c r="G1484" s="25">
        <f>5126.7+3362</f>
        <v>8488.7000000000007</v>
      </c>
      <c r="H1484" s="22" t="s">
        <v>43</v>
      </c>
      <c r="I1484" s="22">
        <v>0</v>
      </c>
      <c r="J1484" s="22" t="s">
        <v>800</v>
      </c>
      <c r="K1484" s="22" t="s">
        <v>23</v>
      </c>
      <c r="L1484" s="22">
        <v>5</v>
      </c>
      <c r="M1484" s="26">
        <v>90000</v>
      </c>
      <c r="N1484" s="26">
        <v>0</v>
      </c>
      <c r="O1484" s="15">
        <f t="shared" si="115"/>
        <v>90000</v>
      </c>
      <c r="P1484" s="15">
        <f t="shared" si="116"/>
        <v>10.602330156561074</v>
      </c>
      <c r="Q1484" s="25">
        <v>12000</v>
      </c>
      <c r="R1484" s="22">
        <v>43</v>
      </c>
      <c r="S1484" s="22" t="s">
        <v>1925</v>
      </c>
      <c r="T1484" s="22">
        <f t="shared" si="117"/>
        <v>3</v>
      </c>
      <c r="U1484" s="22">
        <f t="shared" si="118"/>
        <v>2021</v>
      </c>
      <c r="V1484" s="22" t="str">
        <f t="shared" si="119"/>
        <v>METROPOLITANA</v>
      </c>
    </row>
    <row r="1485" spans="1:22" x14ac:dyDescent="0.2">
      <c r="A1485" s="23" t="s">
        <v>1920</v>
      </c>
      <c r="B1485" s="22" t="s">
        <v>18</v>
      </c>
      <c r="C1485" s="22" t="s">
        <v>508</v>
      </c>
      <c r="D1485" s="22" t="s">
        <v>47</v>
      </c>
      <c r="E1485" s="24" t="s">
        <v>1576</v>
      </c>
      <c r="F1485" s="22" t="s">
        <v>51</v>
      </c>
      <c r="G1485" s="25">
        <v>2119.6800000000012</v>
      </c>
      <c r="H1485" s="22" t="s">
        <v>22</v>
      </c>
      <c r="I1485" s="22">
        <v>0</v>
      </c>
      <c r="J1485" s="22" t="s">
        <v>51</v>
      </c>
      <c r="K1485" s="22" t="s">
        <v>23</v>
      </c>
      <c r="L1485" s="22">
        <v>4</v>
      </c>
      <c r="M1485" s="26">
        <v>56075</v>
      </c>
      <c r="N1485" s="26">
        <v>0</v>
      </c>
      <c r="O1485" s="15">
        <f t="shared" si="115"/>
        <v>56075</v>
      </c>
      <c r="P1485" s="15">
        <f t="shared" si="116"/>
        <v>26.454464824879214</v>
      </c>
      <c r="Q1485" s="25">
        <v>8011</v>
      </c>
      <c r="R1485" s="22">
        <v>26</v>
      </c>
      <c r="S1485" s="22" t="s">
        <v>1926</v>
      </c>
      <c r="T1485" s="22">
        <f t="shared" si="117"/>
        <v>3</v>
      </c>
      <c r="U1485" s="22">
        <f t="shared" si="118"/>
        <v>2021</v>
      </c>
      <c r="V1485" s="22" t="str">
        <f t="shared" si="119"/>
        <v>METROPOLITANA</v>
      </c>
    </row>
    <row r="1486" spans="1:22" x14ac:dyDescent="0.2">
      <c r="A1486" s="23" t="s">
        <v>1920</v>
      </c>
      <c r="B1486" s="22" t="s">
        <v>33</v>
      </c>
      <c r="C1486" s="22" t="s">
        <v>128</v>
      </c>
      <c r="D1486" s="22" t="s">
        <v>56</v>
      </c>
      <c r="E1486" s="24" t="s">
        <v>28</v>
      </c>
      <c r="F1486" s="22" t="s">
        <v>34</v>
      </c>
      <c r="G1486" s="25">
        <v>3022.8000000000011</v>
      </c>
      <c r="H1486" s="22" t="s">
        <v>22</v>
      </c>
      <c r="I1486" s="22">
        <v>0</v>
      </c>
      <c r="J1486" s="22" t="s">
        <v>34</v>
      </c>
      <c r="K1486" s="22" t="s">
        <v>23</v>
      </c>
      <c r="L1486" s="22">
        <v>1</v>
      </c>
      <c r="M1486" s="26">
        <v>33750</v>
      </c>
      <c r="N1486" s="26">
        <v>12091</v>
      </c>
      <c r="O1486" s="15">
        <f t="shared" si="115"/>
        <v>45841</v>
      </c>
      <c r="P1486" s="15">
        <f t="shared" si="116"/>
        <v>15.165078734947725</v>
      </c>
      <c r="Q1486" s="25">
        <v>4821</v>
      </c>
      <c r="R1486" s="22">
        <v>63</v>
      </c>
      <c r="S1486" s="22" t="s">
        <v>1927</v>
      </c>
      <c r="T1486" s="22">
        <f t="shared" si="117"/>
        <v>3</v>
      </c>
      <c r="U1486" s="22">
        <f t="shared" si="118"/>
        <v>2021</v>
      </c>
      <c r="V1486" s="22" t="str">
        <f t="shared" si="119"/>
        <v>METROPOLITANA</v>
      </c>
    </row>
    <row r="1487" spans="1:22" x14ac:dyDescent="0.2">
      <c r="A1487" s="23" t="s">
        <v>1920</v>
      </c>
      <c r="B1487" s="22" t="s">
        <v>33</v>
      </c>
      <c r="C1487" s="22" t="s">
        <v>128</v>
      </c>
      <c r="D1487" s="22" t="s">
        <v>188</v>
      </c>
      <c r="E1487" s="24" t="s">
        <v>189</v>
      </c>
      <c r="F1487" s="22" t="s">
        <v>34</v>
      </c>
      <c r="G1487" s="25">
        <v>652.86</v>
      </c>
      <c r="H1487" s="22" t="s">
        <v>190</v>
      </c>
      <c r="I1487" s="22">
        <v>0</v>
      </c>
      <c r="J1487" s="22" t="s">
        <v>34</v>
      </c>
      <c r="K1487" s="22" t="s">
        <v>23</v>
      </c>
      <c r="L1487" s="22">
        <v>1</v>
      </c>
      <c r="M1487" s="26">
        <v>55000</v>
      </c>
      <c r="N1487" s="26">
        <v>0</v>
      </c>
      <c r="O1487" s="15">
        <f t="shared" si="115"/>
        <v>55000</v>
      </c>
      <c r="P1487" s="15">
        <f t="shared" si="116"/>
        <v>84.244707900621876</v>
      </c>
      <c r="Q1487" s="25">
        <v>4821</v>
      </c>
      <c r="R1487" s="22">
        <v>14</v>
      </c>
      <c r="S1487" s="22" t="s">
        <v>1928</v>
      </c>
      <c r="T1487" s="22">
        <f t="shared" si="117"/>
        <v>3</v>
      </c>
      <c r="U1487" s="22">
        <f t="shared" si="118"/>
        <v>2021</v>
      </c>
      <c r="V1487" s="22" t="str">
        <f t="shared" si="119"/>
        <v>METROPOLITANA</v>
      </c>
    </row>
    <row r="1488" spans="1:22" x14ac:dyDescent="0.2">
      <c r="A1488" s="23" t="s">
        <v>1920</v>
      </c>
      <c r="B1488" s="22" t="s">
        <v>33</v>
      </c>
      <c r="C1488" s="22" t="s">
        <v>128</v>
      </c>
      <c r="D1488" s="22" t="s">
        <v>47</v>
      </c>
      <c r="E1488" s="24" t="s">
        <v>1576</v>
      </c>
      <c r="F1488" s="22" t="s">
        <v>34</v>
      </c>
      <c r="G1488" s="25">
        <v>2908.44</v>
      </c>
      <c r="H1488" s="22" t="s">
        <v>22</v>
      </c>
      <c r="I1488" s="22">
        <v>0</v>
      </c>
      <c r="J1488" s="22" t="s">
        <v>34</v>
      </c>
      <c r="K1488" s="22" t="s">
        <v>23</v>
      </c>
      <c r="L1488" s="22">
        <v>1</v>
      </c>
      <c r="M1488" s="26">
        <v>33750</v>
      </c>
      <c r="N1488" s="26">
        <v>12000</v>
      </c>
      <c r="O1488" s="15">
        <f t="shared" si="115"/>
        <v>45750</v>
      </c>
      <c r="P1488" s="15">
        <f t="shared" si="116"/>
        <v>15.730082105871189</v>
      </c>
      <c r="Q1488" s="25">
        <v>4821</v>
      </c>
      <c r="R1488" s="22">
        <v>60</v>
      </c>
      <c r="S1488" s="22" t="s">
        <v>1929</v>
      </c>
      <c r="T1488" s="22">
        <f t="shared" si="117"/>
        <v>3</v>
      </c>
      <c r="U1488" s="22">
        <f t="shared" si="118"/>
        <v>2021</v>
      </c>
      <c r="V1488" s="22" t="str">
        <f t="shared" si="119"/>
        <v>METROPOLITANA</v>
      </c>
    </row>
    <row r="1489" spans="1:22" x14ac:dyDescent="0.2">
      <c r="A1489" s="23" t="s">
        <v>1920</v>
      </c>
      <c r="B1489" s="22" t="s">
        <v>33</v>
      </c>
      <c r="C1489" s="22" t="s">
        <v>29</v>
      </c>
      <c r="D1489" s="22" t="s">
        <v>786</v>
      </c>
      <c r="E1489" s="24" t="s">
        <v>787</v>
      </c>
      <c r="F1489" s="22" t="s">
        <v>132</v>
      </c>
      <c r="G1489" s="25">
        <v>8244.0000000000036</v>
      </c>
      <c r="H1489" s="22" t="s">
        <v>788</v>
      </c>
      <c r="I1489" s="22">
        <v>1</v>
      </c>
      <c r="J1489" s="22" t="s">
        <v>132</v>
      </c>
      <c r="K1489" s="22" t="s">
        <v>124</v>
      </c>
      <c r="L1489" s="22">
        <v>0</v>
      </c>
      <c r="M1489" s="26">
        <v>350000</v>
      </c>
      <c r="N1489" s="26">
        <v>0</v>
      </c>
      <c r="O1489" s="15">
        <f t="shared" si="115"/>
        <v>350000</v>
      </c>
      <c r="P1489" s="15">
        <f t="shared" si="116"/>
        <v>42.455118874332832</v>
      </c>
      <c r="Q1489" s="25">
        <v>25000</v>
      </c>
      <c r="R1489" s="22">
        <v>33</v>
      </c>
      <c r="S1489" s="22" t="s">
        <v>1930</v>
      </c>
      <c r="T1489" s="22">
        <f t="shared" si="117"/>
        <v>3</v>
      </c>
      <c r="U1489" s="22">
        <f t="shared" si="118"/>
        <v>2021</v>
      </c>
      <c r="V1489" s="22" t="str">
        <f t="shared" si="119"/>
        <v>REGIONES</v>
      </c>
    </row>
    <row r="1490" spans="1:22" x14ac:dyDescent="0.2">
      <c r="A1490" s="23" t="s">
        <v>1920</v>
      </c>
      <c r="B1490" s="22" t="s">
        <v>33</v>
      </c>
      <c r="C1490" s="22" t="s">
        <v>44</v>
      </c>
      <c r="D1490" s="22" t="s">
        <v>45</v>
      </c>
      <c r="E1490" s="24" t="s">
        <v>28</v>
      </c>
      <c r="F1490" s="22" t="s">
        <v>26</v>
      </c>
      <c r="G1490" s="25">
        <v>1327.5</v>
      </c>
      <c r="H1490" s="22" t="s">
        <v>22</v>
      </c>
      <c r="I1490" s="22">
        <v>0</v>
      </c>
      <c r="J1490" s="22" t="s">
        <v>26</v>
      </c>
      <c r="K1490" s="22" t="s">
        <v>23</v>
      </c>
      <c r="L1490" s="22">
        <v>4</v>
      </c>
      <c r="M1490" s="26">
        <v>56075</v>
      </c>
      <c r="N1490" s="26">
        <v>12000</v>
      </c>
      <c r="O1490" s="15">
        <f t="shared" si="115"/>
        <v>68075</v>
      </c>
      <c r="P1490" s="15">
        <f t="shared" si="116"/>
        <v>51.280602636534837</v>
      </c>
      <c r="Q1490" s="25">
        <v>8011</v>
      </c>
      <c r="R1490" s="22">
        <v>17</v>
      </c>
      <c r="S1490" s="22" t="s">
        <v>1931</v>
      </c>
      <c r="T1490" s="22">
        <f t="shared" si="117"/>
        <v>3</v>
      </c>
      <c r="U1490" s="22">
        <f t="shared" si="118"/>
        <v>2021</v>
      </c>
      <c r="V1490" s="22" t="str">
        <f t="shared" si="119"/>
        <v>METROPOLITANA</v>
      </c>
    </row>
    <row r="1491" spans="1:22" x14ac:dyDescent="0.2">
      <c r="A1491" s="23" t="s">
        <v>1920</v>
      </c>
      <c r="B1491" s="22" t="s">
        <v>33</v>
      </c>
      <c r="C1491" s="22" t="s">
        <v>44</v>
      </c>
      <c r="D1491" s="22" t="s">
        <v>35</v>
      </c>
      <c r="E1491" s="24" t="s">
        <v>21</v>
      </c>
      <c r="F1491" s="22" t="s">
        <v>53</v>
      </c>
      <c r="G1491" s="25">
        <v>1887.78</v>
      </c>
      <c r="H1491" s="22" t="s">
        <v>22</v>
      </c>
      <c r="I1491" s="22">
        <v>0</v>
      </c>
      <c r="J1491" s="22" t="s">
        <v>53</v>
      </c>
      <c r="K1491" s="22" t="s">
        <v>23</v>
      </c>
      <c r="L1491" s="22">
        <v>3</v>
      </c>
      <c r="M1491" s="26">
        <v>48075</v>
      </c>
      <c r="N1491" s="26">
        <v>12000</v>
      </c>
      <c r="O1491" s="15">
        <f t="shared" si="115"/>
        <v>60075</v>
      </c>
      <c r="P1491" s="15">
        <f t="shared" si="116"/>
        <v>31.823093792708896</v>
      </c>
      <c r="Q1491" s="25">
        <v>6868</v>
      </c>
      <c r="R1491" s="22">
        <v>27</v>
      </c>
      <c r="S1491" s="22" t="s">
        <v>1932</v>
      </c>
      <c r="T1491" s="22">
        <f t="shared" si="117"/>
        <v>3</v>
      </c>
      <c r="U1491" s="22">
        <f t="shared" si="118"/>
        <v>2021</v>
      </c>
      <c r="V1491" s="22" t="str">
        <f t="shared" si="119"/>
        <v>METROPOLITANA</v>
      </c>
    </row>
    <row r="1492" spans="1:22" x14ac:dyDescent="0.2">
      <c r="A1492" s="11" t="s">
        <v>1933</v>
      </c>
      <c r="B1492" s="12" t="s">
        <v>54</v>
      </c>
      <c r="C1492" s="12" t="s">
        <v>55</v>
      </c>
      <c r="D1492" s="12" t="s">
        <v>1934</v>
      </c>
      <c r="E1492" s="13" t="s">
        <v>1935</v>
      </c>
      <c r="F1492" s="12" t="s">
        <v>66</v>
      </c>
      <c r="G1492" s="14">
        <v>19734</v>
      </c>
      <c r="H1492" s="12" t="s">
        <v>24</v>
      </c>
      <c r="I1492" s="12">
        <v>1</v>
      </c>
      <c r="J1492" s="12" t="s">
        <v>66</v>
      </c>
      <c r="K1492" s="12" t="s">
        <v>75</v>
      </c>
      <c r="L1492" s="12">
        <v>0</v>
      </c>
      <c r="M1492" s="15">
        <v>380000</v>
      </c>
      <c r="N1492" s="15">
        <v>0</v>
      </c>
      <c r="O1492" s="15">
        <f t="shared" si="115"/>
        <v>380000</v>
      </c>
      <c r="P1492" s="15">
        <f t="shared" si="116"/>
        <v>19.256106212627952</v>
      </c>
      <c r="Q1492" s="14">
        <v>25000</v>
      </c>
      <c r="R1492" s="12">
        <v>79</v>
      </c>
      <c r="S1492" s="12" t="s">
        <v>1936</v>
      </c>
      <c r="T1492" s="22">
        <f t="shared" si="117"/>
        <v>3</v>
      </c>
      <c r="U1492" s="22">
        <f t="shared" si="118"/>
        <v>2021</v>
      </c>
      <c r="V1492" s="22" t="str">
        <f t="shared" si="119"/>
        <v>REGIONES</v>
      </c>
    </row>
    <row r="1493" spans="1:22" x14ac:dyDescent="0.2">
      <c r="A1493" s="11" t="s">
        <v>1933</v>
      </c>
      <c r="B1493" s="12" t="s">
        <v>18</v>
      </c>
      <c r="C1493" s="12" t="s">
        <v>71</v>
      </c>
      <c r="D1493" s="12" t="s">
        <v>63</v>
      </c>
      <c r="E1493" s="13" t="s">
        <v>64</v>
      </c>
      <c r="F1493" s="12" t="s">
        <v>72</v>
      </c>
      <c r="G1493" s="14">
        <v>11061.82</v>
      </c>
      <c r="H1493" s="12" t="s">
        <v>65</v>
      </c>
      <c r="I1493" s="12">
        <v>0</v>
      </c>
      <c r="J1493" s="12" t="s">
        <v>72</v>
      </c>
      <c r="K1493" s="12" t="s">
        <v>23</v>
      </c>
      <c r="L1493" s="12">
        <v>5</v>
      </c>
      <c r="M1493" s="15">
        <f>+G1493*11</f>
        <v>121680.01999999999</v>
      </c>
      <c r="N1493" s="15">
        <v>0</v>
      </c>
      <c r="O1493" s="15">
        <f t="shared" si="115"/>
        <v>121680.01999999999</v>
      </c>
      <c r="P1493" s="15">
        <f t="shared" si="116"/>
        <v>11</v>
      </c>
      <c r="Q1493" s="14">
        <v>12000</v>
      </c>
      <c r="R1493" s="12">
        <v>92</v>
      </c>
      <c r="S1493" s="12" t="s">
        <v>1937</v>
      </c>
      <c r="T1493" s="22">
        <f t="shared" si="117"/>
        <v>3</v>
      </c>
      <c r="U1493" s="22">
        <f t="shared" si="118"/>
        <v>2021</v>
      </c>
      <c r="V1493" s="22" t="str">
        <f t="shared" si="119"/>
        <v>METROPOLITANA</v>
      </c>
    </row>
    <row r="1494" spans="1:22" x14ac:dyDescent="0.2">
      <c r="A1494" s="11" t="s">
        <v>1933</v>
      </c>
      <c r="B1494" s="12" t="s">
        <v>18</v>
      </c>
      <c r="C1494" s="12" t="s">
        <v>57</v>
      </c>
      <c r="D1494" s="12" t="s">
        <v>20</v>
      </c>
      <c r="E1494" s="13" t="s">
        <v>21</v>
      </c>
      <c r="F1494" s="12" t="s">
        <v>800</v>
      </c>
      <c r="G1494" s="14">
        <v>7292.32</v>
      </c>
      <c r="H1494" s="12" t="s">
        <v>22</v>
      </c>
      <c r="I1494" s="12">
        <v>0</v>
      </c>
      <c r="J1494" s="12" t="s">
        <v>800</v>
      </c>
      <c r="K1494" s="12" t="s">
        <v>23</v>
      </c>
      <c r="L1494" s="12">
        <v>5</v>
      </c>
      <c r="M1494" s="15">
        <v>90000</v>
      </c>
      <c r="N1494" s="15">
        <f>+G1494*4</f>
        <v>29169.279999999999</v>
      </c>
      <c r="O1494" s="15">
        <f t="shared" si="115"/>
        <v>119169.28</v>
      </c>
      <c r="P1494" s="15">
        <f t="shared" si="116"/>
        <v>16.341751321938698</v>
      </c>
      <c r="Q1494" s="14">
        <v>12000</v>
      </c>
      <c r="R1494" s="12">
        <v>61</v>
      </c>
      <c r="S1494" s="12" t="s">
        <v>1938</v>
      </c>
      <c r="T1494" s="22">
        <f t="shared" si="117"/>
        <v>3</v>
      </c>
      <c r="U1494" s="22">
        <f t="shared" si="118"/>
        <v>2021</v>
      </c>
      <c r="V1494" s="22" t="str">
        <f t="shared" si="119"/>
        <v>METROPOLITANA</v>
      </c>
    </row>
    <row r="1495" spans="1:22" x14ac:dyDescent="0.2">
      <c r="A1495" s="11" t="s">
        <v>1933</v>
      </c>
      <c r="B1495" s="12" t="s">
        <v>18</v>
      </c>
      <c r="C1495" s="12" t="s">
        <v>508</v>
      </c>
      <c r="D1495" s="12" t="s">
        <v>37</v>
      </c>
      <c r="E1495" s="13" t="s">
        <v>40</v>
      </c>
      <c r="F1495" s="12" t="s">
        <v>800</v>
      </c>
      <c r="G1495" s="14">
        <v>4987.87</v>
      </c>
      <c r="H1495" s="12" t="s">
        <v>22</v>
      </c>
      <c r="I1495" s="12">
        <v>0</v>
      </c>
      <c r="J1495" s="12" t="s">
        <v>800</v>
      </c>
      <c r="K1495" s="12" t="s">
        <v>23</v>
      </c>
      <c r="L1495" s="12">
        <v>5</v>
      </c>
      <c r="M1495" s="15">
        <v>90000</v>
      </c>
      <c r="N1495" s="15">
        <f>+G1495*4</f>
        <v>19951.48</v>
      </c>
      <c r="O1495" s="15">
        <f t="shared" si="115"/>
        <v>109951.48</v>
      </c>
      <c r="P1495" s="15">
        <f t="shared" si="116"/>
        <v>22.04377419619998</v>
      </c>
      <c r="Q1495" s="14">
        <v>12000</v>
      </c>
      <c r="R1495" s="12">
        <v>42</v>
      </c>
      <c r="S1495" s="12" t="s">
        <v>1939</v>
      </c>
      <c r="T1495" s="22">
        <f t="shared" si="117"/>
        <v>3</v>
      </c>
      <c r="U1495" s="22">
        <f t="shared" si="118"/>
        <v>2021</v>
      </c>
      <c r="V1495" s="22" t="str">
        <f t="shared" si="119"/>
        <v>METROPOLITANA</v>
      </c>
    </row>
    <row r="1496" spans="1:22" x14ac:dyDescent="0.2">
      <c r="A1496" s="11" t="s">
        <v>1933</v>
      </c>
      <c r="B1496" s="12" t="s">
        <v>18</v>
      </c>
      <c r="C1496" s="12" t="s">
        <v>508</v>
      </c>
      <c r="D1496" s="12" t="s">
        <v>30</v>
      </c>
      <c r="E1496" s="13" t="s">
        <v>31</v>
      </c>
      <c r="F1496" s="12" t="s">
        <v>800</v>
      </c>
      <c r="G1496" s="14">
        <v>8105.75</v>
      </c>
      <c r="H1496" s="12" t="s">
        <v>32</v>
      </c>
      <c r="I1496" s="12">
        <v>0</v>
      </c>
      <c r="J1496" s="12" t="s">
        <v>800</v>
      </c>
      <c r="K1496" s="12" t="s">
        <v>23</v>
      </c>
      <c r="L1496" s="12">
        <v>5</v>
      </c>
      <c r="M1496" s="15">
        <f>+G1496*11</f>
        <v>89163.25</v>
      </c>
      <c r="N1496" s="15">
        <v>0</v>
      </c>
      <c r="O1496" s="15">
        <f t="shared" si="115"/>
        <v>89163.25</v>
      </c>
      <c r="P1496" s="15">
        <f t="shared" si="116"/>
        <v>11</v>
      </c>
      <c r="Q1496" s="14">
        <v>12000</v>
      </c>
      <c r="R1496" s="12">
        <v>68</v>
      </c>
      <c r="S1496" s="12" t="s">
        <v>1940</v>
      </c>
      <c r="T1496" s="22">
        <f t="shared" si="117"/>
        <v>3</v>
      </c>
      <c r="U1496" s="22">
        <f t="shared" si="118"/>
        <v>2021</v>
      </c>
      <c r="V1496" s="22" t="str">
        <f t="shared" si="119"/>
        <v>METROPOLITANA</v>
      </c>
    </row>
    <row r="1497" spans="1:22" x14ac:dyDescent="0.2">
      <c r="A1497" s="11" t="s">
        <v>1933</v>
      </c>
      <c r="B1497" s="12" t="s">
        <v>33</v>
      </c>
      <c r="C1497" s="12" t="s">
        <v>128</v>
      </c>
      <c r="D1497" s="12" t="s">
        <v>188</v>
      </c>
      <c r="E1497" s="13" t="s">
        <v>189</v>
      </c>
      <c r="F1497" s="12" t="s">
        <v>34</v>
      </c>
      <c r="G1497" s="14">
        <v>1374</v>
      </c>
      <c r="H1497" s="12" t="s">
        <v>190</v>
      </c>
      <c r="I1497" s="12">
        <v>0</v>
      </c>
      <c r="J1497" s="12" t="s">
        <v>34</v>
      </c>
      <c r="K1497" s="12" t="s">
        <v>23</v>
      </c>
      <c r="L1497" s="12">
        <v>1</v>
      </c>
      <c r="M1497" s="15">
        <v>55000</v>
      </c>
      <c r="N1497" s="15">
        <v>0</v>
      </c>
      <c r="O1497" s="15">
        <f t="shared" si="115"/>
        <v>55000</v>
      </c>
      <c r="P1497" s="15">
        <f t="shared" si="116"/>
        <v>40.02911208151383</v>
      </c>
      <c r="Q1497" s="14">
        <v>4821</v>
      </c>
      <c r="R1497" s="12">
        <v>29</v>
      </c>
      <c r="S1497" s="12" t="s">
        <v>1941</v>
      </c>
      <c r="T1497" s="22">
        <f t="shared" si="117"/>
        <v>3</v>
      </c>
      <c r="U1497" s="22">
        <f t="shared" si="118"/>
        <v>2021</v>
      </c>
      <c r="V1497" s="22" t="str">
        <f t="shared" si="119"/>
        <v>METROPOLITANA</v>
      </c>
    </row>
    <row r="1498" spans="1:22" x14ac:dyDescent="0.2">
      <c r="A1498" s="11" t="s">
        <v>1933</v>
      </c>
      <c r="B1498" s="12" t="s">
        <v>33</v>
      </c>
      <c r="C1498" s="12" t="s">
        <v>1066</v>
      </c>
      <c r="D1498" s="12" t="s">
        <v>38</v>
      </c>
      <c r="E1498" s="13" t="s">
        <v>42</v>
      </c>
      <c r="F1498" s="12" t="s">
        <v>173</v>
      </c>
      <c r="G1498" s="14">
        <v>3138.3000000000011</v>
      </c>
      <c r="H1498" s="12" t="s">
        <v>43</v>
      </c>
      <c r="I1498" s="12">
        <v>0</v>
      </c>
      <c r="J1498" s="12" t="s">
        <v>173</v>
      </c>
      <c r="K1498" s="12" t="s">
        <v>23</v>
      </c>
      <c r="L1498" s="12">
        <v>5</v>
      </c>
      <c r="M1498" s="15">
        <v>90000</v>
      </c>
      <c r="N1498" s="15">
        <v>0</v>
      </c>
      <c r="O1498" s="15">
        <f t="shared" si="115"/>
        <v>90000</v>
      </c>
      <c r="P1498" s="15">
        <f t="shared" si="116"/>
        <v>28.677946659019206</v>
      </c>
      <c r="Q1498" s="14">
        <v>12000</v>
      </c>
      <c r="R1498" s="12">
        <v>26</v>
      </c>
      <c r="S1498" s="12" t="s">
        <v>1942</v>
      </c>
      <c r="T1498" s="22">
        <f t="shared" si="117"/>
        <v>3</v>
      </c>
      <c r="U1498" s="22">
        <f t="shared" si="118"/>
        <v>2021</v>
      </c>
      <c r="V1498" s="22" t="str">
        <f t="shared" si="119"/>
        <v>METROPOLITANA</v>
      </c>
    </row>
    <row r="1499" spans="1:22" x14ac:dyDescent="0.2">
      <c r="A1499" s="11" t="s">
        <v>1933</v>
      </c>
      <c r="B1499" s="12" t="s">
        <v>33</v>
      </c>
      <c r="C1499" s="12" t="s">
        <v>29</v>
      </c>
      <c r="D1499" s="12" t="s">
        <v>164</v>
      </c>
      <c r="E1499" s="13" t="s">
        <v>28</v>
      </c>
      <c r="F1499" s="12" t="s">
        <v>170</v>
      </c>
      <c r="G1499" s="14">
        <v>8244.0000000000036</v>
      </c>
      <c r="H1499" s="12" t="s">
        <v>22</v>
      </c>
      <c r="I1499" s="12">
        <v>1</v>
      </c>
      <c r="J1499" s="12" t="s">
        <v>170</v>
      </c>
      <c r="K1499" s="12" t="s">
        <v>171</v>
      </c>
      <c r="L1499" s="12">
        <v>0</v>
      </c>
      <c r="M1499" s="15">
        <v>230000</v>
      </c>
      <c r="N1499" s="15">
        <f>+G1499*4</f>
        <v>32976.000000000015</v>
      </c>
      <c r="O1499" s="15">
        <f t="shared" si="115"/>
        <v>262976</v>
      </c>
      <c r="P1499" s="15">
        <f t="shared" si="116"/>
        <v>31.899078117418714</v>
      </c>
      <c r="Q1499" s="14">
        <v>25000</v>
      </c>
      <c r="R1499" s="12">
        <v>33</v>
      </c>
      <c r="S1499" s="12" t="s">
        <v>1943</v>
      </c>
      <c r="T1499" s="22">
        <f t="shared" si="117"/>
        <v>3</v>
      </c>
      <c r="U1499" s="22">
        <f t="shared" si="118"/>
        <v>2021</v>
      </c>
      <c r="V1499" s="22" t="str">
        <f t="shared" si="119"/>
        <v>REGIONES</v>
      </c>
    </row>
    <row r="1500" spans="1:22" x14ac:dyDescent="0.2">
      <c r="A1500" s="11" t="s">
        <v>1933</v>
      </c>
      <c r="B1500" s="12" t="s">
        <v>33</v>
      </c>
      <c r="C1500" s="12" t="s">
        <v>44</v>
      </c>
      <c r="D1500" s="12" t="s">
        <v>56</v>
      </c>
      <c r="E1500" s="13" t="s">
        <v>21</v>
      </c>
      <c r="F1500" s="12" t="s">
        <v>34</v>
      </c>
      <c r="G1500" s="14">
        <v>1602.3</v>
      </c>
      <c r="H1500" s="12" t="s">
        <v>22</v>
      </c>
      <c r="I1500" s="12">
        <v>0</v>
      </c>
      <c r="J1500" s="12" t="s">
        <v>34</v>
      </c>
      <c r="K1500" s="12" t="s">
        <v>23</v>
      </c>
      <c r="L1500" s="12">
        <v>1</v>
      </c>
      <c r="M1500" s="15">
        <v>33750</v>
      </c>
      <c r="N1500" s="15">
        <v>12000</v>
      </c>
      <c r="O1500" s="15">
        <f t="shared" si="115"/>
        <v>45750</v>
      </c>
      <c r="P1500" s="15">
        <f t="shared" si="116"/>
        <v>28.55270548586407</v>
      </c>
      <c r="Q1500" s="14">
        <v>4821</v>
      </c>
      <c r="R1500" s="12">
        <v>33</v>
      </c>
      <c r="S1500" s="12" t="s">
        <v>1944</v>
      </c>
      <c r="T1500" s="22">
        <f t="shared" si="117"/>
        <v>3</v>
      </c>
      <c r="U1500" s="22">
        <f t="shared" si="118"/>
        <v>2021</v>
      </c>
      <c r="V1500" s="22" t="str">
        <f t="shared" si="119"/>
        <v>METROPOLITANA</v>
      </c>
    </row>
    <row r="1501" spans="1:22" x14ac:dyDescent="0.2">
      <c r="A1501" s="11" t="s">
        <v>1933</v>
      </c>
      <c r="B1501" s="12" t="s">
        <v>33</v>
      </c>
      <c r="C1501" s="12" t="s">
        <v>44</v>
      </c>
      <c r="D1501" s="12" t="s">
        <v>188</v>
      </c>
      <c r="E1501" s="13" t="s">
        <v>189</v>
      </c>
      <c r="F1501" s="12" t="s">
        <v>134</v>
      </c>
      <c r="G1501" s="14">
        <v>1670.16</v>
      </c>
      <c r="H1501" s="12" t="s">
        <v>190</v>
      </c>
      <c r="I1501" s="12">
        <v>0</v>
      </c>
      <c r="J1501" s="12" t="s">
        <v>134</v>
      </c>
      <c r="K1501" s="12" t="s">
        <v>23</v>
      </c>
      <c r="L1501" s="12">
        <v>2</v>
      </c>
      <c r="M1501" s="15">
        <v>55000</v>
      </c>
      <c r="N1501" s="15">
        <v>0</v>
      </c>
      <c r="O1501" s="15">
        <f t="shared" si="115"/>
        <v>55000</v>
      </c>
      <c r="P1501" s="15">
        <f t="shared" si="116"/>
        <v>32.930976672893614</v>
      </c>
      <c r="Q1501" s="14">
        <v>5782</v>
      </c>
      <c r="R1501" s="12">
        <v>29</v>
      </c>
      <c r="S1501" s="12" t="s">
        <v>1945</v>
      </c>
      <c r="T1501" s="22">
        <f t="shared" si="117"/>
        <v>3</v>
      </c>
      <c r="U1501" s="22">
        <f t="shared" si="118"/>
        <v>2021</v>
      </c>
      <c r="V1501" s="22" t="str">
        <f t="shared" si="119"/>
        <v>METROPOLITANA</v>
      </c>
    </row>
    <row r="1502" spans="1:22" x14ac:dyDescent="0.2">
      <c r="A1502" s="11" t="s">
        <v>1933</v>
      </c>
      <c r="B1502" s="12" t="s">
        <v>33</v>
      </c>
      <c r="C1502" s="12" t="s">
        <v>44</v>
      </c>
      <c r="D1502" s="12" t="s">
        <v>45</v>
      </c>
      <c r="E1502" s="13" t="s">
        <v>52</v>
      </c>
      <c r="F1502" s="12" t="s">
        <v>182</v>
      </c>
      <c r="G1502" s="14">
        <v>2722.86</v>
      </c>
      <c r="H1502" s="12" t="s">
        <v>22</v>
      </c>
      <c r="I1502" s="12">
        <v>0</v>
      </c>
      <c r="J1502" s="12" t="s">
        <v>182</v>
      </c>
      <c r="K1502" s="12" t="s">
        <v>23</v>
      </c>
      <c r="L1502" s="12">
        <v>4</v>
      </c>
      <c r="M1502" s="15">
        <v>56075</v>
      </c>
      <c r="N1502" s="15">
        <v>12000</v>
      </c>
      <c r="O1502" s="15">
        <f t="shared" si="115"/>
        <v>68075</v>
      </c>
      <c r="P1502" s="15">
        <f t="shared" si="116"/>
        <v>25.001285413131779</v>
      </c>
      <c r="Q1502" s="14">
        <v>8011</v>
      </c>
      <c r="R1502" s="12">
        <v>34</v>
      </c>
      <c r="S1502" s="12" t="s">
        <v>1946</v>
      </c>
      <c r="T1502" s="22">
        <f t="shared" si="117"/>
        <v>3</v>
      </c>
      <c r="U1502" s="22">
        <f t="shared" si="118"/>
        <v>2021</v>
      </c>
      <c r="V1502" s="22" t="str">
        <f t="shared" si="119"/>
        <v>METROPOLITANA</v>
      </c>
    </row>
    <row r="1503" spans="1:22" x14ac:dyDescent="0.2">
      <c r="A1503" s="11" t="s">
        <v>1933</v>
      </c>
      <c r="B1503" s="12" t="s">
        <v>33</v>
      </c>
      <c r="C1503" s="12" t="s">
        <v>44</v>
      </c>
      <c r="D1503" s="12" t="s">
        <v>47</v>
      </c>
      <c r="E1503" s="13" t="s">
        <v>1576</v>
      </c>
      <c r="F1503" s="12" t="s">
        <v>225</v>
      </c>
      <c r="G1503" s="14">
        <v>2162.58</v>
      </c>
      <c r="H1503" s="12" t="s">
        <v>22</v>
      </c>
      <c r="I1503" s="12">
        <v>0</v>
      </c>
      <c r="J1503" s="12" t="s">
        <v>225</v>
      </c>
      <c r="K1503" s="12" t="s">
        <v>23</v>
      </c>
      <c r="L1503" s="12">
        <v>3</v>
      </c>
      <c r="M1503" s="15">
        <v>48075</v>
      </c>
      <c r="N1503" s="15">
        <v>12000</v>
      </c>
      <c r="O1503" s="15">
        <f t="shared" si="115"/>
        <v>60075</v>
      </c>
      <c r="P1503" s="15">
        <f t="shared" si="116"/>
        <v>27.779319146574924</v>
      </c>
      <c r="Q1503" s="14">
        <v>6868</v>
      </c>
      <c r="R1503" s="12">
        <v>31</v>
      </c>
      <c r="S1503" s="12" t="s">
        <v>1947</v>
      </c>
      <c r="T1503" s="22">
        <f t="shared" si="117"/>
        <v>3</v>
      </c>
      <c r="U1503" s="22">
        <f t="shared" si="118"/>
        <v>2021</v>
      </c>
      <c r="V1503" s="22" t="str">
        <f t="shared" si="119"/>
        <v>METROPOLITANA</v>
      </c>
    </row>
    <row r="1504" spans="1:22" x14ac:dyDescent="0.2">
      <c r="A1504" s="11" t="s">
        <v>1933</v>
      </c>
      <c r="B1504" s="12" t="s">
        <v>33</v>
      </c>
      <c r="C1504" s="12" t="s">
        <v>44</v>
      </c>
      <c r="D1504" s="12" t="s">
        <v>35</v>
      </c>
      <c r="E1504" s="13" t="s">
        <v>49</v>
      </c>
      <c r="F1504" s="12" t="s">
        <v>67</v>
      </c>
      <c r="G1504" s="14">
        <v>1670.16</v>
      </c>
      <c r="H1504" s="12" t="s">
        <v>22</v>
      </c>
      <c r="I1504" s="12">
        <v>0</v>
      </c>
      <c r="J1504" s="12" t="s">
        <v>67</v>
      </c>
      <c r="K1504" s="12" t="s">
        <v>23</v>
      </c>
      <c r="L1504" s="12">
        <v>2</v>
      </c>
      <c r="M1504" s="15">
        <v>40475</v>
      </c>
      <c r="N1504" s="15">
        <v>12000</v>
      </c>
      <c r="O1504" s="15">
        <f t="shared" si="115"/>
        <v>52475</v>
      </c>
      <c r="P1504" s="15">
        <f t="shared" si="116"/>
        <v>31.419145471092587</v>
      </c>
      <c r="Q1504" s="14">
        <v>5782</v>
      </c>
      <c r="R1504" s="12">
        <v>29</v>
      </c>
      <c r="S1504" s="12" t="s">
        <v>1948</v>
      </c>
      <c r="T1504" s="22">
        <f t="shared" si="117"/>
        <v>3</v>
      </c>
      <c r="U1504" s="22">
        <f t="shared" si="118"/>
        <v>2021</v>
      </c>
      <c r="V1504" s="22" t="str">
        <f t="shared" si="119"/>
        <v>METROPOLITANA</v>
      </c>
    </row>
    <row r="1505" spans="1:22" x14ac:dyDescent="0.2">
      <c r="A1505" s="23" t="s">
        <v>1949</v>
      </c>
      <c r="B1505" s="22" t="s">
        <v>18</v>
      </c>
      <c r="C1505" s="22" t="s">
        <v>270</v>
      </c>
      <c r="D1505" s="22" t="s">
        <v>37</v>
      </c>
      <c r="E1505" s="24" t="s">
        <v>40</v>
      </c>
      <c r="F1505" s="22" t="s">
        <v>377</v>
      </c>
      <c r="G1505" s="25">
        <v>8772</v>
      </c>
      <c r="H1505" s="22" t="s">
        <v>22</v>
      </c>
      <c r="I1505" s="22">
        <v>0</v>
      </c>
      <c r="J1505" s="22" t="s">
        <v>377</v>
      </c>
      <c r="K1505" s="22" t="s">
        <v>23</v>
      </c>
      <c r="L1505" s="22">
        <v>4</v>
      </c>
      <c r="M1505" s="26">
        <v>61404</v>
      </c>
      <c r="N1505" s="26">
        <f>+G1505*4</f>
        <v>35088</v>
      </c>
      <c r="O1505" s="15">
        <f t="shared" si="115"/>
        <v>96492</v>
      </c>
      <c r="P1505" s="15">
        <f t="shared" si="116"/>
        <v>11</v>
      </c>
      <c r="Q1505" s="25">
        <v>8011</v>
      </c>
      <c r="R1505" s="22">
        <v>100</v>
      </c>
      <c r="S1505" s="22" t="s">
        <v>1950</v>
      </c>
      <c r="T1505" s="22">
        <f t="shared" si="117"/>
        <v>3</v>
      </c>
      <c r="U1505" s="22">
        <f t="shared" si="118"/>
        <v>2021</v>
      </c>
      <c r="V1505" s="22" t="str">
        <f t="shared" si="119"/>
        <v>METROPOLITANA</v>
      </c>
    </row>
    <row r="1506" spans="1:22" x14ac:dyDescent="0.2">
      <c r="A1506" s="23" t="s">
        <v>1949</v>
      </c>
      <c r="B1506" s="22" t="s">
        <v>18</v>
      </c>
      <c r="C1506" s="22" t="s">
        <v>71</v>
      </c>
      <c r="D1506" s="22" t="s">
        <v>63</v>
      </c>
      <c r="E1506" s="24" t="s">
        <v>64</v>
      </c>
      <c r="F1506" s="22" t="s">
        <v>72</v>
      </c>
      <c r="G1506" s="25">
        <v>10611.13</v>
      </c>
      <c r="H1506" s="22" t="s">
        <v>65</v>
      </c>
      <c r="I1506" s="22">
        <v>0</v>
      </c>
      <c r="J1506" s="22" t="s">
        <v>72</v>
      </c>
      <c r="K1506" s="22" t="s">
        <v>23</v>
      </c>
      <c r="L1506" s="22">
        <v>5</v>
      </c>
      <c r="M1506" s="26">
        <f>+G1506*11</f>
        <v>116722.43</v>
      </c>
      <c r="N1506" s="26">
        <v>0</v>
      </c>
      <c r="O1506" s="15">
        <f t="shared" si="115"/>
        <v>116722.43</v>
      </c>
      <c r="P1506" s="15">
        <f t="shared" si="116"/>
        <v>11</v>
      </c>
      <c r="Q1506" s="25">
        <v>12000</v>
      </c>
      <c r="R1506" s="22">
        <v>88</v>
      </c>
      <c r="S1506" s="22" t="s">
        <v>1951</v>
      </c>
      <c r="T1506" s="22">
        <f t="shared" si="117"/>
        <v>3</v>
      </c>
      <c r="U1506" s="22">
        <f t="shared" si="118"/>
        <v>2021</v>
      </c>
      <c r="V1506" s="22" t="str">
        <f t="shared" si="119"/>
        <v>METROPOLITANA</v>
      </c>
    </row>
    <row r="1507" spans="1:22" x14ac:dyDescent="0.2">
      <c r="A1507" s="23" t="s">
        <v>1949</v>
      </c>
      <c r="B1507" s="22" t="s">
        <v>18</v>
      </c>
      <c r="C1507" s="22" t="s">
        <v>71</v>
      </c>
      <c r="D1507" s="22" t="s">
        <v>164</v>
      </c>
      <c r="E1507" s="24" t="s">
        <v>28</v>
      </c>
      <c r="F1507" s="22" t="s">
        <v>72</v>
      </c>
      <c r="G1507" s="25">
        <v>7860.1599999999989</v>
      </c>
      <c r="H1507" s="22" t="s">
        <v>22</v>
      </c>
      <c r="I1507" s="22">
        <v>1</v>
      </c>
      <c r="J1507" s="22" t="s">
        <v>72</v>
      </c>
      <c r="K1507" s="22" t="s">
        <v>23</v>
      </c>
      <c r="L1507" s="22">
        <v>5</v>
      </c>
      <c r="M1507" s="26">
        <v>120000</v>
      </c>
      <c r="N1507" s="26">
        <f>+G1507*4</f>
        <v>31440.639999999996</v>
      </c>
      <c r="O1507" s="15">
        <f t="shared" si="115"/>
        <v>151440.63999999998</v>
      </c>
      <c r="P1507" s="15">
        <f t="shared" si="116"/>
        <v>19.266864796645361</v>
      </c>
      <c r="Q1507" s="25">
        <v>12000</v>
      </c>
      <c r="R1507" s="22">
        <v>66</v>
      </c>
      <c r="S1507" s="22" t="s">
        <v>1952</v>
      </c>
      <c r="T1507" s="22">
        <f t="shared" si="117"/>
        <v>3</v>
      </c>
      <c r="U1507" s="22">
        <f t="shared" si="118"/>
        <v>2021</v>
      </c>
      <c r="V1507" s="22" t="str">
        <f t="shared" si="119"/>
        <v>METROPOLITANA</v>
      </c>
    </row>
    <row r="1508" spans="1:22" x14ac:dyDescent="0.2">
      <c r="A1508" s="23" t="s">
        <v>1949</v>
      </c>
      <c r="B1508" s="22" t="s">
        <v>18</v>
      </c>
      <c r="C1508" s="22" t="s">
        <v>726</v>
      </c>
      <c r="D1508" s="22" t="s">
        <v>38</v>
      </c>
      <c r="E1508" s="24" t="s">
        <v>42</v>
      </c>
      <c r="F1508" s="22" t="s">
        <v>727</v>
      </c>
      <c r="G1508" s="25">
        <v>3721.83</v>
      </c>
      <c r="H1508" s="22" t="s">
        <v>43</v>
      </c>
      <c r="I1508" s="22">
        <v>0</v>
      </c>
      <c r="J1508" s="22" t="s">
        <v>727</v>
      </c>
      <c r="K1508" s="22" t="s">
        <v>23</v>
      </c>
      <c r="L1508" s="22">
        <v>2</v>
      </c>
      <c r="M1508" s="26">
        <v>55000</v>
      </c>
      <c r="N1508" s="26">
        <v>0</v>
      </c>
      <c r="O1508" s="15">
        <f t="shared" si="115"/>
        <v>55000</v>
      </c>
      <c r="P1508" s="15">
        <f t="shared" si="116"/>
        <v>14.777676573083671</v>
      </c>
      <c r="Q1508" s="25">
        <v>5782</v>
      </c>
      <c r="R1508" s="22">
        <v>64</v>
      </c>
      <c r="S1508" s="22" t="s">
        <v>1953</v>
      </c>
      <c r="T1508" s="22">
        <f t="shared" si="117"/>
        <v>3</v>
      </c>
      <c r="U1508" s="22">
        <f t="shared" si="118"/>
        <v>2021</v>
      </c>
      <c r="V1508" s="22" t="str">
        <f t="shared" si="119"/>
        <v>METROPOLITANA</v>
      </c>
    </row>
    <row r="1509" spans="1:22" x14ac:dyDescent="0.2">
      <c r="A1509" s="23" t="s">
        <v>1949</v>
      </c>
      <c r="B1509" s="22" t="s">
        <v>33</v>
      </c>
      <c r="C1509" s="22" t="s">
        <v>29</v>
      </c>
      <c r="D1509" s="22" t="s">
        <v>27</v>
      </c>
      <c r="E1509" s="24" t="s">
        <v>28</v>
      </c>
      <c r="F1509" s="22" t="s">
        <v>170</v>
      </c>
      <c r="G1509" s="25">
        <v>10874.04</v>
      </c>
      <c r="H1509" s="22" t="s">
        <v>22</v>
      </c>
      <c r="I1509" s="22">
        <v>1</v>
      </c>
      <c r="J1509" s="22" t="s">
        <v>170</v>
      </c>
      <c r="K1509" s="22" t="s">
        <v>171</v>
      </c>
      <c r="L1509" s="22">
        <v>0</v>
      </c>
      <c r="M1509" s="26">
        <v>230000</v>
      </c>
      <c r="N1509" s="26">
        <f>+G1509*4</f>
        <v>43496.160000000003</v>
      </c>
      <c r="O1509" s="15">
        <f t="shared" si="115"/>
        <v>273496.16000000003</v>
      </c>
      <c r="P1509" s="15">
        <f t="shared" si="116"/>
        <v>25.151292435929978</v>
      </c>
      <c r="Q1509" s="25">
        <v>25000</v>
      </c>
      <c r="R1509" s="22">
        <v>43</v>
      </c>
      <c r="S1509" s="22" t="s">
        <v>1954</v>
      </c>
      <c r="T1509" s="22">
        <f t="shared" si="117"/>
        <v>3</v>
      </c>
      <c r="U1509" s="22">
        <f t="shared" si="118"/>
        <v>2021</v>
      </c>
      <c r="V1509" s="22" t="str">
        <f t="shared" si="119"/>
        <v>REGIONES</v>
      </c>
    </row>
    <row r="1510" spans="1:22" x14ac:dyDescent="0.2">
      <c r="A1510" s="23" t="s">
        <v>1949</v>
      </c>
      <c r="B1510" s="22" t="s">
        <v>33</v>
      </c>
      <c r="C1510" s="22" t="s">
        <v>29</v>
      </c>
      <c r="D1510" s="22" t="s">
        <v>20</v>
      </c>
      <c r="E1510" s="24" t="s">
        <v>21</v>
      </c>
      <c r="F1510" s="22" t="s">
        <v>173</v>
      </c>
      <c r="G1510" s="25">
        <v>3318.9600000000009</v>
      </c>
      <c r="H1510" s="22" t="s">
        <v>22</v>
      </c>
      <c r="I1510" s="22">
        <v>0</v>
      </c>
      <c r="J1510" s="22" t="s">
        <v>173</v>
      </c>
      <c r="K1510" s="22" t="s">
        <v>23</v>
      </c>
      <c r="L1510" s="22">
        <v>5</v>
      </c>
      <c r="M1510" s="26">
        <v>90000</v>
      </c>
      <c r="N1510" s="26">
        <v>13276</v>
      </c>
      <c r="O1510" s="15">
        <f t="shared" si="115"/>
        <v>103276</v>
      </c>
      <c r="P1510" s="15">
        <f t="shared" si="116"/>
        <v>31.116976402246479</v>
      </c>
      <c r="Q1510" s="25">
        <v>12000</v>
      </c>
      <c r="R1510" s="22">
        <v>28</v>
      </c>
      <c r="S1510" s="22" t="s">
        <v>1955</v>
      </c>
      <c r="T1510" s="22">
        <f t="shared" si="117"/>
        <v>3</v>
      </c>
      <c r="U1510" s="22">
        <f t="shared" si="118"/>
        <v>2021</v>
      </c>
      <c r="V1510" s="22" t="str">
        <f t="shared" si="119"/>
        <v>METROPOLITANA</v>
      </c>
    </row>
    <row r="1511" spans="1:22" ht="15" customHeight="1" x14ac:dyDescent="0.2">
      <c r="A1511" s="11" t="s">
        <v>1956</v>
      </c>
      <c r="B1511" s="12" t="s">
        <v>18</v>
      </c>
      <c r="C1511" s="12" t="s">
        <v>71</v>
      </c>
      <c r="D1511" s="12" t="s">
        <v>37</v>
      </c>
      <c r="E1511" s="13" t="s">
        <v>40</v>
      </c>
      <c r="F1511" s="12" t="s">
        <v>72</v>
      </c>
      <c r="G1511" s="14">
        <v>10705.71</v>
      </c>
      <c r="H1511" s="12" t="s">
        <v>22</v>
      </c>
      <c r="I1511" s="12">
        <v>0</v>
      </c>
      <c r="J1511" s="12" t="s">
        <v>72</v>
      </c>
      <c r="K1511" s="12" t="s">
        <v>23</v>
      </c>
      <c r="L1511" s="12">
        <v>5</v>
      </c>
      <c r="M1511" s="15">
        <v>90000</v>
      </c>
      <c r="N1511" s="15">
        <f>+G1511*4</f>
        <v>42822.84</v>
      </c>
      <c r="O1511" s="15">
        <f t="shared" si="115"/>
        <v>132822.84</v>
      </c>
      <c r="P1511" s="15">
        <f t="shared" si="116"/>
        <v>12.406728745688049</v>
      </c>
      <c r="Q1511" s="14">
        <v>12000</v>
      </c>
      <c r="R1511" s="12">
        <v>89</v>
      </c>
      <c r="S1511" s="12" t="s">
        <v>1957</v>
      </c>
      <c r="T1511" s="22">
        <f t="shared" si="117"/>
        <v>3</v>
      </c>
      <c r="U1511" s="22">
        <f t="shared" si="118"/>
        <v>2021</v>
      </c>
      <c r="V1511" s="22" t="str">
        <f t="shared" si="119"/>
        <v>METROPOLITANA</v>
      </c>
    </row>
    <row r="1512" spans="1:22" x14ac:dyDescent="0.2">
      <c r="A1512" s="11" t="s">
        <v>1956</v>
      </c>
      <c r="B1512" s="12" t="s">
        <v>18</v>
      </c>
      <c r="C1512" s="12" t="s">
        <v>71</v>
      </c>
      <c r="D1512" s="12" t="s">
        <v>164</v>
      </c>
      <c r="E1512" s="13" t="s">
        <v>28</v>
      </c>
      <c r="F1512" s="12" t="s">
        <v>72</v>
      </c>
      <c r="G1512" s="14">
        <v>1551.66</v>
      </c>
      <c r="H1512" s="12" t="s">
        <v>22</v>
      </c>
      <c r="I1512" s="12">
        <v>1</v>
      </c>
      <c r="J1512" s="12" t="s">
        <v>72</v>
      </c>
      <c r="K1512" s="12" t="s">
        <v>23</v>
      </c>
      <c r="L1512" s="12">
        <v>5</v>
      </c>
      <c r="M1512" s="15">
        <v>90000</v>
      </c>
      <c r="N1512" s="15">
        <v>12000</v>
      </c>
      <c r="O1512" s="15">
        <f t="shared" si="115"/>
        <v>102000</v>
      </c>
      <c r="P1512" s="15">
        <f t="shared" si="116"/>
        <v>65.736050423417495</v>
      </c>
      <c r="Q1512" s="14">
        <v>12000</v>
      </c>
      <c r="R1512" s="12">
        <v>13</v>
      </c>
      <c r="S1512" s="12" t="s">
        <v>1958</v>
      </c>
      <c r="T1512" s="22">
        <f t="shared" si="117"/>
        <v>3</v>
      </c>
      <c r="U1512" s="22">
        <f t="shared" si="118"/>
        <v>2021</v>
      </c>
      <c r="V1512" s="22" t="str">
        <f t="shared" si="119"/>
        <v>METROPOLITANA</v>
      </c>
    </row>
    <row r="1513" spans="1:22" x14ac:dyDescent="0.2">
      <c r="A1513" s="11" t="s">
        <v>1956</v>
      </c>
      <c r="B1513" s="12" t="s">
        <v>18</v>
      </c>
      <c r="C1513" s="12" t="s">
        <v>160</v>
      </c>
      <c r="D1513" s="12" t="s">
        <v>164</v>
      </c>
      <c r="E1513" s="13" t="s">
        <v>28</v>
      </c>
      <c r="F1513" s="12" t="s">
        <v>418</v>
      </c>
      <c r="G1513" s="14">
        <v>10939.29</v>
      </c>
      <c r="H1513" s="12" t="s">
        <v>22</v>
      </c>
      <c r="I1513" s="12">
        <v>1</v>
      </c>
      <c r="J1513" s="12" t="s">
        <v>418</v>
      </c>
      <c r="K1513" s="12" t="s">
        <v>171</v>
      </c>
      <c r="L1513" s="12">
        <v>0</v>
      </c>
      <c r="M1513" s="15">
        <v>230000</v>
      </c>
      <c r="N1513" s="15">
        <v>0</v>
      </c>
      <c r="O1513" s="15">
        <f t="shared" si="115"/>
        <v>230000</v>
      </c>
      <c r="P1513" s="15">
        <f t="shared" si="116"/>
        <v>21.025130515783015</v>
      </c>
      <c r="Q1513" s="14">
        <v>25000</v>
      </c>
      <c r="R1513" s="12">
        <v>44</v>
      </c>
      <c r="S1513" s="12" t="s">
        <v>1959</v>
      </c>
      <c r="T1513" s="22">
        <f t="shared" si="117"/>
        <v>3</v>
      </c>
      <c r="U1513" s="22">
        <f t="shared" si="118"/>
        <v>2021</v>
      </c>
      <c r="V1513" s="22" t="str">
        <f t="shared" si="119"/>
        <v>REGIONES</v>
      </c>
    </row>
    <row r="1514" spans="1:22" x14ac:dyDescent="0.2">
      <c r="A1514" s="11" t="s">
        <v>1956</v>
      </c>
      <c r="B1514" s="12" t="s">
        <v>18</v>
      </c>
      <c r="C1514" s="12" t="s">
        <v>508</v>
      </c>
      <c r="D1514" s="12" t="s">
        <v>30</v>
      </c>
      <c r="E1514" s="13" t="s">
        <v>31</v>
      </c>
      <c r="F1514" s="12" t="s">
        <v>51</v>
      </c>
      <c r="G1514" s="14">
        <v>4092.42</v>
      </c>
      <c r="H1514" s="12" t="s">
        <v>32</v>
      </c>
      <c r="I1514" s="12">
        <v>0</v>
      </c>
      <c r="J1514" s="12" t="s">
        <v>51</v>
      </c>
      <c r="K1514" s="12" t="s">
        <v>23</v>
      </c>
      <c r="L1514" s="12">
        <v>4</v>
      </c>
      <c r="M1514" s="15">
        <v>55000</v>
      </c>
      <c r="N1514" s="15">
        <v>0</v>
      </c>
      <c r="O1514" s="15">
        <f t="shared" si="115"/>
        <v>55000</v>
      </c>
      <c r="P1514" s="15">
        <f t="shared" si="116"/>
        <v>13.439480796203712</v>
      </c>
      <c r="Q1514" s="14">
        <v>8011</v>
      </c>
      <c r="R1514" s="12">
        <v>51</v>
      </c>
      <c r="S1514" s="12" t="s">
        <v>1960</v>
      </c>
      <c r="T1514" s="22">
        <f t="shared" si="117"/>
        <v>3</v>
      </c>
      <c r="U1514" s="22">
        <f t="shared" si="118"/>
        <v>2021</v>
      </c>
      <c r="V1514" s="22" t="str">
        <f t="shared" si="119"/>
        <v>METROPOLITANA</v>
      </c>
    </row>
    <row r="1515" spans="1:22" x14ac:dyDescent="0.2">
      <c r="A1515" s="11" t="s">
        <v>1956</v>
      </c>
      <c r="B1515" s="12" t="s">
        <v>33</v>
      </c>
      <c r="C1515" s="12" t="s">
        <v>29</v>
      </c>
      <c r="D1515" s="12" t="s">
        <v>56</v>
      </c>
      <c r="E1515" s="13" t="s">
        <v>52</v>
      </c>
      <c r="F1515" s="12" t="s">
        <v>134</v>
      </c>
      <c r="G1515" s="14">
        <v>7932.0000000000027</v>
      </c>
      <c r="H1515" s="12" t="s">
        <v>22</v>
      </c>
      <c r="I1515" s="12">
        <v>0</v>
      </c>
      <c r="J1515" s="12" t="s">
        <v>134</v>
      </c>
      <c r="K1515" s="12" t="s">
        <v>23</v>
      </c>
      <c r="L1515" s="12">
        <v>2</v>
      </c>
      <c r="M1515" s="15">
        <v>55524</v>
      </c>
      <c r="N1515" s="15">
        <v>31728</v>
      </c>
      <c r="O1515" s="15">
        <f t="shared" si="115"/>
        <v>87252</v>
      </c>
      <c r="P1515" s="15">
        <f t="shared" si="116"/>
        <v>10.999999999999996</v>
      </c>
      <c r="Q1515" s="14">
        <v>5782</v>
      </c>
      <c r="R1515" s="12">
        <v>100</v>
      </c>
      <c r="S1515" s="12" t="s">
        <v>1961</v>
      </c>
      <c r="T1515" s="22">
        <f t="shared" si="117"/>
        <v>3</v>
      </c>
      <c r="U1515" s="22">
        <f t="shared" si="118"/>
        <v>2021</v>
      </c>
      <c r="V1515" s="22" t="str">
        <f t="shared" si="119"/>
        <v>METROPOLITANA</v>
      </c>
    </row>
    <row r="1516" spans="1:22" x14ac:dyDescent="0.2">
      <c r="A1516" s="11" t="s">
        <v>1956</v>
      </c>
      <c r="B1516" s="12" t="s">
        <v>33</v>
      </c>
      <c r="C1516" s="12" t="s">
        <v>29</v>
      </c>
      <c r="D1516" s="12" t="s">
        <v>35</v>
      </c>
      <c r="E1516" s="13" t="s">
        <v>1576</v>
      </c>
      <c r="F1516" s="12" t="s">
        <v>134</v>
      </c>
      <c r="G1516" s="14">
        <v>8665.3500000000022</v>
      </c>
      <c r="H1516" s="12" t="s">
        <v>22</v>
      </c>
      <c r="I1516" s="12">
        <v>0</v>
      </c>
      <c r="J1516" s="12" t="s">
        <v>134</v>
      </c>
      <c r="K1516" s="12" t="s">
        <v>23</v>
      </c>
      <c r="L1516" s="12">
        <v>2</v>
      </c>
      <c r="M1516" s="15">
        <v>60657</v>
      </c>
      <c r="N1516" s="15">
        <v>34661</v>
      </c>
      <c r="O1516" s="15">
        <f t="shared" si="115"/>
        <v>95318</v>
      </c>
      <c r="P1516" s="15">
        <f t="shared" si="116"/>
        <v>10.999901908174508</v>
      </c>
      <c r="Q1516" s="14">
        <v>5782</v>
      </c>
      <c r="R1516" s="12">
        <v>100</v>
      </c>
      <c r="S1516" s="12" t="s">
        <v>1962</v>
      </c>
      <c r="T1516" s="22">
        <f t="shared" si="117"/>
        <v>3</v>
      </c>
      <c r="U1516" s="22">
        <f t="shared" si="118"/>
        <v>2021</v>
      </c>
      <c r="V1516" s="22" t="str">
        <f t="shared" si="119"/>
        <v>METROPOLITANA</v>
      </c>
    </row>
    <row r="1517" spans="1:22" x14ac:dyDescent="0.2">
      <c r="A1517" s="23" t="s">
        <v>1963</v>
      </c>
      <c r="B1517" s="22" t="s">
        <v>18</v>
      </c>
      <c r="C1517" s="22" t="s">
        <v>270</v>
      </c>
      <c r="D1517" s="22" t="s">
        <v>20</v>
      </c>
      <c r="E1517" s="24" t="s">
        <v>21</v>
      </c>
      <c r="F1517" s="22" t="s">
        <v>377</v>
      </c>
      <c r="G1517" s="25">
        <v>7310</v>
      </c>
      <c r="H1517" s="22" t="s">
        <v>22</v>
      </c>
      <c r="I1517" s="22">
        <v>0</v>
      </c>
      <c r="J1517" s="22" t="s">
        <v>377</v>
      </c>
      <c r="K1517" s="22" t="s">
        <v>23</v>
      </c>
      <c r="L1517" s="22">
        <v>4</v>
      </c>
      <c r="M1517" s="26">
        <v>56075</v>
      </c>
      <c r="N1517" s="26">
        <f>+G1517*4</f>
        <v>29240</v>
      </c>
      <c r="O1517" s="15">
        <f t="shared" si="115"/>
        <v>85315</v>
      </c>
      <c r="P1517" s="15">
        <f t="shared" si="116"/>
        <v>11.670998632010944</v>
      </c>
      <c r="Q1517" s="25">
        <v>8011</v>
      </c>
      <c r="R1517" s="22">
        <v>91</v>
      </c>
      <c r="S1517" s="22" t="s">
        <v>1964</v>
      </c>
      <c r="T1517" s="22">
        <f t="shared" si="117"/>
        <v>3</v>
      </c>
      <c r="U1517" s="22">
        <f t="shared" si="118"/>
        <v>2021</v>
      </c>
      <c r="V1517" s="22" t="str">
        <f t="shared" si="119"/>
        <v>METROPOLITANA</v>
      </c>
    </row>
    <row r="1518" spans="1:22" x14ac:dyDescent="0.2">
      <c r="A1518" s="23" t="s">
        <v>1963</v>
      </c>
      <c r="B1518" s="22" t="s">
        <v>18</v>
      </c>
      <c r="C1518" s="22" t="s">
        <v>71</v>
      </c>
      <c r="D1518" s="22" t="s">
        <v>63</v>
      </c>
      <c r="E1518" s="24" t="s">
        <v>64</v>
      </c>
      <c r="F1518" s="22" t="s">
        <v>72</v>
      </c>
      <c r="G1518" s="25">
        <v>10197.06</v>
      </c>
      <c r="H1518" s="22" t="s">
        <v>65</v>
      </c>
      <c r="I1518" s="22">
        <v>0</v>
      </c>
      <c r="J1518" s="22" t="s">
        <v>72</v>
      </c>
      <c r="K1518" s="22" t="s">
        <v>23</v>
      </c>
      <c r="L1518" s="22">
        <v>5</v>
      </c>
      <c r="M1518" s="26">
        <f>+G1518*11</f>
        <v>112167.65999999999</v>
      </c>
      <c r="N1518" s="26">
        <v>0</v>
      </c>
      <c r="O1518" s="15">
        <f t="shared" si="115"/>
        <v>112167.65999999999</v>
      </c>
      <c r="P1518" s="15">
        <f t="shared" si="116"/>
        <v>11</v>
      </c>
      <c r="Q1518" s="25">
        <v>12000</v>
      </c>
      <c r="R1518" s="22">
        <v>85</v>
      </c>
      <c r="S1518" s="22" t="s">
        <v>1965</v>
      </c>
      <c r="T1518" s="22">
        <f t="shared" si="117"/>
        <v>3</v>
      </c>
      <c r="U1518" s="22">
        <f t="shared" si="118"/>
        <v>2021</v>
      </c>
      <c r="V1518" s="22" t="str">
        <f t="shared" si="119"/>
        <v>METROPOLITANA</v>
      </c>
    </row>
    <row r="1519" spans="1:22" x14ac:dyDescent="0.2">
      <c r="A1519" s="23" t="s">
        <v>1963</v>
      </c>
      <c r="B1519" s="22" t="s">
        <v>33</v>
      </c>
      <c r="C1519" s="22" t="s">
        <v>128</v>
      </c>
      <c r="D1519" s="22" t="s">
        <v>37</v>
      </c>
      <c r="E1519" s="24" t="s">
        <v>40</v>
      </c>
      <c r="F1519" s="22" t="s">
        <v>34</v>
      </c>
      <c r="G1519" s="25">
        <v>10202.4</v>
      </c>
      <c r="H1519" s="22" t="s">
        <v>22</v>
      </c>
      <c r="I1519" s="22">
        <v>0</v>
      </c>
      <c r="J1519" s="22" t="s">
        <v>34</v>
      </c>
      <c r="K1519" s="22" t="s">
        <v>23</v>
      </c>
      <c r="L1519" s="22">
        <v>1</v>
      </c>
      <c r="M1519" s="26">
        <v>71417</v>
      </c>
      <c r="N1519" s="26">
        <v>40810</v>
      </c>
      <c r="O1519" s="15">
        <f t="shared" si="115"/>
        <v>112227</v>
      </c>
      <c r="P1519" s="15">
        <f t="shared" si="116"/>
        <v>11.000058809691838</v>
      </c>
      <c r="Q1519" s="25">
        <v>4821</v>
      </c>
      <c r="R1519" s="22">
        <v>100</v>
      </c>
      <c r="S1519" s="22" t="s">
        <v>1966</v>
      </c>
      <c r="T1519" s="22">
        <f t="shared" si="117"/>
        <v>3</v>
      </c>
      <c r="U1519" s="22">
        <f t="shared" si="118"/>
        <v>2021</v>
      </c>
      <c r="V1519" s="22" t="str">
        <f t="shared" si="119"/>
        <v>METROPOLITANA</v>
      </c>
    </row>
    <row r="1520" spans="1:22" x14ac:dyDescent="0.2">
      <c r="A1520" s="23" t="s">
        <v>1963</v>
      </c>
      <c r="B1520" s="22" t="s">
        <v>33</v>
      </c>
      <c r="C1520" s="22" t="s">
        <v>1132</v>
      </c>
      <c r="D1520" s="22" t="s">
        <v>20</v>
      </c>
      <c r="E1520" s="24" t="s">
        <v>28</v>
      </c>
      <c r="F1520" s="22" t="s">
        <v>26</v>
      </c>
      <c r="G1520" s="25">
        <v>10202.4</v>
      </c>
      <c r="H1520" s="22" t="s">
        <v>22</v>
      </c>
      <c r="I1520" s="22">
        <v>0</v>
      </c>
      <c r="J1520" s="22" t="s">
        <v>26</v>
      </c>
      <c r="K1520" s="22" t="s">
        <v>23</v>
      </c>
      <c r="L1520" s="22">
        <v>4</v>
      </c>
      <c r="M1520" s="26">
        <v>71417</v>
      </c>
      <c r="N1520" s="26">
        <f>+G1520*4</f>
        <v>40809.599999999999</v>
      </c>
      <c r="O1520" s="15">
        <f t="shared" si="115"/>
        <v>112226.6</v>
      </c>
      <c r="P1520" s="15">
        <f t="shared" si="116"/>
        <v>11.000019603230614</v>
      </c>
      <c r="Q1520" s="25">
        <v>8011</v>
      </c>
      <c r="R1520" s="22">
        <v>100</v>
      </c>
      <c r="S1520" s="22" t="s">
        <v>1967</v>
      </c>
      <c r="T1520" s="22">
        <f t="shared" si="117"/>
        <v>3</v>
      </c>
      <c r="U1520" s="22">
        <f t="shared" si="118"/>
        <v>2021</v>
      </c>
      <c r="V1520" s="22" t="str">
        <f t="shared" si="119"/>
        <v>METROPOLITANA</v>
      </c>
    </row>
    <row r="1521" spans="1:22" x14ac:dyDescent="0.2">
      <c r="A1521" s="23" t="s">
        <v>1963</v>
      </c>
      <c r="B1521" s="22" t="s">
        <v>33</v>
      </c>
      <c r="C1521" s="22" t="s">
        <v>29</v>
      </c>
      <c r="D1521" s="22" t="s">
        <v>61</v>
      </c>
      <c r="E1521" s="24" t="s">
        <v>62</v>
      </c>
      <c r="F1521" s="22" t="s">
        <v>132</v>
      </c>
      <c r="G1521" s="25">
        <v>13396.79999999999</v>
      </c>
      <c r="H1521" s="22" t="s">
        <v>85</v>
      </c>
      <c r="I1521" s="22">
        <v>1</v>
      </c>
      <c r="J1521" s="22" t="s">
        <v>132</v>
      </c>
      <c r="K1521" s="22" t="s">
        <v>124</v>
      </c>
      <c r="L1521" s="22">
        <v>0</v>
      </c>
      <c r="M1521" s="26">
        <v>350000</v>
      </c>
      <c r="N1521" s="26">
        <v>0</v>
      </c>
      <c r="O1521" s="15">
        <f t="shared" si="115"/>
        <v>350000</v>
      </c>
      <c r="P1521" s="15">
        <f t="shared" si="116"/>
        <v>26.125641944344938</v>
      </c>
      <c r="Q1521" s="25">
        <v>25000</v>
      </c>
      <c r="R1521" s="22">
        <v>54</v>
      </c>
      <c r="S1521" s="22" t="s">
        <v>1968</v>
      </c>
      <c r="T1521" s="22">
        <f t="shared" si="117"/>
        <v>3</v>
      </c>
      <c r="U1521" s="22">
        <f t="shared" si="118"/>
        <v>2021</v>
      </c>
      <c r="V1521" s="22" t="str">
        <f t="shared" si="119"/>
        <v>REGIONES</v>
      </c>
    </row>
    <row r="1522" spans="1:22" x14ac:dyDescent="0.2">
      <c r="A1522" s="23" t="s">
        <v>1963</v>
      </c>
      <c r="B1522" s="22" t="s">
        <v>33</v>
      </c>
      <c r="C1522" s="22" t="s">
        <v>29</v>
      </c>
      <c r="D1522" s="22" t="s">
        <v>38</v>
      </c>
      <c r="E1522" s="24" t="s">
        <v>42</v>
      </c>
      <c r="F1522" s="22" t="s">
        <v>173</v>
      </c>
      <c r="G1522" s="25">
        <v>6550.4000000000005</v>
      </c>
      <c r="H1522" s="22" t="s">
        <v>43</v>
      </c>
      <c r="I1522" s="22">
        <v>0</v>
      </c>
      <c r="J1522" s="22" t="s">
        <v>173</v>
      </c>
      <c r="K1522" s="22" t="s">
        <v>23</v>
      </c>
      <c r="L1522" s="22">
        <v>5</v>
      </c>
      <c r="M1522" s="26">
        <v>90000</v>
      </c>
      <c r="N1522" s="26">
        <v>0</v>
      </c>
      <c r="O1522" s="15">
        <f t="shared" si="115"/>
        <v>90000</v>
      </c>
      <c r="P1522" s="15">
        <f t="shared" si="116"/>
        <v>13.739618954567659</v>
      </c>
      <c r="Q1522" s="25">
        <v>12000</v>
      </c>
      <c r="R1522" s="22">
        <v>55</v>
      </c>
      <c r="S1522" s="22" t="s">
        <v>1969</v>
      </c>
      <c r="T1522" s="22">
        <f t="shared" si="117"/>
        <v>3</v>
      </c>
      <c r="U1522" s="22">
        <f t="shared" si="118"/>
        <v>2021</v>
      </c>
      <c r="V1522" s="22" t="str">
        <f t="shared" si="119"/>
        <v>METROPOLITANA</v>
      </c>
    </row>
    <row r="1523" spans="1:22" x14ac:dyDescent="0.2">
      <c r="A1523" s="23" t="s">
        <v>1963</v>
      </c>
      <c r="B1523" s="22" t="s">
        <v>33</v>
      </c>
      <c r="C1523" s="22" t="s">
        <v>29</v>
      </c>
      <c r="D1523" s="22" t="s">
        <v>188</v>
      </c>
      <c r="E1523" s="24" t="s">
        <v>189</v>
      </c>
      <c r="F1523" s="22" t="s">
        <v>134</v>
      </c>
      <c r="G1523" s="25">
        <v>5715.19</v>
      </c>
      <c r="H1523" s="22" t="s">
        <v>190</v>
      </c>
      <c r="I1523" s="22">
        <v>0</v>
      </c>
      <c r="J1523" s="22" t="s">
        <v>134</v>
      </c>
      <c r="K1523" s="22" t="s">
        <v>23</v>
      </c>
      <c r="L1523" s="22">
        <v>2</v>
      </c>
      <c r="M1523" s="26">
        <f>+G1523*11</f>
        <v>62867.09</v>
      </c>
      <c r="N1523" s="26">
        <v>0</v>
      </c>
      <c r="O1523" s="15">
        <f t="shared" si="115"/>
        <v>62867.09</v>
      </c>
      <c r="P1523" s="15">
        <f t="shared" si="116"/>
        <v>11</v>
      </c>
      <c r="Q1523" s="25">
        <v>5782</v>
      </c>
      <c r="R1523" s="22">
        <v>99</v>
      </c>
      <c r="S1523" s="22" t="s">
        <v>1970</v>
      </c>
      <c r="T1523" s="22">
        <f t="shared" si="117"/>
        <v>3</v>
      </c>
      <c r="U1523" s="22">
        <f t="shared" si="118"/>
        <v>2021</v>
      </c>
      <c r="V1523" s="22" t="str">
        <f t="shared" si="119"/>
        <v>METROPOLITANA</v>
      </c>
    </row>
    <row r="1524" spans="1:22" x14ac:dyDescent="0.2">
      <c r="A1524" s="23" t="s">
        <v>1963</v>
      </c>
      <c r="B1524" s="22" t="s">
        <v>33</v>
      </c>
      <c r="C1524" s="22" t="s">
        <v>29</v>
      </c>
      <c r="D1524" s="22" t="s">
        <v>125</v>
      </c>
      <c r="E1524" s="24" t="s">
        <v>126</v>
      </c>
      <c r="F1524" s="22" t="s">
        <v>170</v>
      </c>
      <c r="G1524" s="25">
        <v>10334.82</v>
      </c>
      <c r="H1524" s="22" t="s">
        <v>174</v>
      </c>
      <c r="I1524" s="22">
        <v>0</v>
      </c>
      <c r="J1524" s="22" t="s">
        <v>170</v>
      </c>
      <c r="K1524" s="22" t="s">
        <v>171</v>
      </c>
      <c r="L1524" s="22">
        <v>0</v>
      </c>
      <c r="M1524" s="26">
        <v>180000</v>
      </c>
      <c r="N1524" s="26">
        <v>0</v>
      </c>
      <c r="O1524" s="15">
        <f t="shared" si="115"/>
        <v>180000</v>
      </c>
      <c r="P1524" s="15">
        <f t="shared" si="116"/>
        <v>17.416849059780432</v>
      </c>
      <c r="Q1524" s="25">
        <v>25000</v>
      </c>
      <c r="R1524" s="22">
        <v>41</v>
      </c>
      <c r="S1524" s="22" t="s">
        <v>1971</v>
      </c>
      <c r="T1524" s="22">
        <f t="shared" si="117"/>
        <v>3</v>
      </c>
      <c r="U1524" s="22">
        <f t="shared" si="118"/>
        <v>2021</v>
      </c>
      <c r="V1524" s="22" t="str">
        <f t="shared" si="119"/>
        <v>REGIONES</v>
      </c>
    </row>
    <row r="1525" spans="1:22" x14ac:dyDescent="0.2">
      <c r="A1525" s="23" t="s">
        <v>1963</v>
      </c>
      <c r="B1525" s="22" t="s">
        <v>33</v>
      </c>
      <c r="C1525" s="22" t="s">
        <v>29</v>
      </c>
      <c r="D1525" s="22" t="s">
        <v>35</v>
      </c>
      <c r="E1525" s="24" t="s">
        <v>28</v>
      </c>
      <c r="F1525" s="22" t="s">
        <v>134</v>
      </c>
      <c r="G1525" s="25">
        <v>7285.1999999999989</v>
      </c>
      <c r="H1525" s="22" t="s">
        <v>22</v>
      </c>
      <c r="I1525" s="22">
        <v>0</v>
      </c>
      <c r="J1525" s="22" t="s">
        <v>134</v>
      </c>
      <c r="K1525" s="22" t="s">
        <v>23</v>
      </c>
      <c r="L1525" s="22">
        <v>2</v>
      </c>
      <c r="M1525" s="26">
        <v>50996</v>
      </c>
      <c r="N1525" s="26">
        <v>29141</v>
      </c>
      <c r="O1525" s="15">
        <f t="shared" si="115"/>
        <v>80137</v>
      </c>
      <c r="P1525" s="15">
        <f t="shared" si="116"/>
        <v>10.999972547081757</v>
      </c>
      <c r="Q1525" s="25">
        <v>5782</v>
      </c>
      <c r="R1525" s="22">
        <v>100</v>
      </c>
      <c r="S1525" s="22" t="s">
        <v>1972</v>
      </c>
      <c r="T1525" s="22">
        <f t="shared" si="117"/>
        <v>3</v>
      </c>
      <c r="U1525" s="22">
        <f t="shared" si="118"/>
        <v>2021</v>
      </c>
      <c r="V1525" s="22" t="str">
        <f t="shared" si="119"/>
        <v>METROPOLITANA</v>
      </c>
    </row>
    <row r="1526" spans="1:22" x14ac:dyDescent="0.2">
      <c r="A1526" s="23" t="s">
        <v>1963</v>
      </c>
      <c r="B1526" s="22" t="s">
        <v>33</v>
      </c>
      <c r="C1526" s="22" t="s">
        <v>29</v>
      </c>
      <c r="D1526" s="22" t="s">
        <v>867</v>
      </c>
      <c r="E1526" s="24" t="s">
        <v>868</v>
      </c>
      <c r="F1526" s="22" t="s">
        <v>132</v>
      </c>
      <c r="G1526" s="25">
        <v>16849.19999999999</v>
      </c>
      <c r="H1526" s="22" t="s">
        <v>85</v>
      </c>
      <c r="I1526" s="22">
        <v>1</v>
      </c>
      <c r="J1526" s="22" t="s">
        <v>132</v>
      </c>
      <c r="K1526" s="22" t="s">
        <v>124</v>
      </c>
      <c r="L1526" s="22">
        <v>0</v>
      </c>
      <c r="M1526" s="26">
        <v>350000</v>
      </c>
      <c r="N1526" s="26">
        <v>0</v>
      </c>
      <c r="O1526" s="15">
        <f t="shared" si="115"/>
        <v>350000</v>
      </c>
      <c r="P1526" s="15">
        <f t="shared" si="116"/>
        <v>20.772499584550022</v>
      </c>
      <c r="Q1526" s="25">
        <v>25000</v>
      </c>
      <c r="R1526" s="22">
        <v>67</v>
      </c>
      <c r="S1526" s="22" t="s">
        <v>1973</v>
      </c>
      <c r="T1526" s="22">
        <f t="shared" si="117"/>
        <v>3</v>
      </c>
      <c r="U1526" s="22">
        <f t="shared" si="118"/>
        <v>2021</v>
      </c>
      <c r="V1526" s="22" t="str">
        <f t="shared" si="119"/>
        <v>REGIONES</v>
      </c>
    </row>
    <row r="1527" spans="1:22" x14ac:dyDescent="0.2">
      <c r="A1527" s="23" t="s">
        <v>1963</v>
      </c>
      <c r="B1527" s="22" t="s">
        <v>33</v>
      </c>
      <c r="C1527" s="22" t="s">
        <v>44</v>
      </c>
      <c r="D1527" s="22" t="s">
        <v>56</v>
      </c>
      <c r="E1527" s="24" t="s">
        <v>52</v>
      </c>
      <c r="F1527" s="22" t="s">
        <v>48</v>
      </c>
      <c r="G1527" s="25">
        <v>3900.0000000000009</v>
      </c>
      <c r="H1527" s="22" t="s">
        <v>22</v>
      </c>
      <c r="I1527" s="22">
        <v>0</v>
      </c>
      <c r="J1527" s="22" t="s">
        <v>48</v>
      </c>
      <c r="K1527" s="22" t="s">
        <v>23</v>
      </c>
      <c r="L1527" s="22">
        <v>1</v>
      </c>
      <c r="M1527" s="26">
        <v>33750</v>
      </c>
      <c r="N1527" s="26">
        <v>15600</v>
      </c>
      <c r="O1527" s="15">
        <f t="shared" si="115"/>
        <v>49350</v>
      </c>
      <c r="P1527" s="15">
        <f t="shared" si="116"/>
        <v>12.653846153846152</v>
      </c>
      <c r="Q1527" s="25">
        <v>4821</v>
      </c>
      <c r="R1527" s="22">
        <v>81</v>
      </c>
      <c r="S1527" s="22" t="s">
        <v>1974</v>
      </c>
      <c r="T1527" s="22">
        <f t="shared" si="117"/>
        <v>3</v>
      </c>
      <c r="U1527" s="22">
        <f t="shared" si="118"/>
        <v>2021</v>
      </c>
      <c r="V1527" s="22" t="str">
        <f t="shared" si="119"/>
        <v>METROPOLITANA</v>
      </c>
    </row>
    <row r="1528" spans="1:22" x14ac:dyDescent="0.2">
      <c r="A1528" s="23" t="s">
        <v>1963</v>
      </c>
      <c r="B1528" s="22" t="s">
        <v>33</v>
      </c>
      <c r="C1528" s="22" t="s">
        <v>44</v>
      </c>
      <c r="D1528" s="22" t="s">
        <v>45</v>
      </c>
      <c r="E1528" s="24" t="s">
        <v>28</v>
      </c>
      <c r="F1528" s="22" t="s">
        <v>51</v>
      </c>
      <c r="G1528" s="25">
        <v>3075.6000000000008</v>
      </c>
      <c r="H1528" s="22" t="s">
        <v>22</v>
      </c>
      <c r="I1528" s="22">
        <v>0</v>
      </c>
      <c r="J1528" s="22" t="s">
        <v>51</v>
      </c>
      <c r="K1528" s="22" t="s">
        <v>23</v>
      </c>
      <c r="L1528" s="22">
        <v>4</v>
      </c>
      <c r="M1528" s="26">
        <v>56075</v>
      </c>
      <c r="N1528" s="26">
        <v>12302</v>
      </c>
      <c r="O1528" s="15">
        <f t="shared" si="115"/>
        <v>68377</v>
      </c>
      <c r="P1528" s="15">
        <f t="shared" si="116"/>
        <v>22.232084796462473</v>
      </c>
      <c r="Q1528" s="25">
        <v>8011</v>
      </c>
      <c r="R1528" s="22">
        <v>38</v>
      </c>
      <c r="S1528" s="22" t="s">
        <v>1975</v>
      </c>
      <c r="T1528" s="22">
        <f t="shared" si="117"/>
        <v>3</v>
      </c>
      <c r="U1528" s="22">
        <f t="shared" si="118"/>
        <v>2021</v>
      </c>
      <c r="V1528" s="22" t="str">
        <f t="shared" si="119"/>
        <v>METROPOLITANA</v>
      </c>
    </row>
    <row r="1529" spans="1:22" x14ac:dyDescent="0.2">
      <c r="A1529" s="23" t="s">
        <v>1963</v>
      </c>
      <c r="B1529" s="22" t="s">
        <v>33</v>
      </c>
      <c r="C1529" s="22" t="s">
        <v>44</v>
      </c>
      <c r="D1529" s="22" t="s">
        <v>47</v>
      </c>
      <c r="E1529" s="24" t="s">
        <v>1576</v>
      </c>
      <c r="F1529" s="22" t="s">
        <v>94</v>
      </c>
      <c r="G1529" s="25">
        <v>6151.2</v>
      </c>
      <c r="H1529" s="22" t="s">
        <v>22</v>
      </c>
      <c r="I1529" s="22">
        <v>0</v>
      </c>
      <c r="J1529" s="22" t="s">
        <v>59</v>
      </c>
      <c r="K1529" s="22" t="s">
        <v>78</v>
      </c>
      <c r="L1529" s="22">
        <v>0</v>
      </c>
      <c r="M1529" s="26">
        <v>180000</v>
      </c>
      <c r="N1529" s="26">
        <f>+G1529*4</f>
        <v>24604.799999999999</v>
      </c>
      <c r="O1529" s="15">
        <f t="shared" si="115"/>
        <v>204604.79999999999</v>
      </c>
      <c r="P1529" s="15">
        <f t="shared" si="116"/>
        <v>33.262582910651581</v>
      </c>
      <c r="Q1529" s="25">
        <v>25000</v>
      </c>
      <c r="R1529" s="22">
        <v>25</v>
      </c>
      <c r="S1529" s="22" t="s">
        <v>1976</v>
      </c>
      <c r="T1529" s="22">
        <f t="shared" si="117"/>
        <v>3</v>
      </c>
      <c r="U1529" s="22">
        <f t="shared" si="118"/>
        <v>2021</v>
      </c>
      <c r="V1529" s="22" t="str">
        <f t="shared" si="119"/>
        <v>REGIONES</v>
      </c>
    </row>
    <row r="1530" spans="1:22" x14ac:dyDescent="0.2">
      <c r="A1530" s="11" t="s">
        <v>1977</v>
      </c>
      <c r="B1530" s="12" t="s">
        <v>18</v>
      </c>
      <c r="C1530" s="12" t="s">
        <v>540</v>
      </c>
      <c r="D1530" s="12" t="s">
        <v>30</v>
      </c>
      <c r="E1530" s="13" t="s">
        <v>31</v>
      </c>
      <c r="F1530" s="12" t="s">
        <v>995</v>
      </c>
      <c r="G1530" s="14">
        <v>4800</v>
      </c>
      <c r="H1530" s="12" t="s">
        <v>32</v>
      </c>
      <c r="I1530" s="12">
        <v>0</v>
      </c>
      <c r="J1530" s="12" t="s">
        <v>995</v>
      </c>
      <c r="K1530" s="12" t="s">
        <v>23</v>
      </c>
      <c r="L1530" s="12">
        <v>1</v>
      </c>
      <c r="M1530" s="15">
        <v>55000</v>
      </c>
      <c r="N1530" s="15">
        <v>0</v>
      </c>
      <c r="O1530" s="15">
        <f t="shared" si="115"/>
        <v>55000</v>
      </c>
      <c r="P1530" s="15">
        <f t="shared" si="116"/>
        <v>11.458333333333334</v>
      </c>
      <c r="Q1530" s="14">
        <v>4821</v>
      </c>
      <c r="R1530" s="12">
        <v>100</v>
      </c>
      <c r="S1530" s="12" t="s">
        <v>1978</v>
      </c>
      <c r="T1530" s="22">
        <f t="shared" si="117"/>
        <v>3</v>
      </c>
      <c r="U1530" s="22">
        <f t="shared" si="118"/>
        <v>2021</v>
      </c>
      <c r="V1530" s="22" t="str">
        <f t="shared" si="119"/>
        <v>METROPOLITANA</v>
      </c>
    </row>
    <row r="1531" spans="1:22" x14ac:dyDescent="0.2">
      <c r="A1531" s="11" t="s">
        <v>1977</v>
      </c>
      <c r="B1531" s="12" t="s">
        <v>18</v>
      </c>
      <c r="C1531" s="12" t="s">
        <v>71</v>
      </c>
      <c r="D1531" s="12" t="s">
        <v>27</v>
      </c>
      <c r="E1531" s="13" t="s">
        <v>28</v>
      </c>
      <c r="F1531" s="12" t="s">
        <v>72</v>
      </c>
      <c r="G1531" s="14">
        <v>16479.37999999999</v>
      </c>
      <c r="H1531" s="12" t="s">
        <v>22</v>
      </c>
      <c r="I1531" s="12">
        <v>1</v>
      </c>
      <c r="J1531" s="12" t="s">
        <v>72</v>
      </c>
      <c r="K1531" s="12" t="s">
        <v>23</v>
      </c>
      <c r="L1531" s="12">
        <v>5</v>
      </c>
      <c r="M1531" s="15">
        <v>120000</v>
      </c>
      <c r="N1531" s="15">
        <f>+G1531*4</f>
        <v>65917.51999999996</v>
      </c>
      <c r="O1531" s="15">
        <f t="shared" si="115"/>
        <v>185917.51999999996</v>
      </c>
      <c r="P1531" s="15">
        <f t="shared" si="116"/>
        <v>11.281827350300805</v>
      </c>
      <c r="Q1531" s="14">
        <v>12000</v>
      </c>
      <c r="R1531" s="12">
        <v>100</v>
      </c>
      <c r="S1531" s="12" t="s">
        <v>1979</v>
      </c>
      <c r="T1531" s="22">
        <f t="shared" si="117"/>
        <v>3</v>
      </c>
      <c r="U1531" s="22">
        <f t="shared" si="118"/>
        <v>2021</v>
      </c>
      <c r="V1531" s="22" t="str">
        <f t="shared" si="119"/>
        <v>METROPOLITANA</v>
      </c>
    </row>
    <row r="1532" spans="1:22" x14ac:dyDescent="0.2">
      <c r="A1532" s="11" t="s">
        <v>1977</v>
      </c>
      <c r="B1532" s="12" t="s">
        <v>18</v>
      </c>
      <c r="C1532" s="12" t="s">
        <v>457</v>
      </c>
      <c r="D1532" s="12" t="s">
        <v>1170</v>
      </c>
      <c r="E1532" s="13" t="s">
        <v>81</v>
      </c>
      <c r="F1532" s="12" t="s">
        <v>458</v>
      </c>
      <c r="G1532" s="14">
        <v>8531.2799999999988</v>
      </c>
      <c r="H1532" s="12" t="s">
        <v>24</v>
      </c>
      <c r="I1532" s="12">
        <v>1</v>
      </c>
      <c r="J1532" s="12" t="s">
        <v>458</v>
      </c>
      <c r="K1532" s="12" t="s">
        <v>75</v>
      </c>
      <c r="L1532" s="12">
        <v>0</v>
      </c>
      <c r="M1532" s="15">
        <v>400000</v>
      </c>
      <c r="N1532" s="15">
        <v>0</v>
      </c>
      <c r="O1532" s="15">
        <f t="shared" si="115"/>
        <v>400000</v>
      </c>
      <c r="P1532" s="15">
        <f t="shared" si="116"/>
        <v>46.886282011609048</v>
      </c>
      <c r="Q1532" s="14">
        <v>25000</v>
      </c>
      <c r="R1532" s="12">
        <v>34</v>
      </c>
      <c r="S1532" s="12" t="s">
        <v>1980</v>
      </c>
      <c r="T1532" s="22">
        <f t="shared" si="117"/>
        <v>3</v>
      </c>
      <c r="U1532" s="22">
        <f t="shared" si="118"/>
        <v>2021</v>
      </c>
      <c r="V1532" s="22" t="str">
        <f t="shared" si="119"/>
        <v>REGIONES</v>
      </c>
    </row>
    <row r="1533" spans="1:22" x14ac:dyDescent="0.2">
      <c r="A1533" s="11" t="s">
        <v>1977</v>
      </c>
      <c r="B1533" s="12" t="s">
        <v>18</v>
      </c>
      <c r="C1533" s="12" t="s">
        <v>1669</v>
      </c>
      <c r="D1533" s="12" t="s">
        <v>191</v>
      </c>
      <c r="E1533" s="13" t="s">
        <v>192</v>
      </c>
      <c r="F1533" s="12" t="s">
        <v>691</v>
      </c>
      <c r="G1533" s="14">
        <v>22843.8</v>
      </c>
      <c r="H1533" s="12" t="s">
        <v>85</v>
      </c>
      <c r="I1533" s="12">
        <v>1</v>
      </c>
      <c r="J1533" s="12" t="s">
        <v>691</v>
      </c>
      <c r="K1533" s="12" t="s">
        <v>873</v>
      </c>
      <c r="L1533" s="12">
        <v>0</v>
      </c>
      <c r="M1533" s="15">
        <v>1020000</v>
      </c>
      <c r="N1533" s="15">
        <v>0</v>
      </c>
      <c r="O1533" s="15">
        <f t="shared" si="115"/>
        <v>1020000</v>
      </c>
      <c r="P1533" s="15">
        <f t="shared" si="116"/>
        <v>44.651065059228323</v>
      </c>
      <c r="Q1533" s="14">
        <v>25000</v>
      </c>
      <c r="R1533" s="12">
        <v>91</v>
      </c>
      <c r="S1533" s="12" t="s">
        <v>1981</v>
      </c>
      <c r="T1533" s="22">
        <f t="shared" si="117"/>
        <v>3</v>
      </c>
      <c r="U1533" s="22">
        <f t="shared" si="118"/>
        <v>2021</v>
      </c>
      <c r="V1533" s="22" t="str">
        <f t="shared" si="119"/>
        <v>REGIONES</v>
      </c>
    </row>
    <row r="1534" spans="1:22" x14ac:dyDescent="0.2">
      <c r="A1534" s="11" t="s">
        <v>1977</v>
      </c>
      <c r="B1534" s="12" t="s">
        <v>18</v>
      </c>
      <c r="C1534" s="12" t="s">
        <v>508</v>
      </c>
      <c r="D1534" s="12" t="s">
        <v>63</v>
      </c>
      <c r="E1534" s="13" t="s">
        <v>64</v>
      </c>
      <c r="F1534" s="12" t="s">
        <v>51</v>
      </c>
      <c r="G1534" s="14">
        <v>2665.34</v>
      </c>
      <c r="H1534" s="12" t="s">
        <v>65</v>
      </c>
      <c r="I1534" s="12">
        <v>0</v>
      </c>
      <c r="J1534" s="12" t="s">
        <v>51</v>
      </c>
      <c r="K1534" s="12" t="s">
        <v>23</v>
      </c>
      <c r="L1534" s="12">
        <v>4</v>
      </c>
      <c r="M1534" s="15">
        <v>55000</v>
      </c>
      <c r="N1534" s="15">
        <v>0</v>
      </c>
      <c r="O1534" s="15">
        <f t="shared" si="115"/>
        <v>55000</v>
      </c>
      <c r="P1534" s="15">
        <f t="shared" si="116"/>
        <v>20.635266044857314</v>
      </c>
      <c r="Q1534" s="14">
        <v>8011</v>
      </c>
      <c r="R1534" s="12">
        <v>33</v>
      </c>
      <c r="S1534" s="12" t="s">
        <v>1982</v>
      </c>
      <c r="T1534" s="22">
        <f t="shared" si="117"/>
        <v>3</v>
      </c>
      <c r="U1534" s="22">
        <f t="shared" si="118"/>
        <v>2021</v>
      </c>
      <c r="V1534" s="22" t="str">
        <f t="shared" si="119"/>
        <v>METROPOLITANA</v>
      </c>
    </row>
    <row r="1535" spans="1:22" x14ac:dyDescent="0.2">
      <c r="A1535" s="11" t="s">
        <v>1977</v>
      </c>
      <c r="B1535" s="12" t="s">
        <v>33</v>
      </c>
      <c r="C1535" s="12" t="s">
        <v>354</v>
      </c>
      <c r="D1535" s="12" t="s">
        <v>38</v>
      </c>
      <c r="E1535" s="13" t="s">
        <v>42</v>
      </c>
      <c r="F1535" s="12" t="s">
        <v>53</v>
      </c>
      <c r="G1535" s="14">
        <v>11902.8</v>
      </c>
      <c r="H1535" s="12" t="s">
        <v>43</v>
      </c>
      <c r="I1535" s="12">
        <v>0</v>
      </c>
      <c r="J1535" s="12" t="s">
        <v>53</v>
      </c>
      <c r="K1535" s="12" t="s">
        <v>23</v>
      </c>
      <c r="L1535" s="12">
        <v>3</v>
      </c>
      <c r="M1535" s="15">
        <f>+G1535*11</f>
        <v>130930.79999999999</v>
      </c>
      <c r="N1535" s="15">
        <v>0</v>
      </c>
      <c r="O1535" s="15">
        <f t="shared" si="115"/>
        <v>130930.79999999999</v>
      </c>
      <c r="P1535" s="15">
        <f t="shared" si="116"/>
        <v>11</v>
      </c>
      <c r="Q1535" s="14">
        <v>6868</v>
      </c>
      <c r="R1535" s="12">
        <v>100</v>
      </c>
      <c r="S1535" s="12" t="s">
        <v>1983</v>
      </c>
      <c r="T1535" s="22">
        <f t="shared" si="117"/>
        <v>3</v>
      </c>
      <c r="U1535" s="22">
        <f t="shared" si="118"/>
        <v>2021</v>
      </c>
      <c r="V1535" s="22" t="str">
        <f t="shared" si="119"/>
        <v>METROPOLITANA</v>
      </c>
    </row>
    <row r="1536" spans="1:22" x14ac:dyDescent="0.2">
      <c r="A1536" s="11" t="s">
        <v>1977</v>
      </c>
      <c r="B1536" s="12" t="s">
        <v>33</v>
      </c>
      <c r="C1536" s="12" t="s">
        <v>1233</v>
      </c>
      <c r="D1536" s="12" t="s">
        <v>20</v>
      </c>
      <c r="E1536" s="13" t="s">
        <v>21</v>
      </c>
      <c r="F1536" s="12" t="s">
        <v>1234</v>
      </c>
      <c r="G1536" s="14">
        <v>2834</v>
      </c>
      <c r="H1536" s="12" t="s">
        <v>22</v>
      </c>
      <c r="I1536" s="12">
        <v>0</v>
      </c>
      <c r="J1536" s="12" t="s">
        <v>1234</v>
      </c>
      <c r="K1536" s="12" t="s">
        <v>23</v>
      </c>
      <c r="L1536" s="12">
        <v>3</v>
      </c>
      <c r="M1536" s="15">
        <v>48075</v>
      </c>
      <c r="N1536" s="15">
        <v>12000</v>
      </c>
      <c r="O1536" s="15">
        <f t="shared" si="115"/>
        <v>60075</v>
      </c>
      <c r="P1536" s="15">
        <f t="shared" si="116"/>
        <v>21.197953422724066</v>
      </c>
      <c r="Q1536" s="14">
        <v>6868</v>
      </c>
      <c r="R1536" s="12">
        <v>41</v>
      </c>
      <c r="S1536" s="12" t="s">
        <v>1984</v>
      </c>
      <c r="T1536" s="22">
        <f t="shared" si="117"/>
        <v>3</v>
      </c>
      <c r="U1536" s="22">
        <f t="shared" si="118"/>
        <v>2021</v>
      </c>
      <c r="V1536" s="22" t="str">
        <f t="shared" si="119"/>
        <v>METROPOLITANA</v>
      </c>
    </row>
    <row r="1537" spans="1:22" x14ac:dyDescent="0.2">
      <c r="A1537" s="11" t="s">
        <v>1977</v>
      </c>
      <c r="B1537" s="12" t="s">
        <v>33</v>
      </c>
      <c r="C1537" s="12" t="s">
        <v>29</v>
      </c>
      <c r="D1537" s="12" t="s">
        <v>188</v>
      </c>
      <c r="E1537" s="13" t="s">
        <v>189</v>
      </c>
      <c r="F1537" s="12" t="s">
        <v>129</v>
      </c>
      <c r="G1537" s="14">
        <v>7826.1700000000028</v>
      </c>
      <c r="H1537" s="12" t="s">
        <v>190</v>
      </c>
      <c r="I1537" s="12">
        <v>0</v>
      </c>
      <c r="J1537" s="12" t="s">
        <v>129</v>
      </c>
      <c r="K1537" s="12" t="s">
        <v>23</v>
      </c>
      <c r="L1537" s="12">
        <v>1</v>
      </c>
      <c r="M1537" s="15">
        <f>+G1537*11</f>
        <v>86087.870000000024</v>
      </c>
      <c r="N1537" s="15">
        <v>0</v>
      </c>
      <c r="O1537" s="15">
        <f t="shared" si="115"/>
        <v>86087.870000000024</v>
      </c>
      <c r="P1537" s="15">
        <f t="shared" si="116"/>
        <v>11</v>
      </c>
      <c r="Q1537" s="14">
        <v>4821</v>
      </c>
      <c r="R1537" s="12">
        <v>100</v>
      </c>
      <c r="S1537" s="12" t="s">
        <v>1985</v>
      </c>
      <c r="T1537" s="22">
        <f t="shared" si="117"/>
        <v>3</v>
      </c>
      <c r="U1537" s="22">
        <f t="shared" si="118"/>
        <v>2021</v>
      </c>
      <c r="V1537" s="22" t="str">
        <f t="shared" si="119"/>
        <v>METROPOLITANA</v>
      </c>
    </row>
    <row r="1538" spans="1:22" x14ac:dyDescent="0.2">
      <c r="A1538" s="11" t="s">
        <v>1977</v>
      </c>
      <c r="B1538" s="12" t="s">
        <v>33</v>
      </c>
      <c r="C1538" s="12" t="s">
        <v>29</v>
      </c>
      <c r="D1538" s="12" t="s">
        <v>37</v>
      </c>
      <c r="E1538" s="13" t="s">
        <v>40</v>
      </c>
      <c r="F1538" s="12" t="s">
        <v>173</v>
      </c>
      <c r="G1538" s="14">
        <v>4989.6000000000004</v>
      </c>
      <c r="H1538" s="12" t="s">
        <v>22</v>
      </c>
      <c r="I1538" s="12">
        <v>0</v>
      </c>
      <c r="J1538" s="12" t="s">
        <v>173</v>
      </c>
      <c r="K1538" s="12" t="s">
        <v>23</v>
      </c>
      <c r="L1538" s="12">
        <v>5</v>
      </c>
      <c r="M1538" s="15">
        <v>90000</v>
      </c>
      <c r="N1538" s="15">
        <v>19958</v>
      </c>
      <c r="O1538" s="15">
        <f t="shared" ref="O1538:O1601" si="120">SUM(M1538:N1538)</f>
        <v>109958</v>
      </c>
      <c r="P1538" s="15">
        <f t="shared" ref="P1538:P1601" si="121">O1538/G1538</f>
        <v>22.037437870771203</v>
      </c>
      <c r="Q1538" s="14">
        <v>12000</v>
      </c>
      <c r="R1538" s="12">
        <v>42</v>
      </c>
      <c r="S1538" s="12" t="s">
        <v>1986</v>
      </c>
      <c r="T1538" s="22">
        <f t="shared" ref="T1538:T1601" si="122">MONTH(A1538)</f>
        <v>3</v>
      </c>
      <c r="U1538" s="22">
        <f t="shared" ref="U1538:U1601" si="123">YEAR(A1538)</f>
        <v>2021</v>
      </c>
      <c r="V1538" s="22" t="str">
        <f t="shared" ref="V1538:V1601" si="124">IF(K1538="METROPOLITANA DE SANTIAGO","METROPOLITANA","REGIONES")</f>
        <v>METROPOLITANA</v>
      </c>
    </row>
    <row r="1539" spans="1:22" x14ac:dyDescent="0.2">
      <c r="A1539" s="11" t="s">
        <v>1977</v>
      </c>
      <c r="B1539" s="12" t="s">
        <v>33</v>
      </c>
      <c r="C1539" s="12" t="s">
        <v>29</v>
      </c>
      <c r="D1539" s="12" t="s">
        <v>786</v>
      </c>
      <c r="E1539" s="13" t="s">
        <v>787</v>
      </c>
      <c r="F1539" s="12" t="s">
        <v>170</v>
      </c>
      <c r="G1539" s="14">
        <v>9504.0000000000091</v>
      </c>
      <c r="H1539" s="12" t="s">
        <v>788</v>
      </c>
      <c r="I1539" s="12">
        <v>1</v>
      </c>
      <c r="J1539" s="12" t="s">
        <v>170</v>
      </c>
      <c r="K1539" s="12" t="s">
        <v>171</v>
      </c>
      <c r="L1539" s="12">
        <v>0</v>
      </c>
      <c r="M1539" s="15">
        <v>230000</v>
      </c>
      <c r="N1539" s="15">
        <v>0</v>
      </c>
      <c r="O1539" s="15">
        <f t="shared" si="120"/>
        <v>230000</v>
      </c>
      <c r="P1539" s="15">
        <f t="shared" si="121"/>
        <v>24.200336700336678</v>
      </c>
      <c r="Q1539" s="14">
        <v>25000</v>
      </c>
      <c r="R1539" s="12">
        <v>38</v>
      </c>
      <c r="S1539" s="12" t="s">
        <v>1987</v>
      </c>
      <c r="T1539" s="22">
        <f t="shared" si="122"/>
        <v>3</v>
      </c>
      <c r="U1539" s="22">
        <f t="shared" si="123"/>
        <v>2021</v>
      </c>
      <c r="V1539" s="22" t="str">
        <f t="shared" si="124"/>
        <v>REGIONES</v>
      </c>
    </row>
    <row r="1540" spans="1:22" x14ac:dyDescent="0.2">
      <c r="A1540" s="11" t="s">
        <v>1977</v>
      </c>
      <c r="B1540" s="12" t="s">
        <v>33</v>
      </c>
      <c r="C1540" s="12" t="s">
        <v>44</v>
      </c>
      <c r="D1540" s="12" t="s">
        <v>56</v>
      </c>
      <c r="E1540" s="13" t="s">
        <v>52</v>
      </c>
      <c r="F1540" s="12" t="s">
        <v>46</v>
      </c>
      <c r="G1540" s="14">
        <v>2450.4</v>
      </c>
      <c r="H1540" s="12" t="s">
        <v>22</v>
      </c>
      <c r="I1540" s="12">
        <v>0</v>
      </c>
      <c r="J1540" s="12" t="s">
        <v>46</v>
      </c>
      <c r="K1540" s="12" t="s">
        <v>23</v>
      </c>
      <c r="L1540" s="12">
        <v>2</v>
      </c>
      <c r="M1540" s="15">
        <v>40475</v>
      </c>
      <c r="N1540" s="15">
        <v>12000</v>
      </c>
      <c r="O1540" s="15">
        <f t="shared" si="120"/>
        <v>52475</v>
      </c>
      <c r="P1540" s="15">
        <f t="shared" si="121"/>
        <v>21.414871041462618</v>
      </c>
      <c r="Q1540" s="14">
        <v>5782</v>
      </c>
      <c r="R1540" s="12">
        <v>42</v>
      </c>
      <c r="S1540" s="12" t="s">
        <v>1988</v>
      </c>
      <c r="T1540" s="22">
        <f t="shared" si="122"/>
        <v>3</v>
      </c>
      <c r="U1540" s="22">
        <f t="shared" si="123"/>
        <v>2021</v>
      </c>
      <c r="V1540" s="22" t="str">
        <f t="shared" si="124"/>
        <v>METROPOLITANA</v>
      </c>
    </row>
    <row r="1541" spans="1:22" x14ac:dyDescent="0.2">
      <c r="A1541" s="11" t="s">
        <v>1977</v>
      </c>
      <c r="B1541" s="12" t="s">
        <v>33</v>
      </c>
      <c r="C1541" s="12" t="s">
        <v>44</v>
      </c>
      <c r="D1541" s="12" t="s">
        <v>188</v>
      </c>
      <c r="E1541" s="13" t="s">
        <v>189</v>
      </c>
      <c r="F1541" s="12" t="s">
        <v>26</v>
      </c>
      <c r="G1541" s="14">
        <v>1875.4</v>
      </c>
      <c r="H1541" s="12" t="s">
        <v>190</v>
      </c>
      <c r="I1541" s="12">
        <v>0</v>
      </c>
      <c r="J1541" s="12" t="s">
        <v>26</v>
      </c>
      <c r="K1541" s="12" t="s">
        <v>23</v>
      </c>
      <c r="L1541" s="12">
        <v>4</v>
      </c>
      <c r="M1541" s="15">
        <v>55000</v>
      </c>
      <c r="N1541" s="15">
        <v>0</v>
      </c>
      <c r="O1541" s="15">
        <f t="shared" si="120"/>
        <v>55000</v>
      </c>
      <c r="P1541" s="15">
        <f t="shared" si="121"/>
        <v>29.32707689026341</v>
      </c>
      <c r="Q1541" s="14">
        <v>8011</v>
      </c>
      <c r="R1541" s="12">
        <v>23</v>
      </c>
      <c r="S1541" s="12" t="s">
        <v>1989</v>
      </c>
      <c r="T1541" s="22">
        <f t="shared" si="122"/>
        <v>3</v>
      </c>
      <c r="U1541" s="22">
        <f t="shared" si="123"/>
        <v>2021</v>
      </c>
      <c r="V1541" s="22" t="str">
        <f t="shared" si="124"/>
        <v>METROPOLITANA</v>
      </c>
    </row>
    <row r="1542" spans="1:22" x14ac:dyDescent="0.2">
      <c r="A1542" s="11" t="s">
        <v>1977</v>
      </c>
      <c r="B1542" s="12" t="s">
        <v>33</v>
      </c>
      <c r="C1542" s="12" t="s">
        <v>44</v>
      </c>
      <c r="D1542" s="12" t="s">
        <v>45</v>
      </c>
      <c r="E1542" s="13" t="s">
        <v>49</v>
      </c>
      <c r="F1542" s="12" t="s">
        <v>53</v>
      </c>
      <c r="G1542" s="14">
        <v>2451.1999999999998</v>
      </c>
      <c r="H1542" s="12" t="s">
        <v>22</v>
      </c>
      <c r="I1542" s="12">
        <v>0</v>
      </c>
      <c r="J1542" s="12" t="s">
        <v>53</v>
      </c>
      <c r="K1542" s="12" t="s">
        <v>23</v>
      </c>
      <c r="L1542" s="12">
        <v>3</v>
      </c>
      <c r="M1542" s="15">
        <v>48075</v>
      </c>
      <c r="N1542" s="15">
        <v>12000</v>
      </c>
      <c r="O1542" s="15">
        <f t="shared" si="120"/>
        <v>60075</v>
      </c>
      <c r="P1542" s="15">
        <f t="shared" si="121"/>
        <v>24.508404046997391</v>
      </c>
      <c r="Q1542" s="14">
        <v>6868</v>
      </c>
      <c r="R1542" s="12">
        <v>36</v>
      </c>
      <c r="S1542" s="12" t="s">
        <v>1990</v>
      </c>
      <c r="T1542" s="22">
        <f t="shared" si="122"/>
        <v>3</v>
      </c>
      <c r="U1542" s="22">
        <f t="shared" si="123"/>
        <v>2021</v>
      </c>
      <c r="V1542" s="22" t="str">
        <f t="shared" si="124"/>
        <v>METROPOLITANA</v>
      </c>
    </row>
    <row r="1543" spans="1:22" x14ac:dyDescent="0.2">
      <c r="A1543" s="11" t="s">
        <v>1977</v>
      </c>
      <c r="B1543" s="12" t="s">
        <v>33</v>
      </c>
      <c r="C1543" s="12" t="s">
        <v>44</v>
      </c>
      <c r="D1543" s="12" t="s">
        <v>47</v>
      </c>
      <c r="E1543" s="13" t="s">
        <v>1576</v>
      </c>
      <c r="F1543" s="12" t="s">
        <v>48</v>
      </c>
      <c r="G1543" s="14">
        <v>5562.0000000000027</v>
      </c>
      <c r="H1543" s="12" t="s">
        <v>22</v>
      </c>
      <c r="I1543" s="12">
        <v>0</v>
      </c>
      <c r="J1543" s="12" t="s">
        <v>48</v>
      </c>
      <c r="K1543" s="12" t="s">
        <v>23</v>
      </c>
      <c r="L1543" s="12">
        <v>1</v>
      </c>
      <c r="M1543" s="15">
        <v>38934</v>
      </c>
      <c r="N1543" s="15">
        <v>22248</v>
      </c>
      <c r="O1543" s="15">
        <f t="shared" si="120"/>
        <v>61182</v>
      </c>
      <c r="P1543" s="15">
        <f t="shared" si="121"/>
        <v>10.999999999999995</v>
      </c>
      <c r="Q1543" s="14">
        <v>4821</v>
      </c>
      <c r="R1543" s="12">
        <v>100</v>
      </c>
      <c r="S1543" s="12" t="s">
        <v>1991</v>
      </c>
      <c r="T1543" s="22">
        <f t="shared" si="122"/>
        <v>3</v>
      </c>
      <c r="U1543" s="22">
        <f t="shared" si="123"/>
        <v>2021</v>
      </c>
      <c r="V1543" s="22" t="str">
        <f t="shared" si="124"/>
        <v>METROPOLITANA</v>
      </c>
    </row>
    <row r="1544" spans="1:22" x14ac:dyDescent="0.2">
      <c r="A1544" s="11" t="s">
        <v>1977</v>
      </c>
      <c r="B1544" s="12" t="s">
        <v>33</v>
      </c>
      <c r="C1544" s="12" t="s">
        <v>44</v>
      </c>
      <c r="D1544" s="12" t="s">
        <v>35</v>
      </c>
      <c r="E1544" s="13" t="s">
        <v>21</v>
      </c>
      <c r="F1544" s="12" t="s">
        <v>229</v>
      </c>
      <c r="G1544" s="14">
        <v>2588.6</v>
      </c>
      <c r="H1544" s="12" t="s">
        <v>22</v>
      </c>
      <c r="I1544" s="12">
        <v>0</v>
      </c>
      <c r="J1544" s="12" t="s">
        <v>230</v>
      </c>
      <c r="K1544" s="12" t="s">
        <v>23</v>
      </c>
      <c r="L1544" s="12">
        <v>4</v>
      </c>
      <c r="M1544" s="15">
        <v>56075</v>
      </c>
      <c r="N1544" s="15">
        <v>12000</v>
      </c>
      <c r="O1544" s="15">
        <f t="shared" si="120"/>
        <v>68075</v>
      </c>
      <c r="P1544" s="15">
        <f t="shared" si="121"/>
        <v>26.297998918334237</v>
      </c>
      <c r="Q1544" s="14">
        <v>8011</v>
      </c>
      <c r="R1544" s="12">
        <v>32</v>
      </c>
      <c r="S1544" s="12" t="s">
        <v>1992</v>
      </c>
      <c r="T1544" s="22">
        <f t="shared" si="122"/>
        <v>3</v>
      </c>
      <c r="U1544" s="22">
        <f t="shared" si="123"/>
        <v>2021</v>
      </c>
      <c r="V1544" s="22" t="str">
        <f t="shared" si="124"/>
        <v>METROPOLITANA</v>
      </c>
    </row>
    <row r="1545" spans="1:22" x14ac:dyDescent="0.2">
      <c r="A1545" s="23" t="s">
        <v>1993</v>
      </c>
      <c r="B1545" s="22" t="s">
        <v>18</v>
      </c>
      <c r="C1545" s="22" t="s">
        <v>50</v>
      </c>
      <c r="D1545" s="22" t="s">
        <v>38</v>
      </c>
      <c r="E1545" s="24" t="s">
        <v>42</v>
      </c>
      <c r="F1545" s="22" t="s">
        <v>26</v>
      </c>
      <c r="G1545" s="25">
        <v>12928</v>
      </c>
      <c r="H1545" s="22" t="s">
        <v>43</v>
      </c>
      <c r="I1545" s="22">
        <v>0</v>
      </c>
      <c r="J1545" s="22" t="s">
        <v>26</v>
      </c>
      <c r="K1545" s="22" t="s">
        <v>23</v>
      </c>
      <c r="L1545" s="22">
        <v>4</v>
      </c>
      <c r="M1545" s="26">
        <f>+G1545*11</f>
        <v>142208</v>
      </c>
      <c r="N1545" s="26">
        <v>0</v>
      </c>
      <c r="O1545" s="15">
        <f t="shared" si="120"/>
        <v>142208</v>
      </c>
      <c r="P1545" s="15">
        <f t="shared" si="121"/>
        <v>11</v>
      </c>
      <c r="Q1545" s="25">
        <v>8011</v>
      </c>
      <c r="R1545" s="22">
        <v>100</v>
      </c>
      <c r="S1545" s="22" t="s">
        <v>1994</v>
      </c>
      <c r="T1545" s="22">
        <f t="shared" si="122"/>
        <v>3</v>
      </c>
      <c r="U1545" s="22">
        <f t="shared" si="123"/>
        <v>2021</v>
      </c>
      <c r="V1545" s="22" t="str">
        <f t="shared" si="124"/>
        <v>METROPOLITANA</v>
      </c>
    </row>
    <row r="1546" spans="1:22" x14ac:dyDescent="0.2">
      <c r="A1546" s="23" t="s">
        <v>1993</v>
      </c>
      <c r="B1546" s="22" t="s">
        <v>18</v>
      </c>
      <c r="C1546" s="22" t="s">
        <v>87</v>
      </c>
      <c r="D1546" s="22" t="s">
        <v>38</v>
      </c>
      <c r="E1546" s="24" t="s">
        <v>42</v>
      </c>
      <c r="F1546" s="22" t="s">
        <v>51</v>
      </c>
      <c r="G1546" s="25">
        <v>5983.6</v>
      </c>
      <c r="H1546" s="22" t="s">
        <v>43</v>
      </c>
      <c r="I1546" s="22">
        <v>0</v>
      </c>
      <c r="J1546" s="22" t="s">
        <v>51</v>
      </c>
      <c r="K1546" s="22" t="s">
        <v>23</v>
      </c>
      <c r="L1546" s="22">
        <v>4</v>
      </c>
      <c r="M1546" s="26">
        <f>+G1546*11</f>
        <v>65819.600000000006</v>
      </c>
      <c r="N1546" s="26">
        <v>0</v>
      </c>
      <c r="O1546" s="15">
        <f t="shared" si="120"/>
        <v>65819.600000000006</v>
      </c>
      <c r="P1546" s="15">
        <f t="shared" si="121"/>
        <v>11</v>
      </c>
      <c r="Q1546" s="25">
        <v>8011</v>
      </c>
      <c r="R1546" s="22">
        <v>75</v>
      </c>
      <c r="S1546" s="22" t="s">
        <v>1995</v>
      </c>
      <c r="T1546" s="22">
        <f t="shared" si="122"/>
        <v>3</v>
      </c>
      <c r="U1546" s="22">
        <f t="shared" si="123"/>
        <v>2021</v>
      </c>
      <c r="V1546" s="22" t="str">
        <f t="shared" si="124"/>
        <v>METROPOLITANA</v>
      </c>
    </row>
    <row r="1547" spans="1:22" x14ac:dyDescent="0.2">
      <c r="A1547" s="23" t="s">
        <v>1993</v>
      </c>
      <c r="B1547" s="22" t="s">
        <v>18</v>
      </c>
      <c r="C1547" s="22" t="s">
        <v>44</v>
      </c>
      <c r="D1547" s="22" t="s">
        <v>164</v>
      </c>
      <c r="E1547" s="24" t="s">
        <v>126</v>
      </c>
      <c r="F1547" s="22" t="s">
        <v>407</v>
      </c>
      <c r="G1547" s="25">
        <f>9787.8+3564</f>
        <v>13351.8</v>
      </c>
      <c r="H1547" s="22" t="s">
        <v>22</v>
      </c>
      <c r="I1547" s="22">
        <v>1</v>
      </c>
      <c r="J1547" s="22" t="s">
        <v>407</v>
      </c>
      <c r="K1547" s="22" t="s">
        <v>408</v>
      </c>
      <c r="L1547" s="22">
        <v>0</v>
      </c>
      <c r="M1547" s="26">
        <v>600000</v>
      </c>
      <c r="N1547" s="26">
        <f>+G1547*4</f>
        <v>53407.199999999997</v>
      </c>
      <c r="O1547" s="15">
        <f t="shared" si="120"/>
        <v>653407.19999999995</v>
      </c>
      <c r="P1547" s="15">
        <f t="shared" si="121"/>
        <v>48.937761200736979</v>
      </c>
      <c r="Q1547" s="25">
        <v>25000</v>
      </c>
      <c r="R1547" s="22">
        <v>39</v>
      </c>
      <c r="S1547" s="22" t="s">
        <v>1996</v>
      </c>
      <c r="T1547" s="22">
        <f t="shared" si="122"/>
        <v>3</v>
      </c>
      <c r="U1547" s="22">
        <f t="shared" si="123"/>
        <v>2021</v>
      </c>
      <c r="V1547" s="22" t="str">
        <f t="shared" si="124"/>
        <v>REGIONES</v>
      </c>
    </row>
    <row r="1548" spans="1:22" x14ac:dyDescent="0.2">
      <c r="A1548" s="23" t="s">
        <v>1993</v>
      </c>
      <c r="B1548" s="22" t="s">
        <v>33</v>
      </c>
      <c r="C1548" s="22" t="s">
        <v>1997</v>
      </c>
      <c r="D1548" s="22" t="s">
        <v>30</v>
      </c>
      <c r="E1548" s="24" t="s">
        <v>31</v>
      </c>
      <c r="F1548" s="22" t="s">
        <v>58</v>
      </c>
      <c r="G1548" s="25">
        <v>10505.6</v>
      </c>
      <c r="H1548" s="22" t="s">
        <v>32</v>
      </c>
      <c r="I1548" s="22">
        <v>0</v>
      </c>
      <c r="J1548" s="22" t="s">
        <v>58</v>
      </c>
      <c r="K1548" s="22" t="s">
        <v>23</v>
      </c>
      <c r="L1548" s="22">
        <v>5</v>
      </c>
      <c r="M1548" s="26">
        <f>+G1548*11</f>
        <v>115561.60000000001</v>
      </c>
      <c r="N1548" s="26">
        <v>0</v>
      </c>
      <c r="O1548" s="15">
        <f t="shared" si="120"/>
        <v>115561.60000000001</v>
      </c>
      <c r="P1548" s="15">
        <f t="shared" si="121"/>
        <v>11</v>
      </c>
      <c r="Q1548" s="25">
        <v>12000</v>
      </c>
      <c r="R1548" s="22">
        <v>88</v>
      </c>
      <c r="S1548" s="22" t="s">
        <v>1998</v>
      </c>
      <c r="T1548" s="22">
        <f t="shared" si="122"/>
        <v>3</v>
      </c>
      <c r="U1548" s="22">
        <f t="shared" si="123"/>
        <v>2021</v>
      </c>
      <c r="V1548" s="22" t="str">
        <f t="shared" si="124"/>
        <v>METROPOLITANA</v>
      </c>
    </row>
    <row r="1549" spans="1:22" x14ac:dyDescent="0.2">
      <c r="A1549" s="23" t="s">
        <v>1993</v>
      </c>
      <c r="B1549" s="22" t="s">
        <v>33</v>
      </c>
      <c r="C1549" s="22" t="s">
        <v>128</v>
      </c>
      <c r="D1549" s="22" t="s">
        <v>56</v>
      </c>
      <c r="E1549" s="24" t="s">
        <v>21</v>
      </c>
      <c r="F1549" s="22" t="s">
        <v>34</v>
      </c>
      <c r="G1549" s="25">
        <v>1099.2</v>
      </c>
      <c r="H1549" s="22" t="s">
        <v>22</v>
      </c>
      <c r="I1549" s="22">
        <v>0</v>
      </c>
      <c r="J1549" s="22" t="s">
        <v>34</v>
      </c>
      <c r="K1549" s="22" t="s">
        <v>23</v>
      </c>
      <c r="L1549" s="22">
        <v>1</v>
      </c>
      <c r="M1549" s="26">
        <v>33750</v>
      </c>
      <c r="N1549" s="26">
        <v>12000</v>
      </c>
      <c r="O1549" s="15">
        <f t="shared" si="120"/>
        <v>45750</v>
      </c>
      <c r="P1549" s="15">
        <f t="shared" si="121"/>
        <v>41.62117903930131</v>
      </c>
      <c r="Q1549" s="25">
        <v>4821</v>
      </c>
      <c r="R1549" s="22">
        <v>23</v>
      </c>
      <c r="S1549" s="22" t="s">
        <v>1999</v>
      </c>
      <c r="T1549" s="22">
        <f t="shared" si="122"/>
        <v>3</v>
      </c>
      <c r="U1549" s="22">
        <f t="shared" si="123"/>
        <v>2021</v>
      </c>
      <c r="V1549" s="22" t="str">
        <f t="shared" si="124"/>
        <v>METROPOLITANA</v>
      </c>
    </row>
    <row r="1550" spans="1:22" x14ac:dyDescent="0.2">
      <c r="A1550" s="23" t="s">
        <v>1993</v>
      </c>
      <c r="B1550" s="22" t="s">
        <v>33</v>
      </c>
      <c r="C1550" s="22" t="s">
        <v>128</v>
      </c>
      <c r="D1550" s="22" t="s">
        <v>20</v>
      </c>
      <c r="E1550" s="24" t="s">
        <v>21</v>
      </c>
      <c r="F1550" s="22" t="s">
        <v>34</v>
      </c>
      <c r="G1550" s="25">
        <f>1099.2+781</f>
        <v>1880.2</v>
      </c>
      <c r="H1550" s="22" t="s">
        <v>22</v>
      </c>
      <c r="I1550" s="22">
        <v>0</v>
      </c>
      <c r="J1550" s="22" t="s">
        <v>34</v>
      </c>
      <c r="K1550" s="22" t="s">
        <v>23</v>
      </c>
      <c r="L1550" s="22">
        <v>1</v>
      </c>
      <c r="M1550" s="26">
        <v>33750</v>
      </c>
      <c r="N1550" s="26">
        <v>12000</v>
      </c>
      <c r="O1550" s="15">
        <f t="shared" si="120"/>
        <v>45750</v>
      </c>
      <c r="P1550" s="15">
        <f t="shared" si="121"/>
        <v>24.332517817253482</v>
      </c>
      <c r="Q1550" s="25">
        <v>4821</v>
      </c>
      <c r="R1550" s="22">
        <v>23</v>
      </c>
      <c r="S1550" s="22" t="s">
        <v>2000</v>
      </c>
      <c r="T1550" s="22">
        <f t="shared" si="122"/>
        <v>3</v>
      </c>
      <c r="U1550" s="22">
        <f t="shared" si="123"/>
        <v>2021</v>
      </c>
      <c r="V1550" s="22" t="str">
        <f t="shared" si="124"/>
        <v>METROPOLITANA</v>
      </c>
    </row>
    <row r="1551" spans="1:22" x14ac:dyDescent="0.2">
      <c r="A1551" s="23" t="s">
        <v>1993</v>
      </c>
      <c r="B1551" s="22" t="s">
        <v>33</v>
      </c>
      <c r="C1551" s="22" t="s">
        <v>36</v>
      </c>
      <c r="D1551" s="22" t="s">
        <v>1869</v>
      </c>
      <c r="E1551" s="24" t="s">
        <v>1870</v>
      </c>
      <c r="F1551" s="22" t="s">
        <v>691</v>
      </c>
      <c r="G1551" s="25">
        <v>15629.599999999989</v>
      </c>
      <c r="H1551" s="22" t="s">
        <v>85</v>
      </c>
      <c r="I1551" s="22">
        <v>1</v>
      </c>
      <c r="J1551" s="22" t="s">
        <v>691</v>
      </c>
      <c r="K1551" s="22" t="s">
        <v>873</v>
      </c>
      <c r="L1551" s="22">
        <v>0</v>
      </c>
      <c r="M1551" s="26">
        <v>1020000</v>
      </c>
      <c r="N1551" s="26">
        <v>0</v>
      </c>
      <c r="O1551" s="15">
        <f t="shared" si="120"/>
        <v>1020000</v>
      </c>
      <c r="P1551" s="15">
        <f t="shared" si="121"/>
        <v>65.260787224241227</v>
      </c>
      <c r="Q1551" s="25">
        <v>25000</v>
      </c>
      <c r="R1551" s="22">
        <v>63</v>
      </c>
      <c r="S1551" s="22" t="s">
        <v>2001</v>
      </c>
      <c r="T1551" s="22">
        <f t="shared" si="122"/>
        <v>3</v>
      </c>
      <c r="U1551" s="22">
        <f t="shared" si="123"/>
        <v>2021</v>
      </c>
      <c r="V1551" s="22" t="str">
        <f t="shared" si="124"/>
        <v>REGIONES</v>
      </c>
    </row>
    <row r="1552" spans="1:22" x14ac:dyDescent="0.2">
      <c r="A1552" s="23" t="s">
        <v>1993</v>
      </c>
      <c r="B1552" s="22" t="s">
        <v>33</v>
      </c>
      <c r="C1552" s="22" t="s">
        <v>36</v>
      </c>
      <c r="D1552" s="22" t="s">
        <v>786</v>
      </c>
      <c r="E1552" s="24" t="s">
        <v>787</v>
      </c>
      <c r="F1552" s="22" t="s">
        <v>170</v>
      </c>
      <c r="G1552" s="25">
        <v>9826.0000000000036</v>
      </c>
      <c r="H1552" s="22" t="s">
        <v>788</v>
      </c>
      <c r="I1552" s="22">
        <v>1</v>
      </c>
      <c r="J1552" s="22" t="s">
        <v>170</v>
      </c>
      <c r="K1552" s="22" t="s">
        <v>171</v>
      </c>
      <c r="L1552" s="22">
        <v>0</v>
      </c>
      <c r="M1552" s="26">
        <v>230000</v>
      </c>
      <c r="N1552" s="26">
        <v>0</v>
      </c>
      <c r="O1552" s="15">
        <f t="shared" si="120"/>
        <v>230000</v>
      </c>
      <c r="P1552" s="15">
        <f t="shared" si="121"/>
        <v>23.407286790148575</v>
      </c>
      <c r="Q1552" s="25">
        <v>25000</v>
      </c>
      <c r="R1552" s="22">
        <v>39</v>
      </c>
      <c r="S1552" s="22" t="s">
        <v>2002</v>
      </c>
      <c r="T1552" s="22">
        <f t="shared" si="122"/>
        <v>3</v>
      </c>
      <c r="U1552" s="22">
        <f t="shared" si="123"/>
        <v>2021</v>
      </c>
      <c r="V1552" s="22" t="str">
        <f t="shared" si="124"/>
        <v>REGIONES</v>
      </c>
    </row>
    <row r="1553" spans="1:22" x14ac:dyDescent="0.2">
      <c r="A1553" s="23" t="s">
        <v>1993</v>
      </c>
      <c r="B1553" s="22" t="s">
        <v>33</v>
      </c>
      <c r="C1553" s="22" t="s">
        <v>36</v>
      </c>
      <c r="D1553" s="22" t="s">
        <v>164</v>
      </c>
      <c r="E1553" s="24" t="s">
        <v>28</v>
      </c>
      <c r="F1553" s="22" t="s">
        <v>127</v>
      </c>
      <c r="G1553" s="25">
        <v>10737.2</v>
      </c>
      <c r="H1553" s="22" t="s">
        <v>22</v>
      </c>
      <c r="I1553" s="22">
        <v>1</v>
      </c>
      <c r="J1553" s="22" t="s">
        <v>127</v>
      </c>
      <c r="K1553" s="22" t="s">
        <v>78</v>
      </c>
      <c r="L1553" s="22">
        <v>0</v>
      </c>
      <c r="M1553" s="26">
        <v>230000</v>
      </c>
      <c r="N1553" s="26">
        <f>+G1553*4</f>
        <v>42948.800000000003</v>
      </c>
      <c r="O1553" s="15">
        <f t="shared" si="120"/>
        <v>272948.8</v>
      </c>
      <c r="P1553" s="15">
        <f t="shared" si="121"/>
        <v>25.420854598964347</v>
      </c>
      <c r="Q1553" s="25">
        <v>25000</v>
      </c>
      <c r="R1553" s="22">
        <v>43</v>
      </c>
      <c r="S1553" s="22" t="s">
        <v>2003</v>
      </c>
      <c r="T1553" s="22">
        <f t="shared" si="122"/>
        <v>3</v>
      </c>
      <c r="U1553" s="22">
        <f t="shared" si="123"/>
        <v>2021</v>
      </c>
      <c r="V1553" s="22" t="str">
        <f t="shared" si="124"/>
        <v>REGIONES</v>
      </c>
    </row>
    <row r="1554" spans="1:22" x14ac:dyDescent="0.2">
      <c r="A1554" s="23" t="s">
        <v>1993</v>
      </c>
      <c r="B1554" s="22" t="s">
        <v>33</v>
      </c>
      <c r="C1554" s="22" t="s">
        <v>87</v>
      </c>
      <c r="D1554" s="22" t="s">
        <v>37</v>
      </c>
      <c r="E1554" s="24" t="s">
        <v>40</v>
      </c>
      <c r="F1554" s="22" t="s">
        <v>2004</v>
      </c>
      <c r="G1554" s="25">
        <v>8008.0000000000009</v>
      </c>
      <c r="H1554" s="22" t="s">
        <v>22</v>
      </c>
      <c r="I1554" s="22">
        <v>0</v>
      </c>
      <c r="J1554" s="22" t="s">
        <v>2004</v>
      </c>
      <c r="K1554" s="22" t="s">
        <v>23</v>
      </c>
      <c r="L1554" s="22">
        <v>5</v>
      </c>
      <c r="M1554" s="26">
        <v>90000</v>
      </c>
      <c r="N1554" s="26">
        <f>+G1554*4</f>
        <v>32032.000000000004</v>
      </c>
      <c r="O1554" s="15">
        <f t="shared" si="120"/>
        <v>122032</v>
      </c>
      <c r="P1554" s="15">
        <f t="shared" si="121"/>
        <v>15.238761238761237</v>
      </c>
      <c r="Q1554" s="25">
        <v>12000</v>
      </c>
      <c r="R1554" s="22">
        <v>67</v>
      </c>
      <c r="S1554" s="22" t="s">
        <v>2005</v>
      </c>
      <c r="T1554" s="22">
        <f t="shared" si="122"/>
        <v>3</v>
      </c>
      <c r="U1554" s="22">
        <f t="shared" si="123"/>
        <v>2021</v>
      </c>
      <c r="V1554" s="22" t="str">
        <f t="shared" si="124"/>
        <v>METROPOLITANA</v>
      </c>
    </row>
    <row r="1555" spans="1:22" x14ac:dyDescent="0.2">
      <c r="A1555" s="23" t="s">
        <v>1993</v>
      </c>
      <c r="B1555" s="22" t="s">
        <v>33</v>
      </c>
      <c r="C1555" s="22" t="s">
        <v>29</v>
      </c>
      <c r="D1555" s="22" t="s">
        <v>30</v>
      </c>
      <c r="E1555" s="24" t="s">
        <v>31</v>
      </c>
      <c r="F1555" s="22" t="s">
        <v>1783</v>
      </c>
      <c r="G1555" s="25">
        <v>10505.6</v>
      </c>
      <c r="H1555" s="22" t="s">
        <v>32</v>
      </c>
      <c r="I1555" s="22">
        <v>0</v>
      </c>
      <c r="J1555" s="22" t="s">
        <v>1784</v>
      </c>
      <c r="K1555" s="22" t="s">
        <v>23</v>
      </c>
      <c r="L1555" s="22">
        <v>5</v>
      </c>
      <c r="M1555" s="26">
        <f>+G1555*11</f>
        <v>115561.60000000001</v>
      </c>
      <c r="N1555" s="26">
        <v>0</v>
      </c>
      <c r="O1555" s="15">
        <f t="shared" si="120"/>
        <v>115561.60000000001</v>
      </c>
      <c r="P1555" s="15">
        <f t="shared" si="121"/>
        <v>11</v>
      </c>
      <c r="Q1555" s="25">
        <v>12000</v>
      </c>
      <c r="R1555" s="22">
        <v>88</v>
      </c>
      <c r="S1555" s="22" t="s">
        <v>2006</v>
      </c>
      <c r="T1555" s="22">
        <f t="shared" si="122"/>
        <v>3</v>
      </c>
      <c r="U1555" s="22">
        <f t="shared" si="123"/>
        <v>2021</v>
      </c>
      <c r="V1555" s="22" t="str">
        <f t="shared" si="124"/>
        <v>METROPOLITANA</v>
      </c>
    </row>
    <row r="1556" spans="1:22" x14ac:dyDescent="0.2">
      <c r="A1556" s="23" t="s">
        <v>1993</v>
      </c>
      <c r="B1556" s="22" t="s">
        <v>33</v>
      </c>
      <c r="C1556" s="22" t="s">
        <v>44</v>
      </c>
      <c r="D1556" s="22" t="s">
        <v>56</v>
      </c>
      <c r="E1556" s="24" t="s">
        <v>52</v>
      </c>
      <c r="F1556" s="22" t="s">
        <v>225</v>
      </c>
      <c r="G1556" s="25">
        <v>3239.2000000000012</v>
      </c>
      <c r="H1556" s="22" t="s">
        <v>22</v>
      </c>
      <c r="I1556" s="22">
        <v>0</v>
      </c>
      <c r="J1556" s="22" t="s">
        <v>225</v>
      </c>
      <c r="K1556" s="22" t="s">
        <v>23</v>
      </c>
      <c r="L1556" s="22">
        <v>3</v>
      </c>
      <c r="M1556" s="26">
        <v>48075</v>
      </c>
      <c r="N1556" s="26">
        <v>12957</v>
      </c>
      <c r="O1556" s="15">
        <f t="shared" si="120"/>
        <v>61032</v>
      </c>
      <c r="P1556" s="15">
        <f t="shared" si="121"/>
        <v>18.841689306001474</v>
      </c>
      <c r="Q1556" s="25">
        <v>6868</v>
      </c>
      <c r="R1556" s="22">
        <v>47</v>
      </c>
      <c r="S1556" s="22" t="s">
        <v>2007</v>
      </c>
      <c r="T1556" s="22">
        <f t="shared" si="122"/>
        <v>3</v>
      </c>
      <c r="U1556" s="22">
        <f t="shared" si="123"/>
        <v>2021</v>
      </c>
      <c r="V1556" s="22" t="str">
        <f t="shared" si="124"/>
        <v>METROPOLITANA</v>
      </c>
    </row>
    <row r="1557" spans="1:22" x14ac:dyDescent="0.2">
      <c r="A1557" s="23" t="s">
        <v>1993</v>
      </c>
      <c r="B1557" s="22" t="s">
        <v>33</v>
      </c>
      <c r="C1557" s="22" t="s">
        <v>44</v>
      </c>
      <c r="D1557" s="22" t="s">
        <v>188</v>
      </c>
      <c r="E1557" s="24" t="s">
        <v>189</v>
      </c>
      <c r="F1557" s="22" t="s">
        <v>137</v>
      </c>
      <c r="G1557" s="25">
        <v>2562.8000000000002</v>
      </c>
      <c r="H1557" s="22" t="s">
        <v>190</v>
      </c>
      <c r="I1557" s="22">
        <v>0</v>
      </c>
      <c r="J1557" s="22" t="s">
        <v>137</v>
      </c>
      <c r="K1557" s="22" t="s">
        <v>23</v>
      </c>
      <c r="L1557" s="22">
        <v>1</v>
      </c>
      <c r="M1557" s="26">
        <v>55000</v>
      </c>
      <c r="N1557" s="26">
        <v>0</v>
      </c>
      <c r="O1557" s="15">
        <f t="shared" si="120"/>
        <v>55000</v>
      </c>
      <c r="P1557" s="15">
        <f t="shared" si="121"/>
        <v>21.460902138286247</v>
      </c>
      <c r="Q1557" s="25">
        <v>4821</v>
      </c>
      <c r="R1557" s="22">
        <v>53</v>
      </c>
      <c r="S1557" s="22" t="s">
        <v>2008</v>
      </c>
      <c r="T1557" s="22">
        <f t="shared" si="122"/>
        <v>3</v>
      </c>
      <c r="U1557" s="22">
        <f t="shared" si="123"/>
        <v>2021</v>
      </c>
      <c r="V1557" s="22" t="str">
        <f t="shared" si="124"/>
        <v>METROPOLITANA</v>
      </c>
    </row>
    <row r="1558" spans="1:22" x14ac:dyDescent="0.2">
      <c r="A1558" s="23" t="s">
        <v>1993</v>
      </c>
      <c r="B1558" s="22" t="s">
        <v>33</v>
      </c>
      <c r="C1558" s="22" t="s">
        <v>44</v>
      </c>
      <c r="D1558" s="22" t="s">
        <v>45</v>
      </c>
      <c r="E1558" s="24" t="s">
        <v>52</v>
      </c>
      <c r="F1558" s="22" t="s">
        <v>67</v>
      </c>
      <c r="G1558" s="25">
        <v>4681.6200000000008</v>
      </c>
      <c r="H1558" s="22" t="s">
        <v>22</v>
      </c>
      <c r="I1558" s="22">
        <v>0</v>
      </c>
      <c r="J1558" s="22" t="s">
        <v>67</v>
      </c>
      <c r="K1558" s="22" t="s">
        <v>23</v>
      </c>
      <c r="L1558" s="22">
        <v>2</v>
      </c>
      <c r="M1558" s="26">
        <v>40475</v>
      </c>
      <c r="N1558" s="26">
        <v>18726</v>
      </c>
      <c r="O1558" s="15">
        <f t="shared" si="120"/>
        <v>59201</v>
      </c>
      <c r="P1558" s="15">
        <f t="shared" si="121"/>
        <v>12.645409067801314</v>
      </c>
      <c r="Q1558" s="25">
        <v>5782</v>
      </c>
      <c r="R1558" s="22">
        <v>81</v>
      </c>
      <c r="S1558" s="22" t="s">
        <v>2009</v>
      </c>
      <c r="T1558" s="22">
        <f t="shared" si="122"/>
        <v>3</v>
      </c>
      <c r="U1558" s="22">
        <f t="shared" si="123"/>
        <v>2021</v>
      </c>
      <c r="V1558" s="22" t="str">
        <f t="shared" si="124"/>
        <v>METROPOLITANA</v>
      </c>
    </row>
    <row r="1559" spans="1:22" x14ac:dyDescent="0.2">
      <c r="A1559" s="23" t="s">
        <v>1993</v>
      </c>
      <c r="B1559" s="22" t="s">
        <v>33</v>
      </c>
      <c r="C1559" s="22" t="s">
        <v>44</v>
      </c>
      <c r="D1559" s="22" t="s">
        <v>47</v>
      </c>
      <c r="E1559" s="24" t="s">
        <v>1576</v>
      </c>
      <c r="F1559" s="22" t="s">
        <v>48</v>
      </c>
      <c r="G1559" s="25">
        <v>5577.2000000000016</v>
      </c>
      <c r="H1559" s="22" t="s">
        <v>22</v>
      </c>
      <c r="I1559" s="22">
        <v>0</v>
      </c>
      <c r="J1559" s="22" t="s">
        <v>48</v>
      </c>
      <c r="K1559" s="22" t="s">
        <v>23</v>
      </c>
      <c r="L1559" s="22">
        <v>1</v>
      </c>
      <c r="M1559" s="26">
        <v>39040</v>
      </c>
      <c r="N1559" s="26">
        <v>22309</v>
      </c>
      <c r="O1559" s="15">
        <f t="shared" si="120"/>
        <v>61349</v>
      </c>
      <c r="P1559" s="15">
        <f t="shared" si="121"/>
        <v>10.999964139711681</v>
      </c>
      <c r="Q1559" s="25">
        <v>4821</v>
      </c>
      <c r="R1559" s="22">
        <v>100</v>
      </c>
      <c r="S1559" s="22" t="s">
        <v>2010</v>
      </c>
      <c r="T1559" s="22">
        <f t="shared" si="122"/>
        <v>3</v>
      </c>
      <c r="U1559" s="22">
        <f t="shared" si="123"/>
        <v>2021</v>
      </c>
      <c r="V1559" s="22" t="str">
        <f t="shared" si="124"/>
        <v>METROPOLITANA</v>
      </c>
    </row>
    <row r="1560" spans="1:22" x14ac:dyDescent="0.2">
      <c r="A1560" s="23" t="s">
        <v>1993</v>
      </c>
      <c r="B1560" s="22" t="s">
        <v>33</v>
      </c>
      <c r="C1560" s="22" t="s">
        <v>44</v>
      </c>
      <c r="D1560" s="22" t="s">
        <v>35</v>
      </c>
      <c r="E1560" s="24" t="s">
        <v>49</v>
      </c>
      <c r="F1560" s="22" t="s">
        <v>95</v>
      </c>
      <c r="G1560" s="25">
        <v>4936.8399999999983</v>
      </c>
      <c r="H1560" s="22" t="s">
        <v>22</v>
      </c>
      <c r="I1560" s="22">
        <v>0</v>
      </c>
      <c r="J1560" s="22" t="s">
        <v>95</v>
      </c>
      <c r="K1560" s="22" t="s">
        <v>23</v>
      </c>
      <c r="L1560" s="22">
        <v>4</v>
      </c>
      <c r="M1560" s="26">
        <v>56075</v>
      </c>
      <c r="N1560" s="26">
        <v>19747</v>
      </c>
      <c r="O1560" s="15">
        <f t="shared" si="120"/>
        <v>75822</v>
      </c>
      <c r="P1560" s="15">
        <f t="shared" si="121"/>
        <v>15.358407402305934</v>
      </c>
      <c r="Q1560" s="25">
        <v>8011</v>
      </c>
      <c r="R1560" s="22">
        <v>62</v>
      </c>
      <c r="S1560" s="22" t="s">
        <v>2011</v>
      </c>
      <c r="T1560" s="22">
        <f t="shared" si="122"/>
        <v>3</v>
      </c>
      <c r="U1560" s="22">
        <f t="shared" si="123"/>
        <v>2021</v>
      </c>
      <c r="V1560" s="22" t="str">
        <f t="shared" si="124"/>
        <v>METROPOLITANA</v>
      </c>
    </row>
    <row r="1561" spans="1:22" x14ac:dyDescent="0.2">
      <c r="A1561" s="23" t="s">
        <v>1993</v>
      </c>
      <c r="B1561" s="22" t="s">
        <v>33</v>
      </c>
      <c r="C1561" s="22" t="s">
        <v>44</v>
      </c>
      <c r="D1561" s="22" t="s">
        <v>867</v>
      </c>
      <c r="E1561" s="24" t="s">
        <v>868</v>
      </c>
      <c r="F1561" s="22" t="s">
        <v>1105</v>
      </c>
      <c r="G1561" s="25">
        <f>10229.2+7102</f>
        <v>17331.2</v>
      </c>
      <c r="H1561" s="22" t="s">
        <v>85</v>
      </c>
      <c r="I1561" s="22">
        <v>1</v>
      </c>
      <c r="J1561" s="22" t="s">
        <v>1105</v>
      </c>
      <c r="K1561" s="22" t="s">
        <v>873</v>
      </c>
      <c r="L1561" s="22">
        <v>0</v>
      </c>
      <c r="M1561" s="26">
        <v>900000</v>
      </c>
      <c r="N1561" s="26">
        <v>0</v>
      </c>
      <c r="O1561" s="15">
        <f t="shared" si="120"/>
        <v>900000</v>
      </c>
      <c r="P1561" s="15">
        <f t="shared" si="121"/>
        <v>51.9294682422452</v>
      </c>
      <c r="Q1561" s="25">
        <v>25000</v>
      </c>
      <c r="R1561" s="22">
        <v>41</v>
      </c>
      <c r="S1561" s="22" t="s">
        <v>2012</v>
      </c>
      <c r="T1561" s="22">
        <f t="shared" si="122"/>
        <v>3</v>
      </c>
      <c r="U1561" s="22">
        <f t="shared" si="123"/>
        <v>2021</v>
      </c>
      <c r="V1561" s="22" t="str">
        <f t="shared" si="124"/>
        <v>REGIONES</v>
      </c>
    </row>
    <row r="1562" spans="1:22" x14ac:dyDescent="0.2">
      <c r="A1562" s="23" t="s">
        <v>1993</v>
      </c>
      <c r="B1562" s="22" t="s">
        <v>33</v>
      </c>
      <c r="C1562" s="22" t="s">
        <v>44</v>
      </c>
      <c r="D1562" s="22" t="s">
        <v>164</v>
      </c>
      <c r="E1562" s="24" t="s">
        <v>28</v>
      </c>
      <c r="F1562" s="22" t="s">
        <v>452</v>
      </c>
      <c r="G1562" s="25">
        <v>21076.2</v>
      </c>
      <c r="H1562" s="22" t="s">
        <v>22</v>
      </c>
      <c r="I1562" s="22">
        <v>1</v>
      </c>
      <c r="J1562" s="22" t="s">
        <v>452</v>
      </c>
      <c r="K1562" s="22" t="s">
        <v>171</v>
      </c>
      <c r="L1562" s="22">
        <v>0</v>
      </c>
      <c r="M1562" s="26">
        <v>230000</v>
      </c>
      <c r="N1562" s="26">
        <f>+G1562*4</f>
        <v>84304.8</v>
      </c>
      <c r="O1562" s="15">
        <f t="shared" si="120"/>
        <v>314304.8</v>
      </c>
      <c r="P1562" s="15">
        <f t="shared" si="121"/>
        <v>14.912783139275581</v>
      </c>
      <c r="Q1562" s="25">
        <v>25000</v>
      </c>
      <c r="R1562" s="22">
        <v>84</v>
      </c>
      <c r="S1562" s="22" t="s">
        <v>2013</v>
      </c>
      <c r="T1562" s="22">
        <f t="shared" si="122"/>
        <v>3</v>
      </c>
      <c r="U1562" s="22">
        <f t="shared" si="123"/>
        <v>2021</v>
      </c>
      <c r="V1562" s="22" t="str">
        <f t="shared" si="124"/>
        <v>REGIONES</v>
      </c>
    </row>
    <row r="1563" spans="1:22" x14ac:dyDescent="0.2">
      <c r="A1563" s="11" t="s">
        <v>2014</v>
      </c>
      <c r="B1563" s="12" t="s">
        <v>18</v>
      </c>
      <c r="C1563" s="12" t="s">
        <v>50</v>
      </c>
      <c r="D1563" s="12" t="s">
        <v>38</v>
      </c>
      <c r="E1563" s="13">
        <v>53173292</v>
      </c>
      <c r="F1563" s="12" t="s">
        <v>26</v>
      </c>
      <c r="G1563" s="14">
        <v>15352</v>
      </c>
      <c r="H1563" s="12" t="s">
        <v>43</v>
      </c>
      <c r="I1563" s="12">
        <v>0</v>
      </c>
      <c r="J1563" s="12" t="s">
        <v>26</v>
      </c>
      <c r="K1563" s="12" t="s">
        <v>23</v>
      </c>
      <c r="L1563" s="12">
        <v>4</v>
      </c>
      <c r="M1563" s="15">
        <f>+G1563*11</f>
        <v>168872</v>
      </c>
      <c r="N1563" s="15">
        <v>0</v>
      </c>
      <c r="O1563" s="15">
        <f t="shared" si="120"/>
        <v>168872</v>
      </c>
      <c r="P1563" s="15">
        <f t="shared" si="121"/>
        <v>11</v>
      </c>
      <c r="Q1563" s="14">
        <v>8011</v>
      </c>
      <c r="R1563" s="12">
        <v>100</v>
      </c>
      <c r="S1563" s="12" t="s">
        <v>2015</v>
      </c>
      <c r="T1563" s="22">
        <f t="shared" si="122"/>
        <v>3</v>
      </c>
      <c r="U1563" s="22">
        <f t="shared" si="123"/>
        <v>2021</v>
      </c>
      <c r="V1563" s="22" t="str">
        <f t="shared" si="124"/>
        <v>METROPOLITANA</v>
      </c>
    </row>
    <row r="1564" spans="1:22" x14ac:dyDescent="0.2">
      <c r="A1564" s="11" t="s">
        <v>2014</v>
      </c>
      <c r="B1564" s="12" t="s">
        <v>18</v>
      </c>
      <c r="C1564" s="12" t="s">
        <v>50</v>
      </c>
      <c r="D1564" s="12" t="s">
        <v>37</v>
      </c>
      <c r="E1564" s="13">
        <v>129897</v>
      </c>
      <c r="F1564" s="12" t="s">
        <v>26</v>
      </c>
      <c r="G1564" s="14">
        <v>14544</v>
      </c>
      <c r="H1564" s="12" t="s">
        <v>22</v>
      </c>
      <c r="I1564" s="12">
        <v>0</v>
      </c>
      <c r="J1564" s="12" t="s">
        <v>26</v>
      </c>
      <c r="K1564" s="12" t="s">
        <v>23</v>
      </c>
      <c r="L1564" s="12">
        <v>4</v>
      </c>
      <c r="M1564" s="15">
        <v>101808</v>
      </c>
      <c r="N1564" s="15">
        <f>+G1564*4</f>
        <v>58176</v>
      </c>
      <c r="O1564" s="15">
        <f t="shared" si="120"/>
        <v>159984</v>
      </c>
      <c r="P1564" s="15">
        <f t="shared" si="121"/>
        <v>11</v>
      </c>
      <c r="Q1564" s="14">
        <v>8011</v>
      </c>
      <c r="R1564" s="12">
        <v>100</v>
      </c>
      <c r="S1564" s="12" t="s">
        <v>2016</v>
      </c>
      <c r="T1564" s="22">
        <f t="shared" si="122"/>
        <v>3</v>
      </c>
      <c r="U1564" s="22">
        <f t="shared" si="123"/>
        <v>2021</v>
      </c>
      <c r="V1564" s="22" t="str">
        <f t="shared" si="124"/>
        <v>METROPOLITANA</v>
      </c>
    </row>
    <row r="1565" spans="1:22" x14ac:dyDescent="0.2">
      <c r="A1565" s="11" t="s">
        <v>2014</v>
      </c>
      <c r="B1565" s="12" t="s">
        <v>18</v>
      </c>
      <c r="C1565" s="12" t="s">
        <v>50</v>
      </c>
      <c r="D1565" s="12" t="s">
        <v>63</v>
      </c>
      <c r="E1565" s="13">
        <v>138841065</v>
      </c>
      <c r="F1565" s="12" t="s">
        <v>26</v>
      </c>
      <c r="G1565" s="14">
        <v>14544</v>
      </c>
      <c r="H1565" s="12" t="s">
        <v>65</v>
      </c>
      <c r="I1565" s="12">
        <v>0</v>
      </c>
      <c r="J1565" s="12" t="s">
        <v>26</v>
      </c>
      <c r="K1565" s="12" t="s">
        <v>23</v>
      </c>
      <c r="L1565" s="12">
        <v>4</v>
      </c>
      <c r="M1565" s="15">
        <f>+G1565*11</f>
        <v>159984</v>
      </c>
      <c r="N1565" s="15">
        <v>0</v>
      </c>
      <c r="O1565" s="15">
        <f t="shared" si="120"/>
        <v>159984</v>
      </c>
      <c r="P1565" s="15">
        <f t="shared" si="121"/>
        <v>11</v>
      </c>
      <c r="Q1565" s="14">
        <v>8011</v>
      </c>
      <c r="R1565" s="12">
        <v>100</v>
      </c>
      <c r="S1565" s="12" t="s">
        <v>2017</v>
      </c>
      <c r="T1565" s="22">
        <f t="shared" si="122"/>
        <v>3</v>
      </c>
      <c r="U1565" s="22">
        <f t="shared" si="123"/>
        <v>2021</v>
      </c>
      <c r="V1565" s="22" t="str">
        <f t="shared" si="124"/>
        <v>METROPOLITANA</v>
      </c>
    </row>
    <row r="1566" spans="1:22" x14ac:dyDescent="0.2">
      <c r="A1566" s="11" t="s">
        <v>2014</v>
      </c>
      <c r="B1566" s="12" t="s">
        <v>18</v>
      </c>
      <c r="C1566" s="12" t="s">
        <v>50</v>
      </c>
      <c r="D1566" s="12" t="s">
        <v>30</v>
      </c>
      <c r="E1566" s="13">
        <v>72564391</v>
      </c>
      <c r="F1566" s="12" t="s">
        <v>26</v>
      </c>
      <c r="G1566" s="14">
        <v>14544</v>
      </c>
      <c r="H1566" s="12" t="s">
        <v>32</v>
      </c>
      <c r="I1566" s="12">
        <v>0</v>
      </c>
      <c r="J1566" s="12" t="s">
        <v>26</v>
      </c>
      <c r="K1566" s="12" t="s">
        <v>23</v>
      </c>
      <c r="L1566" s="12">
        <v>4</v>
      </c>
      <c r="M1566" s="15">
        <f>+G1566*11</f>
        <v>159984</v>
      </c>
      <c r="N1566" s="15">
        <v>0</v>
      </c>
      <c r="O1566" s="15">
        <f t="shared" si="120"/>
        <v>159984</v>
      </c>
      <c r="P1566" s="15">
        <f t="shared" si="121"/>
        <v>11</v>
      </c>
      <c r="Q1566" s="14">
        <v>8011</v>
      </c>
      <c r="R1566" s="12">
        <v>100</v>
      </c>
      <c r="S1566" s="12" t="s">
        <v>2018</v>
      </c>
      <c r="T1566" s="22">
        <f t="shared" si="122"/>
        <v>3</v>
      </c>
      <c r="U1566" s="22">
        <f t="shared" si="123"/>
        <v>2021</v>
      </c>
      <c r="V1566" s="22" t="str">
        <f t="shared" si="124"/>
        <v>METROPOLITANA</v>
      </c>
    </row>
    <row r="1567" spans="1:22" x14ac:dyDescent="0.2">
      <c r="A1567" s="11" t="s">
        <v>2014</v>
      </c>
      <c r="B1567" s="12" t="s">
        <v>33</v>
      </c>
      <c r="C1567" s="12" t="s">
        <v>1997</v>
      </c>
      <c r="D1567" s="12" t="s">
        <v>38</v>
      </c>
      <c r="E1567" s="13">
        <v>53173292</v>
      </c>
      <c r="F1567" s="12" t="s">
        <v>58</v>
      </c>
      <c r="G1567" s="14">
        <v>10505.6</v>
      </c>
      <c r="H1567" s="12" t="s">
        <v>43</v>
      </c>
      <c r="I1567" s="12">
        <v>0</v>
      </c>
      <c r="J1567" s="12" t="s">
        <v>58</v>
      </c>
      <c r="K1567" s="12" t="s">
        <v>23</v>
      </c>
      <c r="L1567" s="12">
        <v>5</v>
      </c>
      <c r="M1567" s="15">
        <f>+G1567*11</f>
        <v>115561.60000000001</v>
      </c>
      <c r="N1567" s="15">
        <v>0</v>
      </c>
      <c r="O1567" s="15">
        <f t="shared" si="120"/>
        <v>115561.60000000001</v>
      </c>
      <c r="P1567" s="15">
        <f t="shared" si="121"/>
        <v>11</v>
      </c>
      <c r="Q1567" s="14">
        <v>12000</v>
      </c>
      <c r="R1567" s="12">
        <v>88</v>
      </c>
      <c r="S1567" s="12" t="s">
        <v>2019</v>
      </c>
      <c r="T1567" s="22">
        <f t="shared" si="122"/>
        <v>3</v>
      </c>
      <c r="U1567" s="22">
        <f t="shared" si="123"/>
        <v>2021</v>
      </c>
      <c r="V1567" s="22" t="str">
        <f t="shared" si="124"/>
        <v>METROPOLITANA</v>
      </c>
    </row>
    <row r="1568" spans="1:22" x14ac:dyDescent="0.2">
      <c r="A1568" s="11" t="s">
        <v>2014</v>
      </c>
      <c r="B1568" s="12" t="s">
        <v>33</v>
      </c>
      <c r="C1568" s="12" t="s">
        <v>1525</v>
      </c>
      <c r="D1568" s="12" t="s">
        <v>61</v>
      </c>
      <c r="E1568" s="13">
        <v>115812335</v>
      </c>
      <c r="F1568" s="12" t="s">
        <v>132</v>
      </c>
      <c r="G1568" s="14">
        <v>18271.28</v>
      </c>
      <c r="H1568" s="12" t="s">
        <v>85</v>
      </c>
      <c r="I1568" s="12">
        <v>1</v>
      </c>
      <c r="J1568" s="12" t="s">
        <v>132</v>
      </c>
      <c r="K1568" s="12" t="s">
        <v>124</v>
      </c>
      <c r="L1568" s="12">
        <v>0</v>
      </c>
      <c r="M1568" s="15">
        <v>350000</v>
      </c>
      <c r="N1568" s="15">
        <v>0</v>
      </c>
      <c r="O1568" s="15">
        <f t="shared" si="120"/>
        <v>350000</v>
      </c>
      <c r="P1568" s="15">
        <f t="shared" si="121"/>
        <v>19.15574606705168</v>
      </c>
      <c r="Q1568" s="14">
        <v>25000</v>
      </c>
      <c r="R1568" s="12">
        <v>73</v>
      </c>
      <c r="S1568" s="12" t="s">
        <v>2020</v>
      </c>
      <c r="T1568" s="22">
        <f t="shared" si="122"/>
        <v>3</v>
      </c>
      <c r="U1568" s="22">
        <f t="shared" si="123"/>
        <v>2021</v>
      </c>
      <c r="V1568" s="22" t="str">
        <f t="shared" si="124"/>
        <v>REGIONES</v>
      </c>
    </row>
    <row r="1569" spans="1:22" x14ac:dyDescent="0.2">
      <c r="A1569" s="11" t="s">
        <v>2014</v>
      </c>
      <c r="B1569" s="12" t="s">
        <v>33</v>
      </c>
      <c r="C1569" s="12" t="s">
        <v>160</v>
      </c>
      <c r="D1569" s="12" t="s">
        <v>20</v>
      </c>
      <c r="E1569" s="13">
        <v>78907355</v>
      </c>
      <c r="F1569" s="12" t="s">
        <v>161</v>
      </c>
      <c r="G1569" s="14">
        <v>2041.2</v>
      </c>
      <c r="H1569" s="12" t="s">
        <v>22</v>
      </c>
      <c r="I1569" s="12">
        <v>0</v>
      </c>
      <c r="J1569" s="12" t="s">
        <v>161</v>
      </c>
      <c r="K1569" s="12" t="s">
        <v>23</v>
      </c>
      <c r="L1569" s="12">
        <v>5</v>
      </c>
      <c r="M1569" s="15">
        <v>70000</v>
      </c>
      <c r="N1569" s="15">
        <f>+G1569*4</f>
        <v>8164.8</v>
      </c>
      <c r="O1569" s="15">
        <f t="shared" si="120"/>
        <v>78164.800000000003</v>
      </c>
      <c r="P1569" s="15">
        <f t="shared" si="121"/>
        <v>38.293552812071333</v>
      </c>
      <c r="Q1569" s="14">
        <v>12000</v>
      </c>
      <c r="R1569" s="12">
        <v>17</v>
      </c>
      <c r="S1569" s="12" t="s">
        <v>2021</v>
      </c>
      <c r="T1569" s="22">
        <f t="shared" si="122"/>
        <v>3</v>
      </c>
      <c r="U1569" s="22">
        <f t="shared" si="123"/>
        <v>2021</v>
      </c>
      <c r="V1569" s="22" t="str">
        <f t="shared" si="124"/>
        <v>METROPOLITANA</v>
      </c>
    </row>
    <row r="1570" spans="1:22" x14ac:dyDescent="0.2">
      <c r="A1570" s="11" t="s">
        <v>2014</v>
      </c>
      <c r="B1570" s="12" t="s">
        <v>33</v>
      </c>
      <c r="C1570" s="12" t="s">
        <v>163</v>
      </c>
      <c r="D1570" s="12" t="s">
        <v>188</v>
      </c>
      <c r="E1570" s="13">
        <v>35488103</v>
      </c>
      <c r="F1570" s="12" t="s">
        <v>165</v>
      </c>
      <c r="G1570" s="14">
        <v>2171.9</v>
      </c>
      <c r="H1570" s="12" t="s">
        <v>190</v>
      </c>
      <c r="I1570" s="12">
        <v>0</v>
      </c>
      <c r="J1570" s="12" t="s">
        <v>165</v>
      </c>
      <c r="K1570" s="12" t="s">
        <v>23</v>
      </c>
      <c r="L1570" s="12">
        <v>4</v>
      </c>
      <c r="M1570" s="15">
        <v>55000</v>
      </c>
      <c r="N1570" s="15">
        <v>0</v>
      </c>
      <c r="O1570" s="15">
        <f t="shared" si="120"/>
        <v>55000</v>
      </c>
      <c r="P1570" s="15">
        <f t="shared" si="121"/>
        <v>25.323449514250196</v>
      </c>
      <c r="Q1570" s="14">
        <v>8011</v>
      </c>
      <c r="R1570" s="12">
        <v>27</v>
      </c>
      <c r="S1570" s="12" t="s">
        <v>2022</v>
      </c>
      <c r="T1570" s="22">
        <f t="shared" si="122"/>
        <v>3</v>
      </c>
      <c r="U1570" s="22">
        <f t="shared" si="123"/>
        <v>2021</v>
      </c>
      <c r="V1570" s="22" t="str">
        <f t="shared" si="124"/>
        <v>METROPOLITANA</v>
      </c>
    </row>
    <row r="1571" spans="1:22" x14ac:dyDescent="0.2">
      <c r="A1571" s="11" t="s">
        <v>2014</v>
      </c>
      <c r="B1571" s="12" t="s">
        <v>33</v>
      </c>
      <c r="C1571" s="12" t="s">
        <v>29</v>
      </c>
      <c r="D1571" s="12" t="s">
        <v>56</v>
      </c>
      <c r="E1571" s="13">
        <v>99626232</v>
      </c>
      <c r="F1571" s="12" t="s">
        <v>134</v>
      </c>
      <c r="G1571" s="14">
        <v>6948.4500000000016</v>
      </c>
      <c r="H1571" s="12" t="s">
        <v>22</v>
      </c>
      <c r="I1571" s="12">
        <v>0</v>
      </c>
      <c r="J1571" s="12" t="s">
        <v>134</v>
      </c>
      <c r="K1571" s="12" t="s">
        <v>23</v>
      </c>
      <c r="L1571" s="12">
        <v>2</v>
      </c>
      <c r="M1571" s="15">
        <v>48639</v>
      </c>
      <c r="N1571" s="15">
        <v>27794</v>
      </c>
      <c r="O1571" s="15">
        <f t="shared" si="120"/>
        <v>76433</v>
      </c>
      <c r="P1571" s="15">
        <f t="shared" si="121"/>
        <v>11.000007195849431</v>
      </c>
      <c r="Q1571" s="14">
        <v>5782</v>
      </c>
      <c r="R1571" s="12">
        <v>100</v>
      </c>
      <c r="S1571" s="12" t="s">
        <v>2023</v>
      </c>
      <c r="T1571" s="22">
        <f t="shared" si="122"/>
        <v>3</v>
      </c>
      <c r="U1571" s="22">
        <f t="shared" si="123"/>
        <v>2021</v>
      </c>
      <c r="V1571" s="22" t="str">
        <f t="shared" si="124"/>
        <v>METROPOLITANA</v>
      </c>
    </row>
    <row r="1572" spans="1:22" x14ac:dyDescent="0.2">
      <c r="A1572" s="11" t="s">
        <v>2014</v>
      </c>
      <c r="B1572" s="12" t="s">
        <v>33</v>
      </c>
      <c r="C1572" s="12" t="s">
        <v>29</v>
      </c>
      <c r="D1572" s="12" t="s">
        <v>47</v>
      </c>
      <c r="E1572" s="13">
        <v>154837728</v>
      </c>
      <c r="F1572" s="12" t="s">
        <v>170</v>
      </c>
      <c r="G1572" s="14">
        <v>9601.8999999999978</v>
      </c>
      <c r="H1572" s="12" t="s">
        <v>22</v>
      </c>
      <c r="I1572" s="12">
        <v>0</v>
      </c>
      <c r="J1572" s="12" t="s">
        <v>170</v>
      </c>
      <c r="K1572" s="12" t="s">
        <v>171</v>
      </c>
      <c r="L1572" s="12">
        <v>0</v>
      </c>
      <c r="M1572" s="15">
        <v>180000</v>
      </c>
      <c r="N1572" s="15">
        <v>0</v>
      </c>
      <c r="O1572" s="15">
        <f t="shared" si="120"/>
        <v>180000</v>
      </c>
      <c r="P1572" s="15">
        <f t="shared" si="121"/>
        <v>18.746289796811052</v>
      </c>
      <c r="Q1572" s="14">
        <v>25000</v>
      </c>
      <c r="R1572" s="12">
        <v>38</v>
      </c>
      <c r="S1572" s="12" t="s">
        <v>2024</v>
      </c>
      <c r="T1572" s="22">
        <f t="shared" si="122"/>
        <v>3</v>
      </c>
      <c r="U1572" s="22">
        <f t="shared" si="123"/>
        <v>2021</v>
      </c>
      <c r="V1572" s="22" t="str">
        <f t="shared" si="124"/>
        <v>REGIONES</v>
      </c>
    </row>
    <row r="1573" spans="1:22" x14ac:dyDescent="0.2">
      <c r="A1573" s="11" t="s">
        <v>2014</v>
      </c>
      <c r="B1573" s="12" t="s">
        <v>33</v>
      </c>
      <c r="C1573" s="12" t="s">
        <v>44</v>
      </c>
      <c r="D1573" s="12" t="s">
        <v>188</v>
      </c>
      <c r="E1573" s="13">
        <v>35488103</v>
      </c>
      <c r="F1573" s="12" t="s">
        <v>51</v>
      </c>
      <c r="G1573" s="14">
        <v>1500.8</v>
      </c>
      <c r="H1573" s="12" t="s">
        <v>190</v>
      </c>
      <c r="I1573" s="12">
        <v>0</v>
      </c>
      <c r="J1573" s="12" t="s">
        <v>51</v>
      </c>
      <c r="K1573" s="12" t="s">
        <v>23</v>
      </c>
      <c r="L1573" s="12">
        <v>4</v>
      </c>
      <c r="M1573" s="15">
        <v>55000</v>
      </c>
      <c r="N1573" s="15">
        <v>0</v>
      </c>
      <c r="O1573" s="15">
        <f t="shared" si="120"/>
        <v>55000</v>
      </c>
      <c r="P1573" s="15">
        <f t="shared" si="121"/>
        <v>36.647121535181235</v>
      </c>
      <c r="Q1573" s="14">
        <v>8011</v>
      </c>
      <c r="R1573" s="12">
        <v>19</v>
      </c>
      <c r="S1573" s="12" t="s">
        <v>2025</v>
      </c>
      <c r="T1573" s="22">
        <f t="shared" si="122"/>
        <v>3</v>
      </c>
      <c r="U1573" s="22">
        <f t="shared" si="123"/>
        <v>2021</v>
      </c>
      <c r="V1573" s="22" t="str">
        <f t="shared" si="124"/>
        <v>METROPOLITANA</v>
      </c>
    </row>
    <row r="1574" spans="1:22" x14ac:dyDescent="0.2">
      <c r="A1574" s="11" t="s">
        <v>2014</v>
      </c>
      <c r="B1574" s="12" t="s">
        <v>33</v>
      </c>
      <c r="C1574" s="12" t="s">
        <v>44</v>
      </c>
      <c r="D1574" s="12" t="s">
        <v>45</v>
      </c>
      <c r="E1574" s="13">
        <v>99626232</v>
      </c>
      <c r="F1574" s="12" t="s">
        <v>26</v>
      </c>
      <c r="G1574" s="14">
        <v>4026.4</v>
      </c>
      <c r="H1574" s="12" t="s">
        <v>22</v>
      </c>
      <c r="I1574" s="12">
        <v>0</v>
      </c>
      <c r="J1574" s="12" t="s">
        <v>26</v>
      </c>
      <c r="K1574" s="12" t="s">
        <v>23</v>
      </c>
      <c r="L1574" s="12">
        <v>4</v>
      </c>
      <c r="M1574" s="15">
        <v>56075</v>
      </c>
      <c r="N1574" s="15">
        <v>16106</v>
      </c>
      <c r="O1574" s="15">
        <f t="shared" si="120"/>
        <v>72181</v>
      </c>
      <c r="P1574" s="15">
        <f t="shared" si="121"/>
        <v>17.926932247168686</v>
      </c>
      <c r="Q1574" s="14">
        <v>8011</v>
      </c>
      <c r="R1574" s="12">
        <v>50</v>
      </c>
      <c r="S1574" s="12" t="s">
        <v>2026</v>
      </c>
      <c r="T1574" s="22">
        <f t="shared" si="122"/>
        <v>3</v>
      </c>
      <c r="U1574" s="22">
        <f t="shared" si="123"/>
        <v>2021</v>
      </c>
      <c r="V1574" s="22" t="str">
        <f t="shared" si="124"/>
        <v>METROPOLITANA</v>
      </c>
    </row>
    <row r="1575" spans="1:22" x14ac:dyDescent="0.2">
      <c r="A1575" s="11" t="s">
        <v>2014</v>
      </c>
      <c r="B1575" s="12" t="s">
        <v>33</v>
      </c>
      <c r="C1575" s="12" t="s">
        <v>44</v>
      </c>
      <c r="D1575" s="12" t="s">
        <v>35</v>
      </c>
      <c r="E1575" s="13">
        <v>107643206</v>
      </c>
      <c r="F1575" s="12" t="s">
        <v>182</v>
      </c>
      <c r="G1575" s="14">
        <v>2726.4</v>
      </c>
      <c r="H1575" s="12" t="s">
        <v>22</v>
      </c>
      <c r="I1575" s="12">
        <v>0</v>
      </c>
      <c r="J1575" s="12" t="s">
        <v>182</v>
      </c>
      <c r="K1575" s="12" t="s">
        <v>23</v>
      </c>
      <c r="L1575" s="12">
        <v>4</v>
      </c>
      <c r="M1575" s="15">
        <v>56075</v>
      </c>
      <c r="N1575" s="15">
        <v>12000</v>
      </c>
      <c r="O1575" s="15">
        <f t="shared" si="120"/>
        <v>68075</v>
      </c>
      <c r="P1575" s="15">
        <f t="shared" si="121"/>
        <v>24.968823356807512</v>
      </c>
      <c r="Q1575" s="14">
        <v>8011</v>
      </c>
      <c r="R1575" s="12">
        <v>34</v>
      </c>
      <c r="S1575" s="12" t="s">
        <v>2027</v>
      </c>
      <c r="T1575" s="22">
        <f t="shared" si="122"/>
        <v>3</v>
      </c>
      <c r="U1575" s="22">
        <f t="shared" si="123"/>
        <v>2021</v>
      </c>
      <c r="V1575" s="22" t="str">
        <f t="shared" si="124"/>
        <v>METROPOLITANA</v>
      </c>
    </row>
    <row r="1576" spans="1:22" x14ac:dyDescent="0.2">
      <c r="A1576" s="11" t="s">
        <v>2014</v>
      </c>
      <c r="B1576" s="12" t="s">
        <v>33</v>
      </c>
      <c r="C1576" s="12" t="s">
        <v>44</v>
      </c>
      <c r="D1576" s="12" t="s">
        <v>2028</v>
      </c>
      <c r="E1576" s="13">
        <v>172861164</v>
      </c>
      <c r="F1576" s="12" t="s">
        <v>114</v>
      </c>
      <c r="G1576" s="14">
        <v>15153.999999999991</v>
      </c>
      <c r="H1576" s="12" t="s">
        <v>22</v>
      </c>
      <c r="I1576" s="12">
        <v>1</v>
      </c>
      <c r="J1576" s="12" t="s">
        <v>114</v>
      </c>
      <c r="K1576" s="12" t="s">
        <v>75</v>
      </c>
      <c r="L1576" s="12">
        <v>0</v>
      </c>
      <c r="M1576" s="15">
        <v>380000</v>
      </c>
      <c r="N1576" s="15">
        <v>0</v>
      </c>
      <c r="O1576" s="15">
        <f t="shared" si="120"/>
        <v>380000</v>
      </c>
      <c r="P1576" s="15">
        <f t="shared" si="121"/>
        <v>25.075887554441088</v>
      </c>
      <c r="Q1576" s="14">
        <v>25000</v>
      </c>
      <c r="R1576" s="12">
        <v>61</v>
      </c>
      <c r="S1576" s="12" t="s">
        <v>2029</v>
      </c>
      <c r="T1576" s="22">
        <f t="shared" si="122"/>
        <v>3</v>
      </c>
      <c r="U1576" s="22">
        <f t="shared" si="123"/>
        <v>2021</v>
      </c>
      <c r="V1576" s="22" t="str">
        <f t="shared" si="124"/>
        <v>REGIONES</v>
      </c>
    </row>
    <row r="1577" spans="1:22" x14ac:dyDescent="0.2">
      <c r="A1577" s="11" t="s">
        <v>2014</v>
      </c>
      <c r="B1577" s="12" t="s">
        <v>33</v>
      </c>
      <c r="C1577" s="12" t="s">
        <v>44</v>
      </c>
      <c r="D1577" s="12" t="s">
        <v>20</v>
      </c>
      <c r="E1577" s="13">
        <v>78907355</v>
      </c>
      <c r="F1577" s="12" t="s">
        <v>34</v>
      </c>
      <c r="G1577" s="14">
        <v>3989.2</v>
      </c>
      <c r="H1577" s="12" t="s">
        <v>22</v>
      </c>
      <c r="I1577" s="12">
        <v>0</v>
      </c>
      <c r="J1577" s="12" t="s">
        <v>34</v>
      </c>
      <c r="K1577" s="12" t="s">
        <v>23</v>
      </c>
      <c r="L1577" s="12">
        <v>1</v>
      </c>
      <c r="M1577" s="15">
        <v>33750</v>
      </c>
      <c r="N1577" s="15">
        <v>15957</v>
      </c>
      <c r="O1577" s="15">
        <f t="shared" si="120"/>
        <v>49707</v>
      </c>
      <c r="P1577" s="15">
        <f t="shared" si="121"/>
        <v>12.460393061265417</v>
      </c>
      <c r="Q1577" s="14">
        <v>4821</v>
      </c>
      <c r="R1577" s="12">
        <v>83</v>
      </c>
      <c r="S1577" s="12" t="s">
        <v>2030</v>
      </c>
      <c r="T1577" s="22">
        <f t="shared" si="122"/>
        <v>3</v>
      </c>
      <c r="U1577" s="22">
        <f t="shared" si="123"/>
        <v>2021</v>
      </c>
      <c r="V1577" s="22" t="str">
        <f t="shared" si="124"/>
        <v>METROPOLITANA</v>
      </c>
    </row>
    <row r="1578" spans="1:22" x14ac:dyDescent="0.2">
      <c r="A1578" s="23" t="s">
        <v>2031</v>
      </c>
      <c r="B1578" s="22" t="s">
        <v>18</v>
      </c>
      <c r="C1578" s="22" t="s">
        <v>50</v>
      </c>
      <c r="D1578" s="22" t="s">
        <v>38</v>
      </c>
      <c r="E1578" s="24" t="s">
        <v>42</v>
      </c>
      <c r="F1578" s="22" t="s">
        <v>26</v>
      </c>
      <c r="G1578" s="25">
        <v>14544</v>
      </c>
      <c r="H1578" s="22" t="s">
        <v>43</v>
      </c>
      <c r="I1578" s="22">
        <v>0</v>
      </c>
      <c r="J1578" s="22" t="s">
        <v>26</v>
      </c>
      <c r="K1578" s="22" t="s">
        <v>23</v>
      </c>
      <c r="L1578" s="22">
        <v>4</v>
      </c>
      <c r="M1578" s="26">
        <f>+G1578*11</f>
        <v>159984</v>
      </c>
      <c r="N1578" s="26">
        <v>0</v>
      </c>
      <c r="O1578" s="15">
        <f t="shared" si="120"/>
        <v>159984</v>
      </c>
      <c r="P1578" s="15">
        <f t="shared" si="121"/>
        <v>11</v>
      </c>
      <c r="Q1578" s="25">
        <v>8011</v>
      </c>
      <c r="R1578" s="22">
        <v>100</v>
      </c>
      <c r="S1578" s="22" t="s">
        <v>2032</v>
      </c>
      <c r="T1578" s="22">
        <f t="shared" si="122"/>
        <v>3</v>
      </c>
      <c r="U1578" s="22">
        <f t="shared" si="123"/>
        <v>2021</v>
      </c>
      <c r="V1578" s="22" t="str">
        <f t="shared" si="124"/>
        <v>METROPOLITANA</v>
      </c>
    </row>
    <row r="1579" spans="1:22" x14ac:dyDescent="0.2">
      <c r="A1579" s="23" t="s">
        <v>2031</v>
      </c>
      <c r="B1579" s="22" t="s">
        <v>18</v>
      </c>
      <c r="C1579" s="22" t="s">
        <v>508</v>
      </c>
      <c r="D1579" s="22" t="s">
        <v>27</v>
      </c>
      <c r="E1579" s="24" t="s">
        <v>28</v>
      </c>
      <c r="F1579" s="22" t="s">
        <v>800</v>
      </c>
      <c r="G1579" s="25">
        <f>7171.55+805</f>
        <v>7976.55</v>
      </c>
      <c r="H1579" s="22" t="s">
        <v>22</v>
      </c>
      <c r="I1579" s="22">
        <v>1</v>
      </c>
      <c r="J1579" s="22" t="s">
        <v>800</v>
      </c>
      <c r="K1579" s="22" t="s">
        <v>23</v>
      </c>
      <c r="L1579" s="22">
        <v>5</v>
      </c>
      <c r="M1579" s="26">
        <v>120000</v>
      </c>
      <c r="N1579" s="26">
        <f>+G1579*4</f>
        <v>31906.2</v>
      </c>
      <c r="O1579" s="15">
        <f t="shared" si="120"/>
        <v>151906.20000000001</v>
      </c>
      <c r="P1579" s="15">
        <f t="shared" si="121"/>
        <v>19.044098012298551</v>
      </c>
      <c r="Q1579" s="25">
        <v>12000</v>
      </c>
      <c r="R1579" s="22">
        <v>60</v>
      </c>
      <c r="S1579" s="22" t="s">
        <v>2033</v>
      </c>
      <c r="T1579" s="22">
        <f t="shared" si="122"/>
        <v>3</v>
      </c>
      <c r="U1579" s="22">
        <f t="shared" si="123"/>
        <v>2021</v>
      </c>
      <c r="V1579" s="22" t="str">
        <f t="shared" si="124"/>
        <v>METROPOLITANA</v>
      </c>
    </row>
    <row r="1580" spans="1:22" x14ac:dyDescent="0.2">
      <c r="A1580" s="23" t="s">
        <v>2031</v>
      </c>
      <c r="B1580" s="22" t="s">
        <v>33</v>
      </c>
      <c r="C1580" s="22" t="s">
        <v>60</v>
      </c>
      <c r="D1580" s="22" t="s">
        <v>20</v>
      </c>
      <c r="E1580" s="24" t="s">
        <v>21</v>
      </c>
      <c r="F1580" s="22" t="s">
        <v>51</v>
      </c>
      <c r="G1580" s="25">
        <v>7503.9999999999982</v>
      </c>
      <c r="H1580" s="22" t="s">
        <v>22</v>
      </c>
      <c r="I1580" s="22">
        <v>0</v>
      </c>
      <c r="J1580" s="22" t="s">
        <v>51</v>
      </c>
      <c r="K1580" s="22" t="s">
        <v>23</v>
      </c>
      <c r="L1580" s="22">
        <v>4</v>
      </c>
      <c r="M1580" s="26">
        <v>56075</v>
      </c>
      <c r="N1580" s="26">
        <f>+G1580*4</f>
        <v>30015.999999999993</v>
      </c>
      <c r="O1580" s="15">
        <f t="shared" si="120"/>
        <v>86091</v>
      </c>
      <c r="P1580" s="15">
        <f t="shared" si="121"/>
        <v>11.472681236673777</v>
      </c>
      <c r="Q1580" s="25">
        <v>8011</v>
      </c>
      <c r="R1580" s="22">
        <v>94</v>
      </c>
      <c r="S1580" s="22" t="s">
        <v>2034</v>
      </c>
      <c r="T1580" s="22">
        <f t="shared" si="122"/>
        <v>3</v>
      </c>
      <c r="U1580" s="22">
        <f t="shared" si="123"/>
        <v>2021</v>
      </c>
      <c r="V1580" s="22" t="str">
        <f t="shared" si="124"/>
        <v>METROPOLITANA</v>
      </c>
    </row>
    <row r="1581" spans="1:22" x14ac:dyDescent="0.2">
      <c r="A1581" s="23" t="s">
        <v>2031</v>
      </c>
      <c r="B1581" s="22" t="s">
        <v>33</v>
      </c>
      <c r="C1581" s="22" t="s">
        <v>1233</v>
      </c>
      <c r="D1581" s="22" t="s">
        <v>45</v>
      </c>
      <c r="E1581" s="24" t="s">
        <v>1576</v>
      </c>
      <c r="F1581" s="22" t="s">
        <v>1234</v>
      </c>
      <c r="G1581" s="25">
        <v>3642.4</v>
      </c>
      <c r="H1581" s="22" t="s">
        <v>22</v>
      </c>
      <c r="I1581" s="22">
        <v>0</v>
      </c>
      <c r="J1581" s="22" t="s">
        <v>1234</v>
      </c>
      <c r="K1581" s="22" t="s">
        <v>23</v>
      </c>
      <c r="L1581" s="22">
        <v>3</v>
      </c>
      <c r="M1581" s="26">
        <v>48075</v>
      </c>
      <c r="N1581" s="26">
        <f>+G1581*4</f>
        <v>14569.6</v>
      </c>
      <c r="O1581" s="15">
        <f t="shared" si="120"/>
        <v>62644.6</v>
      </c>
      <c r="P1581" s="15">
        <f t="shared" si="121"/>
        <v>17.198715132879418</v>
      </c>
      <c r="Q1581" s="25">
        <v>6868</v>
      </c>
      <c r="R1581" s="22">
        <v>53</v>
      </c>
      <c r="S1581" s="22" t="s">
        <v>2035</v>
      </c>
      <c r="T1581" s="22">
        <f t="shared" si="122"/>
        <v>3</v>
      </c>
      <c r="U1581" s="22">
        <f t="shared" si="123"/>
        <v>2021</v>
      </c>
      <c r="V1581" s="22" t="str">
        <f t="shared" si="124"/>
        <v>METROPOLITANA</v>
      </c>
    </row>
    <row r="1582" spans="1:22" x14ac:dyDescent="0.2">
      <c r="A1582" s="23" t="s">
        <v>2031</v>
      </c>
      <c r="B1582" s="22" t="s">
        <v>33</v>
      </c>
      <c r="C1582" s="22" t="s">
        <v>1997</v>
      </c>
      <c r="D1582" s="22" t="s">
        <v>37</v>
      </c>
      <c r="E1582" s="24" t="s">
        <v>40</v>
      </c>
      <c r="F1582" s="22" t="s">
        <v>58</v>
      </c>
      <c r="G1582" s="25">
        <v>10505.6</v>
      </c>
      <c r="H1582" s="22" t="s">
        <v>22</v>
      </c>
      <c r="I1582" s="22">
        <v>0</v>
      </c>
      <c r="J1582" s="22" t="s">
        <v>58</v>
      </c>
      <c r="K1582" s="22" t="s">
        <v>23</v>
      </c>
      <c r="L1582" s="22">
        <v>5</v>
      </c>
      <c r="M1582" s="26">
        <v>70000</v>
      </c>
      <c r="N1582" s="26">
        <f>+G1582*4</f>
        <v>42022.400000000001</v>
      </c>
      <c r="O1582" s="15">
        <f t="shared" si="120"/>
        <v>112022.39999999999</v>
      </c>
      <c r="P1582" s="15">
        <f t="shared" si="121"/>
        <v>10.663113006396587</v>
      </c>
      <c r="Q1582" s="25">
        <v>12000</v>
      </c>
      <c r="R1582" s="22">
        <v>88</v>
      </c>
      <c r="S1582" s="22" t="s">
        <v>2036</v>
      </c>
      <c r="T1582" s="22">
        <f t="shared" si="122"/>
        <v>3</v>
      </c>
      <c r="U1582" s="22">
        <f t="shared" si="123"/>
        <v>2021</v>
      </c>
      <c r="V1582" s="22" t="str">
        <f t="shared" si="124"/>
        <v>METROPOLITANA</v>
      </c>
    </row>
    <row r="1583" spans="1:22" x14ac:dyDescent="0.2">
      <c r="A1583" s="23" t="s">
        <v>2031</v>
      </c>
      <c r="B1583" s="22" t="s">
        <v>33</v>
      </c>
      <c r="C1583" s="22" t="s">
        <v>29</v>
      </c>
      <c r="D1583" s="22" t="s">
        <v>786</v>
      </c>
      <c r="E1583" s="24" t="s">
        <v>787</v>
      </c>
      <c r="F1583" s="22" t="s">
        <v>132</v>
      </c>
      <c r="G1583" s="25">
        <v>15573.4</v>
      </c>
      <c r="H1583" s="22" t="s">
        <v>788</v>
      </c>
      <c r="I1583" s="22">
        <v>1</v>
      </c>
      <c r="J1583" s="22" t="s">
        <v>132</v>
      </c>
      <c r="K1583" s="22" t="s">
        <v>124</v>
      </c>
      <c r="L1583" s="22">
        <v>0</v>
      </c>
      <c r="M1583" s="26">
        <v>350000</v>
      </c>
      <c r="N1583" s="26">
        <v>0</v>
      </c>
      <c r="O1583" s="15">
        <f t="shared" si="120"/>
        <v>350000</v>
      </c>
      <c r="P1583" s="15">
        <f t="shared" si="121"/>
        <v>22.47421886036447</v>
      </c>
      <c r="Q1583" s="25">
        <v>25000</v>
      </c>
      <c r="R1583" s="22">
        <v>62</v>
      </c>
      <c r="S1583" s="22" t="s">
        <v>2037</v>
      </c>
      <c r="T1583" s="22">
        <f t="shared" si="122"/>
        <v>3</v>
      </c>
      <c r="U1583" s="22">
        <f t="shared" si="123"/>
        <v>2021</v>
      </c>
      <c r="V1583" s="22" t="str">
        <f t="shared" si="124"/>
        <v>REGIONES</v>
      </c>
    </row>
    <row r="1584" spans="1:22" x14ac:dyDescent="0.2">
      <c r="A1584" s="23" t="s">
        <v>2031</v>
      </c>
      <c r="B1584" s="22" t="s">
        <v>33</v>
      </c>
      <c r="C1584" s="22" t="s">
        <v>29</v>
      </c>
      <c r="D1584" s="22" t="s">
        <v>30</v>
      </c>
      <c r="E1584" s="24" t="s">
        <v>31</v>
      </c>
      <c r="F1584" s="22" t="s">
        <v>129</v>
      </c>
      <c r="G1584" s="25">
        <v>9225.0300000000007</v>
      </c>
      <c r="H1584" s="22" t="s">
        <v>32</v>
      </c>
      <c r="I1584" s="22">
        <v>0</v>
      </c>
      <c r="J1584" s="22" t="s">
        <v>129</v>
      </c>
      <c r="K1584" s="22" t="s">
        <v>23</v>
      </c>
      <c r="L1584" s="22">
        <v>1</v>
      </c>
      <c r="M1584" s="26">
        <f>+G1584*11</f>
        <v>101475.33</v>
      </c>
      <c r="N1584" s="26">
        <v>0</v>
      </c>
      <c r="O1584" s="15">
        <f t="shared" si="120"/>
        <v>101475.33</v>
      </c>
      <c r="P1584" s="15">
        <f t="shared" si="121"/>
        <v>11</v>
      </c>
      <c r="Q1584" s="25">
        <v>4821</v>
      </c>
      <c r="R1584" s="22">
        <v>100</v>
      </c>
      <c r="S1584" s="22" t="s">
        <v>2038</v>
      </c>
      <c r="T1584" s="22">
        <f t="shared" si="122"/>
        <v>3</v>
      </c>
      <c r="U1584" s="22">
        <f t="shared" si="123"/>
        <v>2021</v>
      </c>
      <c r="V1584" s="22" t="str">
        <f t="shared" si="124"/>
        <v>METROPOLITANA</v>
      </c>
    </row>
    <row r="1585" spans="1:22" x14ac:dyDescent="0.2">
      <c r="A1585" s="23" t="s">
        <v>2031</v>
      </c>
      <c r="B1585" s="22" t="s">
        <v>33</v>
      </c>
      <c r="C1585" s="22" t="s">
        <v>44</v>
      </c>
      <c r="D1585" s="22" t="s">
        <v>56</v>
      </c>
      <c r="E1585" s="24" t="s">
        <v>52</v>
      </c>
      <c r="F1585" s="22" t="s">
        <v>229</v>
      </c>
      <c r="G1585" s="25">
        <v>5490</v>
      </c>
      <c r="H1585" s="22" t="s">
        <v>22</v>
      </c>
      <c r="I1585" s="22">
        <v>0</v>
      </c>
      <c r="J1585" s="22" t="s">
        <v>230</v>
      </c>
      <c r="K1585" s="22" t="s">
        <v>23</v>
      </c>
      <c r="L1585" s="22">
        <v>4</v>
      </c>
      <c r="M1585" s="26">
        <v>56075</v>
      </c>
      <c r="N1585" s="26">
        <f>+G1585*4</f>
        <v>21960</v>
      </c>
      <c r="O1585" s="15">
        <f t="shared" si="120"/>
        <v>78035</v>
      </c>
      <c r="P1585" s="15">
        <f t="shared" si="121"/>
        <v>14.214025500910747</v>
      </c>
      <c r="Q1585" s="25">
        <v>8011</v>
      </c>
      <c r="R1585" s="22">
        <v>69</v>
      </c>
      <c r="S1585" s="22" t="s">
        <v>2039</v>
      </c>
      <c r="T1585" s="22">
        <f t="shared" si="122"/>
        <v>3</v>
      </c>
      <c r="U1585" s="22">
        <f t="shared" si="123"/>
        <v>2021</v>
      </c>
      <c r="V1585" s="22" t="str">
        <f t="shared" si="124"/>
        <v>METROPOLITANA</v>
      </c>
    </row>
    <row r="1586" spans="1:22" x14ac:dyDescent="0.2">
      <c r="A1586" s="23" t="s">
        <v>2031</v>
      </c>
      <c r="B1586" s="22" t="s">
        <v>33</v>
      </c>
      <c r="C1586" s="22" t="s">
        <v>44</v>
      </c>
      <c r="D1586" s="22" t="s">
        <v>188</v>
      </c>
      <c r="E1586" s="24" t="s">
        <v>189</v>
      </c>
      <c r="F1586" s="22" t="s">
        <v>137</v>
      </c>
      <c r="G1586" s="25">
        <v>988</v>
      </c>
      <c r="H1586" s="22" t="s">
        <v>190</v>
      </c>
      <c r="I1586" s="22">
        <v>0</v>
      </c>
      <c r="J1586" s="22" t="s">
        <v>137</v>
      </c>
      <c r="K1586" s="22" t="s">
        <v>23</v>
      </c>
      <c r="L1586" s="22">
        <v>1</v>
      </c>
      <c r="M1586" s="26">
        <v>55000</v>
      </c>
      <c r="N1586" s="26">
        <v>0</v>
      </c>
      <c r="O1586" s="15">
        <f t="shared" si="120"/>
        <v>55000</v>
      </c>
      <c r="P1586" s="15">
        <f t="shared" si="121"/>
        <v>55.668016194331983</v>
      </c>
      <c r="Q1586" s="25">
        <v>4821</v>
      </c>
      <c r="R1586" s="22">
        <v>20</v>
      </c>
      <c r="S1586" s="22" t="s">
        <v>2040</v>
      </c>
      <c r="T1586" s="22">
        <f t="shared" si="122"/>
        <v>3</v>
      </c>
      <c r="U1586" s="22">
        <f t="shared" si="123"/>
        <v>2021</v>
      </c>
      <c r="V1586" s="22" t="str">
        <f t="shared" si="124"/>
        <v>METROPOLITANA</v>
      </c>
    </row>
    <row r="1587" spans="1:22" x14ac:dyDescent="0.2">
      <c r="A1587" s="23" t="s">
        <v>2031</v>
      </c>
      <c r="B1587" s="22" t="s">
        <v>33</v>
      </c>
      <c r="C1587" s="22" t="s">
        <v>44</v>
      </c>
      <c r="D1587" s="22" t="s">
        <v>37</v>
      </c>
      <c r="E1587" s="24" t="s">
        <v>40</v>
      </c>
      <c r="F1587" s="22" t="s">
        <v>46</v>
      </c>
      <c r="G1587" s="25">
        <v>5727.2</v>
      </c>
      <c r="H1587" s="22" t="s">
        <v>22</v>
      </c>
      <c r="I1587" s="22">
        <v>0</v>
      </c>
      <c r="J1587" s="22" t="s">
        <v>46</v>
      </c>
      <c r="K1587" s="22" t="s">
        <v>23</v>
      </c>
      <c r="L1587" s="22">
        <v>2</v>
      </c>
      <c r="M1587" s="26">
        <v>40475</v>
      </c>
      <c r="N1587" s="26">
        <v>22909</v>
      </c>
      <c r="O1587" s="15">
        <f t="shared" si="120"/>
        <v>63384</v>
      </c>
      <c r="P1587" s="15">
        <f t="shared" si="121"/>
        <v>11.06718815477022</v>
      </c>
      <c r="Q1587" s="25">
        <v>5782</v>
      </c>
      <c r="R1587" s="22">
        <v>99</v>
      </c>
      <c r="S1587" s="22" t="s">
        <v>2041</v>
      </c>
      <c r="T1587" s="22">
        <f t="shared" si="122"/>
        <v>3</v>
      </c>
      <c r="U1587" s="22">
        <f t="shared" si="123"/>
        <v>2021</v>
      </c>
      <c r="V1587" s="22" t="str">
        <f t="shared" si="124"/>
        <v>METROPOLITANA</v>
      </c>
    </row>
    <row r="1588" spans="1:22" x14ac:dyDescent="0.2">
      <c r="A1588" s="23" t="s">
        <v>2031</v>
      </c>
      <c r="B1588" s="22" t="s">
        <v>33</v>
      </c>
      <c r="C1588" s="22" t="s">
        <v>44</v>
      </c>
      <c r="D1588" s="22" t="s">
        <v>45</v>
      </c>
      <c r="E1588" s="24" t="s">
        <v>21</v>
      </c>
      <c r="F1588" s="22" t="s">
        <v>53</v>
      </c>
      <c r="G1588" s="25">
        <v>2964</v>
      </c>
      <c r="H1588" s="22" t="s">
        <v>22</v>
      </c>
      <c r="I1588" s="22">
        <v>0</v>
      </c>
      <c r="J1588" s="22" t="s">
        <v>53</v>
      </c>
      <c r="K1588" s="22" t="s">
        <v>23</v>
      </c>
      <c r="L1588" s="22">
        <v>3</v>
      </c>
      <c r="M1588" s="26">
        <v>48075</v>
      </c>
      <c r="N1588" s="26">
        <v>12000</v>
      </c>
      <c r="O1588" s="15">
        <f t="shared" si="120"/>
        <v>60075</v>
      </c>
      <c r="P1588" s="15">
        <f t="shared" si="121"/>
        <v>20.268218623481783</v>
      </c>
      <c r="Q1588" s="25">
        <v>6868</v>
      </c>
      <c r="R1588" s="22">
        <v>43</v>
      </c>
      <c r="S1588" s="22" t="s">
        <v>2042</v>
      </c>
      <c r="T1588" s="22">
        <f t="shared" si="122"/>
        <v>3</v>
      </c>
      <c r="U1588" s="22">
        <f t="shared" si="123"/>
        <v>2021</v>
      </c>
      <c r="V1588" s="22" t="str">
        <f t="shared" si="124"/>
        <v>METROPOLITANA</v>
      </c>
    </row>
    <row r="1589" spans="1:22" x14ac:dyDescent="0.2">
      <c r="A1589" s="23" t="s">
        <v>2031</v>
      </c>
      <c r="B1589" s="22" t="s">
        <v>33</v>
      </c>
      <c r="C1589" s="22" t="s">
        <v>44</v>
      </c>
      <c r="D1589" s="22" t="s">
        <v>47</v>
      </c>
      <c r="E1589" s="24" t="s">
        <v>1576</v>
      </c>
      <c r="F1589" s="22" t="s">
        <v>48</v>
      </c>
      <c r="G1589" s="25">
        <v>6953.6</v>
      </c>
      <c r="H1589" s="22" t="s">
        <v>22</v>
      </c>
      <c r="I1589" s="22">
        <v>0</v>
      </c>
      <c r="J1589" s="22" t="s">
        <v>48</v>
      </c>
      <c r="K1589" s="22" t="s">
        <v>23</v>
      </c>
      <c r="L1589" s="22">
        <v>1</v>
      </c>
      <c r="M1589" s="26">
        <v>48675</v>
      </c>
      <c r="N1589" s="26">
        <v>27814</v>
      </c>
      <c r="O1589" s="15">
        <f t="shared" si="120"/>
        <v>76489</v>
      </c>
      <c r="P1589" s="15">
        <f t="shared" si="121"/>
        <v>10.999913713759778</v>
      </c>
      <c r="Q1589" s="25">
        <v>4821</v>
      </c>
      <c r="R1589" s="22">
        <v>100</v>
      </c>
      <c r="S1589" s="22" t="s">
        <v>2043</v>
      </c>
      <c r="T1589" s="22">
        <f t="shared" si="122"/>
        <v>3</v>
      </c>
      <c r="U1589" s="22">
        <f t="shared" si="123"/>
        <v>2021</v>
      </c>
      <c r="V1589" s="22" t="str">
        <f t="shared" si="124"/>
        <v>METROPOLITANA</v>
      </c>
    </row>
    <row r="1590" spans="1:22" x14ac:dyDescent="0.2">
      <c r="A1590" s="23" t="s">
        <v>2031</v>
      </c>
      <c r="B1590" s="22" t="s">
        <v>33</v>
      </c>
      <c r="C1590" s="22" t="s">
        <v>44</v>
      </c>
      <c r="D1590" s="22" t="s">
        <v>35</v>
      </c>
      <c r="E1590" s="24" t="s">
        <v>49</v>
      </c>
      <c r="F1590" s="22" t="s">
        <v>138</v>
      </c>
      <c r="G1590" s="25">
        <v>1976</v>
      </c>
      <c r="H1590" s="22" t="s">
        <v>22</v>
      </c>
      <c r="I1590" s="22">
        <v>0</v>
      </c>
      <c r="J1590" s="22" t="s">
        <v>138</v>
      </c>
      <c r="K1590" s="22" t="s">
        <v>23</v>
      </c>
      <c r="L1590" s="22">
        <v>3</v>
      </c>
      <c r="M1590" s="26">
        <v>48075</v>
      </c>
      <c r="N1590" s="26">
        <v>12000</v>
      </c>
      <c r="O1590" s="15">
        <f t="shared" si="120"/>
        <v>60075</v>
      </c>
      <c r="P1590" s="15">
        <f t="shared" si="121"/>
        <v>30.402327935222672</v>
      </c>
      <c r="Q1590" s="25">
        <v>6868</v>
      </c>
      <c r="R1590" s="22">
        <v>29</v>
      </c>
      <c r="S1590" s="22" t="s">
        <v>2044</v>
      </c>
      <c r="T1590" s="22">
        <f t="shared" si="122"/>
        <v>3</v>
      </c>
      <c r="U1590" s="22">
        <f t="shared" si="123"/>
        <v>2021</v>
      </c>
      <c r="V1590" s="22" t="str">
        <f t="shared" si="124"/>
        <v>METROPOLITANA</v>
      </c>
    </row>
    <row r="1591" spans="1:22" x14ac:dyDescent="0.2">
      <c r="A1591" s="11" t="s">
        <v>2045</v>
      </c>
      <c r="B1591" s="12" t="s">
        <v>18</v>
      </c>
      <c r="C1591" s="12" t="s">
        <v>270</v>
      </c>
      <c r="D1591" s="12" t="s">
        <v>37</v>
      </c>
      <c r="E1591" s="13" t="s">
        <v>40</v>
      </c>
      <c r="F1591" s="12" t="s">
        <v>377</v>
      </c>
      <c r="G1591" s="14">
        <v>5848</v>
      </c>
      <c r="H1591" s="12" t="s">
        <v>22</v>
      </c>
      <c r="I1591" s="12">
        <v>0</v>
      </c>
      <c r="J1591" s="12" t="s">
        <v>377</v>
      </c>
      <c r="K1591" s="12" t="s">
        <v>23</v>
      </c>
      <c r="L1591" s="12">
        <v>4</v>
      </c>
      <c r="M1591" s="15">
        <v>56075</v>
      </c>
      <c r="N1591" s="15">
        <f>G1591*4</f>
        <v>23392</v>
      </c>
      <c r="O1591" s="15">
        <f t="shared" si="120"/>
        <v>79467</v>
      </c>
      <c r="P1591" s="15">
        <f t="shared" si="121"/>
        <v>13.58874829001368</v>
      </c>
      <c r="Q1591" s="14">
        <v>8011</v>
      </c>
      <c r="R1591" s="12">
        <v>73</v>
      </c>
      <c r="S1591" s="12" t="s">
        <v>2046</v>
      </c>
      <c r="T1591" s="22">
        <f t="shared" si="122"/>
        <v>3</v>
      </c>
      <c r="U1591" s="22">
        <f t="shared" si="123"/>
        <v>2021</v>
      </c>
      <c r="V1591" s="22" t="str">
        <f t="shared" si="124"/>
        <v>METROPOLITANA</v>
      </c>
    </row>
    <row r="1592" spans="1:22" x14ac:dyDescent="0.2">
      <c r="A1592" s="11" t="s">
        <v>2045</v>
      </c>
      <c r="B1592" s="12" t="s">
        <v>18</v>
      </c>
      <c r="C1592" s="12" t="s">
        <v>50</v>
      </c>
      <c r="D1592" s="12" t="s">
        <v>30</v>
      </c>
      <c r="E1592" s="13" t="s">
        <v>31</v>
      </c>
      <c r="F1592" s="12" t="s">
        <v>26</v>
      </c>
      <c r="G1592" s="14">
        <v>14544</v>
      </c>
      <c r="H1592" s="12" t="s">
        <v>32</v>
      </c>
      <c r="I1592" s="12">
        <v>0</v>
      </c>
      <c r="J1592" s="12" t="s">
        <v>26</v>
      </c>
      <c r="K1592" s="12" t="s">
        <v>23</v>
      </c>
      <c r="L1592" s="12">
        <v>4</v>
      </c>
      <c r="M1592" s="15">
        <f>+G1592*11</f>
        <v>159984</v>
      </c>
      <c r="N1592" s="15">
        <v>0</v>
      </c>
      <c r="O1592" s="15">
        <f t="shared" si="120"/>
        <v>159984</v>
      </c>
      <c r="P1592" s="15">
        <f t="shared" si="121"/>
        <v>11</v>
      </c>
      <c r="Q1592" s="14">
        <v>8011</v>
      </c>
      <c r="R1592" s="12">
        <v>100</v>
      </c>
      <c r="S1592" s="12" t="s">
        <v>2047</v>
      </c>
      <c r="T1592" s="22">
        <f t="shared" si="122"/>
        <v>3</v>
      </c>
      <c r="U1592" s="22">
        <f t="shared" si="123"/>
        <v>2021</v>
      </c>
      <c r="V1592" s="22" t="str">
        <f t="shared" si="124"/>
        <v>METROPOLITANA</v>
      </c>
    </row>
    <row r="1593" spans="1:22" x14ac:dyDescent="0.2">
      <c r="A1593" s="11" t="s">
        <v>2045</v>
      </c>
      <c r="B1593" s="12" t="s">
        <v>18</v>
      </c>
      <c r="C1593" s="12" t="s">
        <v>57</v>
      </c>
      <c r="D1593" s="12" t="s">
        <v>56</v>
      </c>
      <c r="E1593" s="13" t="s">
        <v>1576</v>
      </c>
      <c r="F1593" s="12" t="s">
        <v>120</v>
      </c>
      <c r="G1593" s="14">
        <v>1718.86</v>
      </c>
      <c r="H1593" s="12" t="s">
        <v>22</v>
      </c>
      <c r="I1593" s="12">
        <v>0</v>
      </c>
      <c r="J1593" s="12" t="s">
        <v>120</v>
      </c>
      <c r="K1593" s="12" t="s">
        <v>23</v>
      </c>
      <c r="L1593" s="12">
        <v>5</v>
      </c>
      <c r="M1593" s="15">
        <v>70000</v>
      </c>
      <c r="N1593" s="15">
        <v>12000</v>
      </c>
      <c r="O1593" s="15">
        <f t="shared" si="120"/>
        <v>82000</v>
      </c>
      <c r="P1593" s="15">
        <f t="shared" si="121"/>
        <v>47.706037722676662</v>
      </c>
      <c r="Q1593" s="14">
        <v>12000</v>
      </c>
      <c r="R1593" s="12">
        <v>14</v>
      </c>
      <c r="S1593" s="12" t="s">
        <v>2048</v>
      </c>
      <c r="T1593" s="22">
        <f t="shared" si="122"/>
        <v>3</v>
      </c>
      <c r="U1593" s="22">
        <f t="shared" si="123"/>
        <v>2021</v>
      </c>
      <c r="V1593" s="22" t="str">
        <f t="shared" si="124"/>
        <v>METROPOLITANA</v>
      </c>
    </row>
    <row r="1594" spans="1:22" x14ac:dyDescent="0.2">
      <c r="A1594" s="11" t="s">
        <v>2045</v>
      </c>
      <c r="B1594" s="12" t="s">
        <v>18</v>
      </c>
      <c r="C1594" s="12" t="s">
        <v>2049</v>
      </c>
      <c r="D1594" s="12" t="s">
        <v>956</v>
      </c>
      <c r="E1594" s="13" t="s">
        <v>957</v>
      </c>
      <c r="F1594" s="12" t="s">
        <v>2050</v>
      </c>
      <c r="G1594" s="14">
        <v>7233.6</v>
      </c>
      <c r="H1594" s="12" t="s">
        <v>85</v>
      </c>
      <c r="I1594" s="12">
        <v>1</v>
      </c>
      <c r="J1594" s="12" t="s">
        <v>2050</v>
      </c>
      <c r="K1594" s="12" t="s">
        <v>86</v>
      </c>
      <c r="L1594" s="12">
        <v>0</v>
      </c>
      <c r="M1594" s="15">
        <v>230000</v>
      </c>
      <c r="N1594" s="15">
        <v>0</v>
      </c>
      <c r="O1594" s="15">
        <f t="shared" si="120"/>
        <v>230000</v>
      </c>
      <c r="P1594" s="15">
        <f t="shared" si="121"/>
        <v>31.796062817960628</v>
      </c>
      <c r="Q1594" s="14">
        <v>25000</v>
      </c>
      <c r="R1594" s="12">
        <v>29</v>
      </c>
      <c r="S1594" s="12" t="s">
        <v>2051</v>
      </c>
      <c r="T1594" s="22">
        <f t="shared" si="122"/>
        <v>3</v>
      </c>
      <c r="U1594" s="22">
        <f t="shared" si="123"/>
        <v>2021</v>
      </c>
      <c r="V1594" s="22" t="str">
        <f t="shared" si="124"/>
        <v>REGIONES</v>
      </c>
    </row>
    <row r="1595" spans="1:22" x14ac:dyDescent="0.2">
      <c r="A1595" s="11" t="s">
        <v>2045</v>
      </c>
      <c r="B1595" s="12" t="s">
        <v>33</v>
      </c>
      <c r="C1595" s="12" t="s">
        <v>1997</v>
      </c>
      <c r="D1595" s="12" t="s">
        <v>20</v>
      </c>
      <c r="E1595" s="13" t="s">
        <v>21</v>
      </c>
      <c r="F1595" s="12" t="s">
        <v>58</v>
      </c>
      <c r="G1595" s="14">
        <v>4596.2</v>
      </c>
      <c r="H1595" s="12" t="s">
        <v>22</v>
      </c>
      <c r="I1595" s="12">
        <v>0</v>
      </c>
      <c r="J1595" s="12" t="s">
        <v>58</v>
      </c>
      <c r="K1595" s="12" t="s">
        <v>23</v>
      </c>
      <c r="L1595" s="12">
        <v>5</v>
      </c>
      <c r="M1595" s="15">
        <v>70000</v>
      </c>
      <c r="N1595" s="15">
        <f>G1595*4</f>
        <v>18384.8</v>
      </c>
      <c r="O1595" s="15">
        <f t="shared" si="120"/>
        <v>88384.8</v>
      </c>
      <c r="P1595" s="15">
        <f t="shared" si="121"/>
        <v>19.229972586049346</v>
      </c>
      <c r="Q1595" s="14">
        <v>12000</v>
      </c>
      <c r="R1595" s="12">
        <v>38</v>
      </c>
      <c r="S1595" s="12" t="s">
        <v>2052</v>
      </c>
      <c r="T1595" s="22">
        <f t="shared" si="122"/>
        <v>3</v>
      </c>
      <c r="U1595" s="22">
        <f t="shared" si="123"/>
        <v>2021</v>
      </c>
      <c r="V1595" s="22" t="str">
        <f t="shared" si="124"/>
        <v>METROPOLITANA</v>
      </c>
    </row>
    <row r="1596" spans="1:22" x14ac:dyDescent="0.2">
      <c r="A1596" s="11" t="s">
        <v>2045</v>
      </c>
      <c r="B1596" s="12" t="s">
        <v>33</v>
      </c>
      <c r="C1596" s="12" t="s">
        <v>57</v>
      </c>
      <c r="D1596" s="12" t="s">
        <v>56</v>
      </c>
      <c r="E1596" s="13" t="s">
        <v>1576</v>
      </c>
      <c r="F1596" s="12" t="s">
        <v>120</v>
      </c>
      <c r="G1596" s="14">
        <v>4098.12</v>
      </c>
      <c r="H1596" s="12" t="s">
        <v>22</v>
      </c>
      <c r="I1596" s="12">
        <v>0</v>
      </c>
      <c r="J1596" s="12" t="s">
        <v>120</v>
      </c>
      <c r="K1596" s="12" t="s">
        <v>23</v>
      </c>
      <c r="L1596" s="12">
        <v>5</v>
      </c>
      <c r="M1596" s="15">
        <v>70000</v>
      </c>
      <c r="N1596" s="15">
        <f>G1596*4</f>
        <v>16392.48</v>
      </c>
      <c r="O1596" s="15">
        <f t="shared" si="120"/>
        <v>86392.48</v>
      </c>
      <c r="P1596" s="15">
        <f t="shared" si="121"/>
        <v>21.081002996495954</v>
      </c>
      <c r="Q1596" s="14">
        <v>12000</v>
      </c>
      <c r="R1596" s="12">
        <v>34</v>
      </c>
      <c r="S1596" s="12" t="s">
        <v>2053</v>
      </c>
      <c r="T1596" s="22">
        <f t="shared" si="122"/>
        <v>3</v>
      </c>
      <c r="U1596" s="22">
        <f t="shared" si="123"/>
        <v>2021</v>
      </c>
      <c r="V1596" s="22" t="str">
        <f t="shared" si="124"/>
        <v>METROPOLITANA</v>
      </c>
    </row>
    <row r="1597" spans="1:22" x14ac:dyDescent="0.2">
      <c r="A1597" s="11" t="s">
        <v>2045</v>
      </c>
      <c r="B1597" s="12" t="s">
        <v>33</v>
      </c>
      <c r="C1597" s="12" t="s">
        <v>36</v>
      </c>
      <c r="D1597" s="12" t="s">
        <v>38</v>
      </c>
      <c r="E1597" s="13" t="s">
        <v>42</v>
      </c>
      <c r="F1597" s="12" t="s">
        <v>305</v>
      </c>
      <c r="G1597" s="14">
        <v>5627.9999999999991</v>
      </c>
      <c r="H1597" s="12" t="s">
        <v>43</v>
      </c>
      <c r="I1597" s="12">
        <v>0</v>
      </c>
      <c r="J1597" s="12" t="s">
        <v>26</v>
      </c>
      <c r="K1597" s="12" t="s">
        <v>23</v>
      </c>
      <c r="L1597" s="12">
        <v>0</v>
      </c>
      <c r="M1597" s="15">
        <f>+G1597*11</f>
        <v>61907.999999999993</v>
      </c>
      <c r="N1597" s="15">
        <v>0</v>
      </c>
      <c r="O1597" s="15">
        <f t="shared" si="120"/>
        <v>61907.999999999993</v>
      </c>
      <c r="P1597" s="15">
        <f t="shared" si="121"/>
        <v>11</v>
      </c>
      <c r="Q1597" s="14">
        <v>25000</v>
      </c>
      <c r="R1597" s="12">
        <v>23</v>
      </c>
      <c r="S1597" s="12" t="s">
        <v>2054</v>
      </c>
      <c r="T1597" s="22">
        <f t="shared" si="122"/>
        <v>3</v>
      </c>
      <c r="U1597" s="22">
        <f t="shared" si="123"/>
        <v>2021</v>
      </c>
      <c r="V1597" s="22" t="str">
        <f t="shared" si="124"/>
        <v>METROPOLITANA</v>
      </c>
    </row>
    <row r="1598" spans="1:22" x14ac:dyDescent="0.2">
      <c r="A1598" s="11" t="s">
        <v>2045</v>
      </c>
      <c r="B1598" s="12" t="s">
        <v>33</v>
      </c>
      <c r="C1598" s="12" t="s">
        <v>36</v>
      </c>
      <c r="D1598" s="12" t="s">
        <v>125</v>
      </c>
      <c r="E1598" s="13" t="s">
        <v>126</v>
      </c>
      <c r="F1598" s="12" t="s">
        <v>2055</v>
      </c>
      <c r="G1598" s="14">
        <v>9060.0000000000036</v>
      </c>
      <c r="H1598" s="12" t="s">
        <v>174</v>
      </c>
      <c r="I1598" s="12">
        <v>0</v>
      </c>
      <c r="J1598" s="12" t="s">
        <v>2055</v>
      </c>
      <c r="K1598" s="12" t="s">
        <v>86</v>
      </c>
      <c r="L1598" s="12">
        <v>0</v>
      </c>
      <c r="M1598" s="15">
        <v>280000</v>
      </c>
      <c r="N1598" s="15">
        <v>0</v>
      </c>
      <c r="O1598" s="15">
        <f t="shared" si="120"/>
        <v>280000</v>
      </c>
      <c r="P1598" s="15">
        <f t="shared" si="121"/>
        <v>30.905077262693144</v>
      </c>
      <c r="Q1598" s="14">
        <v>25000</v>
      </c>
      <c r="R1598" s="12">
        <v>36</v>
      </c>
      <c r="S1598" s="12" t="s">
        <v>2056</v>
      </c>
      <c r="T1598" s="22">
        <f t="shared" si="122"/>
        <v>3</v>
      </c>
      <c r="U1598" s="22">
        <f t="shared" si="123"/>
        <v>2021</v>
      </c>
      <c r="V1598" s="22" t="str">
        <f t="shared" si="124"/>
        <v>REGIONES</v>
      </c>
    </row>
    <row r="1599" spans="1:22" x14ac:dyDescent="0.2">
      <c r="A1599" s="11" t="s">
        <v>2045</v>
      </c>
      <c r="B1599" s="12" t="s">
        <v>33</v>
      </c>
      <c r="C1599" s="12" t="s">
        <v>2057</v>
      </c>
      <c r="D1599" s="12" t="s">
        <v>867</v>
      </c>
      <c r="E1599" s="13" t="s">
        <v>868</v>
      </c>
      <c r="F1599" s="12" t="s">
        <v>2058</v>
      </c>
      <c r="G1599" s="14">
        <v>7065.4600000000019</v>
      </c>
      <c r="H1599" s="12" t="s">
        <v>85</v>
      </c>
      <c r="I1599" s="12">
        <v>1</v>
      </c>
      <c r="J1599" s="12" t="s">
        <v>2058</v>
      </c>
      <c r="K1599" s="12" t="s">
        <v>75</v>
      </c>
      <c r="L1599" s="12">
        <v>0</v>
      </c>
      <c r="M1599" s="15">
        <v>480000</v>
      </c>
      <c r="N1599" s="15">
        <v>0</v>
      </c>
      <c r="O1599" s="15">
        <f t="shared" si="120"/>
        <v>480000</v>
      </c>
      <c r="P1599" s="15">
        <f t="shared" si="121"/>
        <v>67.936128716318521</v>
      </c>
      <c r="Q1599" s="14">
        <v>25000</v>
      </c>
      <c r="R1599" s="12">
        <v>28</v>
      </c>
      <c r="S1599" s="12" t="s">
        <v>2059</v>
      </c>
      <c r="T1599" s="22">
        <f t="shared" si="122"/>
        <v>3</v>
      </c>
      <c r="U1599" s="22">
        <f t="shared" si="123"/>
        <v>2021</v>
      </c>
      <c r="V1599" s="22" t="str">
        <f t="shared" si="124"/>
        <v>REGIONES</v>
      </c>
    </row>
    <row r="1600" spans="1:22" x14ac:dyDescent="0.2">
      <c r="A1600" s="11" t="s">
        <v>2045</v>
      </c>
      <c r="B1600" s="12" t="s">
        <v>33</v>
      </c>
      <c r="C1600" s="12" t="s">
        <v>44</v>
      </c>
      <c r="D1600" s="12" t="s">
        <v>188</v>
      </c>
      <c r="E1600" s="13" t="s">
        <v>189</v>
      </c>
      <c r="F1600" s="12" t="s">
        <v>26</v>
      </c>
      <c r="G1600" s="14">
        <v>1262.8</v>
      </c>
      <c r="H1600" s="12" t="s">
        <v>190</v>
      </c>
      <c r="I1600" s="12">
        <v>0</v>
      </c>
      <c r="J1600" s="12" t="s">
        <v>26</v>
      </c>
      <c r="K1600" s="12" t="s">
        <v>23</v>
      </c>
      <c r="L1600" s="12">
        <v>4</v>
      </c>
      <c r="M1600" s="15">
        <v>55000</v>
      </c>
      <c r="N1600" s="15">
        <v>0</v>
      </c>
      <c r="O1600" s="15">
        <f t="shared" si="120"/>
        <v>55000</v>
      </c>
      <c r="P1600" s="15">
        <f t="shared" si="121"/>
        <v>43.554006968641119</v>
      </c>
      <c r="Q1600" s="14">
        <v>8011</v>
      </c>
      <c r="R1600" s="12">
        <v>16</v>
      </c>
      <c r="S1600" s="12" t="s">
        <v>2060</v>
      </c>
      <c r="T1600" s="22">
        <f t="shared" si="122"/>
        <v>3</v>
      </c>
      <c r="U1600" s="22">
        <f t="shared" si="123"/>
        <v>2021</v>
      </c>
      <c r="V1600" s="22" t="str">
        <f t="shared" si="124"/>
        <v>METROPOLITANA</v>
      </c>
    </row>
    <row r="1601" spans="1:22" x14ac:dyDescent="0.2">
      <c r="A1601" s="11" t="s">
        <v>2045</v>
      </c>
      <c r="B1601" s="12" t="s">
        <v>33</v>
      </c>
      <c r="C1601" s="12" t="s">
        <v>44</v>
      </c>
      <c r="D1601" s="12" t="s">
        <v>2061</v>
      </c>
      <c r="E1601" s="13" t="s">
        <v>81</v>
      </c>
      <c r="F1601" s="12" t="s">
        <v>114</v>
      </c>
      <c r="G1601" s="14">
        <v>13950.4</v>
      </c>
      <c r="H1601" s="12" t="s">
        <v>24</v>
      </c>
      <c r="I1601" s="12">
        <v>1</v>
      </c>
      <c r="J1601" s="12" t="s">
        <v>114</v>
      </c>
      <c r="K1601" s="12" t="s">
        <v>75</v>
      </c>
      <c r="L1601" s="12">
        <v>0</v>
      </c>
      <c r="M1601" s="15">
        <v>380000</v>
      </c>
      <c r="N1601" s="15">
        <v>0</v>
      </c>
      <c r="O1601" s="15">
        <f t="shared" si="120"/>
        <v>380000</v>
      </c>
      <c r="P1601" s="15">
        <f t="shared" si="121"/>
        <v>27.239362312191766</v>
      </c>
      <c r="Q1601" s="14">
        <v>25000</v>
      </c>
      <c r="R1601" s="12">
        <v>56</v>
      </c>
      <c r="S1601" s="12" t="s">
        <v>2062</v>
      </c>
      <c r="T1601" s="22">
        <f t="shared" si="122"/>
        <v>3</v>
      </c>
      <c r="U1601" s="22">
        <f t="shared" si="123"/>
        <v>2021</v>
      </c>
      <c r="V1601" s="22" t="str">
        <f t="shared" si="124"/>
        <v>REGIONES</v>
      </c>
    </row>
    <row r="1602" spans="1:22" x14ac:dyDescent="0.2">
      <c r="A1602" s="11" t="s">
        <v>2045</v>
      </c>
      <c r="B1602" s="12" t="s">
        <v>33</v>
      </c>
      <c r="C1602" s="12" t="s">
        <v>44</v>
      </c>
      <c r="D1602" s="12" t="s">
        <v>45</v>
      </c>
      <c r="E1602" s="13" t="s">
        <v>52</v>
      </c>
      <c r="F1602" s="12" t="s">
        <v>95</v>
      </c>
      <c r="G1602" s="14">
        <v>4401.3999999999996</v>
      </c>
      <c r="H1602" s="12" t="s">
        <v>22</v>
      </c>
      <c r="I1602" s="12">
        <v>0</v>
      </c>
      <c r="J1602" s="12" t="s">
        <v>95</v>
      </c>
      <c r="K1602" s="12" t="s">
        <v>23</v>
      </c>
      <c r="L1602" s="12">
        <v>4</v>
      </c>
      <c r="M1602" s="15">
        <v>56075</v>
      </c>
      <c r="N1602" s="15">
        <v>17606</v>
      </c>
      <c r="O1602" s="15">
        <f t="shared" ref="O1602:O1665" si="125">SUM(M1602:N1602)</f>
        <v>73681</v>
      </c>
      <c r="P1602" s="15">
        <f t="shared" ref="P1602:P1665" si="126">O1602/G1602</f>
        <v>16.740355341482257</v>
      </c>
      <c r="Q1602" s="14">
        <v>8011</v>
      </c>
      <c r="R1602" s="12">
        <v>55</v>
      </c>
      <c r="S1602" s="12" t="s">
        <v>2063</v>
      </c>
      <c r="T1602" s="22">
        <f t="shared" ref="T1602:T1665" si="127">MONTH(A1602)</f>
        <v>3</v>
      </c>
      <c r="U1602" s="22">
        <f t="shared" ref="U1602:U1665" si="128">YEAR(A1602)</f>
        <v>2021</v>
      </c>
      <c r="V1602" s="22" t="str">
        <f t="shared" ref="V1602:V1665" si="129">IF(K1602="METROPOLITANA DE SANTIAGO","METROPOLITANA","REGIONES")</f>
        <v>METROPOLITANA</v>
      </c>
    </row>
    <row r="1603" spans="1:22" x14ac:dyDescent="0.2">
      <c r="A1603" s="11" t="s">
        <v>2045</v>
      </c>
      <c r="B1603" s="12" t="s">
        <v>33</v>
      </c>
      <c r="C1603" s="12" t="s">
        <v>44</v>
      </c>
      <c r="D1603" s="12" t="s">
        <v>47</v>
      </c>
      <c r="E1603" s="13" t="s">
        <v>1576</v>
      </c>
      <c r="F1603" s="12" t="s">
        <v>94</v>
      </c>
      <c r="G1603" s="14">
        <v>7264.8000000000011</v>
      </c>
      <c r="H1603" s="12" t="s">
        <v>22</v>
      </c>
      <c r="I1603" s="12">
        <v>0</v>
      </c>
      <c r="J1603" s="12" t="s">
        <v>59</v>
      </c>
      <c r="K1603" s="12" t="s">
        <v>78</v>
      </c>
      <c r="L1603" s="12">
        <v>0</v>
      </c>
      <c r="M1603" s="15">
        <v>180000</v>
      </c>
      <c r="N1603" s="15">
        <f>G1603*4</f>
        <v>29059.200000000004</v>
      </c>
      <c r="O1603" s="15">
        <f t="shared" si="125"/>
        <v>209059.20000000001</v>
      </c>
      <c r="P1603" s="15">
        <f t="shared" si="126"/>
        <v>28.777006937561939</v>
      </c>
      <c r="Q1603" s="14">
        <v>25000</v>
      </c>
      <c r="R1603" s="12">
        <v>29</v>
      </c>
      <c r="S1603" s="12" t="s">
        <v>2064</v>
      </c>
      <c r="T1603" s="22">
        <f t="shared" si="127"/>
        <v>3</v>
      </c>
      <c r="U1603" s="22">
        <f t="shared" si="128"/>
        <v>2021</v>
      </c>
      <c r="V1603" s="22" t="str">
        <f t="shared" si="129"/>
        <v>REGIONES</v>
      </c>
    </row>
    <row r="1604" spans="1:22" x14ac:dyDescent="0.2">
      <c r="A1604" s="11" t="s">
        <v>2045</v>
      </c>
      <c r="B1604" s="12" t="s">
        <v>33</v>
      </c>
      <c r="C1604" s="12" t="s">
        <v>44</v>
      </c>
      <c r="D1604" s="12" t="s">
        <v>35</v>
      </c>
      <c r="E1604" s="13" t="s">
        <v>49</v>
      </c>
      <c r="F1604" s="12" t="s">
        <v>51</v>
      </c>
      <c r="G1604" s="14">
        <v>5220.1000000000022</v>
      </c>
      <c r="H1604" s="12" t="s">
        <v>22</v>
      </c>
      <c r="I1604" s="12">
        <v>0</v>
      </c>
      <c r="J1604" s="12" t="s">
        <v>51</v>
      </c>
      <c r="K1604" s="12" t="s">
        <v>23</v>
      </c>
      <c r="L1604" s="12">
        <v>4</v>
      </c>
      <c r="M1604" s="15">
        <v>56075</v>
      </c>
      <c r="N1604" s="15">
        <v>20880</v>
      </c>
      <c r="O1604" s="15">
        <f t="shared" si="125"/>
        <v>76955</v>
      </c>
      <c r="P1604" s="15">
        <f t="shared" si="126"/>
        <v>14.742054749909</v>
      </c>
      <c r="Q1604" s="14">
        <v>8011</v>
      </c>
      <c r="R1604" s="12">
        <v>65</v>
      </c>
      <c r="S1604" s="12" t="s">
        <v>2065</v>
      </c>
      <c r="T1604" s="22">
        <f t="shared" si="127"/>
        <v>3</v>
      </c>
      <c r="U1604" s="22">
        <f t="shared" si="128"/>
        <v>2021</v>
      </c>
      <c r="V1604" s="22" t="str">
        <f t="shared" si="129"/>
        <v>METROPOLITANA</v>
      </c>
    </row>
    <row r="1605" spans="1:22" x14ac:dyDescent="0.2">
      <c r="A1605" s="11" t="s">
        <v>2045</v>
      </c>
      <c r="B1605" s="12" t="s">
        <v>33</v>
      </c>
      <c r="C1605" s="12" t="s">
        <v>44</v>
      </c>
      <c r="D1605" s="12" t="s">
        <v>41</v>
      </c>
      <c r="E1605" s="13" t="s">
        <v>25</v>
      </c>
      <c r="F1605" s="12" t="s">
        <v>2066</v>
      </c>
      <c r="G1605" s="14">
        <v>6003.1999999999989</v>
      </c>
      <c r="H1605" s="12" t="s">
        <v>43</v>
      </c>
      <c r="I1605" s="12">
        <v>0</v>
      </c>
      <c r="J1605" s="12" t="s">
        <v>2066</v>
      </c>
      <c r="K1605" s="12" t="s">
        <v>171</v>
      </c>
      <c r="L1605" s="12">
        <v>0</v>
      </c>
      <c r="M1605" s="15">
        <v>180000</v>
      </c>
      <c r="N1605" s="15">
        <v>0</v>
      </c>
      <c r="O1605" s="15">
        <f t="shared" si="125"/>
        <v>180000</v>
      </c>
      <c r="P1605" s="15">
        <f t="shared" si="126"/>
        <v>29.984008528784653</v>
      </c>
      <c r="Q1605" s="14">
        <v>25000</v>
      </c>
      <c r="R1605" s="12">
        <v>24</v>
      </c>
      <c r="S1605" s="12" t="s">
        <v>2067</v>
      </c>
      <c r="T1605" s="22">
        <f t="shared" si="127"/>
        <v>3</v>
      </c>
      <c r="U1605" s="22">
        <f t="shared" si="128"/>
        <v>2021</v>
      </c>
      <c r="V1605" s="22" t="str">
        <f t="shared" si="129"/>
        <v>REGIONES</v>
      </c>
    </row>
    <row r="1606" spans="1:22" x14ac:dyDescent="0.2">
      <c r="A1606" s="11" t="s">
        <v>2045</v>
      </c>
      <c r="B1606" s="12" t="s">
        <v>33</v>
      </c>
      <c r="C1606" s="12" t="s">
        <v>1722</v>
      </c>
      <c r="D1606" s="12" t="s">
        <v>27</v>
      </c>
      <c r="E1606" s="13" t="s">
        <v>28</v>
      </c>
      <c r="F1606" s="12" t="s">
        <v>26</v>
      </c>
      <c r="G1606" s="14">
        <v>16245.54000000001</v>
      </c>
      <c r="H1606" s="12" t="s">
        <v>22</v>
      </c>
      <c r="I1606" s="12">
        <v>1</v>
      </c>
      <c r="J1606" s="12" t="s">
        <v>26</v>
      </c>
      <c r="K1606" s="12" t="s">
        <v>23</v>
      </c>
      <c r="L1606" s="12">
        <v>4</v>
      </c>
      <c r="M1606" s="15">
        <v>113719</v>
      </c>
      <c r="N1606" s="15">
        <f>G1606*4</f>
        <v>64982.16000000004</v>
      </c>
      <c r="O1606" s="15">
        <f t="shared" si="125"/>
        <v>178701.16000000003</v>
      </c>
      <c r="P1606" s="15">
        <f t="shared" si="126"/>
        <v>11.00001354217834</v>
      </c>
      <c r="Q1606" s="14">
        <v>8011</v>
      </c>
      <c r="R1606" s="12">
        <v>100</v>
      </c>
      <c r="S1606" s="12" t="s">
        <v>2068</v>
      </c>
      <c r="T1606" s="22">
        <f t="shared" si="127"/>
        <v>3</v>
      </c>
      <c r="U1606" s="22">
        <f t="shared" si="128"/>
        <v>2021</v>
      </c>
      <c r="V1606" s="22" t="str">
        <f t="shared" si="129"/>
        <v>METROPOLITANA</v>
      </c>
    </row>
    <row r="1607" spans="1:22" x14ac:dyDescent="0.2">
      <c r="A1607" s="23" t="s">
        <v>2069</v>
      </c>
      <c r="B1607" s="22" t="s">
        <v>33</v>
      </c>
      <c r="C1607" s="22" t="s">
        <v>50</v>
      </c>
      <c r="D1607" s="22" t="s">
        <v>20</v>
      </c>
      <c r="E1607" s="24" t="s">
        <v>21</v>
      </c>
      <c r="F1607" s="22" t="s">
        <v>26</v>
      </c>
      <c r="G1607" s="25">
        <v>9360.5400000000009</v>
      </c>
      <c r="H1607" s="22" t="s">
        <v>22</v>
      </c>
      <c r="I1607" s="22">
        <v>0</v>
      </c>
      <c r="J1607" s="22" t="s">
        <v>26</v>
      </c>
      <c r="K1607" s="22" t="s">
        <v>23</v>
      </c>
      <c r="L1607" s="22">
        <v>4</v>
      </c>
      <c r="M1607" s="26">
        <v>65524</v>
      </c>
      <c r="N1607" s="26">
        <f>+G1607*4</f>
        <v>37442.160000000003</v>
      </c>
      <c r="O1607" s="15">
        <f t="shared" si="125"/>
        <v>102966.16</v>
      </c>
      <c r="P1607" s="15">
        <f t="shared" si="126"/>
        <v>11.000023502917566</v>
      </c>
      <c r="Q1607" s="25">
        <v>8011</v>
      </c>
      <c r="R1607" s="22">
        <v>100</v>
      </c>
      <c r="S1607" s="22" t="s">
        <v>2070</v>
      </c>
      <c r="T1607" s="22">
        <f t="shared" si="127"/>
        <v>3</v>
      </c>
      <c r="U1607" s="22">
        <f t="shared" si="128"/>
        <v>2021</v>
      </c>
      <c r="V1607" s="22" t="str">
        <f t="shared" si="129"/>
        <v>METROPOLITANA</v>
      </c>
    </row>
    <row r="1608" spans="1:22" x14ac:dyDescent="0.2">
      <c r="A1608" s="23" t="s">
        <v>2069</v>
      </c>
      <c r="B1608" s="22" t="s">
        <v>33</v>
      </c>
      <c r="C1608" s="22" t="s">
        <v>36</v>
      </c>
      <c r="D1608" s="22" t="s">
        <v>38</v>
      </c>
      <c r="E1608" s="24" t="s">
        <v>25</v>
      </c>
      <c r="F1608" s="22" t="s">
        <v>59</v>
      </c>
      <c r="G1608" s="25">
        <v>8425.6</v>
      </c>
      <c r="H1608" s="22" t="s">
        <v>43</v>
      </c>
      <c r="I1608" s="22">
        <v>0</v>
      </c>
      <c r="J1608" s="22" t="s">
        <v>59</v>
      </c>
      <c r="K1608" s="22" t="s">
        <v>78</v>
      </c>
      <c r="L1608" s="22">
        <v>0</v>
      </c>
      <c r="M1608" s="26">
        <v>180000</v>
      </c>
      <c r="N1608" s="26">
        <v>0</v>
      </c>
      <c r="O1608" s="15">
        <f t="shared" si="125"/>
        <v>180000</v>
      </c>
      <c r="P1608" s="15">
        <f t="shared" si="126"/>
        <v>21.363463729586023</v>
      </c>
      <c r="Q1608" s="25">
        <v>25000</v>
      </c>
      <c r="R1608" s="22">
        <v>34</v>
      </c>
      <c r="S1608" s="22" t="s">
        <v>2071</v>
      </c>
      <c r="T1608" s="22">
        <f t="shared" si="127"/>
        <v>3</v>
      </c>
      <c r="U1608" s="22">
        <f t="shared" si="128"/>
        <v>2021</v>
      </c>
      <c r="V1608" s="22" t="str">
        <f t="shared" si="129"/>
        <v>REGIONES</v>
      </c>
    </row>
    <row r="1609" spans="1:22" x14ac:dyDescent="0.2">
      <c r="A1609" s="23" t="s">
        <v>2069</v>
      </c>
      <c r="B1609" s="22" t="s">
        <v>33</v>
      </c>
      <c r="C1609" s="22" t="s">
        <v>36</v>
      </c>
      <c r="D1609" s="22" t="s">
        <v>38</v>
      </c>
      <c r="E1609" s="24" t="s">
        <v>1124</v>
      </c>
      <c r="F1609" s="22" t="s">
        <v>34</v>
      </c>
      <c r="G1609" s="25">
        <v>8052.0000000000027</v>
      </c>
      <c r="H1609" s="22" t="s">
        <v>43</v>
      </c>
      <c r="I1609" s="22">
        <v>0</v>
      </c>
      <c r="J1609" s="22" t="s">
        <v>34</v>
      </c>
      <c r="K1609" s="22" t="s">
        <v>23</v>
      </c>
      <c r="L1609" s="22">
        <v>1</v>
      </c>
      <c r="M1609" s="26">
        <f>+G1609*11</f>
        <v>88572.000000000029</v>
      </c>
      <c r="N1609" s="26">
        <v>0</v>
      </c>
      <c r="O1609" s="15">
        <f t="shared" si="125"/>
        <v>88572.000000000029</v>
      </c>
      <c r="P1609" s="15">
        <f t="shared" si="126"/>
        <v>11</v>
      </c>
      <c r="Q1609" s="25">
        <v>4821</v>
      </c>
      <c r="R1609" s="22">
        <v>100</v>
      </c>
      <c r="S1609" s="22" t="s">
        <v>2072</v>
      </c>
      <c r="T1609" s="22">
        <f t="shared" si="127"/>
        <v>3</v>
      </c>
      <c r="U1609" s="22">
        <f t="shared" si="128"/>
        <v>2021</v>
      </c>
      <c r="V1609" s="22" t="str">
        <f t="shared" si="129"/>
        <v>METROPOLITANA</v>
      </c>
    </row>
    <row r="1610" spans="1:22" x14ac:dyDescent="0.2">
      <c r="A1610" s="23" t="s">
        <v>2069</v>
      </c>
      <c r="B1610" s="22" t="s">
        <v>33</v>
      </c>
      <c r="C1610" s="22" t="s">
        <v>36</v>
      </c>
      <c r="D1610" s="22" t="s">
        <v>37</v>
      </c>
      <c r="E1610" s="24" t="s">
        <v>40</v>
      </c>
      <c r="F1610" s="22" t="s">
        <v>308</v>
      </c>
      <c r="G1610" s="25">
        <v>10704.4</v>
      </c>
      <c r="H1610" s="22" t="s">
        <v>22</v>
      </c>
      <c r="I1610" s="22">
        <v>0</v>
      </c>
      <c r="J1610" s="22" t="s">
        <v>308</v>
      </c>
      <c r="K1610" s="22" t="s">
        <v>78</v>
      </c>
      <c r="L1610" s="22">
        <v>0</v>
      </c>
      <c r="M1610" s="26">
        <v>180000</v>
      </c>
      <c r="N1610" s="26">
        <f>+G1610*4</f>
        <v>42817.599999999999</v>
      </c>
      <c r="O1610" s="15">
        <f t="shared" si="125"/>
        <v>222817.6</v>
      </c>
      <c r="P1610" s="15">
        <f t="shared" si="126"/>
        <v>20.815515115279698</v>
      </c>
      <c r="Q1610" s="25">
        <v>25000</v>
      </c>
      <c r="R1610" s="22">
        <v>43</v>
      </c>
      <c r="S1610" s="22" t="s">
        <v>2073</v>
      </c>
      <c r="T1610" s="22">
        <f t="shared" si="127"/>
        <v>3</v>
      </c>
      <c r="U1610" s="22">
        <f t="shared" si="128"/>
        <v>2021</v>
      </c>
      <c r="V1610" s="22" t="str">
        <f t="shared" si="129"/>
        <v>REGIONES</v>
      </c>
    </row>
    <row r="1611" spans="1:22" x14ac:dyDescent="0.2">
      <c r="A1611" s="23" t="s">
        <v>2069</v>
      </c>
      <c r="B1611" s="22" t="s">
        <v>33</v>
      </c>
      <c r="C1611" s="22" t="s">
        <v>36</v>
      </c>
      <c r="D1611" s="22" t="s">
        <v>63</v>
      </c>
      <c r="E1611" s="24" t="s">
        <v>64</v>
      </c>
      <c r="F1611" s="22" t="s">
        <v>376</v>
      </c>
      <c r="G1611" s="25">
        <v>10704.4</v>
      </c>
      <c r="H1611" s="22" t="s">
        <v>65</v>
      </c>
      <c r="I1611" s="22">
        <v>0</v>
      </c>
      <c r="J1611" s="22" t="s">
        <v>377</v>
      </c>
      <c r="K1611" s="22" t="s">
        <v>23</v>
      </c>
      <c r="L1611" s="22">
        <v>4</v>
      </c>
      <c r="M1611" s="26">
        <f>+G1611*11</f>
        <v>117748.4</v>
      </c>
      <c r="N1611" s="26">
        <v>0</v>
      </c>
      <c r="O1611" s="15">
        <f t="shared" si="125"/>
        <v>117748.4</v>
      </c>
      <c r="P1611" s="15">
        <f t="shared" si="126"/>
        <v>11</v>
      </c>
      <c r="Q1611" s="25">
        <v>8011</v>
      </c>
      <c r="R1611" s="22">
        <v>100</v>
      </c>
      <c r="S1611" s="22" t="s">
        <v>2074</v>
      </c>
      <c r="T1611" s="22">
        <f t="shared" si="127"/>
        <v>3</v>
      </c>
      <c r="U1611" s="22">
        <f t="shared" si="128"/>
        <v>2021</v>
      </c>
      <c r="V1611" s="22" t="str">
        <f t="shared" si="129"/>
        <v>METROPOLITANA</v>
      </c>
    </row>
    <row r="1612" spans="1:22" x14ac:dyDescent="0.2">
      <c r="A1612" s="23" t="s">
        <v>2069</v>
      </c>
      <c r="B1612" s="22" t="s">
        <v>33</v>
      </c>
      <c r="C1612" s="22" t="s">
        <v>36</v>
      </c>
      <c r="D1612" s="22" t="s">
        <v>47</v>
      </c>
      <c r="E1612" s="24" t="s">
        <v>1576</v>
      </c>
      <c r="F1612" s="22" t="s">
        <v>274</v>
      </c>
      <c r="G1612" s="25">
        <v>7400.0000000000009</v>
      </c>
      <c r="H1612" s="22" t="s">
        <v>22</v>
      </c>
      <c r="I1612" s="22">
        <v>0</v>
      </c>
      <c r="J1612" s="22" t="s">
        <v>274</v>
      </c>
      <c r="K1612" s="22" t="s">
        <v>78</v>
      </c>
      <c r="L1612" s="22">
        <v>0</v>
      </c>
      <c r="M1612" s="26">
        <v>180000</v>
      </c>
      <c r="N1612" s="26">
        <f>+G1612*4</f>
        <v>29600.000000000004</v>
      </c>
      <c r="O1612" s="15">
        <f t="shared" si="125"/>
        <v>209600</v>
      </c>
      <c r="P1612" s="15">
        <f t="shared" si="126"/>
        <v>28.324324324324319</v>
      </c>
      <c r="Q1612" s="25">
        <v>25000</v>
      </c>
      <c r="R1612" s="22">
        <v>30</v>
      </c>
      <c r="S1612" s="22" t="s">
        <v>2075</v>
      </c>
      <c r="T1612" s="22">
        <f t="shared" si="127"/>
        <v>3</v>
      </c>
      <c r="U1612" s="22">
        <f t="shared" si="128"/>
        <v>2021</v>
      </c>
      <c r="V1612" s="22" t="str">
        <f t="shared" si="129"/>
        <v>REGIONES</v>
      </c>
    </row>
    <row r="1613" spans="1:22" x14ac:dyDescent="0.2">
      <c r="A1613" s="23" t="s">
        <v>2069</v>
      </c>
      <c r="B1613" s="22" t="s">
        <v>33</v>
      </c>
      <c r="C1613" s="22" t="s">
        <v>223</v>
      </c>
      <c r="D1613" s="22" t="s">
        <v>38</v>
      </c>
      <c r="E1613" s="24" t="s">
        <v>42</v>
      </c>
      <c r="F1613" s="22" t="s">
        <v>67</v>
      </c>
      <c r="G1613" s="25">
        <v>6356</v>
      </c>
      <c r="H1613" s="22" t="s">
        <v>43</v>
      </c>
      <c r="I1613" s="22">
        <v>0</v>
      </c>
      <c r="J1613" s="22" t="s">
        <v>67</v>
      </c>
      <c r="K1613" s="22" t="s">
        <v>23</v>
      </c>
      <c r="L1613" s="22">
        <v>2</v>
      </c>
      <c r="M1613" s="26">
        <v>44492</v>
      </c>
      <c r="N1613" s="26">
        <v>0</v>
      </c>
      <c r="O1613" s="15">
        <f t="shared" si="125"/>
        <v>44492</v>
      </c>
      <c r="P1613" s="15">
        <f t="shared" si="126"/>
        <v>7</v>
      </c>
      <c r="Q1613" s="25">
        <v>5782</v>
      </c>
      <c r="R1613" s="22">
        <v>100</v>
      </c>
      <c r="S1613" s="22" t="s">
        <v>2076</v>
      </c>
      <c r="T1613" s="22">
        <f t="shared" si="127"/>
        <v>3</v>
      </c>
      <c r="U1613" s="22">
        <f t="shared" si="128"/>
        <v>2021</v>
      </c>
      <c r="V1613" s="22" t="str">
        <f t="shared" si="129"/>
        <v>METROPOLITANA</v>
      </c>
    </row>
    <row r="1614" spans="1:22" x14ac:dyDescent="0.2">
      <c r="A1614" s="23" t="s">
        <v>2069</v>
      </c>
      <c r="B1614" s="22" t="s">
        <v>33</v>
      </c>
      <c r="C1614" s="22" t="s">
        <v>44</v>
      </c>
      <c r="D1614" s="22" t="s">
        <v>56</v>
      </c>
      <c r="E1614" s="24" t="s">
        <v>52</v>
      </c>
      <c r="F1614" s="22" t="s">
        <v>182</v>
      </c>
      <c r="G1614" s="25">
        <v>2963.6</v>
      </c>
      <c r="H1614" s="22" t="s">
        <v>22</v>
      </c>
      <c r="I1614" s="22">
        <v>0</v>
      </c>
      <c r="J1614" s="22" t="s">
        <v>182</v>
      </c>
      <c r="K1614" s="22" t="s">
        <v>23</v>
      </c>
      <c r="L1614" s="22">
        <v>4</v>
      </c>
      <c r="M1614" s="26">
        <v>56075</v>
      </c>
      <c r="N1614" s="26">
        <v>12000</v>
      </c>
      <c r="O1614" s="15">
        <f t="shared" si="125"/>
        <v>68075</v>
      </c>
      <c r="P1614" s="15">
        <f t="shared" si="126"/>
        <v>22.970373869618033</v>
      </c>
      <c r="Q1614" s="25">
        <v>8011</v>
      </c>
      <c r="R1614" s="22">
        <v>37</v>
      </c>
      <c r="S1614" s="22" t="s">
        <v>2077</v>
      </c>
      <c r="T1614" s="22">
        <f t="shared" si="127"/>
        <v>3</v>
      </c>
      <c r="U1614" s="22">
        <f t="shared" si="128"/>
        <v>2021</v>
      </c>
      <c r="V1614" s="22" t="str">
        <f t="shared" si="129"/>
        <v>METROPOLITANA</v>
      </c>
    </row>
    <row r="1615" spans="1:22" x14ac:dyDescent="0.2">
      <c r="A1615" s="23" t="s">
        <v>2069</v>
      </c>
      <c r="B1615" s="22" t="s">
        <v>33</v>
      </c>
      <c r="C1615" s="22" t="s">
        <v>44</v>
      </c>
      <c r="D1615" s="22" t="s">
        <v>188</v>
      </c>
      <c r="E1615" s="24" t="s">
        <v>189</v>
      </c>
      <c r="F1615" s="22" t="s">
        <v>26</v>
      </c>
      <c r="G1615" s="25">
        <v>1976</v>
      </c>
      <c r="H1615" s="22" t="s">
        <v>190</v>
      </c>
      <c r="I1615" s="22">
        <v>0</v>
      </c>
      <c r="J1615" s="22" t="s">
        <v>26</v>
      </c>
      <c r="K1615" s="22" t="s">
        <v>23</v>
      </c>
      <c r="L1615" s="22">
        <v>4</v>
      </c>
      <c r="M1615" s="26">
        <v>55000</v>
      </c>
      <c r="N1615" s="26">
        <v>0</v>
      </c>
      <c r="O1615" s="15">
        <f t="shared" si="125"/>
        <v>55000</v>
      </c>
      <c r="P1615" s="15">
        <f t="shared" si="126"/>
        <v>27.834008097165992</v>
      </c>
      <c r="Q1615" s="25">
        <v>8011</v>
      </c>
      <c r="R1615" s="22">
        <v>25</v>
      </c>
      <c r="S1615" s="22" t="s">
        <v>2078</v>
      </c>
      <c r="T1615" s="22">
        <f t="shared" si="127"/>
        <v>3</v>
      </c>
      <c r="U1615" s="22">
        <f t="shared" si="128"/>
        <v>2021</v>
      </c>
      <c r="V1615" s="22" t="str">
        <f t="shared" si="129"/>
        <v>METROPOLITANA</v>
      </c>
    </row>
    <row r="1616" spans="1:22" x14ac:dyDescent="0.2">
      <c r="A1616" s="23" t="s">
        <v>2069</v>
      </c>
      <c r="B1616" s="22" t="s">
        <v>33</v>
      </c>
      <c r="C1616" s="22" t="s">
        <v>44</v>
      </c>
      <c r="D1616" s="22" t="s">
        <v>37</v>
      </c>
      <c r="E1616" s="24" t="s">
        <v>40</v>
      </c>
      <c r="F1616" s="22" t="s">
        <v>34</v>
      </c>
      <c r="G1616" s="25">
        <v>2937.8</v>
      </c>
      <c r="H1616" s="22" t="s">
        <v>22</v>
      </c>
      <c r="I1616" s="22">
        <v>0</v>
      </c>
      <c r="J1616" s="22" t="s">
        <v>34</v>
      </c>
      <c r="K1616" s="22" t="s">
        <v>23</v>
      </c>
      <c r="L1616" s="22">
        <v>1</v>
      </c>
      <c r="M1616" s="26">
        <v>33750</v>
      </c>
      <c r="N1616" s="26">
        <v>12000</v>
      </c>
      <c r="O1616" s="15">
        <f t="shared" si="125"/>
        <v>45750</v>
      </c>
      <c r="P1616" s="15">
        <f t="shared" si="126"/>
        <v>15.572877663557763</v>
      </c>
      <c r="Q1616" s="25">
        <v>4821</v>
      </c>
      <c r="R1616" s="22">
        <v>61</v>
      </c>
      <c r="S1616" s="22" t="s">
        <v>2079</v>
      </c>
      <c r="T1616" s="22">
        <f t="shared" si="127"/>
        <v>3</v>
      </c>
      <c r="U1616" s="22">
        <f t="shared" si="128"/>
        <v>2021</v>
      </c>
      <c r="V1616" s="22" t="str">
        <f t="shared" si="129"/>
        <v>METROPOLITANA</v>
      </c>
    </row>
    <row r="1617" spans="1:22" x14ac:dyDescent="0.2">
      <c r="A1617" s="23" t="s">
        <v>2069</v>
      </c>
      <c r="B1617" s="22" t="s">
        <v>33</v>
      </c>
      <c r="C1617" s="22" t="s">
        <v>44</v>
      </c>
      <c r="D1617" s="22" t="s">
        <v>2080</v>
      </c>
      <c r="E1617" s="24" t="s">
        <v>1700</v>
      </c>
      <c r="F1617" s="22" t="s">
        <v>114</v>
      </c>
      <c r="G1617" s="25">
        <f>12771.1+819</f>
        <v>13590.1</v>
      </c>
      <c r="H1617" s="22" t="s">
        <v>24</v>
      </c>
      <c r="I1617" s="22">
        <v>1</v>
      </c>
      <c r="J1617" s="22" t="s">
        <v>114</v>
      </c>
      <c r="K1617" s="22" t="s">
        <v>75</v>
      </c>
      <c r="L1617" s="22">
        <v>0</v>
      </c>
      <c r="M1617" s="26">
        <v>380000</v>
      </c>
      <c r="N1617" s="26">
        <v>0</v>
      </c>
      <c r="O1617" s="15">
        <f t="shared" si="125"/>
        <v>380000</v>
      </c>
      <c r="P1617" s="15">
        <f t="shared" si="126"/>
        <v>27.961530820229431</v>
      </c>
      <c r="Q1617" s="25">
        <v>25000</v>
      </c>
      <c r="R1617" s="22">
        <v>51</v>
      </c>
      <c r="S1617" s="22" t="s">
        <v>2081</v>
      </c>
      <c r="T1617" s="22">
        <f t="shared" si="127"/>
        <v>3</v>
      </c>
      <c r="U1617" s="22">
        <f t="shared" si="128"/>
        <v>2021</v>
      </c>
      <c r="V1617" s="22" t="str">
        <f t="shared" si="129"/>
        <v>REGIONES</v>
      </c>
    </row>
    <row r="1618" spans="1:22" x14ac:dyDescent="0.2">
      <c r="A1618" s="23" t="s">
        <v>2069</v>
      </c>
      <c r="B1618" s="22" t="s">
        <v>33</v>
      </c>
      <c r="C1618" s="22" t="s">
        <v>44</v>
      </c>
      <c r="D1618" s="22" t="s">
        <v>30</v>
      </c>
      <c r="E1618" s="24" t="s">
        <v>31</v>
      </c>
      <c r="F1618" s="22" t="s">
        <v>173</v>
      </c>
      <c r="G1618" s="25">
        <v>9679.6</v>
      </c>
      <c r="H1618" s="22" t="s">
        <v>32</v>
      </c>
      <c r="I1618" s="22">
        <v>0</v>
      </c>
      <c r="J1618" s="22" t="s">
        <v>173</v>
      </c>
      <c r="K1618" s="22" t="s">
        <v>23</v>
      </c>
      <c r="L1618" s="22">
        <v>5</v>
      </c>
      <c r="M1618" s="26">
        <f>+G1618*11</f>
        <v>106475.6</v>
      </c>
      <c r="N1618" s="26">
        <v>0</v>
      </c>
      <c r="O1618" s="15">
        <f t="shared" si="125"/>
        <v>106475.6</v>
      </c>
      <c r="P1618" s="15">
        <f t="shared" si="126"/>
        <v>11</v>
      </c>
      <c r="Q1618" s="25">
        <v>12000</v>
      </c>
      <c r="R1618" s="22">
        <v>81</v>
      </c>
      <c r="S1618" s="22" t="s">
        <v>2082</v>
      </c>
      <c r="T1618" s="22">
        <f t="shared" si="127"/>
        <v>3</v>
      </c>
      <c r="U1618" s="22">
        <f t="shared" si="128"/>
        <v>2021</v>
      </c>
      <c r="V1618" s="22" t="str">
        <f t="shared" si="129"/>
        <v>METROPOLITANA</v>
      </c>
    </row>
    <row r="1619" spans="1:22" x14ac:dyDescent="0.2">
      <c r="A1619" s="23" t="s">
        <v>2069</v>
      </c>
      <c r="B1619" s="22" t="s">
        <v>33</v>
      </c>
      <c r="C1619" s="22" t="s">
        <v>44</v>
      </c>
      <c r="D1619" s="22" t="s">
        <v>45</v>
      </c>
      <c r="E1619" s="24" t="s">
        <v>28</v>
      </c>
      <c r="F1619" s="22" t="s">
        <v>95</v>
      </c>
      <c r="G1619" s="25">
        <v>1606.3</v>
      </c>
      <c r="H1619" s="22" t="s">
        <v>22</v>
      </c>
      <c r="I1619" s="22">
        <v>0</v>
      </c>
      <c r="J1619" s="22" t="s">
        <v>95</v>
      </c>
      <c r="K1619" s="22" t="s">
        <v>23</v>
      </c>
      <c r="L1619" s="22">
        <v>4</v>
      </c>
      <c r="M1619" s="26">
        <v>56075</v>
      </c>
      <c r="N1619" s="26">
        <v>12000</v>
      </c>
      <c r="O1619" s="15">
        <f t="shared" si="125"/>
        <v>68075</v>
      </c>
      <c r="P1619" s="15">
        <f t="shared" si="126"/>
        <v>42.380003735292291</v>
      </c>
      <c r="Q1619" s="25">
        <v>8011</v>
      </c>
      <c r="R1619" s="22">
        <v>20</v>
      </c>
      <c r="S1619" s="22" t="s">
        <v>2083</v>
      </c>
      <c r="T1619" s="22">
        <f t="shared" si="127"/>
        <v>3</v>
      </c>
      <c r="U1619" s="22">
        <f t="shared" si="128"/>
        <v>2021</v>
      </c>
      <c r="V1619" s="22" t="str">
        <f t="shared" si="129"/>
        <v>METROPOLITANA</v>
      </c>
    </row>
    <row r="1620" spans="1:22" x14ac:dyDescent="0.2">
      <c r="A1620" s="23" t="s">
        <v>2069</v>
      </c>
      <c r="B1620" s="22" t="s">
        <v>33</v>
      </c>
      <c r="C1620" s="22" t="s">
        <v>44</v>
      </c>
      <c r="D1620" s="22" t="s">
        <v>35</v>
      </c>
      <c r="E1620" s="24" t="s">
        <v>49</v>
      </c>
      <c r="F1620" s="22" t="s">
        <v>129</v>
      </c>
      <c r="G1620" s="25">
        <v>2250.8000000000002</v>
      </c>
      <c r="H1620" s="22" t="s">
        <v>22</v>
      </c>
      <c r="I1620" s="22">
        <v>0</v>
      </c>
      <c r="J1620" s="22" t="s">
        <v>129</v>
      </c>
      <c r="K1620" s="22" t="s">
        <v>23</v>
      </c>
      <c r="L1620" s="22">
        <v>1</v>
      </c>
      <c r="M1620" s="26">
        <v>33750</v>
      </c>
      <c r="N1620" s="26">
        <v>12000</v>
      </c>
      <c r="O1620" s="15">
        <f t="shared" si="125"/>
        <v>45750</v>
      </c>
      <c r="P1620" s="15">
        <f t="shared" si="126"/>
        <v>20.326106273325038</v>
      </c>
      <c r="Q1620" s="25">
        <v>4821</v>
      </c>
      <c r="R1620" s="22">
        <v>47</v>
      </c>
      <c r="S1620" s="22" t="s">
        <v>2084</v>
      </c>
      <c r="T1620" s="22">
        <f t="shared" si="127"/>
        <v>3</v>
      </c>
      <c r="U1620" s="22">
        <f t="shared" si="128"/>
        <v>2021</v>
      </c>
      <c r="V1620" s="22" t="str">
        <f t="shared" si="129"/>
        <v>METROPOLITANA</v>
      </c>
    </row>
    <row r="1621" spans="1:22" x14ac:dyDescent="0.2">
      <c r="A1621" s="12" t="s">
        <v>2085</v>
      </c>
      <c r="B1621" s="12" t="s">
        <v>54</v>
      </c>
      <c r="C1621" s="12" t="s">
        <v>55</v>
      </c>
      <c r="D1621" s="12" t="s">
        <v>956</v>
      </c>
      <c r="E1621" s="12">
        <v>93321006</v>
      </c>
      <c r="F1621" s="12" t="s">
        <v>66</v>
      </c>
      <c r="G1621" s="29">
        <v>10004.799999999999</v>
      </c>
      <c r="H1621" s="12" t="s">
        <v>85</v>
      </c>
      <c r="I1621" s="12">
        <v>1</v>
      </c>
      <c r="J1621" s="12" t="s">
        <v>66</v>
      </c>
      <c r="K1621" s="12" t="s">
        <v>75</v>
      </c>
      <c r="L1621" s="12">
        <v>0</v>
      </c>
      <c r="M1621" s="30">
        <v>380000</v>
      </c>
      <c r="N1621" s="30">
        <v>0</v>
      </c>
      <c r="O1621" s="15">
        <f t="shared" si="125"/>
        <v>380000</v>
      </c>
      <c r="P1621" s="15">
        <f t="shared" si="126"/>
        <v>37.981768750999521</v>
      </c>
      <c r="Q1621" s="12">
        <v>25000</v>
      </c>
      <c r="R1621" s="12">
        <v>30</v>
      </c>
      <c r="S1621" s="12" t="s">
        <v>2086</v>
      </c>
      <c r="T1621" s="22">
        <f t="shared" si="127"/>
        <v>3</v>
      </c>
      <c r="U1621" s="22">
        <f t="shared" si="128"/>
        <v>2021</v>
      </c>
      <c r="V1621" s="22" t="str">
        <f t="shared" si="129"/>
        <v>REGIONES</v>
      </c>
    </row>
    <row r="1622" spans="1:22" x14ac:dyDescent="0.2">
      <c r="A1622" s="12" t="s">
        <v>2085</v>
      </c>
      <c r="B1622" s="12" t="s">
        <v>18</v>
      </c>
      <c r="C1622" s="12" t="s">
        <v>71</v>
      </c>
      <c r="D1622" s="12" t="s">
        <v>63</v>
      </c>
      <c r="E1622" s="12">
        <v>138841065</v>
      </c>
      <c r="F1622" s="12" t="s">
        <v>72</v>
      </c>
      <c r="G1622" s="29">
        <v>9127.48</v>
      </c>
      <c r="H1622" s="12" t="s">
        <v>65</v>
      </c>
      <c r="I1622" s="12">
        <v>0</v>
      </c>
      <c r="J1622" s="12" t="s">
        <v>72</v>
      </c>
      <c r="K1622" s="12" t="s">
        <v>23</v>
      </c>
      <c r="L1622" s="12">
        <v>5</v>
      </c>
      <c r="M1622" s="30">
        <f>+G1622*11</f>
        <v>100402.28</v>
      </c>
      <c r="N1622" s="30">
        <v>0</v>
      </c>
      <c r="O1622" s="15">
        <f t="shared" si="125"/>
        <v>100402.28</v>
      </c>
      <c r="P1622" s="15">
        <f t="shared" si="126"/>
        <v>11</v>
      </c>
      <c r="Q1622" s="12">
        <v>12000</v>
      </c>
      <c r="R1622" s="12">
        <v>76</v>
      </c>
      <c r="S1622" s="12" t="s">
        <v>2087</v>
      </c>
      <c r="T1622" s="22">
        <f t="shared" si="127"/>
        <v>3</v>
      </c>
      <c r="U1622" s="22">
        <f t="shared" si="128"/>
        <v>2021</v>
      </c>
      <c r="V1622" s="22" t="str">
        <f t="shared" si="129"/>
        <v>METROPOLITANA</v>
      </c>
    </row>
    <row r="1623" spans="1:22" x14ac:dyDescent="0.2">
      <c r="A1623" s="12" t="s">
        <v>2085</v>
      </c>
      <c r="B1623" s="12" t="s">
        <v>18</v>
      </c>
      <c r="C1623" s="12" t="s">
        <v>71</v>
      </c>
      <c r="D1623" s="12" t="s">
        <v>20</v>
      </c>
      <c r="E1623" s="12">
        <v>78907355</v>
      </c>
      <c r="F1623" s="12" t="s">
        <v>72</v>
      </c>
      <c r="G1623" s="29">
        <v>4783.7400000000007</v>
      </c>
      <c r="H1623" s="12" t="s">
        <v>22</v>
      </c>
      <c r="I1623" s="12">
        <v>0</v>
      </c>
      <c r="J1623" s="12" t="s">
        <v>72</v>
      </c>
      <c r="K1623" s="12" t="s">
        <v>23</v>
      </c>
      <c r="L1623" s="12">
        <v>5</v>
      </c>
      <c r="M1623" s="30">
        <v>90000</v>
      </c>
      <c r="N1623" s="30">
        <f>+G1623*4</f>
        <v>19134.960000000003</v>
      </c>
      <c r="O1623" s="15">
        <f t="shared" si="125"/>
        <v>109134.96</v>
      </c>
      <c r="P1623" s="15">
        <f t="shared" si="126"/>
        <v>22.813731515508785</v>
      </c>
      <c r="Q1623" s="12">
        <v>12000</v>
      </c>
      <c r="R1623" s="12">
        <v>40</v>
      </c>
      <c r="S1623" s="12" t="s">
        <v>2088</v>
      </c>
      <c r="T1623" s="22">
        <f t="shared" si="127"/>
        <v>3</v>
      </c>
      <c r="U1623" s="22">
        <f t="shared" si="128"/>
        <v>2021</v>
      </c>
      <c r="V1623" s="22" t="str">
        <f t="shared" si="129"/>
        <v>METROPOLITANA</v>
      </c>
    </row>
    <row r="1624" spans="1:22" x14ac:dyDescent="0.2">
      <c r="A1624" s="12" t="s">
        <v>2085</v>
      </c>
      <c r="B1624" s="12" t="s">
        <v>18</v>
      </c>
      <c r="C1624" s="12" t="s">
        <v>508</v>
      </c>
      <c r="D1624" s="12" t="s">
        <v>27</v>
      </c>
      <c r="E1624" s="12">
        <v>81417709</v>
      </c>
      <c r="F1624" s="12" t="s">
        <v>800</v>
      </c>
      <c r="G1624" s="29">
        <v>8511.090000000002</v>
      </c>
      <c r="H1624" s="12" t="s">
        <v>22</v>
      </c>
      <c r="I1624" s="12">
        <v>1</v>
      </c>
      <c r="J1624" s="12" t="s">
        <v>800</v>
      </c>
      <c r="K1624" s="12" t="s">
        <v>23</v>
      </c>
      <c r="L1624" s="12">
        <v>5</v>
      </c>
      <c r="M1624" s="30">
        <v>120000</v>
      </c>
      <c r="N1624" s="30">
        <f>+G1624*4</f>
        <v>34044.360000000008</v>
      </c>
      <c r="O1624" s="15">
        <f t="shared" si="125"/>
        <v>154044.36000000002</v>
      </c>
      <c r="P1624" s="15">
        <f t="shared" si="126"/>
        <v>18.099251682216963</v>
      </c>
      <c r="Q1624" s="12">
        <v>12000</v>
      </c>
      <c r="R1624" s="12">
        <v>71</v>
      </c>
      <c r="S1624" s="12" t="s">
        <v>2089</v>
      </c>
      <c r="T1624" s="22">
        <f t="shared" si="127"/>
        <v>3</v>
      </c>
      <c r="U1624" s="22">
        <f t="shared" si="128"/>
        <v>2021</v>
      </c>
      <c r="V1624" s="22" t="str">
        <f t="shared" si="129"/>
        <v>METROPOLITANA</v>
      </c>
    </row>
    <row r="1625" spans="1:22" x14ac:dyDescent="0.2">
      <c r="A1625" s="12" t="s">
        <v>2085</v>
      </c>
      <c r="B1625" s="12" t="s">
        <v>33</v>
      </c>
      <c r="C1625" s="12" t="s">
        <v>50</v>
      </c>
      <c r="D1625" s="12" t="s">
        <v>41</v>
      </c>
      <c r="E1625" s="12">
        <v>125108660</v>
      </c>
      <c r="F1625" s="12" t="s">
        <v>26</v>
      </c>
      <c r="G1625" s="29">
        <v>11930.1</v>
      </c>
      <c r="H1625" s="12" t="s">
        <v>43</v>
      </c>
      <c r="I1625" s="12">
        <v>0</v>
      </c>
      <c r="J1625" s="12" t="s">
        <v>26</v>
      </c>
      <c r="K1625" s="12" t="s">
        <v>23</v>
      </c>
      <c r="L1625" s="12">
        <v>4</v>
      </c>
      <c r="M1625" s="30">
        <f>+G1625*11</f>
        <v>131231.1</v>
      </c>
      <c r="N1625" s="30">
        <v>0</v>
      </c>
      <c r="O1625" s="15">
        <f t="shared" si="125"/>
        <v>131231.1</v>
      </c>
      <c r="P1625" s="15">
        <f t="shared" si="126"/>
        <v>11</v>
      </c>
      <c r="Q1625" s="12">
        <v>8011</v>
      </c>
      <c r="R1625" s="12">
        <v>100</v>
      </c>
      <c r="S1625" s="12" t="s">
        <v>2090</v>
      </c>
      <c r="T1625" s="22">
        <f t="shared" si="127"/>
        <v>3</v>
      </c>
      <c r="U1625" s="22">
        <f t="shared" si="128"/>
        <v>2021</v>
      </c>
      <c r="V1625" s="22" t="str">
        <f t="shared" si="129"/>
        <v>METROPOLITANA</v>
      </c>
    </row>
    <row r="1626" spans="1:22" x14ac:dyDescent="0.2">
      <c r="A1626" s="12" t="s">
        <v>2085</v>
      </c>
      <c r="B1626" s="12" t="s">
        <v>33</v>
      </c>
      <c r="C1626" s="12" t="s">
        <v>36</v>
      </c>
      <c r="D1626" s="12" t="s">
        <v>1869</v>
      </c>
      <c r="E1626" s="12">
        <v>125897258</v>
      </c>
      <c r="F1626" s="12" t="s">
        <v>876</v>
      </c>
      <c r="G1626" s="29">
        <v>13519.2</v>
      </c>
      <c r="H1626" s="12" t="s">
        <v>24</v>
      </c>
      <c r="I1626" s="12">
        <v>1</v>
      </c>
      <c r="J1626" s="12" t="s">
        <v>876</v>
      </c>
      <c r="K1626" s="12" t="s">
        <v>86</v>
      </c>
      <c r="L1626" s="12">
        <v>0</v>
      </c>
      <c r="M1626" s="30">
        <v>330000</v>
      </c>
      <c r="N1626" s="30">
        <v>0</v>
      </c>
      <c r="O1626" s="15">
        <f t="shared" si="125"/>
        <v>330000</v>
      </c>
      <c r="P1626" s="15">
        <f t="shared" si="126"/>
        <v>24.409728386295047</v>
      </c>
      <c r="Q1626" s="12">
        <v>25000</v>
      </c>
      <c r="R1626" s="12">
        <v>54</v>
      </c>
      <c r="S1626" s="12" t="s">
        <v>2091</v>
      </c>
      <c r="T1626" s="22">
        <f t="shared" si="127"/>
        <v>3</v>
      </c>
      <c r="U1626" s="22">
        <f t="shared" si="128"/>
        <v>2021</v>
      </c>
      <c r="V1626" s="22" t="str">
        <f t="shared" si="129"/>
        <v>REGIONES</v>
      </c>
    </row>
    <row r="1627" spans="1:22" x14ac:dyDescent="0.2">
      <c r="A1627" s="12" t="s">
        <v>2085</v>
      </c>
      <c r="B1627" s="12" t="s">
        <v>33</v>
      </c>
      <c r="C1627" s="12" t="s">
        <v>36</v>
      </c>
      <c r="D1627" s="12" t="s">
        <v>45</v>
      </c>
      <c r="E1627" s="12">
        <v>81417709</v>
      </c>
      <c r="F1627" s="12" t="s">
        <v>53</v>
      </c>
      <c r="G1627" s="29">
        <v>2688.8</v>
      </c>
      <c r="H1627" s="12" t="s">
        <v>22</v>
      </c>
      <c r="I1627" s="12">
        <v>0</v>
      </c>
      <c r="J1627" s="12" t="s">
        <v>53</v>
      </c>
      <c r="K1627" s="12" t="s">
        <v>23</v>
      </c>
      <c r="L1627" s="12">
        <v>3</v>
      </c>
      <c r="M1627" s="30">
        <v>48075</v>
      </c>
      <c r="N1627" s="30">
        <v>12000</v>
      </c>
      <c r="O1627" s="15">
        <f t="shared" si="125"/>
        <v>60075</v>
      </c>
      <c r="P1627" s="15">
        <f t="shared" si="126"/>
        <v>22.34268074977685</v>
      </c>
      <c r="Q1627" s="12">
        <v>6868</v>
      </c>
      <c r="R1627" s="12">
        <v>39</v>
      </c>
      <c r="S1627" s="12" t="s">
        <v>2092</v>
      </c>
      <c r="T1627" s="22">
        <f t="shared" si="127"/>
        <v>3</v>
      </c>
      <c r="U1627" s="22">
        <f t="shared" si="128"/>
        <v>2021</v>
      </c>
      <c r="V1627" s="22" t="str">
        <f t="shared" si="129"/>
        <v>METROPOLITANA</v>
      </c>
    </row>
    <row r="1628" spans="1:22" x14ac:dyDescent="0.2">
      <c r="A1628" s="12" t="s">
        <v>2085</v>
      </c>
      <c r="B1628" s="12" t="s">
        <v>33</v>
      </c>
      <c r="C1628" s="12" t="s">
        <v>29</v>
      </c>
      <c r="D1628" s="12" t="s">
        <v>41</v>
      </c>
      <c r="E1628" s="12">
        <v>53173292</v>
      </c>
      <c r="F1628" s="12" t="s">
        <v>134</v>
      </c>
      <c r="G1628" s="29">
        <v>6874.3999999999987</v>
      </c>
      <c r="H1628" s="12" t="s">
        <v>43</v>
      </c>
      <c r="I1628" s="12">
        <v>0</v>
      </c>
      <c r="J1628" s="12" t="s">
        <v>134</v>
      </c>
      <c r="K1628" s="12" t="s">
        <v>23</v>
      </c>
      <c r="L1628" s="12">
        <v>2</v>
      </c>
      <c r="M1628" s="30">
        <f>+G1628*11</f>
        <v>75618.39999999998</v>
      </c>
      <c r="N1628" s="30">
        <v>0</v>
      </c>
      <c r="O1628" s="15">
        <f t="shared" si="125"/>
        <v>75618.39999999998</v>
      </c>
      <c r="P1628" s="15">
        <f t="shared" si="126"/>
        <v>10.999999999999998</v>
      </c>
      <c r="Q1628" s="12">
        <v>5782</v>
      </c>
      <c r="R1628" s="12">
        <v>100</v>
      </c>
      <c r="S1628" s="12" t="s">
        <v>2093</v>
      </c>
      <c r="T1628" s="22">
        <f t="shared" si="127"/>
        <v>3</v>
      </c>
      <c r="U1628" s="22">
        <f t="shared" si="128"/>
        <v>2021</v>
      </c>
      <c r="V1628" s="22" t="str">
        <f t="shared" si="129"/>
        <v>METROPOLITANA</v>
      </c>
    </row>
    <row r="1629" spans="1:22" x14ac:dyDescent="0.2">
      <c r="A1629" s="12" t="s">
        <v>2085</v>
      </c>
      <c r="B1629" s="12" t="s">
        <v>33</v>
      </c>
      <c r="C1629" s="12" t="s">
        <v>44</v>
      </c>
      <c r="D1629" s="12" t="s">
        <v>56</v>
      </c>
      <c r="E1629" s="12">
        <v>99626232</v>
      </c>
      <c r="F1629" s="12" t="s">
        <v>53</v>
      </c>
      <c r="G1629" s="29">
        <v>2319.5</v>
      </c>
      <c r="H1629" s="12" t="s">
        <v>22</v>
      </c>
      <c r="I1629" s="12">
        <v>0</v>
      </c>
      <c r="J1629" s="12" t="s">
        <v>53</v>
      </c>
      <c r="K1629" s="12" t="s">
        <v>23</v>
      </c>
      <c r="L1629" s="12">
        <v>3</v>
      </c>
      <c r="M1629" s="30">
        <v>48075</v>
      </c>
      <c r="N1629" s="30">
        <v>12000</v>
      </c>
      <c r="O1629" s="15">
        <f t="shared" si="125"/>
        <v>60075</v>
      </c>
      <c r="P1629" s="15">
        <f t="shared" si="126"/>
        <v>25.899978443630093</v>
      </c>
      <c r="Q1629" s="12">
        <v>6868</v>
      </c>
      <c r="R1629" s="12">
        <v>34</v>
      </c>
      <c r="S1629" s="12" t="s">
        <v>2094</v>
      </c>
      <c r="T1629" s="22">
        <f t="shared" si="127"/>
        <v>3</v>
      </c>
      <c r="U1629" s="22">
        <f t="shared" si="128"/>
        <v>2021</v>
      </c>
      <c r="V1629" s="22" t="str">
        <f t="shared" si="129"/>
        <v>METROPOLITANA</v>
      </c>
    </row>
    <row r="1630" spans="1:22" x14ac:dyDescent="0.2">
      <c r="A1630" s="12" t="s">
        <v>2085</v>
      </c>
      <c r="B1630" s="12" t="s">
        <v>33</v>
      </c>
      <c r="C1630" s="12" t="s">
        <v>44</v>
      </c>
      <c r="D1630" s="12" t="s">
        <v>188</v>
      </c>
      <c r="E1630" s="12">
        <v>35488103</v>
      </c>
      <c r="F1630" s="12" t="s">
        <v>51</v>
      </c>
      <c r="G1630" s="29">
        <v>1331.5</v>
      </c>
      <c r="H1630" s="12" t="s">
        <v>190</v>
      </c>
      <c r="I1630" s="12">
        <v>0</v>
      </c>
      <c r="J1630" s="12" t="s">
        <v>51</v>
      </c>
      <c r="K1630" s="12" t="s">
        <v>23</v>
      </c>
      <c r="L1630" s="12">
        <v>4</v>
      </c>
      <c r="M1630" s="30">
        <v>55000</v>
      </c>
      <c r="N1630" s="30">
        <v>0</v>
      </c>
      <c r="O1630" s="15">
        <f t="shared" si="125"/>
        <v>55000</v>
      </c>
      <c r="P1630" s="15">
        <f t="shared" si="126"/>
        <v>41.306796845662788</v>
      </c>
      <c r="Q1630" s="12">
        <v>8011</v>
      </c>
      <c r="R1630" s="12">
        <v>17</v>
      </c>
      <c r="S1630" s="12" t="s">
        <v>2095</v>
      </c>
      <c r="T1630" s="22">
        <f t="shared" si="127"/>
        <v>3</v>
      </c>
      <c r="U1630" s="22">
        <f t="shared" si="128"/>
        <v>2021</v>
      </c>
      <c r="V1630" s="22" t="str">
        <f t="shared" si="129"/>
        <v>METROPOLITANA</v>
      </c>
    </row>
    <row r="1631" spans="1:22" x14ac:dyDescent="0.2">
      <c r="A1631" s="12" t="s">
        <v>2085</v>
      </c>
      <c r="B1631" s="12" t="s">
        <v>33</v>
      </c>
      <c r="C1631" s="12" t="s">
        <v>44</v>
      </c>
      <c r="D1631" s="12" t="s">
        <v>47</v>
      </c>
      <c r="E1631" s="12">
        <v>154837728</v>
      </c>
      <c r="F1631" s="12" t="s">
        <v>67</v>
      </c>
      <c r="G1631" s="29">
        <v>3037.2</v>
      </c>
      <c r="H1631" s="12" t="s">
        <v>22</v>
      </c>
      <c r="I1631" s="12">
        <v>0</v>
      </c>
      <c r="J1631" s="12" t="s">
        <v>67</v>
      </c>
      <c r="K1631" s="12" t="s">
        <v>23</v>
      </c>
      <c r="L1631" s="12">
        <v>2</v>
      </c>
      <c r="M1631" s="30">
        <v>40475</v>
      </c>
      <c r="N1631" s="30">
        <v>12149</v>
      </c>
      <c r="O1631" s="15">
        <f t="shared" si="125"/>
        <v>52624</v>
      </c>
      <c r="P1631" s="15">
        <f t="shared" si="126"/>
        <v>17.326484920321349</v>
      </c>
      <c r="Q1631" s="12">
        <v>5782</v>
      </c>
      <c r="R1631" s="12">
        <v>53</v>
      </c>
      <c r="S1631" s="12" t="s">
        <v>2096</v>
      </c>
      <c r="T1631" s="22">
        <f t="shared" si="127"/>
        <v>3</v>
      </c>
      <c r="U1631" s="22">
        <f t="shared" si="128"/>
        <v>2021</v>
      </c>
      <c r="V1631" s="22" t="str">
        <f t="shared" si="129"/>
        <v>METROPOLITANA</v>
      </c>
    </row>
    <row r="1632" spans="1:22" x14ac:dyDescent="0.2">
      <c r="A1632" s="12" t="s">
        <v>2085</v>
      </c>
      <c r="B1632" s="12" t="s">
        <v>33</v>
      </c>
      <c r="C1632" s="12" t="s">
        <v>44</v>
      </c>
      <c r="D1632" s="12" t="s">
        <v>35</v>
      </c>
      <c r="E1632" s="12">
        <v>107643206</v>
      </c>
      <c r="F1632" s="12" t="s">
        <v>225</v>
      </c>
      <c r="G1632" s="29">
        <v>1331.5</v>
      </c>
      <c r="H1632" s="12" t="s">
        <v>22</v>
      </c>
      <c r="I1632" s="12">
        <v>0</v>
      </c>
      <c r="J1632" s="12" t="s">
        <v>225</v>
      </c>
      <c r="K1632" s="12" t="s">
        <v>23</v>
      </c>
      <c r="L1632" s="12">
        <v>3</v>
      </c>
      <c r="M1632" s="30">
        <v>48075</v>
      </c>
      <c r="N1632" s="30">
        <v>12000</v>
      </c>
      <c r="O1632" s="15">
        <f t="shared" si="125"/>
        <v>60075</v>
      </c>
      <c r="P1632" s="15">
        <f t="shared" si="126"/>
        <v>45.118287645512581</v>
      </c>
      <c r="Q1632" s="12">
        <v>6868</v>
      </c>
      <c r="R1632" s="12">
        <v>19</v>
      </c>
      <c r="S1632" s="12" t="s">
        <v>2097</v>
      </c>
      <c r="T1632" s="22">
        <f t="shared" si="127"/>
        <v>3</v>
      </c>
      <c r="U1632" s="22">
        <f t="shared" si="128"/>
        <v>2021</v>
      </c>
      <c r="V1632" s="22" t="str">
        <f t="shared" si="129"/>
        <v>METROPOLITANA</v>
      </c>
    </row>
    <row r="1633" spans="1:22" x14ac:dyDescent="0.2">
      <c r="A1633" s="12" t="s">
        <v>2085</v>
      </c>
      <c r="B1633" s="12" t="s">
        <v>33</v>
      </c>
      <c r="C1633" s="12" t="s">
        <v>44</v>
      </c>
      <c r="D1633" s="12" t="s">
        <v>867</v>
      </c>
      <c r="E1633" s="12">
        <v>98494073</v>
      </c>
      <c r="F1633" s="12" t="s">
        <v>114</v>
      </c>
      <c r="G1633" s="29">
        <v>12124.5</v>
      </c>
      <c r="H1633" s="12" t="s">
        <v>85</v>
      </c>
      <c r="I1633" s="12">
        <v>1</v>
      </c>
      <c r="J1633" s="12" t="s">
        <v>114</v>
      </c>
      <c r="K1633" s="12" t="s">
        <v>75</v>
      </c>
      <c r="L1633" s="12">
        <v>0</v>
      </c>
      <c r="M1633" s="30">
        <v>380000</v>
      </c>
      <c r="N1633" s="30">
        <v>0</v>
      </c>
      <c r="O1633" s="15">
        <f t="shared" si="125"/>
        <v>380000</v>
      </c>
      <c r="P1633" s="15">
        <f t="shared" si="126"/>
        <v>31.341498618499731</v>
      </c>
      <c r="Q1633" s="12">
        <v>25000</v>
      </c>
      <c r="R1633" s="12">
        <v>48</v>
      </c>
      <c r="S1633" s="12" t="s">
        <v>2098</v>
      </c>
      <c r="T1633" s="22">
        <f t="shared" si="127"/>
        <v>3</v>
      </c>
      <c r="U1633" s="22">
        <f t="shared" si="128"/>
        <v>2021</v>
      </c>
      <c r="V1633" s="22" t="str">
        <f t="shared" si="129"/>
        <v>REGIONES</v>
      </c>
    </row>
    <row r="1634" spans="1:22" x14ac:dyDescent="0.2">
      <c r="A1634" s="12" t="s">
        <v>2085</v>
      </c>
      <c r="B1634" s="12" t="s">
        <v>33</v>
      </c>
      <c r="C1634" s="12" t="s">
        <v>1163</v>
      </c>
      <c r="D1634" s="12" t="s">
        <v>786</v>
      </c>
      <c r="E1634" s="12">
        <v>95707734</v>
      </c>
      <c r="F1634" s="12" t="s">
        <v>1166</v>
      </c>
      <c r="G1634" s="29">
        <v>19326.16</v>
      </c>
      <c r="H1634" s="12" t="s">
        <v>788</v>
      </c>
      <c r="I1634" s="12">
        <v>1</v>
      </c>
      <c r="J1634" s="12" t="s">
        <v>1166</v>
      </c>
      <c r="K1634" s="12" t="s">
        <v>23</v>
      </c>
      <c r="L1634" s="12">
        <v>5</v>
      </c>
      <c r="M1634" s="30">
        <v>120000</v>
      </c>
      <c r="N1634" s="30">
        <v>0</v>
      </c>
      <c r="O1634" s="15">
        <f t="shared" si="125"/>
        <v>120000</v>
      </c>
      <c r="P1634" s="15">
        <f t="shared" si="126"/>
        <v>6.2092003791751695</v>
      </c>
      <c r="Q1634" s="12">
        <v>12000</v>
      </c>
      <c r="R1634" s="12">
        <v>100</v>
      </c>
      <c r="S1634" s="12" t="s">
        <v>2099</v>
      </c>
      <c r="T1634" s="22">
        <f t="shared" si="127"/>
        <v>3</v>
      </c>
      <c r="U1634" s="22">
        <f t="shared" si="128"/>
        <v>2021</v>
      </c>
      <c r="V1634" s="22" t="str">
        <f t="shared" si="129"/>
        <v>METROPOLITANA</v>
      </c>
    </row>
    <row r="1635" spans="1:22" x14ac:dyDescent="0.2">
      <c r="A1635" s="12" t="s">
        <v>2085</v>
      </c>
      <c r="B1635" s="12" t="s">
        <v>33</v>
      </c>
      <c r="C1635" s="12" t="s">
        <v>1163</v>
      </c>
      <c r="D1635" s="12" t="s">
        <v>30</v>
      </c>
      <c r="E1635" s="12">
        <v>72564391</v>
      </c>
      <c r="F1635" s="12" t="s">
        <v>1166</v>
      </c>
      <c r="G1635" s="29">
        <v>12200</v>
      </c>
      <c r="H1635" s="12" t="s">
        <v>32</v>
      </c>
      <c r="I1635" s="12">
        <v>0</v>
      </c>
      <c r="J1635" s="12" t="s">
        <v>1166</v>
      </c>
      <c r="K1635" s="12" t="s">
        <v>23</v>
      </c>
      <c r="L1635" s="12">
        <v>5</v>
      </c>
      <c r="M1635" s="30">
        <v>90000</v>
      </c>
      <c r="N1635" s="30">
        <v>0</v>
      </c>
      <c r="O1635" s="15">
        <f t="shared" si="125"/>
        <v>90000</v>
      </c>
      <c r="P1635" s="15">
        <f t="shared" si="126"/>
        <v>7.3770491803278686</v>
      </c>
      <c r="Q1635" s="12">
        <v>12000</v>
      </c>
      <c r="R1635" s="12">
        <v>100</v>
      </c>
      <c r="S1635" s="12" t="s">
        <v>2100</v>
      </c>
      <c r="T1635" s="22">
        <f t="shared" si="127"/>
        <v>3</v>
      </c>
      <c r="U1635" s="22">
        <f t="shared" si="128"/>
        <v>2021</v>
      </c>
      <c r="V1635" s="22" t="str">
        <f t="shared" si="129"/>
        <v>METROPOLITANA</v>
      </c>
    </row>
    <row r="1636" spans="1:22" x14ac:dyDescent="0.2">
      <c r="A1636" s="23" t="s">
        <v>2101</v>
      </c>
      <c r="B1636" s="22" t="s">
        <v>18</v>
      </c>
      <c r="C1636" s="22" t="s">
        <v>324</v>
      </c>
      <c r="D1636" s="22" t="s">
        <v>63</v>
      </c>
      <c r="E1636" s="24" t="s">
        <v>64</v>
      </c>
      <c r="F1636" s="22" t="s">
        <v>325</v>
      </c>
      <c r="G1636" s="25">
        <v>8694.4499999999989</v>
      </c>
      <c r="H1636" s="22" t="s">
        <v>65</v>
      </c>
      <c r="I1636" s="22">
        <v>0</v>
      </c>
      <c r="J1636" s="22" t="s">
        <v>325</v>
      </c>
      <c r="K1636" s="22" t="s">
        <v>78</v>
      </c>
      <c r="L1636" s="22">
        <v>0</v>
      </c>
      <c r="M1636" s="26">
        <v>180000</v>
      </c>
      <c r="N1636" s="26">
        <v>0</v>
      </c>
      <c r="O1636" s="15">
        <f t="shared" si="125"/>
        <v>180000</v>
      </c>
      <c r="P1636" s="15">
        <f t="shared" si="126"/>
        <v>20.702862170695102</v>
      </c>
      <c r="Q1636" s="25">
        <v>25000</v>
      </c>
      <c r="R1636" s="22">
        <v>35</v>
      </c>
      <c r="S1636" s="22" t="s">
        <v>2102</v>
      </c>
      <c r="T1636" s="22">
        <f t="shared" si="127"/>
        <v>3</v>
      </c>
      <c r="U1636" s="22">
        <f t="shared" si="128"/>
        <v>2021</v>
      </c>
      <c r="V1636" s="22" t="str">
        <f t="shared" si="129"/>
        <v>REGIONES</v>
      </c>
    </row>
    <row r="1637" spans="1:22" x14ac:dyDescent="0.2">
      <c r="A1637" s="23" t="s">
        <v>2101</v>
      </c>
      <c r="B1637" s="22" t="s">
        <v>18</v>
      </c>
      <c r="C1637" s="22" t="s">
        <v>163</v>
      </c>
      <c r="D1637" s="22" t="s">
        <v>37</v>
      </c>
      <c r="E1637" s="24" t="s">
        <v>40</v>
      </c>
      <c r="F1637" s="22" t="s">
        <v>165</v>
      </c>
      <c r="G1637" s="25">
        <v>11336.64</v>
      </c>
      <c r="H1637" s="22" t="s">
        <v>22</v>
      </c>
      <c r="I1637" s="22">
        <v>0</v>
      </c>
      <c r="J1637" s="22" t="s">
        <v>165</v>
      </c>
      <c r="K1637" s="22" t="s">
        <v>23</v>
      </c>
      <c r="L1637" s="22">
        <v>4</v>
      </c>
      <c r="M1637" s="26">
        <v>79356</v>
      </c>
      <c r="N1637" s="26">
        <f>+G1637*4</f>
        <v>45346.559999999998</v>
      </c>
      <c r="O1637" s="15">
        <f t="shared" si="125"/>
        <v>124702.56</v>
      </c>
      <c r="P1637" s="15">
        <f t="shared" si="126"/>
        <v>10.999957659412313</v>
      </c>
      <c r="Q1637" s="25">
        <v>8011</v>
      </c>
      <c r="R1637" s="22">
        <v>100</v>
      </c>
      <c r="S1637" s="22" t="s">
        <v>2103</v>
      </c>
      <c r="T1637" s="22">
        <f t="shared" si="127"/>
        <v>3</v>
      </c>
      <c r="U1637" s="22">
        <f t="shared" si="128"/>
        <v>2021</v>
      </c>
      <c r="V1637" s="22" t="str">
        <f t="shared" si="129"/>
        <v>METROPOLITANA</v>
      </c>
    </row>
    <row r="1638" spans="1:22" x14ac:dyDescent="0.2">
      <c r="A1638" s="23" t="s">
        <v>2101</v>
      </c>
      <c r="B1638" s="22" t="s">
        <v>18</v>
      </c>
      <c r="C1638" s="22" t="s">
        <v>1669</v>
      </c>
      <c r="D1638" s="22" t="s">
        <v>636</v>
      </c>
      <c r="E1638" s="24" t="s">
        <v>639</v>
      </c>
      <c r="F1638" s="22" t="s">
        <v>691</v>
      </c>
      <c r="G1638" s="25">
        <v>18454.98</v>
      </c>
      <c r="H1638" s="22" t="s">
        <v>85</v>
      </c>
      <c r="I1638" s="22">
        <v>1</v>
      </c>
      <c r="J1638" s="22" t="s">
        <v>691</v>
      </c>
      <c r="K1638" s="22" t="s">
        <v>873</v>
      </c>
      <c r="L1638" s="22">
        <v>0</v>
      </c>
      <c r="M1638" s="26">
        <v>1020000</v>
      </c>
      <c r="N1638" s="26">
        <v>0</v>
      </c>
      <c r="O1638" s="15">
        <f t="shared" si="125"/>
        <v>1020000</v>
      </c>
      <c r="P1638" s="15">
        <f t="shared" si="126"/>
        <v>55.269634537669511</v>
      </c>
      <c r="Q1638" s="25">
        <v>25000</v>
      </c>
      <c r="R1638" s="22">
        <v>74</v>
      </c>
      <c r="S1638" s="22" t="s">
        <v>2104</v>
      </c>
      <c r="T1638" s="22">
        <f t="shared" si="127"/>
        <v>3</v>
      </c>
      <c r="U1638" s="22">
        <f t="shared" si="128"/>
        <v>2021</v>
      </c>
      <c r="V1638" s="22" t="str">
        <f t="shared" si="129"/>
        <v>REGIONES</v>
      </c>
    </row>
    <row r="1639" spans="1:22" x14ac:dyDescent="0.2">
      <c r="A1639" s="23" t="s">
        <v>2101</v>
      </c>
      <c r="B1639" s="22" t="s">
        <v>33</v>
      </c>
      <c r="C1639" s="22" t="s">
        <v>128</v>
      </c>
      <c r="D1639" s="22" t="s">
        <v>38</v>
      </c>
      <c r="E1639" s="24" t="s">
        <v>42</v>
      </c>
      <c r="F1639" s="22" t="s">
        <v>34</v>
      </c>
      <c r="G1639" s="25">
        <v>7484.4</v>
      </c>
      <c r="H1639" s="22" t="s">
        <v>43</v>
      </c>
      <c r="I1639" s="22">
        <v>0</v>
      </c>
      <c r="J1639" s="22" t="s">
        <v>34</v>
      </c>
      <c r="K1639" s="22" t="s">
        <v>23</v>
      </c>
      <c r="L1639" s="22">
        <v>1</v>
      </c>
      <c r="M1639" s="26">
        <f>+G1639*11</f>
        <v>82328.399999999994</v>
      </c>
      <c r="N1639" s="26">
        <v>0</v>
      </c>
      <c r="O1639" s="15">
        <f t="shared" si="125"/>
        <v>82328.399999999994</v>
      </c>
      <c r="P1639" s="15">
        <f t="shared" si="126"/>
        <v>11</v>
      </c>
      <c r="Q1639" s="25">
        <v>4821</v>
      </c>
      <c r="R1639" s="22">
        <v>100</v>
      </c>
      <c r="S1639" s="22" t="s">
        <v>2105</v>
      </c>
      <c r="T1639" s="22">
        <f t="shared" si="127"/>
        <v>3</v>
      </c>
      <c r="U1639" s="22">
        <f t="shared" si="128"/>
        <v>2021</v>
      </c>
      <c r="V1639" s="22" t="str">
        <f t="shared" si="129"/>
        <v>METROPOLITANA</v>
      </c>
    </row>
    <row r="1640" spans="1:22" x14ac:dyDescent="0.2">
      <c r="A1640" s="23" t="s">
        <v>2101</v>
      </c>
      <c r="B1640" s="22" t="s">
        <v>33</v>
      </c>
      <c r="C1640" s="22" t="s">
        <v>128</v>
      </c>
      <c r="D1640" s="22" t="s">
        <v>37</v>
      </c>
      <c r="E1640" s="24" t="s">
        <v>40</v>
      </c>
      <c r="F1640" s="22" t="s">
        <v>34</v>
      </c>
      <c r="G1640" s="25">
        <v>13804</v>
      </c>
      <c r="H1640" s="22" t="s">
        <v>22</v>
      </c>
      <c r="I1640" s="22">
        <v>0</v>
      </c>
      <c r="J1640" s="22" t="s">
        <v>34</v>
      </c>
      <c r="K1640" s="22" t="s">
        <v>23</v>
      </c>
      <c r="L1640" s="22">
        <v>1</v>
      </c>
      <c r="M1640" s="26">
        <v>96628</v>
      </c>
      <c r="N1640" s="26">
        <v>55216</v>
      </c>
      <c r="O1640" s="15">
        <f t="shared" si="125"/>
        <v>151844</v>
      </c>
      <c r="P1640" s="15">
        <f t="shared" si="126"/>
        <v>11</v>
      </c>
      <c r="Q1640" s="25">
        <v>4821</v>
      </c>
      <c r="R1640" s="22">
        <v>100</v>
      </c>
      <c r="S1640" s="22" t="s">
        <v>2106</v>
      </c>
      <c r="T1640" s="22">
        <f t="shared" si="127"/>
        <v>3</v>
      </c>
      <c r="U1640" s="22">
        <f t="shared" si="128"/>
        <v>2021</v>
      </c>
      <c r="V1640" s="22" t="str">
        <f t="shared" si="129"/>
        <v>METROPOLITANA</v>
      </c>
    </row>
    <row r="1641" spans="1:22" x14ac:dyDescent="0.2">
      <c r="A1641" s="23" t="s">
        <v>2101</v>
      </c>
      <c r="B1641" s="22" t="s">
        <v>33</v>
      </c>
      <c r="C1641" s="22" t="s">
        <v>128</v>
      </c>
      <c r="D1641" s="22" t="s">
        <v>41</v>
      </c>
      <c r="E1641" s="24" t="s">
        <v>42</v>
      </c>
      <c r="F1641" s="22" t="s">
        <v>34</v>
      </c>
      <c r="G1641" s="25">
        <v>13804</v>
      </c>
      <c r="H1641" s="22" t="s">
        <v>43</v>
      </c>
      <c r="I1641" s="22">
        <v>0</v>
      </c>
      <c r="J1641" s="22" t="s">
        <v>34</v>
      </c>
      <c r="K1641" s="22" t="s">
        <v>23</v>
      </c>
      <c r="L1641" s="22">
        <v>1</v>
      </c>
      <c r="M1641" s="26">
        <v>96628</v>
      </c>
      <c r="N1641" s="26">
        <v>41412</v>
      </c>
      <c r="O1641" s="15">
        <f t="shared" si="125"/>
        <v>138040</v>
      </c>
      <c r="P1641" s="15">
        <f t="shared" si="126"/>
        <v>10</v>
      </c>
      <c r="Q1641" s="25">
        <v>4821</v>
      </c>
      <c r="R1641" s="22">
        <v>100</v>
      </c>
      <c r="S1641" s="22" t="s">
        <v>2107</v>
      </c>
      <c r="T1641" s="22">
        <f t="shared" si="127"/>
        <v>3</v>
      </c>
      <c r="U1641" s="22">
        <f t="shared" si="128"/>
        <v>2021</v>
      </c>
      <c r="V1641" s="22" t="str">
        <f t="shared" si="129"/>
        <v>METROPOLITANA</v>
      </c>
    </row>
    <row r="1642" spans="1:22" x14ac:dyDescent="0.2">
      <c r="A1642" s="23" t="s">
        <v>2101</v>
      </c>
      <c r="B1642" s="22" t="s">
        <v>33</v>
      </c>
      <c r="C1642" s="22" t="s">
        <v>29</v>
      </c>
      <c r="D1642" s="22" t="s">
        <v>2108</v>
      </c>
      <c r="E1642" s="24" t="s">
        <v>21</v>
      </c>
      <c r="F1642" s="22" t="s">
        <v>1783</v>
      </c>
      <c r="G1642" s="25">
        <v>7503.9999999999982</v>
      </c>
      <c r="H1642" s="22" t="s">
        <v>22</v>
      </c>
      <c r="I1642" s="22">
        <v>1</v>
      </c>
      <c r="J1642" s="22" t="s">
        <v>1784</v>
      </c>
      <c r="K1642" s="22" t="s">
        <v>23</v>
      </c>
      <c r="L1642" s="22">
        <v>5</v>
      </c>
      <c r="M1642" s="26">
        <v>120000</v>
      </c>
      <c r="N1642" s="26">
        <v>22512</v>
      </c>
      <c r="O1642" s="15">
        <f t="shared" si="125"/>
        <v>142512</v>
      </c>
      <c r="P1642" s="15">
        <f t="shared" si="126"/>
        <v>18.991471215351815</v>
      </c>
      <c r="Q1642" s="25">
        <v>12000</v>
      </c>
      <c r="R1642" s="22">
        <v>63</v>
      </c>
      <c r="S1642" s="22" t="s">
        <v>2109</v>
      </c>
      <c r="T1642" s="22">
        <f t="shared" si="127"/>
        <v>3</v>
      </c>
      <c r="U1642" s="22">
        <f t="shared" si="128"/>
        <v>2021</v>
      </c>
      <c r="V1642" s="22" t="str">
        <f t="shared" si="129"/>
        <v>METROPOLITANA</v>
      </c>
    </row>
    <row r="1643" spans="1:22" x14ac:dyDescent="0.2">
      <c r="A1643" s="23" t="s">
        <v>2101</v>
      </c>
      <c r="B1643" s="22" t="s">
        <v>33</v>
      </c>
      <c r="C1643" s="22" t="s">
        <v>44</v>
      </c>
      <c r="D1643" s="22" t="s">
        <v>188</v>
      </c>
      <c r="E1643" s="24" t="s">
        <v>189</v>
      </c>
      <c r="F1643" s="22" t="s">
        <v>46</v>
      </c>
      <c r="G1643" s="25">
        <v>2251.1999999999998</v>
      </c>
      <c r="H1643" s="22" t="s">
        <v>190</v>
      </c>
      <c r="I1643" s="22">
        <v>0</v>
      </c>
      <c r="J1643" s="22" t="s">
        <v>46</v>
      </c>
      <c r="K1643" s="22" t="s">
        <v>23</v>
      </c>
      <c r="L1643" s="22">
        <v>2</v>
      </c>
      <c r="M1643" s="26">
        <v>55000</v>
      </c>
      <c r="N1643" s="26">
        <v>0</v>
      </c>
      <c r="O1643" s="15">
        <f t="shared" si="125"/>
        <v>55000</v>
      </c>
      <c r="P1643" s="15">
        <f t="shared" si="126"/>
        <v>24.431414356787492</v>
      </c>
      <c r="Q1643" s="25">
        <v>5782</v>
      </c>
      <c r="R1643" s="22">
        <v>39</v>
      </c>
      <c r="S1643" s="22" t="s">
        <v>2110</v>
      </c>
      <c r="T1643" s="22">
        <f t="shared" si="127"/>
        <v>3</v>
      </c>
      <c r="U1643" s="22">
        <f t="shared" si="128"/>
        <v>2021</v>
      </c>
      <c r="V1643" s="22" t="str">
        <f t="shared" si="129"/>
        <v>METROPOLITANA</v>
      </c>
    </row>
    <row r="1644" spans="1:22" x14ac:dyDescent="0.2">
      <c r="A1644" s="23" t="s">
        <v>2101</v>
      </c>
      <c r="B1644" s="22" t="s">
        <v>33</v>
      </c>
      <c r="C1644" s="22" t="s">
        <v>44</v>
      </c>
      <c r="D1644" s="22" t="s">
        <v>1170</v>
      </c>
      <c r="E1644" s="24" t="s">
        <v>81</v>
      </c>
      <c r="F1644" s="22" t="s">
        <v>114</v>
      </c>
      <c r="G1644" s="25">
        <v>6692.7000000000007</v>
      </c>
      <c r="H1644" s="22" t="s">
        <v>24</v>
      </c>
      <c r="I1644" s="22">
        <v>1</v>
      </c>
      <c r="J1644" s="22" t="s">
        <v>114</v>
      </c>
      <c r="K1644" s="22" t="s">
        <v>75</v>
      </c>
      <c r="L1644" s="22">
        <v>0</v>
      </c>
      <c r="M1644" s="26">
        <v>380000</v>
      </c>
      <c r="N1644" s="26">
        <v>0</v>
      </c>
      <c r="O1644" s="15">
        <f t="shared" si="125"/>
        <v>380000</v>
      </c>
      <c r="P1644" s="15">
        <f t="shared" si="126"/>
        <v>56.778280813423578</v>
      </c>
      <c r="Q1644" s="25">
        <v>25000</v>
      </c>
      <c r="R1644" s="22">
        <v>27</v>
      </c>
      <c r="S1644" s="22" t="s">
        <v>2111</v>
      </c>
      <c r="T1644" s="22">
        <f t="shared" si="127"/>
        <v>3</v>
      </c>
      <c r="U1644" s="22">
        <f t="shared" si="128"/>
        <v>2021</v>
      </c>
      <c r="V1644" s="22" t="str">
        <f t="shared" si="129"/>
        <v>REGIONES</v>
      </c>
    </row>
    <row r="1645" spans="1:22" x14ac:dyDescent="0.2">
      <c r="A1645" s="23" t="s">
        <v>2101</v>
      </c>
      <c r="B1645" s="22" t="s">
        <v>33</v>
      </c>
      <c r="C1645" s="22" t="s">
        <v>44</v>
      </c>
      <c r="D1645" s="22" t="s">
        <v>27</v>
      </c>
      <c r="E1645" s="24" t="s">
        <v>28</v>
      </c>
      <c r="F1645" s="22" t="s">
        <v>452</v>
      </c>
      <c r="G1645" s="25">
        <v>21271.35</v>
      </c>
      <c r="H1645" s="22" t="s">
        <v>22</v>
      </c>
      <c r="I1645" s="22">
        <v>1</v>
      </c>
      <c r="J1645" s="22" t="s">
        <v>452</v>
      </c>
      <c r="K1645" s="22" t="s">
        <v>171</v>
      </c>
      <c r="L1645" s="22">
        <v>0</v>
      </c>
      <c r="M1645" s="26">
        <v>230000</v>
      </c>
      <c r="N1645" s="26">
        <f>G1645*4</f>
        <v>85085.4</v>
      </c>
      <c r="O1645" s="15">
        <f t="shared" si="125"/>
        <v>315085.40000000002</v>
      </c>
      <c r="P1645" s="15">
        <f t="shared" si="126"/>
        <v>14.812665862768467</v>
      </c>
      <c r="Q1645" s="25">
        <v>25000</v>
      </c>
      <c r="R1645" s="22">
        <v>85</v>
      </c>
      <c r="S1645" s="22" t="s">
        <v>2112</v>
      </c>
      <c r="T1645" s="22">
        <f t="shared" si="127"/>
        <v>3</v>
      </c>
      <c r="U1645" s="22">
        <f t="shared" si="128"/>
        <v>2021</v>
      </c>
      <c r="V1645" s="22" t="str">
        <f t="shared" si="129"/>
        <v>REGIONES</v>
      </c>
    </row>
    <row r="1646" spans="1:22" x14ac:dyDescent="0.2">
      <c r="A1646" s="23" t="s">
        <v>2101</v>
      </c>
      <c r="B1646" s="22" t="s">
        <v>33</v>
      </c>
      <c r="C1646" s="22" t="s">
        <v>44</v>
      </c>
      <c r="D1646" s="22" t="s">
        <v>45</v>
      </c>
      <c r="E1646" s="24" t="s">
        <v>2113</v>
      </c>
      <c r="F1646" s="22" t="s">
        <v>95</v>
      </c>
      <c r="G1646" s="25">
        <v>1976</v>
      </c>
      <c r="H1646" s="22" t="s">
        <v>22</v>
      </c>
      <c r="I1646" s="22">
        <v>0</v>
      </c>
      <c r="J1646" s="22" t="s">
        <v>95</v>
      </c>
      <c r="K1646" s="22" t="s">
        <v>23</v>
      </c>
      <c r="L1646" s="22">
        <v>4</v>
      </c>
      <c r="M1646" s="26">
        <v>56075</v>
      </c>
      <c r="N1646" s="26">
        <v>12000</v>
      </c>
      <c r="O1646" s="15">
        <f t="shared" si="125"/>
        <v>68075</v>
      </c>
      <c r="P1646" s="15">
        <f t="shared" si="126"/>
        <v>34.450910931174086</v>
      </c>
      <c r="Q1646" s="25">
        <v>8011</v>
      </c>
      <c r="R1646" s="22">
        <v>25</v>
      </c>
      <c r="S1646" s="22" t="s">
        <v>2114</v>
      </c>
      <c r="T1646" s="22">
        <f t="shared" si="127"/>
        <v>3</v>
      </c>
      <c r="U1646" s="22">
        <f t="shared" si="128"/>
        <v>2021</v>
      </c>
      <c r="V1646" s="22" t="str">
        <f t="shared" si="129"/>
        <v>METROPOLITANA</v>
      </c>
    </row>
    <row r="1647" spans="1:22" x14ac:dyDescent="0.2">
      <c r="A1647" s="23" t="s">
        <v>2101</v>
      </c>
      <c r="B1647" s="22" t="s">
        <v>33</v>
      </c>
      <c r="C1647" s="22" t="s">
        <v>44</v>
      </c>
      <c r="D1647" s="22" t="s">
        <v>47</v>
      </c>
      <c r="E1647" s="24" t="s">
        <v>1576</v>
      </c>
      <c r="F1647" s="22" t="s">
        <v>48</v>
      </c>
      <c r="G1647" s="25">
        <v>2187.8000000000002</v>
      </c>
      <c r="H1647" s="22" t="s">
        <v>22</v>
      </c>
      <c r="I1647" s="22">
        <v>0</v>
      </c>
      <c r="J1647" s="22" t="s">
        <v>48</v>
      </c>
      <c r="K1647" s="22" t="s">
        <v>23</v>
      </c>
      <c r="L1647" s="22">
        <v>1</v>
      </c>
      <c r="M1647" s="26">
        <v>33750</v>
      </c>
      <c r="N1647" s="26">
        <v>12000</v>
      </c>
      <c r="O1647" s="15">
        <f t="shared" si="125"/>
        <v>45750</v>
      </c>
      <c r="P1647" s="15">
        <f t="shared" si="126"/>
        <v>20.911417862693114</v>
      </c>
      <c r="Q1647" s="25">
        <v>4821</v>
      </c>
      <c r="R1647" s="22">
        <v>45</v>
      </c>
      <c r="S1647" s="22" t="s">
        <v>2115</v>
      </c>
      <c r="T1647" s="22">
        <f t="shared" si="127"/>
        <v>3</v>
      </c>
      <c r="U1647" s="22">
        <f t="shared" si="128"/>
        <v>2021</v>
      </c>
      <c r="V1647" s="22" t="str">
        <f t="shared" si="129"/>
        <v>METROPOLITANA</v>
      </c>
    </row>
    <row r="1648" spans="1:22" x14ac:dyDescent="0.2">
      <c r="A1648" s="23" t="s">
        <v>2101</v>
      </c>
      <c r="B1648" s="22" t="s">
        <v>33</v>
      </c>
      <c r="C1648" s="22" t="s">
        <v>44</v>
      </c>
      <c r="D1648" s="22" t="s">
        <v>35</v>
      </c>
      <c r="E1648" s="24" t="s">
        <v>49</v>
      </c>
      <c r="F1648" s="22" t="s">
        <v>26</v>
      </c>
      <c r="G1648" s="25">
        <v>1844.3</v>
      </c>
      <c r="H1648" s="22" t="s">
        <v>22</v>
      </c>
      <c r="I1648" s="22">
        <v>0</v>
      </c>
      <c r="J1648" s="22" t="s">
        <v>26</v>
      </c>
      <c r="K1648" s="22" t="s">
        <v>23</v>
      </c>
      <c r="L1648" s="22">
        <v>4</v>
      </c>
      <c r="M1648" s="26">
        <v>56075</v>
      </c>
      <c r="N1648" s="26">
        <v>12000</v>
      </c>
      <c r="O1648" s="15">
        <f t="shared" si="125"/>
        <v>68075</v>
      </c>
      <c r="P1648" s="15">
        <f t="shared" si="126"/>
        <v>36.911023152415552</v>
      </c>
      <c r="Q1648" s="25">
        <v>8011</v>
      </c>
      <c r="R1648" s="22">
        <v>23</v>
      </c>
      <c r="S1648" s="22" t="s">
        <v>2116</v>
      </c>
      <c r="T1648" s="22">
        <f t="shared" si="127"/>
        <v>3</v>
      </c>
      <c r="U1648" s="22">
        <f t="shared" si="128"/>
        <v>2021</v>
      </c>
      <c r="V1648" s="22" t="str">
        <f t="shared" si="129"/>
        <v>METROPOLITANA</v>
      </c>
    </row>
    <row r="1649" spans="1:22" x14ac:dyDescent="0.2">
      <c r="A1649" s="11" t="s">
        <v>2117</v>
      </c>
      <c r="B1649" s="12" t="s">
        <v>18</v>
      </c>
      <c r="C1649" s="12" t="s">
        <v>163</v>
      </c>
      <c r="D1649" s="12" t="s">
        <v>63</v>
      </c>
      <c r="E1649" s="13">
        <v>138841065</v>
      </c>
      <c r="F1649" s="12" t="s">
        <v>165</v>
      </c>
      <c r="G1649" s="14">
        <v>8097.6000000000013</v>
      </c>
      <c r="H1649" s="12" t="s">
        <v>65</v>
      </c>
      <c r="I1649" s="12">
        <v>0</v>
      </c>
      <c r="J1649" s="12" t="s">
        <v>165</v>
      </c>
      <c r="K1649" s="12" t="s">
        <v>23</v>
      </c>
      <c r="L1649" s="12">
        <v>4</v>
      </c>
      <c r="M1649" s="15">
        <f>+G1649*11</f>
        <v>89073.60000000002</v>
      </c>
      <c r="N1649" s="15">
        <v>0</v>
      </c>
      <c r="O1649" s="15">
        <f t="shared" si="125"/>
        <v>89073.60000000002</v>
      </c>
      <c r="P1649" s="15">
        <f t="shared" si="126"/>
        <v>11</v>
      </c>
      <c r="Q1649" s="14">
        <v>8011</v>
      </c>
      <c r="R1649" s="12">
        <v>100</v>
      </c>
      <c r="S1649" s="12" t="s">
        <v>2118</v>
      </c>
      <c r="T1649" s="22">
        <f t="shared" si="127"/>
        <v>3</v>
      </c>
      <c r="U1649" s="22">
        <f t="shared" si="128"/>
        <v>2021</v>
      </c>
      <c r="V1649" s="22" t="str">
        <f t="shared" si="129"/>
        <v>METROPOLITANA</v>
      </c>
    </row>
    <row r="1650" spans="1:22" x14ac:dyDescent="0.2">
      <c r="A1650" s="11" t="s">
        <v>2117</v>
      </c>
      <c r="B1650" s="12" t="s">
        <v>18</v>
      </c>
      <c r="C1650" s="12" t="s">
        <v>163</v>
      </c>
      <c r="D1650" s="12" t="s">
        <v>30</v>
      </c>
      <c r="E1650" s="13">
        <v>72564391</v>
      </c>
      <c r="F1650" s="12" t="s">
        <v>165</v>
      </c>
      <c r="G1650" s="14">
        <v>10931.76</v>
      </c>
      <c r="H1650" s="12" t="s">
        <v>32</v>
      </c>
      <c r="I1650" s="12">
        <v>0</v>
      </c>
      <c r="J1650" s="12" t="s">
        <v>165</v>
      </c>
      <c r="K1650" s="12" t="s">
        <v>23</v>
      </c>
      <c r="L1650" s="12">
        <v>4</v>
      </c>
      <c r="M1650" s="15">
        <f>+G1650*11</f>
        <v>120249.36</v>
      </c>
      <c r="N1650" s="15">
        <v>0</v>
      </c>
      <c r="O1650" s="15">
        <f t="shared" si="125"/>
        <v>120249.36</v>
      </c>
      <c r="P1650" s="15">
        <f t="shared" si="126"/>
        <v>11</v>
      </c>
      <c r="Q1650" s="14">
        <v>8011</v>
      </c>
      <c r="R1650" s="12">
        <v>100</v>
      </c>
      <c r="S1650" s="12" t="s">
        <v>2119</v>
      </c>
      <c r="T1650" s="22">
        <f t="shared" si="127"/>
        <v>3</v>
      </c>
      <c r="U1650" s="22">
        <f t="shared" si="128"/>
        <v>2021</v>
      </c>
      <c r="V1650" s="22" t="str">
        <f t="shared" si="129"/>
        <v>METROPOLITANA</v>
      </c>
    </row>
    <row r="1651" spans="1:22" x14ac:dyDescent="0.2">
      <c r="A1651" s="11" t="s">
        <v>2117</v>
      </c>
      <c r="B1651" s="12" t="s">
        <v>18</v>
      </c>
      <c r="C1651" s="12" t="s">
        <v>1669</v>
      </c>
      <c r="D1651" s="12" t="s">
        <v>130</v>
      </c>
      <c r="E1651" s="13">
        <v>167832741</v>
      </c>
      <c r="F1651" s="12" t="s">
        <v>691</v>
      </c>
      <c r="G1651" s="14">
        <v>11010.03</v>
      </c>
      <c r="H1651" s="12" t="s">
        <v>85</v>
      </c>
      <c r="I1651" s="12">
        <v>1</v>
      </c>
      <c r="J1651" s="12" t="s">
        <v>691</v>
      </c>
      <c r="K1651" s="12" t="s">
        <v>873</v>
      </c>
      <c r="L1651" s="12">
        <v>0</v>
      </c>
      <c r="M1651" s="15">
        <v>1020000</v>
      </c>
      <c r="N1651" s="15">
        <v>0</v>
      </c>
      <c r="O1651" s="15">
        <f t="shared" si="125"/>
        <v>1020000</v>
      </c>
      <c r="P1651" s="15">
        <f t="shared" si="126"/>
        <v>92.642799338421412</v>
      </c>
      <c r="Q1651" s="14">
        <v>25000</v>
      </c>
      <c r="R1651" s="12">
        <v>44</v>
      </c>
      <c r="S1651" s="12" t="s">
        <v>2120</v>
      </c>
      <c r="T1651" s="22">
        <f t="shared" si="127"/>
        <v>3</v>
      </c>
      <c r="U1651" s="22">
        <f t="shared" si="128"/>
        <v>2021</v>
      </c>
      <c r="V1651" s="22" t="str">
        <f t="shared" si="129"/>
        <v>REGIONES</v>
      </c>
    </row>
    <row r="1652" spans="1:22" x14ac:dyDescent="0.2">
      <c r="A1652" s="11" t="s">
        <v>2117</v>
      </c>
      <c r="B1652" s="12" t="s">
        <v>33</v>
      </c>
      <c r="C1652" s="12" t="s">
        <v>50</v>
      </c>
      <c r="D1652" s="12" t="s">
        <v>38</v>
      </c>
      <c r="E1652" s="13">
        <v>125108660</v>
      </c>
      <c r="F1652" s="12" t="s">
        <v>26</v>
      </c>
      <c r="G1652" s="14">
        <v>9781.6</v>
      </c>
      <c r="H1652" s="12" t="s">
        <v>43</v>
      </c>
      <c r="I1652" s="12">
        <v>0</v>
      </c>
      <c r="J1652" s="12" t="s">
        <v>26</v>
      </c>
      <c r="K1652" s="12" t="s">
        <v>23</v>
      </c>
      <c r="L1652" s="12">
        <v>4</v>
      </c>
      <c r="M1652" s="15">
        <f>+G1652*11</f>
        <v>107597.6</v>
      </c>
      <c r="N1652" s="15">
        <v>0</v>
      </c>
      <c r="O1652" s="15">
        <f t="shared" si="125"/>
        <v>107597.6</v>
      </c>
      <c r="P1652" s="15">
        <f t="shared" si="126"/>
        <v>11</v>
      </c>
      <c r="Q1652" s="14">
        <v>8011</v>
      </c>
      <c r="R1652" s="12">
        <v>100</v>
      </c>
      <c r="S1652" s="12" t="s">
        <v>2121</v>
      </c>
      <c r="T1652" s="22">
        <f t="shared" si="127"/>
        <v>3</v>
      </c>
      <c r="U1652" s="22">
        <f t="shared" si="128"/>
        <v>2021</v>
      </c>
      <c r="V1652" s="22" t="str">
        <f t="shared" si="129"/>
        <v>METROPOLITANA</v>
      </c>
    </row>
    <row r="1653" spans="1:22" x14ac:dyDescent="0.2">
      <c r="A1653" s="11" t="s">
        <v>2117</v>
      </c>
      <c r="B1653" s="12" t="s">
        <v>33</v>
      </c>
      <c r="C1653" s="12" t="s">
        <v>163</v>
      </c>
      <c r="D1653" s="12" t="s">
        <v>63</v>
      </c>
      <c r="E1653" s="13">
        <v>138841065</v>
      </c>
      <c r="F1653" s="12" t="s">
        <v>165</v>
      </c>
      <c r="G1653" s="14">
        <v>4588.5</v>
      </c>
      <c r="H1653" s="12" t="s">
        <v>65</v>
      </c>
      <c r="I1653" s="12">
        <v>0</v>
      </c>
      <c r="J1653" s="12" t="s">
        <v>165</v>
      </c>
      <c r="K1653" s="12" t="s">
        <v>23</v>
      </c>
      <c r="L1653" s="12">
        <v>4</v>
      </c>
      <c r="M1653" s="15">
        <f>+G1653*11</f>
        <v>50473.5</v>
      </c>
      <c r="N1653" s="15">
        <v>0</v>
      </c>
      <c r="O1653" s="15">
        <f t="shared" si="125"/>
        <v>50473.5</v>
      </c>
      <c r="P1653" s="15">
        <f t="shared" si="126"/>
        <v>11</v>
      </c>
      <c r="Q1653" s="14">
        <v>8011</v>
      </c>
      <c r="R1653" s="12">
        <v>57</v>
      </c>
      <c r="S1653" s="12" t="s">
        <v>2122</v>
      </c>
      <c r="T1653" s="22">
        <f t="shared" si="127"/>
        <v>3</v>
      </c>
      <c r="U1653" s="22">
        <f t="shared" si="128"/>
        <v>2021</v>
      </c>
      <c r="V1653" s="22" t="str">
        <f t="shared" si="129"/>
        <v>METROPOLITANA</v>
      </c>
    </row>
    <row r="1654" spans="1:22" x14ac:dyDescent="0.2">
      <c r="A1654" s="11" t="s">
        <v>2117</v>
      </c>
      <c r="B1654" s="12" t="s">
        <v>33</v>
      </c>
      <c r="C1654" s="12" t="s">
        <v>128</v>
      </c>
      <c r="D1654" s="12" t="s">
        <v>41</v>
      </c>
      <c r="E1654" s="13">
        <v>125108660</v>
      </c>
      <c r="F1654" s="12" t="s">
        <v>34</v>
      </c>
      <c r="G1654" s="14">
        <v>10353</v>
      </c>
      <c r="H1654" s="12" t="s">
        <v>43</v>
      </c>
      <c r="I1654" s="12">
        <v>0</v>
      </c>
      <c r="J1654" s="12" t="s">
        <v>34</v>
      </c>
      <c r="K1654" s="12" t="s">
        <v>23</v>
      </c>
      <c r="L1654" s="12">
        <v>1</v>
      </c>
      <c r="M1654" s="15">
        <f>+G1654*11</f>
        <v>113883</v>
      </c>
      <c r="N1654" s="15">
        <v>0</v>
      </c>
      <c r="O1654" s="15">
        <f t="shared" si="125"/>
        <v>113883</v>
      </c>
      <c r="P1654" s="15">
        <f t="shared" si="126"/>
        <v>11</v>
      </c>
      <c r="Q1654" s="14">
        <v>4821</v>
      </c>
      <c r="R1654" s="12">
        <v>100</v>
      </c>
      <c r="S1654" s="12" t="s">
        <v>2123</v>
      </c>
      <c r="T1654" s="22">
        <f t="shared" si="127"/>
        <v>3</v>
      </c>
      <c r="U1654" s="22">
        <f t="shared" si="128"/>
        <v>2021</v>
      </c>
      <c r="V1654" s="22" t="str">
        <f t="shared" si="129"/>
        <v>METROPOLITANA</v>
      </c>
    </row>
    <row r="1655" spans="1:22" x14ac:dyDescent="0.2">
      <c r="A1655" s="11" t="s">
        <v>2117</v>
      </c>
      <c r="B1655" s="12" t="s">
        <v>33</v>
      </c>
      <c r="C1655" s="12" t="s">
        <v>128</v>
      </c>
      <c r="D1655" s="12" t="s">
        <v>20</v>
      </c>
      <c r="E1655" s="13">
        <v>78907355</v>
      </c>
      <c r="F1655" s="12" t="s">
        <v>34</v>
      </c>
      <c r="G1655" s="14">
        <v>3451</v>
      </c>
      <c r="H1655" s="12" t="s">
        <v>24</v>
      </c>
      <c r="I1655" s="12">
        <v>1</v>
      </c>
      <c r="J1655" s="12" t="s">
        <v>34</v>
      </c>
      <c r="K1655" s="12" t="s">
        <v>23</v>
      </c>
      <c r="L1655" s="12">
        <v>1</v>
      </c>
      <c r="M1655" s="15">
        <v>33750</v>
      </c>
      <c r="N1655" s="15">
        <f>G1655*4</f>
        <v>13804</v>
      </c>
      <c r="O1655" s="15">
        <f t="shared" si="125"/>
        <v>47554</v>
      </c>
      <c r="P1655" s="15">
        <f t="shared" si="126"/>
        <v>13.779773978556941</v>
      </c>
      <c r="Q1655" s="14">
        <v>4821</v>
      </c>
      <c r="R1655" s="12">
        <v>72</v>
      </c>
      <c r="S1655" s="12" t="s">
        <v>2124</v>
      </c>
      <c r="T1655" s="22">
        <f t="shared" si="127"/>
        <v>3</v>
      </c>
      <c r="U1655" s="22">
        <f t="shared" si="128"/>
        <v>2021</v>
      </c>
      <c r="V1655" s="22" t="str">
        <f t="shared" si="129"/>
        <v>METROPOLITANA</v>
      </c>
    </row>
    <row r="1656" spans="1:22" x14ac:dyDescent="0.2">
      <c r="A1656" s="11" t="s">
        <v>2117</v>
      </c>
      <c r="B1656" s="12" t="s">
        <v>33</v>
      </c>
      <c r="C1656" s="12" t="s">
        <v>128</v>
      </c>
      <c r="D1656" s="12" t="s">
        <v>20</v>
      </c>
      <c r="E1656" s="13">
        <v>78907355</v>
      </c>
      <c r="F1656" s="12" t="s">
        <v>34</v>
      </c>
      <c r="G1656" s="14">
        <v>6901.9999999999991</v>
      </c>
      <c r="H1656" s="12" t="s">
        <v>22</v>
      </c>
      <c r="I1656" s="12">
        <v>0</v>
      </c>
      <c r="J1656" s="12" t="s">
        <v>34</v>
      </c>
      <c r="K1656" s="12" t="s">
        <v>23</v>
      </c>
      <c r="L1656" s="12">
        <v>1</v>
      </c>
      <c r="M1656" s="15">
        <v>48314</v>
      </c>
      <c r="N1656" s="15">
        <f>G1656*4</f>
        <v>27607.999999999996</v>
      </c>
      <c r="O1656" s="15">
        <f t="shared" si="125"/>
        <v>75922</v>
      </c>
      <c r="P1656" s="15">
        <f t="shared" si="126"/>
        <v>11.000000000000002</v>
      </c>
      <c r="Q1656" s="14">
        <v>4821</v>
      </c>
      <c r="R1656" s="12">
        <v>100</v>
      </c>
      <c r="S1656" s="12" t="s">
        <v>2125</v>
      </c>
      <c r="T1656" s="22">
        <f t="shared" si="127"/>
        <v>3</v>
      </c>
      <c r="U1656" s="22">
        <f t="shared" si="128"/>
        <v>2021</v>
      </c>
      <c r="V1656" s="22" t="str">
        <f t="shared" si="129"/>
        <v>METROPOLITANA</v>
      </c>
    </row>
    <row r="1657" spans="1:22" x14ac:dyDescent="0.2">
      <c r="A1657" s="11" t="s">
        <v>2117</v>
      </c>
      <c r="B1657" s="12" t="s">
        <v>33</v>
      </c>
      <c r="C1657" s="12" t="s">
        <v>223</v>
      </c>
      <c r="D1657" s="12" t="s">
        <v>38</v>
      </c>
      <c r="E1657" s="13">
        <v>53173292</v>
      </c>
      <c r="F1657" s="12" t="s">
        <v>67</v>
      </c>
      <c r="G1657" s="14">
        <v>2921</v>
      </c>
      <c r="H1657" s="12" t="s">
        <v>43</v>
      </c>
      <c r="I1657" s="12">
        <v>0</v>
      </c>
      <c r="J1657" s="12" t="s">
        <v>67</v>
      </c>
      <c r="K1657" s="12" t="s">
        <v>23</v>
      </c>
      <c r="L1657" s="12">
        <v>2</v>
      </c>
      <c r="M1657" s="15">
        <v>55000</v>
      </c>
      <c r="N1657" s="15">
        <v>0</v>
      </c>
      <c r="O1657" s="15">
        <f t="shared" si="125"/>
        <v>55000</v>
      </c>
      <c r="P1657" s="15">
        <f t="shared" si="126"/>
        <v>18.829168093118795</v>
      </c>
      <c r="Q1657" s="14">
        <v>5782</v>
      </c>
      <c r="R1657" s="12">
        <v>51</v>
      </c>
      <c r="S1657" s="12" t="s">
        <v>2126</v>
      </c>
      <c r="T1657" s="22">
        <f t="shared" si="127"/>
        <v>3</v>
      </c>
      <c r="U1657" s="22">
        <f t="shared" si="128"/>
        <v>2021</v>
      </c>
      <c r="V1657" s="22" t="str">
        <f t="shared" si="129"/>
        <v>METROPOLITANA</v>
      </c>
    </row>
    <row r="1658" spans="1:22" x14ac:dyDescent="0.2">
      <c r="A1658" s="11" t="s">
        <v>2117</v>
      </c>
      <c r="B1658" s="12" t="s">
        <v>33</v>
      </c>
      <c r="C1658" s="12" t="s">
        <v>223</v>
      </c>
      <c r="D1658" s="12" t="s">
        <v>38</v>
      </c>
      <c r="E1658" s="13">
        <v>53173292</v>
      </c>
      <c r="F1658" s="12" t="s">
        <v>39</v>
      </c>
      <c r="G1658" s="14">
        <v>5886</v>
      </c>
      <c r="H1658" s="12" t="s">
        <v>43</v>
      </c>
      <c r="I1658" s="12">
        <v>0</v>
      </c>
      <c r="J1658" s="12" t="s">
        <v>39</v>
      </c>
      <c r="K1658" s="12" t="s">
        <v>23</v>
      </c>
      <c r="L1658" s="12">
        <v>1</v>
      </c>
      <c r="M1658" s="31">
        <v>89074</v>
      </c>
      <c r="N1658" s="15">
        <v>0</v>
      </c>
      <c r="O1658" s="15">
        <f t="shared" si="125"/>
        <v>89074</v>
      </c>
      <c r="P1658" s="15">
        <f t="shared" si="126"/>
        <v>15.133197417601087</v>
      </c>
      <c r="Q1658" s="14">
        <v>4821</v>
      </c>
      <c r="R1658" s="12">
        <v>100</v>
      </c>
      <c r="S1658" s="12" t="s">
        <v>2127</v>
      </c>
      <c r="T1658" s="22">
        <f t="shared" si="127"/>
        <v>3</v>
      </c>
      <c r="U1658" s="22">
        <f t="shared" si="128"/>
        <v>2021</v>
      </c>
      <c r="V1658" s="22" t="str">
        <f t="shared" si="129"/>
        <v>METROPOLITANA</v>
      </c>
    </row>
    <row r="1659" spans="1:22" x14ac:dyDescent="0.2">
      <c r="A1659" s="11" t="s">
        <v>2117</v>
      </c>
      <c r="B1659" s="12" t="s">
        <v>33</v>
      </c>
      <c r="C1659" s="12" t="s">
        <v>44</v>
      </c>
      <c r="D1659" s="12" t="s">
        <v>56</v>
      </c>
      <c r="E1659" s="13">
        <v>107643206</v>
      </c>
      <c r="F1659" s="12" t="s">
        <v>94</v>
      </c>
      <c r="G1659" s="14">
        <v>4587</v>
      </c>
      <c r="H1659" s="12" t="s">
        <v>22</v>
      </c>
      <c r="I1659" s="12">
        <v>0</v>
      </c>
      <c r="J1659" s="12" t="s">
        <v>59</v>
      </c>
      <c r="K1659" s="12" t="s">
        <v>78</v>
      </c>
      <c r="L1659" s="12">
        <v>0</v>
      </c>
      <c r="M1659" s="15">
        <v>180000</v>
      </c>
      <c r="N1659" s="15">
        <f>G1659*4</f>
        <v>18348</v>
      </c>
      <c r="O1659" s="15">
        <f t="shared" si="125"/>
        <v>198348</v>
      </c>
      <c r="P1659" s="15">
        <f t="shared" si="126"/>
        <v>43.241334205362982</v>
      </c>
      <c r="Q1659" s="14">
        <v>25000</v>
      </c>
      <c r="R1659" s="12">
        <v>18</v>
      </c>
      <c r="S1659" s="12" t="s">
        <v>2128</v>
      </c>
      <c r="T1659" s="22">
        <f t="shared" si="127"/>
        <v>3</v>
      </c>
      <c r="U1659" s="22">
        <f t="shared" si="128"/>
        <v>2021</v>
      </c>
      <c r="V1659" s="22" t="str">
        <f t="shared" si="129"/>
        <v>REGIONES</v>
      </c>
    </row>
    <row r="1660" spans="1:22" x14ac:dyDescent="0.2">
      <c r="A1660" s="11" t="s">
        <v>2117</v>
      </c>
      <c r="B1660" s="12" t="s">
        <v>33</v>
      </c>
      <c r="C1660" s="12" t="s">
        <v>44</v>
      </c>
      <c r="D1660" s="12" t="s">
        <v>188</v>
      </c>
      <c r="E1660" s="13">
        <v>35488103</v>
      </c>
      <c r="F1660" s="12" t="s">
        <v>138</v>
      </c>
      <c r="G1660" s="14">
        <v>2281.5</v>
      </c>
      <c r="H1660" s="12" t="s">
        <v>190</v>
      </c>
      <c r="I1660" s="12">
        <v>0</v>
      </c>
      <c r="J1660" s="12" t="s">
        <v>138</v>
      </c>
      <c r="K1660" s="12" t="s">
        <v>23</v>
      </c>
      <c r="L1660" s="12">
        <v>3</v>
      </c>
      <c r="M1660" s="15">
        <v>55000</v>
      </c>
      <c r="N1660" s="15">
        <v>0</v>
      </c>
      <c r="O1660" s="15">
        <f t="shared" si="125"/>
        <v>55000</v>
      </c>
      <c r="P1660" s="15">
        <f t="shared" si="126"/>
        <v>24.106947183870261</v>
      </c>
      <c r="Q1660" s="14">
        <v>6868</v>
      </c>
      <c r="R1660" s="12">
        <v>33</v>
      </c>
      <c r="S1660" s="12" t="s">
        <v>2129</v>
      </c>
      <c r="T1660" s="22">
        <f t="shared" si="127"/>
        <v>3</v>
      </c>
      <c r="U1660" s="22">
        <f t="shared" si="128"/>
        <v>2021</v>
      </c>
      <c r="V1660" s="22" t="str">
        <f t="shared" si="129"/>
        <v>METROPOLITANA</v>
      </c>
    </row>
    <row r="1661" spans="1:22" x14ac:dyDescent="0.2">
      <c r="A1661" s="11" t="s">
        <v>2117</v>
      </c>
      <c r="B1661" s="12" t="s">
        <v>33</v>
      </c>
      <c r="C1661" s="12" t="s">
        <v>44</v>
      </c>
      <c r="D1661" s="12" t="s">
        <v>786</v>
      </c>
      <c r="E1661" s="13">
        <v>95707734</v>
      </c>
      <c r="F1661" s="12" t="s">
        <v>114</v>
      </c>
      <c r="G1661" s="14">
        <v>16139</v>
      </c>
      <c r="H1661" s="12" t="s">
        <v>788</v>
      </c>
      <c r="I1661" s="12">
        <v>1</v>
      </c>
      <c r="J1661" s="12" t="s">
        <v>114</v>
      </c>
      <c r="K1661" s="12" t="s">
        <v>75</v>
      </c>
      <c r="L1661" s="12">
        <v>0</v>
      </c>
      <c r="M1661" s="15">
        <v>380000</v>
      </c>
      <c r="N1661" s="15">
        <v>0</v>
      </c>
      <c r="O1661" s="15">
        <f t="shared" si="125"/>
        <v>380000</v>
      </c>
      <c r="P1661" s="15">
        <f t="shared" si="126"/>
        <v>23.545448912572031</v>
      </c>
      <c r="Q1661" s="14">
        <v>25000</v>
      </c>
      <c r="R1661" s="12">
        <v>65</v>
      </c>
      <c r="S1661" s="12" t="s">
        <v>2130</v>
      </c>
      <c r="T1661" s="22">
        <f t="shared" si="127"/>
        <v>3</v>
      </c>
      <c r="U1661" s="22">
        <f t="shared" si="128"/>
        <v>2021</v>
      </c>
      <c r="V1661" s="22" t="str">
        <f t="shared" si="129"/>
        <v>REGIONES</v>
      </c>
    </row>
    <row r="1662" spans="1:22" x14ac:dyDescent="0.2">
      <c r="A1662" s="11" t="s">
        <v>2117</v>
      </c>
      <c r="B1662" s="12" t="s">
        <v>33</v>
      </c>
      <c r="C1662" s="12" t="s">
        <v>44</v>
      </c>
      <c r="D1662" s="12" t="s">
        <v>45</v>
      </c>
      <c r="E1662" s="13">
        <v>78907355</v>
      </c>
      <c r="F1662" s="12" t="s">
        <v>34</v>
      </c>
      <c r="G1662" s="14">
        <v>2175.6</v>
      </c>
      <c r="H1662" s="12" t="s">
        <v>22</v>
      </c>
      <c r="I1662" s="12">
        <v>0</v>
      </c>
      <c r="J1662" s="12" t="s">
        <v>34</v>
      </c>
      <c r="K1662" s="12" t="s">
        <v>23</v>
      </c>
      <c r="L1662" s="12">
        <v>1</v>
      </c>
      <c r="M1662" s="15">
        <v>33750</v>
      </c>
      <c r="N1662" s="15">
        <v>12000</v>
      </c>
      <c r="O1662" s="15">
        <f t="shared" si="125"/>
        <v>45750</v>
      </c>
      <c r="P1662" s="15">
        <f t="shared" si="126"/>
        <v>21.028681742967457</v>
      </c>
      <c r="Q1662" s="14">
        <v>4821</v>
      </c>
      <c r="R1662" s="12">
        <v>45</v>
      </c>
      <c r="S1662" s="12" t="s">
        <v>2131</v>
      </c>
      <c r="T1662" s="22">
        <f t="shared" si="127"/>
        <v>3</v>
      </c>
      <c r="U1662" s="22">
        <f t="shared" si="128"/>
        <v>2021</v>
      </c>
      <c r="V1662" s="22" t="str">
        <f t="shared" si="129"/>
        <v>METROPOLITANA</v>
      </c>
    </row>
    <row r="1663" spans="1:22" x14ac:dyDescent="0.2">
      <c r="A1663" s="11" t="s">
        <v>2117</v>
      </c>
      <c r="B1663" s="12" t="s">
        <v>33</v>
      </c>
      <c r="C1663" s="12" t="s">
        <v>44</v>
      </c>
      <c r="D1663" s="12" t="s">
        <v>47</v>
      </c>
      <c r="E1663" s="13">
        <v>154837728</v>
      </c>
      <c r="F1663" s="12" t="s">
        <v>134</v>
      </c>
      <c r="G1663" s="14">
        <v>3800.5</v>
      </c>
      <c r="H1663" s="12" t="s">
        <v>22</v>
      </c>
      <c r="I1663" s="12">
        <v>0</v>
      </c>
      <c r="J1663" s="12" t="s">
        <v>134</v>
      </c>
      <c r="K1663" s="12" t="s">
        <v>23</v>
      </c>
      <c r="L1663" s="12">
        <v>2</v>
      </c>
      <c r="M1663" s="15">
        <v>40475</v>
      </c>
      <c r="N1663" s="15">
        <v>15202</v>
      </c>
      <c r="O1663" s="15">
        <f t="shared" si="125"/>
        <v>55677</v>
      </c>
      <c r="P1663" s="15">
        <f t="shared" si="126"/>
        <v>14.649914484936193</v>
      </c>
      <c r="Q1663" s="14">
        <v>5782</v>
      </c>
      <c r="R1663" s="12">
        <v>66</v>
      </c>
      <c r="S1663" s="12" t="s">
        <v>2132</v>
      </c>
      <c r="T1663" s="22">
        <f t="shared" si="127"/>
        <v>3</v>
      </c>
      <c r="U1663" s="22">
        <f t="shared" si="128"/>
        <v>2021</v>
      </c>
      <c r="V1663" s="22" t="str">
        <f t="shared" si="129"/>
        <v>METROPOLITANA</v>
      </c>
    </row>
    <row r="1664" spans="1:22" x14ac:dyDescent="0.2">
      <c r="A1664" s="11" t="s">
        <v>2117</v>
      </c>
      <c r="B1664" s="12" t="s">
        <v>33</v>
      </c>
      <c r="C1664" s="12" t="s">
        <v>44</v>
      </c>
      <c r="D1664" s="12" t="s">
        <v>35</v>
      </c>
      <c r="E1664" s="13">
        <v>81417709</v>
      </c>
      <c r="F1664" s="12" t="s">
        <v>229</v>
      </c>
      <c r="G1664" s="14">
        <v>3987.6</v>
      </c>
      <c r="H1664" s="12" t="s">
        <v>22</v>
      </c>
      <c r="I1664" s="12">
        <v>0</v>
      </c>
      <c r="J1664" s="12" t="s">
        <v>230</v>
      </c>
      <c r="K1664" s="12" t="s">
        <v>23</v>
      </c>
      <c r="L1664" s="12">
        <v>4</v>
      </c>
      <c r="M1664" s="15">
        <v>56075</v>
      </c>
      <c r="N1664" s="15">
        <v>15950</v>
      </c>
      <c r="O1664" s="15">
        <f t="shared" si="125"/>
        <v>72025</v>
      </c>
      <c r="P1664" s="15">
        <f t="shared" si="126"/>
        <v>18.062242953154779</v>
      </c>
      <c r="Q1664" s="14">
        <v>8011</v>
      </c>
      <c r="R1664" s="12">
        <v>50</v>
      </c>
      <c r="S1664" s="12" t="s">
        <v>2133</v>
      </c>
      <c r="T1664" s="22">
        <f t="shared" si="127"/>
        <v>3</v>
      </c>
      <c r="U1664" s="22">
        <f t="shared" si="128"/>
        <v>2021</v>
      </c>
      <c r="V1664" s="22" t="str">
        <f t="shared" si="129"/>
        <v>METROPOLITANA</v>
      </c>
    </row>
    <row r="1665" spans="1:22" x14ac:dyDescent="0.2">
      <c r="A1665" s="23" t="s">
        <v>2134</v>
      </c>
      <c r="B1665" s="22" t="s">
        <v>18</v>
      </c>
      <c r="C1665" s="22" t="s">
        <v>994</v>
      </c>
      <c r="D1665" s="22" t="s">
        <v>38</v>
      </c>
      <c r="E1665" s="24" t="s">
        <v>40</v>
      </c>
      <c r="F1665" s="22" t="s">
        <v>995</v>
      </c>
      <c r="G1665" s="25">
        <v>4986.8</v>
      </c>
      <c r="H1665" s="22" t="s">
        <v>43</v>
      </c>
      <c r="I1665" s="22">
        <v>0</v>
      </c>
      <c r="J1665" s="22" t="s">
        <v>995</v>
      </c>
      <c r="K1665" s="22" t="s">
        <v>23</v>
      </c>
      <c r="L1665" s="22">
        <v>1</v>
      </c>
      <c r="M1665" s="26">
        <v>55000</v>
      </c>
      <c r="N1665" s="26">
        <v>0</v>
      </c>
      <c r="O1665" s="15">
        <f t="shared" si="125"/>
        <v>55000</v>
      </c>
      <c r="P1665" s="15">
        <f t="shared" si="126"/>
        <v>11.029116868532926</v>
      </c>
      <c r="Q1665" s="25">
        <v>4821</v>
      </c>
      <c r="R1665" s="22">
        <v>100</v>
      </c>
      <c r="S1665" s="22" t="s">
        <v>2135</v>
      </c>
      <c r="T1665" s="22">
        <f t="shared" si="127"/>
        <v>3</v>
      </c>
      <c r="U1665" s="22">
        <f t="shared" si="128"/>
        <v>2021</v>
      </c>
      <c r="V1665" s="22" t="str">
        <f t="shared" si="129"/>
        <v>METROPOLITANA</v>
      </c>
    </row>
    <row r="1666" spans="1:22" x14ac:dyDescent="0.2">
      <c r="A1666" s="23" t="s">
        <v>2134</v>
      </c>
      <c r="B1666" s="22" t="s">
        <v>33</v>
      </c>
      <c r="C1666" s="22" t="s">
        <v>36</v>
      </c>
      <c r="D1666" s="22" t="s">
        <v>125</v>
      </c>
      <c r="E1666" s="24" t="s">
        <v>2136</v>
      </c>
      <c r="F1666" s="22" t="s">
        <v>132</v>
      </c>
      <c r="G1666" s="25">
        <v>12381.599999999989</v>
      </c>
      <c r="H1666" s="22" t="s">
        <v>174</v>
      </c>
      <c r="I1666" s="22">
        <v>0</v>
      </c>
      <c r="J1666" s="22" t="s">
        <v>132</v>
      </c>
      <c r="K1666" s="22" t="s">
        <v>124</v>
      </c>
      <c r="L1666" s="22">
        <v>0</v>
      </c>
      <c r="M1666" s="26">
        <v>350000</v>
      </c>
      <c r="N1666" s="26">
        <v>0</v>
      </c>
      <c r="O1666" s="15">
        <f t="shared" ref="O1666:O1729" si="130">SUM(M1666:N1666)</f>
        <v>350000</v>
      </c>
      <c r="P1666" s="15">
        <f t="shared" ref="P1666:P1729" si="131">O1666/G1666</f>
        <v>28.267752148349189</v>
      </c>
      <c r="Q1666" s="25">
        <v>25000</v>
      </c>
      <c r="R1666" s="22">
        <v>50</v>
      </c>
      <c r="S1666" s="22" t="s">
        <v>2137</v>
      </c>
      <c r="T1666" s="22">
        <f t="shared" ref="T1666:T1729" si="132">MONTH(A1666)</f>
        <v>3</v>
      </c>
      <c r="U1666" s="22">
        <f t="shared" ref="U1666:U1729" si="133">YEAR(A1666)</f>
        <v>2021</v>
      </c>
      <c r="V1666" s="22" t="str">
        <f t="shared" ref="V1666:V1729" si="134">IF(K1666="METROPOLITANA DE SANTIAGO","METROPOLITANA","REGIONES")</f>
        <v>REGIONES</v>
      </c>
    </row>
    <row r="1667" spans="1:22" x14ac:dyDescent="0.2">
      <c r="A1667" s="23" t="s">
        <v>2134</v>
      </c>
      <c r="B1667" s="22" t="s">
        <v>33</v>
      </c>
      <c r="C1667" s="22" t="s">
        <v>909</v>
      </c>
      <c r="D1667" s="22" t="s">
        <v>27</v>
      </c>
      <c r="E1667" s="24" t="s">
        <v>28</v>
      </c>
      <c r="F1667" s="22" t="s">
        <v>910</v>
      </c>
      <c r="G1667" s="25">
        <v>18760</v>
      </c>
      <c r="H1667" s="22" t="s">
        <v>22</v>
      </c>
      <c r="I1667" s="22">
        <v>1</v>
      </c>
      <c r="J1667" s="22" t="s">
        <v>910</v>
      </c>
      <c r="K1667" s="22" t="s">
        <v>171</v>
      </c>
      <c r="L1667" s="22">
        <v>0</v>
      </c>
      <c r="M1667" s="26">
        <v>230000</v>
      </c>
      <c r="N1667" s="26">
        <f>+G1667*4</f>
        <v>75040</v>
      </c>
      <c r="O1667" s="15">
        <f t="shared" si="130"/>
        <v>305040</v>
      </c>
      <c r="P1667" s="15">
        <f t="shared" si="131"/>
        <v>16.260127931769723</v>
      </c>
      <c r="Q1667" s="25">
        <v>25000</v>
      </c>
      <c r="R1667" s="22">
        <v>75</v>
      </c>
      <c r="S1667" s="22" t="s">
        <v>2138</v>
      </c>
      <c r="T1667" s="22">
        <f t="shared" si="132"/>
        <v>3</v>
      </c>
      <c r="U1667" s="22">
        <f t="shared" si="133"/>
        <v>2021</v>
      </c>
      <c r="V1667" s="22" t="str">
        <f t="shared" si="134"/>
        <v>REGIONES</v>
      </c>
    </row>
    <row r="1668" spans="1:22" x14ac:dyDescent="0.2">
      <c r="A1668" s="23" t="s">
        <v>2134</v>
      </c>
      <c r="B1668" s="22" t="s">
        <v>33</v>
      </c>
      <c r="C1668" s="22" t="s">
        <v>29</v>
      </c>
      <c r="D1668" s="22" t="s">
        <v>37</v>
      </c>
      <c r="E1668" s="24" t="s">
        <v>40</v>
      </c>
      <c r="F1668" s="22" t="s">
        <v>2139</v>
      </c>
      <c r="G1668" s="25">
        <v>677.62</v>
      </c>
      <c r="H1668" s="22" t="s">
        <v>22</v>
      </c>
      <c r="I1668" s="22">
        <v>0</v>
      </c>
      <c r="J1668" s="22" t="s">
        <v>2140</v>
      </c>
      <c r="K1668" s="22" t="s">
        <v>23</v>
      </c>
      <c r="L1668" s="22">
        <v>4</v>
      </c>
      <c r="M1668" s="26">
        <v>56075</v>
      </c>
      <c r="N1668" s="26">
        <v>12000</v>
      </c>
      <c r="O1668" s="15">
        <f t="shared" si="130"/>
        <v>68075</v>
      </c>
      <c r="P1668" s="15">
        <f t="shared" si="131"/>
        <v>100.46191080546619</v>
      </c>
      <c r="Q1668" s="25">
        <v>8011</v>
      </c>
      <c r="R1668" s="22">
        <v>8</v>
      </c>
      <c r="S1668" s="22" t="s">
        <v>2141</v>
      </c>
      <c r="T1668" s="22">
        <f t="shared" si="132"/>
        <v>3</v>
      </c>
      <c r="U1668" s="22">
        <f t="shared" si="133"/>
        <v>2021</v>
      </c>
      <c r="V1668" s="22" t="str">
        <f t="shared" si="134"/>
        <v>METROPOLITANA</v>
      </c>
    </row>
    <row r="1669" spans="1:22" x14ac:dyDescent="0.2">
      <c r="A1669" s="23" t="s">
        <v>2134</v>
      </c>
      <c r="B1669" s="22" t="s">
        <v>33</v>
      </c>
      <c r="C1669" s="22" t="s">
        <v>29</v>
      </c>
      <c r="D1669" s="22" t="s">
        <v>37</v>
      </c>
      <c r="E1669" s="24" t="s">
        <v>40</v>
      </c>
      <c r="F1669" s="22" t="s">
        <v>134</v>
      </c>
      <c r="G1669" s="25">
        <v>4478.7</v>
      </c>
      <c r="H1669" s="22" t="s">
        <v>22</v>
      </c>
      <c r="I1669" s="22">
        <v>0</v>
      </c>
      <c r="J1669" s="22" t="s">
        <v>134</v>
      </c>
      <c r="K1669" s="22" t="s">
        <v>23</v>
      </c>
      <c r="L1669" s="22">
        <v>2</v>
      </c>
      <c r="M1669" s="26">
        <v>40475</v>
      </c>
      <c r="N1669" s="26">
        <v>17915</v>
      </c>
      <c r="O1669" s="15">
        <f t="shared" si="130"/>
        <v>58390</v>
      </c>
      <c r="P1669" s="15">
        <f t="shared" si="131"/>
        <v>13.03726527787081</v>
      </c>
      <c r="Q1669" s="25">
        <v>5782</v>
      </c>
      <c r="R1669" s="22">
        <v>77</v>
      </c>
      <c r="S1669" s="22" t="s">
        <v>2142</v>
      </c>
      <c r="T1669" s="22">
        <f t="shared" si="132"/>
        <v>3</v>
      </c>
      <c r="U1669" s="22">
        <f t="shared" si="133"/>
        <v>2021</v>
      </c>
      <c r="V1669" s="22" t="str">
        <f t="shared" si="134"/>
        <v>METROPOLITANA</v>
      </c>
    </row>
    <row r="1670" spans="1:22" x14ac:dyDescent="0.2">
      <c r="A1670" s="23" t="s">
        <v>2134</v>
      </c>
      <c r="B1670" s="22" t="s">
        <v>33</v>
      </c>
      <c r="C1670" s="22" t="s">
        <v>44</v>
      </c>
      <c r="D1670" s="22" t="s">
        <v>56</v>
      </c>
      <c r="E1670" s="24" t="s">
        <v>88</v>
      </c>
      <c r="F1670" s="22" t="s">
        <v>53</v>
      </c>
      <c r="G1670" s="25">
        <v>4782.5</v>
      </c>
      <c r="H1670" s="22" t="s">
        <v>22</v>
      </c>
      <c r="I1670" s="22">
        <v>0</v>
      </c>
      <c r="J1670" s="22" t="s">
        <v>53</v>
      </c>
      <c r="K1670" s="22" t="s">
        <v>23</v>
      </c>
      <c r="L1670" s="22">
        <v>3</v>
      </c>
      <c r="M1670" s="26">
        <v>48075</v>
      </c>
      <c r="N1670" s="26">
        <v>19130</v>
      </c>
      <c r="O1670" s="15">
        <f t="shared" si="130"/>
        <v>67205</v>
      </c>
      <c r="P1670" s="15">
        <f t="shared" si="131"/>
        <v>14.052273915316258</v>
      </c>
      <c r="Q1670" s="25">
        <v>6868</v>
      </c>
      <c r="R1670" s="22">
        <v>70</v>
      </c>
      <c r="S1670" s="22" t="s">
        <v>2143</v>
      </c>
      <c r="T1670" s="22">
        <f t="shared" si="132"/>
        <v>3</v>
      </c>
      <c r="U1670" s="22">
        <f t="shared" si="133"/>
        <v>2021</v>
      </c>
      <c r="V1670" s="22" t="str">
        <f t="shared" si="134"/>
        <v>METROPOLITANA</v>
      </c>
    </row>
    <row r="1671" spans="1:22" x14ac:dyDescent="0.2">
      <c r="A1671" s="23" t="s">
        <v>2134</v>
      </c>
      <c r="B1671" s="22" t="s">
        <v>33</v>
      </c>
      <c r="C1671" s="22" t="s">
        <v>44</v>
      </c>
      <c r="D1671" s="22" t="s">
        <v>188</v>
      </c>
      <c r="E1671" s="24" t="s">
        <v>189</v>
      </c>
      <c r="F1671" s="22" t="s">
        <v>95</v>
      </c>
      <c r="G1671" s="25">
        <v>2594.6999999999998</v>
      </c>
      <c r="H1671" s="22" t="s">
        <v>190</v>
      </c>
      <c r="I1671" s="22">
        <v>0</v>
      </c>
      <c r="J1671" s="22" t="s">
        <v>95</v>
      </c>
      <c r="K1671" s="22" t="s">
        <v>23</v>
      </c>
      <c r="L1671" s="22">
        <v>4</v>
      </c>
      <c r="M1671" s="26">
        <v>55000</v>
      </c>
      <c r="N1671" s="26">
        <v>0</v>
      </c>
      <c r="O1671" s="15">
        <f t="shared" si="130"/>
        <v>55000</v>
      </c>
      <c r="P1671" s="15">
        <f t="shared" si="131"/>
        <v>21.197055536285507</v>
      </c>
      <c r="Q1671" s="25">
        <v>8011</v>
      </c>
      <c r="R1671" s="22">
        <v>32</v>
      </c>
      <c r="S1671" s="22" t="s">
        <v>2144</v>
      </c>
      <c r="T1671" s="22">
        <f t="shared" si="132"/>
        <v>3</v>
      </c>
      <c r="U1671" s="22">
        <f t="shared" si="133"/>
        <v>2021</v>
      </c>
      <c r="V1671" s="22" t="str">
        <f t="shared" si="134"/>
        <v>METROPOLITANA</v>
      </c>
    </row>
    <row r="1672" spans="1:22" x14ac:dyDescent="0.2">
      <c r="A1672" s="23" t="s">
        <v>2134</v>
      </c>
      <c r="B1672" s="22" t="s">
        <v>33</v>
      </c>
      <c r="C1672" s="22" t="s">
        <v>44</v>
      </c>
      <c r="D1672" s="22" t="s">
        <v>63</v>
      </c>
      <c r="E1672" s="24" t="s">
        <v>64</v>
      </c>
      <c r="F1672" s="22" t="s">
        <v>137</v>
      </c>
      <c r="G1672" s="25">
        <v>4782.5</v>
      </c>
      <c r="H1672" s="22" t="s">
        <v>65</v>
      </c>
      <c r="I1672" s="22">
        <v>0</v>
      </c>
      <c r="J1672" s="22" t="s">
        <v>137</v>
      </c>
      <c r="K1672" s="22" t="s">
        <v>23</v>
      </c>
      <c r="L1672" s="22">
        <v>1</v>
      </c>
      <c r="M1672" s="26">
        <v>55999</v>
      </c>
      <c r="N1672" s="26">
        <v>0</v>
      </c>
      <c r="O1672" s="15">
        <f t="shared" si="130"/>
        <v>55999</v>
      </c>
      <c r="P1672" s="15">
        <f t="shared" si="131"/>
        <v>11.709147935180345</v>
      </c>
      <c r="Q1672" s="25">
        <v>4821</v>
      </c>
      <c r="R1672" s="22">
        <v>99</v>
      </c>
      <c r="S1672" s="22" t="s">
        <v>2145</v>
      </c>
      <c r="T1672" s="22">
        <f t="shared" si="132"/>
        <v>3</v>
      </c>
      <c r="U1672" s="22">
        <f t="shared" si="133"/>
        <v>2021</v>
      </c>
      <c r="V1672" s="22" t="str">
        <f t="shared" si="134"/>
        <v>METROPOLITANA</v>
      </c>
    </row>
    <row r="1673" spans="1:22" x14ac:dyDescent="0.2">
      <c r="A1673" s="23" t="s">
        <v>2134</v>
      </c>
      <c r="B1673" s="22" t="s">
        <v>33</v>
      </c>
      <c r="C1673" s="22" t="s">
        <v>44</v>
      </c>
      <c r="D1673" s="22" t="s">
        <v>30</v>
      </c>
      <c r="E1673" s="24" t="s">
        <v>31</v>
      </c>
      <c r="F1673" s="22" t="s">
        <v>26</v>
      </c>
      <c r="G1673" s="25">
        <v>4301.6000000000004</v>
      </c>
      <c r="H1673" s="22" t="s">
        <v>32</v>
      </c>
      <c r="I1673" s="22">
        <v>0</v>
      </c>
      <c r="J1673" s="22" t="s">
        <v>26</v>
      </c>
      <c r="K1673" s="22" t="s">
        <v>23</v>
      </c>
      <c r="L1673" s="22">
        <v>4</v>
      </c>
      <c r="M1673" s="26">
        <v>55000</v>
      </c>
      <c r="N1673" s="26">
        <v>12905</v>
      </c>
      <c r="O1673" s="15">
        <f t="shared" si="130"/>
        <v>67905</v>
      </c>
      <c r="P1673" s="15">
        <f t="shared" si="131"/>
        <v>15.785986609633623</v>
      </c>
      <c r="Q1673" s="25">
        <v>8011</v>
      </c>
      <c r="R1673" s="22">
        <v>54</v>
      </c>
      <c r="S1673" s="22" t="s">
        <v>2146</v>
      </c>
      <c r="T1673" s="22">
        <f t="shared" si="132"/>
        <v>3</v>
      </c>
      <c r="U1673" s="22">
        <f t="shared" si="133"/>
        <v>2021</v>
      </c>
      <c r="V1673" s="22" t="str">
        <f t="shared" si="134"/>
        <v>METROPOLITANA</v>
      </c>
    </row>
    <row r="1674" spans="1:22" x14ac:dyDescent="0.2">
      <c r="A1674" s="23" t="s">
        <v>2134</v>
      </c>
      <c r="B1674" s="22" t="s">
        <v>33</v>
      </c>
      <c r="C1674" s="22" t="s">
        <v>44</v>
      </c>
      <c r="D1674" s="22" t="s">
        <v>45</v>
      </c>
      <c r="E1674" s="24" t="s">
        <v>21</v>
      </c>
      <c r="F1674" s="22" t="s">
        <v>51</v>
      </c>
      <c r="G1674" s="25">
        <v>3345.1</v>
      </c>
      <c r="H1674" s="22" t="s">
        <v>22</v>
      </c>
      <c r="I1674" s="22">
        <v>0</v>
      </c>
      <c r="J1674" s="22" t="s">
        <v>51</v>
      </c>
      <c r="K1674" s="22" t="s">
        <v>23</v>
      </c>
      <c r="L1674" s="22">
        <v>4</v>
      </c>
      <c r="M1674" s="26">
        <v>56075</v>
      </c>
      <c r="N1674" s="26">
        <v>13380</v>
      </c>
      <c r="O1674" s="15">
        <f t="shared" si="130"/>
        <v>69455</v>
      </c>
      <c r="P1674" s="15">
        <f t="shared" si="131"/>
        <v>20.763205883232192</v>
      </c>
      <c r="Q1674" s="25">
        <v>8011</v>
      </c>
      <c r="R1674" s="22">
        <v>42</v>
      </c>
      <c r="S1674" s="22" t="s">
        <v>2147</v>
      </c>
      <c r="T1674" s="22">
        <f t="shared" si="132"/>
        <v>3</v>
      </c>
      <c r="U1674" s="22">
        <f t="shared" si="133"/>
        <v>2021</v>
      </c>
      <c r="V1674" s="22" t="str">
        <f t="shared" si="134"/>
        <v>METROPOLITANA</v>
      </c>
    </row>
    <row r="1675" spans="1:22" x14ac:dyDescent="0.2">
      <c r="A1675" s="23" t="s">
        <v>2134</v>
      </c>
      <c r="B1675" s="22" t="s">
        <v>33</v>
      </c>
      <c r="C1675" s="22" t="s">
        <v>44</v>
      </c>
      <c r="D1675" s="22" t="s">
        <v>47</v>
      </c>
      <c r="E1675" s="24" t="s">
        <v>1576</v>
      </c>
      <c r="F1675" s="22" t="s">
        <v>48</v>
      </c>
      <c r="G1675" s="25">
        <v>4523.6000000000004</v>
      </c>
      <c r="H1675" s="22" t="s">
        <v>22</v>
      </c>
      <c r="I1675" s="22">
        <v>0</v>
      </c>
      <c r="J1675" s="22" t="s">
        <v>48</v>
      </c>
      <c r="K1675" s="22" t="s">
        <v>23</v>
      </c>
      <c r="L1675" s="22">
        <v>1</v>
      </c>
      <c r="M1675" s="26">
        <v>33750</v>
      </c>
      <c r="N1675" s="26">
        <v>18094</v>
      </c>
      <c r="O1675" s="15">
        <f t="shared" si="130"/>
        <v>51844</v>
      </c>
      <c r="P1675" s="15">
        <f t="shared" si="131"/>
        <v>11.460783446812272</v>
      </c>
      <c r="Q1675" s="25">
        <v>4821</v>
      </c>
      <c r="R1675" s="22">
        <v>94</v>
      </c>
      <c r="S1675" s="22" t="s">
        <v>2148</v>
      </c>
      <c r="T1675" s="22">
        <f t="shared" si="132"/>
        <v>3</v>
      </c>
      <c r="U1675" s="22">
        <f t="shared" si="133"/>
        <v>2021</v>
      </c>
      <c r="V1675" s="22" t="str">
        <f t="shared" si="134"/>
        <v>METROPOLITANA</v>
      </c>
    </row>
    <row r="1676" spans="1:22" x14ac:dyDescent="0.2">
      <c r="A1676" s="23" t="s">
        <v>2134</v>
      </c>
      <c r="B1676" s="22" t="s">
        <v>33</v>
      </c>
      <c r="C1676" s="22" t="s">
        <v>44</v>
      </c>
      <c r="D1676" s="22" t="s">
        <v>35</v>
      </c>
      <c r="E1676" s="24" t="s">
        <v>52</v>
      </c>
      <c r="F1676" s="22" t="s">
        <v>26</v>
      </c>
      <c r="G1676" s="25">
        <v>1643.5</v>
      </c>
      <c r="H1676" s="22" t="s">
        <v>22</v>
      </c>
      <c r="I1676" s="22">
        <v>0</v>
      </c>
      <c r="J1676" s="22" t="s">
        <v>26</v>
      </c>
      <c r="K1676" s="22" t="s">
        <v>23</v>
      </c>
      <c r="L1676" s="22">
        <v>4</v>
      </c>
      <c r="M1676" s="26">
        <v>56075</v>
      </c>
      <c r="N1676" s="26">
        <v>12000</v>
      </c>
      <c r="O1676" s="15">
        <f t="shared" si="130"/>
        <v>68075</v>
      </c>
      <c r="P1676" s="15">
        <f t="shared" si="131"/>
        <v>41.420748402798907</v>
      </c>
      <c r="Q1676" s="25">
        <v>8011</v>
      </c>
      <c r="R1676" s="22">
        <v>21</v>
      </c>
      <c r="S1676" s="22" t="s">
        <v>2149</v>
      </c>
      <c r="T1676" s="22">
        <f t="shared" si="132"/>
        <v>3</v>
      </c>
      <c r="U1676" s="22">
        <f t="shared" si="133"/>
        <v>2021</v>
      </c>
      <c r="V1676" s="22" t="str">
        <f t="shared" si="134"/>
        <v>METROPOLITANA</v>
      </c>
    </row>
    <row r="1677" spans="1:22" x14ac:dyDescent="0.2">
      <c r="A1677" s="23" t="s">
        <v>2134</v>
      </c>
      <c r="B1677" s="22" t="s">
        <v>33</v>
      </c>
      <c r="C1677" s="22" t="s">
        <v>44</v>
      </c>
      <c r="D1677" s="22" t="s">
        <v>867</v>
      </c>
      <c r="E1677" s="24" t="s">
        <v>2150</v>
      </c>
      <c r="F1677" s="22" t="s">
        <v>114</v>
      </c>
      <c r="G1677" s="25">
        <f>9294+4376.3</f>
        <v>13670.3</v>
      </c>
      <c r="H1677" s="22" t="s">
        <v>85</v>
      </c>
      <c r="I1677" s="22">
        <v>1</v>
      </c>
      <c r="J1677" s="22" t="s">
        <v>114</v>
      </c>
      <c r="K1677" s="22" t="s">
        <v>75</v>
      </c>
      <c r="L1677" s="22">
        <v>0</v>
      </c>
      <c r="M1677" s="26">
        <v>380000</v>
      </c>
      <c r="N1677" s="26">
        <v>0</v>
      </c>
      <c r="O1677" s="15">
        <f t="shared" si="130"/>
        <v>380000</v>
      </c>
      <c r="P1677" s="15">
        <f t="shared" si="131"/>
        <v>27.797487984901576</v>
      </c>
      <c r="Q1677" s="25">
        <v>25000</v>
      </c>
      <c r="R1677" s="22">
        <v>37</v>
      </c>
      <c r="S1677" s="22" t="s">
        <v>2151</v>
      </c>
      <c r="T1677" s="22">
        <f t="shared" si="132"/>
        <v>3</v>
      </c>
      <c r="U1677" s="22">
        <f t="shared" si="133"/>
        <v>2021</v>
      </c>
      <c r="V1677" s="22" t="str">
        <f t="shared" si="134"/>
        <v>REGIONES</v>
      </c>
    </row>
    <row r="1678" spans="1:22" x14ac:dyDescent="0.2">
      <c r="A1678" s="23" t="s">
        <v>2134</v>
      </c>
      <c r="B1678" s="22" t="s">
        <v>33</v>
      </c>
      <c r="C1678" s="22" t="s">
        <v>44</v>
      </c>
      <c r="D1678" s="22" t="s">
        <v>20</v>
      </c>
      <c r="E1678" s="24" t="s">
        <v>49</v>
      </c>
      <c r="F1678" s="22" t="s">
        <v>46</v>
      </c>
      <c r="G1678" s="25">
        <v>2869.5</v>
      </c>
      <c r="H1678" s="22" t="s">
        <v>22</v>
      </c>
      <c r="I1678" s="22">
        <v>0</v>
      </c>
      <c r="J1678" s="22" t="s">
        <v>46</v>
      </c>
      <c r="K1678" s="22" t="s">
        <v>23</v>
      </c>
      <c r="L1678" s="22">
        <v>2</v>
      </c>
      <c r="M1678" s="26">
        <v>40475</v>
      </c>
      <c r="N1678" s="26">
        <v>12000</v>
      </c>
      <c r="O1678" s="15">
        <f t="shared" si="130"/>
        <v>52475</v>
      </c>
      <c r="P1678" s="15">
        <f t="shared" si="131"/>
        <v>18.28715804147064</v>
      </c>
      <c r="Q1678" s="25">
        <v>5782</v>
      </c>
      <c r="R1678" s="22">
        <v>50</v>
      </c>
      <c r="S1678" s="22" t="s">
        <v>2152</v>
      </c>
      <c r="T1678" s="22">
        <f t="shared" si="132"/>
        <v>3</v>
      </c>
      <c r="U1678" s="22">
        <f t="shared" si="133"/>
        <v>2021</v>
      </c>
      <c r="V1678" s="22" t="str">
        <f t="shared" si="134"/>
        <v>METROPOLITANA</v>
      </c>
    </row>
    <row r="1679" spans="1:22" x14ac:dyDescent="0.2">
      <c r="A1679" s="11" t="s">
        <v>2153</v>
      </c>
      <c r="B1679" s="12" t="s">
        <v>18</v>
      </c>
      <c r="C1679" s="12" t="s">
        <v>187</v>
      </c>
      <c r="D1679" s="12" t="s">
        <v>45</v>
      </c>
      <c r="E1679" s="13" t="s">
        <v>49</v>
      </c>
      <c r="F1679" s="12" t="s">
        <v>129</v>
      </c>
      <c r="G1679" s="14">
        <v>874</v>
      </c>
      <c r="H1679" s="12" t="s">
        <v>22</v>
      </c>
      <c r="I1679" s="12">
        <v>0</v>
      </c>
      <c r="J1679" s="12" t="s">
        <v>129</v>
      </c>
      <c r="K1679" s="12" t="s">
        <v>23</v>
      </c>
      <c r="L1679" s="12">
        <v>1</v>
      </c>
      <c r="M1679" s="15">
        <v>33750</v>
      </c>
      <c r="N1679" s="15">
        <v>12000</v>
      </c>
      <c r="O1679" s="15">
        <f t="shared" si="130"/>
        <v>45750</v>
      </c>
      <c r="P1679" s="15">
        <f t="shared" si="131"/>
        <v>52.345537757437071</v>
      </c>
      <c r="Q1679" s="14">
        <v>4821</v>
      </c>
      <c r="R1679" s="12">
        <v>18</v>
      </c>
      <c r="S1679" s="12" t="s">
        <v>2154</v>
      </c>
      <c r="T1679" s="22">
        <f t="shared" si="132"/>
        <v>3</v>
      </c>
      <c r="U1679" s="22">
        <f t="shared" si="133"/>
        <v>2021</v>
      </c>
      <c r="V1679" s="22" t="str">
        <f t="shared" si="134"/>
        <v>METROPOLITANA</v>
      </c>
    </row>
    <row r="1680" spans="1:22" x14ac:dyDescent="0.2">
      <c r="A1680" s="11" t="s">
        <v>2153</v>
      </c>
      <c r="B1680" s="12" t="s">
        <v>18</v>
      </c>
      <c r="C1680" s="12" t="s">
        <v>1997</v>
      </c>
      <c r="D1680" s="12" t="s">
        <v>56</v>
      </c>
      <c r="E1680" s="13" t="s">
        <v>1576</v>
      </c>
      <c r="F1680" s="12" t="s">
        <v>58</v>
      </c>
      <c r="G1680" s="14">
        <v>2800</v>
      </c>
      <c r="H1680" s="12" t="s">
        <v>22</v>
      </c>
      <c r="I1680" s="12">
        <v>0</v>
      </c>
      <c r="J1680" s="12" t="s">
        <v>58</v>
      </c>
      <c r="K1680" s="12" t="s">
        <v>23</v>
      </c>
      <c r="L1680" s="12">
        <v>5</v>
      </c>
      <c r="M1680" s="15">
        <v>70000</v>
      </c>
      <c r="N1680" s="15">
        <v>12000</v>
      </c>
      <c r="O1680" s="15">
        <f t="shared" si="130"/>
        <v>82000</v>
      </c>
      <c r="P1680" s="15">
        <f t="shared" si="131"/>
        <v>29.285714285714285</v>
      </c>
      <c r="Q1680" s="14">
        <v>12000</v>
      </c>
      <c r="R1680" s="12">
        <v>23</v>
      </c>
      <c r="S1680" s="12" t="s">
        <v>2155</v>
      </c>
      <c r="T1680" s="22">
        <f t="shared" si="132"/>
        <v>3</v>
      </c>
      <c r="U1680" s="22">
        <f t="shared" si="133"/>
        <v>2021</v>
      </c>
      <c r="V1680" s="22" t="str">
        <f t="shared" si="134"/>
        <v>METROPOLITANA</v>
      </c>
    </row>
    <row r="1681" spans="1:22" x14ac:dyDescent="0.2">
      <c r="A1681" s="11" t="s">
        <v>2153</v>
      </c>
      <c r="B1681" s="12" t="s">
        <v>18</v>
      </c>
      <c r="C1681" s="12" t="s">
        <v>994</v>
      </c>
      <c r="D1681" s="12" t="s">
        <v>37</v>
      </c>
      <c r="E1681" s="13" t="s">
        <v>40</v>
      </c>
      <c r="F1681" s="12" t="s">
        <v>995</v>
      </c>
      <c r="G1681" s="14">
        <v>4603.2</v>
      </c>
      <c r="H1681" s="12" t="s">
        <v>22</v>
      </c>
      <c r="I1681" s="12">
        <v>0</v>
      </c>
      <c r="J1681" s="12" t="s">
        <v>995</v>
      </c>
      <c r="K1681" s="12" t="s">
        <v>23</v>
      </c>
      <c r="L1681" s="12">
        <v>1</v>
      </c>
      <c r="M1681" s="15">
        <v>33750</v>
      </c>
      <c r="N1681" s="15">
        <v>12000</v>
      </c>
      <c r="O1681" s="15">
        <f t="shared" si="130"/>
        <v>45750</v>
      </c>
      <c r="P1681" s="15">
        <f t="shared" si="131"/>
        <v>9.9387382690302406</v>
      </c>
      <c r="Q1681" s="14">
        <v>4821</v>
      </c>
      <c r="R1681" s="12">
        <v>95</v>
      </c>
      <c r="S1681" s="12" t="s">
        <v>2156</v>
      </c>
      <c r="T1681" s="22">
        <f t="shared" si="132"/>
        <v>3</v>
      </c>
      <c r="U1681" s="22">
        <f t="shared" si="133"/>
        <v>2021</v>
      </c>
      <c r="V1681" s="22" t="str">
        <f t="shared" si="134"/>
        <v>METROPOLITANA</v>
      </c>
    </row>
    <row r="1682" spans="1:22" x14ac:dyDescent="0.2">
      <c r="A1682" s="11" t="s">
        <v>2153</v>
      </c>
      <c r="B1682" s="12" t="s">
        <v>33</v>
      </c>
      <c r="C1682" s="12" t="s">
        <v>160</v>
      </c>
      <c r="D1682" s="12" t="s">
        <v>38</v>
      </c>
      <c r="E1682" s="13" t="s">
        <v>42</v>
      </c>
      <c r="F1682" s="12" t="s">
        <v>161</v>
      </c>
      <c r="G1682" s="14">
        <v>3130</v>
      </c>
      <c r="H1682" s="12" t="s">
        <v>43</v>
      </c>
      <c r="I1682" s="12">
        <v>0</v>
      </c>
      <c r="J1682" s="12" t="s">
        <v>161</v>
      </c>
      <c r="K1682" s="12" t="s">
        <v>23</v>
      </c>
      <c r="L1682" s="12">
        <v>5</v>
      </c>
      <c r="M1682" s="15">
        <v>70000</v>
      </c>
      <c r="N1682" s="15">
        <v>0</v>
      </c>
      <c r="O1682" s="15">
        <f t="shared" si="130"/>
        <v>70000</v>
      </c>
      <c r="P1682" s="15">
        <f t="shared" si="131"/>
        <v>22.364217252396166</v>
      </c>
      <c r="Q1682" s="14">
        <v>12000</v>
      </c>
      <c r="R1682" s="12">
        <v>26</v>
      </c>
      <c r="S1682" s="12" t="s">
        <v>2157</v>
      </c>
      <c r="T1682" s="22">
        <f t="shared" si="132"/>
        <v>3</v>
      </c>
      <c r="U1682" s="22">
        <f t="shared" si="133"/>
        <v>2021</v>
      </c>
      <c r="V1682" s="22" t="str">
        <f t="shared" si="134"/>
        <v>METROPOLITANA</v>
      </c>
    </row>
    <row r="1683" spans="1:22" x14ac:dyDescent="0.2">
      <c r="A1683" s="11" t="s">
        <v>2153</v>
      </c>
      <c r="B1683" s="12" t="s">
        <v>33</v>
      </c>
      <c r="C1683" s="12" t="s">
        <v>128</v>
      </c>
      <c r="D1683" s="12" t="s">
        <v>20</v>
      </c>
      <c r="E1683" s="13" t="s">
        <v>21</v>
      </c>
      <c r="F1683" s="12" t="s">
        <v>34</v>
      </c>
      <c r="G1683" s="14">
        <v>1417</v>
      </c>
      <c r="H1683" s="12" t="s">
        <v>22</v>
      </c>
      <c r="I1683" s="12">
        <v>0</v>
      </c>
      <c r="J1683" s="12" t="s">
        <v>34</v>
      </c>
      <c r="K1683" s="12" t="s">
        <v>23</v>
      </c>
      <c r="L1683" s="12">
        <v>1</v>
      </c>
      <c r="M1683" s="15">
        <v>33750</v>
      </c>
      <c r="N1683" s="15">
        <v>12000</v>
      </c>
      <c r="O1683" s="15">
        <f t="shared" si="130"/>
        <v>45750</v>
      </c>
      <c r="P1683" s="15">
        <f t="shared" si="131"/>
        <v>32.286520818630912</v>
      </c>
      <c r="Q1683" s="14">
        <v>4821</v>
      </c>
      <c r="R1683" s="12">
        <v>29</v>
      </c>
      <c r="S1683" s="12" t="s">
        <v>2158</v>
      </c>
      <c r="T1683" s="22">
        <f t="shared" si="132"/>
        <v>3</v>
      </c>
      <c r="U1683" s="22">
        <f t="shared" si="133"/>
        <v>2021</v>
      </c>
      <c r="V1683" s="22" t="str">
        <f t="shared" si="134"/>
        <v>METROPOLITANA</v>
      </c>
    </row>
    <row r="1684" spans="1:22" x14ac:dyDescent="0.2">
      <c r="A1684" s="11" t="s">
        <v>2153</v>
      </c>
      <c r="B1684" s="12" t="s">
        <v>33</v>
      </c>
      <c r="C1684" s="12" t="s">
        <v>29</v>
      </c>
      <c r="D1684" s="12" t="s">
        <v>38</v>
      </c>
      <c r="E1684" s="13" t="s">
        <v>42</v>
      </c>
      <c r="F1684" s="12" t="s">
        <v>134</v>
      </c>
      <c r="G1684" s="14">
        <v>6901.9999999999991</v>
      </c>
      <c r="H1684" s="12" t="s">
        <v>43</v>
      </c>
      <c r="I1684" s="12">
        <v>0</v>
      </c>
      <c r="J1684" s="12" t="s">
        <v>134</v>
      </c>
      <c r="K1684" s="12" t="s">
        <v>23</v>
      </c>
      <c r="L1684" s="12">
        <v>2</v>
      </c>
      <c r="M1684" s="15">
        <f>+G1684*11</f>
        <v>75921.999999999985</v>
      </c>
      <c r="N1684" s="15">
        <v>0</v>
      </c>
      <c r="O1684" s="15">
        <f t="shared" si="130"/>
        <v>75921.999999999985</v>
      </c>
      <c r="P1684" s="15">
        <f t="shared" si="131"/>
        <v>11</v>
      </c>
      <c r="Q1684" s="14">
        <v>5782</v>
      </c>
      <c r="R1684" s="12">
        <v>100</v>
      </c>
      <c r="S1684" s="12" t="s">
        <v>2159</v>
      </c>
      <c r="T1684" s="22">
        <f t="shared" si="132"/>
        <v>3</v>
      </c>
      <c r="U1684" s="22">
        <f t="shared" si="133"/>
        <v>2021</v>
      </c>
      <c r="V1684" s="22" t="str">
        <f t="shared" si="134"/>
        <v>METROPOLITANA</v>
      </c>
    </row>
    <row r="1685" spans="1:22" x14ac:dyDescent="0.2">
      <c r="A1685" s="11" t="s">
        <v>2153</v>
      </c>
      <c r="B1685" s="12" t="s">
        <v>33</v>
      </c>
      <c r="C1685" s="12" t="s">
        <v>29</v>
      </c>
      <c r="D1685" s="12" t="s">
        <v>41</v>
      </c>
      <c r="E1685" s="13" t="s">
        <v>25</v>
      </c>
      <c r="F1685" s="12" t="s">
        <v>134</v>
      </c>
      <c r="G1685" s="14">
        <v>7625.2000000000007</v>
      </c>
      <c r="H1685" s="12" t="s">
        <v>43</v>
      </c>
      <c r="I1685" s="12">
        <v>0</v>
      </c>
      <c r="J1685" s="12" t="s">
        <v>134</v>
      </c>
      <c r="K1685" s="12" t="s">
        <v>23</v>
      </c>
      <c r="L1685" s="12">
        <v>2</v>
      </c>
      <c r="M1685" s="15">
        <f>+G1685*11</f>
        <v>83877.200000000012</v>
      </c>
      <c r="N1685" s="15">
        <v>0</v>
      </c>
      <c r="O1685" s="15">
        <f t="shared" si="130"/>
        <v>83877.200000000012</v>
      </c>
      <c r="P1685" s="15">
        <f t="shared" si="131"/>
        <v>11</v>
      </c>
      <c r="Q1685" s="14">
        <v>5782</v>
      </c>
      <c r="R1685" s="12">
        <v>100</v>
      </c>
      <c r="S1685" s="12" t="s">
        <v>2160</v>
      </c>
      <c r="T1685" s="22">
        <f t="shared" si="132"/>
        <v>3</v>
      </c>
      <c r="U1685" s="22">
        <f t="shared" si="133"/>
        <v>2021</v>
      </c>
      <c r="V1685" s="22" t="str">
        <f t="shared" si="134"/>
        <v>METROPOLITANA</v>
      </c>
    </row>
    <row r="1686" spans="1:22" x14ac:dyDescent="0.2">
      <c r="A1686" s="11" t="s">
        <v>2153</v>
      </c>
      <c r="B1686" s="12" t="s">
        <v>33</v>
      </c>
      <c r="C1686" s="12" t="s">
        <v>44</v>
      </c>
      <c r="D1686" s="12" t="s">
        <v>191</v>
      </c>
      <c r="E1686" s="13" t="s">
        <v>192</v>
      </c>
      <c r="F1686" s="12" t="s">
        <v>114</v>
      </c>
      <c r="G1686" s="14">
        <v>15303.999999999991</v>
      </c>
      <c r="H1686" s="12" t="s">
        <v>85</v>
      </c>
      <c r="I1686" s="12">
        <v>1</v>
      </c>
      <c r="J1686" s="12" t="s">
        <v>114</v>
      </c>
      <c r="K1686" s="12" t="s">
        <v>75</v>
      </c>
      <c r="L1686" s="12">
        <v>0</v>
      </c>
      <c r="M1686" s="15">
        <v>380000</v>
      </c>
      <c r="N1686" s="15">
        <v>0</v>
      </c>
      <c r="O1686" s="15">
        <f t="shared" si="130"/>
        <v>380000</v>
      </c>
      <c r="P1686" s="15">
        <f t="shared" si="131"/>
        <v>24.83010977522218</v>
      </c>
      <c r="Q1686" s="14">
        <v>25000</v>
      </c>
      <c r="R1686" s="12">
        <v>61</v>
      </c>
      <c r="S1686" s="12" t="s">
        <v>2161</v>
      </c>
      <c r="T1686" s="22">
        <f t="shared" si="132"/>
        <v>3</v>
      </c>
      <c r="U1686" s="22">
        <f t="shared" si="133"/>
        <v>2021</v>
      </c>
      <c r="V1686" s="22" t="str">
        <f t="shared" si="134"/>
        <v>REGIONES</v>
      </c>
    </row>
    <row r="1687" spans="1:22" x14ac:dyDescent="0.2">
      <c r="A1687" s="11" t="s">
        <v>2153</v>
      </c>
      <c r="B1687" s="12" t="s">
        <v>33</v>
      </c>
      <c r="C1687" s="12" t="s">
        <v>44</v>
      </c>
      <c r="D1687" s="12" t="s">
        <v>188</v>
      </c>
      <c r="E1687" s="13" t="s">
        <v>189</v>
      </c>
      <c r="F1687" s="12" t="s">
        <v>95</v>
      </c>
      <c r="G1687" s="14">
        <v>2594.6999999999998</v>
      </c>
      <c r="H1687" s="12" t="s">
        <v>190</v>
      </c>
      <c r="I1687" s="12">
        <v>0</v>
      </c>
      <c r="J1687" s="12" t="s">
        <v>95</v>
      </c>
      <c r="K1687" s="12" t="s">
        <v>23</v>
      </c>
      <c r="L1687" s="12">
        <v>4</v>
      </c>
      <c r="M1687" s="15">
        <v>55000</v>
      </c>
      <c r="N1687" s="15">
        <v>0</v>
      </c>
      <c r="O1687" s="15">
        <f t="shared" si="130"/>
        <v>55000</v>
      </c>
      <c r="P1687" s="15">
        <f t="shared" si="131"/>
        <v>21.197055536285507</v>
      </c>
      <c r="Q1687" s="14">
        <v>8011</v>
      </c>
      <c r="R1687" s="12">
        <v>32</v>
      </c>
      <c r="S1687" s="12" t="s">
        <v>2162</v>
      </c>
      <c r="T1687" s="22">
        <f t="shared" si="132"/>
        <v>3</v>
      </c>
      <c r="U1687" s="22">
        <f t="shared" si="133"/>
        <v>2021</v>
      </c>
      <c r="V1687" s="22" t="str">
        <f t="shared" si="134"/>
        <v>METROPOLITANA</v>
      </c>
    </row>
    <row r="1688" spans="1:22" x14ac:dyDescent="0.2">
      <c r="A1688" s="11" t="s">
        <v>2153</v>
      </c>
      <c r="B1688" s="12" t="s">
        <v>33</v>
      </c>
      <c r="C1688" s="12" t="s">
        <v>44</v>
      </c>
      <c r="D1688" s="12" t="s">
        <v>47</v>
      </c>
      <c r="E1688" s="13" t="s">
        <v>1576</v>
      </c>
      <c r="F1688" s="12" t="s">
        <v>48</v>
      </c>
      <c r="G1688" s="14">
        <v>2187.8000000000002</v>
      </c>
      <c r="H1688" s="12" t="s">
        <v>22</v>
      </c>
      <c r="I1688" s="12">
        <v>0</v>
      </c>
      <c r="J1688" s="12" t="s">
        <v>48</v>
      </c>
      <c r="K1688" s="12" t="s">
        <v>23</v>
      </c>
      <c r="L1688" s="12">
        <v>1</v>
      </c>
      <c r="M1688" s="15">
        <v>33750</v>
      </c>
      <c r="N1688" s="15">
        <v>12000</v>
      </c>
      <c r="O1688" s="15">
        <f t="shared" si="130"/>
        <v>45750</v>
      </c>
      <c r="P1688" s="15">
        <f t="shared" si="131"/>
        <v>20.911417862693114</v>
      </c>
      <c r="Q1688" s="14">
        <v>4821</v>
      </c>
      <c r="R1688" s="12">
        <v>45</v>
      </c>
      <c r="S1688" s="12" t="s">
        <v>2163</v>
      </c>
      <c r="T1688" s="22">
        <f t="shared" si="132"/>
        <v>3</v>
      </c>
      <c r="U1688" s="22">
        <f t="shared" si="133"/>
        <v>2021</v>
      </c>
      <c r="V1688" s="22" t="str">
        <f t="shared" si="134"/>
        <v>METROPOLITANA</v>
      </c>
    </row>
    <row r="1689" spans="1:22" x14ac:dyDescent="0.2">
      <c r="A1689" s="11" t="s">
        <v>2153</v>
      </c>
      <c r="B1689" s="12" t="s">
        <v>33</v>
      </c>
      <c r="C1689" s="12" t="s">
        <v>44</v>
      </c>
      <c r="D1689" s="12" t="s">
        <v>35</v>
      </c>
      <c r="E1689" s="13" t="s">
        <v>49</v>
      </c>
      <c r="F1689" s="12" t="s">
        <v>182</v>
      </c>
      <c r="G1689" s="14">
        <v>2938.2</v>
      </c>
      <c r="H1689" s="12" t="s">
        <v>22</v>
      </c>
      <c r="I1689" s="12">
        <v>0</v>
      </c>
      <c r="J1689" s="12" t="s">
        <v>182</v>
      </c>
      <c r="K1689" s="12" t="s">
        <v>23</v>
      </c>
      <c r="L1689" s="12">
        <v>4</v>
      </c>
      <c r="M1689" s="15">
        <v>56075</v>
      </c>
      <c r="N1689" s="15">
        <v>12000</v>
      </c>
      <c r="O1689" s="15">
        <f t="shared" si="130"/>
        <v>68075</v>
      </c>
      <c r="P1689" s="15">
        <f t="shared" si="131"/>
        <v>23.168946974338031</v>
      </c>
      <c r="Q1689" s="14">
        <v>8011</v>
      </c>
      <c r="R1689" s="12">
        <v>37</v>
      </c>
      <c r="S1689" s="12" t="s">
        <v>2164</v>
      </c>
      <c r="T1689" s="22">
        <f t="shared" si="132"/>
        <v>3</v>
      </c>
      <c r="U1689" s="22">
        <f t="shared" si="133"/>
        <v>2021</v>
      </c>
      <c r="V1689" s="22" t="str">
        <f t="shared" si="134"/>
        <v>METROPOLITANA</v>
      </c>
    </row>
    <row r="1690" spans="1:22" x14ac:dyDescent="0.2">
      <c r="A1690" s="11" t="s">
        <v>2153</v>
      </c>
      <c r="B1690" s="12" t="s">
        <v>33</v>
      </c>
      <c r="C1690" s="12" t="s">
        <v>1163</v>
      </c>
      <c r="D1690" s="12" t="s">
        <v>786</v>
      </c>
      <c r="E1690" s="13" t="s">
        <v>787</v>
      </c>
      <c r="F1690" s="12" t="s">
        <v>1166</v>
      </c>
      <c r="G1690" s="14">
        <v>17360</v>
      </c>
      <c r="H1690" s="12" t="s">
        <v>788</v>
      </c>
      <c r="I1690" s="12">
        <v>1</v>
      </c>
      <c r="J1690" s="12" t="s">
        <v>1166</v>
      </c>
      <c r="K1690" s="12" t="s">
        <v>23</v>
      </c>
      <c r="L1690" s="12">
        <v>5</v>
      </c>
      <c r="M1690" s="15">
        <f>+G1690*11</f>
        <v>190960</v>
      </c>
      <c r="N1690" s="15">
        <v>0</v>
      </c>
      <c r="O1690" s="15">
        <f t="shared" si="130"/>
        <v>190960</v>
      </c>
      <c r="P1690" s="15">
        <f t="shared" si="131"/>
        <v>11</v>
      </c>
      <c r="Q1690" s="14">
        <v>12000</v>
      </c>
      <c r="R1690" s="12">
        <v>100</v>
      </c>
      <c r="S1690" s="12" t="s">
        <v>2165</v>
      </c>
      <c r="T1690" s="22">
        <f t="shared" si="132"/>
        <v>3</v>
      </c>
      <c r="U1690" s="22">
        <f t="shared" si="133"/>
        <v>2021</v>
      </c>
      <c r="V1690" s="22" t="str">
        <f t="shared" si="134"/>
        <v>METROPOLITANA</v>
      </c>
    </row>
    <row r="1691" spans="1:22" x14ac:dyDescent="0.2">
      <c r="A1691" s="11" t="s">
        <v>2153</v>
      </c>
      <c r="B1691" s="12" t="s">
        <v>33</v>
      </c>
      <c r="C1691" s="12" t="s">
        <v>1163</v>
      </c>
      <c r="D1691" s="12" t="s">
        <v>30</v>
      </c>
      <c r="E1691" s="13" t="s">
        <v>31</v>
      </c>
      <c r="F1691" s="12" t="s">
        <v>1166</v>
      </c>
      <c r="G1691" s="14">
        <v>12915.84</v>
      </c>
      <c r="H1691" s="12" t="s">
        <v>32</v>
      </c>
      <c r="I1691" s="12">
        <v>0</v>
      </c>
      <c r="J1691" s="12" t="s">
        <v>1166</v>
      </c>
      <c r="K1691" s="12" t="s">
        <v>23</v>
      </c>
      <c r="L1691" s="12">
        <v>5</v>
      </c>
      <c r="M1691" s="15">
        <f>+G1691*11</f>
        <v>142074.23999999999</v>
      </c>
      <c r="N1691" s="15">
        <v>0</v>
      </c>
      <c r="O1691" s="15">
        <f t="shared" si="130"/>
        <v>142074.23999999999</v>
      </c>
      <c r="P1691" s="15">
        <f t="shared" si="131"/>
        <v>11</v>
      </c>
      <c r="Q1691" s="14">
        <v>12000</v>
      </c>
      <c r="R1691" s="12">
        <v>100</v>
      </c>
      <c r="S1691" s="12" t="s">
        <v>2166</v>
      </c>
      <c r="T1691" s="22">
        <f t="shared" si="132"/>
        <v>3</v>
      </c>
      <c r="U1691" s="22">
        <f t="shared" si="133"/>
        <v>2021</v>
      </c>
      <c r="V1691" s="22" t="str">
        <f t="shared" si="134"/>
        <v>METROPOLITANA</v>
      </c>
    </row>
    <row r="1692" spans="1:22" x14ac:dyDescent="0.2">
      <c r="A1692" s="22" t="s">
        <v>2167</v>
      </c>
      <c r="B1692" s="22" t="s">
        <v>18</v>
      </c>
      <c r="C1692" s="22" t="s">
        <v>508</v>
      </c>
      <c r="D1692" s="22" t="s">
        <v>38</v>
      </c>
      <c r="E1692" s="22" t="s">
        <v>42</v>
      </c>
      <c r="F1692" s="22" t="s">
        <v>800</v>
      </c>
      <c r="G1692" s="25">
        <v>10348.92</v>
      </c>
      <c r="H1692" s="22" t="s">
        <v>43</v>
      </c>
      <c r="I1692" s="22">
        <v>0</v>
      </c>
      <c r="J1692" s="22" t="s">
        <v>800</v>
      </c>
      <c r="K1692" s="22" t="s">
        <v>23</v>
      </c>
      <c r="L1692" s="22">
        <v>5</v>
      </c>
      <c r="M1692" s="26">
        <f>+G1692*11</f>
        <v>113838.12</v>
      </c>
      <c r="N1692" s="26">
        <v>0</v>
      </c>
      <c r="O1692" s="15">
        <f t="shared" si="130"/>
        <v>113838.12</v>
      </c>
      <c r="P1692" s="15">
        <f t="shared" si="131"/>
        <v>11</v>
      </c>
      <c r="Q1692" s="22">
        <v>12000</v>
      </c>
      <c r="R1692" s="22">
        <v>86</v>
      </c>
      <c r="S1692" s="22" t="s">
        <v>2168</v>
      </c>
      <c r="T1692" s="22">
        <f t="shared" si="132"/>
        <v>3</v>
      </c>
      <c r="U1692" s="22">
        <f t="shared" si="133"/>
        <v>2021</v>
      </c>
      <c r="V1692" s="22" t="str">
        <f t="shared" si="134"/>
        <v>METROPOLITANA</v>
      </c>
    </row>
    <row r="1693" spans="1:22" x14ac:dyDescent="0.2">
      <c r="A1693" s="22" t="s">
        <v>2167</v>
      </c>
      <c r="B1693" s="22" t="s">
        <v>18</v>
      </c>
      <c r="C1693" s="22" t="s">
        <v>508</v>
      </c>
      <c r="D1693" s="22" t="s">
        <v>164</v>
      </c>
      <c r="E1693" s="22" t="s">
        <v>28</v>
      </c>
      <c r="F1693" s="22" t="s">
        <v>800</v>
      </c>
      <c r="G1693" s="25">
        <v>5861.4400000000014</v>
      </c>
      <c r="H1693" s="22" t="s">
        <v>22</v>
      </c>
      <c r="I1693" s="22">
        <v>1</v>
      </c>
      <c r="J1693" s="22" t="s">
        <v>800</v>
      </c>
      <c r="K1693" s="22" t="s">
        <v>23</v>
      </c>
      <c r="L1693" s="22">
        <v>5</v>
      </c>
      <c r="M1693" s="26">
        <v>120000</v>
      </c>
      <c r="N1693" s="26">
        <f>+G1693*4</f>
        <v>23445.760000000006</v>
      </c>
      <c r="O1693" s="15">
        <f t="shared" si="130"/>
        <v>143445.76000000001</v>
      </c>
      <c r="P1693" s="15">
        <f t="shared" si="131"/>
        <v>24.472784844679801</v>
      </c>
      <c r="Q1693" s="22">
        <v>12000</v>
      </c>
      <c r="R1693" s="22">
        <v>49</v>
      </c>
      <c r="S1693" s="22" t="s">
        <v>2169</v>
      </c>
      <c r="T1693" s="22">
        <f t="shared" si="132"/>
        <v>3</v>
      </c>
      <c r="U1693" s="22">
        <f t="shared" si="133"/>
        <v>2021</v>
      </c>
      <c r="V1693" s="22" t="str">
        <f t="shared" si="134"/>
        <v>METROPOLITANA</v>
      </c>
    </row>
    <row r="1694" spans="1:22" x14ac:dyDescent="0.2">
      <c r="A1694" s="22" t="s">
        <v>2167</v>
      </c>
      <c r="B1694" s="22" t="s">
        <v>33</v>
      </c>
      <c r="C1694" s="22" t="s">
        <v>60</v>
      </c>
      <c r="D1694" s="22" t="s">
        <v>41</v>
      </c>
      <c r="E1694" s="22" t="s">
        <v>42</v>
      </c>
      <c r="F1694" s="22" t="s">
        <v>51</v>
      </c>
      <c r="G1694" s="25">
        <v>5668</v>
      </c>
      <c r="H1694" s="22" t="s">
        <v>43</v>
      </c>
      <c r="I1694" s="22">
        <v>0</v>
      </c>
      <c r="J1694" s="22" t="s">
        <v>51</v>
      </c>
      <c r="K1694" s="22" t="s">
        <v>23</v>
      </c>
      <c r="L1694" s="22">
        <v>4</v>
      </c>
      <c r="M1694" s="26">
        <f>+G1694*11</f>
        <v>62348</v>
      </c>
      <c r="N1694" s="26">
        <v>0</v>
      </c>
      <c r="O1694" s="15">
        <f t="shared" si="130"/>
        <v>62348</v>
      </c>
      <c r="P1694" s="15">
        <f t="shared" si="131"/>
        <v>11</v>
      </c>
      <c r="Q1694" s="22">
        <v>8011</v>
      </c>
      <c r="R1694" s="22">
        <v>71</v>
      </c>
      <c r="S1694" s="22" t="s">
        <v>2170</v>
      </c>
      <c r="T1694" s="22">
        <f t="shared" si="132"/>
        <v>3</v>
      </c>
      <c r="U1694" s="22">
        <f t="shared" si="133"/>
        <v>2021</v>
      </c>
      <c r="V1694" s="22" t="str">
        <f t="shared" si="134"/>
        <v>METROPOLITANA</v>
      </c>
    </row>
    <row r="1695" spans="1:22" x14ac:dyDescent="0.2">
      <c r="A1695" s="22" t="s">
        <v>2167</v>
      </c>
      <c r="B1695" s="22" t="s">
        <v>33</v>
      </c>
      <c r="C1695" s="22" t="s">
        <v>163</v>
      </c>
      <c r="D1695" s="22" t="s">
        <v>30</v>
      </c>
      <c r="E1695" s="22" t="s">
        <v>31</v>
      </c>
      <c r="F1695" s="22" t="s">
        <v>165</v>
      </c>
      <c r="G1695" s="25">
        <v>11685.7</v>
      </c>
      <c r="H1695" s="22" t="s">
        <v>32</v>
      </c>
      <c r="I1695" s="22">
        <v>0</v>
      </c>
      <c r="J1695" s="22" t="s">
        <v>165</v>
      </c>
      <c r="K1695" s="22" t="s">
        <v>23</v>
      </c>
      <c r="L1695" s="22">
        <v>4</v>
      </c>
      <c r="M1695" s="26">
        <f>+G1695*11</f>
        <v>128542.70000000001</v>
      </c>
      <c r="N1695" s="26">
        <v>0</v>
      </c>
      <c r="O1695" s="15">
        <f t="shared" si="130"/>
        <v>128542.70000000001</v>
      </c>
      <c r="P1695" s="15">
        <f t="shared" si="131"/>
        <v>11</v>
      </c>
      <c r="Q1695" s="22">
        <v>8011</v>
      </c>
      <c r="R1695" s="22">
        <v>100</v>
      </c>
      <c r="S1695" s="22" t="s">
        <v>2171</v>
      </c>
      <c r="T1695" s="22">
        <f t="shared" si="132"/>
        <v>3</v>
      </c>
      <c r="U1695" s="22">
        <f t="shared" si="133"/>
        <v>2021</v>
      </c>
      <c r="V1695" s="22" t="str">
        <f t="shared" si="134"/>
        <v>METROPOLITANA</v>
      </c>
    </row>
    <row r="1696" spans="1:22" x14ac:dyDescent="0.2">
      <c r="A1696" s="22" t="s">
        <v>2167</v>
      </c>
      <c r="B1696" s="22" t="s">
        <v>33</v>
      </c>
      <c r="C1696" s="22" t="s">
        <v>128</v>
      </c>
      <c r="D1696" s="22" t="s">
        <v>37</v>
      </c>
      <c r="E1696" s="22" t="s">
        <v>40</v>
      </c>
      <c r="F1696" s="22" t="s">
        <v>34</v>
      </c>
      <c r="G1696" s="25">
        <v>6753.5999999999995</v>
      </c>
      <c r="H1696" s="22" t="s">
        <v>22</v>
      </c>
      <c r="I1696" s="22">
        <v>0</v>
      </c>
      <c r="J1696" s="22" t="s">
        <v>34</v>
      </c>
      <c r="K1696" s="22" t="s">
        <v>23</v>
      </c>
      <c r="L1696" s="22">
        <v>1</v>
      </c>
      <c r="M1696" s="26">
        <v>47275</v>
      </c>
      <c r="N1696" s="26">
        <v>27014</v>
      </c>
      <c r="O1696" s="15">
        <f t="shared" si="130"/>
        <v>74289</v>
      </c>
      <c r="P1696" s="15">
        <f t="shared" si="131"/>
        <v>10.99991115849325</v>
      </c>
      <c r="Q1696" s="22">
        <v>4821</v>
      </c>
      <c r="R1696" s="22">
        <v>100</v>
      </c>
      <c r="S1696" s="22" t="s">
        <v>2172</v>
      </c>
      <c r="T1696" s="22">
        <f t="shared" si="132"/>
        <v>3</v>
      </c>
      <c r="U1696" s="22">
        <f t="shared" si="133"/>
        <v>2021</v>
      </c>
      <c r="V1696" s="22" t="str">
        <f t="shared" si="134"/>
        <v>METROPOLITANA</v>
      </c>
    </row>
    <row r="1697" spans="1:22" x14ac:dyDescent="0.2">
      <c r="A1697" s="22" t="s">
        <v>2167</v>
      </c>
      <c r="B1697" s="22" t="s">
        <v>33</v>
      </c>
      <c r="C1697" s="22" t="s">
        <v>128</v>
      </c>
      <c r="D1697" s="22" t="s">
        <v>63</v>
      </c>
      <c r="E1697" s="22" t="s">
        <v>64</v>
      </c>
      <c r="F1697" s="22" t="s">
        <v>34</v>
      </c>
      <c r="G1697" s="25">
        <v>8603.1999999999971</v>
      </c>
      <c r="H1697" s="22" t="s">
        <v>65</v>
      </c>
      <c r="I1697" s="22">
        <v>0</v>
      </c>
      <c r="J1697" s="22" t="s">
        <v>34</v>
      </c>
      <c r="K1697" s="22" t="s">
        <v>23</v>
      </c>
      <c r="L1697" s="22">
        <v>1</v>
      </c>
      <c r="M1697" s="26">
        <f>+G1697*11</f>
        <v>94635.199999999968</v>
      </c>
      <c r="N1697" s="26">
        <v>0</v>
      </c>
      <c r="O1697" s="15">
        <f t="shared" si="130"/>
        <v>94635.199999999968</v>
      </c>
      <c r="P1697" s="15">
        <f t="shared" si="131"/>
        <v>11</v>
      </c>
      <c r="Q1697" s="22">
        <v>4821</v>
      </c>
      <c r="R1697" s="22">
        <v>100</v>
      </c>
      <c r="S1697" s="22" t="s">
        <v>2173</v>
      </c>
      <c r="T1697" s="22">
        <f t="shared" si="132"/>
        <v>3</v>
      </c>
      <c r="U1697" s="22">
        <f t="shared" si="133"/>
        <v>2021</v>
      </c>
      <c r="V1697" s="22" t="str">
        <f t="shared" si="134"/>
        <v>METROPOLITANA</v>
      </c>
    </row>
    <row r="1698" spans="1:22" x14ac:dyDescent="0.2">
      <c r="A1698" s="22" t="s">
        <v>2167</v>
      </c>
      <c r="B1698" s="22" t="s">
        <v>33</v>
      </c>
      <c r="C1698" s="22" t="s">
        <v>128</v>
      </c>
      <c r="D1698" s="22" t="s">
        <v>20</v>
      </c>
      <c r="E1698" s="22" t="s">
        <v>21</v>
      </c>
      <c r="F1698" s="22" t="s">
        <v>34</v>
      </c>
      <c r="G1698" s="25">
        <v>4503.6000000000004</v>
      </c>
      <c r="H1698" s="22" t="s">
        <v>22</v>
      </c>
      <c r="I1698" s="22">
        <v>0</v>
      </c>
      <c r="J1698" s="22" t="s">
        <v>34</v>
      </c>
      <c r="K1698" s="22" t="s">
        <v>23</v>
      </c>
      <c r="L1698" s="22">
        <v>1</v>
      </c>
      <c r="M1698" s="26">
        <v>33750</v>
      </c>
      <c r="N1698" s="26">
        <v>18014</v>
      </c>
      <c r="O1698" s="15">
        <f t="shared" si="130"/>
        <v>51764</v>
      </c>
      <c r="P1698" s="15">
        <f t="shared" si="131"/>
        <v>11.493915978328447</v>
      </c>
      <c r="Q1698" s="22">
        <v>4821</v>
      </c>
      <c r="R1698" s="22">
        <v>93</v>
      </c>
      <c r="S1698" s="22" t="s">
        <v>2174</v>
      </c>
      <c r="T1698" s="22">
        <f t="shared" si="132"/>
        <v>3</v>
      </c>
      <c r="U1698" s="22">
        <f t="shared" si="133"/>
        <v>2021</v>
      </c>
      <c r="V1698" s="22" t="str">
        <f t="shared" si="134"/>
        <v>METROPOLITANA</v>
      </c>
    </row>
    <row r="1699" spans="1:22" x14ac:dyDescent="0.2">
      <c r="A1699" s="22" t="s">
        <v>2167</v>
      </c>
      <c r="B1699" s="22" t="s">
        <v>33</v>
      </c>
      <c r="C1699" s="22" t="s">
        <v>29</v>
      </c>
      <c r="D1699" s="22" t="s">
        <v>2175</v>
      </c>
      <c r="E1699" s="22" t="s">
        <v>49</v>
      </c>
      <c r="F1699" s="22" t="s">
        <v>134</v>
      </c>
      <c r="G1699" s="25">
        <v>6003.1999999999989</v>
      </c>
      <c r="H1699" s="22" t="s">
        <v>24</v>
      </c>
      <c r="I1699" s="22">
        <v>1</v>
      </c>
      <c r="J1699" s="22" t="s">
        <v>134</v>
      </c>
      <c r="K1699" s="22" t="s">
        <v>23</v>
      </c>
      <c r="L1699" s="22">
        <v>2</v>
      </c>
      <c r="M1699" s="26">
        <v>42022</v>
      </c>
      <c r="N1699" s="26">
        <v>18010</v>
      </c>
      <c r="O1699" s="15">
        <f t="shared" si="130"/>
        <v>60032</v>
      </c>
      <c r="P1699" s="15">
        <f t="shared" si="131"/>
        <v>10.000000000000002</v>
      </c>
      <c r="Q1699" s="22">
        <v>5782</v>
      </c>
      <c r="R1699" s="22">
        <v>100</v>
      </c>
      <c r="S1699" s="22" t="s">
        <v>2176</v>
      </c>
      <c r="T1699" s="22">
        <f t="shared" si="132"/>
        <v>3</v>
      </c>
      <c r="U1699" s="22">
        <f t="shared" si="133"/>
        <v>2021</v>
      </c>
      <c r="V1699" s="22" t="str">
        <f t="shared" si="134"/>
        <v>METROPOLITANA</v>
      </c>
    </row>
    <row r="1700" spans="1:22" x14ac:dyDescent="0.2">
      <c r="A1700" s="22" t="s">
        <v>2167</v>
      </c>
      <c r="B1700" s="22" t="s">
        <v>33</v>
      </c>
      <c r="C1700" s="22" t="s">
        <v>29</v>
      </c>
      <c r="D1700" s="22" t="s">
        <v>56</v>
      </c>
      <c r="E1700" s="22" t="s">
        <v>1576</v>
      </c>
      <c r="F1700" s="22" t="s">
        <v>134</v>
      </c>
      <c r="G1700" s="25">
        <v>6003.1999999999989</v>
      </c>
      <c r="H1700" s="22" t="s">
        <v>22</v>
      </c>
      <c r="I1700" s="22">
        <v>0</v>
      </c>
      <c r="J1700" s="22" t="s">
        <v>134</v>
      </c>
      <c r="K1700" s="22" t="s">
        <v>23</v>
      </c>
      <c r="L1700" s="22">
        <v>2</v>
      </c>
      <c r="M1700" s="26">
        <v>42022</v>
      </c>
      <c r="N1700" s="26">
        <v>24013</v>
      </c>
      <c r="O1700" s="15">
        <f t="shared" si="130"/>
        <v>66035</v>
      </c>
      <c r="P1700" s="15">
        <f t="shared" si="131"/>
        <v>10.99996668443497</v>
      </c>
      <c r="Q1700" s="22">
        <v>5782</v>
      </c>
      <c r="R1700" s="22">
        <v>100</v>
      </c>
      <c r="S1700" s="22" t="s">
        <v>2177</v>
      </c>
      <c r="T1700" s="22">
        <f t="shared" si="132"/>
        <v>3</v>
      </c>
      <c r="U1700" s="22">
        <f t="shared" si="133"/>
        <v>2021</v>
      </c>
      <c r="V1700" s="22" t="str">
        <f t="shared" si="134"/>
        <v>METROPOLITANA</v>
      </c>
    </row>
    <row r="1701" spans="1:22" x14ac:dyDescent="0.2">
      <c r="A1701" s="22" t="s">
        <v>2167</v>
      </c>
      <c r="B1701" s="22" t="s">
        <v>33</v>
      </c>
      <c r="C1701" s="22" t="s">
        <v>29</v>
      </c>
      <c r="D1701" s="22" t="s">
        <v>636</v>
      </c>
      <c r="E1701" s="22" t="s">
        <v>639</v>
      </c>
      <c r="F1701" s="22" t="s">
        <v>132</v>
      </c>
      <c r="G1701" s="25">
        <v>11039.500000000009</v>
      </c>
      <c r="H1701" s="22" t="s">
        <v>85</v>
      </c>
      <c r="I1701" s="22">
        <v>1</v>
      </c>
      <c r="J1701" s="22" t="s">
        <v>132</v>
      </c>
      <c r="K1701" s="22" t="s">
        <v>124</v>
      </c>
      <c r="L1701" s="22">
        <v>0</v>
      </c>
      <c r="M1701" s="26">
        <v>350000</v>
      </c>
      <c r="N1701" s="26">
        <v>0</v>
      </c>
      <c r="O1701" s="15">
        <f t="shared" si="130"/>
        <v>350000</v>
      </c>
      <c r="P1701" s="15">
        <f t="shared" si="131"/>
        <v>31.704334435436362</v>
      </c>
      <c r="Q1701" s="22">
        <v>25000</v>
      </c>
      <c r="R1701" s="22">
        <v>44</v>
      </c>
      <c r="S1701" s="22" t="s">
        <v>2178</v>
      </c>
      <c r="T1701" s="22">
        <f t="shared" si="132"/>
        <v>3</v>
      </c>
      <c r="U1701" s="22">
        <f t="shared" si="133"/>
        <v>2021</v>
      </c>
      <c r="V1701" s="22" t="str">
        <f t="shared" si="134"/>
        <v>REGIONES</v>
      </c>
    </row>
    <row r="1702" spans="1:22" x14ac:dyDescent="0.2">
      <c r="A1702" s="22" t="s">
        <v>2167</v>
      </c>
      <c r="B1702" s="22" t="s">
        <v>33</v>
      </c>
      <c r="C1702" s="22" t="s">
        <v>44</v>
      </c>
      <c r="D1702" s="22" t="s">
        <v>56</v>
      </c>
      <c r="E1702" s="22" t="s">
        <v>21</v>
      </c>
      <c r="F1702" s="22" t="s">
        <v>225</v>
      </c>
      <c r="G1702" s="25">
        <v>3308.8</v>
      </c>
      <c r="H1702" s="22" t="s">
        <v>22</v>
      </c>
      <c r="I1702" s="22">
        <v>0</v>
      </c>
      <c r="J1702" s="22" t="s">
        <v>225</v>
      </c>
      <c r="K1702" s="22" t="s">
        <v>23</v>
      </c>
      <c r="L1702" s="22">
        <v>3</v>
      </c>
      <c r="M1702" s="26">
        <v>48075</v>
      </c>
      <c r="N1702" s="26">
        <v>13235</v>
      </c>
      <c r="O1702" s="15">
        <f t="shared" si="130"/>
        <v>61310</v>
      </c>
      <c r="P1702" s="15">
        <f t="shared" si="131"/>
        <v>18.529376208897485</v>
      </c>
      <c r="Q1702" s="22">
        <v>6868</v>
      </c>
      <c r="R1702" s="22">
        <v>48</v>
      </c>
      <c r="S1702" s="22" t="s">
        <v>2179</v>
      </c>
      <c r="T1702" s="22">
        <f t="shared" si="132"/>
        <v>3</v>
      </c>
      <c r="U1702" s="22">
        <f t="shared" si="133"/>
        <v>2021</v>
      </c>
      <c r="V1702" s="22" t="str">
        <f t="shared" si="134"/>
        <v>METROPOLITANA</v>
      </c>
    </row>
    <row r="1703" spans="1:22" x14ac:dyDescent="0.2">
      <c r="A1703" s="22" t="s">
        <v>2167</v>
      </c>
      <c r="B1703" s="22" t="s">
        <v>33</v>
      </c>
      <c r="C1703" s="22" t="s">
        <v>44</v>
      </c>
      <c r="D1703" s="22" t="s">
        <v>130</v>
      </c>
      <c r="E1703" s="22" t="s">
        <v>131</v>
      </c>
      <c r="F1703" s="22" t="s">
        <v>114</v>
      </c>
      <c r="G1703" s="25">
        <v>13854.8</v>
      </c>
      <c r="H1703" s="22" t="s">
        <v>85</v>
      </c>
      <c r="I1703" s="22">
        <v>1</v>
      </c>
      <c r="J1703" s="22" t="s">
        <v>114</v>
      </c>
      <c r="K1703" s="22" t="s">
        <v>75</v>
      </c>
      <c r="L1703" s="22">
        <v>0</v>
      </c>
      <c r="M1703" s="26">
        <v>380000</v>
      </c>
      <c r="N1703" s="26">
        <v>0</v>
      </c>
      <c r="O1703" s="15">
        <f t="shared" si="130"/>
        <v>380000</v>
      </c>
      <c r="P1703" s="15">
        <f t="shared" si="131"/>
        <v>27.427317608337905</v>
      </c>
      <c r="Q1703" s="22">
        <v>25000</v>
      </c>
      <c r="R1703" s="22">
        <v>55</v>
      </c>
      <c r="S1703" s="22" t="s">
        <v>2180</v>
      </c>
      <c r="T1703" s="22">
        <f t="shared" si="132"/>
        <v>3</v>
      </c>
      <c r="U1703" s="22">
        <f t="shared" si="133"/>
        <v>2021</v>
      </c>
      <c r="V1703" s="22" t="str">
        <f t="shared" si="134"/>
        <v>REGIONES</v>
      </c>
    </row>
    <row r="1704" spans="1:22" x14ac:dyDescent="0.2">
      <c r="A1704" s="22" t="s">
        <v>2167</v>
      </c>
      <c r="B1704" s="22" t="s">
        <v>33</v>
      </c>
      <c r="C1704" s="22" t="s">
        <v>44</v>
      </c>
      <c r="D1704" s="22" t="s">
        <v>188</v>
      </c>
      <c r="E1704" s="22" t="s">
        <v>189</v>
      </c>
      <c r="F1704" s="22" t="s">
        <v>34</v>
      </c>
      <c r="G1704" s="25">
        <v>1191.0999999999999</v>
      </c>
      <c r="H1704" s="22" t="s">
        <v>190</v>
      </c>
      <c r="I1704" s="22">
        <v>0</v>
      </c>
      <c r="J1704" s="22" t="s">
        <v>34</v>
      </c>
      <c r="K1704" s="22" t="s">
        <v>23</v>
      </c>
      <c r="L1704" s="22">
        <v>1</v>
      </c>
      <c r="M1704" s="26">
        <v>55000</v>
      </c>
      <c r="N1704" s="26">
        <v>0</v>
      </c>
      <c r="O1704" s="15">
        <f t="shared" si="130"/>
        <v>55000</v>
      </c>
      <c r="P1704" s="15">
        <f t="shared" si="131"/>
        <v>46.175803878767532</v>
      </c>
      <c r="Q1704" s="22">
        <v>4821</v>
      </c>
      <c r="R1704" s="22">
        <v>25</v>
      </c>
      <c r="S1704" s="22" t="s">
        <v>2181</v>
      </c>
      <c r="T1704" s="22">
        <f t="shared" si="132"/>
        <v>3</v>
      </c>
      <c r="U1704" s="22">
        <f t="shared" si="133"/>
        <v>2021</v>
      </c>
      <c r="V1704" s="22" t="str">
        <f t="shared" si="134"/>
        <v>METROPOLITANA</v>
      </c>
    </row>
    <row r="1705" spans="1:22" x14ac:dyDescent="0.2">
      <c r="A1705" s="22" t="s">
        <v>2167</v>
      </c>
      <c r="B1705" s="22" t="s">
        <v>33</v>
      </c>
      <c r="C1705" s="22" t="s">
        <v>44</v>
      </c>
      <c r="D1705" s="22" t="s">
        <v>45</v>
      </c>
      <c r="E1705" s="22" t="s">
        <v>21</v>
      </c>
      <c r="F1705" s="22" t="s">
        <v>26</v>
      </c>
      <c r="G1705" s="25">
        <v>1236.5999999999999</v>
      </c>
      <c r="H1705" s="22" t="s">
        <v>22</v>
      </c>
      <c r="I1705" s="22">
        <v>0</v>
      </c>
      <c r="J1705" s="22" t="s">
        <v>26</v>
      </c>
      <c r="K1705" s="22" t="s">
        <v>23</v>
      </c>
      <c r="L1705" s="22">
        <v>4</v>
      </c>
      <c r="M1705" s="26">
        <v>56075</v>
      </c>
      <c r="N1705" s="26">
        <v>12000</v>
      </c>
      <c r="O1705" s="15">
        <f t="shared" si="130"/>
        <v>68075</v>
      </c>
      <c r="P1705" s="15">
        <f t="shared" si="131"/>
        <v>55.050137473718266</v>
      </c>
      <c r="Q1705" s="22">
        <v>8011</v>
      </c>
      <c r="R1705" s="22">
        <v>15</v>
      </c>
      <c r="S1705" s="22" t="s">
        <v>2182</v>
      </c>
      <c r="T1705" s="22">
        <f t="shared" si="132"/>
        <v>3</v>
      </c>
      <c r="U1705" s="22">
        <f t="shared" si="133"/>
        <v>2021</v>
      </c>
      <c r="V1705" s="22" t="str">
        <f t="shared" si="134"/>
        <v>METROPOLITANA</v>
      </c>
    </row>
    <row r="1706" spans="1:22" x14ac:dyDescent="0.2">
      <c r="A1706" s="22" t="s">
        <v>2167</v>
      </c>
      <c r="B1706" s="22" t="s">
        <v>33</v>
      </c>
      <c r="C1706" s="22" t="s">
        <v>44</v>
      </c>
      <c r="D1706" s="22" t="s">
        <v>45</v>
      </c>
      <c r="E1706" s="22" t="s">
        <v>52</v>
      </c>
      <c r="F1706" s="22" t="s">
        <v>67</v>
      </c>
      <c r="G1706" s="25">
        <v>2216.3000000000002</v>
      </c>
      <c r="H1706" s="22" t="s">
        <v>22</v>
      </c>
      <c r="I1706" s="22">
        <v>0</v>
      </c>
      <c r="J1706" s="22" t="s">
        <v>67</v>
      </c>
      <c r="K1706" s="22" t="s">
        <v>23</v>
      </c>
      <c r="L1706" s="22">
        <v>2</v>
      </c>
      <c r="M1706" s="26">
        <v>40475</v>
      </c>
      <c r="N1706" s="26">
        <v>12000</v>
      </c>
      <c r="O1706" s="15">
        <f t="shared" si="130"/>
        <v>52475</v>
      </c>
      <c r="P1706" s="15">
        <f t="shared" si="131"/>
        <v>23.676848802057481</v>
      </c>
      <c r="Q1706" s="22">
        <v>5782</v>
      </c>
      <c r="R1706" s="22">
        <v>38</v>
      </c>
      <c r="S1706" s="22" t="s">
        <v>2183</v>
      </c>
      <c r="T1706" s="22">
        <f t="shared" si="132"/>
        <v>3</v>
      </c>
      <c r="U1706" s="22">
        <f t="shared" si="133"/>
        <v>2021</v>
      </c>
      <c r="V1706" s="22" t="str">
        <f t="shared" si="134"/>
        <v>METROPOLITANA</v>
      </c>
    </row>
    <row r="1707" spans="1:22" x14ac:dyDescent="0.2">
      <c r="A1707" s="22" t="s">
        <v>2167</v>
      </c>
      <c r="B1707" s="22" t="s">
        <v>33</v>
      </c>
      <c r="C1707" s="22" t="s">
        <v>44</v>
      </c>
      <c r="D1707" s="22" t="s">
        <v>47</v>
      </c>
      <c r="E1707" s="22" t="s">
        <v>1576</v>
      </c>
      <c r="F1707" s="22" t="s">
        <v>48</v>
      </c>
      <c r="G1707" s="25">
        <v>1923.6</v>
      </c>
      <c r="H1707" s="22" t="s">
        <v>22</v>
      </c>
      <c r="I1707" s="22">
        <v>0</v>
      </c>
      <c r="J1707" s="22" t="s">
        <v>48</v>
      </c>
      <c r="K1707" s="22" t="s">
        <v>23</v>
      </c>
      <c r="L1707" s="22">
        <v>1</v>
      </c>
      <c r="M1707" s="26">
        <v>33750</v>
      </c>
      <c r="N1707" s="26">
        <v>12000</v>
      </c>
      <c r="O1707" s="15">
        <f t="shared" si="130"/>
        <v>45750</v>
      </c>
      <c r="P1707" s="15">
        <f t="shared" si="131"/>
        <v>23.78353087960075</v>
      </c>
      <c r="Q1707" s="22">
        <v>4821</v>
      </c>
      <c r="R1707" s="22">
        <v>40</v>
      </c>
      <c r="S1707" s="22" t="s">
        <v>2184</v>
      </c>
      <c r="T1707" s="22">
        <f t="shared" si="132"/>
        <v>3</v>
      </c>
      <c r="U1707" s="22">
        <f t="shared" si="133"/>
        <v>2021</v>
      </c>
      <c r="V1707" s="22" t="str">
        <f t="shared" si="134"/>
        <v>METROPOLITANA</v>
      </c>
    </row>
    <row r="1708" spans="1:22" x14ac:dyDescent="0.2">
      <c r="A1708" s="12" t="s">
        <v>2185</v>
      </c>
      <c r="B1708" s="12" t="s">
        <v>18</v>
      </c>
      <c r="C1708" s="12" t="s">
        <v>163</v>
      </c>
      <c r="D1708" s="12" t="s">
        <v>37</v>
      </c>
      <c r="E1708" s="12" t="s">
        <v>40</v>
      </c>
      <c r="F1708" s="12" t="s">
        <v>165</v>
      </c>
      <c r="G1708" s="29">
        <v>13888</v>
      </c>
      <c r="H1708" s="12" t="s">
        <v>22</v>
      </c>
      <c r="I1708" s="12">
        <v>0</v>
      </c>
      <c r="J1708" s="12" t="s">
        <v>165</v>
      </c>
      <c r="K1708" s="12" t="s">
        <v>23</v>
      </c>
      <c r="L1708" s="12">
        <v>4</v>
      </c>
      <c r="M1708" s="30">
        <f>+G1708*11</f>
        <v>152768</v>
      </c>
      <c r="N1708" s="30">
        <v>0</v>
      </c>
      <c r="O1708" s="15">
        <f t="shared" si="130"/>
        <v>152768</v>
      </c>
      <c r="P1708" s="15">
        <f t="shared" si="131"/>
        <v>11</v>
      </c>
      <c r="Q1708" s="12">
        <v>8011</v>
      </c>
      <c r="R1708" s="12">
        <v>100</v>
      </c>
      <c r="S1708" s="12" t="s">
        <v>2186</v>
      </c>
      <c r="T1708" s="22">
        <f t="shared" si="132"/>
        <v>4</v>
      </c>
      <c r="U1708" s="22">
        <f t="shared" si="133"/>
        <v>2021</v>
      </c>
      <c r="V1708" s="22" t="str">
        <f t="shared" si="134"/>
        <v>METROPOLITANA</v>
      </c>
    </row>
    <row r="1709" spans="1:22" x14ac:dyDescent="0.2">
      <c r="A1709" s="12" t="s">
        <v>2185</v>
      </c>
      <c r="B1709" s="12" t="s">
        <v>18</v>
      </c>
      <c r="C1709" s="12" t="s">
        <v>163</v>
      </c>
      <c r="D1709" s="12" t="s">
        <v>41</v>
      </c>
      <c r="E1709" s="12" t="s">
        <v>25</v>
      </c>
      <c r="F1709" s="12" t="s">
        <v>165</v>
      </c>
      <c r="G1709" s="29">
        <v>9582.7199999999993</v>
      </c>
      <c r="H1709" s="12" t="s">
        <v>43</v>
      </c>
      <c r="I1709" s="12">
        <v>0</v>
      </c>
      <c r="J1709" s="12" t="s">
        <v>165</v>
      </c>
      <c r="K1709" s="12" t="s">
        <v>23</v>
      </c>
      <c r="L1709" s="12">
        <v>4</v>
      </c>
      <c r="M1709" s="30">
        <f>+G1709*11</f>
        <v>105409.92</v>
      </c>
      <c r="N1709" s="30">
        <v>0</v>
      </c>
      <c r="O1709" s="15">
        <f t="shared" si="130"/>
        <v>105409.92</v>
      </c>
      <c r="P1709" s="15">
        <f t="shared" si="131"/>
        <v>11</v>
      </c>
      <c r="Q1709" s="12">
        <v>8011</v>
      </c>
      <c r="R1709" s="12">
        <v>100</v>
      </c>
      <c r="S1709" s="12" t="s">
        <v>2187</v>
      </c>
      <c r="T1709" s="22">
        <f t="shared" si="132"/>
        <v>4</v>
      </c>
      <c r="U1709" s="22">
        <f t="shared" si="133"/>
        <v>2021</v>
      </c>
      <c r="V1709" s="22" t="str">
        <f t="shared" si="134"/>
        <v>METROPOLITANA</v>
      </c>
    </row>
    <row r="1710" spans="1:22" x14ac:dyDescent="0.2">
      <c r="A1710" s="12" t="s">
        <v>2185</v>
      </c>
      <c r="B1710" s="12" t="s">
        <v>18</v>
      </c>
      <c r="C1710" s="12" t="s">
        <v>163</v>
      </c>
      <c r="D1710" s="12" t="s">
        <v>20</v>
      </c>
      <c r="E1710" s="12" t="s">
        <v>21</v>
      </c>
      <c r="F1710" s="12" t="s">
        <v>165</v>
      </c>
      <c r="G1710" s="29">
        <v>9166.08</v>
      </c>
      <c r="H1710" s="12" t="s">
        <v>22</v>
      </c>
      <c r="I1710" s="12">
        <v>0</v>
      </c>
      <c r="J1710" s="12" t="s">
        <v>165</v>
      </c>
      <c r="K1710" s="12" t="s">
        <v>23</v>
      </c>
      <c r="L1710" s="12">
        <v>4</v>
      </c>
      <c r="M1710" s="30">
        <f>+G1710*11</f>
        <v>100826.88</v>
      </c>
      <c r="N1710" s="30">
        <v>0</v>
      </c>
      <c r="O1710" s="15">
        <f t="shared" si="130"/>
        <v>100826.88</v>
      </c>
      <c r="P1710" s="15">
        <f t="shared" si="131"/>
        <v>11</v>
      </c>
      <c r="Q1710" s="12">
        <v>8011</v>
      </c>
      <c r="R1710" s="12">
        <v>100</v>
      </c>
      <c r="S1710" s="12" t="s">
        <v>2188</v>
      </c>
      <c r="T1710" s="22">
        <f t="shared" si="132"/>
        <v>4</v>
      </c>
      <c r="U1710" s="22">
        <f t="shared" si="133"/>
        <v>2021</v>
      </c>
      <c r="V1710" s="22" t="str">
        <f t="shared" si="134"/>
        <v>METROPOLITANA</v>
      </c>
    </row>
    <row r="1711" spans="1:22" x14ac:dyDescent="0.2">
      <c r="A1711" s="12" t="s">
        <v>2185</v>
      </c>
      <c r="B1711" s="12" t="s">
        <v>33</v>
      </c>
      <c r="C1711" s="12" t="s">
        <v>29</v>
      </c>
      <c r="D1711" s="12" t="s">
        <v>191</v>
      </c>
      <c r="E1711" s="12" t="s">
        <v>192</v>
      </c>
      <c r="F1711" s="12" t="s">
        <v>132</v>
      </c>
      <c r="G1711" s="29">
        <v>10305</v>
      </c>
      <c r="H1711" s="12" t="s">
        <v>85</v>
      </c>
      <c r="I1711" s="12">
        <v>1</v>
      </c>
      <c r="J1711" s="12" t="s">
        <v>132</v>
      </c>
      <c r="K1711" s="12" t="s">
        <v>124</v>
      </c>
      <c r="L1711" s="12">
        <v>0</v>
      </c>
      <c r="M1711" s="30">
        <v>350000</v>
      </c>
      <c r="N1711" s="30">
        <v>0</v>
      </c>
      <c r="O1711" s="15">
        <f t="shared" si="130"/>
        <v>350000</v>
      </c>
      <c r="P1711" s="15">
        <f t="shared" si="131"/>
        <v>33.964095099466277</v>
      </c>
      <c r="Q1711" s="12">
        <v>25000</v>
      </c>
      <c r="R1711" s="12">
        <v>41</v>
      </c>
      <c r="S1711" s="12" t="s">
        <v>2189</v>
      </c>
      <c r="T1711" s="22">
        <f t="shared" si="132"/>
        <v>4</v>
      </c>
      <c r="U1711" s="22">
        <f t="shared" si="133"/>
        <v>2021</v>
      </c>
      <c r="V1711" s="22" t="str">
        <f t="shared" si="134"/>
        <v>REGIONES</v>
      </c>
    </row>
    <row r="1712" spans="1:22" x14ac:dyDescent="0.2">
      <c r="A1712" s="22" t="s">
        <v>2190</v>
      </c>
      <c r="B1712" s="22" t="s">
        <v>18</v>
      </c>
      <c r="C1712" s="22" t="s">
        <v>57</v>
      </c>
      <c r="D1712" s="22" t="s">
        <v>38</v>
      </c>
      <c r="E1712" s="22" t="s">
        <v>42</v>
      </c>
      <c r="F1712" s="22" t="s">
        <v>800</v>
      </c>
      <c r="G1712" s="32">
        <v>4835.8000000000011</v>
      </c>
      <c r="H1712" s="22" t="s">
        <v>43</v>
      </c>
      <c r="I1712" s="22">
        <v>0</v>
      </c>
      <c r="J1712" s="22" t="s">
        <v>800</v>
      </c>
      <c r="K1712" s="22" t="s">
        <v>23</v>
      </c>
      <c r="L1712" s="22">
        <v>5</v>
      </c>
      <c r="M1712" s="33">
        <v>90000</v>
      </c>
      <c r="N1712" s="33">
        <v>0</v>
      </c>
      <c r="O1712" s="15">
        <f t="shared" si="130"/>
        <v>90000</v>
      </c>
      <c r="P1712" s="15">
        <f t="shared" si="131"/>
        <v>18.611191529839939</v>
      </c>
      <c r="Q1712" s="22">
        <v>12000</v>
      </c>
      <c r="R1712" s="22">
        <v>40</v>
      </c>
      <c r="S1712" s="22" t="s">
        <v>2191</v>
      </c>
      <c r="T1712" s="22">
        <f t="shared" si="132"/>
        <v>4</v>
      </c>
      <c r="U1712" s="22">
        <f t="shared" si="133"/>
        <v>2021</v>
      </c>
      <c r="V1712" s="22" t="str">
        <f t="shared" si="134"/>
        <v>METROPOLITANA</v>
      </c>
    </row>
    <row r="1713" spans="1:22" x14ac:dyDescent="0.2">
      <c r="A1713" s="22" t="s">
        <v>2190</v>
      </c>
      <c r="B1713" s="22" t="s">
        <v>18</v>
      </c>
      <c r="C1713" s="22" t="s">
        <v>508</v>
      </c>
      <c r="D1713" s="22" t="s">
        <v>30</v>
      </c>
      <c r="E1713" s="22" t="s">
        <v>31</v>
      </c>
      <c r="F1713" s="22" t="s">
        <v>800</v>
      </c>
      <c r="G1713" s="32">
        <v>4556.6400000000003</v>
      </c>
      <c r="H1713" s="22" t="s">
        <v>32</v>
      </c>
      <c r="I1713" s="22">
        <v>0</v>
      </c>
      <c r="J1713" s="22" t="s">
        <v>800</v>
      </c>
      <c r="K1713" s="22" t="s">
        <v>23</v>
      </c>
      <c r="L1713" s="22">
        <v>5</v>
      </c>
      <c r="M1713" s="33">
        <v>90000</v>
      </c>
      <c r="N1713" s="33">
        <v>0</v>
      </c>
      <c r="O1713" s="15">
        <f t="shared" si="130"/>
        <v>90000</v>
      </c>
      <c r="P1713" s="15">
        <f t="shared" si="131"/>
        <v>19.751395765300746</v>
      </c>
      <c r="Q1713" s="22">
        <v>12000</v>
      </c>
      <c r="R1713" s="22">
        <v>38</v>
      </c>
      <c r="S1713" s="22" t="s">
        <v>2192</v>
      </c>
      <c r="T1713" s="22">
        <f t="shared" si="132"/>
        <v>4</v>
      </c>
      <c r="U1713" s="22">
        <f t="shared" si="133"/>
        <v>2021</v>
      </c>
      <c r="V1713" s="22" t="str">
        <f t="shared" si="134"/>
        <v>METROPOLITANA</v>
      </c>
    </row>
    <row r="1714" spans="1:22" x14ac:dyDescent="0.2">
      <c r="A1714" s="22" t="s">
        <v>2190</v>
      </c>
      <c r="B1714" s="22" t="s">
        <v>33</v>
      </c>
      <c r="C1714" s="22" t="s">
        <v>50</v>
      </c>
      <c r="D1714" s="22" t="s">
        <v>41</v>
      </c>
      <c r="E1714" s="22" t="s">
        <v>25</v>
      </c>
      <c r="F1714" s="22" t="s">
        <v>26</v>
      </c>
      <c r="G1714" s="32">
        <v>14013.3</v>
      </c>
      <c r="H1714" s="22" t="s">
        <v>43</v>
      </c>
      <c r="I1714" s="22">
        <v>0</v>
      </c>
      <c r="J1714" s="22" t="s">
        <v>26</v>
      </c>
      <c r="K1714" s="22" t="s">
        <v>23</v>
      </c>
      <c r="L1714" s="22">
        <v>4</v>
      </c>
      <c r="M1714" s="33">
        <f>+G1714*11</f>
        <v>154146.29999999999</v>
      </c>
      <c r="N1714" s="33">
        <v>0</v>
      </c>
      <c r="O1714" s="15">
        <f t="shared" si="130"/>
        <v>154146.29999999999</v>
      </c>
      <c r="P1714" s="15">
        <f t="shared" si="131"/>
        <v>11</v>
      </c>
      <c r="Q1714" s="22">
        <v>8011</v>
      </c>
      <c r="R1714" s="22">
        <v>100</v>
      </c>
      <c r="S1714" s="22" t="s">
        <v>2193</v>
      </c>
      <c r="T1714" s="22">
        <f t="shared" si="132"/>
        <v>4</v>
      </c>
      <c r="U1714" s="22">
        <f t="shared" si="133"/>
        <v>2021</v>
      </c>
      <c r="V1714" s="22" t="str">
        <f t="shared" si="134"/>
        <v>METROPOLITANA</v>
      </c>
    </row>
    <row r="1715" spans="1:22" x14ac:dyDescent="0.2">
      <c r="A1715" s="22" t="s">
        <v>2190</v>
      </c>
      <c r="B1715" s="22" t="s">
        <v>33</v>
      </c>
      <c r="C1715" s="22" t="s">
        <v>44</v>
      </c>
      <c r="D1715" s="22" t="s">
        <v>188</v>
      </c>
      <c r="E1715" s="22" t="s">
        <v>189</v>
      </c>
      <c r="F1715" s="22" t="s">
        <v>26</v>
      </c>
      <c r="G1715" s="32">
        <v>1844.3</v>
      </c>
      <c r="H1715" s="22" t="s">
        <v>190</v>
      </c>
      <c r="I1715" s="22">
        <v>0</v>
      </c>
      <c r="J1715" s="22" t="s">
        <v>26</v>
      </c>
      <c r="K1715" s="22" t="s">
        <v>23</v>
      </c>
      <c r="L1715" s="22">
        <v>4</v>
      </c>
      <c r="M1715" s="33">
        <v>55000</v>
      </c>
      <c r="N1715" s="33">
        <v>0</v>
      </c>
      <c r="O1715" s="15">
        <f t="shared" si="130"/>
        <v>55000</v>
      </c>
      <c r="P1715" s="15">
        <f t="shared" si="131"/>
        <v>29.821612535921489</v>
      </c>
      <c r="Q1715" s="22">
        <v>8011</v>
      </c>
      <c r="R1715" s="22">
        <v>23</v>
      </c>
      <c r="S1715" s="22" t="s">
        <v>2194</v>
      </c>
      <c r="T1715" s="22">
        <f t="shared" si="132"/>
        <v>4</v>
      </c>
      <c r="U1715" s="22">
        <f t="shared" si="133"/>
        <v>2021</v>
      </c>
      <c r="V1715" s="22" t="str">
        <f t="shared" si="134"/>
        <v>METROPOLITANA</v>
      </c>
    </row>
    <row r="1716" spans="1:22" x14ac:dyDescent="0.2">
      <c r="A1716" s="22" t="s">
        <v>2190</v>
      </c>
      <c r="B1716" s="22" t="s">
        <v>33</v>
      </c>
      <c r="C1716" s="22" t="s">
        <v>44</v>
      </c>
      <c r="D1716" s="22" t="s">
        <v>1170</v>
      </c>
      <c r="E1716" s="22" t="s">
        <v>81</v>
      </c>
      <c r="F1716" s="22" t="s">
        <v>114</v>
      </c>
      <c r="G1716" s="32">
        <v>15692.79999999999</v>
      </c>
      <c r="H1716" s="22" t="s">
        <v>24</v>
      </c>
      <c r="I1716" s="22">
        <v>1</v>
      </c>
      <c r="J1716" s="22" t="s">
        <v>114</v>
      </c>
      <c r="K1716" s="22" t="s">
        <v>75</v>
      </c>
      <c r="L1716" s="22">
        <v>0</v>
      </c>
      <c r="M1716" s="33">
        <v>380000</v>
      </c>
      <c r="N1716" s="33">
        <v>0</v>
      </c>
      <c r="O1716" s="15">
        <f t="shared" si="130"/>
        <v>380000</v>
      </c>
      <c r="P1716" s="15">
        <f t="shared" si="131"/>
        <v>24.214926590538351</v>
      </c>
      <c r="Q1716" s="22">
        <v>25000</v>
      </c>
      <c r="R1716" s="22">
        <v>63</v>
      </c>
      <c r="S1716" s="22" t="s">
        <v>2195</v>
      </c>
      <c r="T1716" s="22">
        <f t="shared" si="132"/>
        <v>4</v>
      </c>
      <c r="U1716" s="22">
        <f t="shared" si="133"/>
        <v>2021</v>
      </c>
      <c r="V1716" s="22" t="str">
        <f t="shared" si="134"/>
        <v>REGIONES</v>
      </c>
    </row>
    <row r="1717" spans="1:22" x14ac:dyDescent="0.2">
      <c r="A1717" s="22" t="s">
        <v>2190</v>
      </c>
      <c r="B1717" s="22" t="s">
        <v>33</v>
      </c>
      <c r="C1717" s="22" t="s">
        <v>44</v>
      </c>
      <c r="D1717" s="22" t="s">
        <v>45</v>
      </c>
      <c r="E1717" s="22" t="s">
        <v>49</v>
      </c>
      <c r="F1717" s="22" t="s">
        <v>48</v>
      </c>
      <c r="G1717" s="32">
        <v>2898</v>
      </c>
      <c r="H1717" s="22" t="s">
        <v>22</v>
      </c>
      <c r="I1717" s="22">
        <v>0</v>
      </c>
      <c r="J1717" s="22" t="s">
        <v>48</v>
      </c>
      <c r="K1717" s="22" t="s">
        <v>23</v>
      </c>
      <c r="L1717" s="22">
        <v>1</v>
      </c>
      <c r="M1717" s="33">
        <v>55000</v>
      </c>
      <c r="N1717" s="33">
        <v>0</v>
      </c>
      <c r="O1717" s="15">
        <f t="shared" si="130"/>
        <v>55000</v>
      </c>
      <c r="P1717" s="15">
        <f t="shared" si="131"/>
        <v>18.978605935127675</v>
      </c>
      <c r="Q1717" s="22">
        <v>4821</v>
      </c>
      <c r="R1717" s="22">
        <v>60</v>
      </c>
      <c r="S1717" s="22" t="s">
        <v>2196</v>
      </c>
      <c r="T1717" s="22">
        <f t="shared" si="132"/>
        <v>4</v>
      </c>
      <c r="U1717" s="22">
        <f t="shared" si="133"/>
        <v>2021</v>
      </c>
      <c r="V1717" s="22" t="str">
        <f t="shared" si="134"/>
        <v>METROPOLITANA</v>
      </c>
    </row>
    <row r="1718" spans="1:22" x14ac:dyDescent="0.2">
      <c r="A1718" s="22" t="s">
        <v>2190</v>
      </c>
      <c r="B1718" s="22" t="s">
        <v>33</v>
      </c>
      <c r="C1718" s="22" t="s">
        <v>44</v>
      </c>
      <c r="D1718" s="22" t="s">
        <v>47</v>
      </c>
      <c r="E1718" s="22" t="s">
        <v>1576</v>
      </c>
      <c r="F1718" s="22" t="s">
        <v>94</v>
      </c>
      <c r="G1718" s="32">
        <v>4647.8999999999996</v>
      </c>
      <c r="H1718" s="22" t="s">
        <v>22</v>
      </c>
      <c r="I1718" s="22">
        <v>0</v>
      </c>
      <c r="J1718" s="22" t="s">
        <v>59</v>
      </c>
      <c r="K1718" s="22" t="s">
        <v>78</v>
      </c>
      <c r="L1718" s="22">
        <v>0</v>
      </c>
      <c r="M1718" s="33">
        <v>180000</v>
      </c>
      <c r="N1718" s="33">
        <v>0</v>
      </c>
      <c r="O1718" s="15">
        <f t="shared" si="130"/>
        <v>180000</v>
      </c>
      <c r="P1718" s="15">
        <f t="shared" si="131"/>
        <v>38.727167107726075</v>
      </c>
      <c r="Q1718" s="22">
        <v>25000</v>
      </c>
      <c r="R1718" s="22">
        <v>19</v>
      </c>
      <c r="S1718" s="22" t="s">
        <v>2197</v>
      </c>
      <c r="T1718" s="22">
        <f t="shared" si="132"/>
        <v>4</v>
      </c>
      <c r="U1718" s="22">
        <f t="shared" si="133"/>
        <v>2021</v>
      </c>
      <c r="V1718" s="22" t="str">
        <f t="shared" si="134"/>
        <v>REGIONES</v>
      </c>
    </row>
    <row r="1719" spans="1:22" x14ac:dyDescent="0.2">
      <c r="A1719" s="12" t="s">
        <v>2198</v>
      </c>
      <c r="B1719" s="12" t="s">
        <v>18</v>
      </c>
      <c r="C1719" s="12" t="s">
        <v>163</v>
      </c>
      <c r="D1719" s="12" t="s">
        <v>2199</v>
      </c>
      <c r="E1719" s="12" t="s">
        <v>28</v>
      </c>
      <c r="F1719" s="12" t="s">
        <v>165</v>
      </c>
      <c r="G1719" s="29">
        <v>21160</v>
      </c>
      <c r="H1719" s="12" t="s">
        <v>24</v>
      </c>
      <c r="I1719" s="12">
        <v>1</v>
      </c>
      <c r="J1719" s="12" t="s">
        <v>165</v>
      </c>
      <c r="K1719" s="12" t="s">
        <v>23</v>
      </c>
      <c r="L1719" s="12">
        <v>4</v>
      </c>
      <c r="M1719" s="30">
        <f>G1719*11</f>
        <v>232760</v>
      </c>
      <c r="N1719" s="30">
        <v>0</v>
      </c>
      <c r="O1719" s="15">
        <f t="shared" si="130"/>
        <v>232760</v>
      </c>
      <c r="P1719" s="15">
        <f t="shared" si="131"/>
        <v>11</v>
      </c>
      <c r="Q1719" s="12">
        <v>8011</v>
      </c>
      <c r="R1719" s="12">
        <v>100</v>
      </c>
      <c r="S1719" s="12" t="s">
        <v>2200</v>
      </c>
      <c r="T1719" s="22">
        <f t="shared" si="132"/>
        <v>4</v>
      </c>
      <c r="U1719" s="22">
        <f t="shared" si="133"/>
        <v>2021</v>
      </c>
      <c r="V1719" s="22" t="str">
        <f t="shared" si="134"/>
        <v>METROPOLITANA</v>
      </c>
    </row>
    <row r="1720" spans="1:22" x14ac:dyDescent="0.2">
      <c r="A1720" s="12" t="s">
        <v>2198</v>
      </c>
      <c r="B1720" s="12" t="s">
        <v>18</v>
      </c>
      <c r="C1720" s="12" t="s">
        <v>508</v>
      </c>
      <c r="D1720" s="12" t="s">
        <v>63</v>
      </c>
      <c r="E1720" s="12" t="s">
        <v>64</v>
      </c>
      <c r="F1720" s="12" t="s">
        <v>800</v>
      </c>
      <c r="G1720" s="29">
        <v>3749.04</v>
      </c>
      <c r="H1720" s="12" t="s">
        <v>65</v>
      </c>
      <c r="I1720" s="12">
        <v>0</v>
      </c>
      <c r="J1720" s="12" t="s">
        <v>800</v>
      </c>
      <c r="K1720" s="12" t="s">
        <v>23</v>
      </c>
      <c r="L1720" s="12">
        <v>5</v>
      </c>
      <c r="M1720" s="30">
        <v>90000</v>
      </c>
      <c r="N1720" s="30">
        <v>0</v>
      </c>
      <c r="O1720" s="15">
        <f t="shared" si="130"/>
        <v>90000</v>
      </c>
      <c r="P1720" s="15">
        <f t="shared" si="131"/>
        <v>24.006145573266757</v>
      </c>
      <c r="Q1720" s="12">
        <v>12000</v>
      </c>
      <c r="R1720" s="12">
        <v>31</v>
      </c>
      <c r="S1720" s="12" t="s">
        <v>2201</v>
      </c>
      <c r="T1720" s="22">
        <f t="shared" si="132"/>
        <v>4</v>
      </c>
      <c r="U1720" s="22">
        <f t="shared" si="133"/>
        <v>2021</v>
      </c>
      <c r="V1720" s="22" t="str">
        <f t="shared" si="134"/>
        <v>METROPOLITANA</v>
      </c>
    </row>
    <row r="1721" spans="1:22" x14ac:dyDescent="0.2">
      <c r="A1721" s="12" t="s">
        <v>2198</v>
      </c>
      <c r="B1721" s="12" t="s">
        <v>33</v>
      </c>
      <c r="C1721" s="12" t="s">
        <v>2049</v>
      </c>
      <c r="D1721" s="12" t="s">
        <v>37</v>
      </c>
      <c r="E1721" s="12" t="s">
        <v>40</v>
      </c>
      <c r="F1721" s="12" t="s">
        <v>84</v>
      </c>
      <c r="G1721" s="29">
        <v>2527.1999999999998</v>
      </c>
      <c r="H1721" s="12" t="s">
        <v>22</v>
      </c>
      <c r="I1721" s="12">
        <v>0</v>
      </c>
      <c r="J1721" s="12" t="s">
        <v>84</v>
      </c>
      <c r="K1721" s="12" t="s">
        <v>86</v>
      </c>
      <c r="L1721" s="12">
        <v>0</v>
      </c>
      <c r="M1721" s="30">
        <v>260000</v>
      </c>
      <c r="N1721" s="30">
        <v>0</v>
      </c>
      <c r="O1721" s="15">
        <f t="shared" si="130"/>
        <v>260000</v>
      </c>
      <c r="P1721" s="15">
        <f t="shared" si="131"/>
        <v>102.88065843621401</v>
      </c>
      <c r="Q1721" s="12">
        <v>25000</v>
      </c>
      <c r="R1721" s="12">
        <v>10</v>
      </c>
      <c r="S1721" s="12" t="s">
        <v>2202</v>
      </c>
      <c r="T1721" s="22">
        <f t="shared" si="132"/>
        <v>4</v>
      </c>
      <c r="U1721" s="22">
        <f t="shared" si="133"/>
        <v>2021</v>
      </c>
      <c r="V1721" s="22" t="str">
        <f t="shared" si="134"/>
        <v>REGIONES</v>
      </c>
    </row>
    <row r="1722" spans="1:22" x14ac:dyDescent="0.2">
      <c r="A1722" s="12" t="s">
        <v>2198</v>
      </c>
      <c r="B1722" s="12" t="s">
        <v>33</v>
      </c>
      <c r="C1722" s="12" t="s">
        <v>29</v>
      </c>
      <c r="D1722" s="12" t="s">
        <v>47</v>
      </c>
      <c r="E1722" s="12" t="s">
        <v>1576</v>
      </c>
      <c r="F1722" s="12" t="s">
        <v>134</v>
      </c>
      <c r="G1722" s="29">
        <v>4513</v>
      </c>
      <c r="H1722" s="12" t="s">
        <v>22</v>
      </c>
      <c r="I1722" s="12">
        <v>0</v>
      </c>
      <c r="J1722" s="12" t="s">
        <v>134</v>
      </c>
      <c r="K1722" s="12" t="s">
        <v>23</v>
      </c>
      <c r="L1722" s="12">
        <v>2</v>
      </c>
      <c r="M1722" s="30">
        <v>55000</v>
      </c>
      <c r="N1722" s="30">
        <v>0</v>
      </c>
      <c r="O1722" s="15">
        <f t="shared" si="130"/>
        <v>55000</v>
      </c>
      <c r="P1722" s="15">
        <f t="shared" si="131"/>
        <v>12.187015289164636</v>
      </c>
      <c r="Q1722" s="12">
        <v>5782</v>
      </c>
      <c r="R1722" s="12">
        <v>78</v>
      </c>
      <c r="S1722" s="12" t="s">
        <v>2203</v>
      </c>
      <c r="T1722" s="22">
        <f t="shared" si="132"/>
        <v>4</v>
      </c>
      <c r="U1722" s="22">
        <f t="shared" si="133"/>
        <v>2021</v>
      </c>
      <c r="V1722" s="22" t="str">
        <f t="shared" si="134"/>
        <v>METROPOLITANA</v>
      </c>
    </row>
    <row r="1723" spans="1:22" x14ac:dyDescent="0.2">
      <c r="A1723" s="12" t="s">
        <v>2198</v>
      </c>
      <c r="B1723" s="12" t="s">
        <v>33</v>
      </c>
      <c r="C1723" s="12" t="s">
        <v>29</v>
      </c>
      <c r="D1723" s="12" t="s">
        <v>20</v>
      </c>
      <c r="E1723" s="12" t="s">
        <v>21</v>
      </c>
      <c r="F1723" s="12" t="s">
        <v>134</v>
      </c>
      <c r="G1723" s="29">
        <v>5274</v>
      </c>
      <c r="H1723" s="12" t="s">
        <v>22</v>
      </c>
      <c r="I1723" s="12">
        <v>0</v>
      </c>
      <c r="J1723" s="12" t="s">
        <v>134</v>
      </c>
      <c r="K1723" s="12" t="s">
        <v>23</v>
      </c>
      <c r="L1723" s="12">
        <v>2</v>
      </c>
      <c r="M1723" s="30">
        <f>+G1723*11</f>
        <v>58014</v>
      </c>
      <c r="N1723" s="30">
        <v>0</v>
      </c>
      <c r="O1723" s="15">
        <f t="shared" si="130"/>
        <v>58014</v>
      </c>
      <c r="P1723" s="15">
        <f t="shared" si="131"/>
        <v>11</v>
      </c>
      <c r="Q1723" s="12">
        <v>5782</v>
      </c>
      <c r="R1723" s="12">
        <v>91</v>
      </c>
      <c r="S1723" s="12" t="s">
        <v>2204</v>
      </c>
      <c r="T1723" s="22">
        <f t="shared" si="132"/>
        <v>4</v>
      </c>
      <c r="U1723" s="22">
        <f t="shared" si="133"/>
        <v>2021</v>
      </c>
      <c r="V1723" s="22" t="str">
        <f t="shared" si="134"/>
        <v>METROPOLITANA</v>
      </c>
    </row>
    <row r="1724" spans="1:22" x14ac:dyDescent="0.2">
      <c r="A1724" s="12" t="s">
        <v>2198</v>
      </c>
      <c r="B1724" s="12" t="s">
        <v>33</v>
      </c>
      <c r="C1724" s="12" t="s">
        <v>44</v>
      </c>
      <c r="D1724" s="12" t="s">
        <v>56</v>
      </c>
      <c r="E1724" s="12" t="s">
        <v>28</v>
      </c>
      <c r="F1724" s="12" t="s">
        <v>95</v>
      </c>
      <c r="G1724" s="29">
        <v>6652.8</v>
      </c>
      <c r="H1724" s="12" t="s">
        <v>22</v>
      </c>
      <c r="I1724" s="12">
        <v>0</v>
      </c>
      <c r="J1724" s="12" t="s">
        <v>95</v>
      </c>
      <c r="K1724" s="12" t="s">
        <v>23</v>
      </c>
      <c r="L1724" s="12">
        <v>4</v>
      </c>
      <c r="M1724" s="30">
        <f>+G1724*11</f>
        <v>73180.800000000003</v>
      </c>
      <c r="N1724" s="30">
        <v>0</v>
      </c>
      <c r="O1724" s="15">
        <f t="shared" si="130"/>
        <v>73180.800000000003</v>
      </c>
      <c r="P1724" s="15">
        <f t="shared" si="131"/>
        <v>11</v>
      </c>
      <c r="Q1724" s="12">
        <v>8011</v>
      </c>
      <c r="R1724" s="12">
        <v>83</v>
      </c>
      <c r="S1724" s="12" t="s">
        <v>2205</v>
      </c>
      <c r="T1724" s="22">
        <f t="shared" si="132"/>
        <v>4</v>
      </c>
      <c r="U1724" s="22">
        <f t="shared" si="133"/>
        <v>2021</v>
      </c>
      <c r="V1724" s="22" t="str">
        <f t="shared" si="134"/>
        <v>METROPOLITANA</v>
      </c>
    </row>
    <row r="1725" spans="1:22" x14ac:dyDescent="0.2">
      <c r="A1725" s="12" t="s">
        <v>2198</v>
      </c>
      <c r="B1725" s="12" t="s">
        <v>33</v>
      </c>
      <c r="C1725" s="12" t="s">
        <v>44</v>
      </c>
      <c r="D1725" s="12" t="s">
        <v>1869</v>
      </c>
      <c r="E1725" s="12" t="s">
        <v>1870</v>
      </c>
      <c r="F1725" s="12" t="s">
        <v>114</v>
      </c>
      <c r="G1725" s="29">
        <v>15578.8</v>
      </c>
      <c r="H1725" s="12" t="s">
        <v>24</v>
      </c>
      <c r="I1725" s="12">
        <v>1</v>
      </c>
      <c r="J1725" s="12" t="s">
        <v>114</v>
      </c>
      <c r="K1725" s="12" t="s">
        <v>75</v>
      </c>
      <c r="L1725" s="12">
        <v>0</v>
      </c>
      <c r="M1725" s="30">
        <v>380000</v>
      </c>
      <c r="N1725" s="30">
        <v>0</v>
      </c>
      <c r="O1725" s="15">
        <f t="shared" si="130"/>
        <v>380000</v>
      </c>
      <c r="P1725" s="15">
        <f t="shared" si="131"/>
        <v>24.392122628187025</v>
      </c>
      <c r="Q1725" s="12">
        <v>25000</v>
      </c>
      <c r="R1725" s="12">
        <v>62</v>
      </c>
      <c r="S1725" s="12" t="s">
        <v>2206</v>
      </c>
      <c r="T1725" s="22">
        <f t="shared" si="132"/>
        <v>4</v>
      </c>
      <c r="U1725" s="22">
        <f t="shared" si="133"/>
        <v>2021</v>
      </c>
      <c r="V1725" s="22" t="str">
        <f t="shared" si="134"/>
        <v>REGIONES</v>
      </c>
    </row>
    <row r="1726" spans="1:22" x14ac:dyDescent="0.2">
      <c r="A1726" s="12" t="s">
        <v>2198</v>
      </c>
      <c r="B1726" s="12" t="s">
        <v>33</v>
      </c>
      <c r="C1726" s="12" t="s">
        <v>44</v>
      </c>
      <c r="D1726" s="12" t="s">
        <v>38</v>
      </c>
      <c r="E1726" s="12" t="s">
        <v>42</v>
      </c>
      <c r="F1726" s="12" t="s">
        <v>53</v>
      </c>
      <c r="G1726" s="29">
        <v>5417.5999999999995</v>
      </c>
      <c r="H1726" s="12" t="s">
        <v>43</v>
      </c>
      <c r="I1726" s="12">
        <v>0</v>
      </c>
      <c r="J1726" s="12" t="s">
        <v>53</v>
      </c>
      <c r="K1726" s="12" t="s">
        <v>23</v>
      </c>
      <c r="L1726" s="12">
        <v>3</v>
      </c>
      <c r="M1726" s="30">
        <f>+G1726*11</f>
        <v>59593.599999999991</v>
      </c>
      <c r="N1726" s="30">
        <v>0</v>
      </c>
      <c r="O1726" s="15">
        <f t="shared" si="130"/>
        <v>59593.599999999991</v>
      </c>
      <c r="P1726" s="15">
        <f t="shared" si="131"/>
        <v>11</v>
      </c>
      <c r="Q1726" s="12">
        <v>6868</v>
      </c>
      <c r="R1726" s="12">
        <v>79</v>
      </c>
      <c r="S1726" s="12" t="s">
        <v>2207</v>
      </c>
      <c r="T1726" s="22">
        <f t="shared" si="132"/>
        <v>4</v>
      </c>
      <c r="U1726" s="22">
        <f t="shared" si="133"/>
        <v>2021</v>
      </c>
      <c r="V1726" s="22" t="str">
        <f t="shared" si="134"/>
        <v>METROPOLITANA</v>
      </c>
    </row>
    <row r="1727" spans="1:22" x14ac:dyDescent="0.2">
      <c r="A1727" s="12" t="s">
        <v>2198</v>
      </c>
      <c r="B1727" s="12" t="s">
        <v>33</v>
      </c>
      <c r="C1727" s="12" t="s">
        <v>44</v>
      </c>
      <c r="D1727" s="12" t="s">
        <v>188</v>
      </c>
      <c r="E1727" s="12" t="s">
        <v>189</v>
      </c>
      <c r="F1727" s="12" t="s">
        <v>229</v>
      </c>
      <c r="G1727" s="29">
        <v>3816.8</v>
      </c>
      <c r="H1727" s="12" t="s">
        <v>190</v>
      </c>
      <c r="I1727" s="12">
        <v>0</v>
      </c>
      <c r="J1727" s="12" t="s">
        <v>230</v>
      </c>
      <c r="K1727" s="12" t="s">
        <v>23</v>
      </c>
      <c r="L1727" s="12">
        <v>4</v>
      </c>
      <c r="M1727" s="30">
        <v>55000</v>
      </c>
      <c r="N1727" s="30">
        <v>0</v>
      </c>
      <c r="O1727" s="15">
        <f t="shared" si="130"/>
        <v>55000</v>
      </c>
      <c r="P1727" s="15">
        <f t="shared" si="131"/>
        <v>14.409976944036888</v>
      </c>
      <c r="Q1727" s="12">
        <v>8011</v>
      </c>
      <c r="R1727" s="12">
        <v>48</v>
      </c>
      <c r="S1727" s="12" t="s">
        <v>2208</v>
      </c>
      <c r="T1727" s="22">
        <f t="shared" si="132"/>
        <v>4</v>
      </c>
      <c r="U1727" s="22">
        <f t="shared" si="133"/>
        <v>2021</v>
      </c>
      <c r="V1727" s="22" t="str">
        <f t="shared" si="134"/>
        <v>METROPOLITANA</v>
      </c>
    </row>
    <row r="1728" spans="1:22" x14ac:dyDescent="0.2">
      <c r="A1728" s="12" t="s">
        <v>2198</v>
      </c>
      <c r="B1728" s="12" t="s">
        <v>33</v>
      </c>
      <c r="C1728" s="12" t="s">
        <v>44</v>
      </c>
      <c r="D1728" s="12" t="s">
        <v>45</v>
      </c>
      <c r="E1728" s="12" t="s">
        <v>52</v>
      </c>
      <c r="F1728" s="12" t="s">
        <v>182</v>
      </c>
      <c r="G1728" s="29">
        <v>2724.3</v>
      </c>
      <c r="H1728" s="12" t="s">
        <v>22</v>
      </c>
      <c r="I1728" s="12">
        <v>0</v>
      </c>
      <c r="J1728" s="12" t="s">
        <v>182</v>
      </c>
      <c r="K1728" s="12" t="s">
        <v>23</v>
      </c>
      <c r="L1728" s="12">
        <v>4</v>
      </c>
      <c r="M1728" s="30">
        <v>55000</v>
      </c>
      <c r="N1728" s="30">
        <v>0</v>
      </c>
      <c r="O1728" s="15">
        <f t="shared" si="130"/>
        <v>55000</v>
      </c>
      <c r="P1728" s="15">
        <f t="shared" si="131"/>
        <v>20.188672319494916</v>
      </c>
      <c r="Q1728" s="12">
        <v>8011</v>
      </c>
      <c r="R1728" s="12">
        <v>34</v>
      </c>
      <c r="S1728" s="12" t="s">
        <v>2209</v>
      </c>
      <c r="T1728" s="22">
        <f t="shared" si="132"/>
        <v>4</v>
      </c>
      <c r="U1728" s="22">
        <f t="shared" si="133"/>
        <v>2021</v>
      </c>
      <c r="V1728" s="22" t="str">
        <f t="shared" si="134"/>
        <v>METROPOLITANA</v>
      </c>
    </row>
    <row r="1729" spans="1:22" x14ac:dyDescent="0.2">
      <c r="A1729" s="12" t="s">
        <v>2198</v>
      </c>
      <c r="B1729" s="12" t="s">
        <v>33</v>
      </c>
      <c r="C1729" s="12" t="s">
        <v>44</v>
      </c>
      <c r="D1729" s="12" t="s">
        <v>47</v>
      </c>
      <c r="E1729" s="12" t="s">
        <v>1576</v>
      </c>
      <c r="F1729" s="12" t="s">
        <v>48</v>
      </c>
      <c r="G1729" s="29">
        <v>5136.6000000000004</v>
      </c>
      <c r="H1729" s="12" t="s">
        <v>22</v>
      </c>
      <c r="I1729" s="12">
        <v>0</v>
      </c>
      <c r="J1729" s="12" t="s">
        <v>48</v>
      </c>
      <c r="K1729" s="12" t="s">
        <v>23</v>
      </c>
      <c r="L1729" s="12">
        <v>1</v>
      </c>
      <c r="M1729" s="30">
        <f>+G1729*11</f>
        <v>56502.600000000006</v>
      </c>
      <c r="N1729" s="30">
        <v>0</v>
      </c>
      <c r="O1729" s="15">
        <f t="shared" si="130"/>
        <v>56502.600000000006</v>
      </c>
      <c r="P1729" s="15">
        <f t="shared" si="131"/>
        <v>11</v>
      </c>
      <c r="Q1729" s="12">
        <v>4821</v>
      </c>
      <c r="R1729" s="12">
        <v>100</v>
      </c>
      <c r="S1729" s="12" t="s">
        <v>2210</v>
      </c>
      <c r="T1729" s="22">
        <f t="shared" si="132"/>
        <v>4</v>
      </c>
      <c r="U1729" s="22">
        <f t="shared" si="133"/>
        <v>2021</v>
      </c>
      <c r="V1729" s="22" t="str">
        <f t="shared" si="134"/>
        <v>METROPOLITANA</v>
      </c>
    </row>
    <row r="1730" spans="1:22" x14ac:dyDescent="0.2">
      <c r="A1730" s="12" t="s">
        <v>2198</v>
      </c>
      <c r="B1730" s="12" t="s">
        <v>33</v>
      </c>
      <c r="C1730" s="12" t="s">
        <v>44</v>
      </c>
      <c r="D1730" s="12" t="s">
        <v>35</v>
      </c>
      <c r="E1730" s="12" t="s">
        <v>49</v>
      </c>
      <c r="F1730" s="12" t="s">
        <v>137</v>
      </c>
      <c r="G1730" s="29">
        <v>2410.6999999999998</v>
      </c>
      <c r="H1730" s="12" t="s">
        <v>22</v>
      </c>
      <c r="I1730" s="12">
        <v>0</v>
      </c>
      <c r="J1730" s="12" t="s">
        <v>137</v>
      </c>
      <c r="K1730" s="12" t="s">
        <v>23</v>
      </c>
      <c r="L1730" s="12">
        <v>1</v>
      </c>
      <c r="M1730" s="30">
        <v>55000</v>
      </c>
      <c r="N1730" s="30">
        <v>0</v>
      </c>
      <c r="O1730" s="15">
        <f t="shared" ref="O1730:O1793" si="135">SUM(M1730:N1730)</f>
        <v>55000</v>
      </c>
      <c r="P1730" s="15">
        <f t="shared" ref="P1730:P1793" si="136">O1730/G1730</f>
        <v>22.814950014518605</v>
      </c>
      <c r="Q1730" s="12">
        <v>4821</v>
      </c>
      <c r="R1730" s="12">
        <v>50</v>
      </c>
      <c r="S1730" s="12" t="s">
        <v>2211</v>
      </c>
      <c r="T1730" s="22">
        <f t="shared" ref="T1730:T1793" si="137">MONTH(A1730)</f>
        <v>4</v>
      </c>
      <c r="U1730" s="22">
        <f t="shared" ref="U1730:U1793" si="138">YEAR(A1730)</f>
        <v>2021</v>
      </c>
      <c r="V1730" s="22" t="str">
        <f t="shared" ref="V1730:V1793" si="139">IF(K1730="METROPOLITANA DE SANTIAGO","METROPOLITANA","REGIONES")</f>
        <v>METROPOLITANA</v>
      </c>
    </row>
    <row r="1731" spans="1:22" x14ac:dyDescent="0.2">
      <c r="A1731" s="22" t="s">
        <v>2212</v>
      </c>
      <c r="B1731" s="22" t="s">
        <v>18</v>
      </c>
      <c r="C1731" s="22" t="s">
        <v>163</v>
      </c>
      <c r="D1731" s="22" t="s">
        <v>2199</v>
      </c>
      <c r="E1731" s="22">
        <v>81417709</v>
      </c>
      <c r="F1731" s="22" t="s">
        <v>165</v>
      </c>
      <c r="G1731" s="32">
        <v>10156.799999999999</v>
      </c>
      <c r="H1731" s="22" t="s">
        <v>22</v>
      </c>
      <c r="I1731" s="22">
        <v>1</v>
      </c>
      <c r="J1731" s="22" t="s">
        <v>165</v>
      </c>
      <c r="K1731" s="22" t="s">
        <v>23</v>
      </c>
      <c r="L1731" s="22">
        <v>4</v>
      </c>
      <c r="M1731" s="33">
        <f>+G1731*11</f>
        <v>111724.79999999999</v>
      </c>
      <c r="N1731" s="33">
        <v>0</v>
      </c>
      <c r="O1731" s="15">
        <f t="shared" si="135"/>
        <v>111724.79999999999</v>
      </c>
      <c r="P1731" s="15">
        <f t="shared" si="136"/>
        <v>11</v>
      </c>
      <c r="Q1731" s="22">
        <v>8011</v>
      </c>
      <c r="R1731" s="22">
        <v>100</v>
      </c>
      <c r="S1731" s="22" t="s">
        <v>2213</v>
      </c>
      <c r="T1731" s="22">
        <f t="shared" si="137"/>
        <v>4</v>
      </c>
      <c r="U1731" s="22">
        <f t="shared" si="138"/>
        <v>2021</v>
      </c>
      <c r="V1731" s="22" t="str">
        <f t="shared" si="139"/>
        <v>METROPOLITANA</v>
      </c>
    </row>
    <row r="1732" spans="1:22" x14ac:dyDescent="0.2">
      <c r="A1732" s="22" t="s">
        <v>2212</v>
      </c>
      <c r="B1732" s="22" t="s">
        <v>18</v>
      </c>
      <c r="C1732" s="22" t="s">
        <v>508</v>
      </c>
      <c r="D1732" s="22" t="s">
        <v>38</v>
      </c>
      <c r="E1732" s="22">
        <v>53173292</v>
      </c>
      <c r="F1732" s="22" t="s">
        <v>800</v>
      </c>
      <c r="G1732" s="32">
        <v>6085.2599999999993</v>
      </c>
      <c r="H1732" s="22" t="s">
        <v>43</v>
      </c>
      <c r="I1732" s="22">
        <v>0</v>
      </c>
      <c r="J1732" s="22" t="s">
        <v>800</v>
      </c>
      <c r="K1732" s="22" t="s">
        <v>23</v>
      </c>
      <c r="L1732" s="22">
        <v>5</v>
      </c>
      <c r="M1732" s="33">
        <f>+G1732*11</f>
        <v>66937.859999999986</v>
      </c>
      <c r="N1732" s="33">
        <v>0</v>
      </c>
      <c r="O1732" s="15">
        <f t="shared" si="135"/>
        <v>66937.859999999986</v>
      </c>
      <c r="P1732" s="15">
        <f t="shared" si="136"/>
        <v>10.999999999999998</v>
      </c>
      <c r="Q1732" s="22">
        <v>12000</v>
      </c>
      <c r="R1732" s="22">
        <v>51</v>
      </c>
      <c r="S1732" s="22" t="s">
        <v>2214</v>
      </c>
      <c r="T1732" s="22">
        <f t="shared" si="137"/>
        <v>4</v>
      </c>
      <c r="U1732" s="22">
        <f t="shared" si="138"/>
        <v>2021</v>
      </c>
      <c r="V1732" s="22" t="str">
        <f t="shared" si="139"/>
        <v>METROPOLITANA</v>
      </c>
    </row>
    <row r="1733" spans="1:22" x14ac:dyDescent="0.2">
      <c r="A1733" s="22" t="s">
        <v>2212</v>
      </c>
      <c r="B1733" s="22" t="s">
        <v>18</v>
      </c>
      <c r="C1733" s="22" t="s">
        <v>508</v>
      </c>
      <c r="D1733" s="22" t="s">
        <v>63</v>
      </c>
      <c r="E1733" s="22">
        <v>138841065</v>
      </c>
      <c r="F1733" s="22" t="s">
        <v>800</v>
      </c>
      <c r="G1733" s="32">
        <v>2801.4</v>
      </c>
      <c r="H1733" s="22" t="s">
        <v>65</v>
      </c>
      <c r="I1733" s="22">
        <v>0</v>
      </c>
      <c r="J1733" s="22" t="s">
        <v>800</v>
      </c>
      <c r="K1733" s="22" t="s">
        <v>23</v>
      </c>
      <c r="L1733" s="22">
        <v>5</v>
      </c>
      <c r="M1733" s="33">
        <v>55000</v>
      </c>
      <c r="N1733" s="33">
        <v>0</v>
      </c>
      <c r="O1733" s="15">
        <f t="shared" si="135"/>
        <v>55000</v>
      </c>
      <c r="P1733" s="15">
        <f t="shared" si="136"/>
        <v>19.63304062254587</v>
      </c>
      <c r="Q1733" s="22">
        <v>12000</v>
      </c>
      <c r="R1733" s="22">
        <v>23</v>
      </c>
      <c r="S1733" s="22" t="s">
        <v>2215</v>
      </c>
      <c r="T1733" s="22">
        <f t="shared" si="137"/>
        <v>4</v>
      </c>
      <c r="U1733" s="22">
        <f t="shared" si="138"/>
        <v>2021</v>
      </c>
      <c r="V1733" s="22" t="str">
        <f t="shared" si="139"/>
        <v>METROPOLITANA</v>
      </c>
    </row>
    <row r="1734" spans="1:22" x14ac:dyDescent="0.2">
      <c r="A1734" s="22" t="s">
        <v>2212</v>
      </c>
      <c r="B1734" s="22" t="s">
        <v>33</v>
      </c>
      <c r="C1734" s="22" t="s">
        <v>50</v>
      </c>
      <c r="D1734" s="22" t="s">
        <v>47</v>
      </c>
      <c r="E1734" s="22">
        <v>154837728</v>
      </c>
      <c r="F1734" s="22" t="s">
        <v>26</v>
      </c>
      <c r="G1734" s="32">
        <v>6943.9999999999982</v>
      </c>
      <c r="H1734" s="22" t="s">
        <v>22</v>
      </c>
      <c r="I1734" s="22">
        <v>0</v>
      </c>
      <c r="J1734" s="22" t="s">
        <v>26</v>
      </c>
      <c r="K1734" s="22" t="s">
        <v>23</v>
      </c>
      <c r="L1734" s="22">
        <v>4</v>
      </c>
      <c r="M1734" s="33">
        <f>+G1734*11</f>
        <v>76383.999999999985</v>
      </c>
      <c r="N1734" s="33">
        <v>0</v>
      </c>
      <c r="O1734" s="15">
        <f t="shared" si="135"/>
        <v>76383.999999999985</v>
      </c>
      <c r="P1734" s="15">
        <f t="shared" si="136"/>
        <v>11</v>
      </c>
      <c r="Q1734" s="22">
        <v>8011</v>
      </c>
      <c r="R1734" s="22">
        <v>87</v>
      </c>
      <c r="S1734" s="22" t="s">
        <v>2216</v>
      </c>
      <c r="T1734" s="22">
        <f t="shared" si="137"/>
        <v>4</v>
      </c>
      <c r="U1734" s="22">
        <f t="shared" si="138"/>
        <v>2021</v>
      </c>
      <c r="V1734" s="22" t="str">
        <f t="shared" si="139"/>
        <v>METROPOLITANA</v>
      </c>
    </row>
    <row r="1735" spans="1:22" x14ac:dyDescent="0.2">
      <c r="A1735" s="22" t="s">
        <v>2212</v>
      </c>
      <c r="B1735" s="22" t="s">
        <v>33</v>
      </c>
      <c r="C1735" s="22" t="s">
        <v>2049</v>
      </c>
      <c r="D1735" s="22" t="s">
        <v>30</v>
      </c>
      <c r="E1735" s="22">
        <v>72564391</v>
      </c>
      <c r="F1735" s="22" t="s">
        <v>2050</v>
      </c>
      <c r="G1735" s="32">
        <v>3743.08</v>
      </c>
      <c r="H1735" s="22" t="s">
        <v>32</v>
      </c>
      <c r="I1735" s="22">
        <v>0</v>
      </c>
      <c r="J1735" s="22" t="s">
        <v>2050</v>
      </c>
      <c r="K1735" s="22" t="s">
        <v>86</v>
      </c>
      <c r="L1735" s="22">
        <v>0</v>
      </c>
      <c r="M1735" s="33">
        <v>350000</v>
      </c>
      <c r="N1735" s="33">
        <v>0</v>
      </c>
      <c r="O1735" s="15">
        <f t="shared" si="135"/>
        <v>350000</v>
      </c>
      <c r="P1735" s="15">
        <f t="shared" si="136"/>
        <v>93.505882855829967</v>
      </c>
      <c r="Q1735" s="22">
        <v>25000</v>
      </c>
      <c r="R1735" s="22">
        <v>15</v>
      </c>
      <c r="S1735" s="22" t="s">
        <v>2217</v>
      </c>
      <c r="T1735" s="22">
        <f t="shared" si="137"/>
        <v>4</v>
      </c>
      <c r="U1735" s="22">
        <f t="shared" si="138"/>
        <v>2021</v>
      </c>
      <c r="V1735" s="22" t="str">
        <f t="shared" si="139"/>
        <v>REGIONES</v>
      </c>
    </row>
    <row r="1736" spans="1:22" x14ac:dyDescent="0.2">
      <c r="A1736" s="22" t="s">
        <v>2212</v>
      </c>
      <c r="B1736" s="22" t="s">
        <v>33</v>
      </c>
      <c r="C1736" s="22" t="s">
        <v>128</v>
      </c>
      <c r="D1736" s="22" t="s">
        <v>38</v>
      </c>
      <c r="E1736" s="22">
        <v>53173292</v>
      </c>
      <c r="F1736" s="22" t="s">
        <v>34</v>
      </c>
      <c r="G1736" s="32">
        <v>3896.2</v>
      </c>
      <c r="H1736" s="22" t="s">
        <v>43</v>
      </c>
      <c r="I1736" s="22">
        <v>0</v>
      </c>
      <c r="J1736" s="22" t="s">
        <v>34</v>
      </c>
      <c r="K1736" s="22" t="s">
        <v>23</v>
      </c>
      <c r="L1736" s="22">
        <v>1</v>
      </c>
      <c r="M1736" s="33">
        <v>55000</v>
      </c>
      <c r="N1736" s="33">
        <v>0</v>
      </c>
      <c r="O1736" s="15">
        <f t="shared" si="135"/>
        <v>55000</v>
      </c>
      <c r="P1736" s="15">
        <f t="shared" si="136"/>
        <v>14.116318464144552</v>
      </c>
      <c r="Q1736" s="22">
        <v>4821</v>
      </c>
      <c r="R1736" s="22">
        <v>81</v>
      </c>
      <c r="S1736" s="22" t="s">
        <v>2218</v>
      </c>
      <c r="T1736" s="22">
        <f t="shared" si="137"/>
        <v>4</v>
      </c>
      <c r="U1736" s="22">
        <f t="shared" si="138"/>
        <v>2021</v>
      </c>
      <c r="V1736" s="22" t="str">
        <f t="shared" si="139"/>
        <v>METROPOLITANA</v>
      </c>
    </row>
    <row r="1737" spans="1:22" x14ac:dyDescent="0.2">
      <c r="A1737" s="22" t="s">
        <v>2212</v>
      </c>
      <c r="B1737" s="22" t="s">
        <v>33</v>
      </c>
      <c r="C1737" s="22" t="s">
        <v>128</v>
      </c>
      <c r="D1737" s="22" t="s">
        <v>20</v>
      </c>
      <c r="E1737" s="22">
        <v>78907355</v>
      </c>
      <c r="F1737" s="22" t="s">
        <v>34</v>
      </c>
      <c r="G1737" s="32">
        <v>4720.3999999999996</v>
      </c>
      <c r="H1737" s="22" t="s">
        <v>22</v>
      </c>
      <c r="I1737" s="22">
        <v>0</v>
      </c>
      <c r="J1737" s="22" t="s">
        <v>34</v>
      </c>
      <c r="K1737" s="22" t="s">
        <v>23</v>
      </c>
      <c r="L1737" s="22">
        <v>1</v>
      </c>
      <c r="M1737" s="33">
        <v>55000</v>
      </c>
      <c r="N1737" s="33">
        <v>0</v>
      </c>
      <c r="O1737" s="15">
        <f t="shared" si="135"/>
        <v>55000</v>
      </c>
      <c r="P1737" s="15">
        <f t="shared" si="136"/>
        <v>11.651554952970088</v>
      </c>
      <c r="Q1737" s="22">
        <v>4821</v>
      </c>
      <c r="R1737" s="22">
        <v>98</v>
      </c>
      <c r="S1737" s="22" t="s">
        <v>2219</v>
      </c>
      <c r="T1737" s="22">
        <f t="shared" si="137"/>
        <v>4</v>
      </c>
      <c r="U1737" s="22">
        <f t="shared" si="138"/>
        <v>2021</v>
      </c>
      <c r="V1737" s="22" t="str">
        <f t="shared" si="139"/>
        <v>METROPOLITANA</v>
      </c>
    </row>
    <row r="1738" spans="1:22" x14ac:dyDescent="0.2">
      <c r="A1738" s="22" t="s">
        <v>2212</v>
      </c>
      <c r="B1738" s="22" t="s">
        <v>33</v>
      </c>
      <c r="C1738" s="22" t="s">
        <v>29</v>
      </c>
      <c r="D1738" s="22" t="s">
        <v>786</v>
      </c>
      <c r="E1738" s="22">
        <v>95707734</v>
      </c>
      <c r="F1738" s="22" t="s">
        <v>173</v>
      </c>
      <c r="G1738" s="32">
        <v>19510.400000000001</v>
      </c>
      <c r="H1738" s="22" t="s">
        <v>788</v>
      </c>
      <c r="I1738" s="22">
        <v>1</v>
      </c>
      <c r="J1738" s="22" t="s">
        <v>173</v>
      </c>
      <c r="K1738" s="22" t="s">
        <v>23</v>
      </c>
      <c r="L1738" s="22">
        <v>5</v>
      </c>
      <c r="M1738" s="33">
        <f>+G1738*11</f>
        <v>214614.40000000002</v>
      </c>
      <c r="N1738" s="33">
        <v>0</v>
      </c>
      <c r="O1738" s="15">
        <f t="shared" si="135"/>
        <v>214614.40000000002</v>
      </c>
      <c r="P1738" s="15">
        <f t="shared" si="136"/>
        <v>11</v>
      </c>
      <c r="Q1738" s="22">
        <v>12000</v>
      </c>
      <c r="R1738" s="22">
        <v>100</v>
      </c>
      <c r="S1738" s="22" t="s">
        <v>2220</v>
      </c>
      <c r="T1738" s="22">
        <f t="shared" si="137"/>
        <v>4</v>
      </c>
      <c r="U1738" s="22">
        <f t="shared" si="138"/>
        <v>2021</v>
      </c>
      <c r="V1738" s="22" t="str">
        <f t="shared" si="139"/>
        <v>METROPOLITANA</v>
      </c>
    </row>
    <row r="1739" spans="1:22" x14ac:dyDescent="0.2">
      <c r="A1739" s="22" t="s">
        <v>2212</v>
      </c>
      <c r="B1739" s="22" t="s">
        <v>33</v>
      </c>
      <c r="C1739" s="22" t="s">
        <v>44</v>
      </c>
      <c r="D1739" s="22" t="s">
        <v>56</v>
      </c>
      <c r="E1739" s="22">
        <v>99626232</v>
      </c>
      <c r="F1739" s="22" t="s">
        <v>95</v>
      </c>
      <c r="G1739" s="32">
        <v>4160.3</v>
      </c>
      <c r="H1739" s="22" t="s">
        <v>22</v>
      </c>
      <c r="I1739" s="22">
        <v>0</v>
      </c>
      <c r="J1739" s="22" t="s">
        <v>95</v>
      </c>
      <c r="K1739" s="22" t="s">
        <v>23</v>
      </c>
      <c r="L1739" s="22">
        <v>4</v>
      </c>
      <c r="M1739" s="33">
        <v>55000</v>
      </c>
      <c r="N1739" s="33">
        <v>0</v>
      </c>
      <c r="O1739" s="15">
        <f t="shared" si="135"/>
        <v>55000</v>
      </c>
      <c r="P1739" s="15">
        <f t="shared" si="136"/>
        <v>13.220200466312525</v>
      </c>
      <c r="Q1739" s="22">
        <v>8011</v>
      </c>
      <c r="R1739" s="22">
        <v>52</v>
      </c>
      <c r="S1739" s="22" t="s">
        <v>2221</v>
      </c>
      <c r="T1739" s="22">
        <f t="shared" si="137"/>
        <v>4</v>
      </c>
      <c r="U1739" s="22">
        <f t="shared" si="138"/>
        <v>2021</v>
      </c>
      <c r="V1739" s="22" t="str">
        <f t="shared" si="139"/>
        <v>METROPOLITANA</v>
      </c>
    </row>
    <row r="1740" spans="1:22" x14ac:dyDescent="0.2">
      <c r="A1740" s="22" t="s">
        <v>2212</v>
      </c>
      <c r="B1740" s="22" t="s">
        <v>33</v>
      </c>
      <c r="C1740" s="22" t="s">
        <v>44</v>
      </c>
      <c r="D1740" s="22" t="s">
        <v>130</v>
      </c>
      <c r="E1740" s="22">
        <v>167832741</v>
      </c>
      <c r="F1740" s="22" t="s">
        <v>114</v>
      </c>
      <c r="G1740" s="32">
        <v>15304</v>
      </c>
      <c r="H1740" s="22" t="s">
        <v>85</v>
      </c>
      <c r="I1740" s="22">
        <v>1</v>
      </c>
      <c r="J1740" s="22" t="s">
        <v>114</v>
      </c>
      <c r="K1740" s="22" t="s">
        <v>75</v>
      </c>
      <c r="L1740" s="22">
        <v>0</v>
      </c>
      <c r="M1740" s="33">
        <v>380000</v>
      </c>
      <c r="N1740" s="33">
        <v>0</v>
      </c>
      <c r="O1740" s="15">
        <f t="shared" si="135"/>
        <v>380000</v>
      </c>
      <c r="P1740" s="15">
        <f t="shared" si="136"/>
        <v>24.830109775222166</v>
      </c>
      <c r="Q1740" s="22">
        <v>25000</v>
      </c>
      <c r="R1740" s="22">
        <v>61</v>
      </c>
      <c r="S1740" s="22" t="s">
        <v>2222</v>
      </c>
      <c r="T1740" s="22">
        <f t="shared" si="137"/>
        <v>4</v>
      </c>
      <c r="U1740" s="22">
        <f t="shared" si="138"/>
        <v>2021</v>
      </c>
      <c r="V1740" s="22" t="str">
        <f t="shared" si="139"/>
        <v>REGIONES</v>
      </c>
    </row>
    <row r="1741" spans="1:22" x14ac:dyDescent="0.2">
      <c r="A1741" s="22" t="s">
        <v>2212</v>
      </c>
      <c r="B1741" s="22" t="s">
        <v>33</v>
      </c>
      <c r="C1741" s="22" t="s">
        <v>44</v>
      </c>
      <c r="D1741" s="22" t="s">
        <v>188</v>
      </c>
      <c r="E1741" s="22">
        <v>35488103</v>
      </c>
      <c r="F1741" s="22" t="s">
        <v>34</v>
      </c>
      <c r="G1741" s="32">
        <v>2251.1999999999998</v>
      </c>
      <c r="H1741" s="22" t="s">
        <v>190</v>
      </c>
      <c r="I1741" s="22">
        <v>0</v>
      </c>
      <c r="J1741" s="22" t="s">
        <v>34</v>
      </c>
      <c r="K1741" s="22" t="s">
        <v>23</v>
      </c>
      <c r="L1741" s="22">
        <v>1</v>
      </c>
      <c r="M1741" s="33">
        <v>55000</v>
      </c>
      <c r="N1741" s="33">
        <v>0</v>
      </c>
      <c r="O1741" s="15">
        <f t="shared" si="135"/>
        <v>55000</v>
      </c>
      <c r="P1741" s="15">
        <f t="shared" si="136"/>
        <v>24.431414356787492</v>
      </c>
      <c r="Q1741" s="22">
        <v>4821</v>
      </c>
      <c r="R1741" s="22">
        <v>47</v>
      </c>
      <c r="S1741" s="22" t="s">
        <v>2223</v>
      </c>
      <c r="T1741" s="22">
        <f t="shared" si="137"/>
        <v>4</v>
      </c>
      <c r="U1741" s="22">
        <f t="shared" si="138"/>
        <v>2021</v>
      </c>
      <c r="V1741" s="22" t="str">
        <f t="shared" si="139"/>
        <v>METROPOLITANA</v>
      </c>
    </row>
    <row r="1742" spans="1:22" x14ac:dyDescent="0.2">
      <c r="A1742" s="22" t="s">
        <v>2212</v>
      </c>
      <c r="B1742" s="22" t="s">
        <v>33</v>
      </c>
      <c r="C1742" s="22" t="s">
        <v>44</v>
      </c>
      <c r="D1742" s="22" t="s">
        <v>63</v>
      </c>
      <c r="E1742" s="22">
        <v>138841065</v>
      </c>
      <c r="F1742" s="22" t="s">
        <v>26</v>
      </c>
      <c r="G1742" s="32">
        <v>1500.8</v>
      </c>
      <c r="H1742" s="22" t="s">
        <v>65</v>
      </c>
      <c r="I1742" s="22">
        <v>0</v>
      </c>
      <c r="J1742" s="22" t="s">
        <v>26</v>
      </c>
      <c r="K1742" s="22" t="s">
        <v>23</v>
      </c>
      <c r="L1742" s="22">
        <v>4</v>
      </c>
      <c r="M1742" s="33">
        <v>55000</v>
      </c>
      <c r="N1742" s="33">
        <v>0</v>
      </c>
      <c r="O1742" s="15">
        <f t="shared" si="135"/>
        <v>55000</v>
      </c>
      <c r="P1742" s="15">
        <f t="shared" si="136"/>
        <v>36.647121535181235</v>
      </c>
      <c r="Q1742" s="22">
        <v>8011</v>
      </c>
      <c r="R1742" s="22">
        <v>19</v>
      </c>
      <c r="S1742" s="22" t="s">
        <v>2224</v>
      </c>
      <c r="T1742" s="22">
        <f t="shared" si="137"/>
        <v>4</v>
      </c>
      <c r="U1742" s="22">
        <f t="shared" si="138"/>
        <v>2021</v>
      </c>
      <c r="V1742" s="22" t="str">
        <f t="shared" si="139"/>
        <v>METROPOLITANA</v>
      </c>
    </row>
    <row r="1743" spans="1:22" x14ac:dyDescent="0.2">
      <c r="A1743" s="22" t="s">
        <v>2212</v>
      </c>
      <c r="B1743" s="22" t="s">
        <v>33</v>
      </c>
      <c r="C1743" s="22" t="s">
        <v>44</v>
      </c>
      <c r="D1743" s="22" t="s">
        <v>45</v>
      </c>
      <c r="E1743" s="22">
        <v>107643206</v>
      </c>
      <c r="F1743" s="22" t="s">
        <v>26</v>
      </c>
      <c r="G1743" s="32">
        <v>1468.5</v>
      </c>
      <c r="H1743" s="22" t="s">
        <v>22</v>
      </c>
      <c r="I1743" s="22">
        <v>0</v>
      </c>
      <c r="J1743" s="22" t="s">
        <v>26</v>
      </c>
      <c r="K1743" s="22" t="s">
        <v>23</v>
      </c>
      <c r="L1743" s="22">
        <v>4</v>
      </c>
      <c r="M1743" s="33">
        <v>55000</v>
      </c>
      <c r="N1743" s="33">
        <v>0</v>
      </c>
      <c r="O1743" s="15">
        <f t="shared" si="135"/>
        <v>55000</v>
      </c>
      <c r="P1743" s="15">
        <f t="shared" si="136"/>
        <v>37.453183520599254</v>
      </c>
      <c r="Q1743" s="22">
        <v>8011</v>
      </c>
      <c r="R1743" s="22">
        <v>18</v>
      </c>
      <c r="S1743" s="22" t="s">
        <v>2225</v>
      </c>
      <c r="T1743" s="22">
        <f t="shared" si="137"/>
        <v>4</v>
      </c>
      <c r="U1743" s="22">
        <f t="shared" si="138"/>
        <v>2021</v>
      </c>
      <c r="V1743" s="22" t="str">
        <f t="shared" si="139"/>
        <v>METROPOLITANA</v>
      </c>
    </row>
    <row r="1744" spans="1:22" x14ac:dyDescent="0.2">
      <c r="A1744" s="22" t="s">
        <v>2212</v>
      </c>
      <c r="B1744" s="22" t="s">
        <v>33</v>
      </c>
      <c r="C1744" s="22" t="s">
        <v>44</v>
      </c>
      <c r="D1744" s="22" t="s">
        <v>47</v>
      </c>
      <c r="E1744" s="22">
        <v>154837728</v>
      </c>
      <c r="F1744" s="22" t="s">
        <v>67</v>
      </c>
      <c r="G1744" s="32">
        <v>1025.2</v>
      </c>
      <c r="H1744" s="22" t="s">
        <v>22</v>
      </c>
      <c r="I1744" s="22">
        <v>0</v>
      </c>
      <c r="J1744" s="22" t="s">
        <v>67</v>
      </c>
      <c r="K1744" s="22" t="s">
        <v>23</v>
      </c>
      <c r="L1744" s="22">
        <v>2</v>
      </c>
      <c r="M1744" s="33">
        <v>55000</v>
      </c>
      <c r="N1744" s="33">
        <v>0</v>
      </c>
      <c r="O1744" s="15">
        <f t="shared" si="135"/>
        <v>55000</v>
      </c>
      <c r="P1744" s="15">
        <f t="shared" si="136"/>
        <v>53.648068669527895</v>
      </c>
      <c r="Q1744" s="22">
        <v>5782</v>
      </c>
      <c r="R1744" s="22">
        <v>18</v>
      </c>
      <c r="S1744" s="22" t="s">
        <v>2226</v>
      </c>
      <c r="T1744" s="22">
        <f t="shared" si="137"/>
        <v>4</v>
      </c>
      <c r="U1744" s="22">
        <f t="shared" si="138"/>
        <v>2021</v>
      </c>
      <c r="V1744" s="22" t="str">
        <f t="shared" si="139"/>
        <v>METROPOLITANA</v>
      </c>
    </row>
    <row r="1745" spans="1:22" x14ac:dyDescent="0.2">
      <c r="A1745" s="22" t="s">
        <v>2212</v>
      </c>
      <c r="B1745" s="22" t="s">
        <v>33</v>
      </c>
      <c r="C1745" s="22" t="s">
        <v>44</v>
      </c>
      <c r="D1745" s="22" t="s">
        <v>35</v>
      </c>
      <c r="E1745" s="22">
        <v>107643206</v>
      </c>
      <c r="F1745" s="22" t="s">
        <v>51</v>
      </c>
      <c r="G1745" s="32">
        <v>2986.1</v>
      </c>
      <c r="H1745" s="22" t="s">
        <v>22</v>
      </c>
      <c r="I1745" s="22">
        <v>0</v>
      </c>
      <c r="J1745" s="22" t="s">
        <v>51</v>
      </c>
      <c r="K1745" s="22" t="s">
        <v>23</v>
      </c>
      <c r="L1745" s="22">
        <v>4</v>
      </c>
      <c r="M1745" s="33">
        <v>55000</v>
      </c>
      <c r="N1745" s="33">
        <v>0</v>
      </c>
      <c r="O1745" s="15">
        <f t="shared" si="135"/>
        <v>55000</v>
      </c>
      <c r="P1745" s="15">
        <f t="shared" si="136"/>
        <v>18.418673185760692</v>
      </c>
      <c r="Q1745" s="22">
        <v>8011</v>
      </c>
      <c r="R1745" s="22">
        <v>37</v>
      </c>
      <c r="S1745" s="22" t="s">
        <v>2227</v>
      </c>
      <c r="T1745" s="22">
        <f t="shared" si="137"/>
        <v>4</v>
      </c>
      <c r="U1745" s="22">
        <f t="shared" si="138"/>
        <v>2021</v>
      </c>
      <c r="V1745" s="22" t="str">
        <f t="shared" si="139"/>
        <v>METROPOLITANA</v>
      </c>
    </row>
    <row r="1746" spans="1:22" x14ac:dyDescent="0.2">
      <c r="A1746" s="12" t="s">
        <v>2228</v>
      </c>
      <c r="B1746" s="12" t="s">
        <v>18</v>
      </c>
      <c r="C1746" s="12" t="s">
        <v>2229</v>
      </c>
      <c r="D1746" s="12" t="s">
        <v>1869</v>
      </c>
      <c r="E1746" s="12" t="s">
        <v>1870</v>
      </c>
      <c r="F1746" s="12" t="s">
        <v>2230</v>
      </c>
      <c r="G1746" s="29">
        <v>9362.2199999999993</v>
      </c>
      <c r="H1746" s="12" t="s">
        <v>24</v>
      </c>
      <c r="I1746" s="12">
        <v>1</v>
      </c>
      <c r="J1746" s="12" t="s">
        <v>92</v>
      </c>
      <c r="K1746" s="12" t="s">
        <v>93</v>
      </c>
      <c r="L1746" s="12">
        <v>0</v>
      </c>
      <c r="M1746" s="30">
        <v>620000</v>
      </c>
      <c r="N1746" s="30">
        <v>0</v>
      </c>
      <c r="O1746" s="15">
        <f t="shared" si="135"/>
        <v>620000</v>
      </c>
      <c r="P1746" s="15">
        <f t="shared" si="136"/>
        <v>66.223609357609632</v>
      </c>
      <c r="Q1746" s="12">
        <v>25000</v>
      </c>
      <c r="R1746" s="12">
        <v>37</v>
      </c>
      <c r="S1746" s="12" t="s">
        <v>2231</v>
      </c>
      <c r="T1746" s="22">
        <f t="shared" si="137"/>
        <v>4</v>
      </c>
      <c r="U1746" s="22">
        <f t="shared" si="138"/>
        <v>2021</v>
      </c>
      <c r="V1746" s="22" t="str">
        <f t="shared" si="139"/>
        <v>REGIONES</v>
      </c>
    </row>
    <row r="1747" spans="1:22" x14ac:dyDescent="0.2">
      <c r="A1747" s="12" t="s">
        <v>2228</v>
      </c>
      <c r="B1747" s="12" t="s">
        <v>18</v>
      </c>
      <c r="C1747" s="12" t="s">
        <v>324</v>
      </c>
      <c r="D1747" s="12" t="s">
        <v>37</v>
      </c>
      <c r="E1747" s="12" t="s">
        <v>40</v>
      </c>
      <c r="F1747" s="12" t="s">
        <v>325</v>
      </c>
      <c r="G1747" s="29">
        <v>9310.57</v>
      </c>
      <c r="H1747" s="12" t="s">
        <v>22</v>
      </c>
      <c r="I1747" s="12">
        <v>0</v>
      </c>
      <c r="J1747" s="12" t="s">
        <v>325</v>
      </c>
      <c r="K1747" s="12" t="s">
        <v>78</v>
      </c>
      <c r="L1747" s="12">
        <v>0</v>
      </c>
      <c r="M1747" s="30">
        <v>230000</v>
      </c>
      <c r="N1747" s="30">
        <v>0</v>
      </c>
      <c r="O1747" s="15">
        <f t="shared" si="135"/>
        <v>230000</v>
      </c>
      <c r="P1747" s="15">
        <f t="shared" si="136"/>
        <v>24.703106254504291</v>
      </c>
      <c r="Q1747" s="12">
        <v>25000</v>
      </c>
      <c r="R1747" s="12">
        <v>37</v>
      </c>
      <c r="S1747" s="12" t="s">
        <v>2232</v>
      </c>
      <c r="T1747" s="22">
        <f t="shared" si="137"/>
        <v>4</v>
      </c>
      <c r="U1747" s="22">
        <f t="shared" si="138"/>
        <v>2021</v>
      </c>
      <c r="V1747" s="22" t="str">
        <f t="shared" si="139"/>
        <v>REGIONES</v>
      </c>
    </row>
    <row r="1748" spans="1:22" x14ac:dyDescent="0.2">
      <c r="A1748" s="12" t="s">
        <v>2228</v>
      </c>
      <c r="B1748" s="12" t="s">
        <v>18</v>
      </c>
      <c r="C1748" s="12" t="s">
        <v>163</v>
      </c>
      <c r="D1748" s="12" t="s">
        <v>2199</v>
      </c>
      <c r="E1748" s="12" t="s">
        <v>28</v>
      </c>
      <c r="F1748" s="12" t="s">
        <v>165</v>
      </c>
      <c r="G1748" s="29">
        <v>11003.2</v>
      </c>
      <c r="H1748" s="12" t="s">
        <v>22</v>
      </c>
      <c r="I1748" s="12">
        <v>0</v>
      </c>
      <c r="J1748" s="12" t="s">
        <v>165</v>
      </c>
      <c r="K1748" s="12" t="s">
        <v>23</v>
      </c>
      <c r="L1748" s="12">
        <v>4</v>
      </c>
      <c r="M1748" s="30">
        <v>121035</v>
      </c>
      <c r="N1748" s="30">
        <v>0</v>
      </c>
      <c r="O1748" s="15">
        <f t="shared" si="135"/>
        <v>121035</v>
      </c>
      <c r="P1748" s="15">
        <f t="shared" si="136"/>
        <v>10.999981823469536</v>
      </c>
      <c r="Q1748" s="12">
        <v>5000</v>
      </c>
      <c r="R1748" s="12">
        <v>100</v>
      </c>
      <c r="S1748" s="12" t="s">
        <v>2233</v>
      </c>
      <c r="T1748" s="22">
        <f t="shared" si="137"/>
        <v>4</v>
      </c>
      <c r="U1748" s="22">
        <f t="shared" si="138"/>
        <v>2021</v>
      </c>
      <c r="V1748" s="22" t="str">
        <f t="shared" si="139"/>
        <v>METROPOLITANA</v>
      </c>
    </row>
    <row r="1749" spans="1:22" x14ac:dyDescent="0.2">
      <c r="A1749" s="12" t="s">
        <v>2228</v>
      </c>
      <c r="B1749" s="12" t="s">
        <v>33</v>
      </c>
      <c r="C1749" s="12" t="s">
        <v>50</v>
      </c>
      <c r="D1749" s="12" t="s">
        <v>41</v>
      </c>
      <c r="E1749" s="12" t="s">
        <v>25</v>
      </c>
      <c r="F1749" s="12" t="s">
        <v>26</v>
      </c>
      <c r="G1749" s="29">
        <v>10416</v>
      </c>
      <c r="H1749" s="12" t="s">
        <v>43</v>
      </c>
      <c r="I1749" s="12">
        <v>0</v>
      </c>
      <c r="J1749" s="12" t="s">
        <v>26</v>
      </c>
      <c r="K1749" s="12" t="s">
        <v>23</v>
      </c>
      <c r="L1749" s="12">
        <v>4</v>
      </c>
      <c r="M1749" s="30">
        <v>114576</v>
      </c>
      <c r="N1749" s="30">
        <v>0</v>
      </c>
      <c r="O1749" s="15">
        <f t="shared" si="135"/>
        <v>114576</v>
      </c>
      <c r="P1749" s="15">
        <f t="shared" si="136"/>
        <v>11</v>
      </c>
      <c r="Q1749" s="12">
        <v>5000</v>
      </c>
      <c r="R1749" s="12">
        <v>100</v>
      </c>
      <c r="S1749" s="12" t="s">
        <v>2234</v>
      </c>
      <c r="T1749" s="22">
        <f t="shared" si="137"/>
        <v>4</v>
      </c>
      <c r="U1749" s="22">
        <f t="shared" si="138"/>
        <v>2021</v>
      </c>
      <c r="V1749" s="22" t="str">
        <f t="shared" si="139"/>
        <v>METROPOLITANA</v>
      </c>
    </row>
    <row r="1750" spans="1:22" x14ac:dyDescent="0.2">
      <c r="A1750" s="12" t="s">
        <v>2228</v>
      </c>
      <c r="B1750" s="12" t="s">
        <v>33</v>
      </c>
      <c r="C1750" s="12" t="s">
        <v>29</v>
      </c>
      <c r="D1750" s="12" t="s">
        <v>38</v>
      </c>
      <c r="E1750" s="12" t="s">
        <v>42</v>
      </c>
      <c r="F1750" s="12" t="s">
        <v>134</v>
      </c>
      <c r="G1750" s="29">
        <v>6801.5999999999995</v>
      </c>
      <c r="H1750" s="12" t="s">
        <v>43</v>
      </c>
      <c r="I1750" s="12">
        <v>0</v>
      </c>
      <c r="J1750" s="12" t="s">
        <v>134</v>
      </c>
      <c r="K1750" s="12" t="s">
        <v>23</v>
      </c>
      <c r="L1750" s="12">
        <v>2</v>
      </c>
      <c r="M1750" s="30">
        <v>74818</v>
      </c>
      <c r="N1750" s="30">
        <v>0</v>
      </c>
      <c r="O1750" s="15">
        <f t="shared" si="135"/>
        <v>74818</v>
      </c>
      <c r="P1750" s="15">
        <f t="shared" si="136"/>
        <v>11.000058809691838</v>
      </c>
      <c r="Q1750" s="12">
        <v>5000</v>
      </c>
      <c r="R1750" s="12">
        <v>100</v>
      </c>
      <c r="S1750" s="12" t="s">
        <v>2235</v>
      </c>
      <c r="T1750" s="22">
        <f t="shared" si="137"/>
        <v>4</v>
      </c>
      <c r="U1750" s="22">
        <f t="shared" si="138"/>
        <v>2021</v>
      </c>
      <c r="V1750" s="22" t="str">
        <f t="shared" si="139"/>
        <v>METROPOLITANA</v>
      </c>
    </row>
    <row r="1751" spans="1:22" x14ac:dyDescent="0.2">
      <c r="A1751" s="12" t="s">
        <v>2228</v>
      </c>
      <c r="B1751" s="12" t="s">
        <v>33</v>
      </c>
      <c r="C1751" s="12" t="s">
        <v>29</v>
      </c>
      <c r="D1751" s="12" t="s">
        <v>786</v>
      </c>
      <c r="E1751" s="12" t="s">
        <v>787</v>
      </c>
      <c r="F1751" s="12" t="s">
        <v>170</v>
      </c>
      <c r="G1751" s="29">
        <v>17325.999999999989</v>
      </c>
      <c r="H1751" s="12" t="s">
        <v>788</v>
      </c>
      <c r="I1751" s="12">
        <v>1</v>
      </c>
      <c r="J1751" s="12" t="s">
        <v>170</v>
      </c>
      <c r="K1751" s="12" t="s">
        <v>171</v>
      </c>
      <c r="L1751" s="12">
        <v>0</v>
      </c>
      <c r="M1751" s="30">
        <v>230000</v>
      </c>
      <c r="N1751" s="30">
        <v>0</v>
      </c>
      <c r="O1751" s="15">
        <f t="shared" si="135"/>
        <v>230000</v>
      </c>
      <c r="P1751" s="15">
        <f t="shared" si="136"/>
        <v>13.274847050675294</v>
      </c>
      <c r="Q1751" s="12">
        <v>25000</v>
      </c>
      <c r="R1751" s="12">
        <v>69</v>
      </c>
      <c r="S1751" s="12" t="s">
        <v>2236</v>
      </c>
      <c r="T1751" s="22">
        <f t="shared" si="137"/>
        <v>4</v>
      </c>
      <c r="U1751" s="22">
        <f t="shared" si="138"/>
        <v>2021</v>
      </c>
      <c r="V1751" s="22" t="str">
        <f t="shared" si="139"/>
        <v>REGIONES</v>
      </c>
    </row>
    <row r="1752" spans="1:22" x14ac:dyDescent="0.2">
      <c r="A1752" s="12" t="s">
        <v>2228</v>
      </c>
      <c r="B1752" s="12" t="s">
        <v>33</v>
      </c>
      <c r="C1752" s="12" t="s">
        <v>29</v>
      </c>
      <c r="D1752" s="12" t="s">
        <v>20</v>
      </c>
      <c r="E1752" s="12" t="s">
        <v>21</v>
      </c>
      <c r="F1752" s="12" t="s">
        <v>1783</v>
      </c>
      <c r="G1752" s="29">
        <v>9004.7999999999975</v>
      </c>
      <c r="H1752" s="12" t="s">
        <v>22</v>
      </c>
      <c r="I1752" s="12">
        <v>0</v>
      </c>
      <c r="J1752" s="12" t="s">
        <v>1784</v>
      </c>
      <c r="K1752" s="12" t="s">
        <v>23</v>
      </c>
      <c r="L1752" s="12">
        <v>5</v>
      </c>
      <c r="M1752" s="30">
        <v>90000</v>
      </c>
      <c r="N1752" s="30">
        <v>0</v>
      </c>
      <c r="O1752" s="15">
        <f t="shared" si="135"/>
        <v>90000</v>
      </c>
      <c r="P1752" s="15">
        <f t="shared" si="136"/>
        <v>9.9946695095948854</v>
      </c>
      <c r="Q1752" s="12">
        <v>10000</v>
      </c>
      <c r="R1752" s="12">
        <v>90</v>
      </c>
      <c r="S1752" s="12" t="s">
        <v>2237</v>
      </c>
      <c r="T1752" s="22">
        <f t="shared" si="137"/>
        <v>4</v>
      </c>
      <c r="U1752" s="22">
        <f t="shared" si="138"/>
        <v>2021</v>
      </c>
      <c r="V1752" s="22" t="str">
        <f t="shared" si="139"/>
        <v>METROPOLITANA</v>
      </c>
    </row>
    <row r="1753" spans="1:22" x14ac:dyDescent="0.2">
      <c r="A1753" s="12" t="s">
        <v>2228</v>
      </c>
      <c r="B1753" s="12" t="s">
        <v>33</v>
      </c>
      <c r="C1753" s="12" t="s">
        <v>44</v>
      </c>
      <c r="D1753" s="12" t="s">
        <v>2238</v>
      </c>
      <c r="E1753" s="12" t="s">
        <v>639</v>
      </c>
      <c r="F1753" s="12" t="s">
        <v>114</v>
      </c>
      <c r="G1753" s="29">
        <v>15303.999999999991</v>
      </c>
      <c r="H1753" s="12" t="s">
        <v>24</v>
      </c>
      <c r="I1753" s="12">
        <v>1</v>
      </c>
      <c r="J1753" s="12" t="s">
        <v>114</v>
      </c>
      <c r="K1753" s="12" t="s">
        <v>75</v>
      </c>
      <c r="L1753" s="12">
        <v>0</v>
      </c>
      <c r="M1753" s="30">
        <v>380000</v>
      </c>
      <c r="N1753" s="30">
        <v>0</v>
      </c>
      <c r="O1753" s="15">
        <f t="shared" si="135"/>
        <v>380000</v>
      </c>
      <c r="P1753" s="15">
        <f t="shared" si="136"/>
        <v>24.83010977522218</v>
      </c>
      <c r="Q1753" s="12">
        <v>25000</v>
      </c>
      <c r="R1753" s="12">
        <v>61</v>
      </c>
      <c r="S1753" s="12" t="s">
        <v>2239</v>
      </c>
      <c r="T1753" s="22">
        <f t="shared" si="137"/>
        <v>4</v>
      </c>
      <c r="U1753" s="22">
        <f t="shared" si="138"/>
        <v>2021</v>
      </c>
      <c r="V1753" s="22" t="str">
        <f t="shared" si="139"/>
        <v>REGIONES</v>
      </c>
    </row>
    <row r="1754" spans="1:22" x14ac:dyDescent="0.2">
      <c r="A1754" s="12" t="s">
        <v>2228</v>
      </c>
      <c r="B1754" s="12" t="s">
        <v>33</v>
      </c>
      <c r="C1754" s="12" t="s">
        <v>44</v>
      </c>
      <c r="D1754" s="12" t="s">
        <v>45</v>
      </c>
      <c r="E1754" s="12" t="s">
        <v>49</v>
      </c>
      <c r="F1754" s="12" t="s">
        <v>48</v>
      </c>
      <c r="G1754" s="29">
        <v>5033.7999999999993</v>
      </c>
      <c r="H1754" s="12" t="s">
        <v>22</v>
      </c>
      <c r="I1754" s="12">
        <v>0</v>
      </c>
      <c r="J1754" s="12" t="s">
        <v>48</v>
      </c>
      <c r="K1754" s="12" t="s">
        <v>23</v>
      </c>
      <c r="L1754" s="12">
        <v>1</v>
      </c>
      <c r="M1754" s="30">
        <v>55372</v>
      </c>
      <c r="N1754" s="30">
        <v>0</v>
      </c>
      <c r="O1754" s="15">
        <f t="shared" si="135"/>
        <v>55372</v>
      </c>
      <c r="P1754" s="15">
        <f t="shared" si="136"/>
        <v>11.000039731415631</v>
      </c>
      <c r="Q1754" s="12">
        <v>5000</v>
      </c>
      <c r="R1754" s="12">
        <v>100</v>
      </c>
      <c r="S1754" s="12" t="s">
        <v>2240</v>
      </c>
      <c r="T1754" s="22">
        <f t="shared" si="137"/>
        <v>4</v>
      </c>
      <c r="U1754" s="22">
        <f t="shared" si="138"/>
        <v>2021</v>
      </c>
      <c r="V1754" s="22" t="str">
        <f t="shared" si="139"/>
        <v>METROPOLITANA</v>
      </c>
    </row>
    <row r="1755" spans="1:22" x14ac:dyDescent="0.2">
      <c r="A1755" s="12" t="s">
        <v>2228</v>
      </c>
      <c r="B1755" s="12" t="s">
        <v>33</v>
      </c>
      <c r="C1755" s="12" t="s">
        <v>44</v>
      </c>
      <c r="D1755" s="12" t="s">
        <v>35</v>
      </c>
      <c r="E1755" s="12" t="s">
        <v>49</v>
      </c>
      <c r="F1755" s="12" t="s">
        <v>225</v>
      </c>
      <c r="G1755" s="29">
        <v>1633</v>
      </c>
      <c r="H1755" s="12" t="s">
        <v>22</v>
      </c>
      <c r="I1755" s="12">
        <v>0</v>
      </c>
      <c r="J1755" s="12" t="s">
        <v>225</v>
      </c>
      <c r="K1755" s="12" t="s">
        <v>23</v>
      </c>
      <c r="L1755" s="12">
        <v>3</v>
      </c>
      <c r="M1755" s="30">
        <v>55000</v>
      </c>
      <c r="N1755" s="30">
        <v>0</v>
      </c>
      <c r="O1755" s="15">
        <f t="shared" si="135"/>
        <v>55000</v>
      </c>
      <c r="P1755" s="15">
        <f t="shared" si="136"/>
        <v>33.680342927127988</v>
      </c>
      <c r="Q1755" s="12">
        <v>5000</v>
      </c>
      <c r="R1755" s="12">
        <v>33</v>
      </c>
      <c r="S1755" s="12" t="s">
        <v>2241</v>
      </c>
      <c r="T1755" s="22">
        <f t="shared" si="137"/>
        <v>4</v>
      </c>
      <c r="U1755" s="22">
        <f t="shared" si="138"/>
        <v>2021</v>
      </c>
      <c r="V1755" s="22" t="str">
        <f t="shared" si="139"/>
        <v>METROPOLITANA</v>
      </c>
    </row>
    <row r="1756" spans="1:22" x14ac:dyDescent="0.2">
      <c r="A1756" s="12" t="s">
        <v>2228</v>
      </c>
      <c r="B1756" s="12" t="s">
        <v>33</v>
      </c>
      <c r="C1756" s="12" t="s">
        <v>44</v>
      </c>
      <c r="D1756" s="12" t="s">
        <v>35</v>
      </c>
      <c r="E1756" s="12" t="s">
        <v>52</v>
      </c>
      <c r="F1756" s="12" t="s">
        <v>225</v>
      </c>
      <c r="G1756" s="29">
        <v>3951.6</v>
      </c>
      <c r="H1756" s="12" t="s">
        <v>22</v>
      </c>
      <c r="I1756" s="12">
        <v>0</v>
      </c>
      <c r="J1756" s="12" t="s">
        <v>225</v>
      </c>
      <c r="K1756" s="12" t="s">
        <v>23</v>
      </c>
      <c r="L1756" s="12">
        <v>3</v>
      </c>
      <c r="M1756" s="30">
        <v>55000</v>
      </c>
      <c r="N1756" s="30">
        <v>0</v>
      </c>
      <c r="O1756" s="15">
        <f t="shared" si="135"/>
        <v>55000</v>
      </c>
      <c r="P1756" s="15">
        <f t="shared" si="136"/>
        <v>13.918412794817289</v>
      </c>
      <c r="Q1756" s="12">
        <v>5000</v>
      </c>
      <c r="R1756" s="12">
        <v>79</v>
      </c>
      <c r="S1756" s="12" t="s">
        <v>2242</v>
      </c>
      <c r="T1756" s="22">
        <f t="shared" si="137"/>
        <v>4</v>
      </c>
      <c r="U1756" s="22">
        <f t="shared" si="138"/>
        <v>2021</v>
      </c>
      <c r="V1756" s="22" t="str">
        <f t="shared" si="139"/>
        <v>METROPOLITANA</v>
      </c>
    </row>
    <row r="1757" spans="1:22" x14ac:dyDescent="0.2">
      <c r="A1757" s="23" t="s">
        <v>2243</v>
      </c>
      <c r="B1757" s="22" t="s">
        <v>54</v>
      </c>
      <c r="C1757" s="22" t="s">
        <v>55</v>
      </c>
      <c r="D1757" s="22" t="s">
        <v>786</v>
      </c>
      <c r="E1757" s="24">
        <v>95707734</v>
      </c>
      <c r="F1757" s="22" t="s">
        <v>66</v>
      </c>
      <c r="G1757" s="25">
        <v>14500.8</v>
      </c>
      <c r="H1757" s="22" t="s">
        <v>788</v>
      </c>
      <c r="I1757" s="22">
        <v>1</v>
      </c>
      <c r="J1757" s="22" t="s">
        <v>66</v>
      </c>
      <c r="K1757" s="22" t="s">
        <v>75</v>
      </c>
      <c r="L1757" s="22">
        <v>0</v>
      </c>
      <c r="M1757" s="26">
        <v>380000</v>
      </c>
      <c r="N1757" s="26">
        <v>0</v>
      </c>
      <c r="O1757" s="15">
        <f t="shared" si="135"/>
        <v>380000</v>
      </c>
      <c r="P1757" s="15">
        <f t="shared" si="136"/>
        <v>26.20545073375262</v>
      </c>
      <c r="Q1757" s="25">
        <v>25000</v>
      </c>
      <c r="R1757" s="22">
        <v>58</v>
      </c>
      <c r="S1757" s="22" t="s">
        <v>2244</v>
      </c>
      <c r="T1757" s="22">
        <f t="shared" si="137"/>
        <v>4</v>
      </c>
      <c r="U1757" s="22">
        <f t="shared" si="138"/>
        <v>2021</v>
      </c>
      <c r="V1757" s="22" t="str">
        <f t="shared" si="139"/>
        <v>REGIONES</v>
      </c>
    </row>
    <row r="1758" spans="1:22" x14ac:dyDescent="0.2">
      <c r="A1758" s="23" t="s">
        <v>2243</v>
      </c>
      <c r="B1758" s="22" t="s">
        <v>18</v>
      </c>
      <c r="C1758" s="22" t="s">
        <v>50</v>
      </c>
      <c r="D1758" s="22" t="s">
        <v>38</v>
      </c>
      <c r="E1758" s="24">
        <v>53173292</v>
      </c>
      <c r="F1758" s="22" t="s">
        <v>26</v>
      </c>
      <c r="G1758" s="25">
        <v>14673.78</v>
      </c>
      <c r="H1758" s="22" t="s">
        <v>43</v>
      </c>
      <c r="I1758" s="22">
        <v>0</v>
      </c>
      <c r="J1758" s="22" t="s">
        <v>26</v>
      </c>
      <c r="K1758" s="22" t="s">
        <v>23</v>
      </c>
      <c r="L1758" s="22">
        <v>4</v>
      </c>
      <c r="M1758" s="26">
        <v>161412</v>
      </c>
      <c r="N1758" s="26">
        <v>0</v>
      </c>
      <c r="O1758" s="15">
        <f t="shared" si="135"/>
        <v>161412</v>
      </c>
      <c r="P1758" s="15">
        <f t="shared" si="136"/>
        <v>11.000028622481732</v>
      </c>
      <c r="Q1758" s="25">
        <v>5000</v>
      </c>
      <c r="R1758" s="22">
        <v>100</v>
      </c>
      <c r="S1758" s="22" t="s">
        <v>2245</v>
      </c>
      <c r="T1758" s="22">
        <f t="shared" si="137"/>
        <v>4</v>
      </c>
      <c r="U1758" s="22">
        <f t="shared" si="138"/>
        <v>2021</v>
      </c>
      <c r="V1758" s="22" t="str">
        <f t="shared" si="139"/>
        <v>METROPOLITANA</v>
      </c>
    </row>
    <row r="1759" spans="1:22" x14ac:dyDescent="0.2">
      <c r="A1759" s="23" t="s">
        <v>2243</v>
      </c>
      <c r="B1759" s="22" t="s">
        <v>18</v>
      </c>
      <c r="C1759" s="22" t="s">
        <v>50</v>
      </c>
      <c r="D1759" s="22" t="s">
        <v>41</v>
      </c>
      <c r="E1759" s="24">
        <v>125108660</v>
      </c>
      <c r="F1759" s="22" t="s">
        <v>26</v>
      </c>
      <c r="G1759" s="25">
        <v>14673.78</v>
      </c>
      <c r="H1759" s="22" t="s">
        <v>43</v>
      </c>
      <c r="I1759" s="22">
        <v>0</v>
      </c>
      <c r="J1759" s="22" t="s">
        <v>26</v>
      </c>
      <c r="K1759" s="22" t="s">
        <v>23</v>
      </c>
      <c r="L1759" s="22">
        <v>4</v>
      </c>
      <c r="M1759" s="26">
        <v>161412</v>
      </c>
      <c r="N1759" s="26">
        <v>0</v>
      </c>
      <c r="O1759" s="15">
        <f t="shared" si="135"/>
        <v>161412</v>
      </c>
      <c r="P1759" s="15">
        <f t="shared" si="136"/>
        <v>11.000028622481732</v>
      </c>
      <c r="Q1759" s="25">
        <v>5000</v>
      </c>
      <c r="R1759" s="22">
        <v>100</v>
      </c>
      <c r="S1759" s="22" t="s">
        <v>2246</v>
      </c>
      <c r="T1759" s="22">
        <f t="shared" si="137"/>
        <v>4</v>
      </c>
      <c r="U1759" s="22">
        <f t="shared" si="138"/>
        <v>2021</v>
      </c>
      <c r="V1759" s="22" t="str">
        <f t="shared" si="139"/>
        <v>METROPOLITANA</v>
      </c>
    </row>
    <row r="1760" spans="1:22" x14ac:dyDescent="0.2">
      <c r="A1760" s="23" t="s">
        <v>2243</v>
      </c>
      <c r="B1760" s="22" t="s">
        <v>18</v>
      </c>
      <c r="C1760" s="22" t="s">
        <v>57</v>
      </c>
      <c r="D1760" s="22" t="s">
        <v>164</v>
      </c>
      <c r="E1760" s="24">
        <v>81417709</v>
      </c>
      <c r="F1760" s="22" t="s">
        <v>800</v>
      </c>
      <c r="G1760" s="25">
        <v>10185.86</v>
      </c>
      <c r="H1760" s="22" t="s">
        <v>22</v>
      </c>
      <c r="I1760" s="22">
        <v>1</v>
      </c>
      <c r="J1760" s="22" t="s">
        <v>800</v>
      </c>
      <c r="K1760" s="22" t="s">
        <v>23</v>
      </c>
      <c r="L1760" s="22">
        <v>5</v>
      </c>
      <c r="M1760" s="26">
        <v>120000</v>
      </c>
      <c r="N1760" s="26">
        <v>0</v>
      </c>
      <c r="O1760" s="15">
        <f t="shared" si="135"/>
        <v>120000</v>
      </c>
      <c r="P1760" s="15">
        <f t="shared" si="136"/>
        <v>11.781037634524722</v>
      </c>
      <c r="Q1760" s="25">
        <v>10000</v>
      </c>
      <c r="R1760" s="22">
        <v>100</v>
      </c>
      <c r="S1760" s="22" t="s">
        <v>2247</v>
      </c>
      <c r="T1760" s="22">
        <f t="shared" si="137"/>
        <v>4</v>
      </c>
      <c r="U1760" s="22">
        <f t="shared" si="138"/>
        <v>2021</v>
      </c>
      <c r="V1760" s="22" t="str">
        <f t="shared" si="139"/>
        <v>METROPOLITANA</v>
      </c>
    </row>
    <row r="1761" spans="1:22" x14ac:dyDescent="0.2">
      <c r="A1761" s="23" t="s">
        <v>2243</v>
      </c>
      <c r="B1761" s="22" t="s">
        <v>18</v>
      </c>
      <c r="C1761" s="22" t="s">
        <v>324</v>
      </c>
      <c r="D1761" s="22" t="s">
        <v>30</v>
      </c>
      <c r="E1761" s="24">
        <v>72564391</v>
      </c>
      <c r="F1761" s="22" t="s">
        <v>325</v>
      </c>
      <c r="G1761" s="25">
        <v>9333.02</v>
      </c>
      <c r="H1761" s="22" t="s">
        <v>32</v>
      </c>
      <c r="I1761" s="22">
        <v>0</v>
      </c>
      <c r="J1761" s="22" t="s">
        <v>325</v>
      </c>
      <c r="K1761" s="22" t="s">
        <v>78</v>
      </c>
      <c r="L1761" s="22">
        <v>0</v>
      </c>
      <c r="M1761" s="26">
        <v>180000</v>
      </c>
      <c r="N1761" s="26">
        <v>0</v>
      </c>
      <c r="O1761" s="15">
        <f t="shared" si="135"/>
        <v>180000</v>
      </c>
      <c r="P1761" s="15">
        <f t="shared" si="136"/>
        <v>19.286361756430395</v>
      </c>
      <c r="Q1761" s="25">
        <v>25000</v>
      </c>
      <c r="R1761" s="22">
        <v>37</v>
      </c>
      <c r="S1761" s="22" t="s">
        <v>2248</v>
      </c>
      <c r="T1761" s="22">
        <f t="shared" si="137"/>
        <v>4</v>
      </c>
      <c r="U1761" s="22">
        <f t="shared" si="138"/>
        <v>2021</v>
      </c>
      <c r="V1761" s="22" t="str">
        <f t="shared" si="139"/>
        <v>REGIONES</v>
      </c>
    </row>
    <row r="1762" spans="1:22" x14ac:dyDescent="0.2">
      <c r="A1762" s="23" t="s">
        <v>2243</v>
      </c>
      <c r="B1762" s="22" t="s">
        <v>33</v>
      </c>
      <c r="C1762" s="22" t="s">
        <v>50</v>
      </c>
      <c r="D1762" s="22" t="s">
        <v>63</v>
      </c>
      <c r="E1762" s="24">
        <v>138841065</v>
      </c>
      <c r="F1762" s="22" t="s">
        <v>26</v>
      </c>
      <c r="G1762" s="25">
        <v>9150</v>
      </c>
      <c r="H1762" s="22" t="s">
        <v>65</v>
      </c>
      <c r="I1762" s="22">
        <v>0</v>
      </c>
      <c r="J1762" s="22" t="s">
        <v>26</v>
      </c>
      <c r="K1762" s="22" t="s">
        <v>23</v>
      </c>
      <c r="L1762" s="22">
        <v>4</v>
      </c>
      <c r="M1762" s="26">
        <v>100650</v>
      </c>
      <c r="N1762" s="26">
        <v>0</v>
      </c>
      <c r="O1762" s="15">
        <f t="shared" si="135"/>
        <v>100650</v>
      </c>
      <c r="P1762" s="15">
        <f t="shared" si="136"/>
        <v>11</v>
      </c>
      <c r="Q1762" s="25">
        <v>5000</v>
      </c>
      <c r="R1762" s="22">
        <v>100</v>
      </c>
      <c r="S1762" s="22" t="s">
        <v>2249</v>
      </c>
      <c r="T1762" s="22">
        <f t="shared" si="137"/>
        <v>4</v>
      </c>
      <c r="U1762" s="22">
        <f t="shared" si="138"/>
        <v>2021</v>
      </c>
      <c r="V1762" s="22" t="str">
        <f t="shared" si="139"/>
        <v>METROPOLITANA</v>
      </c>
    </row>
    <row r="1763" spans="1:22" x14ac:dyDescent="0.2">
      <c r="A1763" s="23" t="s">
        <v>2243</v>
      </c>
      <c r="B1763" s="22" t="s">
        <v>33</v>
      </c>
      <c r="C1763" s="22" t="s">
        <v>44</v>
      </c>
      <c r="D1763" s="22" t="s">
        <v>56</v>
      </c>
      <c r="E1763" s="24">
        <v>81417709</v>
      </c>
      <c r="F1763" s="22" t="s">
        <v>48</v>
      </c>
      <c r="G1763" s="25">
        <v>6077.2</v>
      </c>
      <c r="H1763" s="22" t="s">
        <v>22</v>
      </c>
      <c r="I1763" s="22">
        <v>0</v>
      </c>
      <c r="J1763" s="22" t="s">
        <v>48</v>
      </c>
      <c r="K1763" s="22" t="s">
        <v>23</v>
      </c>
      <c r="L1763" s="22">
        <v>1</v>
      </c>
      <c r="M1763" s="26">
        <v>66849</v>
      </c>
      <c r="N1763" s="26">
        <v>0</v>
      </c>
      <c r="O1763" s="15">
        <f t="shared" si="135"/>
        <v>66849</v>
      </c>
      <c r="P1763" s="15">
        <f t="shared" si="136"/>
        <v>10.999967090107287</v>
      </c>
      <c r="Q1763" s="25">
        <v>5000</v>
      </c>
      <c r="R1763" s="22">
        <v>100</v>
      </c>
      <c r="S1763" s="22" t="s">
        <v>2250</v>
      </c>
      <c r="T1763" s="22">
        <f t="shared" si="137"/>
        <v>4</v>
      </c>
      <c r="U1763" s="22">
        <f t="shared" si="138"/>
        <v>2021</v>
      </c>
      <c r="V1763" s="22" t="str">
        <f t="shared" si="139"/>
        <v>METROPOLITANA</v>
      </c>
    </row>
    <row r="1764" spans="1:22" x14ac:dyDescent="0.2">
      <c r="A1764" s="23" t="s">
        <v>2243</v>
      </c>
      <c r="B1764" s="22" t="s">
        <v>33</v>
      </c>
      <c r="C1764" s="22" t="s">
        <v>44</v>
      </c>
      <c r="D1764" s="22" t="s">
        <v>2251</v>
      </c>
      <c r="E1764" s="24">
        <v>95439802</v>
      </c>
      <c r="F1764" s="22" t="s">
        <v>114</v>
      </c>
      <c r="G1764" s="25">
        <f>13078.6+3101</f>
        <v>16179.6</v>
      </c>
      <c r="H1764" s="22" t="s">
        <v>24</v>
      </c>
      <c r="I1764" s="22">
        <v>1</v>
      </c>
      <c r="J1764" s="22" t="s">
        <v>114</v>
      </c>
      <c r="K1764" s="22" t="s">
        <v>75</v>
      </c>
      <c r="L1764" s="22">
        <v>0</v>
      </c>
      <c r="M1764" s="26">
        <v>380000</v>
      </c>
      <c r="N1764" s="26">
        <v>0</v>
      </c>
      <c r="O1764" s="15">
        <f t="shared" si="135"/>
        <v>380000</v>
      </c>
      <c r="P1764" s="15">
        <f t="shared" si="136"/>
        <v>23.486365546737868</v>
      </c>
      <c r="Q1764" s="25">
        <v>25000</v>
      </c>
      <c r="R1764" s="22">
        <v>52</v>
      </c>
      <c r="S1764" s="22" t="s">
        <v>2252</v>
      </c>
      <c r="T1764" s="22">
        <f t="shared" si="137"/>
        <v>4</v>
      </c>
      <c r="U1764" s="22">
        <f t="shared" si="138"/>
        <v>2021</v>
      </c>
      <c r="V1764" s="22" t="str">
        <f t="shared" si="139"/>
        <v>REGIONES</v>
      </c>
    </row>
    <row r="1765" spans="1:22" x14ac:dyDescent="0.2">
      <c r="A1765" s="23" t="s">
        <v>2243</v>
      </c>
      <c r="B1765" s="22" t="s">
        <v>33</v>
      </c>
      <c r="C1765" s="22" t="s">
        <v>44</v>
      </c>
      <c r="D1765" s="22" t="s">
        <v>188</v>
      </c>
      <c r="E1765" s="24">
        <v>35488103</v>
      </c>
      <c r="F1765" s="22" t="s">
        <v>26</v>
      </c>
      <c r="G1765" s="25">
        <v>3001.6</v>
      </c>
      <c r="H1765" s="22" t="s">
        <v>190</v>
      </c>
      <c r="I1765" s="22">
        <v>0</v>
      </c>
      <c r="J1765" s="22" t="s">
        <v>26</v>
      </c>
      <c r="K1765" s="22" t="s">
        <v>23</v>
      </c>
      <c r="L1765" s="22">
        <v>4</v>
      </c>
      <c r="M1765" s="26">
        <v>55000</v>
      </c>
      <c r="N1765" s="26">
        <v>0</v>
      </c>
      <c r="O1765" s="15">
        <f t="shared" si="135"/>
        <v>55000</v>
      </c>
      <c r="P1765" s="15">
        <f t="shared" si="136"/>
        <v>18.323560767590617</v>
      </c>
      <c r="Q1765" s="25">
        <v>5000</v>
      </c>
      <c r="R1765" s="22">
        <v>60</v>
      </c>
      <c r="S1765" s="22" t="s">
        <v>2253</v>
      </c>
      <c r="T1765" s="22">
        <f t="shared" si="137"/>
        <v>4</v>
      </c>
      <c r="U1765" s="22">
        <f t="shared" si="138"/>
        <v>2021</v>
      </c>
      <c r="V1765" s="22" t="str">
        <f t="shared" si="139"/>
        <v>METROPOLITANA</v>
      </c>
    </row>
    <row r="1766" spans="1:22" x14ac:dyDescent="0.2">
      <c r="A1766" s="23" t="s">
        <v>2243</v>
      </c>
      <c r="B1766" s="22" t="s">
        <v>33</v>
      </c>
      <c r="C1766" s="22" t="s">
        <v>44</v>
      </c>
      <c r="D1766" s="22" t="s">
        <v>45</v>
      </c>
      <c r="E1766" s="24">
        <v>99626232</v>
      </c>
      <c r="F1766" s="22" t="s">
        <v>46</v>
      </c>
      <c r="G1766" s="25">
        <v>2725.6</v>
      </c>
      <c r="H1766" s="22" t="s">
        <v>22</v>
      </c>
      <c r="I1766" s="22">
        <v>0</v>
      </c>
      <c r="J1766" s="22" t="s">
        <v>46</v>
      </c>
      <c r="K1766" s="22" t="s">
        <v>23</v>
      </c>
      <c r="L1766" s="22">
        <v>2</v>
      </c>
      <c r="M1766" s="26">
        <v>55000</v>
      </c>
      <c r="N1766" s="26">
        <v>0</v>
      </c>
      <c r="O1766" s="15">
        <f t="shared" si="135"/>
        <v>55000</v>
      </c>
      <c r="P1766" s="15">
        <f t="shared" si="136"/>
        <v>20.179043146463165</v>
      </c>
      <c r="Q1766" s="25">
        <v>5000</v>
      </c>
      <c r="R1766" s="22">
        <v>55</v>
      </c>
      <c r="S1766" s="22" t="s">
        <v>2254</v>
      </c>
      <c r="T1766" s="22">
        <f t="shared" si="137"/>
        <v>4</v>
      </c>
      <c r="U1766" s="22">
        <f t="shared" si="138"/>
        <v>2021</v>
      </c>
      <c r="V1766" s="22" t="str">
        <f t="shared" si="139"/>
        <v>METROPOLITANA</v>
      </c>
    </row>
    <row r="1767" spans="1:22" x14ac:dyDescent="0.2">
      <c r="A1767" s="23" t="s">
        <v>2243</v>
      </c>
      <c r="B1767" s="22" t="s">
        <v>33</v>
      </c>
      <c r="C1767" s="22" t="s">
        <v>44</v>
      </c>
      <c r="D1767" s="22" t="s">
        <v>47</v>
      </c>
      <c r="E1767" s="24">
        <v>154837728</v>
      </c>
      <c r="F1767" s="22" t="s">
        <v>94</v>
      </c>
      <c r="G1767" s="25">
        <v>7102.4</v>
      </c>
      <c r="H1767" s="22" t="s">
        <v>22</v>
      </c>
      <c r="I1767" s="22">
        <v>0</v>
      </c>
      <c r="J1767" s="22" t="s">
        <v>59</v>
      </c>
      <c r="K1767" s="22" t="s">
        <v>78</v>
      </c>
      <c r="L1767" s="22">
        <v>0</v>
      </c>
      <c r="M1767" s="26">
        <v>180000</v>
      </c>
      <c r="N1767" s="26">
        <v>0</v>
      </c>
      <c r="O1767" s="15">
        <f t="shared" si="135"/>
        <v>180000</v>
      </c>
      <c r="P1767" s="15">
        <f t="shared" si="136"/>
        <v>25.343545843658482</v>
      </c>
      <c r="Q1767" s="25">
        <v>25000</v>
      </c>
      <c r="R1767" s="22">
        <v>28</v>
      </c>
      <c r="S1767" s="22" t="s">
        <v>2255</v>
      </c>
      <c r="T1767" s="22">
        <f t="shared" si="137"/>
        <v>4</v>
      </c>
      <c r="U1767" s="22">
        <f t="shared" si="138"/>
        <v>2021</v>
      </c>
      <c r="V1767" s="22" t="str">
        <f t="shared" si="139"/>
        <v>REGIONES</v>
      </c>
    </row>
    <row r="1768" spans="1:22" x14ac:dyDescent="0.2">
      <c r="A1768" s="23" t="s">
        <v>2243</v>
      </c>
      <c r="B1768" s="22" t="s">
        <v>33</v>
      </c>
      <c r="C1768" s="22" t="s">
        <v>44</v>
      </c>
      <c r="D1768" s="22" t="s">
        <v>35</v>
      </c>
      <c r="E1768" s="24">
        <v>107643206</v>
      </c>
      <c r="F1768" s="22" t="s">
        <v>53</v>
      </c>
      <c r="G1768" s="25">
        <v>3400.8</v>
      </c>
      <c r="H1768" s="22" t="s">
        <v>22</v>
      </c>
      <c r="I1768" s="22">
        <v>0</v>
      </c>
      <c r="J1768" s="22" t="s">
        <v>53</v>
      </c>
      <c r="K1768" s="22" t="s">
        <v>23</v>
      </c>
      <c r="L1768" s="22">
        <v>3</v>
      </c>
      <c r="M1768" s="26">
        <v>55000</v>
      </c>
      <c r="N1768" s="26">
        <v>0</v>
      </c>
      <c r="O1768" s="15">
        <f t="shared" si="135"/>
        <v>55000</v>
      </c>
      <c r="P1768" s="15">
        <f t="shared" si="136"/>
        <v>16.172665255234062</v>
      </c>
      <c r="Q1768" s="25">
        <v>5000</v>
      </c>
      <c r="R1768" s="22">
        <v>68</v>
      </c>
      <c r="S1768" s="22" t="s">
        <v>2256</v>
      </c>
      <c r="T1768" s="22">
        <f t="shared" si="137"/>
        <v>4</v>
      </c>
      <c r="U1768" s="22">
        <f t="shared" si="138"/>
        <v>2021</v>
      </c>
      <c r="V1768" s="22" t="str">
        <f t="shared" si="139"/>
        <v>METROPOLITANA</v>
      </c>
    </row>
    <row r="1769" spans="1:22" x14ac:dyDescent="0.2">
      <c r="A1769" s="11" t="s">
        <v>2257</v>
      </c>
      <c r="B1769" s="12" t="s">
        <v>18</v>
      </c>
      <c r="C1769" s="12" t="s">
        <v>50</v>
      </c>
      <c r="D1769" s="12" t="s">
        <v>37</v>
      </c>
      <c r="E1769" s="13" t="s">
        <v>40</v>
      </c>
      <c r="F1769" s="12" t="s">
        <v>26</v>
      </c>
      <c r="G1769" s="14">
        <v>15118.44</v>
      </c>
      <c r="H1769" s="12" t="s">
        <v>22</v>
      </c>
      <c r="I1769" s="12">
        <v>0</v>
      </c>
      <c r="J1769" s="12" t="s">
        <v>26</v>
      </c>
      <c r="K1769" s="12" t="s">
        <v>23</v>
      </c>
      <c r="L1769" s="12">
        <v>4</v>
      </c>
      <c r="M1769" s="15">
        <v>166303</v>
      </c>
      <c r="N1769" s="15">
        <v>0</v>
      </c>
      <c r="O1769" s="15">
        <f t="shared" si="135"/>
        <v>166303</v>
      </c>
      <c r="P1769" s="15">
        <f t="shared" si="136"/>
        <v>11.000010583102489</v>
      </c>
      <c r="Q1769" s="14">
        <v>5000</v>
      </c>
      <c r="R1769" s="12">
        <v>100</v>
      </c>
      <c r="S1769" s="12" t="s">
        <v>2258</v>
      </c>
      <c r="T1769" s="22">
        <f t="shared" si="137"/>
        <v>4</v>
      </c>
      <c r="U1769" s="22">
        <f t="shared" si="138"/>
        <v>2021</v>
      </c>
      <c r="V1769" s="22" t="str">
        <f t="shared" si="139"/>
        <v>METROPOLITANA</v>
      </c>
    </row>
    <row r="1770" spans="1:22" x14ac:dyDescent="0.2">
      <c r="A1770" s="11" t="s">
        <v>2257</v>
      </c>
      <c r="B1770" s="12" t="s">
        <v>18</v>
      </c>
      <c r="C1770" s="12" t="s">
        <v>324</v>
      </c>
      <c r="D1770" s="12" t="s">
        <v>38</v>
      </c>
      <c r="E1770" s="13" t="s">
        <v>25</v>
      </c>
      <c r="F1770" s="12" t="s">
        <v>325</v>
      </c>
      <c r="G1770" s="14">
        <v>7763.5499999999993</v>
      </c>
      <c r="H1770" s="12" t="s">
        <v>43</v>
      </c>
      <c r="I1770" s="12">
        <v>0</v>
      </c>
      <c r="J1770" s="12" t="s">
        <v>325</v>
      </c>
      <c r="K1770" s="12" t="s">
        <v>78</v>
      </c>
      <c r="L1770" s="12">
        <v>0</v>
      </c>
      <c r="M1770" s="15">
        <v>180000</v>
      </c>
      <c r="N1770" s="15">
        <v>0</v>
      </c>
      <c r="O1770" s="15">
        <f t="shared" si="135"/>
        <v>180000</v>
      </c>
      <c r="P1770" s="15">
        <f t="shared" si="136"/>
        <v>23.185269625364686</v>
      </c>
      <c r="Q1770" s="14">
        <v>25000</v>
      </c>
      <c r="R1770" s="12">
        <v>31</v>
      </c>
      <c r="S1770" s="12" t="s">
        <v>2259</v>
      </c>
      <c r="T1770" s="22">
        <f t="shared" si="137"/>
        <v>4</v>
      </c>
      <c r="U1770" s="22">
        <f t="shared" si="138"/>
        <v>2021</v>
      </c>
      <c r="V1770" s="22" t="str">
        <f t="shared" si="139"/>
        <v>REGIONES</v>
      </c>
    </row>
    <row r="1771" spans="1:22" x14ac:dyDescent="0.2">
      <c r="A1771" s="11" t="s">
        <v>2257</v>
      </c>
      <c r="B1771" s="12" t="s">
        <v>33</v>
      </c>
      <c r="C1771" s="12" t="s">
        <v>128</v>
      </c>
      <c r="D1771" s="12" t="s">
        <v>20</v>
      </c>
      <c r="E1771" s="13" t="s">
        <v>21</v>
      </c>
      <c r="F1771" s="12" t="s">
        <v>34</v>
      </c>
      <c r="G1771" s="14">
        <v>2267.1999999999998</v>
      </c>
      <c r="H1771" s="12" t="s">
        <v>22</v>
      </c>
      <c r="I1771" s="12">
        <v>0</v>
      </c>
      <c r="J1771" s="12" t="s">
        <v>34</v>
      </c>
      <c r="K1771" s="12" t="s">
        <v>23</v>
      </c>
      <c r="L1771" s="12">
        <v>1</v>
      </c>
      <c r="M1771" s="15">
        <v>55000</v>
      </c>
      <c r="N1771" s="15">
        <v>0</v>
      </c>
      <c r="O1771" s="15">
        <f t="shared" si="135"/>
        <v>55000</v>
      </c>
      <c r="P1771" s="15">
        <f t="shared" si="136"/>
        <v>24.258997882851094</v>
      </c>
      <c r="Q1771" s="14">
        <v>5000</v>
      </c>
      <c r="R1771" s="12">
        <v>45</v>
      </c>
      <c r="S1771" s="12" t="s">
        <v>2260</v>
      </c>
      <c r="T1771" s="22">
        <f t="shared" si="137"/>
        <v>4</v>
      </c>
      <c r="U1771" s="22">
        <f t="shared" si="138"/>
        <v>2021</v>
      </c>
      <c r="V1771" s="22" t="str">
        <f t="shared" si="139"/>
        <v>METROPOLITANA</v>
      </c>
    </row>
    <row r="1772" spans="1:22" x14ac:dyDescent="0.2">
      <c r="A1772" s="11" t="s">
        <v>2257</v>
      </c>
      <c r="B1772" s="12" t="s">
        <v>33</v>
      </c>
      <c r="C1772" s="12" t="s">
        <v>2057</v>
      </c>
      <c r="D1772" s="12" t="s">
        <v>191</v>
      </c>
      <c r="E1772" s="13" t="s">
        <v>192</v>
      </c>
      <c r="F1772" s="12" t="s">
        <v>2058</v>
      </c>
      <c r="G1772" s="14">
        <v>8065.6600000000017</v>
      </c>
      <c r="H1772" s="12" t="s">
        <v>85</v>
      </c>
      <c r="I1772" s="12">
        <v>1</v>
      </c>
      <c r="J1772" s="12" t="s">
        <v>2058</v>
      </c>
      <c r="K1772" s="12" t="s">
        <v>75</v>
      </c>
      <c r="L1772" s="12">
        <v>0</v>
      </c>
      <c r="M1772" s="15">
        <v>480000</v>
      </c>
      <c r="N1772" s="15">
        <v>0</v>
      </c>
      <c r="O1772" s="15">
        <f t="shared" si="135"/>
        <v>480000</v>
      </c>
      <c r="P1772" s="15">
        <f t="shared" si="136"/>
        <v>59.51155888048838</v>
      </c>
      <c r="Q1772" s="14">
        <v>25000</v>
      </c>
      <c r="R1772" s="12">
        <v>10</v>
      </c>
      <c r="S1772" s="12" t="s">
        <v>2261</v>
      </c>
      <c r="T1772" s="22">
        <f t="shared" si="137"/>
        <v>4</v>
      </c>
      <c r="U1772" s="22">
        <f t="shared" si="138"/>
        <v>2021</v>
      </c>
      <c r="V1772" s="22" t="str">
        <f t="shared" si="139"/>
        <v>REGIONES</v>
      </c>
    </row>
    <row r="1773" spans="1:22" x14ac:dyDescent="0.2">
      <c r="A1773" s="11" t="s">
        <v>2257</v>
      </c>
      <c r="B1773" s="12" t="s">
        <v>33</v>
      </c>
      <c r="C1773" s="12" t="s">
        <v>29</v>
      </c>
      <c r="D1773" s="12" t="s">
        <v>2262</v>
      </c>
      <c r="E1773" s="13" t="s">
        <v>83</v>
      </c>
      <c r="F1773" s="12" t="s">
        <v>39</v>
      </c>
      <c r="G1773" s="14">
        <v>14584.63999999999</v>
      </c>
      <c r="H1773" s="12" t="s">
        <v>24</v>
      </c>
      <c r="I1773" s="12">
        <v>1</v>
      </c>
      <c r="J1773" s="12" t="s">
        <v>39</v>
      </c>
      <c r="K1773" s="12" t="s">
        <v>23</v>
      </c>
      <c r="L1773" s="12">
        <v>1</v>
      </c>
      <c r="M1773" s="15">
        <v>160431</v>
      </c>
      <c r="N1773" s="15">
        <v>0</v>
      </c>
      <c r="O1773" s="15">
        <f t="shared" si="135"/>
        <v>160431</v>
      </c>
      <c r="P1773" s="15">
        <f t="shared" si="136"/>
        <v>10.999997257388602</v>
      </c>
      <c r="Q1773" s="14">
        <v>5000</v>
      </c>
      <c r="R1773" s="12">
        <v>100</v>
      </c>
      <c r="S1773" s="12" t="s">
        <v>2263</v>
      </c>
      <c r="T1773" s="22">
        <f t="shared" si="137"/>
        <v>4</v>
      </c>
      <c r="U1773" s="22">
        <f t="shared" si="138"/>
        <v>2021</v>
      </c>
      <c r="V1773" s="22" t="str">
        <f t="shared" si="139"/>
        <v>METROPOLITANA</v>
      </c>
    </row>
    <row r="1774" spans="1:22" x14ac:dyDescent="0.2">
      <c r="A1774" s="11" t="s">
        <v>2257</v>
      </c>
      <c r="B1774" s="12" t="s">
        <v>33</v>
      </c>
      <c r="C1774" s="12" t="s">
        <v>44</v>
      </c>
      <c r="D1774" s="12" t="s">
        <v>56</v>
      </c>
      <c r="E1774" s="13" t="s">
        <v>52</v>
      </c>
      <c r="F1774" s="12" t="s">
        <v>51</v>
      </c>
      <c r="G1774" s="14">
        <f>3951.6+750</f>
        <v>4701.6000000000004</v>
      </c>
      <c r="H1774" s="12" t="s">
        <v>22</v>
      </c>
      <c r="I1774" s="12">
        <v>0</v>
      </c>
      <c r="J1774" s="12" t="s">
        <v>51</v>
      </c>
      <c r="K1774" s="12" t="s">
        <v>23</v>
      </c>
      <c r="L1774" s="12">
        <v>4</v>
      </c>
      <c r="M1774" s="15">
        <v>55000</v>
      </c>
      <c r="N1774" s="15">
        <v>0</v>
      </c>
      <c r="O1774" s="15">
        <f t="shared" si="135"/>
        <v>55000</v>
      </c>
      <c r="P1774" s="15">
        <f t="shared" si="136"/>
        <v>11.698145312234132</v>
      </c>
      <c r="Q1774" s="14">
        <v>5000</v>
      </c>
      <c r="R1774" s="12">
        <v>79</v>
      </c>
      <c r="S1774" s="12" t="s">
        <v>2264</v>
      </c>
      <c r="T1774" s="22">
        <f t="shared" si="137"/>
        <v>4</v>
      </c>
      <c r="U1774" s="22">
        <f t="shared" si="138"/>
        <v>2021</v>
      </c>
      <c r="V1774" s="22" t="str">
        <f t="shared" si="139"/>
        <v>METROPOLITANA</v>
      </c>
    </row>
    <row r="1775" spans="1:22" x14ac:dyDescent="0.2">
      <c r="A1775" s="11" t="s">
        <v>2257</v>
      </c>
      <c r="B1775" s="12" t="s">
        <v>33</v>
      </c>
      <c r="C1775" s="12" t="s">
        <v>44</v>
      </c>
      <c r="D1775" s="12" t="s">
        <v>188</v>
      </c>
      <c r="E1775" s="13" t="s">
        <v>189</v>
      </c>
      <c r="F1775" s="12" t="s">
        <v>129</v>
      </c>
      <c r="G1775" s="14">
        <v>4016.400000000001</v>
      </c>
      <c r="H1775" s="12" t="s">
        <v>190</v>
      </c>
      <c r="I1775" s="12">
        <v>0</v>
      </c>
      <c r="J1775" s="12" t="s">
        <v>129</v>
      </c>
      <c r="K1775" s="12" t="s">
        <v>23</v>
      </c>
      <c r="L1775" s="12">
        <v>1</v>
      </c>
      <c r="M1775" s="15">
        <v>55000</v>
      </c>
      <c r="N1775" s="15">
        <v>0</v>
      </c>
      <c r="O1775" s="15">
        <f t="shared" si="135"/>
        <v>55000</v>
      </c>
      <c r="P1775" s="15">
        <f t="shared" si="136"/>
        <v>13.693855193705803</v>
      </c>
      <c r="Q1775" s="14">
        <v>5000</v>
      </c>
      <c r="R1775" s="12">
        <v>80</v>
      </c>
      <c r="S1775" s="12" t="s">
        <v>2265</v>
      </c>
      <c r="T1775" s="22">
        <f t="shared" si="137"/>
        <v>4</v>
      </c>
      <c r="U1775" s="22">
        <f t="shared" si="138"/>
        <v>2021</v>
      </c>
      <c r="V1775" s="22" t="str">
        <f t="shared" si="139"/>
        <v>METROPOLITANA</v>
      </c>
    </row>
    <row r="1776" spans="1:22" x14ac:dyDescent="0.2">
      <c r="A1776" s="11" t="s">
        <v>2257</v>
      </c>
      <c r="B1776" s="12" t="s">
        <v>33</v>
      </c>
      <c r="C1776" s="12" t="s">
        <v>44</v>
      </c>
      <c r="D1776" s="12" t="s">
        <v>2266</v>
      </c>
      <c r="E1776" s="13" t="s">
        <v>2267</v>
      </c>
      <c r="F1776" s="12" t="s">
        <v>114</v>
      </c>
      <c r="G1776" s="14">
        <v>14627.6</v>
      </c>
      <c r="H1776" s="12" t="s">
        <v>24</v>
      </c>
      <c r="I1776" s="12">
        <v>1</v>
      </c>
      <c r="J1776" s="12" t="s">
        <v>114</v>
      </c>
      <c r="K1776" s="12" t="s">
        <v>75</v>
      </c>
      <c r="L1776" s="12">
        <v>0</v>
      </c>
      <c r="M1776" s="15">
        <v>380000</v>
      </c>
      <c r="N1776" s="15">
        <v>0</v>
      </c>
      <c r="O1776" s="15">
        <f t="shared" si="135"/>
        <v>380000</v>
      </c>
      <c r="P1776" s="15">
        <f t="shared" si="136"/>
        <v>25.978287620662307</v>
      </c>
      <c r="Q1776" s="14">
        <v>25000</v>
      </c>
      <c r="R1776" s="12">
        <v>59</v>
      </c>
      <c r="S1776" s="12" t="s">
        <v>2268</v>
      </c>
      <c r="T1776" s="22">
        <f t="shared" si="137"/>
        <v>4</v>
      </c>
      <c r="U1776" s="22">
        <f t="shared" si="138"/>
        <v>2021</v>
      </c>
      <c r="V1776" s="22" t="str">
        <f t="shared" si="139"/>
        <v>REGIONES</v>
      </c>
    </row>
    <row r="1777" spans="1:22" x14ac:dyDescent="0.2">
      <c r="A1777" s="11" t="s">
        <v>2257</v>
      </c>
      <c r="B1777" s="12" t="s">
        <v>33</v>
      </c>
      <c r="C1777" s="12" t="s">
        <v>44</v>
      </c>
      <c r="D1777" s="12" t="s">
        <v>45</v>
      </c>
      <c r="E1777" s="13" t="s">
        <v>21</v>
      </c>
      <c r="F1777" s="12" t="s">
        <v>229</v>
      </c>
      <c r="G1777" s="14">
        <v>5452.4</v>
      </c>
      <c r="H1777" s="12" t="s">
        <v>22</v>
      </c>
      <c r="I1777" s="12">
        <v>0</v>
      </c>
      <c r="J1777" s="12" t="s">
        <v>230</v>
      </c>
      <c r="K1777" s="12" t="s">
        <v>23</v>
      </c>
      <c r="L1777" s="12">
        <v>4</v>
      </c>
      <c r="M1777" s="15">
        <v>59976</v>
      </c>
      <c r="N1777" s="15">
        <v>0</v>
      </c>
      <c r="O1777" s="15">
        <f t="shared" si="135"/>
        <v>59976</v>
      </c>
      <c r="P1777" s="15">
        <f t="shared" si="136"/>
        <v>10.999926637810873</v>
      </c>
      <c r="Q1777" s="14">
        <v>5000</v>
      </c>
      <c r="R1777" s="12">
        <v>100</v>
      </c>
      <c r="S1777" s="12" t="s">
        <v>2269</v>
      </c>
      <c r="T1777" s="22">
        <f t="shared" si="137"/>
        <v>4</v>
      </c>
      <c r="U1777" s="22">
        <f t="shared" si="138"/>
        <v>2021</v>
      </c>
      <c r="V1777" s="22" t="str">
        <f t="shared" si="139"/>
        <v>METROPOLITANA</v>
      </c>
    </row>
    <row r="1778" spans="1:22" x14ac:dyDescent="0.2">
      <c r="A1778" s="11" t="s">
        <v>2257</v>
      </c>
      <c r="B1778" s="12" t="s">
        <v>33</v>
      </c>
      <c r="C1778" s="12" t="s">
        <v>44</v>
      </c>
      <c r="D1778" s="12" t="s">
        <v>47</v>
      </c>
      <c r="E1778" s="13" t="s">
        <v>1576</v>
      </c>
      <c r="F1778" s="12" t="s">
        <v>26</v>
      </c>
      <c r="G1778" s="14">
        <v>5138.8</v>
      </c>
      <c r="H1778" s="12" t="s">
        <v>22</v>
      </c>
      <c r="I1778" s="12">
        <v>0</v>
      </c>
      <c r="J1778" s="12" t="s">
        <v>26</v>
      </c>
      <c r="K1778" s="12" t="s">
        <v>23</v>
      </c>
      <c r="L1778" s="12">
        <v>4</v>
      </c>
      <c r="M1778" s="15">
        <v>56527</v>
      </c>
      <c r="N1778" s="15">
        <v>0</v>
      </c>
      <c r="O1778" s="15">
        <f t="shared" si="135"/>
        <v>56527</v>
      </c>
      <c r="P1778" s="15">
        <f t="shared" si="136"/>
        <v>11.000038919592122</v>
      </c>
      <c r="Q1778" s="14">
        <v>5000</v>
      </c>
      <c r="R1778" s="12">
        <v>100</v>
      </c>
      <c r="S1778" s="12" t="s">
        <v>2270</v>
      </c>
      <c r="T1778" s="22">
        <f t="shared" si="137"/>
        <v>4</v>
      </c>
      <c r="U1778" s="22">
        <f t="shared" si="138"/>
        <v>2021</v>
      </c>
      <c r="V1778" s="22" t="str">
        <f t="shared" si="139"/>
        <v>METROPOLITANA</v>
      </c>
    </row>
    <row r="1779" spans="1:22" x14ac:dyDescent="0.2">
      <c r="A1779" s="11" t="s">
        <v>2257</v>
      </c>
      <c r="B1779" s="12" t="s">
        <v>33</v>
      </c>
      <c r="C1779" s="12" t="s">
        <v>44</v>
      </c>
      <c r="D1779" s="12" t="s">
        <v>35</v>
      </c>
      <c r="E1779" s="13" t="s">
        <v>49</v>
      </c>
      <c r="F1779" s="12" t="s">
        <v>48</v>
      </c>
      <c r="G1779" s="14">
        <v>4540.2000000000007</v>
      </c>
      <c r="H1779" s="12" t="s">
        <v>22</v>
      </c>
      <c r="I1779" s="12">
        <v>0</v>
      </c>
      <c r="J1779" s="12" t="s">
        <v>48</v>
      </c>
      <c r="K1779" s="12" t="s">
        <v>23</v>
      </c>
      <c r="L1779" s="12">
        <v>1</v>
      </c>
      <c r="M1779" s="15">
        <v>55000</v>
      </c>
      <c r="N1779" s="15">
        <v>0</v>
      </c>
      <c r="O1779" s="15">
        <f t="shared" si="135"/>
        <v>55000</v>
      </c>
      <c r="P1779" s="15">
        <f t="shared" si="136"/>
        <v>12.114003788379364</v>
      </c>
      <c r="Q1779" s="14">
        <v>5000</v>
      </c>
      <c r="R1779" s="12">
        <v>91</v>
      </c>
      <c r="S1779" s="12" t="s">
        <v>2271</v>
      </c>
      <c r="T1779" s="22">
        <f t="shared" si="137"/>
        <v>4</v>
      </c>
      <c r="U1779" s="22">
        <f t="shared" si="138"/>
        <v>2021</v>
      </c>
      <c r="V1779" s="22" t="str">
        <f t="shared" si="139"/>
        <v>METROPOLITANA</v>
      </c>
    </row>
    <row r="1780" spans="1:22" x14ac:dyDescent="0.2">
      <c r="A1780" s="11" t="s">
        <v>2257</v>
      </c>
      <c r="B1780" s="12" t="s">
        <v>33</v>
      </c>
      <c r="C1780" s="12" t="s">
        <v>1163</v>
      </c>
      <c r="D1780" s="12" t="s">
        <v>30</v>
      </c>
      <c r="E1780" s="13" t="s">
        <v>31</v>
      </c>
      <c r="F1780" s="12" t="s">
        <v>1166</v>
      </c>
      <c r="G1780" s="14">
        <v>12499.2</v>
      </c>
      <c r="H1780" s="12" t="s">
        <v>32</v>
      </c>
      <c r="I1780" s="12">
        <v>0</v>
      </c>
      <c r="J1780" s="12" t="s">
        <v>1166</v>
      </c>
      <c r="K1780" s="12" t="s">
        <v>23</v>
      </c>
      <c r="L1780" s="12">
        <v>5</v>
      </c>
      <c r="M1780" s="15">
        <f>+G1780*11</f>
        <v>137491.20000000001</v>
      </c>
      <c r="N1780" s="15">
        <v>0</v>
      </c>
      <c r="O1780" s="15">
        <f t="shared" si="135"/>
        <v>137491.20000000001</v>
      </c>
      <c r="P1780" s="15">
        <f t="shared" si="136"/>
        <v>11</v>
      </c>
      <c r="Q1780" s="14">
        <v>10000</v>
      </c>
      <c r="R1780" s="12">
        <v>100</v>
      </c>
      <c r="S1780" s="12" t="s">
        <v>2272</v>
      </c>
      <c r="T1780" s="22">
        <f t="shared" si="137"/>
        <v>4</v>
      </c>
      <c r="U1780" s="22">
        <f t="shared" si="138"/>
        <v>2021</v>
      </c>
      <c r="V1780" s="22" t="str">
        <f t="shared" si="139"/>
        <v>METROPOLITANA</v>
      </c>
    </row>
    <row r="1781" spans="1:22" x14ac:dyDescent="0.2">
      <c r="A1781" s="23" t="s">
        <v>2273</v>
      </c>
      <c r="B1781" s="22" t="s">
        <v>18</v>
      </c>
      <c r="C1781" s="22" t="s">
        <v>50</v>
      </c>
      <c r="D1781" s="22" t="s">
        <v>37</v>
      </c>
      <c r="E1781" s="24" t="s">
        <v>40</v>
      </c>
      <c r="F1781" s="22" t="s">
        <v>26</v>
      </c>
      <c r="G1781" s="25">
        <v>14544</v>
      </c>
      <c r="H1781" s="22" t="s">
        <v>22</v>
      </c>
      <c r="I1781" s="22">
        <v>0</v>
      </c>
      <c r="J1781" s="22" t="s">
        <v>26</v>
      </c>
      <c r="K1781" s="22" t="s">
        <v>23</v>
      </c>
      <c r="L1781" s="22">
        <v>4</v>
      </c>
      <c r="M1781" s="26">
        <v>159984</v>
      </c>
      <c r="N1781" s="26">
        <v>0</v>
      </c>
      <c r="O1781" s="15">
        <f t="shared" si="135"/>
        <v>159984</v>
      </c>
      <c r="P1781" s="15">
        <f t="shared" si="136"/>
        <v>11</v>
      </c>
      <c r="Q1781" s="25">
        <v>5000</v>
      </c>
      <c r="R1781" s="22">
        <v>100</v>
      </c>
      <c r="S1781" s="22" t="s">
        <v>2274</v>
      </c>
      <c r="T1781" s="22">
        <f t="shared" si="137"/>
        <v>4</v>
      </c>
      <c r="U1781" s="22">
        <f t="shared" si="138"/>
        <v>2021</v>
      </c>
      <c r="V1781" s="22" t="str">
        <f t="shared" si="139"/>
        <v>METROPOLITANA</v>
      </c>
    </row>
    <row r="1782" spans="1:22" x14ac:dyDescent="0.2">
      <c r="A1782" s="23" t="s">
        <v>2273</v>
      </c>
      <c r="B1782" s="22" t="s">
        <v>18</v>
      </c>
      <c r="C1782" s="22" t="s">
        <v>50</v>
      </c>
      <c r="D1782" s="22" t="s">
        <v>63</v>
      </c>
      <c r="E1782" s="24" t="s">
        <v>64</v>
      </c>
      <c r="F1782" s="22" t="s">
        <v>26</v>
      </c>
      <c r="G1782" s="25">
        <v>14544</v>
      </c>
      <c r="H1782" s="22" t="s">
        <v>65</v>
      </c>
      <c r="I1782" s="22">
        <v>0</v>
      </c>
      <c r="J1782" s="22" t="s">
        <v>26</v>
      </c>
      <c r="K1782" s="22" t="s">
        <v>23</v>
      </c>
      <c r="L1782" s="22">
        <v>4</v>
      </c>
      <c r="M1782" s="26">
        <v>159984</v>
      </c>
      <c r="N1782" s="26">
        <v>0</v>
      </c>
      <c r="O1782" s="15">
        <f t="shared" si="135"/>
        <v>159984</v>
      </c>
      <c r="P1782" s="15">
        <f t="shared" si="136"/>
        <v>11</v>
      </c>
      <c r="Q1782" s="25">
        <v>5000</v>
      </c>
      <c r="R1782" s="22">
        <v>100</v>
      </c>
      <c r="S1782" s="22" t="s">
        <v>2275</v>
      </c>
      <c r="T1782" s="22">
        <f t="shared" si="137"/>
        <v>4</v>
      </c>
      <c r="U1782" s="22">
        <f t="shared" si="138"/>
        <v>2021</v>
      </c>
      <c r="V1782" s="22" t="str">
        <f t="shared" si="139"/>
        <v>METROPOLITANA</v>
      </c>
    </row>
    <row r="1783" spans="1:22" x14ac:dyDescent="0.2">
      <c r="A1783" s="23" t="s">
        <v>2273</v>
      </c>
      <c r="B1783" s="22" t="s">
        <v>18</v>
      </c>
      <c r="C1783" s="22" t="s">
        <v>50</v>
      </c>
      <c r="D1783" s="22" t="s">
        <v>41</v>
      </c>
      <c r="E1783" s="24" t="s">
        <v>25</v>
      </c>
      <c r="F1783" s="22" t="s">
        <v>26</v>
      </c>
      <c r="G1783" s="25">
        <v>14544</v>
      </c>
      <c r="H1783" s="22" t="s">
        <v>43</v>
      </c>
      <c r="I1783" s="22">
        <v>0</v>
      </c>
      <c r="J1783" s="22" t="s">
        <v>26</v>
      </c>
      <c r="K1783" s="22" t="s">
        <v>23</v>
      </c>
      <c r="L1783" s="22">
        <v>4</v>
      </c>
      <c r="M1783" s="26">
        <v>159984</v>
      </c>
      <c r="N1783" s="26">
        <v>0</v>
      </c>
      <c r="O1783" s="15">
        <f t="shared" si="135"/>
        <v>159984</v>
      </c>
      <c r="P1783" s="15">
        <f t="shared" si="136"/>
        <v>11</v>
      </c>
      <c r="Q1783" s="25">
        <v>5000</v>
      </c>
      <c r="R1783" s="22">
        <v>100</v>
      </c>
      <c r="S1783" s="22" t="s">
        <v>2276</v>
      </c>
      <c r="T1783" s="22">
        <f t="shared" si="137"/>
        <v>4</v>
      </c>
      <c r="U1783" s="22">
        <f t="shared" si="138"/>
        <v>2021</v>
      </c>
      <c r="V1783" s="22" t="str">
        <f t="shared" si="139"/>
        <v>METROPOLITANA</v>
      </c>
    </row>
    <row r="1784" spans="1:22" x14ac:dyDescent="0.2">
      <c r="A1784" s="23" t="s">
        <v>2273</v>
      </c>
      <c r="B1784" s="22" t="s">
        <v>18</v>
      </c>
      <c r="C1784" s="22" t="s">
        <v>2229</v>
      </c>
      <c r="D1784" s="22" t="s">
        <v>2080</v>
      </c>
      <c r="E1784" s="24" t="s">
        <v>1700</v>
      </c>
      <c r="F1784" s="22" t="s">
        <v>2230</v>
      </c>
      <c r="G1784" s="25">
        <v>13067.82</v>
      </c>
      <c r="H1784" s="22" t="s">
        <v>24</v>
      </c>
      <c r="I1784" s="22">
        <v>1</v>
      </c>
      <c r="J1784" s="22" t="s">
        <v>92</v>
      </c>
      <c r="K1784" s="22" t="s">
        <v>93</v>
      </c>
      <c r="L1784" s="22">
        <v>0</v>
      </c>
      <c r="M1784" s="26">
        <v>620000</v>
      </c>
      <c r="N1784" s="26">
        <v>0</v>
      </c>
      <c r="O1784" s="15">
        <f t="shared" si="135"/>
        <v>620000</v>
      </c>
      <c r="P1784" s="15">
        <f t="shared" si="136"/>
        <v>47.444791862759054</v>
      </c>
      <c r="Q1784" s="25">
        <v>25000</v>
      </c>
      <c r="R1784" s="22">
        <v>52</v>
      </c>
      <c r="S1784" s="22" t="s">
        <v>2277</v>
      </c>
      <c r="T1784" s="22">
        <f t="shared" si="137"/>
        <v>4</v>
      </c>
      <c r="U1784" s="22">
        <f t="shared" si="138"/>
        <v>2021</v>
      </c>
      <c r="V1784" s="22" t="str">
        <f t="shared" si="139"/>
        <v>REGIONES</v>
      </c>
    </row>
    <row r="1785" spans="1:22" x14ac:dyDescent="0.2">
      <c r="A1785" s="23" t="s">
        <v>2273</v>
      </c>
      <c r="B1785" s="22" t="s">
        <v>18</v>
      </c>
      <c r="C1785" s="22" t="s">
        <v>508</v>
      </c>
      <c r="D1785" s="22" t="s">
        <v>27</v>
      </c>
      <c r="E1785" s="24" t="s">
        <v>28</v>
      </c>
      <c r="F1785" s="22" t="s">
        <v>800</v>
      </c>
      <c r="G1785" s="25">
        <v>6963.95</v>
      </c>
      <c r="H1785" s="22" t="s">
        <v>22</v>
      </c>
      <c r="I1785" s="22">
        <v>1</v>
      </c>
      <c r="J1785" s="22" t="s">
        <v>800</v>
      </c>
      <c r="K1785" s="22" t="s">
        <v>23</v>
      </c>
      <c r="L1785" s="22">
        <v>5</v>
      </c>
      <c r="M1785" s="26">
        <v>120000</v>
      </c>
      <c r="N1785" s="26">
        <v>0</v>
      </c>
      <c r="O1785" s="15">
        <f t="shared" si="135"/>
        <v>120000</v>
      </c>
      <c r="P1785" s="15">
        <f t="shared" si="136"/>
        <v>17.231599882250734</v>
      </c>
      <c r="Q1785" s="25">
        <v>10000</v>
      </c>
      <c r="R1785" s="22">
        <v>70</v>
      </c>
      <c r="S1785" s="22" t="s">
        <v>2278</v>
      </c>
      <c r="T1785" s="22">
        <f t="shared" si="137"/>
        <v>4</v>
      </c>
      <c r="U1785" s="22">
        <f t="shared" si="138"/>
        <v>2021</v>
      </c>
      <c r="V1785" s="22" t="str">
        <f t="shared" si="139"/>
        <v>METROPOLITANA</v>
      </c>
    </row>
    <row r="1786" spans="1:22" x14ac:dyDescent="0.2">
      <c r="A1786" s="23" t="s">
        <v>2273</v>
      </c>
      <c r="B1786" s="22" t="s">
        <v>33</v>
      </c>
      <c r="C1786" s="22" t="s">
        <v>128</v>
      </c>
      <c r="D1786" s="22" t="s">
        <v>38</v>
      </c>
      <c r="E1786" s="24" t="s">
        <v>42</v>
      </c>
      <c r="F1786" s="22" t="s">
        <v>34</v>
      </c>
      <c r="G1786" s="25">
        <v>6626.8</v>
      </c>
      <c r="H1786" s="22" t="s">
        <v>43</v>
      </c>
      <c r="I1786" s="22">
        <v>0</v>
      </c>
      <c r="J1786" s="22" t="s">
        <v>34</v>
      </c>
      <c r="K1786" s="22" t="s">
        <v>23</v>
      </c>
      <c r="L1786" s="22">
        <v>1</v>
      </c>
      <c r="M1786" s="26">
        <v>72895</v>
      </c>
      <c r="N1786" s="26">
        <v>0</v>
      </c>
      <c r="O1786" s="15">
        <f t="shared" si="135"/>
        <v>72895</v>
      </c>
      <c r="P1786" s="15">
        <f t="shared" si="136"/>
        <v>11.000030180479266</v>
      </c>
      <c r="Q1786" s="25">
        <v>5000</v>
      </c>
      <c r="R1786" s="22">
        <v>100</v>
      </c>
      <c r="S1786" s="22" t="s">
        <v>2279</v>
      </c>
      <c r="T1786" s="22">
        <f t="shared" si="137"/>
        <v>4</v>
      </c>
      <c r="U1786" s="22">
        <f t="shared" si="138"/>
        <v>2021</v>
      </c>
      <c r="V1786" s="22" t="str">
        <f t="shared" si="139"/>
        <v>METROPOLITANA</v>
      </c>
    </row>
    <row r="1787" spans="1:22" x14ac:dyDescent="0.2">
      <c r="A1787" s="23" t="s">
        <v>2273</v>
      </c>
      <c r="B1787" s="22" t="s">
        <v>33</v>
      </c>
      <c r="C1787" s="22" t="s">
        <v>128</v>
      </c>
      <c r="D1787" s="22" t="s">
        <v>63</v>
      </c>
      <c r="E1787" s="24" t="s">
        <v>64</v>
      </c>
      <c r="F1787" s="22" t="s">
        <v>34</v>
      </c>
      <c r="G1787" s="25">
        <v>5400.8000000000011</v>
      </c>
      <c r="H1787" s="22" t="s">
        <v>65</v>
      </c>
      <c r="I1787" s="22">
        <v>0</v>
      </c>
      <c r="J1787" s="22" t="s">
        <v>34</v>
      </c>
      <c r="K1787" s="22" t="s">
        <v>23</v>
      </c>
      <c r="L1787" s="22">
        <v>1</v>
      </c>
      <c r="M1787" s="26">
        <v>59409</v>
      </c>
      <c r="N1787" s="26">
        <v>0</v>
      </c>
      <c r="O1787" s="15">
        <f t="shared" si="135"/>
        <v>59409</v>
      </c>
      <c r="P1787" s="15">
        <f t="shared" si="136"/>
        <v>11.00003703155088</v>
      </c>
      <c r="Q1787" s="25">
        <v>5000</v>
      </c>
      <c r="R1787" s="22">
        <v>100</v>
      </c>
      <c r="S1787" s="22" t="s">
        <v>2280</v>
      </c>
      <c r="T1787" s="22">
        <f t="shared" si="137"/>
        <v>4</v>
      </c>
      <c r="U1787" s="22">
        <f t="shared" si="138"/>
        <v>2021</v>
      </c>
      <c r="V1787" s="22" t="str">
        <f t="shared" si="139"/>
        <v>METROPOLITANA</v>
      </c>
    </row>
    <row r="1788" spans="1:22" x14ac:dyDescent="0.2">
      <c r="A1788" s="23" t="s">
        <v>2273</v>
      </c>
      <c r="B1788" s="22" t="s">
        <v>33</v>
      </c>
      <c r="C1788" s="22" t="s">
        <v>128</v>
      </c>
      <c r="D1788" s="22" t="s">
        <v>47</v>
      </c>
      <c r="E1788" s="24" t="s">
        <v>1576</v>
      </c>
      <c r="F1788" s="22" t="s">
        <v>34</v>
      </c>
      <c r="G1788" s="25">
        <v>5527.5999999999995</v>
      </c>
      <c r="H1788" s="22" t="s">
        <v>22</v>
      </c>
      <c r="I1788" s="22">
        <v>0</v>
      </c>
      <c r="J1788" s="22" t="s">
        <v>34</v>
      </c>
      <c r="K1788" s="22" t="s">
        <v>23</v>
      </c>
      <c r="L1788" s="22">
        <v>1</v>
      </c>
      <c r="M1788" s="26">
        <v>60804</v>
      </c>
      <c r="N1788" s="26">
        <v>0</v>
      </c>
      <c r="O1788" s="15">
        <f t="shared" si="135"/>
        <v>60804</v>
      </c>
      <c r="P1788" s="15">
        <f t="shared" si="136"/>
        <v>11.000072364136335</v>
      </c>
      <c r="Q1788" s="25">
        <v>5000</v>
      </c>
      <c r="R1788" s="22">
        <v>100</v>
      </c>
      <c r="S1788" s="22" t="s">
        <v>2281</v>
      </c>
      <c r="T1788" s="22">
        <f t="shared" si="137"/>
        <v>4</v>
      </c>
      <c r="U1788" s="22">
        <f t="shared" si="138"/>
        <v>2021</v>
      </c>
      <c r="V1788" s="22" t="str">
        <f t="shared" si="139"/>
        <v>METROPOLITANA</v>
      </c>
    </row>
    <row r="1789" spans="1:22" x14ac:dyDescent="0.2">
      <c r="A1789" s="23" t="s">
        <v>2273</v>
      </c>
      <c r="B1789" s="22" t="s">
        <v>33</v>
      </c>
      <c r="C1789" s="22" t="s">
        <v>128</v>
      </c>
      <c r="D1789" s="22" t="s">
        <v>47</v>
      </c>
      <c r="E1789" s="24" t="s">
        <v>21</v>
      </c>
      <c r="F1789" s="22" t="s">
        <v>34</v>
      </c>
      <c r="G1789" s="25">
        <v>1099.2</v>
      </c>
      <c r="H1789" s="22" t="s">
        <v>22</v>
      </c>
      <c r="I1789" s="22">
        <v>0</v>
      </c>
      <c r="J1789" s="22" t="s">
        <v>34</v>
      </c>
      <c r="K1789" s="22" t="s">
        <v>23</v>
      </c>
      <c r="L1789" s="22">
        <v>1</v>
      </c>
      <c r="M1789" s="26">
        <v>55000</v>
      </c>
      <c r="N1789" s="26">
        <v>0</v>
      </c>
      <c r="O1789" s="15">
        <f t="shared" si="135"/>
        <v>55000</v>
      </c>
      <c r="P1789" s="15">
        <f t="shared" si="136"/>
        <v>50.03639010189228</v>
      </c>
      <c r="Q1789" s="25">
        <v>5000</v>
      </c>
      <c r="R1789" s="22">
        <v>22</v>
      </c>
      <c r="S1789" s="22" t="s">
        <v>2282</v>
      </c>
      <c r="T1789" s="22">
        <f t="shared" si="137"/>
        <v>4</v>
      </c>
      <c r="U1789" s="22">
        <f t="shared" si="138"/>
        <v>2021</v>
      </c>
      <c r="V1789" s="22" t="str">
        <f t="shared" si="139"/>
        <v>METROPOLITANA</v>
      </c>
    </row>
    <row r="1790" spans="1:22" x14ac:dyDescent="0.2">
      <c r="A1790" s="23" t="s">
        <v>2273</v>
      </c>
      <c r="B1790" s="22" t="s">
        <v>33</v>
      </c>
      <c r="C1790" s="22" t="s">
        <v>128</v>
      </c>
      <c r="D1790" s="22" t="s">
        <v>20</v>
      </c>
      <c r="E1790" s="24" t="s">
        <v>21</v>
      </c>
      <c r="F1790" s="22" t="s">
        <v>34</v>
      </c>
      <c r="G1790" s="25">
        <v>6626.8</v>
      </c>
      <c r="H1790" s="22" t="s">
        <v>22</v>
      </c>
      <c r="I1790" s="22">
        <v>0</v>
      </c>
      <c r="J1790" s="22" t="s">
        <v>34</v>
      </c>
      <c r="K1790" s="22" t="s">
        <v>23</v>
      </c>
      <c r="L1790" s="22">
        <v>1</v>
      </c>
      <c r="M1790" s="26">
        <v>72895</v>
      </c>
      <c r="N1790" s="26">
        <v>0</v>
      </c>
      <c r="O1790" s="15">
        <f t="shared" si="135"/>
        <v>72895</v>
      </c>
      <c r="P1790" s="15">
        <f t="shared" si="136"/>
        <v>11.000030180479266</v>
      </c>
      <c r="Q1790" s="25">
        <v>5000</v>
      </c>
      <c r="R1790" s="22">
        <v>100</v>
      </c>
      <c r="S1790" s="22" t="s">
        <v>2283</v>
      </c>
      <c r="T1790" s="22">
        <f t="shared" si="137"/>
        <v>4</v>
      </c>
      <c r="U1790" s="22">
        <f t="shared" si="138"/>
        <v>2021</v>
      </c>
      <c r="V1790" s="22" t="str">
        <f t="shared" si="139"/>
        <v>METROPOLITANA</v>
      </c>
    </row>
    <row r="1791" spans="1:22" x14ac:dyDescent="0.2">
      <c r="A1791" s="23" t="s">
        <v>2273</v>
      </c>
      <c r="B1791" s="22" t="s">
        <v>33</v>
      </c>
      <c r="C1791" s="22" t="s">
        <v>29</v>
      </c>
      <c r="D1791" s="22" t="s">
        <v>1869</v>
      </c>
      <c r="E1791" s="24" t="s">
        <v>1870</v>
      </c>
      <c r="F1791" s="22" t="s">
        <v>132</v>
      </c>
      <c r="G1791" s="25">
        <v>18950.399999999991</v>
      </c>
      <c r="H1791" s="22" t="s">
        <v>24</v>
      </c>
      <c r="I1791" s="22">
        <v>1</v>
      </c>
      <c r="J1791" s="22" t="s">
        <v>132</v>
      </c>
      <c r="K1791" s="22" t="s">
        <v>124</v>
      </c>
      <c r="L1791" s="22">
        <v>0</v>
      </c>
      <c r="M1791" s="26">
        <v>350000</v>
      </c>
      <c r="N1791" s="26">
        <v>0</v>
      </c>
      <c r="O1791" s="15">
        <f t="shared" si="135"/>
        <v>350000</v>
      </c>
      <c r="P1791" s="15">
        <f t="shared" si="136"/>
        <v>18.469267139479914</v>
      </c>
      <c r="Q1791" s="25">
        <v>25000</v>
      </c>
      <c r="R1791" s="22">
        <v>76</v>
      </c>
      <c r="S1791" s="22" t="s">
        <v>2284</v>
      </c>
      <c r="T1791" s="22">
        <f t="shared" si="137"/>
        <v>4</v>
      </c>
      <c r="U1791" s="22">
        <f t="shared" si="138"/>
        <v>2021</v>
      </c>
      <c r="V1791" s="22" t="str">
        <f t="shared" si="139"/>
        <v>REGIONES</v>
      </c>
    </row>
    <row r="1792" spans="1:22" x14ac:dyDescent="0.2">
      <c r="A1792" s="23" t="s">
        <v>2273</v>
      </c>
      <c r="B1792" s="22" t="s">
        <v>33</v>
      </c>
      <c r="C1792" s="22" t="s">
        <v>44</v>
      </c>
      <c r="D1792" s="22" t="s">
        <v>56</v>
      </c>
      <c r="E1792" s="24" t="s">
        <v>52</v>
      </c>
      <c r="F1792" s="22" t="s">
        <v>95</v>
      </c>
      <c r="G1792" s="25">
        <v>5452.4</v>
      </c>
      <c r="H1792" s="22" t="s">
        <v>22</v>
      </c>
      <c r="I1792" s="22">
        <v>0</v>
      </c>
      <c r="J1792" s="22" t="s">
        <v>95</v>
      </c>
      <c r="K1792" s="22" t="s">
        <v>23</v>
      </c>
      <c r="L1792" s="22">
        <v>4</v>
      </c>
      <c r="M1792" s="26">
        <v>59976</v>
      </c>
      <c r="N1792" s="26">
        <v>0</v>
      </c>
      <c r="O1792" s="15">
        <f t="shared" si="135"/>
        <v>59976</v>
      </c>
      <c r="P1792" s="15">
        <f t="shared" si="136"/>
        <v>10.999926637810873</v>
      </c>
      <c r="Q1792" s="25">
        <v>5000</v>
      </c>
      <c r="R1792" s="22">
        <v>100</v>
      </c>
      <c r="S1792" s="22" t="s">
        <v>2285</v>
      </c>
      <c r="T1792" s="22">
        <f t="shared" si="137"/>
        <v>4</v>
      </c>
      <c r="U1792" s="22">
        <f t="shared" si="138"/>
        <v>2021</v>
      </c>
      <c r="V1792" s="22" t="str">
        <f t="shared" si="139"/>
        <v>METROPOLITANA</v>
      </c>
    </row>
    <row r="1793" spans="1:22" x14ac:dyDescent="0.2">
      <c r="A1793" s="23" t="s">
        <v>2273</v>
      </c>
      <c r="B1793" s="22" t="s">
        <v>33</v>
      </c>
      <c r="C1793" s="22" t="s">
        <v>44</v>
      </c>
      <c r="D1793" s="22" t="s">
        <v>188</v>
      </c>
      <c r="E1793" s="24" t="s">
        <v>189</v>
      </c>
      <c r="F1793" s="22" t="s">
        <v>182</v>
      </c>
      <c r="G1793" s="25">
        <v>4016.400000000001</v>
      </c>
      <c r="H1793" s="22" t="s">
        <v>190</v>
      </c>
      <c r="I1793" s="22">
        <v>0</v>
      </c>
      <c r="J1793" s="22" t="s">
        <v>182</v>
      </c>
      <c r="K1793" s="22" t="s">
        <v>23</v>
      </c>
      <c r="L1793" s="22">
        <v>4</v>
      </c>
      <c r="M1793" s="26">
        <v>55000</v>
      </c>
      <c r="N1793" s="26">
        <v>0</v>
      </c>
      <c r="O1793" s="15">
        <f t="shared" si="135"/>
        <v>55000</v>
      </c>
      <c r="P1793" s="15">
        <f t="shared" si="136"/>
        <v>13.693855193705803</v>
      </c>
      <c r="Q1793" s="25">
        <v>5000</v>
      </c>
      <c r="R1793" s="22">
        <v>80</v>
      </c>
      <c r="S1793" s="22" t="s">
        <v>2286</v>
      </c>
      <c r="T1793" s="22">
        <f t="shared" si="137"/>
        <v>4</v>
      </c>
      <c r="U1793" s="22">
        <f t="shared" si="138"/>
        <v>2021</v>
      </c>
      <c r="V1793" s="22" t="str">
        <f t="shared" si="139"/>
        <v>METROPOLITANA</v>
      </c>
    </row>
    <row r="1794" spans="1:22" x14ac:dyDescent="0.2">
      <c r="A1794" s="23" t="s">
        <v>2273</v>
      </c>
      <c r="B1794" s="22" t="s">
        <v>33</v>
      </c>
      <c r="C1794" s="22" t="s">
        <v>44</v>
      </c>
      <c r="D1794" s="22" t="s">
        <v>786</v>
      </c>
      <c r="E1794" s="24" t="s">
        <v>787</v>
      </c>
      <c r="F1794" s="22" t="s">
        <v>114</v>
      </c>
      <c r="G1794" s="25">
        <v>10806.6</v>
      </c>
      <c r="H1794" s="22" t="s">
        <v>788</v>
      </c>
      <c r="I1794" s="22">
        <v>1</v>
      </c>
      <c r="J1794" s="22" t="s">
        <v>114</v>
      </c>
      <c r="K1794" s="22" t="s">
        <v>75</v>
      </c>
      <c r="L1794" s="22">
        <v>0</v>
      </c>
      <c r="M1794" s="26">
        <v>380000</v>
      </c>
      <c r="N1794" s="26">
        <v>0</v>
      </c>
      <c r="O1794" s="15">
        <f t="shared" ref="O1794:O1857" si="140">SUM(M1794:N1794)</f>
        <v>380000</v>
      </c>
      <c r="P1794" s="15">
        <f t="shared" ref="P1794:P1857" si="141">O1794/G1794</f>
        <v>35.163696259693147</v>
      </c>
      <c r="Q1794" s="25">
        <v>25000</v>
      </c>
      <c r="R1794" s="22">
        <v>43</v>
      </c>
      <c r="S1794" s="22" t="s">
        <v>2287</v>
      </c>
      <c r="T1794" s="22">
        <f t="shared" ref="T1794:T1857" si="142">MONTH(A1794)</f>
        <v>4</v>
      </c>
      <c r="U1794" s="22">
        <f t="shared" ref="U1794:U1857" si="143">YEAR(A1794)</f>
        <v>2021</v>
      </c>
      <c r="V1794" s="22" t="str">
        <f t="shared" ref="V1794:V1857" si="144">IF(K1794="METROPOLITANA DE SANTIAGO","METROPOLITANA","REGIONES")</f>
        <v>REGIONES</v>
      </c>
    </row>
    <row r="1795" spans="1:22" x14ac:dyDescent="0.2">
      <c r="A1795" s="23" t="s">
        <v>2273</v>
      </c>
      <c r="B1795" s="22" t="s">
        <v>33</v>
      </c>
      <c r="C1795" s="22" t="s">
        <v>44</v>
      </c>
      <c r="D1795" s="22" t="s">
        <v>45</v>
      </c>
      <c r="E1795" s="24" t="s">
        <v>2288</v>
      </c>
      <c r="F1795" s="22" t="s">
        <v>34</v>
      </c>
      <c r="G1795" s="25">
        <v>2351</v>
      </c>
      <c r="H1795" s="22" t="s">
        <v>22</v>
      </c>
      <c r="I1795" s="22">
        <v>0</v>
      </c>
      <c r="J1795" s="22" t="s">
        <v>34</v>
      </c>
      <c r="K1795" s="22" t="s">
        <v>23</v>
      </c>
      <c r="L1795" s="22">
        <v>1</v>
      </c>
      <c r="M1795" s="26">
        <v>55000</v>
      </c>
      <c r="N1795" s="26">
        <v>0</v>
      </c>
      <c r="O1795" s="15">
        <f t="shared" si="140"/>
        <v>55000</v>
      </c>
      <c r="P1795" s="15">
        <f t="shared" si="141"/>
        <v>23.394300297745641</v>
      </c>
      <c r="Q1795" s="25">
        <v>5000</v>
      </c>
      <c r="R1795" s="22">
        <v>47</v>
      </c>
      <c r="S1795" s="22" t="s">
        <v>2289</v>
      </c>
      <c r="T1795" s="22">
        <f t="shared" si="142"/>
        <v>4</v>
      </c>
      <c r="U1795" s="22">
        <f t="shared" si="143"/>
        <v>2021</v>
      </c>
      <c r="V1795" s="22" t="str">
        <f t="shared" si="144"/>
        <v>METROPOLITANA</v>
      </c>
    </row>
    <row r="1796" spans="1:22" x14ac:dyDescent="0.2">
      <c r="A1796" s="23" t="s">
        <v>2273</v>
      </c>
      <c r="B1796" s="22" t="s">
        <v>33</v>
      </c>
      <c r="C1796" s="22" t="s">
        <v>44</v>
      </c>
      <c r="D1796" s="22" t="s">
        <v>45</v>
      </c>
      <c r="E1796" s="24" t="s">
        <v>21</v>
      </c>
      <c r="F1796" s="22" t="s">
        <v>34</v>
      </c>
      <c r="G1796" s="25">
        <v>1025.2</v>
      </c>
      <c r="H1796" s="22" t="s">
        <v>22</v>
      </c>
      <c r="I1796" s="22">
        <v>0</v>
      </c>
      <c r="J1796" s="22" t="s">
        <v>34</v>
      </c>
      <c r="K1796" s="22" t="s">
        <v>23</v>
      </c>
      <c r="L1796" s="22">
        <v>1</v>
      </c>
      <c r="M1796" s="26">
        <v>55000</v>
      </c>
      <c r="N1796" s="26">
        <v>0</v>
      </c>
      <c r="O1796" s="15">
        <f t="shared" si="140"/>
        <v>55000</v>
      </c>
      <c r="P1796" s="15">
        <f t="shared" si="141"/>
        <v>53.648068669527895</v>
      </c>
      <c r="Q1796" s="25">
        <v>5000</v>
      </c>
      <c r="R1796" s="22">
        <v>21</v>
      </c>
      <c r="S1796" s="22" t="s">
        <v>2290</v>
      </c>
      <c r="T1796" s="22">
        <f t="shared" si="142"/>
        <v>4</v>
      </c>
      <c r="U1796" s="22">
        <f t="shared" si="143"/>
        <v>2021</v>
      </c>
      <c r="V1796" s="22" t="str">
        <f t="shared" si="144"/>
        <v>METROPOLITANA</v>
      </c>
    </row>
    <row r="1797" spans="1:22" x14ac:dyDescent="0.2">
      <c r="A1797" s="23" t="s">
        <v>2273</v>
      </c>
      <c r="B1797" s="22" t="s">
        <v>33</v>
      </c>
      <c r="C1797" s="22" t="s">
        <v>44</v>
      </c>
      <c r="D1797" s="22" t="s">
        <v>35</v>
      </c>
      <c r="E1797" s="24" t="s">
        <v>49</v>
      </c>
      <c r="F1797" s="22" t="s">
        <v>95</v>
      </c>
      <c r="G1797" s="25">
        <f>2590.8+883</f>
        <v>3473.8</v>
      </c>
      <c r="H1797" s="22" t="s">
        <v>22</v>
      </c>
      <c r="I1797" s="22">
        <v>1</v>
      </c>
      <c r="J1797" s="22" t="s">
        <v>95</v>
      </c>
      <c r="K1797" s="22" t="s">
        <v>23</v>
      </c>
      <c r="L1797" s="22">
        <v>4</v>
      </c>
      <c r="M1797" s="26">
        <v>55000</v>
      </c>
      <c r="N1797" s="26">
        <v>0</v>
      </c>
      <c r="O1797" s="15">
        <f t="shared" si="140"/>
        <v>55000</v>
      </c>
      <c r="P1797" s="15">
        <f t="shared" si="141"/>
        <v>15.83280557314756</v>
      </c>
      <c r="Q1797" s="25">
        <v>5000</v>
      </c>
      <c r="R1797" s="22">
        <v>52</v>
      </c>
      <c r="S1797" s="22" t="s">
        <v>2291</v>
      </c>
      <c r="T1797" s="22">
        <f t="shared" si="142"/>
        <v>4</v>
      </c>
      <c r="U1797" s="22">
        <f t="shared" si="143"/>
        <v>2021</v>
      </c>
      <c r="V1797" s="22" t="str">
        <f t="shared" si="144"/>
        <v>METROPOLITANA</v>
      </c>
    </row>
    <row r="1798" spans="1:22" x14ac:dyDescent="0.2">
      <c r="A1798" s="11" t="s">
        <v>2273</v>
      </c>
      <c r="B1798" s="12" t="s">
        <v>33</v>
      </c>
      <c r="C1798" s="12" t="s">
        <v>1163</v>
      </c>
      <c r="D1798" s="12" t="s">
        <v>30</v>
      </c>
      <c r="E1798" s="13" t="s">
        <v>31</v>
      </c>
      <c r="F1798" s="12" t="s">
        <v>1166</v>
      </c>
      <c r="G1798" s="14">
        <v>10416</v>
      </c>
      <c r="H1798" s="12" t="s">
        <v>32</v>
      </c>
      <c r="I1798" s="12">
        <v>0</v>
      </c>
      <c r="J1798" s="12" t="s">
        <v>1166</v>
      </c>
      <c r="K1798" s="12" t="s">
        <v>23</v>
      </c>
      <c r="L1798" s="12">
        <v>5</v>
      </c>
      <c r="M1798" s="15">
        <v>90000</v>
      </c>
      <c r="N1798" s="15">
        <v>0</v>
      </c>
      <c r="O1798" s="15">
        <f t="shared" si="140"/>
        <v>90000</v>
      </c>
      <c r="P1798" s="15">
        <f t="shared" si="141"/>
        <v>8.6405529953917046</v>
      </c>
      <c r="Q1798" s="14">
        <v>10000</v>
      </c>
      <c r="R1798" s="12">
        <v>100</v>
      </c>
      <c r="S1798" s="12" t="s">
        <v>2292</v>
      </c>
      <c r="T1798" s="22">
        <f t="shared" si="142"/>
        <v>4</v>
      </c>
      <c r="U1798" s="22">
        <f t="shared" si="143"/>
        <v>2021</v>
      </c>
      <c r="V1798" s="22" t="str">
        <f t="shared" si="144"/>
        <v>METROPOLITANA</v>
      </c>
    </row>
    <row r="1799" spans="1:22" x14ac:dyDescent="0.2">
      <c r="A1799" s="11" t="s">
        <v>2293</v>
      </c>
      <c r="B1799" s="12" t="s">
        <v>18</v>
      </c>
      <c r="C1799" s="12" t="s">
        <v>50</v>
      </c>
      <c r="D1799" s="12" t="s">
        <v>38</v>
      </c>
      <c r="E1799" s="13" t="s">
        <v>42</v>
      </c>
      <c r="F1799" s="12" t="s">
        <v>26</v>
      </c>
      <c r="G1799" s="14">
        <v>14544</v>
      </c>
      <c r="H1799" s="12" t="s">
        <v>43</v>
      </c>
      <c r="I1799" s="12">
        <v>0</v>
      </c>
      <c r="J1799" s="12" t="s">
        <v>26</v>
      </c>
      <c r="K1799" s="12" t="s">
        <v>23</v>
      </c>
      <c r="L1799" s="12">
        <v>4</v>
      </c>
      <c r="M1799" s="15">
        <v>159984</v>
      </c>
      <c r="N1799" s="15">
        <v>0</v>
      </c>
      <c r="O1799" s="15">
        <f t="shared" si="140"/>
        <v>159984</v>
      </c>
      <c r="P1799" s="15">
        <f t="shared" si="141"/>
        <v>11</v>
      </c>
      <c r="Q1799" s="14">
        <v>5000</v>
      </c>
      <c r="R1799" s="12">
        <v>100</v>
      </c>
      <c r="S1799" s="12" t="s">
        <v>2294</v>
      </c>
      <c r="T1799" s="22">
        <f t="shared" si="142"/>
        <v>4</v>
      </c>
      <c r="U1799" s="22">
        <f t="shared" si="143"/>
        <v>2021</v>
      </c>
      <c r="V1799" s="22" t="str">
        <f t="shared" si="144"/>
        <v>METROPOLITANA</v>
      </c>
    </row>
    <row r="1800" spans="1:22" x14ac:dyDescent="0.2">
      <c r="A1800" s="11" t="s">
        <v>2293</v>
      </c>
      <c r="B1800" s="12" t="s">
        <v>18</v>
      </c>
      <c r="C1800" s="12" t="s">
        <v>50</v>
      </c>
      <c r="D1800" s="12" t="s">
        <v>37</v>
      </c>
      <c r="E1800" s="13" t="s">
        <v>40</v>
      </c>
      <c r="F1800" s="12" t="s">
        <v>26</v>
      </c>
      <c r="G1800" s="14">
        <v>29088</v>
      </c>
      <c r="H1800" s="12" t="s">
        <v>22</v>
      </c>
      <c r="I1800" s="12">
        <v>0</v>
      </c>
      <c r="J1800" s="12" t="s">
        <v>26</v>
      </c>
      <c r="K1800" s="12" t="s">
        <v>23</v>
      </c>
      <c r="L1800" s="12">
        <v>4</v>
      </c>
      <c r="M1800" s="15">
        <v>319968</v>
      </c>
      <c r="N1800" s="15">
        <v>0</v>
      </c>
      <c r="O1800" s="15">
        <f t="shared" si="140"/>
        <v>319968</v>
      </c>
      <c r="P1800" s="15">
        <f t="shared" si="141"/>
        <v>11</v>
      </c>
      <c r="Q1800" s="14">
        <v>5000</v>
      </c>
      <c r="R1800" s="12">
        <v>100</v>
      </c>
      <c r="S1800" s="12" t="s">
        <v>2295</v>
      </c>
      <c r="T1800" s="22">
        <f t="shared" si="142"/>
        <v>4</v>
      </c>
      <c r="U1800" s="22">
        <f t="shared" si="143"/>
        <v>2021</v>
      </c>
      <c r="V1800" s="22" t="str">
        <f t="shared" si="144"/>
        <v>METROPOLITANA</v>
      </c>
    </row>
    <row r="1801" spans="1:22" x14ac:dyDescent="0.2">
      <c r="A1801" s="11" t="s">
        <v>2293</v>
      </c>
      <c r="B1801" s="12" t="s">
        <v>18</v>
      </c>
      <c r="C1801" s="12" t="s">
        <v>1997</v>
      </c>
      <c r="D1801" s="12" t="s">
        <v>188</v>
      </c>
      <c r="E1801" s="13" t="s">
        <v>189</v>
      </c>
      <c r="F1801" s="12" t="s">
        <v>58</v>
      </c>
      <c r="G1801" s="14">
        <v>2339.4</v>
      </c>
      <c r="H1801" s="12" t="s">
        <v>190</v>
      </c>
      <c r="I1801" s="12">
        <v>0</v>
      </c>
      <c r="J1801" s="12" t="s">
        <v>58</v>
      </c>
      <c r="K1801" s="12" t="s">
        <v>23</v>
      </c>
      <c r="L1801" s="12">
        <v>5</v>
      </c>
      <c r="M1801" s="15">
        <v>70000</v>
      </c>
      <c r="N1801" s="15">
        <v>0</v>
      </c>
      <c r="O1801" s="15">
        <f t="shared" si="140"/>
        <v>70000</v>
      </c>
      <c r="P1801" s="15">
        <f t="shared" si="141"/>
        <v>29.922202274087372</v>
      </c>
      <c r="Q1801" s="14">
        <v>10000</v>
      </c>
      <c r="R1801" s="12">
        <v>23</v>
      </c>
      <c r="S1801" s="12" t="s">
        <v>2296</v>
      </c>
      <c r="T1801" s="22">
        <f t="shared" si="142"/>
        <v>4</v>
      </c>
      <c r="U1801" s="22">
        <f t="shared" si="143"/>
        <v>2021</v>
      </c>
      <c r="V1801" s="22" t="str">
        <f t="shared" si="144"/>
        <v>METROPOLITANA</v>
      </c>
    </row>
    <row r="1802" spans="1:22" x14ac:dyDescent="0.2">
      <c r="A1802" s="11" t="s">
        <v>2293</v>
      </c>
      <c r="B1802" s="12" t="s">
        <v>33</v>
      </c>
      <c r="C1802" s="12" t="s">
        <v>60</v>
      </c>
      <c r="D1802" s="12" t="s">
        <v>63</v>
      </c>
      <c r="E1802" s="13" t="s">
        <v>64</v>
      </c>
      <c r="F1802" s="12" t="s">
        <v>51</v>
      </c>
      <c r="G1802" s="14">
        <v>9755.1999999999953</v>
      </c>
      <c r="H1802" s="12" t="s">
        <v>65</v>
      </c>
      <c r="I1802" s="12">
        <v>0</v>
      </c>
      <c r="J1802" s="12" t="s">
        <v>51</v>
      </c>
      <c r="K1802" s="12" t="s">
        <v>23</v>
      </c>
      <c r="L1802" s="12">
        <v>4</v>
      </c>
      <c r="M1802" s="15">
        <v>107307</v>
      </c>
      <c r="N1802" s="15">
        <v>0</v>
      </c>
      <c r="O1802" s="15">
        <f t="shared" si="140"/>
        <v>107307</v>
      </c>
      <c r="P1802" s="15">
        <f t="shared" si="141"/>
        <v>10.999979498113833</v>
      </c>
      <c r="Q1802" s="14">
        <v>5000</v>
      </c>
      <c r="R1802" s="12">
        <v>100</v>
      </c>
      <c r="S1802" s="12" t="s">
        <v>2297</v>
      </c>
      <c r="T1802" s="22">
        <f t="shared" si="142"/>
        <v>4</v>
      </c>
      <c r="U1802" s="22">
        <f t="shared" si="143"/>
        <v>2021</v>
      </c>
      <c r="V1802" s="22" t="str">
        <f t="shared" si="144"/>
        <v>METROPOLITANA</v>
      </c>
    </row>
    <row r="1803" spans="1:22" x14ac:dyDescent="0.2">
      <c r="A1803" s="11" t="s">
        <v>2293</v>
      </c>
      <c r="B1803" s="12" t="s">
        <v>33</v>
      </c>
      <c r="C1803" s="12" t="s">
        <v>1997</v>
      </c>
      <c r="D1803" s="12" t="s">
        <v>188</v>
      </c>
      <c r="E1803" s="13" t="s">
        <v>189</v>
      </c>
      <c r="F1803" s="12" t="s">
        <v>58</v>
      </c>
      <c r="G1803" s="14">
        <v>4880.2</v>
      </c>
      <c r="H1803" s="12" t="s">
        <v>190</v>
      </c>
      <c r="I1803" s="12">
        <v>0</v>
      </c>
      <c r="J1803" s="12" t="s">
        <v>58</v>
      </c>
      <c r="K1803" s="12" t="s">
        <v>23</v>
      </c>
      <c r="L1803" s="12">
        <v>5</v>
      </c>
      <c r="M1803" s="15">
        <v>70000</v>
      </c>
      <c r="N1803" s="15">
        <v>0</v>
      </c>
      <c r="O1803" s="15">
        <f t="shared" si="140"/>
        <v>70000</v>
      </c>
      <c r="P1803" s="15">
        <f t="shared" si="141"/>
        <v>14.343674439572149</v>
      </c>
      <c r="Q1803" s="14">
        <v>10000</v>
      </c>
      <c r="R1803" s="12">
        <v>49</v>
      </c>
      <c r="S1803" s="12" t="s">
        <v>2298</v>
      </c>
      <c r="T1803" s="22">
        <f t="shared" si="142"/>
        <v>4</v>
      </c>
      <c r="U1803" s="22">
        <f t="shared" si="143"/>
        <v>2021</v>
      </c>
      <c r="V1803" s="22" t="str">
        <f t="shared" si="144"/>
        <v>METROPOLITANA</v>
      </c>
    </row>
    <row r="1804" spans="1:22" x14ac:dyDescent="0.2">
      <c r="A1804" s="11" t="s">
        <v>2293</v>
      </c>
      <c r="B1804" s="12" t="s">
        <v>33</v>
      </c>
      <c r="C1804" s="12" t="s">
        <v>2299</v>
      </c>
      <c r="D1804" s="12" t="s">
        <v>41</v>
      </c>
      <c r="E1804" s="13" t="s">
        <v>25</v>
      </c>
      <c r="F1804" s="12" t="s">
        <v>129</v>
      </c>
      <c r="G1804" s="14">
        <v>1500.8</v>
      </c>
      <c r="H1804" s="12" t="s">
        <v>43</v>
      </c>
      <c r="I1804" s="12">
        <v>0</v>
      </c>
      <c r="J1804" s="12" t="s">
        <v>129</v>
      </c>
      <c r="K1804" s="12" t="s">
        <v>23</v>
      </c>
      <c r="L1804" s="12">
        <v>1</v>
      </c>
      <c r="M1804" s="15">
        <v>70000</v>
      </c>
      <c r="N1804" s="15">
        <v>0</v>
      </c>
      <c r="O1804" s="15">
        <f t="shared" si="140"/>
        <v>70000</v>
      </c>
      <c r="P1804" s="15">
        <f t="shared" si="141"/>
        <v>46.64179104477612</v>
      </c>
      <c r="Q1804" s="14">
        <v>5000</v>
      </c>
      <c r="R1804" s="12">
        <v>30</v>
      </c>
      <c r="S1804" s="12" t="s">
        <v>2300</v>
      </c>
      <c r="T1804" s="22">
        <f t="shared" si="142"/>
        <v>4</v>
      </c>
      <c r="U1804" s="22">
        <f t="shared" si="143"/>
        <v>2021</v>
      </c>
      <c r="V1804" s="22" t="str">
        <f t="shared" si="144"/>
        <v>METROPOLITANA</v>
      </c>
    </row>
    <row r="1805" spans="1:22" x14ac:dyDescent="0.2">
      <c r="A1805" s="11" t="s">
        <v>2293</v>
      </c>
      <c r="B1805" s="12" t="s">
        <v>33</v>
      </c>
      <c r="C1805" s="12" t="s">
        <v>163</v>
      </c>
      <c r="D1805" s="12" t="s">
        <v>20</v>
      </c>
      <c r="E1805" s="13" t="s">
        <v>42</v>
      </c>
      <c r="F1805" s="12" t="s">
        <v>165</v>
      </c>
      <c r="G1805" s="14">
        <v>3707.85</v>
      </c>
      <c r="H1805" s="12" t="s">
        <v>22</v>
      </c>
      <c r="I1805" s="12">
        <v>0</v>
      </c>
      <c r="J1805" s="12" t="s">
        <v>165</v>
      </c>
      <c r="K1805" s="12" t="s">
        <v>23</v>
      </c>
      <c r="L1805" s="12">
        <v>4</v>
      </c>
      <c r="M1805" s="15">
        <v>55000</v>
      </c>
      <c r="N1805" s="15">
        <v>0</v>
      </c>
      <c r="O1805" s="15">
        <f t="shared" si="140"/>
        <v>55000</v>
      </c>
      <c r="P1805" s="15">
        <f t="shared" si="141"/>
        <v>14.83339401539976</v>
      </c>
      <c r="Q1805" s="14">
        <v>5000</v>
      </c>
      <c r="R1805" s="12">
        <v>74</v>
      </c>
      <c r="S1805" s="12" t="s">
        <v>2301</v>
      </c>
      <c r="T1805" s="22">
        <f t="shared" si="142"/>
        <v>4</v>
      </c>
      <c r="U1805" s="22">
        <f t="shared" si="143"/>
        <v>2021</v>
      </c>
      <c r="V1805" s="22" t="str">
        <f t="shared" si="144"/>
        <v>METROPOLITANA</v>
      </c>
    </row>
    <row r="1806" spans="1:22" x14ac:dyDescent="0.2">
      <c r="A1806" s="11" t="s">
        <v>2293</v>
      </c>
      <c r="B1806" s="12" t="s">
        <v>33</v>
      </c>
      <c r="C1806" s="12" t="s">
        <v>128</v>
      </c>
      <c r="D1806" s="12" t="s">
        <v>47</v>
      </c>
      <c r="E1806" s="13" t="s">
        <v>52</v>
      </c>
      <c r="F1806" s="12" t="s">
        <v>34</v>
      </c>
      <c r="G1806" s="14">
        <v>8053.5999999999995</v>
      </c>
      <c r="H1806" s="12" t="s">
        <v>22</v>
      </c>
      <c r="I1806" s="12">
        <v>0</v>
      </c>
      <c r="J1806" s="12" t="s">
        <v>34</v>
      </c>
      <c r="K1806" s="12" t="s">
        <v>23</v>
      </c>
      <c r="L1806" s="12">
        <v>1</v>
      </c>
      <c r="M1806" s="15">
        <v>88590</v>
      </c>
      <c r="N1806" s="15">
        <v>0</v>
      </c>
      <c r="O1806" s="15">
        <f t="shared" si="140"/>
        <v>88590</v>
      </c>
      <c r="P1806" s="15">
        <f t="shared" si="141"/>
        <v>11.000049667229563</v>
      </c>
      <c r="Q1806" s="14">
        <v>5000</v>
      </c>
      <c r="R1806" s="12">
        <v>100</v>
      </c>
      <c r="S1806" s="12" t="s">
        <v>2302</v>
      </c>
      <c r="T1806" s="22">
        <f t="shared" si="142"/>
        <v>4</v>
      </c>
      <c r="U1806" s="22">
        <f t="shared" si="143"/>
        <v>2021</v>
      </c>
      <c r="V1806" s="22" t="str">
        <f t="shared" si="144"/>
        <v>METROPOLITANA</v>
      </c>
    </row>
    <row r="1807" spans="1:22" x14ac:dyDescent="0.2">
      <c r="A1807" s="11" t="s">
        <v>2293</v>
      </c>
      <c r="B1807" s="12" t="s">
        <v>33</v>
      </c>
      <c r="C1807" s="12" t="s">
        <v>1807</v>
      </c>
      <c r="D1807" s="12" t="s">
        <v>41</v>
      </c>
      <c r="E1807" s="13" t="s">
        <v>42</v>
      </c>
      <c r="F1807" s="12" t="s">
        <v>194</v>
      </c>
      <c r="G1807" s="14">
        <v>9387.6</v>
      </c>
      <c r="H1807" s="12" t="s">
        <v>43</v>
      </c>
      <c r="I1807" s="12">
        <v>0</v>
      </c>
      <c r="J1807" s="12" t="s">
        <v>194</v>
      </c>
      <c r="K1807" s="12" t="s">
        <v>23</v>
      </c>
      <c r="L1807" s="12">
        <v>4</v>
      </c>
      <c r="M1807" s="15">
        <v>103264</v>
      </c>
      <c r="N1807" s="15">
        <v>0</v>
      </c>
      <c r="O1807" s="15">
        <f t="shared" si="140"/>
        <v>103264</v>
      </c>
      <c r="P1807" s="15">
        <f t="shared" si="141"/>
        <v>11.000042609399634</v>
      </c>
      <c r="Q1807" s="14">
        <v>5000</v>
      </c>
      <c r="R1807" s="12">
        <v>100</v>
      </c>
      <c r="S1807" s="12" t="s">
        <v>2303</v>
      </c>
      <c r="T1807" s="22">
        <f t="shared" si="142"/>
        <v>4</v>
      </c>
      <c r="U1807" s="22">
        <f t="shared" si="143"/>
        <v>2021</v>
      </c>
      <c r="V1807" s="22" t="str">
        <f t="shared" si="144"/>
        <v>METROPOLITANA</v>
      </c>
    </row>
    <row r="1808" spans="1:22" x14ac:dyDescent="0.2">
      <c r="A1808" s="11" t="s">
        <v>2293</v>
      </c>
      <c r="B1808" s="12" t="s">
        <v>33</v>
      </c>
      <c r="C1808" s="12" t="s">
        <v>87</v>
      </c>
      <c r="D1808" s="12" t="s">
        <v>20</v>
      </c>
      <c r="E1808" s="13" t="s">
        <v>21</v>
      </c>
      <c r="F1808" s="12" t="s">
        <v>51</v>
      </c>
      <c r="G1808" s="14">
        <v>8501.9999999999982</v>
      </c>
      <c r="H1808" s="12" t="s">
        <v>22</v>
      </c>
      <c r="I1808" s="12">
        <v>0</v>
      </c>
      <c r="J1808" s="12" t="s">
        <v>51</v>
      </c>
      <c r="K1808" s="12" t="s">
        <v>23</v>
      </c>
      <c r="L1808" s="12">
        <v>4</v>
      </c>
      <c r="M1808" s="15">
        <v>93522</v>
      </c>
      <c r="N1808" s="15">
        <v>0</v>
      </c>
      <c r="O1808" s="15">
        <f t="shared" si="140"/>
        <v>93522</v>
      </c>
      <c r="P1808" s="15">
        <f t="shared" si="141"/>
        <v>11.000000000000002</v>
      </c>
      <c r="Q1808" s="14">
        <v>5000</v>
      </c>
      <c r="R1808" s="12">
        <v>100</v>
      </c>
      <c r="S1808" s="12" t="s">
        <v>2304</v>
      </c>
      <c r="T1808" s="22">
        <f t="shared" si="142"/>
        <v>4</v>
      </c>
      <c r="U1808" s="22">
        <f t="shared" si="143"/>
        <v>2021</v>
      </c>
      <c r="V1808" s="22" t="str">
        <f t="shared" si="144"/>
        <v>METROPOLITANA</v>
      </c>
    </row>
    <row r="1809" spans="1:22" x14ac:dyDescent="0.2">
      <c r="A1809" s="11" t="s">
        <v>2293</v>
      </c>
      <c r="B1809" s="12" t="s">
        <v>33</v>
      </c>
      <c r="C1809" s="12" t="s">
        <v>29</v>
      </c>
      <c r="D1809" s="12" t="s">
        <v>45</v>
      </c>
      <c r="E1809" s="13" t="s">
        <v>49</v>
      </c>
      <c r="F1809" s="12" t="s">
        <v>134</v>
      </c>
      <c r="G1809" s="14">
        <v>8844.8000000000011</v>
      </c>
      <c r="H1809" s="12" t="s">
        <v>22</v>
      </c>
      <c r="I1809" s="12">
        <v>0</v>
      </c>
      <c r="J1809" s="12" t="s">
        <v>134</v>
      </c>
      <c r="K1809" s="12" t="s">
        <v>23</v>
      </c>
      <c r="L1809" s="12">
        <v>2</v>
      </c>
      <c r="M1809" s="15">
        <v>97293</v>
      </c>
      <c r="N1809" s="15">
        <v>0</v>
      </c>
      <c r="O1809" s="15">
        <f t="shared" si="140"/>
        <v>97293</v>
      </c>
      <c r="P1809" s="15">
        <f t="shared" si="141"/>
        <v>11.000022612156293</v>
      </c>
      <c r="Q1809" s="14">
        <v>5000</v>
      </c>
      <c r="R1809" s="12">
        <v>100</v>
      </c>
      <c r="S1809" s="12" t="s">
        <v>2305</v>
      </c>
      <c r="T1809" s="22">
        <f t="shared" si="142"/>
        <v>4</v>
      </c>
      <c r="U1809" s="22">
        <f t="shared" si="143"/>
        <v>2021</v>
      </c>
      <c r="V1809" s="22" t="str">
        <f t="shared" si="144"/>
        <v>METROPOLITANA</v>
      </c>
    </row>
    <row r="1810" spans="1:22" x14ac:dyDescent="0.2">
      <c r="A1810" s="11" t="s">
        <v>2293</v>
      </c>
      <c r="B1810" s="12" t="s">
        <v>33</v>
      </c>
      <c r="C1810" s="12" t="s">
        <v>29</v>
      </c>
      <c r="D1810" s="12" t="s">
        <v>35</v>
      </c>
      <c r="E1810" s="13" t="s">
        <v>1576</v>
      </c>
      <c r="F1810" s="12" t="s">
        <v>134</v>
      </c>
      <c r="G1810" s="14">
        <v>6753.5999999999995</v>
      </c>
      <c r="H1810" s="12" t="s">
        <v>22</v>
      </c>
      <c r="I1810" s="12">
        <v>0</v>
      </c>
      <c r="J1810" s="12" t="s">
        <v>134</v>
      </c>
      <c r="K1810" s="12" t="s">
        <v>23</v>
      </c>
      <c r="L1810" s="12">
        <v>2</v>
      </c>
      <c r="M1810" s="15">
        <v>74290</v>
      </c>
      <c r="N1810" s="15">
        <v>0</v>
      </c>
      <c r="O1810" s="15">
        <f t="shared" si="140"/>
        <v>74290</v>
      </c>
      <c r="P1810" s="15">
        <f t="shared" si="141"/>
        <v>11.000059227671169</v>
      </c>
      <c r="Q1810" s="14">
        <v>5000</v>
      </c>
      <c r="R1810" s="12">
        <v>100</v>
      </c>
      <c r="S1810" s="12" t="s">
        <v>2306</v>
      </c>
      <c r="T1810" s="22">
        <f t="shared" si="142"/>
        <v>4</v>
      </c>
      <c r="U1810" s="22">
        <f t="shared" si="143"/>
        <v>2021</v>
      </c>
      <c r="V1810" s="22" t="str">
        <f t="shared" si="144"/>
        <v>METROPOLITANA</v>
      </c>
    </row>
    <row r="1811" spans="1:22" x14ac:dyDescent="0.2">
      <c r="A1811" s="11" t="s">
        <v>2293</v>
      </c>
      <c r="B1811" s="12" t="s">
        <v>33</v>
      </c>
      <c r="C1811" s="12" t="s">
        <v>44</v>
      </c>
      <c r="D1811" s="12" t="s">
        <v>56</v>
      </c>
      <c r="E1811" s="13" t="s">
        <v>52</v>
      </c>
      <c r="F1811" s="12" t="s">
        <v>67</v>
      </c>
      <c r="G1811" s="14">
        <v>3036.8</v>
      </c>
      <c r="H1811" s="12" t="s">
        <v>22</v>
      </c>
      <c r="I1811" s="12">
        <v>0</v>
      </c>
      <c r="J1811" s="12" t="s">
        <v>67</v>
      </c>
      <c r="K1811" s="12" t="s">
        <v>23</v>
      </c>
      <c r="L1811" s="12">
        <v>2</v>
      </c>
      <c r="M1811" s="15">
        <v>55000</v>
      </c>
      <c r="N1811" s="15">
        <v>0</v>
      </c>
      <c r="O1811" s="15">
        <f t="shared" si="140"/>
        <v>55000</v>
      </c>
      <c r="P1811" s="15">
        <f t="shared" si="141"/>
        <v>18.111169652265541</v>
      </c>
      <c r="Q1811" s="14">
        <v>5000</v>
      </c>
      <c r="R1811" s="12">
        <v>61</v>
      </c>
      <c r="S1811" s="12" t="s">
        <v>2307</v>
      </c>
      <c r="T1811" s="22">
        <f t="shared" si="142"/>
        <v>4</v>
      </c>
      <c r="U1811" s="22">
        <f t="shared" si="143"/>
        <v>2021</v>
      </c>
      <c r="V1811" s="22" t="str">
        <f t="shared" si="144"/>
        <v>METROPOLITANA</v>
      </c>
    </row>
    <row r="1812" spans="1:22" x14ac:dyDescent="0.2">
      <c r="A1812" s="11" t="s">
        <v>2293</v>
      </c>
      <c r="B1812" s="12" t="s">
        <v>33</v>
      </c>
      <c r="C1812" s="12" t="s">
        <v>44</v>
      </c>
      <c r="D1812" s="12" t="s">
        <v>130</v>
      </c>
      <c r="E1812" s="13" t="s">
        <v>131</v>
      </c>
      <c r="F1812" s="12" t="s">
        <v>2308</v>
      </c>
      <c r="G1812" s="14">
        <v>13877.2</v>
      </c>
      <c r="H1812" s="12" t="s">
        <v>85</v>
      </c>
      <c r="I1812" s="12">
        <v>1</v>
      </c>
      <c r="J1812" s="12" t="s">
        <v>2308</v>
      </c>
      <c r="K1812" s="12" t="s">
        <v>2309</v>
      </c>
      <c r="L1812" s="12">
        <v>0</v>
      </c>
      <c r="M1812" s="15">
        <v>750000</v>
      </c>
      <c r="N1812" s="15">
        <v>0</v>
      </c>
      <c r="O1812" s="15">
        <f t="shared" si="140"/>
        <v>750000</v>
      </c>
      <c r="P1812" s="15">
        <f t="shared" si="141"/>
        <v>54.045484679906608</v>
      </c>
      <c r="Q1812" s="14">
        <v>25000</v>
      </c>
      <c r="R1812" s="12">
        <v>56</v>
      </c>
      <c r="S1812" s="12" t="s">
        <v>2310</v>
      </c>
      <c r="T1812" s="22">
        <f t="shared" si="142"/>
        <v>4</v>
      </c>
      <c r="U1812" s="22">
        <f t="shared" si="143"/>
        <v>2021</v>
      </c>
      <c r="V1812" s="22" t="str">
        <f t="shared" si="144"/>
        <v>REGIONES</v>
      </c>
    </row>
    <row r="1813" spans="1:22" x14ac:dyDescent="0.2">
      <c r="A1813" s="11" t="s">
        <v>2293</v>
      </c>
      <c r="B1813" s="12" t="s">
        <v>33</v>
      </c>
      <c r="C1813" s="12" t="s">
        <v>44</v>
      </c>
      <c r="D1813" s="12" t="s">
        <v>188</v>
      </c>
      <c r="E1813" s="13" t="s">
        <v>189</v>
      </c>
      <c r="F1813" s="12" t="s">
        <v>53</v>
      </c>
      <c r="G1813" s="14">
        <v>2187.8000000000002</v>
      </c>
      <c r="H1813" s="12" t="s">
        <v>190</v>
      </c>
      <c r="I1813" s="12">
        <v>0</v>
      </c>
      <c r="J1813" s="12" t="s">
        <v>53</v>
      </c>
      <c r="K1813" s="12" t="s">
        <v>23</v>
      </c>
      <c r="L1813" s="12">
        <v>3</v>
      </c>
      <c r="M1813" s="15">
        <v>55000</v>
      </c>
      <c r="N1813" s="15">
        <v>0</v>
      </c>
      <c r="O1813" s="15">
        <f t="shared" si="140"/>
        <v>55000</v>
      </c>
      <c r="P1813" s="15">
        <f t="shared" si="141"/>
        <v>25.139409452417951</v>
      </c>
      <c r="Q1813" s="14">
        <v>5000</v>
      </c>
      <c r="R1813" s="12">
        <v>44</v>
      </c>
      <c r="S1813" s="12" t="s">
        <v>2311</v>
      </c>
      <c r="T1813" s="22">
        <f t="shared" si="142"/>
        <v>4</v>
      </c>
      <c r="U1813" s="22">
        <f t="shared" si="143"/>
        <v>2021</v>
      </c>
      <c r="V1813" s="22" t="str">
        <f t="shared" si="144"/>
        <v>METROPOLITANA</v>
      </c>
    </row>
    <row r="1814" spans="1:22" x14ac:dyDescent="0.2">
      <c r="A1814" s="11" t="s">
        <v>2293</v>
      </c>
      <c r="B1814" s="12" t="s">
        <v>33</v>
      </c>
      <c r="C1814" s="12" t="s">
        <v>44</v>
      </c>
      <c r="D1814" s="12" t="s">
        <v>80</v>
      </c>
      <c r="E1814" s="13" t="s">
        <v>81</v>
      </c>
      <c r="F1814" s="12" t="s">
        <v>114</v>
      </c>
      <c r="G1814" s="14">
        <v>11297.2</v>
      </c>
      <c r="H1814" s="12" t="s">
        <v>85</v>
      </c>
      <c r="I1814" s="12">
        <v>1</v>
      </c>
      <c r="J1814" s="12" t="s">
        <v>114</v>
      </c>
      <c r="K1814" s="12" t="s">
        <v>75</v>
      </c>
      <c r="L1814" s="12">
        <v>0</v>
      </c>
      <c r="M1814" s="15">
        <v>380000</v>
      </c>
      <c r="N1814" s="15">
        <v>0</v>
      </c>
      <c r="O1814" s="15">
        <f t="shared" si="140"/>
        <v>380000</v>
      </c>
      <c r="P1814" s="15">
        <f t="shared" si="141"/>
        <v>33.636653330028679</v>
      </c>
      <c r="Q1814" s="14">
        <v>25000</v>
      </c>
      <c r="R1814" s="12">
        <v>45</v>
      </c>
      <c r="S1814" s="12" t="s">
        <v>2312</v>
      </c>
      <c r="T1814" s="22">
        <f t="shared" si="142"/>
        <v>4</v>
      </c>
      <c r="U1814" s="22">
        <f t="shared" si="143"/>
        <v>2021</v>
      </c>
      <c r="V1814" s="22" t="str">
        <f t="shared" si="144"/>
        <v>REGIONES</v>
      </c>
    </row>
    <row r="1815" spans="1:22" x14ac:dyDescent="0.2">
      <c r="A1815" s="11" t="s">
        <v>2293</v>
      </c>
      <c r="B1815" s="12" t="s">
        <v>33</v>
      </c>
      <c r="C1815" s="12" t="s">
        <v>44</v>
      </c>
      <c r="D1815" s="12" t="s">
        <v>27</v>
      </c>
      <c r="E1815" s="13" t="s">
        <v>28</v>
      </c>
      <c r="F1815" s="12" t="s">
        <v>173</v>
      </c>
      <c r="G1815" s="14">
        <v>18760</v>
      </c>
      <c r="H1815" s="12" t="s">
        <v>22</v>
      </c>
      <c r="I1815" s="12">
        <v>1</v>
      </c>
      <c r="J1815" s="12" t="s">
        <v>173</v>
      </c>
      <c r="K1815" s="12" t="s">
        <v>23</v>
      </c>
      <c r="L1815" s="12">
        <v>5</v>
      </c>
      <c r="M1815" s="15">
        <v>120000</v>
      </c>
      <c r="N1815" s="15">
        <v>0</v>
      </c>
      <c r="O1815" s="15">
        <f t="shared" si="140"/>
        <v>120000</v>
      </c>
      <c r="P1815" s="15">
        <f t="shared" si="141"/>
        <v>6.3965884861407245</v>
      </c>
      <c r="Q1815" s="14">
        <v>10000</v>
      </c>
      <c r="R1815" s="12">
        <v>100</v>
      </c>
      <c r="S1815" s="12" t="s">
        <v>2313</v>
      </c>
      <c r="T1815" s="22">
        <f t="shared" si="142"/>
        <v>4</v>
      </c>
      <c r="U1815" s="22">
        <f t="shared" si="143"/>
        <v>2021</v>
      </c>
      <c r="V1815" s="22" t="str">
        <f t="shared" si="144"/>
        <v>METROPOLITANA</v>
      </c>
    </row>
    <row r="1816" spans="1:22" x14ac:dyDescent="0.2">
      <c r="A1816" s="11" t="s">
        <v>2293</v>
      </c>
      <c r="B1816" s="12" t="s">
        <v>33</v>
      </c>
      <c r="C1816" s="12" t="s">
        <v>44</v>
      </c>
      <c r="D1816" s="12" t="s">
        <v>45</v>
      </c>
      <c r="E1816" s="13" t="s">
        <v>21</v>
      </c>
      <c r="F1816" s="12" t="s">
        <v>225</v>
      </c>
      <c r="G1816" s="14">
        <v>2966.7</v>
      </c>
      <c r="H1816" s="12" t="s">
        <v>22</v>
      </c>
      <c r="I1816" s="12">
        <v>0</v>
      </c>
      <c r="J1816" s="12" t="s">
        <v>225</v>
      </c>
      <c r="K1816" s="12" t="s">
        <v>23</v>
      </c>
      <c r="L1816" s="12">
        <v>3</v>
      </c>
      <c r="M1816" s="15">
        <v>55000</v>
      </c>
      <c r="N1816" s="15">
        <v>0</v>
      </c>
      <c r="O1816" s="15">
        <f t="shared" si="140"/>
        <v>55000</v>
      </c>
      <c r="P1816" s="15">
        <f t="shared" si="141"/>
        <v>18.539117538005193</v>
      </c>
      <c r="Q1816" s="14">
        <v>5000</v>
      </c>
      <c r="R1816" s="12">
        <v>59</v>
      </c>
      <c r="S1816" s="12" t="s">
        <v>2314</v>
      </c>
      <c r="T1816" s="22">
        <f t="shared" si="142"/>
        <v>4</v>
      </c>
      <c r="U1816" s="22">
        <f t="shared" si="143"/>
        <v>2021</v>
      </c>
      <c r="V1816" s="22" t="str">
        <f t="shared" si="144"/>
        <v>METROPOLITANA</v>
      </c>
    </row>
    <row r="1817" spans="1:22" x14ac:dyDescent="0.2">
      <c r="A1817" s="11" t="s">
        <v>2293</v>
      </c>
      <c r="B1817" s="12" t="s">
        <v>33</v>
      </c>
      <c r="C1817" s="12" t="s">
        <v>44</v>
      </c>
      <c r="D1817" s="12" t="s">
        <v>47</v>
      </c>
      <c r="E1817" s="13" t="s">
        <v>1576</v>
      </c>
      <c r="F1817" s="12" t="s">
        <v>134</v>
      </c>
      <c r="G1817" s="14">
        <v>2382.1999999999998</v>
      </c>
      <c r="H1817" s="12" t="s">
        <v>22</v>
      </c>
      <c r="I1817" s="12">
        <v>0</v>
      </c>
      <c r="J1817" s="12" t="s">
        <v>134</v>
      </c>
      <c r="K1817" s="12" t="s">
        <v>23</v>
      </c>
      <c r="L1817" s="12">
        <v>2</v>
      </c>
      <c r="M1817" s="15">
        <v>55000</v>
      </c>
      <c r="N1817" s="15">
        <v>0</v>
      </c>
      <c r="O1817" s="15">
        <f t="shared" si="140"/>
        <v>55000</v>
      </c>
      <c r="P1817" s="15">
        <f t="shared" si="141"/>
        <v>23.087901939383766</v>
      </c>
      <c r="Q1817" s="14">
        <v>5000</v>
      </c>
      <c r="R1817" s="12">
        <v>48</v>
      </c>
      <c r="S1817" s="12" t="s">
        <v>2315</v>
      </c>
      <c r="T1817" s="22">
        <f t="shared" si="142"/>
        <v>4</v>
      </c>
      <c r="U1817" s="22">
        <f t="shared" si="143"/>
        <v>2021</v>
      </c>
      <c r="V1817" s="22" t="str">
        <f t="shared" si="144"/>
        <v>METROPOLITANA</v>
      </c>
    </row>
    <row r="1818" spans="1:22" x14ac:dyDescent="0.2">
      <c r="A1818" s="11" t="s">
        <v>2293</v>
      </c>
      <c r="B1818" s="12" t="s">
        <v>33</v>
      </c>
      <c r="C1818" s="12" t="s">
        <v>44</v>
      </c>
      <c r="D1818" s="12" t="s">
        <v>35</v>
      </c>
      <c r="E1818" s="13" t="s">
        <v>49</v>
      </c>
      <c r="F1818" s="12" t="s">
        <v>46</v>
      </c>
      <c r="G1818" s="14">
        <v>4875.7999999999993</v>
      </c>
      <c r="H1818" s="12" t="s">
        <v>22</v>
      </c>
      <c r="I1818" s="12">
        <v>0</v>
      </c>
      <c r="J1818" s="12" t="s">
        <v>46</v>
      </c>
      <c r="K1818" s="12" t="s">
        <v>23</v>
      </c>
      <c r="L1818" s="12">
        <v>2</v>
      </c>
      <c r="M1818" s="15">
        <v>55000</v>
      </c>
      <c r="N1818" s="15">
        <v>0</v>
      </c>
      <c r="O1818" s="15">
        <f t="shared" si="140"/>
        <v>55000</v>
      </c>
      <c r="P1818" s="15">
        <f t="shared" si="141"/>
        <v>11.280200172279422</v>
      </c>
      <c r="Q1818" s="14">
        <v>5000</v>
      </c>
      <c r="R1818" s="12">
        <v>98</v>
      </c>
      <c r="S1818" s="12" t="s">
        <v>2316</v>
      </c>
      <c r="T1818" s="22">
        <f t="shared" si="142"/>
        <v>4</v>
      </c>
      <c r="U1818" s="22">
        <f t="shared" si="143"/>
        <v>2021</v>
      </c>
      <c r="V1818" s="22" t="str">
        <f t="shared" si="144"/>
        <v>METROPOLITANA</v>
      </c>
    </row>
    <row r="1819" spans="1:22" x14ac:dyDescent="0.2">
      <c r="A1819" s="23" t="s">
        <v>2317</v>
      </c>
      <c r="B1819" s="22" t="s">
        <v>18</v>
      </c>
      <c r="C1819" s="22" t="s">
        <v>270</v>
      </c>
      <c r="D1819" s="22" t="s">
        <v>20</v>
      </c>
      <c r="E1819" s="24" t="s">
        <v>21</v>
      </c>
      <c r="F1819" s="22" t="s">
        <v>120</v>
      </c>
      <c r="G1819" s="25">
        <v>6315.84</v>
      </c>
      <c r="H1819" s="22" t="s">
        <v>22</v>
      </c>
      <c r="I1819" s="22">
        <v>0</v>
      </c>
      <c r="J1819" s="22" t="s">
        <v>120</v>
      </c>
      <c r="K1819" s="22" t="s">
        <v>23</v>
      </c>
      <c r="L1819" s="22">
        <v>5</v>
      </c>
      <c r="M1819" s="26">
        <v>70000</v>
      </c>
      <c r="N1819" s="26">
        <v>0</v>
      </c>
      <c r="O1819" s="15">
        <f t="shared" si="140"/>
        <v>70000</v>
      </c>
      <c r="P1819" s="15">
        <f t="shared" si="141"/>
        <v>11.083244667375993</v>
      </c>
      <c r="Q1819" s="25">
        <v>10000</v>
      </c>
      <c r="R1819" s="22">
        <v>63</v>
      </c>
      <c r="S1819" s="22" t="s">
        <v>2318</v>
      </c>
      <c r="T1819" s="22">
        <f t="shared" si="142"/>
        <v>4</v>
      </c>
      <c r="U1819" s="22">
        <f t="shared" si="143"/>
        <v>2021</v>
      </c>
      <c r="V1819" s="22" t="str">
        <f t="shared" si="144"/>
        <v>METROPOLITANA</v>
      </c>
    </row>
    <row r="1820" spans="1:22" x14ac:dyDescent="0.2">
      <c r="A1820" s="23" t="s">
        <v>2317</v>
      </c>
      <c r="B1820" s="22" t="s">
        <v>18</v>
      </c>
      <c r="C1820" s="22" t="s">
        <v>160</v>
      </c>
      <c r="D1820" s="22" t="s">
        <v>2262</v>
      </c>
      <c r="E1820" s="24" t="s">
        <v>83</v>
      </c>
      <c r="F1820" s="22" t="s">
        <v>2319</v>
      </c>
      <c r="G1820" s="25">
        <v>18270.86</v>
      </c>
      <c r="H1820" s="22" t="s">
        <v>24</v>
      </c>
      <c r="I1820" s="22">
        <v>1</v>
      </c>
      <c r="J1820" s="22" t="s">
        <v>2319</v>
      </c>
      <c r="K1820" s="22" t="s">
        <v>86</v>
      </c>
      <c r="L1820" s="22">
        <v>0</v>
      </c>
      <c r="M1820" s="26">
        <v>340000</v>
      </c>
      <c r="N1820" s="26">
        <v>0</v>
      </c>
      <c r="O1820" s="15">
        <f t="shared" si="140"/>
        <v>340000</v>
      </c>
      <c r="P1820" s="15">
        <f t="shared" si="141"/>
        <v>18.608866796636828</v>
      </c>
      <c r="Q1820" s="25">
        <v>25000</v>
      </c>
      <c r="R1820" s="22">
        <v>73</v>
      </c>
      <c r="S1820" s="22" t="s">
        <v>2320</v>
      </c>
      <c r="T1820" s="22">
        <f t="shared" si="142"/>
        <v>4</v>
      </c>
      <c r="U1820" s="22">
        <f t="shared" si="143"/>
        <v>2021</v>
      </c>
      <c r="V1820" s="22" t="str">
        <f t="shared" si="144"/>
        <v>REGIONES</v>
      </c>
    </row>
    <row r="1821" spans="1:22" x14ac:dyDescent="0.2">
      <c r="A1821" s="23" t="s">
        <v>2317</v>
      </c>
      <c r="B1821" s="22" t="s">
        <v>18</v>
      </c>
      <c r="C1821" s="22" t="s">
        <v>324</v>
      </c>
      <c r="D1821" s="22" t="s">
        <v>30</v>
      </c>
      <c r="E1821" s="24" t="s">
        <v>31</v>
      </c>
      <c r="F1821" s="22" t="s">
        <v>325</v>
      </c>
      <c r="G1821" s="25">
        <v>7638.8299999999981</v>
      </c>
      <c r="H1821" s="22" t="s">
        <v>32</v>
      </c>
      <c r="I1821" s="22">
        <v>0</v>
      </c>
      <c r="J1821" s="22" t="s">
        <v>325</v>
      </c>
      <c r="K1821" s="22" t="s">
        <v>78</v>
      </c>
      <c r="L1821" s="22">
        <v>0</v>
      </c>
      <c r="M1821" s="26">
        <v>180000</v>
      </c>
      <c r="N1821" s="26">
        <v>0</v>
      </c>
      <c r="O1821" s="15">
        <f t="shared" si="140"/>
        <v>180000</v>
      </c>
      <c r="P1821" s="15">
        <f t="shared" si="141"/>
        <v>23.563818019251645</v>
      </c>
      <c r="Q1821" s="25">
        <v>25000</v>
      </c>
      <c r="R1821" s="22">
        <v>31</v>
      </c>
      <c r="S1821" s="22" t="s">
        <v>2321</v>
      </c>
      <c r="T1821" s="22">
        <f t="shared" si="142"/>
        <v>4</v>
      </c>
      <c r="U1821" s="22">
        <f t="shared" si="143"/>
        <v>2021</v>
      </c>
      <c r="V1821" s="22" t="str">
        <f t="shared" si="144"/>
        <v>REGIONES</v>
      </c>
    </row>
    <row r="1822" spans="1:22" x14ac:dyDescent="0.2">
      <c r="A1822" s="23" t="s">
        <v>2317</v>
      </c>
      <c r="B1822" s="22" t="s">
        <v>18</v>
      </c>
      <c r="C1822" s="22" t="s">
        <v>163</v>
      </c>
      <c r="D1822" s="22" t="s">
        <v>41</v>
      </c>
      <c r="E1822" s="24" t="s">
        <v>42</v>
      </c>
      <c r="F1822" s="22" t="s">
        <v>165</v>
      </c>
      <c r="G1822" s="25">
        <v>9822.0499999999993</v>
      </c>
      <c r="H1822" s="22" t="s">
        <v>43</v>
      </c>
      <c r="I1822" s="22">
        <v>0</v>
      </c>
      <c r="J1822" s="22" t="s">
        <v>165</v>
      </c>
      <c r="K1822" s="22" t="s">
        <v>23</v>
      </c>
      <c r="L1822" s="22">
        <v>4</v>
      </c>
      <c r="M1822" s="26">
        <v>108043</v>
      </c>
      <c r="N1822" s="26">
        <v>0</v>
      </c>
      <c r="O1822" s="15">
        <f t="shared" si="140"/>
        <v>108043</v>
      </c>
      <c r="P1822" s="15">
        <f t="shared" si="141"/>
        <v>11.000045815282961</v>
      </c>
      <c r="Q1822" s="25">
        <v>5000</v>
      </c>
      <c r="R1822" s="22">
        <v>100</v>
      </c>
      <c r="S1822" s="22" t="s">
        <v>2322</v>
      </c>
      <c r="T1822" s="22">
        <f t="shared" si="142"/>
        <v>4</v>
      </c>
      <c r="U1822" s="22">
        <f t="shared" si="143"/>
        <v>2021</v>
      </c>
      <c r="V1822" s="22" t="str">
        <f t="shared" si="144"/>
        <v>METROPOLITANA</v>
      </c>
    </row>
    <row r="1823" spans="1:22" x14ac:dyDescent="0.2">
      <c r="A1823" s="23" t="s">
        <v>2317</v>
      </c>
      <c r="B1823" s="22" t="s">
        <v>18</v>
      </c>
      <c r="C1823" s="22" t="s">
        <v>508</v>
      </c>
      <c r="D1823" s="22" t="s">
        <v>63</v>
      </c>
      <c r="E1823" s="24" t="s">
        <v>64</v>
      </c>
      <c r="F1823" s="22" t="s">
        <v>2323</v>
      </c>
      <c r="G1823" s="25">
        <v>11239.19</v>
      </c>
      <c r="H1823" s="22" t="s">
        <v>65</v>
      </c>
      <c r="I1823" s="22">
        <v>0</v>
      </c>
      <c r="J1823" s="22" t="s">
        <v>182</v>
      </c>
      <c r="K1823" s="22" t="s">
        <v>23</v>
      </c>
      <c r="L1823" s="22">
        <v>4</v>
      </c>
      <c r="M1823" s="26">
        <v>123631</v>
      </c>
      <c r="N1823" s="26">
        <v>0</v>
      </c>
      <c r="O1823" s="15">
        <f t="shared" si="140"/>
        <v>123631</v>
      </c>
      <c r="P1823" s="15">
        <f t="shared" si="141"/>
        <v>10.999991992305494</v>
      </c>
      <c r="Q1823" s="25">
        <v>5000</v>
      </c>
      <c r="R1823" s="22">
        <v>100</v>
      </c>
      <c r="S1823" s="22" t="s">
        <v>2324</v>
      </c>
      <c r="T1823" s="22">
        <f t="shared" si="142"/>
        <v>4</v>
      </c>
      <c r="U1823" s="22">
        <f t="shared" si="143"/>
        <v>2021</v>
      </c>
      <c r="V1823" s="22" t="str">
        <f t="shared" si="144"/>
        <v>METROPOLITANA</v>
      </c>
    </row>
    <row r="1824" spans="1:22" x14ac:dyDescent="0.2">
      <c r="A1824" s="23" t="s">
        <v>2317</v>
      </c>
      <c r="B1824" s="22" t="s">
        <v>33</v>
      </c>
      <c r="C1824" s="22" t="s">
        <v>50</v>
      </c>
      <c r="D1824" s="22" t="s">
        <v>38</v>
      </c>
      <c r="E1824" s="24" t="s">
        <v>42</v>
      </c>
      <c r="F1824" s="22" t="s">
        <v>26</v>
      </c>
      <c r="G1824" s="25">
        <v>12200</v>
      </c>
      <c r="H1824" s="22" t="s">
        <v>43</v>
      </c>
      <c r="I1824" s="22">
        <v>0</v>
      </c>
      <c r="J1824" s="22" t="s">
        <v>26</v>
      </c>
      <c r="K1824" s="22" t="s">
        <v>23</v>
      </c>
      <c r="L1824" s="22">
        <v>4</v>
      </c>
      <c r="M1824" s="26">
        <v>134200</v>
      </c>
      <c r="N1824" s="26">
        <v>0</v>
      </c>
      <c r="O1824" s="15">
        <f t="shared" si="140"/>
        <v>134200</v>
      </c>
      <c r="P1824" s="15">
        <f t="shared" si="141"/>
        <v>11</v>
      </c>
      <c r="Q1824" s="25">
        <v>5000</v>
      </c>
      <c r="R1824" s="22">
        <v>100</v>
      </c>
      <c r="S1824" s="22" t="s">
        <v>2325</v>
      </c>
      <c r="T1824" s="22">
        <f t="shared" si="142"/>
        <v>4</v>
      </c>
      <c r="U1824" s="22">
        <f t="shared" si="143"/>
        <v>2021</v>
      </c>
      <c r="V1824" s="22" t="str">
        <f t="shared" si="144"/>
        <v>METROPOLITANA</v>
      </c>
    </row>
    <row r="1825" spans="1:22" x14ac:dyDescent="0.2">
      <c r="A1825" s="23" t="s">
        <v>2317</v>
      </c>
      <c r="B1825" s="22" t="s">
        <v>33</v>
      </c>
      <c r="C1825" s="22" t="s">
        <v>36</v>
      </c>
      <c r="D1825" s="22" t="s">
        <v>56</v>
      </c>
      <c r="E1825" s="24" t="s">
        <v>28</v>
      </c>
      <c r="F1825" s="22" t="s">
        <v>230</v>
      </c>
      <c r="G1825" s="25">
        <v>2900.6</v>
      </c>
      <c r="H1825" s="22" t="s">
        <v>22</v>
      </c>
      <c r="I1825" s="22">
        <v>0</v>
      </c>
      <c r="J1825" s="22" t="s">
        <v>230</v>
      </c>
      <c r="K1825" s="22" t="s">
        <v>23</v>
      </c>
      <c r="L1825" s="22">
        <v>4</v>
      </c>
      <c r="M1825" s="26">
        <v>55000</v>
      </c>
      <c r="N1825" s="26">
        <v>0</v>
      </c>
      <c r="O1825" s="15">
        <f t="shared" si="140"/>
        <v>55000</v>
      </c>
      <c r="P1825" s="15">
        <f t="shared" si="141"/>
        <v>18.961594152933877</v>
      </c>
      <c r="Q1825" s="25">
        <v>5000</v>
      </c>
      <c r="R1825" s="22">
        <v>58</v>
      </c>
      <c r="S1825" s="22" t="s">
        <v>2326</v>
      </c>
      <c r="T1825" s="22">
        <f t="shared" si="142"/>
        <v>4</v>
      </c>
      <c r="U1825" s="22">
        <f t="shared" si="143"/>
        <v>2021</v>
      </c>
      <c r="V1825" s="22" t="str">
        <f t="shared" si="144"/>
        <v>METROPOLITANA</v>
      </c>
    </row>
    <row r="1826" spans="1:22" x14ac:dyDescent="0.2">
      <c r="A1826" s="23" t="s">
        <v>2317</v>
      </c>
      <c r="B1826" s="22" t="s">
        <v>33</v>
      </c>
      <c r="C1826" s="22" t="s">
        <v>36</v>
      </c>
      <c r="D1826" s="22" t="s">
        <v>188</v>
      </c>
      <c r="E1826" s="24" t="s">
        <v>189</v>
      </c>
      <c r="F1826" s="22" t="s">
        <v>376</v>
      </c>
      <c r="G1826" s="25">
        <v>2351</v>
      </c>
      <c r="H1826" s="22" t="s">
        <v>190</v>
      </c>
      <c r="I1826" s="22">
        <v>0</v>
      </c>
      <c r="J1826" s="22" t="s">
        <v>377</v>
      </c>
      <c r="K1826" s="22" t="s">
        <v>23</v>
      </c>
      <c r="L1826" s="22">
        <v>4</v>
      </c>
      <c r="M1826" s="26">
        <v>55000</v>
      </c>
      <c r="N1826" s="26">
        <v>0</v>
      </c>
      <c r="O1826" s="15">
        <f t="shared" si="140"/>
        <v>55000</v>
      </c>
      <c r="P1826" s="15">
        <f t="shared" si="141"/>
        <v>23.394300297745641</v>
      </c>
      <c r="Q1826" s="25">
        <v>5000</v>
      </c>
      <c r="R1826" s="22">
        <v>47</v>
      </c>
      <c r="S1826" s="22" t="s">
        <v>2327</v>
      </c>
      <c r="T1826" s="22">
        <f t="shared" si="142"/>
        <v>4</v>
      </c>
      <c r="U1826" s="22">
        <f t="shared" si="143"/>
        <v>2021</v>
      </c>
      <c r="V1826" s="22" t="str">
        <f t="shared" si="144"/>
        <v>METROPOLITANA</v>
      </c>
    </row>
    <row r="1827" spans="1:22" x14ac:dyDescent="0.2">
      <c r="A1827" s="23" t="s">
        <v>2317</v>
      </c>
      <c r="B1827" s="22" t="s">
        <v>33</v>
      </c>
      <c r="C1827" s="22" t="s">
        <v>36</v>
      </c>
      <c r="D1827" s="22" t="s">
        <v>20</v>
      </c>
      <c r="E1827" s="24" t="s">
        <v>21</v>
      </c>
      <c r="F1827" s="22" t="s">
        <v>67</v>
      </c>
      <c r="G1827" s="25">
        <v>3275.2000000000012</v>
      </c>
      <c r="H1827" s="22" t="s">
        <v>22</v>
      </c>
      <c r="I1827" s="22">
        <v>0</v>
      </c>
      <c r="J1827" s="22" t="s">
        <v>67</v>
      </c>
      <c r="K1827" s="22" t="s">
        <v>23</v>
      </c>
      <c r="L1827" s="22">
        <v>2</v>
      </c>
      <c r="M1827" s="26">
        <v>55000</v>
      </c>
      <c r="N1827" s="26">
        <v>0</v>
      </c>
      <c r="O1827" s="15">
        <f t="shared" si="140"/>
        <v>55000</v>
      </c>
      <c r="P1827" s="15">
        <f t="shared" si="141"/>
        <v>16.792867611138245</v>
      </c>
      <c r="Q1827" s="25">
        <v>5000</v>
      </c>
      <c r="R1827" s="22">
        <v>66</v>
      </c>
      <c r="S1827" s="22" t="s">
        <v>2328</v>
      </c>
      <c r="T1827" s="22">
        <f t="shared" si="142"/>
        <v>4</v>
      </c>
      <c r="U1827" s="22">
        <f t="shared" si="143"/>
        <v>2021</v>
      </c>
      <c r="V1827" s="22" t="str">
        <f t="shared" si="144"/>
        <v>METROPOLITANA</v>
      </c>
    </row>
    <row r="1828" spans="1:22" x14ac:dyDescent="0.2">
      <c r="A1828" s="23" t="s">
        <v>2317</v>
      </c>
      <c r="B1828" s="22" t="s">
        <v>33</v>
      </c>
      <c r="C1828" s="22" t="s">
        <v>1066</v>
      </c>
      <c r="D1828" s="22" t="s">
        <v>164</v>
      </c>
      <c r="E1828" s="24" t="s">
        <v>28</v>
      </c>
      <c r="F1828" s="22" t="s">
        <v>173</v>
      </c>
      <c r="G1828" s="25">
        <v>13110.9</v>
      </c>
      <c r="H1828" s="22" t="s">
        <v>22</v>
      </c>
      <c r="I1828" s="22">
        <v>1</v>
      </c>
      <c r="J1828" s="22" t="s">
        <v>173</v>
      </c>
      <c r="K1828" s="22" t="s">
        <v>23</v>
      </c>
      <c r="L1828" s="22">
        <v>5</v>
      </c>
      <c r="M1828" s="26">
        <v>120000</v>
      </c>
      <c r="N1828" s="26">
        <v>0</v>
      </c>
      <c r="O1828" s="15">
        <f t="shared" si="140"/>
        <v>120000</v>
      </c>
      <c r="P1828" s="15">
        <f t="shared" si="141"/>
        <v>9.1526897466993109</v>
      </c>
      <c r="Q1828" s="25">
        <v>10000</v>
      </c>
      <c r="R1828" s="22">
        <v>100</v>
      </c>
      <c r="S1828" s="22" t="s">
        <v>2329</v>
      </c>
      <c r="T1828" s="22">
        <f t="shared" si="142"/>
        <v>4</v>
      </c>
      <c r="U1828" s="22">
        <f t="shared" si="143"/>
        <v>2021</v>
      </c>
      <c r="V1828" s="22" t="str">
        <f t="shared" si="144"/>
        <v>METROPOLITANA</v>
      </c>
    </row>
    <row r="1829" spans="1:22" x14ac:dyDescent="0.2">
      <c r="A1829" s="23" t="s">
        <v>2317</v>
      </c>
      <c r="B1829" s="22" t="s">
        <v>33</v>
      </c>
      <c r="C1829" s="22" t="s">
        <v>29</v>
      </c>
      <c r="D1829" s="22" t="s">
        <v>38</v>
      </c>
      <c r="E1829" s="24" t="s">
        <v>2330</v>
      </c>
      <c r="F1829" s="22" t="s">
        <v>134</v>
      </c>
      <c r="G1829" s="25">
        <f>6753.6+824</f>
        <v>7577.6</v>
      </c>
      <c r="H1829" s="22" t="s">
        <v>43</v>
      </c>
      <c r="I1829" s="22">
        <v>0</v>
      </c>
      <c r="J1829" s="22" t="s">
        <v>134</v>
      </c>
      <c r="K1829" s="22" t="s">
        <v>23</v>
      </c>
      <c r="L1829" s="22">
        <v>2</v>
      </c>
      <c r="M1829" s="26">
        <v>74290</v>
      </c>
      <c r="N1829" s="26">
        <v>0</v>
      </c>
      <c r="O1829" s="15">
        <f t="shared" si="140"/>
        <v>74290</v>
      </c>
      <c r="P1829" s="15">
        <f t="shared" si="141"/>
        <v>9.8038956925675667</v>
      </c>
      <c r="Q1829" s="25">
        <v>5000</v>
      </c>
      <c r="R1829" s="22">
        <v>100</v>
      </c>
      <c r="S1829" s="22" t="s">
        <v>2331</v>
      </c>
      <c r="T1829" s="22">
        <f t="shared" si="142"/>
        <v>4</v>
      </c>
      <c r="U1829" s="22">
        <f t="shared" si="143"/>
        <v>2021</v>
      </c>
      <c r="V1829" s="22" t="str">
        <f t="shared" si="144"/>
        <v>METROPOLITANA</v>
      </c>
    </row>
    <row r="1830" spans="1:22" x14ac:dyDescent="0.2">
      <c r="A1830" s="23" t="s">
        <v>2317</v>
      </c>
      <c r="B1830" s="22" t="s">
        <v>33</v>
      </c>
      <c r="C1830" s="22" t="s">
        <v>29</v>
      </c>
      <c r="D1830" s="22" t="s">
        <v>37</v>
      </c>
      <c r="E1830" s="24" t="s">
        <v>40</v>
      </c>
      <c r="F1830" s="22" t="s">
        <v>129</v>
      </c>
      <c r="G1830" s="25">
        <v>14081.4</v>
      </c>
      <c r="H1830" s="22" t="s">
        <v>22</v>
      </c>
      <c r="I1830" s="22">
        <v>0</v>
      </c>
      <c r="J1830" s="22" t="s">
        <v>129</v>
      </c>
      <c r="K1830" s="22" t="s">
        <v>23</v>
      </c>
      <c r="L1830" s="22">
        <v>1</v>
      </c>
      <c r="M1830" s="26">
        <v>154895</v>
      </c>
      <c r="N1830" s="26">
        <v>0</v>
      </c>
      <c r="O1830" s="15">
        <f t="shared" si="140"/>
        <v>154895</v>
      </c>
      <c r="P1830" s="15">
        <f t="shared" si="141"/>
        <v>10.999971593733578</v>
      </c>
      <c r="Q1830" s="25">
        <v>5000</v>
      </c>
      <c r="R1830" s="22">
        <v>100</v>
      </c>
      <c r="S1830" s="22" t="s">
        <v>2332</v>
      </c>
      <c r="T1830" s="22">
        <f t="shared" si="142"/>
        <v>4</v>
      </c>
      <c r="U1830" s="22">
        <f t="shared" si="143"/>
        <v>2021</v>
      </c>
      <c r="V1830" s="22" t="str">
        <f t="shared" si="144"/>
        <v>METROPOLITANA</v>
      </c>
    </row>
    <row r="1831" spans="1:22" x14ac:dyDescent="0.2">
      <c r="A1831" s="23" t="s">
        <v>2317</v>
      </c>
      <c r="B1831" s="22" t="s">
        <v>33</v>
      </c>
      <c r="C1831" s="22" t="s">
        <v>29</v>
      </c>
      <c r="D1831" s="22" t="s">
        <v>2028</v>
      </c>
      <c r="E1831" s="24" t="s">
        <v>126</v>
      </c>
      <c r="F1831" s="22" t="s">
        <v>170</v>
      </c>
      <c r="G1831" s="25">
        <v>15303.999999999991</v>
      </c>
      <c r="H1831" s="22" t="s">
        <v>22</v>
      </c>
      <c r="I1831" s="22">
        <v>1</v>
      </c>
      <c r="J1831" s="22" t="s">
        <v>170</v>
      </c>
      <c r="K1831" s="22" t="s">
        <v>171</v>
      </c>
      <c r="L1831" s="22">
        <v>0</v>
      </c>
      <c r="M1831" s="26">
        <v>230000</v>
      </c>
      <c r="N1831" s="26">
        <v>0</v>
      </c>
      <c r="O1831" s="15">
        <f t="shared" si="140"/>
        <v>230000</v>
      </c>
      <c r="P1831" s="15">
        <f t="shared" si="141"/>
        <v>15.02875065342395</v>
      </c>
      <c r="Q1831" s="25">
        <v>25000</v>
      </c>
      <c r="R1831" s="22">
        <v>61</v>
      </c>
      <c r="S1831" s="22" t="s">
        <v>2333</v>
      </c>
      <c r="T1831" s="22">
        <f t="shared" si="142"/>
        <v>4</v>
      </c>
      <c r="U1831" s="22">
        <f t="shared" si="143"/>
        <v>2021</v>
      </c>
      <c r="V1831" s="22" t="str">
        <f t="shared" si="144"/>
        <v>REGIONES</v>
      </c>
    </row>
    <row r="1832" spans="1:22" x14ac:dyDescent="0.2">
      <c r="A1832" s="23" t="s">
        <v>2317</v>
      </c>
      <c r="B1832" s="22" t="s">
        <v>33</v>
      </c>
      <c r="C1832" s="22" t="s">
        <v>29</v>
      </c>
      <c r="D1832" s="22" t="s">
        <v>41</v>
      </c>
      <c r="E1832" s="24" t="s">
        <v>25</v>
      </c>
      <c r="F1832" s="22" t="s">
        <v>134</v>
      </c>
      <c r="G1832" s="25">
        <v>7577.9999999999991</v>
      </c>
      <c r="H1832" s="22" t="s">
        <v>43</v>
      </c>
      <c r="I1832" s="22">
        <v>0</v>
      </c>
      <c r="J1832" s="22" t="s">
        <v>134</v>
      </c>
      <c r="K1832" s="22" t="s">
        <v>23</v>
      </c>
      <c r="L1832" s="22">
        <v>2</v>
      </c>
      <c r="M1832" s="26">
        <v>83358</v>
      </c>
      <c r="N1832" s="26">
        <v>0</v>
      </c>
      <c r="O1832" s="15">
        <f t="shared" si="140"/>
        <v>83358</v>
      </c>
      <c r="P1832" s="15">
        <f t="shared" si="141"/>
        <v>11.000000000000002</v>
      </c>
      <c r="Q1832" s="25">
        <v>5000</v>
      </c>
      <c r="R1832" s="22">
        <v>100</v>
      </c>
      <c r="S1832" s="22" t="s">
        <v>2334</v>
      </c>
      <c r="T1832" s="22">
        <f t="shared" si="142"/>
        <v>4</v>
      </c>
      <c r="U1832" s="22">
        <f t="shared" si="143"/>
        <v>2021</v>
      </c>
      <c r="V1832" s="22" t="str">
        <f t="shared" si="144"/>
        <v>METROPOLITANA</v>
      </c>
    </row>
    <row r="1833" spans="1:22" x14ac:dyDescent="0.2">
      <c r="A1833" s="23" t="s">
        <v>2317</v>
      </c>
      <c r="B1833" s="22" t="s">
        <v>33</v>
      </c>
      <c r="C1833" s="22" t="s">
        <v>44</v>
      </c>
      <c r="D1833" s="22" t="s">
        <v>1869</v>
      </c>
      <c r="E1833" s="24" t="s">
        <v>1870</v>
      </c>
      <c r="F1833" s="22" t="s">
        <v>114</v>
      </c>
      <c r="G1833" s="25">
        <v>13143.3</v>
      </c>
      <c r="H1833" s="22" t="s">
        <v>24</v>
      </c>
      <c r="I1833" s="22">
        <v>1</v>
      </c>
      <c r="J1833" s="22" t="s">
        <v>114</v>
      </c>
      <c r="K1833" s="22" t="s">
        <v>75</v>
      </c>
      <c r="L1833" s="22">
        <v>0</v>
      </c>
      <c r="M1833" s="26">
        <v>380000</v>
      </c>
      <c r="N1833" s="26">
        <v>0</v>
      </c>
      <c r="O1833" s="15">
        <f t="shared" si="140"/>
        <v>380000</v>
      </c>
      <c r="P1833" s="15">
        <f t="shared" si="141"/>
        <v>28.912069267231214</v>
      </c>
      <c r="Q1833" s="25">
        <v>25000</v>
      </c>
      <c r="R1833" s="22">
        <v>53</v>
      </c>
      <c r="S1833" s="22" t="s">
        <v>2335</v>
      </c>
      <c r="T1833" s="22">
        <f t="shared" si="142"/>
        <v>4</v>
      </c>
      <c r="U1833" s="22">
        <f t="shared" si="143"/>
        <v>2021</v>
      </c>
      <c r="V1833" s="22" t="str">
        <f t="shared" si="144"/>
        <v>REGIONES</v>
      </c>
    </row>
    <row r="1834" spans="1:22" x14ac:dyDescent="0.2">
      <c r="A1834" s="23" t="s">
        <v>2317</v>
      </c>
      <c r="B1834" s="22" t="s">
        <v>33</v>
      </c>
      <c r="C1834" s="22" t="s">
        <v>44</v>
      </c>
      <c r="D1834" s="22" t="s">
        <v>45</v>
      </c>
      <c r="E1834" s="24" t="s">
        <v>52</v>
      </c>
      <c r="F1834" s="22" t="s">
        <v>229</v>
      </c>
      <c r="G1834" s="25">
        <v>3151.8</v>
      </c>
      <c r="H1834" s="22" t="s">
        <v>22</v>
      </c>
      <c r="I1834" s="22">
        <v>0</v>
      </c>
      <c r="J1834" s="22" t="s">
        <v>230</v>
      </c>
      <c r="K1834" s="22" t="s">
        <v>23</v>
      </c>
      <c r="L1834" s="22">
        <v>4</v>
      </c>
      <c r="M1834" s="26">
        <v>55000</v>
      </c>
      <c r="N1834" s="26">
        <v>0</v>
      </c>
      <c r="O1834" s="15">
        <f t="shared" si="140"/>
        <v>55000</v>
      </c>
      <c r="P1834" s="15">
        <f t="shared" si="141"/>
        <v>17.45034583412653</v>
      </c>
      <c r="Q1834" s="25">
        <v>5000</v>
      </c>
      <c r="R1834" s="22">
        <v>63</v>
      </c>
      <c r="S1834" s="22" t="s">
        <v>2336</v>
      </c>
      <c r="T1834" s="22">
        <f t="shared" si="142"/>
        <v>4</v>
      </c>
      <c r="U1834" s="22">
        <f t="shared" si="143"/>
        <v>2021</v>
      </c>
      <c r="V1834" s="22" t="str">
        <f t="shared" si="144"/>
        <v>METROPOLITANA</v>
      </c>
    </row>
    <row r="1835" spans="1:22" x14ac:dyDescent="0.2">
      <c r="A1835" s="23" t="s">
        <v>2317</v>
      </c>
      <c r="B1835" s="22" t="s">
        <v>33</v>
      </c>
      <c r="C1835" s="22" t="s">
        <v>44</v>
      </c>
      <c r="D1835" s="22" t="s">
        <v>47</v>
      </c>
      <c r="E1835" s="24" t="s">
        <v>1576</v>
      </c>
      <c r="F1835" s="22" t="s">
        <v>48</v>
      </c>
      <c r="G1835" s="25">
        <v>6476.7</v>
      </c>
      <c r="H1835" s="22" t="s">
        <v>22</v>
      </c>
      <c r="I1835" s="22">
        <v>0</v>
      </c>
      <c r="J1835" s="22" t="s">
        <v>48</v>
      </c>
      <c r="K1835" s="22" t="s">
        <v>23</v>
      </c>
      <c r="L1835" s="22">
        <v>1</v>
      </c>
      <c r="M1835" s="26">
        <v>71244</v>
      </c>
      <c r="N1835" s="26">
        <v>0</v>
      </c>
      <c r="O1835" s="15">
        <f t="shared" si="140"/>
        <v>71244</v>
      </c>
      <c r="P1835" s="15">
        <f t="shared" si="141"/>
        <v>11.000046319885127</v>
      </c>
      <c r="Q1835" s="25">
        <v>5000</v>
      </c>
      <c r="R1835" s="22">
        <v>100</v>
      </c>
      <c r="S1835" s="22" t="s">
        <v>2337</v>
      </c>
      <c r="T1835" s="22">
        <f t="shared" si="142"/>
        <v>4</v>
      </c>
      <c r="U1835" s="22">
        <f t="shared" si="143"/>
        <v>2021</v>
      </c>
      <c r="V1835" s="22" t="str">
        <f t="shared" si="144"/>
        <v>METROPOLITANA</v>
      </c>
    </row>
    <row r="1836" spans="1:22" x14ac:dyDescent="0.2">
      <c r="A1836" s="23" t="s">
        <v>2317</v>
      </c>
      <c r="B1836" s="22" t="s">
        <v>33</v>
      </c>
      <c r="C1836" s="22" t="s">
        <v>44</v>
      </c>
      <c r="D1836" s="22" t="s">
        <v>35</v>
      </c>
      <c r="E1836" s="24" t="s">
        <v>49</v>
      </c>
      <c r="F1836" s="22" t="s">
        <v>26</v>
      </c>
      <c r="G1836" s="25">
        <v>2608.6999999999998</v>
      </c>
      <c r="H1836" s="22" t="s">
        <v>22</v>
      </c>
      <c r="I1836" s="22">
        <v>0</v>
      </c>
      <c r="J1836" s="22" t="s">
        <v>26</v>
      </c>
      <c r="K1836" s="22" t="s">
        <v>23</v>
      </c>
      <c r="L1836" s="22">
        <v>4</v>
      </c>
      <c r="M1836" s="26">
        <v>55000</v>
      </c>
      <c r="N1836" s="26">
        <v>0</v>
      </c>
      <c r="O1836" s="15">
        <f t="shared" si="140"/>
        <v>55000</v>
      </c>
      <c r="P1836" s="15">
        <f t="shared" si="141"/>
        <v>21.083298194503012</v>
      </c>
      <c r="Q1836" s="25">
        <v>5000</v>
      </c>
      <c r="R1836" s="22">
        <v>52</v>
      </c>
      <c r="S1836" s="22" t="s">
        <v>2338</v>
      </c>
      <c r="T1836" s="22">
        <f t="shared" si="142"/>
        <v>4</v>
      </c>
      <c r="U1836" s="22">
        <f t="shared" si="143"/>
        <v>2021</v>
      </c>
      <c r="V1836" s="22" t="str">
        <f t="shared" si="144"/>
        <v>METROPOLITANA</v>
      </c>
    </row>
    <row r="1837" spans="1:22" x14ac:dyDescent="0.2">
      <c r="A1837" s="11" t="s">
        <v>2339</v>
      </c>
      <c r="B1837" s="12" t="s">
        <v>18</v>
      </c>
      <c r="C1837" s="12" t="s">
        <v>57</v>
      </c>
      <c r="D1837" s="12" t="s">
        <v>164</v>
      </c>
      <c r="E1837" s="13" t="s">
        <v>28</v>
      </c>
      <c r="F1837" s="12" t="s">
        <v>120</v>
      </c>
      <c r="G1837" s="14">
        <v>15366.55</v>
      </c>
      <c r="H1837" s="12" t="s">
        <v>22</v>
      </c>
      <c r="I1837" s="12">
        <v>1</v>
      </c>
      <c r="J1837" s="12" t="s">
        <v>120</v>
      </c>
      <c r="K1837" s="12" t="s">
        <v>23</v>
      </c>
      <c r="L1837" s="12">
        <v>5</v>
      </c>
      <c r="M1837" s="15">
        <f>+G1837*11</f>
        <v>169032.05</v>
      </c>
      <c r="N1837" s="15">
        <v>0</v>
      </c>
      <c r="O1837" s="15">
        <f t="shared" si="140"/>
        <v>169032.05</v>
      </c>
      <c r="P1837" s="15">
        <f t="shared" si="141"/>
        <v>11</v>
      </c>
      <c r="Q1837" s="14">
        <v>10000</v>
      </c>
      <c r="R1837" s="12">
        <v>100</v>
      </c>
      <c r="S1837" s="12" t="s">
        <v>2340</v>
      </c>
      <c r="T1837" s="22">
        <f t="shared" si="142"/>
        <v>4</v>
      </c>
      <c r="U1837" s="22">
        <f t="shared" si="143"/>
        <v>2021</v>
      </c>
      <c r="V1837" s="22" t="str">
        <f t="shared" si="144"/>
        <v>METROPOLITANA</v>
      </c>
    </row>
    <row r="1838" spans="1:22" x14ac:dyDescent="0.2">
      <c r="A1838" s="11" t="s">
        <v>2339</v>
      </c>
      <c r="B1838" s="12" t="s">
        <v>33</v>
      </c>
      <c r="C1838" s="12" t="s">
        <v>163</v>
      </c>
      <c r="D1838" s="12" t="s">
        <v>37</v>
      </c>
      <c r="E1838" s="13" t="s">
        <v>40</v>
      </c>
      <c r="F1838" s="12" t="s">
        <v>165</v>
      </c>
      <c r="G1838" s="14">
        <v>10618</v>
      </c>
      <c r="H1838" s="12" t="s">
        <v>22</v>
      </c>
      <c r="I1838" s="12">
        <v>0</v>
      </c>
      <c r="J1838" s="12" t="s">
        <v>165</v>
      </c>
      <c r="K1838" s="12" t="s">
        <v>23</v>
      </c>
      <c r="L1838" s="12">
        <v>4</v>
      </c>
      <c r="M1838" s="15">
        <v>116798</v>
      </c>
      <c r="N1838" s="15">
        <v>0</v>
      </c>
      <c r="O1838" s="15">
        <f t="shared" si="140"/>
        <v>116798</v>
      </c>
      <c r="P1838" s="15">
        <f t="shared" si="141"/>
        <v>11</v>
      </c>
      <c r="Q1838" s="14">
        <v>5000</v>
      </c>
      <c r="R1838" s="12">
        <v>100</v>
      </c>
      <c r="S1838" s="12" t="s">
        <v>2341</v>
      </c>
      <c r="T1838" s="22">
        <f t="shared" si="142"/>
        <v>4</v>
      </c>
      <c r="U1838" s="22">
        <f t="shared" si="143"/>
        <v>2021</v>
      </c>
      <c r="V1838" s="22" t="str">
        <f t="shared" si="144"/>
        <v>METROPOLITANA</v>
      </c>
    </row>
    <row r="1839" spans="1:22" x14ac:dyDescent="0.2">
      <c r="A1839" s="11" t="s">
        <v>2339</v>
      </c>
      <c r="B1839" s="12" t="s">
        <v>33</v>
      </c>
      <c r="C1839" s="12" t="s">
        <v>193</v>
      </c>
      <c r="D1839" s="12" t="s">
        <v>30</v>
      </c>
      <c r="E1839" s="13" t="s">
        <v>31</v>
      </c>
      <c r="F1839" s="12" t="s">
        <v>194</v>
      </c>
      <c r="G1839" s="14">
        <v>1995</v>
      </c>
      <c r="H1839" s="12" t="s">
        <v>32</v>
      </c>
      <c r="I1839" s="12">
        <v>0</v>
      </c>
      <c r="J1839" s="12" t="s">
        <v>194</v>
      </c>
      <c r="K1839" s="12" t="s">
        <v>23</v>
      </c>
      <c r="L1839" s="12">
        <v>4</v>
      </c>
      <c r="M1839" s="15">
        <v>55000</v>
      </c>
      <c r="N1839" s="15">
        <v>0</v>
      </c>
      <c r="O1839" s="15">
        <f t="shared" si="140"/>
        <v>55000</v>
      </c>
      <c r="P1839" s="15">
        <f t="shared" si="141"/>
        <v>27.56892230576441</v>
      </c>
      <c r="Q1839" s="14">
        <v>5000</v>
      </c>
      <c r="R1839" s="12">
        <v>40</v>
      </c>
      <c r="S1839" s="12" t="s">
        <v>2342</v>
      </c>
      <c r="T1839" s="22">
        <f t="shared" si="142"/>
        <v>4</v>
      </c>
      <c r="U1839" s="22">
        <f t="shared" si="143"/>
        <v>2021</v>
      </c>
      <c r="V1839" s="22" t="str">
        <f t="shared" si="144"/>
        <v>METROPOLITANA</v>
      </c>
    </row>
    <row r="1840" spans="1:22" x14ac:dyDescent="0.2">
      <c r="A1840" s="11" t="s">
        <v>2339</v>
      </c>
      <c r="B1840" s="12" t="s">
        <v>33</v>
      </c>
      <c r="C1840" s="12" t="s">
        <v>29</v>
      </c>
      <c r="D1840" s="12" t="s">
        <v>37</v>
      </c>
      <c r="E1840" s="13" t="s">
        <v>40</v>
      </c>
      <c r="F1840" s="12" t="s">
        <v>134</v>
      </c>
      <c r="G1840" s="14">
        <v>11148.9</v>
      </c>
      <c r="H1840" s="12" t="s">
        <v>22</v>
      </c>
      <c r="I1840" s="12">
        <v>0</v>
      </c>
      <c r="J1840" s="12" t="s">
        <v>134</v>
      </c>
      <c r="K1840" s="12" t="s">
        <v>23</v>
      </c>
      <c r="L1840" s="12">
        <v>2</v>
      </c>
      <c r="M1840" s="15">
        <v>122638</v>
      </c>
      <c r="N1840" s="15">
        <v>0</v>
      </c>
      <c r="O1840" s="15">
        <f t="shared" si="140"/>
        <v>122638</v>
      </c>
      <c r="P1840" s="15">
        <f t="shared" si="141"/>
        <v>11.000008969494749</v>
      </c>
      <c r="Q1840" s="14">
        <v>5000</v>
      </c>
      <c r="R1840" s="12">
        <v>100</v>
      </c>
      <c r="S1840" s="12" t="s">
        <v>2343</v>
      </c>
      <c r="T1840" s="22">
        <f t="shared" si="142"/>
        <v>4</v>
      </c>
      <c r="U1840" s="22">
        <f t="shared" si="143"/>
        <v>2021</v>
      </c>
      <c r="V1840" s="22" t="str">
        <f t="shared" si="144"/>
        <v>METROPOLITANA</v>
      </c>
    </row>
    <row r="1841" spans="1:22" x14ac:dyDescent="0.2">
      <c r="A1841" s="11" t="s">
        <v>2339</v>
      </c>
      <c r="B1841" s="12" t="s">
        <v>33</v>
      </c>
      <c r="C1841" s="12" t="s">
        <v>29</v>
      </c>
      <c r="D1841" s="12" t="s">
        <v>786</v>
      </c>
      <c r="E1841" s="13" t="s">
        <v>787</v>
      </c>
      <c r="F1841" s="12" t="s">
        <v>173</v>
      </c>
      <c r="G1841" s="14">
        <v>19510.400000000001</v>
      </c>
      <c r="H1841" s="12" t="s">
        <v>788</v>
      </c>
      <c r="I1841" s="12">
        <v>1</v>
      </c>
      <c r="J1841" s="12" t="s">
        <v>173</v>
      </c>
      <c r="K1841" s="12" t="s">
        <v>23</v>
      </c>
      <c r="L1841" s="12">
        <v>5</v>
      </c>
      <c r="M1841" s="15">
        <f>+G1841*11</f>
        <v>214614.40000000002</v>
      </c>
      <c r="N1841" s="15">
        <v>0</v>
      </c>
      <c r="O1841" s="15">
        <f t="shared" si="140"/>
        <v>214614.40000000002</v>
      </c>
      <c r="P1841" s="15">
        <f t="shared" si="141"/>
        <v>11</v>
      </c>
      <c r="Q1841" s="14">
        <v>10000</v>
      </c>
      <c r="R1841" s="12">
        <v>100</v>
      </c>
      <c r="S1841" s="12" t="s">
        <v>2344</v>
      </c>
      <c r="T1841" s="22">
        <f t="shared" si="142"/>
        <v>4</v>
      </c>
      <c r="U1841" s="22">
        <f t="shared" si="143"/>
        <v>2021</v>
      </c>
      <c r="V1841" s="22" t="str">
        <f t="shared" si="144"/>
        <v>METROPOLITANA</v>
      </c>
    </row>
    <row r="1842" spans="1:22" x14ac:dyDescent="0.2">
      <c r="A1842" s="11" t="s">
        <v>2339</v>
      </c>
      <c r="B1842" s="12" t="s">
        <v>33</v>
      </c>
      <c r="C1842" s="12" t="s">
        <v>44</v>
      </c>
      <c r="D1842" s="12" t="s">
        <v>56</v>
      </c>
      <c r="E1842" s="13" t="s">
        <v>52</v>
      </c>
      <c r="F1842" s="12" t="s">
        <v>48</v>
      </c>
      <c r="G1842" s="14">
        <v>4599.9000000000005</v>
      </c>
      <c r="H1842" s="12" t="s">
        <v>22</v>
      </c>
      <c r="I1842" s="12">
        <v>0</v>
      </c>
      <c r="J1842" s="12" t="s">
        <v>48</v>
      </c>
      <c r="K1842" s="12" t="s">
        <v>23</v>
      </c>
      <c r="L1842" s="12">
        <v>1</v>
      </c>
      <c r="M1842" s="15">
        <v>55000</v>
      </c>
      <c r="N1842" s="15">
        <v>0</v>
      </c>
      <c r="O1842" s="15">
        <f t="shared" si="140"/>
        <v>55000</v>
      </c>
      <c r="P1842" s="15">
        <f t="shared" si="141"/>
        <v>11.95678166916672</v>
      </c>
      <c r="Q1842" s="14">
        <v>5000</v>
      </c>
      <c r="R1842" s="12">
        <v>92</v>
      </c>
      <c r="S1842" s="12" t="s">
        <v>2345</v>
      </c>
      <c r="T1842" s="22">
        <f t="shared" si="142"/>
        <v>4</v>
      </c>
      <c r="U1842" s="22">
        <f t="shared" si="143"/>
        <v>2021</v>
      </c>
      <c r="V1842" s="22" t="str">
        <f t="shared" si="144"/>
        <v>METROPOLITANA</v>
      </c>
    </row>
    <row r="1843" spans="1:22" x14ac:dyDescent="0.2">
      <c r="A1843" s="11" t="s">
        <v>2339</v>
      </c>
      <c r="B1843" s="12" t="s">
        <v>33</v>
      </c>
      <c r="C1843" s="12" t="s">
        <v>44</v>
      </c>
      <c r="D1843" s="12" t="s">
        <v>188</v>
      </c>
      <c r="E1843" s="13" t="s">
        <v>189</v>
      </c>
      <c r="F1843" s="12" t="s">
        <v>138</v>
      </c>
      <c r="G1843" s="14">
        <v>3788.4</v>
      </c>
      <c r="H1843" s="12" t="s">
        <v>190</v>
      </c>
      <c r="I1843" s="12">
        <v>0</v>
      </c>
      <c r="J1843" s="12" t="s">
        <v>138</v>
      </c>
      <c r="K1843" s="12" t="s">
        <v>23</v>
      </c>
      <c r="L1843" s="12">
        <v>3</v>
      </c>
      <c r="M1843" s="15">
        <v>55000</v>
      </c>
      <c r="N1843" s="15">
        <v>0</v>
      </c>
      <c r="O1843" s="15">
        <f t="shared" si="140"/>
        <v>55000</v>
      </c>
      <c r="P1843" s="15">
        <f t="shared" si="141"/>
        <v>14.518002322880371</v>
      </c>
      <c r="Q1843" s="14">
        <v>5000</v>
      </c>
      <c r="R1843" s="12">
        <v>76</v>
      </c>
      <c r="S1843" s="12" t="s">
        <v>2346</v>
      </c>
      <c r="T1843" s="22">
        <f t="shared" si="142"/>
        <v>4</v>
      </c>
      <c r="U1843" s="22">
        <f t="shared" si="143"/>
        <v>2021</v>
      </c>
      <c r="V1843" s="22" t="str">
        <f t="shared" si="144"/>
        <v>METROPOLITANA</v>
      </c>
    </row>
    <row r="1844" spans="1:22" x14ac:dyDescent="0.2">
      <c r="A1844" s="11" t="s">
        <v>2339</v>
      </c>
      <c r="B1844" s="12" t="s">
        <v>33</v>
      </c>
      <c r="C1844" s="12" t="s">
        <v>44</v>
      </c>
      <c r="D1844" s="12" t="s">
        <v>2347</v>
      </c>
      <c r="E1844" s="13" t="s">
        <v>49</v>
      </c>
      <c r="F1844" s="12" t="s">
        <v>34</v>
      </c>
      <c r="G1844" s="14">
        <v>1726.2</v>
      </c>
      <c r="H1844" s="12" t="s">
        <v>24</v>
      </c>
      <c r="I1844" s="12">
        <v>1</v>
      </c>
      <c r="J1844" s="12" t="s">
        <v>34</v>
      </c>
      <c r="K1844" s="12" t="s">
        <v>23</v>
      </c>
      <c r="L1844" s="12">
        <v>1</v>
      </c>
      <c r="M1844" s="15">
        <v>55000</v>
      </c>
      <c r="N1844" s="15">
        <v>0</v>
      </c>
      <c r="O1844" s="15">
        <f t="shared" si="140"/>
        <v>55000</v>
      </c>
      <c r="P1844" s="15">
        <f t="shared" si="141"/>
        <v>31.861893175761789</v>
      </c>
      <c r="Q1844" s="14">
        <v>5000</v>
      </c>
      <c r="R1844" s="12">
        <v>35</v>
      </c>
      <c r="S1844" s="12" t="s">
        <v>2348</v>
      </c>
      <c r="T1844" s="22">
        <f t="shared" si="142"/>
        <v>4</v>
      </c>
      <c r="U1844" s="22">
        <f t="shared" si="143"/>
        <v>2021</v>
      </c>
      <c r="V1844" s="22" t="str">
        <f t="shared" si="144"/>
        <v>METROPOLITANA</v>
      </c>
    </row>
    <row r="1845" spans="1:22" x14ac:dyDescent="0.2">
      <c r="A1845" s="11" t="s">
        <v>2339</v>
      </c>
      <c r="B1845" s="12" t="s">
        <v>33</v>
      </c>
      <c r="C1845" s="12" t="s">
        <v>44</v>
      </c>
      <c r="D1845" s="12" t="s">
        <v>45</v>
      </c>
      <c r="E1845" s="13" t="s">
        <v>49</v>
      </c>
      <c r="F1845" s="12" t="s">
        <v>34</v>
      </c>
      <c r="G1845" s="14">
        <v>1858.3</v>
      </c>
      <c r="H1845" s="12" t="s">
        <v>22</v>
      </c>
      <c r="I1845" s="12">
        <v>0</v>
      </c>
      <c r="J1845" s="12" t="s">
        <v>34</v>
      </c>
      <c r="K1845" s="12" t="s">
        <v>23</v>
      </c>
      <c r="L1845" s="12">
        <v>1</v>
      </c>
      <c r="M1845" s="15">
        <v>55000</v>
      </c>
      <c r="N1845" s="15">
        <v>0</v>
      </c>
      <c r="O1845" s="15">
        <f t="shared" si="140"/>
        <v>55000</v>
      </c>
      <c r="P1845" s="15">
        <f t="shared" si="141"/>
        <v>29.596943442931714</v>
      </c>
      <c r="Q1845" s="14">
        <v>5000</v>
      </c>
      <c r="R1845" s="12">
        <v>37</v>
      </c>
      <c r="S1845" s="12" t="s">
        <v>2349</v>
      </c>
      <c r="T1845" s="22">
        <f t="shared" si="142"/>
        <v>4</v>
      </c>
      <c r="U1845" s="22">
        <f t="shared" si="143"/>
        <v>2021</v>
      </c>
      <c r="V1845" s="22" t="str">
        <f t="shared" si="144"/>
        <v>METROPOLITANA</v>
      </c>
    </row>
    <row r="1846" spans="1:22" x14ac:dyDescent="0.2">
      <c r="A1846" s="11" t="s">
        <v>2339</v>
      </c>
      <c r="B1846" s="12" t="s">
        <v>33</v>
      </c>
      <c r="C1846" s="12" t="s">
        <v>44</v>
      </c>
      <c r="D1846" s="12" t="s">
        <v>47</v>
      </c>
      <c r="E1846" s="13" t="s">
        <v>1576</v>
      </c>
      <c r="F1846" s="12" t="s">
        <v>94</v>
      </c>
      <c r="G1846" s="14">
        <v>8337.3999999999978</v>
      </c>
      <c r="H1846" s="12" t="s">
        <v>22</v>
      </c>
      <c r="I1846" s="12">
        <v>0</v>
      </c>
      <c r="J1846" s="12" t="s">
        <v>59</v>
      </c>
      <c r="K1846" s="12" t="s">
        <v>78</v>
      </c>
      <c r="L1846" s="12">
        <v>0</v>
      </c>
      <c r="M1846" s="15">
        <v>180000</v>
      </c>
      <c r="N1846" s="15">
        <v>0</v>
      </c>
      <c r="O1846" s="15">
        <f t="shared" si="140"/>
        <v>180000</v>
      </c>
      <c r="P1846" s="15">
        <f t="shared" si="141"/>
        <v>21.589464341401403</v>
      </c>
      <c r="Q1846" s="14">
        <v>25000</v>
      </c>
      <c r="R1846" s="12">
        <v>33</v>
      </c>
      <c r="S1846" s="12" t="s">
        <v>2350</v>
      </c>
      <c r="T1846" s="22">
        <f t="shared" si="142"/>
        <v>4</v>
      </c>
      <c r="U1846" s="22">
        <f t="shared" si="143"/>
        <v>2021</v>
      </c>
      <c r="V1846" s="22" t="str">
        <f t="shared" si="144"/>
        <v>REGIONES</v>
      </c>
    </row>
    <row r="1847" spans="1:22" x14ac:dyDescent="0.2">
      <c r="A1847" s="11" t="s">
        <v>2339</v>
      </c>
      <c r="B1847" s="12" t="s">
        <v>33</v>
      </c>
      <c r="C1847" s="12" t="s">
        <v>44</v>
      </c>
      <c r="D1847" s="12" t="s">
        <v>125</v>
      </c>
      <c r="E1847" s="13" t="s">
        <v>126</v>
      </c>
      <c r="F1847" s="12" t="s">
        <v>114</v>
      </c>
      <c r="G1847" s="14">
        <v>15966</v>
      </c>
      <c r="H1847" s="12" t="s">
        <v>174</v>
      </c>
      <c r="I1847" s="12">
        <v>0</v>
      </c>
      <c r="J1847" s="12" t="s">
        <v>114</v>
      </c>
      <c r="K1847" s="12" t="s">
        <v>75</v>
      </c>
      <c r="L1847" s="12">
        <v>0</v>
      </c>
      <c r="M1847" s="15">
        <v>380000</v>
      </c>
      <c r="N1847" s="15">
        <v>0</v>
      </c>
      <c r="O1847" s="15">
        <f t="shared" si="140"/>
        <v>380000</v>
      </c>
      <c r="P1847" s="15">
        <f t="shared" si="141"/>
        <v>23.800576224477012</v>
      </c>
      <c r="Q1847" s="14">
        <v>25000</v>
      </c>
      <c r="R1847" s="12">
        <v>64</v>
      </c>
      <c r="S1847" s="12" t="s">
        <v>2351</v>
      </c>
      <c r="T1847" s="22">
        <f t="shared" si="142"/>
        <v>4</v>
      </c>
      <c r="U1847" s="22">
        <f t="shared" si="143"/>
        <v>2021</v>
      </c>
      <c r="V1847" s="22" t="str">
        <f t="shared" si="144"/>
        <v>REGIONES</v>
      </c>
    </row>
    <row r="1848" spans="1:22" x14ac:dyDescent="0.2">
      <c r="A1848" s="11" t="s">
        <v>2339</v>
      </c>
      <c r="B1848" s="12" t="s">
        <v>33</v>
      </c>
      <c r="C1848" s="12" t="s">
        <v>44</v>
      </c>
      <c r="D1848" s="12" t="s">
        <v>35</v>
      </c>
      <c r="E1848" s="13" t="s">
        <v>21</v>
      </c>
      <c r="F1848" s="12" t="s">
        <v>95</v>
      </c>
      <c r="G1848" s="14">
        <v>2909.3</v>
      </c>
      <c r="H1848" s="12" t="s">
        <v>22</v>
      </c>
      <c r="I1848" s="12">
        <v>0</v>
      </c>
      <c r="J1848" s="12" t="s">
        <v>95</v>
      </c>
      <c r="K1848" s="12" t="s">
        <v>23</v>
      </c>
      <c r="L1848" s="12">
        <v>4</v>
      </c>
      <c r="M1848" s="15">
        <v>55000</v>
      </c>
      <c r="N1848" s="15">
        <v>0</v>
      </c>
      <c r="O1848" s="15">
        <f t="shared" si="140"/>
        <v>55000</v>
      </c>
      <c r="P1848" s="15">
        <f t="shared" si="141"/>
        <v>18.904891210944211</v>
      </c>
      <c r="Q1848" s="14">
        <v>5000</v>
      </c>
      <c r="R1848" s="12">
        <v>58</v>
      </c>
      <c r="S1848" s="12" t="s">
        <v>2352</v>
      </c>
      <c r="T1848" s="22">
        <f t="shared" si="142"/>
        <v>4</v>
      </c>
      <c r="U1848" s="22">
        <f t="shared" si="143"/>
        <v>2021</v>
      </c>
      <c r="V1848" s="22" t="str">
        <f t="shared" si="144"/>
        <v>METROPOLITANA</v>
      </c>
    </row>
    <row r="1849" spans="1:22" x14ac:dyDescent="0.2">
      <c r="A1849" s="23" t="s">
        <v>2353</v>
      </c>
      <c r="B1849" s="22" t="s">
        <v>18</v>
      </c>
      <c r="C1849" s="22" t="s">
        <v>500</v>
      </c>
      <c r="D1849" s="22" t="s">
        <v>164</v>
      </c>
      <c r="E1849" s="24" t="s">
        <v>28</v>
      </c>
      <c r="F1849" s="22" t="s">
        <v>120</v>
      </c>
      <c r="G1849" s="25">
        <v>13725.920000000009</v>
      </c>
      <c r="H1849" s="22" t="s">
        <v>22</v>
      </c>
      <c r="I1849" s="22">
        <v>1</v>
      </c>
      <c r="J1849" s="22" t="s">
        <v>120</v>
      </c>
      <c r="K1849" s="22" t="s">
        <v>23</v>
      </c>
      <c r="L1849" s="22">
        <v>5</v>
      </c>
      <c r="M1849" s="26">
        <f>+G1849*11</f>
        <v>150985.12000000011</v>
      </c>
      <c r="N1849" s="26">
        <v>0</v>
      </c>
      <c r="O1849" s="15">
        <f t="shared" si="140"/>
        <v>150985.12000000011</v>
      </c>
      <c r="P1849" s="15">
        <f t="shared" si="141"/>
        <v>11</v>
      </c>
      <c r="Q1849" s="25">
        <v>10000</v>
      </c>
      <c r="R1849" s="22">
        <v>100</v>
      </c>
      <c r="S1849" s="22" t="s">
        <v>2354</v>
      </c>
      <c r="T1849" s="22">
        <f t="shared" si="142"/>
        <v>4</v>
      </c>
      <c r="U1849" s="22">
        <f t="shared" si="143"/>
        <v>2021</v>
      </c>
      <c r="V1849" s="22" t="str">
        <f t="shared" si="144"/>
        <v>METROPOLITANA</v>
      </c>
    </row>
    <row r="1850" spans="1:22" x14ac:dyDescent="0.2">
      <c r="A1850" s="23" t="s">
        <v>2353</v>
      </c>
      <c r="B1850" s="22" t="s">
        <v>18</v>
      </c>
      <c r="C1850" s="22" t="s">
        <v>193</v>
      </c>
      <c r="D1850" s="22" t="s">
        <v>37</v>
      </c>
      <c r="E1850" s="24" t="s">
        <v>40</v>
      </c>
      <c r="F1850" s="22" t="s">
        <v>194</v>
      </c>
      <c r="G1850" s="25">
        <v>9008.7200000000048</v>
      </c>
      <c r="H1850" s="22" t="s">
        <v>22</v>
      </c>
      <c r="I1850" s="22">
        <v>0</v>
      </c>
      <c r="J1850" s="22" t="s">
        <v>194</v>
      </c>
      <c r="K1850" s="22" t="s">
        <v>23</v>
      </c>
      <c r="L1850" s="22">
        <v>4</v>
      </c>
      <c r="M1850" s="26">
        <v>99096</v>
      </c>
      <c r="N1850" s="26">
        <v>0</v>
      </c>
      <c r="O1850" s="15">
        <f t="shared" si="140"/>
        <v>99096</v>
      </c>
      <c r="P1850" s="15">
        <f t="shared" si="141"/>
        <v>11.000008880284874</v>
      </c>
      <c r="Q1850" s="25">
        <v>5000</v>
      </c>
      <c r="R1850" s="22">
        <v>100</v>
      </c>
      <c r="S1850" s="22" t="s">
        <v>2355</v>
      </c>
      <c r="T1850" s="22">
        <f t="shared" si="142"/>
        <v>4</v>
      </c>
      <c r="U1850" s="22">
        <f t="shared" si="143"/>
        <v>2021</v>
      </c>
      <c r="V1850" s="22" t="str">
        <f t="shared" si="144"/>
        <v>METROPOLITANA</v>
      </c>
    </row>
    <row r="1851" spans="1:22" x14ac:dyDescent="0.2">
      <c r="A1851" s="23" t="s">
        <v>2353</v>
      </c>
      <c r="B1851" s="22" t="s">
        <v>33</v>
      </c>
      <c r="C1851" s="22" t="s">
        <v>50</v>
      </c>
      <c r="D1851" s="22" t="s">
        <v>41</v>
      </c>
      <c r="E1851" s="24" t="s">
        <v>25</v>
      </c>
      <c r="F1851" s="22" t="s">
        <v>26</v>
      </c>
      <c r="G1851" s="25">
        <v>2341.8000000000002</v>
      </c>
      <c r="H1851" s="22" t="s">
        <v>43</v>
      </c>
      <c r="I1851" s="22">
        <v>0</v>
      </c>
      <c r="J1851" s="22" t="s">
        <v>26</v>
      </c>
      <c r="K1851" s="22" t="s">
        <v>23</v>
      </c>
      <c r="L1851" s="22">
        <v>4</v>
      </c>
      <c r="M1851" s="26">
        <v>55000</v>
      </c>
      <c r="N1851" s="26">
        <v>0</v>
      </c>
      <c r="O1851" s="15">
        <f t="shared" si="140"/>
        <v>55000</v>
      </c>
      <c r="P1851" s="15">
        <f t="shared" si="141"/>
        <v>23.486207191049619</v>
      </c>
      <c r="Q1851" s="25">
        <v>5000</v>
      </c>
      <c r="R1851" s="22">
        <v>47</v>
      </c>
      <c r="S1851" s="22" t="s">
        <v>2356</v>
      </c>
      <c r="T1851" s="22">
        <f t="shared" si="142"/>
        <v>4</v>
      </c>
      <c r="U1851" s="22">
        <f t="shared" si="143"/>
        <v>2021</v>
      </c>
      <c r="V1851" s="22" t="str">
        <f t="shared" si="144"/>
        <v>METROPOLITANA</v>
      </c>
    </row>
    <row r="1852" spans="1:22" x14ac:dyDescent="0.2">
      <c r="A1852" s="23" t="s">
        <v>2353</v>
      </c>
      <c r="B1852" s="22" t="s">
        <v>33</v>
      </c>
      <c r="C1852" s="22" t="s">
        <v>223</v>
      </c>
      <c r="D1852" s="22" t="s">
        <v>38</v>
      </c>
      <c r="E1852" s="24" t="s">
        <v>42</v>
      </c>
      <c r="F1852" s="22" t="s">
        <v>39</v>
      </c>
      <c r="G1852" s="25">
        <v>9755.1999999999953</v>
      </c>
      <c r="H1852" s="22" t="s">
        <v>43</v>
      </c>
      <c r="I1852" s="22">
        <v>0</v>
      </c>
      <c r="J1852" s="22" t="s">
        <v>39</v>
      </c>
      <c r="K1852" s="22" t="s">
        <v>23</v>
      </c>
      <c r="L1852" s="22">
        <v>1</v>
      </c>
      <c r="M1852" s="26">
        <v>107307</v>
      </c>
      <c r="N1852" s="26">
        <v>0</v>
      </c>
      <c r="O1852" s="15">
        <f t="shared" si="140"/>
        <v>107307</v>
      </c>
      <c r="P1852" s="15">
        <f t="shared" si="141"/>
        <v>10.999979498113833</v>
      </c>
      <c r="Q1852" s="25">
        <v>5000</v>
      </c>
      <c r="R1852" s="22">
        <v>100</v>
      </c>
      <c r="S1852" s="22" t="s">
        <v>2357</v>
      </c>
      <c r="T1852" s="22">
        <f t="shared" si="142"/>
        <v>4</v>
      </c>
      <c r="U1852" s="22">
        <f t="shared" si="143"/>
        <v>2021</v>
      </c>
      <c r="V1852" s="22" t="str">
        <f t="shared" si="144"/>
        <v>METROPOLITANA</v>
      </c>
    </row>
    <row r="1853" spans="1:22" x14ac:dyDescent="0.2">
      <c r="A1853" s="23" t="s">
        <v>2353</v>
      </c>
      <c r="B1853" s="22" t="s">
        <v>33</v>
      </c>
      <c r="C1853" s="22" t="s">
        <v>223</v>
      </c>
      <c r="D1853" s="22" t="s">
        <v>63</v>
      </c>
      <c r="E1853" s="24" t="s">
        <v>64</v>
      </c>
      <c r="F1853" s="22" t="s">
        <v>39</v>
      </c>
      <c r="G1853" s="25">
        <v>9755.1999999999953</v>
      </c>
      <c r="H1853" s="22" t="s">
        <v>65</v>
      </c>
      <c r="I1853" s="22">
        <v>0</v>
      </c>
      <c r="J1853" s="22" t="s">
        <v>39</v>
      </c>
      <c r="K1853" s="22" t="s">
        <v>23</v>
      </c>
      <c r="L1853" s="22">
        <v>1</v>
      </c>
      <c r="M1853" s="26">
        <v>107307</v>
      </c>
      <c r="N1853" s="26">
        <v>0</v>
      </c>
      <c r="O1853" s="15">
        <f t="shared" si="140"/>
        <v>107307</v>
      </c>
      <c r="P1853" s="15">
        <f t="shared" si="141"/>
        <v>10.999979498113833</v>
      </c>
      <c r="Q1853" s="25">
        <v>5000</v>
      </c>
      <c r="R1853" s="22">
        <v>100</v>
      </c>
      <c r="S1853" s="22" t="s">
        <v>2358</v>
      </c>
      <c r="T1853" s="22">
        <f t="shared" si="142"/>
        <v>4</v>
      </c>
      <c r="U1853" s="22">
        <f t="shared" si="143"/>
        <v>2021</v>
      </c>
      <c r="V1853" s="22" t="str">
        <f t="shared" si="144"/>
        <v>METROPOLITANA</v>
      </c>
    </row>
    <row r="1854" spans="1:22" x14ac:dyDescent="0.2">
      <c r="A1854" s="23" t="s">
        <v>2353</v>
      </c>
      <c r="B1854" s="22" t="s">
        <v>33</v>
      </c>
      <c r="C1854" s="22" t="s">
        <v>29</v>
      </c>
      <c r="D1854" s="22" t="s">
        <v>191</v>
      </c>
      <c r="E1854" s="24" t="s">
        <v>192</v>
      </c>
      <c r="F1854" s="22" t="s">
        <v>132</v>
      </c>
      <c r="G1854" s="25">
        <v>16879.999999999989</v>
      </c>
      <c r="H1854" s="22" t="s">
        <v>85</v>
      </c>
      <c r="I1854" s="22">
        <v>1</v>
      </c>
      <c r="J1854" s="22" t="s">
        <v>132</v>
      </c>
      <c r="K1854" s="22" t="s">
        <v>124</v>
      </c>
      <c r="L1854" s="22">
        <v>0</v>
      </c>
      <c r="M1854" s="26">
        <v>350000</v>
      </c>
      <c r="N1854" s="26">
        <v>0</v>
      </c>
      <c r="O1854" s="15">
        <f t="shared" si="140"/>
        <v>350000</v>
      </c>
      <c r="P1854" s="15">
        <f t="shared" si="141"/>
        <v>20.734597156398117</v>
      </c>
      <c r="Q1854" s="25">
        <v>25000</v>
      </c>
      <c r="R1854" s="22">
        <v>68</v>
      </c>
      <c r="S1854" s="22" t="s">
        <v>2359</v>
      </c>
      <c r="T1854" s="22">
        <f t="shared" si="142"/>
        <v>4</v>
      </c>
      <c r="U1854" s="22">
        <f t="shared" si="143"/>
        <v>2021</v>
      </c>
      <c r="V1854" s="22" t="str">
        <f t="shared" si="144"/>
        <v>REGIONES</v>
      </c>
    </row>
    <row r="1855" spans="1:22" x14ac:dyDescent="0.2">
      <c r="A1855" s="23" t="s">
        <v>2353</v>
      </c>
      <c r="B1855" s="22" t="s">
        <v>33</v>
      </c>
      <c r="C1855" s="22" t="s">
        <v>29</v>
      </c>
      <c r="D1855" s="22" t="s">
        <v>636</v>
      </c>
      <c r="E1855" s="24" t="s">
        <v>639</v>
      </c>
      <c r="F1855" s="22" t="s">
        <v>132</v>
      </c>
      <c r="G1855" s="25">
        <v>15853.599999999989</v>
      </c>
      <c r="H1855" s="22" t="s">
        <v>85</v>
      </c>
      <c r="I1855" s="22">
        <v>1</v>
      </c>
      <c r="J1855" s="22" t="s">
        <v>132</v>
      </c>
      <c r="K1855" s="22" t="s">
        <v>124</v>
      </c>
      <c r="L1855" s="22">
        <v>0</v>
      </c>
      <c r="M1855" s="26">
        <v>350000</v>
      </c>
      <c r="N1855" s="26">
        <v>0</v>
      </c>
      <c r="O1855" s="15">
        <f t="shared" si="140"/>
        <v>350000</v>
      </c>
      <c r="P1855" s="15">
        <f t="shared" si="141"/>
        <v>22.077004592016969</v>
      </c>
      <c r="Q1855" s="25">
        <v>25000</v>
      </c>
      <c r="R1855" s="22">
        <v>63</v>
      </c>
      <c r="S1855" s="22" t="s">
        <v>2360</v>
      </c>
      <c r="T1855" s="22">
        <f t="shared" si="142"/>
        <v>4</v>
      </c>
      <c r="U1855" s="22">
        <f t="shared" si="143"/>
        <v>2021</v>
      </c>
      <c r="V1855" s="22" t="str">
        <f t="shared" si="144"/>
        <v>REGIONES</v>
      </c>
    </row>
    <row r="1856" spans="1:22" x14ac:dyDescent="0.2">
      <c r="A1856" s="23" t="s">
        <v>2353</v>
      </c>
      <c r="B1856" s="22" t="s">
        <v>33</v>
      </c>
      <c r="C1856" s="22" t="s">
        <v>29</v>
      </c>
      <c r="D1856" s="22" t="s">
        <v>786</v>
      </c>
      <c r="E1856" s="24" t="s">
        <v>787</v>
      </c>
      <c r="F1856" s="22" t="s">
        <v>170</v>
      </c>
      <c r="G1856" s="25">
        <v>18001.89999999998</v>
      </c>
      <c r="H1856" s="22" t="s">
        <v>788</v>
      </c>
      <c r="I1856" s="22">
        <v>1</v>
      </c>
      <c r="J1856" s="22" t="s">
        <v>170</v>
      </c>
      <c r="K1856" s="22" t="s">
        <v>171</v>
      </c>
      <c r="L1856" s="22">
        <v>0</v>
      </c>
      <c r="M1856" s="26">
        <v>230000</v>
      </c>
      <c r="N1856" s="26">
        <v>0</v>
      </c>
      <c r="O1856" s="15">
        <f t="shared" si="140"/>
        <v>230000</v>
      </c>
      <c r="P1856" s="15">
        <f t="shared" si="141"/>
        <v>12.776429154700352</v>
      </c>
      <c r="Q1856" s="25">
        <v>25000</v>
      </c>
      <c r="R1856" s="22">
        <v>72</v>
      </c>
      <c r="S1856" s="22" t="s">
        <v>2361</v>
      </c>
      <c r="T1856" s="22">
        <f t="shared" si="142"/>
        <v>4</v>
      </c>
      <c r="U1856" s="22">
        <f t="shared" si="143"/>
        <v>2021</v>
      </c>
      <c r="V1856" s="22" t="str">
        <f t="shared" si="144"/>
        <v>REGIONES</v>
      </c>
    </row>
    <row r="1857" spans="1:22" x14ac:dyDescent="0.2">
      <c r="A1857" s="23" t="s">
        <v>2353</v>
      </c>
      <c r="B1857" s="22" t="s">
        <v>33</v>
      </c>
      <c r="C1857" s="22" t="s">
        <v>29</v>
      </c>
      <c r="D1857" s="22" t="s">
        <v>30</v>
      </c>
      <c r="E1857" s="24" t="s">
        <v>31</v>
      </c>
      <c r="F1857" s="22" t="s">
        <v>134</v>
      </c>
      <c r="G1857" s="25">
        <v>6753.5999999999995</v>
      </c>
      <c r="H1857" s="22" t="s">
        <v>32</v>
      </c>
      <c r="I1857" s="22">
        <v>0</v>
      </c>
      <c r="J1857" s="22" t="s">
        <v>134</v>
      </c>
      <c r="K1857" s="22" t="s">
        <v>23</v>
      </c>
      <c r="L1857" s="22">
        <v>2</v>
      </c>
      <c r="M1857" s="26">
        <v>74290</v>
      </c>
      <c r="N1857" s="26">
        <v>0</v>
      </c>
      <c r="O1857" s="15">
        <f t="shared" si="140"/>
        <v>74290</v>
      </c>
      <c r="P1857" s="15">
        <f t="shared" si="141"/>
        <v>11.000059227671169</v>
      </c>
      <c r="Q1857" s="25">
        <v>5000</v>
      </c>
      <c r="R1857" s="22">
        <v>100</v>
      </c>
      <c r="S1857" s="22" t="s">
        <v>2362</v>
      </c>
      <c r="T1857" s="22">
        <f t="shared" si="142"/>
        <v>4</v>
      </c>
      <c r="U1857" s="22">
        <f t="shared" si="143"/>
        <v>2021</v>
      </c>
      <c r="V1857" s="22" t="str">
        <f t="shared" si="144"/>
        <v>METROPOLITANA</v>
      </c>
    </row>
    <row r="1858" spans="1:22" x14ac:dyDescent="0.2">
      <c r="A1858" s="23" t="s">
        <v>2353</v>
      </c>
      <c r="B1858" s="22" t="s">
        <v>33</v>
      </c>
      <c r="C1858" s="22" t="s">
        <v>29</v>
      </c>
      <c r="D1858" s="22" t="s">
        <v>45</v>
      </c>
      <c r="E1858" s="24" t="s">
        <v>21</v>
      </c>
      <c r="F1858" s="22" t="s">
        <v>134</v>
      </c>
      <c r="G1858" s="25">
        <v>6753.5999999999995</v>
      </c>
      <c r="H1858" s="22" t="s">
        <v>22</v>
      </c>
      <c r="I1858" s="22">
        <v>0</v>
      </c>
      <c r="J1858" s="22" t="s">
        <v>134</v>
      </c>
      <c r="K1858" s="22" t="s">
        <v>23</v>
      </c>
      <c r="L1858" s="22">
        <v>2</v>
      </c>
      <c r="M1858" s="26">
        <v>74290</v>
      </c>
      <c r="N1858" s="26">
        <v>0</v>
      </c>
      <c r="O1858" s="15">
        <f t="shared" ref="O1858:O1921" si="145">SUM(M1858:N1858)</f>
        <v>74290</v>
      </c>
      <c r="P1858" s="15">
        <f t="shared" ref="P1858:P1921" si="146">O1858/G1858</f>
        <v>11.000059227671169</v>
      </c>
      <c r="Q1858" s="25">
        <v>5000</v>
      </c>
      <c r="R1858" s="22">
        <v>100</v>
      </c>
      <c r="S1858" s="22" t="s">
        <v>2363</v>
      </c>
      <c r="T1858" s="22">
        <f t="shared" ref="T1858:T1921" si="147">MONTH(A1858)</f>
        <v>4</v>
      </c>
      <c r="U1858" s="22">
        <f t="shared" ref="U1858:U1921" si="148">YEAR(A1858)</f>
        <v>2021</v>
      </c>
      <c r="V1858" s="22" t="str">
        <f t="shared" ref="V1858:V1921" si="149">IF(K1858="METROPOLITANA DE SANTIAGO","METROPOLITANA","REGIONES")</f>
        <v>METROPOLITANA</v>
      </c>
    </row>
    <row r="1859" spans="1:22" x14ac:dyDescent="0.2">
      <c r="A1859" s="23" t="s">
        <v>2353</v>
      </c>
      <c r="B1859" s="22" t="s">
        <v>33</v>
      </c>
      <c r="C1859" s="22" t="s">
        <v>44</v>
      </c>
      <c r="D1859" s="22" t="s">
        <v>130</v>
      </c>
      <c r="E1859" s="24" t="s">
        <v>131</v>
      </c>
      <c r="F1859" s="22" t="s">
        <v>114</v>
      </c>
      <c r="G1859" s="25">
        <f>6744.7+3990+3785</f>
        <v>14519.7</v>
      </c>
      <c r="H1859" s="22" t="s">
        <v>85</v>
      </c>
      <c r="I1859" s="22">
        <v>1</v>
      </c>
      <c r="J1859" s="22" t="s">
        <v>114</v>
      </c>
      <c r="K1859" s="22" t="s">
        <v>75</v>
      </c>
      <c r="L1859" s="22">
        <v>0</v>
      </c>
      <c r="M1859" s="26">
        <v>380000</v>
      </c>
      <c r="N1859" s="26">
        <v>0</v>
      </c>
      <c r="O1859" s="15">
        <f t="shared" si="145"/>
        <v>380000</v>
      </c>
      <c r="P1859" s="15">
        <f t="shared" si="146"/>
        <v>26.171339628229234</v>
      </c>
      <c r="Q1859" s="25">
        <v>25000</v>
      </c>
      <c r="R1859" s="22">
        <v>27</v>
      </c>
      <c r="S1859" s="22" t="s">
        <v>2364</v>
      </c>
      <c r="T1859" s="22">
        <f t="shared" si="147"/>
        <v>4</v>
      </c>
      <c r="U1859" s="22">
        <f t="shared" si="148"/>
        <v>2021</v>
      </c>
      <c r="V1859" s="22" t="str">
        <f t="shared" si="149"/>
        <v>REGIONES</v>
      </c>
    </row>
    <row r="1860" spans="1:22" x14ac:dyDescent="0.2">
      <c r="A1860" s="23" t="s">
        <v>2353</v>
      </c>
      <c r="B1860" s="22" t="s">
        <v>33</v>
      </c>
      <c r="C1860" s="22" t="s">
        <v>44</v>
      </c>
      <c r="D1860" s="22" t="s">
        <v>38</v>
      </c>
      <c r="E1860" s="24" t="s">
        <v>42</v>
      </c>
      <c r="F1860" s="22" t="s">
        <v>53</v>
      </c>
      <c r="G1860" s="25">
        <v>6613.7999999999993</v>
      </c>
      <c r="H1860" s="22" t="s">
        <v>43</v>
      </c>
      <c r="I1860" s="22">
        <v>0</v>
      </c>
      <c r="J1860" s="22" t="s">
        <v>53</v>
      </c>
      <c r="K1860" s="22" t="s">
        <v>23</v>
      </c>
      <c r="L1860" s="22">
        <v>3</v>
      </c>
      <c r="M1860" s="26">
        <v>72752</v>
      </c>
      <c r="N1860" s="26">
        <v>0</v>
      </c>
      <c r="O1860" s="15">
        <f t="shared" si="145"/>
        <v>72752</v>
      </c>
      <c r="P1860" s="15">
        <f t="shared" si="146"/>
        <v>11.000030239801628</v>
      </c>
      <c r="Q1860" s="25">
        <v>5000</v>
      </c>
      <c r="R1860" s="22">
        <v>100</v>
      </c>
      <c r="S1860" s="22" t="s">
        <v>2365</v>
      </c>
      <c r="T1860" s="22">
        <f t="shared" si="147"/>
        <v>4</v>
      </c>
      <c r="U1860" s="22">
        <f t="shared" si="148"/>
        <v>2021</v>
      </c>
      <c r="V1860" s="22" t="str">
        <f t="shared" si="149"/>
        <v>METROPOLITANA</v>
      </c>
    </row>
    <row r="1861" spans="1:22" x14ac:dyDescent="0.2">
      <c r="A1861" s="23" t="s">
        <v>2353</v>
      </c>
      <c r="B1861" s="22" t="s">
        <v>33</v>
      </c>
      <c r="C1861" s="22" t="s">
        <v>44</v>
      </c>
      <c r="D1861" s="22" t="s">
        <v>45</v>
      </c>
      <c r="E1861" s="24" t="s">
        <v>52</v>
      </c>
      <c r="F1861" s="22" t="s">
        <v>51</v>
      </c>
      <c r="G1861" s="25">
        <v>3459.3</v>
      </c>
      <c r="H1861" s="22" t="s">
        <v>22</v>
      </c>
      <c r="I1861" s="22">
        <v>0</v>
      </c>
      <c r="J1861" s="22" t="s">
        <v>51</v>
      </c>
      <c r="K1861" s="22" t="s">
        <v>23</v>
      </c>
      <c r="L1861" s="22">
        <v>4</v>
      </c>
      <c r="M1861" s="26">
        <v>55000</v>
      </c>
      <c r="N1861" s="26">
        <v>0</v>
      </c>
      <c r="O1861" s="15">
        <f t="shared" si="145"/>
        <v>55000</v>
      </c>
      <c r="P1861" s="15">
        <f t="shared" si="146"/>
        <v>15.899170352383429</v>
      </c>
      <c r="Q1861" s="25">
        <v>5000</v>
      </c>
      <c r="R1861" s="22">
        <v>69</v>
      </c>
      <c r="S1861" s="22" t="s">
        <v>2366</v>
      </c>
      <c r="T1861" s="22">
        <f t="shared" si="147"/>
        <v>4</v>
      </c>
      <c r="U1861" s="22">
        <f t="shared" si="148"/>
        <v>2021</v>
      </c>
      <c r="V1861" s="22" t="str">
        <f t="shared" si="149"/>
        <v>METROPOLITANA</v>
      </c>
    </row>
    <row r="1862" spans="1:22" x14ac:dyDescent="0.2">
      <c r="A1862" s="23" t="s">
        <v>2353</v>
      </c>
      <c r="B1862" s="22" t="s">
        <v>33</v>
      </c>
      <c r="C1862" s="22" t="s">
        <v>44</v>
      </c>
      <c r="D1862" s="22" t="s">
        <v>47</v>
      </c>
      <c r="E1862" s="24" t="s">
        <v>1576</v>
      </c>
      <c r="F1862" s="22" t="s">
        <v>48</v>
      </c>
      <c r="G1862" s="25">
        <v>5486.1</v>
      </c>
      <c r="H1862" s="22" t="s">
        <v>22</v>
      </c>
      <c r="I1862" s="22">
        <v>0</v>
      </c>
      <c r="J1862" s="22" t="s">
        <v>48</v>
      </c>
      <c r="K1862" s="22" t="s">
        <v>23</v>
      </c>
      <c r="L1862" s="22">
        <v>1</v>
      </c>
      <c r="M1862" s="26">
        <v>60347</v>
      </c>
      <c r="N1862" s="26">
        <v>0</v>
      </c>
      <c r="O1862" s="15">
        <f t="shared" si="145"/>
        <v>60347</v>
      </c>
      <c r="P1862" s="15">
        <f t="shared" si="146"/>
        <v>10.99998177211498</v>
      </c>
      <c r="Q1862" s="25">
        <v>5000</v>
      </c>
      <c r="R1862" s="22">
        <v>100</v>
      </c>
      <c r="S1862" s="22" t="s">
        <v>2367</v>
      </c>
      <c r="T1862" s="22">
        <f t="shared" si="147"/>
        <v>4</v>
      </c>
      <c r="U1862" s="22">
        <f t="shared" si="148"/>
        <v>2021</v>
      </c>
      <c r="V1862" s="22" t="str">
        <f t="shared" si="149"/>
        <v>METROPOLITANA</v>
      </c>
    </row>
    <row r="1863" spans="1:22" x14ac:dyDescent="0.2">
      <c r="A1863" s="23" t="s">
        <v>2353</v>
      </c>
      <c r="B1863" s="22" t="s">
        <v>33</v>
      </c>
      <c r="C1863" s="22" t="s">
        <v>44</v>
      </c>
      <c r="D1863" s="22" t="s">
        <v>35</v>
      </c>
      <c r="E1863" s="24" t="s">
        <v>49</v>
      </c>
      <c r="F1863" s="22" t="s">
        <v>26</v>
      </c>
      <c r="G1863" s="25">
        <v>4125.8</v>
      </c>
      <c r="H1863" s="22" t="s">
        <v>22</v>
      </c>
      <c r="I1863" s="22">
        <v>0</v>
      </c>
      <c r="J1863" s="22" t="s">
        <v>26</v>
      </c>
      <c r="K1863" s="22" t="s">
        <v>23</v>
      </c>
      <c r="L1863" s="22">
        <v>4</v>
      </c>
      <c r="M1863" s="26">
        <v>55000</v>
      </c>
      <c r="N1863" s="26">
        <v>0</v>
      </c>
      <c r="O1863" s="15">
        <f t="shared" si="145"/>
        <v>55000</v>
      </c>
      <c r="P1863" s="15">
        <f t="shared" si="146"/>
        <v>13.330747976150079</v>
      </c>
      <c r="Q1863" s="25">
        <v>5000</v>
      </c>
      <c r="R1863" s="22">
        <v>83</v>
      </c>
      <c r="S1863" s="22" t="s">
        <v>2368</v>
      </c>
      <c r="T1863" s="22">
        <f t="shared" si="147"/>
        <v>4</v>
      </c>
      <c r="U1863" s="22">
        <f t="shared" si="148"/>
        <v>2021</v>
      </c>
      <c r="V1863" s="22" t="str">
        <f t="shared" si="149"/>
        <v>METROPOLITANA</v>
      </c>
    </row>
    <row r="1864" spans="1:22" x14ac:dyDescent="0.2">
      <c r="A1864" s="23" t="s">
        <v>2353</v>
      </c>
      <c r="B1864" s="22" t="s">
        <v>33</v>
      </c>
      <c r="C1864" s="22" t="s">
        <v>44</v>
      </c>
      <c r="D1864" s="22" t="s">
        <v>20</v>
      </c>
      <c r="E1864" s="24" t="s">
        <v>21</v>
      </c>
      <c r="F1864" s="22" t="s">
        <v>46</v>
      </c>
      <c r="G1864" s="25">
        <v>4182.3999999999996</v>
      </c>
      <c r="H1864" s="22" t="s">
        <v>22</v>
      </c>
      <c r="I1864" s="22">
        <v>0</v>
      </c>
      <c r="J1864" s="22" t="s">
        <v>46</v>
      </c>
      <c r="K1864" s="22" t="s">
        <v>23</v>
      </c>
      <c r="L1864" s="22">
        <v>2</v>
      </c>
      <c r="M1864" s="26">
        <v>55000</v>
      </c>
      <c r="N1864" s="26">
        <v>0</v>
      </c>
      <c r="O1864" s="15">
        <f t="shared" si="145"/>
        <v>55000</v>
      </c>
      <c r="P1864" s="15">
        <f t="shared" si="146"/>
        <v>13.150344299923489</v>
      </c>
      <c r="Q1864" s="25">
        <v>5000</v>
      </c>
      <c r="R1864" s="22">
        <v>84</v>
      </c>
      <c r="S1864" s="22" t="s">
        <v>2369</v>
      </c>
      <c r="T1864" s="22">
        <f t="shared" si="147"/>
        <v>4</v>
      </c>
      <c r="U1864" s="22">
        <f t="shared" si="148"/>
        <v>2021</v>
      </c>
      <c r="V1864" s="22" t="str">
        <f t="shared" si="149"/>
        <v>METROPOLITANA</v>
      </c>
    </row>
    <row r="1865" spans="1:22" x14ac:dyDescent="0.2">
      <c r="A1865" s="11" t="s">
        <v>2370</v>
      </c>
      <c r="B1865" s="12" t="s">
        <v>18</v>
      </c>
      <c r="C1865" s="12" t="s">
        <v>270</v>
      </c>
      <c r="D1865" s="12" t="s">
        <v>20</v>
      </c>
      <c r="E1865" s="13" t="s">
        <v>21</v>
      </c>
      <c r="F1865" s="12" t="s">
        <v>120</v>
      </c>
      <c r="G1865" s="14">
        <v>6140.4000000000005</v>
      </c>
      <c r="H1865" s="12" t="s">
        <v>22</v>
      </c>
      <c r="I1865" s="12">
        <v>0</v>
      </c>
      <c r="J1865" s="12" t="s">
        <v>120</v>
      </c>
      <c r="K1865" s="12" t="s">
        <v>23</v>
      </c>
      <c r="L1865" s="12">
        <v>5</v>
      </c>
      <c r="M1865" s="15">
        <f>+G1865*11</f>
        <v>67544.400000000009</v>
      </c>
      <c r="N1865" s="15">
        <v>0</v>
      </c>
      <c r="O1865" s="15">
        <f t="shared" si="145"/>
        <v>67544.400000000009</v>
      </c>
      <c r="P1865" s="15">
        <f t="shared" si="146"/>
        <v>11</v>
      </c>
      <c r="Q1865" s="14">
        <v>10000</v>
      </c>
      <c r="R1865" s="12">
        <v>61</v>
      </c>
      <c r="S1865" s="12" t="s">
        <v>2371</v>
      </c>
      <c r="T1865" s="22">
        <f t="shared" si="147"/>
        <v>4</v>
      </c>
      <c r="U1865" s="22">
        <f t="shared" si="148"/>
        <v>2021</v>
      </c>
      <c r="V1865" s="22" t="str">
        <f t="shared" si="149"/>
        <v>METROPOLITANA</v>
      </c>
    </row>
    <row r="1866" spans="1:22" x14ac:dyDescent="0.2">
      <c r="A1866" s="11" t="s">
        <v>2370</v>
      </c>
      <c r="B1866" s="12" t="s">
        <v>18</v>
      </c>
      <c r="C1866" s="12" t="s">
        <v>57</v>
      </c>
      <c r="D1866" s="12" t="s">
        <v>30</v>
      </c>
      <c r="E1866" s="13" t="s">
        <v>31</v>
      </c>
      <c r="F1866" s="12" t="s">
        <v>120</v>
      </c>
      <c r="G1866" s="14">
        <v>12614.17</v>
      </c>
      <c r="H1866" s="12" t="s">
        <v>32</v>
      </c>
      <c r="I1866" s="12">
        <v>0</v>
      </c>
      <c r="J1866" s="12" t="s">
        <v>120</v>
      </c>
      <c r="K1866" s="12" t="s">
        <v>23</v>
      </c>
      <c r="L1866" s="12">
        <v>5</v>
      </c>
      <c r="M1866" s="15">
        <f>+G1866*11</f>
        <v>138755.87</v>
      </c>
      <c r="N1866" s="15">
        <v>0</v>
      </c>
      <c r="O1866" s="15">
        <f t="shared" si="145"/>
        <v>138755.87</v>
      </c>
      <c r="P1866" s="15">
        <f t="shared" si="146"/>
        <v>11</v>
      </c>
      <c r="Q1866" s="14">
        <v>10000</v>
      </c>
      <c r="R1866" s="12">
        <v>100</v>
      </c>
      <c r="S1866" s="12" t="s">
        <v>2372</v>
      </c>
      <c r="T1866" s="22">
        <f t="shared" si="147"/>
        <v>4</v>
      </c>
      <c r="U1866" s="22">
        <f t="shared" si="148"/>
        <v>2021</v>
      </c>
      <c r="V1866" s="22" t="str">
        <f t="shared" si="149"/>
        <v>METROPOLITANA</v>
      </c>
    </row>
    <row r="1867" spans="1:22" x14ac:dyDescent="0.2">
      <c r="A1867" s="11" t="s">
        <v>2370</v>
      </c>
      <c r="B1867" s="12" t="s">
        <v>18</v>
      </c>
      <c r="C1867" s="12" t="s">
        <v>500</v>
      </c>
      <c r="D1867" s="12" t="s">
        <v>164</v>
      </c>
      <c r="E1867" s="13" t="s">
        <v>28</v>
      </c>
      <c r="F1867" s="12" t="s">
        <v>120</v>
      </c>
      <c r="G1867" s="14">
        <f>9391.89+987</f>
        <v>10378.89</v>
      </c>
      <c r="H1867" s="12" t="s">
        <v>22</v>
      </c>
      <c r="I1867" s="12">
        <v>1</v>
      </c>
      <c r="J1867" s="12" t="s">
        <v>120</v>
      </c>
      <c r="K1867" s="12" t="s">
        <v>23</v>
      </c>
      <c r="L1867" s="12">
        <v>5</v>
      </c>
      <c r="M1867" s="15">
        <f>+G1867*11</f>
        <v>114167.79</v>
      </c>
      <c r="N1867" s="15">
        <v>0</v>
      </c>
      <c r="O1867" s="15">
        <f t="shared" si="145"/>
        <v>114167.79</v>
      </c>
      <c r="P1867" s="15">
        <f t="shared" si="146"/>
        <v>11</v>
      </c>
      <c r="Q1867" s="14">
        <v>10000</v>
      </c>
      <c r="R1867" s="12">
        <v>94</v>
      </c>
      <c r="S1867" s="12" t="s">
        <v>2373</v>
      </c>
      <c r="T1867" s="22">
        <f t="shared" si="147"/>
        <v>4</v>
      </c>
      <c r="U1867" s="22">
        <f t="shared" si="148"/>
        <v>2021</v>
      </c>
      <c r="V1867" s="22" t="str">
        <f t="shared" si="149"/>
        <v>METROPOLITANA</v>
      </c>
    </row>
    <row r="1868" spans="1:22" x14ac:dyDescent="0.2">
      <c r="A1868" s="11" t="s">
        <v>2370</v>
      </c>
      <c r="B1868" s="12" t="s">
        <v>18</v>
      </c>
      <c r="C1868" s="12" t="s">
        <v>193</v>
      </c>
      <c r="D1868" s="12" t="s">
        <v>2199</v>
      </c>
      <c r="E1868" s="13" t="s">
        <v>25</v>
      </c>
      <c r="F1868" s="12" t="s">
        <v>194</v>
      </c>
      <c r="G1868" s="14">
        <v>7126</v>
      </c>
      <c r="H1868" s="12" t="s">
        <v>22</v>
      </c>
      <c r="I1868" s="12">
        <v>0</v>
      </c>
      <c r="J1868" s="12" t="s">
        <v>194</v>
      </c>
      <c r="K1868" s="12" t="s">
        <v>23</v>
      </c>
      <c r="L1868" s="12">
        <v>4</v>
      </c>
      <c r="M1868" s="15">
        <v>78386</v>
      </c>
      <c r="N1868" s="15">
        <v>0</v>
      </c>
      <c r="O1868" s="15">
        <f t="shared" si="145"/>
        <v>78386</v>
      </c>
      <c r="P1868" s="15">
        <f t="shared" si="146"/>
        <v>11</v>
      </c>
      <c r="Q1868" s="14">
        <v>5000</v>
      </c>
      <c r="R1868" s="12">
        <v>100</v>
      </c>
      <c r="S1868" s="12" t="s">
        <v>2374</v>
      </c>
      <c r="T1868" s="22">
        <f t="shared" si="147"/>
        <v>4</v>
      </c>
      <c r="U1868" s="22">
        <f t="shared" si="148"/>
        <v>2021</v>
      </c>
      <c r="V1868" s="22" t="str">
        <f t="shared" si="149"/>
        <v>METROPOLITANA</v>
      </c>
    </row>
    <row r="1869" spans="1:22" x14ac:dyDescent="0.2">
      <c r="A1869" s="11" t="s">
        <v>2370</v>
      </c>
      <c r="B1869" s="12" t="s">
        <v>33</v>
      </c>
      <c r="C1869" s="12" t="s">
        <v>1642</v>
      </c>
      <c r="D1869" s="12" t="s">
        <v>2375</v>
      </c>
      <c r="E1869" s="13" t="s">
        <v>2376</v>
      </c>
      <c r="F1869" s="12" t="s">
        <v>46</v>
      </c>
      <c r="G1869" s="14">
        <v>10001</v>
      </c>
      <c r="H1869" s="12" t="s">
        <v>24</v>
      </c>
      <c r="I1869" s="12">
        <v>1</v>
      </c>
      <c r="J1869" s="12" t="s">
        <v>46</v>
      </c>
      <c r="K1869" s="12" t="s">
        <v>23</v>
      </c>
      <c r="L1869" s="12">
        <v>2</v>
      </c>
      <c r="M1869" s="15">
        <v>110011</v>
      </c>
      <c r="N1869" s="15">
        <v>0</v>
      </c>
      <c r="O1869" s="15">
        <f t="shared" si="145"/>
        <v>110011</v>
      </c>
      <c r="P1869" s="15">
        <f t="shared" si="146"/>
        <v>11</v>
      </c>
      <c r="Q1869" s="14">
        <v>5000</v>
      </c>
      <c r="R1869" s="12">
        <v>100</v>
      </c>
      <c r="S1869" s="12" t="s">
        <v>2377</v>
      </c>
      <c r="T1869" s="22">
        <f t="shared" si="147"/>
        <v>4</v>
      </c>
      <c r="U1869" s="22">
        <f t="shared" si="148"/>
        <v>2021</v>
      </c>
      <c r="V1869" s="22" t="str">
        <f t="shared" si="149"/>
        <v>METROPOLITANA</v>
      </c>
    </row>
    <row r="1870" spans="1:22" x14ac:dyDescent="0.2">
      <c r="A1870" s="11" t="s">
        <v>2370</v>
      </c>
      <c r="B1870" s="12" t="s">
        <v>33</v>
      </c>
      <c r="C1870" s="12" t="s">
        <v>128</v>
      </c>
      <c r="D1870" s="12" t="s">
        <v>188</v>
      </c>
      <c r="E1870" s="13" t="s">
        <v>189</v>
      </c>
      <c r="F1870" s="12" t="s">
        <v>34</v>
      </c>
      <c r="G1870" s="14">
        <v>6701.7999999999993</v>
      </c>
      <c r="H1870" s="12" t="s">
        <v>190</v>
      </c>
      <c r="I1870" s="12">
        <v>0</v>
      </c>
      <c r="J1870" s="12" t="s">
        <v>34</v>
      </c>
      <c r="K1870" s="12" t="s">
        <v>23</v>
      </c>
      <c r="L1870" s="12">
        <v>1</v>
      </c>
      <c r="M1870" s="15">
        <v>73720</v>
      </c>
      <c r="N1870" s="15">
        <v>0</v>
      </c>
      <c r="O1870" s="15">
        <f t="shared" si="145"/>
        <v>73720</v>
      </c>
      <c r="P1870" s="15">
        <f t="shared" si="146"/>
        <v>11.00002984272882</v>
      </c>
      <c r="Q1870" s="14">
        <v>5000</v>
      </c>
      <c r="R1870" s="12">
        <v>100</v>
      </c>
      <c r="S1870" s="12" t="s">
        <v>2378</v>
      </c>
      <c r="T1870" s="22">
        <f t="shared" si="147"/>
        <v>4</v>
      </c>
      <c r="U1870" s="22">
        <f t="shared" si="148"/>
        <v>2021</v>
      </c>
      <c r="V1870" s="22" t="str">
        <f t="shared" si="149"/>
        <v>METROPOLITANA</v>
      </c>
    </row>
    <row r="1871" spans="1:22" x14ac:dyDescent="0.2">
      <c r="A1871" s="11" t="s">
        <v>2370</v>
      </c>
      <c r="B1871" s="12" t="s">
        <v>33</v>
      </c>
      <c r="C1871" s="12" t="s">
        <v>128</v>
      </c>
      <c r="D1871" s="12" t="s">
        <v>37</v>
      </c>
      <c r="E1871" s="13" t="s">
        <v>40</v>
      </c>
      <c r="F1871" s="12" t="s">
        <v>34</v>
      </c>
      <c r="G1871" s="14">
        <v>8553.7999999999993</v>
      </c>
      <c r="H1871" s="12" t="s">
        <v>22</v>
      </c>
      <c r="I1871" s="12">
        <v>0</v>
      </c>
      <c r="J1871" s="12" t="s">
        <v>34</v>
      </c>
      <c r="K1871" s="12" t="s">
        <v>23</v>
      </c>
      <c r="L1871" s="12">
        <v>1</v>
      </c>
      <c r="M1871" s="15">
        <v>94092</v>
      </c>
      <c r="N1871" s="15">
        <v>0</v>
      </c>
      <c r="O1871" s="15">
        <f t="shared" si="145"/>
        <v>94092</v>
      </c>
      <c r="P1871" s="15">
        <f t="shared" si="146"/>
        <v>11.000023381421125</v>
      </c>
      <c r="Q1871" s="14">
        <v>5000</v>
      </c>
      <c r="R1871" s="12">
        <v>100</v>
      </c>
      <c r="S1871" s="12" t="s">
        <v>2379</v>
      </c>
      <c r="T1871" s="22">
        <f t="shared" si="147"/>
        <v>4</v>
      </c>
      <c r="U1871" s="22">
        <f t="shared" si="148"/>
        <v>2021</v>
      </c>
      <c r="V1871" s="22" t="str">
        <f t="shared" si="149"/>
        <v>METROPOLITANA</v>
      </c>
    </row>
    <row r="1872" spans="1:22" x14ac:dyDescent="0.2">
      <c r="A1872" s="11" t="s">
        <v>2370</v>
      </c>
      <c r="B1872" s="12" t="s">
        <v>33</v>
      </c>
      <c r="C1872" s="12" t="s">
        <v>128</v>
      </c>
      <c r="D1872" s="12" t="s">
        <v>63</v>
      </c>
      <c r="E1872" s="13" t="s">
        <v>64</v>
      </c>
      <c r="F1872" s="12" t="s">
        <v>34</v>
      </c>
      <c r="G1872" s="14">
        <v>9034.9999999999982</v>
      </c>
      <c r="H1872" s="12" t="s">
        <v>65</v>
      </c>
      <c r="I1872" s="12">
        <v>0</v>
      </c>
      <c r="J1872" s="12" t="s">
        <v>34</v>
      </c>
      <c r="K1872" s="12" t="s">
        <v>23</v>
      </c>
      <c r="L1872" s="12">
        <v>1</v>
      </c>
      <c r="M1872" s="15">
        <v>99385</v>
      </c>
      <c r="N1872" s="15">
        <v>0</v>
      </c>
      <c r="O1872" s="15">
        <f t="shared" si="145"/>
        <v>99385</v>
      </c>
      <c r="P1872" s="15">
        <f t="shared" si="146"/>
        <v>11.000000000000002</v>
      </c>
      <c r="Q1872" s="14">
        <v>5000</v>
      </c>
      <c r="R1872" s="12">
        <v>100</v>
      </c>
      <c r="S1872" s="12" t="s">
        <v>2380</v>
      </c>
      <c r="T1872" s="22">
        <f t="shared" si="147"/>
        <v>4</v>
      </c>
      <c r="U1872" s="22">
        <f t="shared" si="148"/>
        <v>2021</v>
      </c>
      <c r="V1872" s="22" t="str">
        <f t="shared" si="149"/>
        <v>METROPOLITANA</v>
      </c>
    </row>
    <row r="1873" spans="1:22" x14ac:dyDescent="0.2">
      <c r="A1873" s="11" t="s">
        <v>2370</v>
      </c>
      <c r="B1873" s="12" t="s">
        <v>33</v>
      </c>
      <c r="C1873" s="12" t="s">
        <v>128</v>
      </c>
      <c r="D1873" s="12" t="s">
        <v>47</v>
      </c>
      <c r="E1873" s="13" t="s">
        <v>1576</v>
      </c>
      <c r="F1873" s="12" t="s">
        <v>34</v>
      </c>
      <c r="G1873" s="14">
        <v>6302.5999999999995</v>
      </c>
      <c r="H1873" s="12" t="s">
        <v>22</v>
      </c>
      <c r="I1873" s="12">
        <v>0</v>
      </c>
      <c r="J1873" s="12" t="s">
        <v>34</v>
      </c>
      <c r="K1873" s="12" t="s">
        <v>23</v>
      </c>
      <c r="L1873" s="12">
        <v>1</v>
      </c>
      <c r="M1873" s="15">
        <v>69329</v>
      </c>
      <c r="N1873" s="15">
        <v>0</v>
      </c>
      <c r="O1873" s="15">
        <f t="shared" si="145"/>
        <v>69329</v>
      </c>
      <c r="P1873" s="15">
        <f t="shared" si="146"/>
        <v>11.000063465871229</v>
      </c>
      <c r="Q1873" s="14">
        <v>5000</v>
      </c>
      <c r="R1873" s="12">
        <v>100</v>
      </c>
      <c r="S1873" s="12" t="s">
        <v>2381</v>
      </c>
      <c r="T1873" s="22">
        <f t="shared" si="147"/>
        <v>4</v>
      </c>
      <c r="U1873" s="22">
        <f t="shared" si="148"/>
        <v>2021</v>
      </c>
      <c r="V1873" s="22" t="str">
        <f t="shared" si="149"/>
        <v>METROPOLITANA</v>
      </c>
    </row>
    <row r="1874" spans="1:22" x14ac:dyDescent="0.2">
      <c r="A1874" s="11" t="s">
        <v>2370</v>
      </c>
      <c r="B1874" s="12" t="s">
        <v>33</v>
      </c>
      <c r="C1874" s="12" t="s">
        <v>29</v>
      </c>
      <c r="D1874" s="12" t="s">
        <v>35</v>
      </c>
      <c r="E1874" s="13" t="s">
        <v>49</v>
      </c>
      <c r="F1874" s="12" t="s">
        <v>134</v>
      </c>
      <c r="G1874" s="14">
        <v>6592.7999999999993</v>
      </c>
      <c r="H1874" s="12" t="s">
        <v>22</v>
      </c>
      <c r="I1874" s="12">
        <v>0</v>
      </c>
      <c r="J1874" s="12" t="s">
        <v>134</v>
      </c>
      <c r="K1874" s="12" t="s">
        <v>23</v>
      </c>
      <c r="L1874" s="12">
        <v>2</v>
      </c>
      <c r="M1874" s="15">
        <v>72521</v>
      </c>
      <c r="N1874" s="15">
        <v>0</v>
      </c>
      <c r="O1874" s="15">
        <f t="shared" si="145"/>
        <v>72521</v>
      </c>
      <c r="P1874" s="15">
        <f t="shared" si="146"/>
        <v>11.000030336124258</v>
      </c>
      <c r="Q1874" s="14">
        <v>5000</v>
      </c>
      <c r="R1874" s="12">
        <v>100</v>
      </c>
      <c r="S1874" s="12" t="s">
        <v>2382</v>
      </c>
      <c r="T1874" s="22">
        <f t="shared" si="147"/>
        <v>4</v>
      </c>
      <c r="U1874" s="22">
        <f t="shared" si="148"/>
        <v>2021</v>
      </c>
      <c r="V1874" s="22" t="str">
        <f t="shared" si="149"/>
        <v>METROPOLITANA</v>
      </c>
    </row>
    <row r="1875" spans="1:22" x14ac:dyDescent="0.2">
      <c r="A1875" s="11" t="s">
        <v>2370</v>
      </c>
      <c r="B1875" s="12" t="s">
        <v>33</v>
      </c>
      <c r="C1875" s="12" t="s">
        <v>44</v>
      </c>
      <c r="D1875" s="12" t="s">
        <v>56</v>
      </c>
      <c r="E1875" s="13" t="s">
        <v>52</v>
      </c>
      <c r="F1875" s="12" t="s">
        <v>95</v>
      </c>
      <c r="G1875" s="14">
        <v>2548.12</v>
      </c>
      <c r="H1875" s="12" t="s">
        <v>22</v>
      </c>
      <c r="I1875" s="12">
        <v>0</v>
      </c>
      <c r="J1875" s="12" t="s">
        <v>95</v>
      </c>
      <c r="K1875" s="12" t="s">
        <v>23</v>
      </c>
      <c r="L1875" s="12">
        <v>4</v>
      </c>
      <c r="M1875" s="15">
        <v>55000</v>
      </c>
      <c r="N1875" s="15">
        <v>0</v>
      </c>
      <c r="O1875" s="15">
        <f t="shared" si="145"/>
        <v>55000</v>
      </c>
      <c r="P1875" s="15">
        <f t="shared" si="146"/>
        <v>21.584540759461877</v>
      </c>
      <c r="Q1875" s="14">
        <v>5000</v>
      </c>
      <c r="R1875" s="12">
        <v>51</v>
      </c>
      <c r="S1875" s="12" t="s">
        <v>2383</v>
      </c>
      <c r="T1875" s="22">
        <f t="shared" si="147"/>
        <v>4</v>
      </c>
      <c r="U1875" s="22">
        <f t="shared" si="148"/>
        <v>2021</v>
      </c>
      <c r="V1875" s="22" t="str">
        <f t="shared" si="149"/>
        <v>METROPOLITANA</v>
      </c>
    </row>
    <row r="1876" spans="1:22" x14ac:dyDescent="0.2">
      <c r="A1876" s="11" t="s">
        <v>2370</v>
      </c>
      <c r="B1876" s="12" t="s">
        <v>33</v>
      </c>
      <c r="C1876" s="12" t="s">
        <v>44</v>
      </c>
      <c r="D1876" s="12" t="s">
        <v>1869</v>
      </c>
      <c r="E1876" s="13" t="s">
        <v>1870</v>
      </c>
      <c r="F1876" s="12" t="s">
        <v>114</v>
      </c>
      <c r="G1876" s="14">
        <v>7436</v>
      </c>
      <c r="H1876" s="12" t="s">
        <v>24</v>
      </c>
      <c r="I1876" s="12">
        <v>1</v>
      </c>
      <c r="J1876" s="12" t="s">
        <v>114</v>
      </c>
      <c r="K1876" s="12" t="s">
        <v>75</v>
      </c>
      <c r="L1876" s="12">
        <v>0</v>
      </c>
      <c r="M1876" s="15">
        <v>380000</v>
      </c>
      <c r="N1876" s="15">
        <v>0</v>
      </c>
      <c r="O1876" s="15">
        <f t="shared" si="145"/>
        <v>380000</v>
      </c>
      <c r="P1876" s="15">
        <f t="shared" si="146"/>
        <v>51.102743410435721</v>
      </c>
      <c r="Q1876" s="14">
        <v>25000</v>
      </c>
      <c r="R1876" s="12">
        <v>30</v>
      </c>
      <c r="S1876" s="12" t="s">
        <v>2384</v>
      </c>
      <c r="T1876" s="22">
        <f t="shared" si="147"/>
        <v>4</v>
      </c>
      <c r="U1876" s="22">
        <f t="shared" si="148"/>
        <v>2021</v>
      </c>
      <c r="V1876" s="22" t="str">
        <f t="shared" si="149"/>
        <v>REGIONES</v>
      </c>
    </row>
    <row r="1877" spans="1:22" x14ac:dyDescent="0.2">
      <c r="A1877" s="11" t="s">
        <v>2370</v>
      </c>
      <c r="B1877" s="12" t="s">
        <v>33</v>
      </c>
      <c r="C1877" s="12" t="s">
        <v>44</v>
      </c>
      <c r="D1877" s="12" t="s">
        <v>82</v>
      </c>
      <c r="E1877" s="13" t="s">
        <v>83</v>
      </c>
      <c r="F1877" s="12" t="s">
        <v>1105</v>
      </c>
      <c r="G1877" s="14">
        <v>13877.2</v>
      </c>
      <c r="H1877" s="12" t="s">
        <v>85</v>
      </c>
      <c r="I1877" s="12">
        <v>1</v>
      </c>
      <c r="J1877" s="12" t="s">
        <v>1105</v>
      </c>
      <c r="K1877" s="12" t="s">
        <v>873</v>
      </c>
      <c r="L1877" s="12">
        <v>0</v>
      </c>
      <c r="M1877" s="15">
        <v>900000</v>
      </c>
      <c r="N1877" s="15">
        <v>0</v>
      </c>
      <c r="O1877" s="15">
        <f t="shared" si="145"/>
        <v>900000</v>
      </c>
      <c r="P1877" s="15">
        <f t="shared" si="146"/>
        <v>64.854581615887923</v>
      </c>
      <c r="Q1877" s="14">
        <v>25000</v>
      </c>
      <c r="R1877" s="12">
        <v>56</v>
      </c>
      <c r="S1877" s="12" t="s">
        <v>2385</v>
      </c>
      <c r="T1877" s="22">
        <f t="shared" si="147"/>
        <v>4</v>
      </c>
      <c r="U1877" s="22">
        <f t="shared" si="148"/>
        <v>2021</v>
      </c>
      <c r="V1877" s="22" t="str">
        <f t="shared" si="149"/>
        <v>REGIONES</v>
      </c>
    </row>
    <row r="1878" spans="1:22" x14ac:dyDescent="0.2">
      <c r="A1878" s="11" t="s">
        <v>2370</v>
      </c>
      <c r="B1878" s="12" t="s">
        <v>33</v>
      </c>
      <c r="C1878" s="12" t="s">
        <v>44</v>
      </c>
      <c r="D1878" s="12" t="s">
        <v>45</v>
      </c>
      <c r="E1878" s="13" t="s">
        <v>21</v>
      </c>
      <c r="F1878" s="12" t="s">
        <v>229</v>
      </c>
      <c r="G1878" s="14">
        <v>3991.34</v>
      </c>
      <c r="H1878" s="12" t="s">
        <v>22</v>
      </c>
      <c r="I1878" s="12">
        <v>0</v>
      </c>
      <c r="J1878" s="12" t="s">
        <v>230</v>
      </c>
      <c r="K1878" s="12" t="s">
        <v>23</v>
      </c>
      <c r="L1878" s="12">
        <v>4</v>
      </c>
      <c r="M1878" s="15">
        <v>55000</v>
      </c>
      <c r="N1878" s="15">
        <v>0</v>
      </c>
      <c r="O1878" s="15">
        <f t="shared" si="145"/>
        <v>55000</v>
      </c>
      <c r="P1878" s="15">
        <f t="shared" si="146"/>
        <v>13.779833339179323</v>
      </c>
      <c r="Q1878" s="14">
        <v>5000</v>
      </c>
      <c r="R1878" s="12">
        <v>80</v>
      </c>
      <c r="S1878" s="12" t="s">
        <v>2386</v>
      </c>
      <c r="T1878" s="22">
        <f t="shared" si="147"/>
        <v>4</v>
      </c>
      <c r="U1878" s="22">
        <f t="shared" si="148"/>
        <v>2021</v>
      </c>
      <c r="V1878" s="22" t="str">
        <f t="shared" si="149"/>
        <v>METROPOLITANA</v>
      </c>
    </row>
    <row r="1879" spans="1:22" x14ac:dyDescent="0.2">
      <c r="A1879" s="11" t="s">
        <v>2370</v>
      </c>
      <c r="B1879" s="12" t="s">
        <v>33</v>
      </c>
      <c r="C1879" s="12" t="s">
        <v>44</v>
      </c>
      <c r="D1879" s="12" t="s">
        <v>47</v>
      </c>
      <c r="E1879" s="13" t="s">
        <v>1576</v>
      </c>
      <c r="F1879" s="12" t="s">
        <v>48</v>
      </c>
      <c r="G1879" s="14">
        <v>6464.2000000000007</v>
      </c>
      <c r="H1879" s="12" t="s">
        <v>22</v>
      </c>
      <c r="I1879" s="12">
        <v>0</v>
      </c>
      <c r="J1879" s="12" t="s">
        <v>48</v>
      </c>
      <c r="K1879" s="12" t="s">
        <v>23</v>
      </c>
      <c r="L1879" s="12">
        <v>1</v>
      </c>
      <c r="M1879" s="15">
        <v>71106</v>
      </c>
      <c r="N1879" s="15">
        <v>0</v>
      </c>
      <c r="O1879" s="15">
        <f t="shared" si="145"/>
        <v>71106</v>
      </c>
      <c r="P1879" s="15">
        <f t="shared" si="146"/>
        <v>10.999969060363231</v>
      </c>
      <c r="Q1879" s="14">
        <v>5000</v>
      </c>
      <c r="R1879" s="12">
        <v>100</v>
      </c>
      <c r="S1879" s="12" t="s">
        <v>2387</v>
      </c>
      <c r="T1879" s="22">
        <f t="shared" si="147"/>
        <v>4</v>
      </c>
      <c r="U1879" s="22">
        <f t="shared" si="148"/>
        <v>2021</v>
      </c>
      <c r="V1879" s="22" t="str">
        <f t="shared" si="149"/>
        <v>METROPOLITANA</v>
      </c>
    </row>
    <row r="1880" spans="1:22" x14ac:dyDescent="0.2">
      <c r="A1880" s="11" t="s">
        <v>2370</v>
      </c>
      <c r="B1880" s="12" t="s">
        <v>33</v>
      </c>
      <c r="C1880" s="12" t="s">
        <v>44</v>
      </c>
      <c r="D1880" s="12" t="s">
        <v>35</v>
      </c>
      <c r="E1880" s="13" t="s">
        <v>49</v>
      </c>
      <c r="F1880" s="12" t="s">
        <v>26</v>
      </c>
      <c r="G1880" s="14">
        <v>3245.68</v>
      </c>
      <c r="H1880" s="12" t="s">
        <v>22</v>
      </c>
      <c r="I1880" s="12">
        <v>0</v>
      </c>
      <c r="J1880" s="12" t="s">
        <v>26</v>
      </c>
      <c r="K1880" s="12" t="s">
        <v>23</v>
      </c>
      <c r="L1880" s="12">
        <v>4</v>
      </c>
      <c r="M1880" s="15">
        <v>55000</v>
      </c>
      <c r="N1880" s="15">
        <v>0</v>
      </c>
      <c r="O1880" s="15">
        <f t="shared" si="145"/>
        <v>55000</v>
      </c>
      <c r="P1880" s="15">
        <f t="shared" si="146"/>
        <v>16.945601538044418</v>
      </c>
      <c r="Q1880" s="14">
        <v>5000</v>
      </c>
      <c r="R1880" s="12">
        <v>65</v>
      </c>
      <c r="S1880" s="12" t="s">
        <v>2388</v>
      </c>
      <c r="T1880" s="22">
        <f t="shared" si="147"/>
        <v>4</v>
      </c>
      <c r="U1880" s="22">
        <f t="shared" si="148"/>
        <v>2021</v>
      </c>
      <c r="V1880" s="22" t="str">
        <f t="shared" si="149"/>
        <v>METROPOLITANA</v>
      </c>
    </row>
    <row r="1881" spans="1:22" x14ac:dyDescent="0.2">
      <c r="A1881" s="23" t="s">
        <v>2389</v>
      </c>
      <c r="B1881" s="22" t="s">
        <v>18</v>
      </c>
      <c r="C1881" s="22" t="s">
        <v>50</v>
      </c>
      <c r="D1881" s="22" t="s">
        <v>38</v>
      </c>
      <c r="E1881" s="24" t="s">
        <v>42</v>
      </c>
      <c r="F1881" s="22" t="s">
        <v>26</v>
      </c>
      <c r="G1881" s="25">
        <v>14342</v>
      </c>
      <c r="H1881" s="22" t="s">
        <v>43</v>
      </c>
      <c r="I1881" s="22">
        <v>0</v>
      </c>
      <c r="J1881" s="22" t="s">
        <v>26</v>
      </c>
      <c r="K1881" s="22" t="s">
        <v>23</v>
      </c>
      <c r="L1881" s="22">
        <v>4</v>
      </c>
      <c r="M1881" s="26">
        <v>157762</v>
      </c>
      <c r="N1881" s="26">
        <v>0</v>
      </c>
      <c r="O1881" s="15">
        <f t="shared" si="145"/>
        <v>157762</v>
      </c>
      <c r="P1881" s="15">
        <f t="shared" si="146"/>
        <v>11</v>
      </c>
      <c r="Q1881" s="25">
        <v>5000</v>
      </c>
      <c r="R1881" s="22">
        <v>100</v>
      </c>
      <c r="S1881" s="22" t="s">
        <v>2390</v>
      </c>
      <c r="T1881" s="22">
        <f t="shared" si="147"/>
        <v>4</v>
      </c>
      <c r="U1881" s="22">
        <f t="shared" si="148"/>
        <v>2021</v>
      </c>
      <c r="V1881" s="22" t="str">
        <f t="shared" si="149"/>
        <v>METROPOLITANA</v>
      </c>
    </row>
    <row r="1882" spans="1:22" x14ac:dyDescent="0.2">
      <c r="A1882" s="23" t="s">
        <v>2389</v>
      </c>
      <c r="B1882" s="22" t="s">
        <v>18</v>
      </c>
      <c r="C1882" s="22" t="s">
        <v>50</v>
      </c>
      <c r="D1882" s="22" t="s">
        <v>41</v>
      </c>
      <c r="E1882" s="24" t="s">
        <v>25</v>
      </c>
      <c r="F1882" s="22" t="s">
        <v>26</v>
      </c>
      <c r="G1882" s="25">
        <v>14544</v>
      </c>
      <c r="H1882" s="22" t="s">
        <v>43</v>
      </c>
      <c r="I1882" s="22">
        <v>0</v>
      </c>
      <c r="J1882" s="22" t="s">
        <v>26</v>
      </c>
      <c r="K1882" s="22" t="s">
        <v>23</v>
      </c>
      <c r="L1882" s="22">
        <v>4</v>
      </c>
      <c r="M1882" s="26">
        <v>159984</v>
      </c>
      <c r="N1882" s="26">
        <v>0</v>
      </c>
      <c r="O1882" s="15">
        <f t="shared" si="145"/>
        <v>159984</v>
      </c>
      <c r="P1882" s="15">
        <f t="shared" si="146"/>
        <v>11</v>
      </c>
      <c r="Q1882" s="25">
        <v>5000</v>
      </c>
      <c r="R1882" s="22">
        <v>100</v>
      </c>
      <c r="S1882" s="22" t="s">
        <v>2391</v>
      </c>
      <c r="T1882" s="22">
        <f t="shared" si="147"/>
        <v>4</v>
      </c>
      <c r="U1882" s="22">
        <f t="shared" si="148"/>
        <v>2021</v>
      </c>
      <c r="V1882" s="22" t="str">
        <f t="shared" si="149"/>
        <v>METROPOLITANA</v>
      </c>
    </row>
    <row r="1883" spans="1:22" x14ac:dyDescent="0.2">
      <c r="A1883" s="23" t="s">
        <v>2389</v>
      </c>
      <c r="B1883" s="22" t="s">
        <v>18</v>
      </c>
      <c r="C1883" s="22" t="s">
        <v>324</v>
      </c>
      <c r="D1883" s="22" t="s">
        <v>37</v>
      </c>
      <c r="E1883" s="24" t="s">
        <v>40</v>
      </c>
      <c r="F1883" s="22" t="s">
        <v>325</v>
      </c>
      <c r="G1883" s="25">
        <v>5042.1000000000004</v>
      </c>
      <c r="H1883" s="22" t="s">
        <v>22</v>
      </c>
      <c r="I1883" s="22">
        <v>0</v>
      </c>
      <c r="J1883" s="22" t="s">
        <v>325</v>
      </c>
      <c r="K1883" s="22" t="s">
        <v>78</v>
      </c>
      <c r="L1883" s="22">
        <v>0</v>
      </c>
      <c r="M1883" s="26">
        <v>180000</v>
      </c>
      <c r="N1883" s="26">
        <v>0</v>
      </c>
      <c r="O1883" s="15">
        <f t="shared" si="145"/>
        <v>180000</v>
      </c>
      <c r="P1883" s="15">
        <f t="shared" si="146"/>
        <v>35.69941095971916</v>
      </c>
      <c r="Q1883" s="25">
        <v>25000</v>
      </c>
      <c r="R1883" s="22">
        <v>20</v>
      </c>
      <c r="S1883" s="22" t="s">
        <v>2392</v>
      </c>
      <c r="T1883" s="22">
        <f t="shared" si="147"/>
        <v>4</v>
      </c>
      <c r="U1883" s="22">
        <f t="shared" si="148"/>
        <v>2021</v>
      </c>
      <c r="V1883" s="22" t="str">
        <f t="shared" si="149"/>
        <v>REGIONES</v>
      </c>
    </row>
    <row r="1884" spans="1:22" x14ac:dyDescent="0.2">
      <c r="A1884" s="23" t="s">
        <v>2389</v>
      </c>
      <c r="B1884" s="22" t="s">
        <v>18</v>
      </c>
      <c r="C1884" s="22" t="s">
        <v>163</v>
      </c>
      <c r="D1884" s="22" t="s">
        <v>164</v>
      </c>
      <c r="E1884" s="24" t="s">
        <v>28</v>
      </c>
      <c r="F1884" s="22" t="s">
        <v>165</v>
      </c>
      <c r="G1884" s="25">
        <v>10428</v>
      </c>
      <c r="H1884" s="22" t="s">
        <v>22</v>
      </c>
      <c r="I1884" s="22">
        <v>1</v>
      </c>
      <c r="J1884" s="22" t="s">
        <v>165</v>
      </c>
      <c r="K1884" s="22" t="s">
        <v>23</v>
      </c>
      <c r="L1884" s="22">
        <v>4</v>
      </c>
      <c r="M1884" s="26">
        <v>114708</v>
      </c>
      <c r="N1884" s="26">
        <v>0</v>
      </c>
      <c r="O1884" s="15">
        <f t="shared" si="145"/>
        <v>114708</v>
      </c>
      <c r="P1884" s="15">
        <f t="shared" si="146"/>
        <v>11</v>
      </c>
      <c r="Q1884" s="25">
        <v>5000</v>
      </c>
      <c r="R1884" s="22">
        <v>100</v>
      </c>
      <c r="S1884" s="22" t="s">
        <v>2393</v>
      </c>
      <c r="T1884" s="22">
        <f t="shared" si="147"/>
        <v>4</v>
      </c>
      <c r="U1884" s="22">
        <f t="shared" si="148"/>
        <v>2021</v>
      </c>
      <c r="V1884" s="22" t="str">
        <f t="shared" si="149"/>
        <v>METROPOLITANA</v>
      </c>
    </row>
    <row r="1885" spans="1:22" x14ac:dyDescent="0.2">
      <c r="A1885" s="23" t="s">
        <v>2389</v>
      </c>
      <c r="B1885" s="22" t="s">
        <v>33</v>
      </c>
      <c r="C1885" s="22" t="s">
        <v>163</v>
      </c>
      <c r="D1885" s="22" t="s">
        <v>20</v>
      </c>
      <c r="E1885" s="24" t="s">
        <v>21</v>
      </c>
      <c r="F1885" s="22" t="s">
        <v>165</v>
      </c>
      <c r="G1885" s="25">
        <v>5669.2999999999993</v>
      </c>
      <c r="H1885" s="22" t="s">
        <v>22</v>
      </c>
      <c r="I1885" s="22">
        <v>0</v>
      </c>
      <c r="J1885" s="22" t="s">
        <v>165</v>
      </c>
      <c r="K1885" s="22" t="s">
        <v>23</v>
      </c>
      <c r="L1885" s="22">
        <v>4</v>
      </c>
      <c r="M1885" s="26">
        <v>62362</v>
      </c>
      <c r="N1885" s="26">
        <v>0</v>
      </c>
      <c r="O1885" s="15">
        <f t="shared" si="145"/>
        <v>62362</v>
      </c>
      <c r="P1885" s="15">
        <f t="shared" si="146"/>
        <v>10.999947083414179</v>
      </c>
      <c r="Q1885" s="25">
        <v>5000</v>
      </c>
      <c r="R1885" s="22">
        <v>100</v>
      </c>
      <c r="S1885" s="22" t="s">
        <v>2394</v>
      </c>
      <c r="T1885" s="22">
        <f t="shared" si="147"/>
        <v>4</v>
      </c>
      <c r="U1885" s="22">
        <f t="shared" si="148"/>
        <v>2021</v>
      </c>
      <c r="V1885" s="22" t="str">
        <f t="shared" si="149"/>
        <v>METROPOLITANA</v>
      </c>
    </row>
    <row r="1886" spans="1:22" x14ac:dyDescent="0.2">
      <c r="A1886" s="23" t="s">
        <v>2389</v>
      </c>
      <c r="B1886" s="22" t="s">
        <v>33</v>
      </c>
      <c r="C1886" s="22" t="s">
        <v>128</v>
      </c>
      <c r="D1886" s="22" t="s">
        <v>188</v>
      </c>
      <c r="E1886" s="24" t="s">
        <v>189</v>
      </c>
      <c r="F1886" s="22" t="s">
        <v>34</v>
      </c>
      <c r="G1886" s="25">
        <v>7592.1999999999989</v>
      </c>
      <c r="H1886" s="22" t="s">
        <v>190</v>
      </c>
      <c r="I1886" s="22">
        <v>0</v>
      </c>
      <c r="J1886" s="22" t="s">
        <v>34</v>
      </c>
      <c r="K1886" s="22" t="s">
        <v>23</v>
      </c>
      <c r="L1886" s="22">
        <v>1</v>
      </c>
      <c r="M1886" s="26">
        <v>83514</v>
      </c>
      <c r="N1886" s="26">
        <v>0</v>
      </c>
      <c r="O1886" s="15">
        <f t="shared" si="145"/>
        <v>83514</v>
      </c>
      <c r="P1886" s="15">
        <f t="shared" si="146"/>
        <v>10.99997365717447</v>
      </c>
      <c r="Q1886" s="25">
        <v>5000</v>
      </c>
      <c r="R1886" s="22">
        <v>100</v>
      </c>
      <c r="S1886" s="22" t="s">
        <v>2395</v>
      </c>
      <c r="T1886" s="22">
        <f t="shared" si="147"/>
        <v>4</v>
      </c>
      <c r="U1886" s="22">
        <f t="shared" si="148"/>
        <v>2021</v>
      </c>
      <c r="V1886" s="22" t="str">
        <f t="shared" si="149"/>
        <v>METROPOLITANA</v>
      </c>
    </row>
    <row r="1887" spans="1:22" x14ac:dyDescent="0.2">
      <c r="A1887" s="23" t="s">
        <v>2389</v>
      </c>
      <c r="B1887" s="22" t="s">
        <v>33</v>
      </c>
      <c r="C1887" s="22" t="s">
        <v>128</v>
      </c>
      <c r="D1887" s="22" t="s">
        <v>63</v>
      </c>
      <c r="E1887" s="24" t="s">
        <v>64</v>
      </c>
      <c r="F1887" s="22" t="s">
        <v>34</v>
      </c>
      <c r="G1887" s="25">
        <v>8282.4</v>
      </c>
      <c r="H1887" s="22" t="s">
        <v>65</v>
      </c>
      <c r="I1887" s="22">
        <v>0</v>
      </c>
      <c r="J1887" s="22" t="s">
        <v>34</v>
      </c>
      <c r="K1887" s="22" t="s">
        <v>23</v>
      </c>
      <c r="L1887" s="22">
        <v>1</v>
      </c>
      <c r="M1887" s="26">
        <v>91106</v>
      </c>
      <c r="N1887" s="26">
        <v>0</v>
      </c>
      <c r="O1887" s="15">
        <f t="shared" si="145"/>
        <v>91106</v>
      </c>
      <c r="P1887" s="15">
        <f t="shared" si="146"/>
        <v>10.999951704819859</v>
      </c>
      <c r="Q1887" s="25">
        <v>5000</v>
      </c>
      <c r="R1887" s="22">
        <v>100</v>
      </c>
      <c r="S1887" s="22" t="s">
        <v>2396</v>
      </c>
      <c r="T1887" s="22">
        <f t="shared" si="147"/>
        <v>4</v>
      </c>
      <c r="U1887" s="22">
        <f t="shared" si="148"/>
        <v>2021</v>
      </c>
      <c r="V1887" s="22" t="str">
        <f t="shared" si="149"/>
        <v>METROPOLITANA</v>
      </c>
    </row>
    <row r="1888" spans="1:22" x14ac:dyDescent="0.2">
      <c r="A1888" s="23" t="s">
        <v>2389</v>
      </c>
      <c r="B1888" s="22" t="s">
        <v>33</v>
      </c>
      <c r="C1888" s="22" t="s">
        <v>29</v>
      </c>
      <c r="D1888" s="22" t="s">
        <v>786</v>
      </c>
      <c r="E1888" s="24" t="s">
        <v>787</v>
      </c>
      <c r="F1888" s="22" t="s">
        <v>170</v>
      </c>
      <c r="G1888" s="25">
        <v>14596.70000000001</v>
      </c>
      <c r="H1888" s="22" t="s">
        <v>788</v>
      </c>
      <c r="I1888" s="22">
        <v>1</v>
      </c>
      <c r="J1888" s="22" t="s">
        <v>170</v>
      </c>
      <c r="K1888" s="22" t="s">
        <v>171</v>
      </c>
      <c r="L1888" s="22">
        <v>0</v>
      </c>
      <c r="M1888" s="26">
        <v>230000</v>
      </c>
      <c r="N1888" s="26">
        <v>0</v>
      </c>
      <c r="O1888" s="15">
        <f t="shared" si="145"/>
        <v>230000</v>
      </c>
      <c r="P1888" s="15">
        <f t="shared" si="146"/>
        <v>15.756986168106479</v>
      </c>
      <c r="Q1888" s="25">
        <v>25000</v>
      </c>
      <c r="R1888" s="22">
        <v>58</v>
      </c>
      <c r="S1888" s="22" t="s">
        <v>2397</v>
      </c>
      <c r="T1888" s="22">
        <f t="shared" si="147"/>
        <v>4</v>
      </c>
      <c r="U1888" s="22">
        <f t="shared" si="148"/>
        <v>2021</v>
      </c>
      <c r="V1888" s="22" t="str">
        <f t="shared" si="149"/>
        <v>REGIONES</v>
      </c>
    </row>
    <row r="1889" spans="1:22" x14ac:dyDescent="0.2">
      <c r="A1889" s="23" t="s">
        <v>2389</v>
      </c>
      <c r="B1889" s="22" t="s">
        <v>33</v>
      </c>
      <c r="C1889" s="22" t="s">
        <v>44</v>
      </c>
      <c r="D1889" s="22" t="s">
        <v>56</v>
      </c>
      <c r="E1889" s="24" t="s">
        <v>52</v>
      </c>
      <c r="F1889" s="22" t="s">
        <v>129</v>
      </c>
      <c r="G1889" s="25">
        <v>3436.84</v>
      </c>
      <c r="H1889" s="22" t="s">
        <v>22</v>
      </c>
      <c r="I1889" s="22">
        <v>0</v>
      </c>
      <c r="J1889" s="22" t="s">
        <v>129</v>
      </c>
      <c r="K1889" s="22" t="s">
        <v>23</v>
      </c>
      <c r="L1889" s="22">
        <v>1</v>
      </c>
      <c r="M1889" s="26">
        <v>55000</v>
      </c>
      <c r="N1889" s="26">
        <v>0</v>
      </c>
      <c r="O1889" s="15">
        <f t="shared" si="145"/>
        <v>55000</v>
      </c>
      <c r="P1889" s="15">
        <f t="shared" si="146"/>
        <v>16.003072589937268</v>
      </c>
      <c r="Q1889" s="25">
        <v>5000</v>
      </c>
      <c r="R1889" s="22">
        <v>69</v>
      </c>
      <c r="S1889" s="22" t="s">
        <v>2398</v>
      </c>
      <c r="T1889" s="22">
        <f t="shared" si="147"/>
        <v>4</v>
      </c>
      <c r="U1889" s="22">
        <f t="shared" si="148"/>
        <v>2021</v>
      </c>
      <c r="V1889" s="22" t="str">
        <f t="shared" si="149"/>
        <v>METROPOLITANA</v>
      </c>
    </row>
    <row r="1890" spans="1:22" x14ac:dyDescent="0.2">
      <c r="A1890" s="23" t="s">
        <v>2389</v>
      </c>
      <c r="B1890" s="22" t="s">
        <v>33</v>
      </c>
      <c r="C1890" s="22" t="s">
        <v>44</v>
      </c>
      <c r="D1890" s="22" t="s">
        <v>1170</v>
      </c>
      <c r="E1890" s="24" t="s">
        <v>81</v>
      </c>
      <c r="F1890" s="22" t="s">
        <v>114</v>
      </c>
      <c r="G1890" s="25">
        <v>13927.32</v>
      </c>
      <c r="H1890" s="22" t="s">
        <v>24</v>
      </c>
      <c r="I1890" s="22">
        <v>1</v>
      </c>
      <c r="J1890" s="22" t="s">
        <v>114</v>
      </c>
      <c r="K1890" s="22" t="s">
        <v>75</v>
      </c>
      <c r="L1890" s="22">
        <v>0</v>
      </c>
      <c r="M1890" s="26">
        <v>380000</v>
      </c>
      <c r="N1890" s="26">
        <v>0</v>
      </c>
      <c r="O1890" s="15">
        <f t="shared" si="145"/>
        <v>380000</v>
      </c>
      <c r="P1890" s="15">
        <f t="shared" si="146"/>
        <v>27.284502689677556</v>
      </c>
      <c r="Q1890" s="25">
        <v>25000</v>
      </c>
      <c r="R1890" s="22">
        <v>56</v>
      </c>
      <c r="S1890" s="22" t="s">
        <v>2399</v>
      </c>
      <c r="T1890" s="22">
        <f t="shared" si="147"/>
        <v>4</v>
      </c>
      <c r="U1890" s="22">
        <f t="shared" si="148"/>
        <v>2021</v>
      </c>
      <c r="V1890" s="22" t="str">
        <f t="shared" si="149"/>
        <v>REGIONES</v>
      </c>
    </row>
    <row r="1891" spans="1:22" x14ac:dyDescent="0.2">
      <c r="A1891" s="23" t="s">
        <v>2389</v>
      </c>
      <c r="B1891" s="22" t="s">
        <v>33</v>
      </c>
      <c r="C1891" s="22" t="s">
        <v>44</v>
      </c>
      <c r="D1891" s="22" t="s">
        <v>63</v>
      </c>
      <c r="E1891" s="24" t="s">
        <v>64</v>
      </c>
      <c r="F1891" s="22" t="s">
        <v>67</v>
      </c>
      <c r="G1891" s="25">
        <v>1844.3</v>
      </c>
      <c r="H1891" s="22" t="s">
        <v>65</v>
      </c>
      <c r="I1891" s="22">
        <v>0</v>
      </c>
      <c r="J1891" s="22" t="s">
        <v>67</v>
      </c>
      <c r="K1891" s="22" t="s">
        <v>23</v>
      </c>
      <c r="L1891" s="22">
        <v>2</v>
      </c>
      <c r="M1891" s="26">
        <v>55000</v>
      </c>
      <c r="N1891" s="26">
        <v>0</v>
      </c>
      <c r="O1891" s="15">
        <f t="shared" si="145"/>
        <v>55000</v>
      </c>
      <c r="P1891" s="15">
        <f t="shared" si="146"/>
        <v>29.821612535921489</v>
      </c>
      <c r="Q1891" s="25">
        <v>5000</v>
      </c>
      <c r="R1891" s="22">
        <v>37</v>
      </c>
      <c r="S1891" s="22" t="s">
        <v>2400</v>
      </c>
      <c r="T1891" s="22">
        <f t="shared" si="147"/>
        <v>4</v>
      </c>
      <c r="U1891" s="22">
        <f t="shared" si="148"/>
        <v>2021</v>
      </c>
      <c r="V1891" s="22" t="str">
        <f t="shared" si="149"/>
        <v>METROPOLITANA</v>
      </c>
    </row>
    <row r="1892" spans="1:22" x14ac:dyDescent="0.2">
      <c r="A1892" s="23" t="s">
        <v>2389</v>
      </c>
      <c r="B1892" s="22" t="s">
        <v>33</v>
      </c>
      <c r="C1892" s="22" t="s">
        <v>44</v>
      </c>
      <c r="D1892" s="22" t="s">
        <v>63</v>
      </c>
      <c r="E1892" s="24" t="s">
        <v>2401</v>
      </c>
      <c r="F1892" s="22" t="s">
        <v>67</v>
      </c>
      <c r="G1892" s="25">
        <v>2590.62</v>
      </c>
      <c r="H1892" s="22" t="s">
        <v>65</v>
      </c>
      <c r="I1892" s="22">
        <v>0</v>
      </c>
      <c r="J1892" s="22" t="s">
        <v>67</v>
      </c>
      <c r="K1892" s="22" t="s">
        <v>23</v>
      </c>
      <c r="L1892" s="22">
        <v>2</v>
      </c>
      <c r="M1892" s="26">
        <v>55000</v>
      </c>
      <c r="N1892" s="26">
        <v>0</v>
      </c>
      <c r="O1892" s="15">
        <f t="shared" si="145"/>
        <v>55000</v>
      </c>
      <c r="P1892" s="15">
        <f t="shared" si="146"/>
        <v>21.230439045479461</v>
      </c>
      <c r="Q1892" s="25">
        <v>5000</v>
      </c>
      <c r="R1892" s="22">
        <v>52</v>
      </c>
      <c r="S1892" s="22" t="s">
        <v>2402</v>
      </c>
      <c r="T1892" s="22">
        <f t="shared" si="147"/>
        <v>4</v>
      </c>
      <c r="U1892" s="22">
        <f t="shared" si="148"/>
        <v>2021</v>
      </c>
      <c r="V1892" s="22" t="str">
        <f t="shared" si="149"/>
        <v>METROPOLITANA</v>
      </c>
    </row>
    <row r="1893" spans="1:22" x14ac:dyDescent="0.2">
      <c r="A1893" s="23" t="s">
        <v>2389</v>
      </c>
      <c r="B1893" s="22" t="s">
        <v>33</v>
      </c>
      <c r="C1893" s="22" t="s">
        <v>44</v>
      </c>
      <c r="D1893" s="22" t="s">
        <v>30</v>
      </c>
      <c r="E1893" s="24" t="s">
        <v>31</v>
      </c>
      <c r="F1893" s="22" t="s">
        <v>2066</v>
      </c>
      <c r="G1893" s="25">
        <v>6003.1999999999989</v>
      </c>
      <c r="H1893" s="22" t="s">
        <v>32</v>
      </c>
      <c r="I1893" s="22">
        <v>0</v>
      </c>
      <c r="J1893" s="22" t="s">
        <v>2066</v>
      </c>
      <c r="K1893" s="22" t="s">
        <v>171</v>
      </c>
      <c r="L1893" s="22">
        <v>0</v>
      </c>
      <c r="M1893" s="26">
        <v>230000</v>
      </c>
      <c r="N1893" s="26">
        <v>0</v>
      </c>
      <c r="O1893" s="15">
        <f t="shared" si="145"/>
        <v>230000</v>
      </c>
      <c r="P1893" s="15">
        <f t="shared" si="146"/>
        <v>38.312899786780392</v>
      </c>
      <c r="Q1893" s="25">
        <v>25000</v>
      </c>
      <c r="R1893" s="22">
        <v>24</v>
      </c>
      <c r="S1893" s="22" t="s">
        <v>2403</v>
      </c>
      <c r="T1893" s="22">
        <f t="shared" si="147"/>
        <v>4</v>
      </c>
      <c r="U1893" s="22">
        <f t="shared" si="148"/>
        <v>2021</v>
      </c>
      <c r="V1893" s="22" t="str">
        <f t="shared" si="149"/>
        <v>REGIONES</v>
      </c>
    </row>
    <row r="1894" spans="1:22" x14ac:dyDescent="0.2">
      <c r="A1894" s="23" t="s">
        <v>2389</v>
      </c>
      <c r="B1894" s="22" t="s">
        <v>33</v>
      </c>
      <c r="C1894" s="22" t="s">
        <v>44</v>
      </c>
      <c r="D1894" s="22" t="s">
        <v>45</v>
      </c>
      <c r="E1894" s="24" t="s">
        <v>21</v>
      </c>
      <c r="F1894" s="22" t="s">
        <v>182</v>
      </c>
      <c r="G1894" s="25">
        <v>3622.04</v>
      </c>
      <c r="H1894" s="22" t="s">
        <v>22</v>
      </c>
      <c r="I1894" s="22">
        <v>0</v>
      </c>
      <c r="J1894" s="22" t="s">
        <v>182</v>
      </c>
      <c r="K1894" s="22" t="s">
        <v>23</v>
      </c>
      <c r="L1894" s="22">
        <v>4</v>
      </c>
      <c r="M1894" s="26">
        <v>55000</v>
      </c>
      <c r="N1894" s="26">
        <v>0</v>
      </c>
      <c r="O1894" s="15">
        <f t="shared" si="145"/>
        <v>55000</v>
      </c>
      <c r="P1894" s="15">
        <f t="shared" si="146"/>
        <v>15.184812978321609</v>
      </c>
      <c r="Q1894" s="25">
        <v>5000</v>
      </c>
      <c r="R1894" s="22">
        <v>72</v>
      </c>
      <c r="S1894" s="22" t="s">
        <v>2404</v>
      </c>
      <c r="T1894" s="22">
        <f t="shared" si="147"/>
        <v>4</v>
      </c>
      <c r="U1894" s="22">
        <f t="shared" si="148"/>
        <v>2021</v>
      </c>
      <c r="V1894" s="22" t="str">
        <f t="shared" si="149"/>
        <v>METROPOLITANA</v>
      </c>
    </row>
    <row r="1895" spans="1:22" x14ac:dyDescent="0.2">
      <c r="A1895" s="23" t="s">
        <v>2389</v>
      </c>
      <c r="B1895" s="22" t="s">
        <v>33</v>
      </c>
      <c r="C1895" s="22" t="s">
        <v>44</v>
      </c>
      <c r="D1895" s="22" t="s">
        <v>47</v>
      </c>
      <c r="E1895" s="24" t="s">
        <v>1576</v>
      </c>
      <c r="F1895" s="22" t="s">
        <v>26</v>
      </c>
      <c r="G1895" s="25">
        <v>1242.82</v>
      </c>
      <c r="H1895" s="22" t="s">
        <v>22</v>
      </c>
      <c r="I1895" s="22">
        <v>0</v>
      </c>
      <c r="J1895" s="22" t="s">
        <v>26</v>
      </c>
      <c r="K1895" s="22" t="s">
        <v>23</v>
      </c>
      <c r="L1895" s="22">
        <v>4</v>
      </c>
      <c r="M1895" s="26">
        <v>55000</v>
      </c>
      <c r="N1895" s="26">
        <v>0</v>
      </c>
      <c r="O1895" s="15">
        <f t="shared" si="145"/>
        <v>55000</v>
      </c>
      <c r="P1895" s="15">
        <f t="shared" si="146"/>
        <v>44.254196102412259</v>
      </c>
      <c r="Q1895" s="25">
        <v>5000</v>
      </c>
      <c r="R1895" s="22">
        <v>25</v>
      </c>
      <c r="S1895" s="22" t="s">
        <v>2405</v>
      </c>
      <c r="T1895" s="22">
        <f t="shared" si="147"/>
        <v>4</v>
      </c>
      <c r="U1895" s="22">
        <f t="shared" si="148"/>
        <v>2021</v>
      </c>
      <c r="V1895" s="22" t="str">
        <f t="shared" si="149"/>
        <v>METROPOLITANA</v>
      </c>
    </row>
    <row r="1896" spans="1:22" x14ac:dyDescent="0.2">
      <c r="A1896" s="23" t="s">
        <v>2389</v>
      </c>
      <c r="B1896" s="22" t="s">
        <v>33</v>
      </c>
      <c r="C1896" s="22" t="s">
        <v>44</v>
      </c>
      <c r="D1896" s="22" t="s">
        <v>35</v>
      </c>
      <c r="E1896" s="24" t="s">
        <v>49</v>
      </c>
      <c r="F1896" s="22" t="s">
        <v>51</v>
      </c>
      <c r="G1896" s="25">
        <v>2396.3200000000002</v>
      </c>
      <c r="H1896" s="22" t="s">
        <v>22</v>
      </c>
      <c r="I1896" s="22">
        <v>0</v>
      </c>
      <c r="J1896" s="22" t="s">
        <v>51</v>
      </c>
      <c r="K1896" s="22" t="s">
        <v>23</v>
      </c>
      <c r="L1896" s="22">
        <v>4</v>
      </c>
      <c r="M1896" s="26">
        <v>55000</v>
      </c>
      <c r="N1896" s="26">
        <v>0</v>
      </c>
      <c r="O1896" s="15">
        <f t="shared" si="145"/>
        <v>55000</v>
      </c>
      <c r="P1896" s="15">
        <f t="shared" si="146"/>
        <v>22.951859517927488</v>
      </c>
      <c r="Q1896" s="25">
        <v>5000</v>
      </c>
      <c r="R1896" s="22">
        <v>48</v>
      </c>
      <c r="S1896" s="22" t="s">
        <v>2406</v>
      </c>
      <c r="T1896" s="22">
        <f t="shared" si="147"/>
        <v>4</v>
      </c>
      <c r="U1896" s="22">
        <f t="shared" si="148"/>
        <v>2021</v>
      </c>
      <c r="V1896" s="22" t="str">
        <f t="shared" si="149"/>
        <v>METROPOLITANA</v>
      </c>
    </row>
    <row r="1897" spans="1:22" x14ac:dyDescent="0.2">
      <c r="A1897" s="23" t="s">
        <v>2389</v>
      </c>
      <c r="B1897" s="22" t="s">
        <v>33</v>
      </c>
      <c r="C1897" s="22" t="s">
        <v>44</v>
      </c>
      <c r="D1897" s="22" t="s">
        <v>20</v>
      </c>
      <c r="E1897" s="24" t="s">
        <v>52</v>
      </c>
      <c r="F1897" s="22" t="s">
        <v>95</v>
      </c>
      <c r="G1897" s="25">
        <v>2939.24</v>
      </c>
      <c r="H1897" s="22" t="s">
        <v>22</v>
      </c>
      <c r="I1897" s="22">
        <v>0</v>
      </c>
      <c r="J1897" s="22" t="s">
        <v>95</v>
      </c>
      <c r="K1897" s="22" t="s">
        <v>23</v>
      </c>
      <c r="L1897" s="22">
        <v>4</v>
      </c>
      <c r="M1897" s="26">
        <v>55000</v>
      </c>
      <c r="N1897" s="26">
        <v>0</v>
      </c>
      <c r="O1897" s="15">
        <f t="shared" si="145"/>
        <v>55000</v>
      </c>
      <c r="P1897" s="15">
        <f t="shared" si="146"/>
        <v>18.712320191614161</v>
      </c>
      <c r="Q1897" s="25">
        <v>5000</v>
      </c>
      <c r="R1897" s="22">
        <v>59</v>
      </c>
      <c r="S1897" s="22" t="s">
        <v>2407</v>
      </c>
      <c r="T1897" s="22">
        <f t="shared" si="147"/>
        <v>4</v>
      </c>
      <c r="U1897" s="22">
        <f t="shared" si="148"/>
        <v>2021</v>
      </c>
      <c r="V1897" s="22" t="str">
        <f t="shared" si="149"/>
        <v>METROPOLITANA</v>
      </c>
    </row>
    <row r="1898" spans="1:22" x14ac:dyDescent="0.2">
      <c r="A1898" s="11" t="s">
        <v>2408</v>
      </c>
      <c r="B1898" s="12" t="s">
        <v>18</v>
      </c>
      <c r="C1898" s="12" t="s">
        <v>57</v>
      </c>
      <c r="D1898" s="12" t="s">
        <v>37</v>
      </c>
      <c r="E1898" s="13" t="s">
        <v>40</v>
      </c>
      <c r="F1898" s="12" t="s">
        <v>120</v>
      </c>
      <c r="G1898" s="14">
        <v>4604.9600000000009</v>
      </c>
      <c r="H1898" s="12" t="s">
        <v>22</v>
      </c>
      <c r="I1898" s="12">
        <v>0</v>
      </c>
      <c r="J1898" s="12" t="s">
        <v>120</v>
      </c>
      <c r="K1898" s="12" t="s">
        <v>23</v>
      </c>
      <c r="L1898" s="12">
        <v>5</v>
      </c>
      <c r="M1898" s="15">
        <v>70000</v>
      </c>
      <c r="N1898" s="15">
        <v>0</v>
      </c>
      <c r="O1898" s="15">
        <f t="shared" si="145"/>
        <v>70000</v>
      </c>
      <c r="P1898" s="15">
        <f t="shared" si="146"/>
        <v>15.201000660157741</v>
      </c>
      <c r="Q1898" s="14">
        <v>10000</v>
      </c>
      <c r="R1898" s="12">
        <v>46</v>
      </c>
      <c r="S1898" s="12" t="s">
        <v>2409</v>
      </c>
      <c r="T1898" s="22">
        <f t="shared" si="147"/>
        <v>4</v>
      </c>
      <c r="U1898" s="22">
        <f t="shared" si="148"/>
        <v>2021</v>
      </c>
      <c r="V1898" s="22" t="str">
        <f t="shared" si="149"/>
        <v>METROPOLITANA</v>
      </c>
    </row>
    <row r="1899" spans="1:22" x14ac:dyDescent="0.2">
      <c r="A1899" s="11" t="s">
        <v>2408</v>
      </c>
      <c r="B1899" s="12" t="s">
        <v>18</v>
      </c>
      <c r="C1899" s="12" t="s">
        <v>57</v>
      </c>
      <c r="D1899" s="12" t="s">
        <v>2199</v>
      </c>
      <c r="E1899" s="13" t="s">
        <v>28</v>
      </c>
      <c r="F1899" s="12" t="s">
        <v>120</v>
      </c>
      <c r="G1899" s="14">
        <v>7271.24</v>
      </c>
      <c r="H1899" s="12" t="s">
        <v>22</v>
      </c>
      <c r="I1899" s="12">
        <v>0</v>
      </c>
      <c r="J1899" s="12" t="s">
        <v>120</v>
      </c>
      <c r="K1899" s="12" t="s">
        <v>23</v>
      </c>
      <c r="L1899" s="12">
        <v>5</v>
      </c>
      <c r="M1899" s="15">
        <f>+G1899*11</f>
        <v>79983.64</v>
      </c>
      <c r="N1899" s="15">
        <v>0</v>
      </c>
      <c r="O1899" s="15">
        <f t="shared" si="145"/>
        <v>79983.64</v>
      </c>
      <c r="P1899" s="15">
        <f t="shared" si="146"/>
        <v>11</v>
      </c>
      <c r="Q1899" s="14">
        <v>10000</v>
      </c>
      <c r="R1899" s="12">
        <v>73</v>
      </c>
      <c r="S1899" s="12" t="s">
        <v>2410</v>
      </c>
      <c r="T1899" s="22">
        <f t="shared" si="147"/>
        <v>4</v>
      </c>
      <c r="U1899" s="22">
        <f t="shared" si="148"/>
        <v>2021</v>
      </c>
      <c r="V1899" s="22" t="str">
        <f t="shared" si="149"/>
        <v>METROPOLITANA</v>
      </c>
    </row>
    <row r="1900" spans="1:22" x14ac:dyDescent="0.2">
      <c r="A1900" s="11" t="s">
        <v>2408</v>
      </c>
      <c r="B1900" s="12" t="s">
        <v>18</v>
      </c>
      <c r="C1900" s="12" t="s">
        <v>44</v>
      </c>
      <c r="D1900" s="12" t="s">
        <v>1869</v>
      </c>
      <c r="E1900" s="13" t="s">
        <v>1870</v>
      </c>
      <c r="F1900" s="12" t="s">
        <v>1026</v>
      </c>
      <c r="G1900" s="14">
        <v>16382.600000000009</v>
      </c>
      <c r="H1900" s="12" t="s">
        <v>24</v>
      </c>
      <c r="I1900" s="12">
        <v>1</v>
      </c>
      <c r="J1900" s="12" t="s">
        <v>1026</v>
      </c>
      <c r="K1900" s="12" t="s">
        <v>408</v>
      </c>
      <c r="L1900" s="12">
        <v>0</v>
      </c>
      <c r="M1900" s="15">
        <v>600000</v>
      </c>
      <c r="N1900" s="15">
        <v>0</v>
      </c>
      <c r="O1900" s="15">
        <f t="shared" si="145"/>
        <v>600000</v>
      </c>
      <c r="P1900" s="15">
        <f t="shared" si="146"/>
        <v>36.62422326126498</v>
      </c>
      <c r="Q1900" s="14">
        <v>25000</v>
      </c>
      <c r="R1900" s="12">
        <v>66</v>
      </c>
      <c r="S1900" s="12" t="s">
        <v>2411</v>
      </c>
      <c r="T1900" s="22">
        <f t="shared" si="147"/>
        <v>4</v>
      </c>
      <c r="U1900" s="22">
        <f t="shared" si="148"/>
        <v>2021</v>
      </c>
      <c r="V1900" s="22" t="str">
        <f t="shared" si="149"/>
        <v>REGIONES</v>
      </c>
    </row>
    <row r="1901" spans="1:22" x14ac:dyDescent="0.2">
      <c r="A1901" s="11" t="s">
        <v>2408</v>
      </c>
      <c r="B1901" s="12" t="s">
        <v>33</v>
      </c>
      <c r="C1901" s="12" t="s">
        <v>1642</v>
      </c>
      <c r="D1901" s="12" t="s">
        <v>125</v>
      </c>
      <c r="E1901" s="13" t="s">
        <v>126</v>
      </c>
      <c r="F1901" s="12" t="s">
        <v>46</v>
      </c>
      <c r="G1901" s="14">
        <v>3455.1</v>
      </c>
      <c r="H1901" s="12" t="s">
        <v>174</v>
      </c>
      <c r="I1901" s="12">
        <v>0</v>
      </c>
      <c r="J1901" s="12" t="s">
        <v>46</v>
      </c>
      <c r="K1901" s="12" t="s">
        <v>23</v>
      </c>
      <c r="L1901" s="12">
        <v>2</v>
      </c>
      <c r="M1901" s="15">
        <v>55000</v>
      </c>
      <c r="N1901" s="15">
        <v>0</v>
      </c>
      <c r="O1901" s="15">
        <f t="shared" si="145"/>
        <v>55000</v>
      </c>
      <c r="P1901" s="15">
        <f t="shared" si="146"/>
        <v>15.918497293855461</v>
      </c>
      <c r="Q1901" s="14">
        <v>5000</v>
      </c>
      <c r="R1901" s="12">
        <v>69</v>
      </c>
      <c r="S1901" s="12" t="s">
        <v>2412</v>
      </c>
      <c r="T1901" s="22">
        <f t="shared" si="147"/>
        <v>4</v>
      </c>
      <c r="U1901" s="22">
        <f t="shared" si="148"/>
        <v>2021</v>
      </c>
      <c r="V1901" s="22" t="str">
        <f t="shared" si="149"/>
        <v>METROPOLITANA</v>
      </c>
    </row>
    <row r="1902" spans="1:22" x14ac:dyDescent="0.2">
      <c r="A1902" s="11" t="s">
        <v>2408</v>
      </c>
      <c r="B1902" s="12" t="s">
        <v>33</v>
      </c>
      <c r="C1902" s="12" t="s">
        <v>50</v>
      </c>
      <c r="D1902" s="12" t="s">
        <v>30</v>
      </c>
      <c r="E1902" s="13" t="s">
        <v>31</v>
      </c>
      <c r="F1902" s="12" t="s">
        <v>26</v>
      </c>
      <c r="G1902" s="14">
        <v>12605.1</v>
      </c>
      <c r="H1902" s="12" t="s">
        <v>32</v>
      </c>
      <c r="I1902" s="12">
        <v>0</v>
      </c>
      <c r="J1902" s="12" t="s">
        <v>26</v>
      </c>
      <c r="K1902" s="12" t="s">
        <v>23</v>
      </c>
      <c r="L1902" s="12">
        <v>4</v>
      </c>
      <c r="M1902" s="15">
        <v>138656</v>
      </c>
      <c r="N1902" s="15">
        <v>0</v>
      </c>
      <c r="O1902" s="15">
        <f t="shared" si="145"/>
        <v>138656</v>
      </c>
      <c r="P1902" s="15">
        <f t="shared" si="146"/>
        <v>10.999992066703159</v>
      </c>
      <c r="Q1902" s="14">
        <v>5000</v>
      </c>
      <c r="R1902" s="12">
        <v>100</v>
      </c>
      <c r="S1902" s="12" t="s">
        <v>2413</v>
      </c>
      <c r="T1902" s="22">
        <f t="shared" si="147"/>
        <v>4</v>
      </c>
      <c r="U1902" s="22">
        <f t="shared" si="148"/>
        <v>2021</v>
      </c>
      <c r="V1902" s="22" t="str">
        <f t="shared" si="149"/>
        <v>METROPOLITANA</v>
      </c>
    </row>
    <row r="1903" spans="1:22" x14ac:dyDescent="0.2">
      <c r="A1903" s="11" t="s">
        <v>2408</v>
      </c>
      <c r="B1903" s="12" t="s">
        <v>33</v>
      </c>
      <c r="C1903" s="12" t="s">
        <v>50</v>
      </c>
      <c r="D1903" s="12" t="s">
        <v>41</v>
      </c>
      <c r="E1903" s="13" t="s">
        <v>42</v>
      </c>
      <c r="F1903" s="12" t="s">
        <v>26</v>
      </c>
      <c r="G1903" s="14">
        <v>12893.3</v>
      </c>
      <c r="H1903" s="12" t="s">
        <v>43</v>
      </c>
      <c r="I1903" s="12">
        <v>0</v>
      </c>
      <c r="J1903" s="12" t="s">
        <v>26</v>
      </c>
      <c r="K1903" s="12" t="s">
        <v>23</v>
      </c>
      <c r="L1903" s="12">
        <v>4</v>
      </c>
      <c r="M1903" s="15">
        <v>141826</v>
      </c>
      <c r="N1903" s="15">
        <v>0</v>
      </c>
      <c r="O1903" s="15">
        <f t="shared" si="145"/>
        <v>141826</v>
      </c>
      <c r="P1903" s="15">
        <f t="shared" si="146"/>
        <v>10.999976732101169</v>
      </c>
      <c r="Q1903" s="14">
        <v>5000</v>
      </c>
      <c r="R1903" s="12">
        <v>100</v>
      </c>
      <c r="S1903" s="12" t="s">
        <v>2414</v>
      </c>
      <c r="T1903" s="22">
        <f t="shared" si="147"/>
        <v>4</v>
      </c>
      <c r="U1903" s="22">
        <f t="shared" si="148"/>
        <v>2021</v>
      </c>
      <c r="V1903" s="22" t="str">
        <f t="shared" si="149"/>
        <v>METROPOLITANA</v>
      </c>
    </row>
    <row r="1904" spans="1:22" x14ac:dyDescent="0.2">
      <c r="A1904" s="11" t="s">
        <v>2408</v>
      </c>
      <c r="B1904" s="12" t="s">
        <v>33</v>
      </c>
      <c r="C1904" s="12" t="s">
        <v>128</v>
      </c>
      <c r="D1904" s="12" t="s">
        <v>38</v>
      </c>
      <c r="E1904" s="13" t="s">
        <v>42</v>
      </c>
      <c r="F1904" s="12" t="s">
        <v>34</v>
      </c>
      <c r="G1904" s="14">
        <v>8597.8999999999978</v>
      </c>
      <c r="H1904" s="12" t="s">
        <v>43</v>
      </c>
      <c r="I1904" s="12">
        <v>0</v>
      </c>
      <c r="J1904" s="12" t="s">
        <v>34</v>
      </c>
      <c r="K1904" s="12" t="s">
        <v>23</v>
      </c>
      <c r="L1904" s="12">
        <v>1</v>
      </c>
      <c r="M1904" s="15">
        <v>94577</v>
      </c>
      <c r="N1904" s="15">
        <v>0</v>
      </c>
      <c r="O1904" s="15">
        <f t="shared" si="145"/>
        <v>94577</v>
      </c>
      <c r="P1904" s="15">
        <f t="shared" si="146"/>
        <v>11.000011630747046</v>
      </c>
      <c r="Q1904" s="14">
        <v>5000</v>
      </c>
      <c r="R1904" s="12">
        <v>100</v>
      </c>
      <c r="S1904" s="12" t="s">
        <v>2415</v>
      </c>
      <c r="T1904" s="22">
        <f t="shared" si="147"/>
        <v>4</v>
      </c>
      <c r="U1904" s="22">
        <f t="shared" si="148"/>
        <v>2021</v>
      </c>
      <c r="V1904" s="22" t="str">
        <f t="shared" si="149"/>
        <v>METROPOLITANA</v>
      </c>
    </row>
    <row r="1905" spans="1:22" x14ac:dyDescent="0.2">
      <c r="A1905" s="11" t="s">
        <v>2408</v>
      </c>
      <c r="B1905" s="12" t="s">
        <v>33</v>
      </c>
      <c r="C1905" s="12" t="s">
        <v>128</v>
      </c>
      <c r="D1905" s="12" t="s">
        <v>37</v>
      </c>
      <c r="E1905" s="13" t="s">
        <v>40</v>
      </c>
      <c r="F1905" s="12" t="s">
        <v>34</v>
      </c>
      <c r="G1905" s="14">
        <v>9755.1999999999953</v>
      </c>
      <c r="H1905" s="12" t="s">
        <v>22</v>
      </c>
      <c r="I1905" s="12">
        <v>0</v>
      </c>
      <c r="J1905" s="12" t="s">
        <v>34</v>
      </c>
      <c r="K1905" s="12" t="s">
        <v>23</v>
      </c>
      <c r="L1905" s="12">
        <v>1</v>
      </c>
      <c r="M1905" s="15">
        <v>107307</v>
      </c>
      <c r="N1905" s="15">
        <v>0</v>
      </c>
      <c r="O1905" s="15">
        <f t="shared" si="145"/>
        <v>107307</v>
      </c>
      <c r="P1905" s="15">
        <f t="shared" si="146"/>
        <v>10.999979498113833</v>
      </c>
      <c r="Q1905" s="14">
        <v>5000</v>
      </c>
      <c r="R1905" s="12">
        <v>100</v>
      </c>
      <c r="S1905" s="12" t="s">
        <v>2416</v>
      </c>
      <c r="T1905" s="22">
        <f t="shared" si="147"/>
        <v>4</v>
      </c>
      <c r="U1905" s="22">
        <f t="shared" si="148"/>
        <v>2021</v>
      </c>
      <c r="V1905" s="22" t="str">
        <f t="shared" si="149"/>
        <v>METROPOLITANA</v>
      </c>
    </row>
    <row r="1906" spans="1:22" x14ac:dyDescent="0.2">
      <c r="A1906" s="11" t="s">
        <v>2408</v>
      </c>
      <c r="B1906" s="12" t="s">
        <v>33</v>
      </c>
      <c r="C1906" s="12" t="s">
        <v>128</v>
      </c>
      <c r="D1906" s="12" t="s">
        <v>47</v>
      </c>
      <c r="E1906" s="13" t="s">
        <v>1576</v>
      </c>
      <c r="F1906" s="12" t="s">
        <v>34</v>
      </c>
      <c r="G1906" s="14">
        <v>7698.2999999999984</v>
      </c>
      <c r="H1906" s="12" t="s">
        <v>22</v>
      </c>
      <c r="I1906" s="12">
        <v>0</v>
      </c>
      <c r="J1906" s="12" t="s">
        <v>34</v>
      </c>
      <c r="K1906" s="12" t="s">
        <v>23</v>
      </c>
      <c r="L1906" s="12">
        <v>1</v>
      </c>
      <c r="M1906" s="15">
        <v>84681</v>
      </c>
      <c r="N1906" s="15">
        <v>0</v>
      </c>
      <c r="O1906" s="15">
        <f t="shared" si="145"/>
        <v>84681</v>
      </c>
      <c r="P1906" s="15">
        <f t="shared" si="146"/>
        <v>10.999961030357355</v>
      </c>
      <c r="Q1906" s="14">
        <v>5000</v>
      </c>
      <c r="R1906" s="12">
        <v>100</v>
      </c>
      <c r="S1906" s="12" t="s">
        <v>2417</v>
      </c>
      <c r="T1906" s="22">
        <f t="shared" si="147"/>
        <v>4</v>
      </c>
      <c r="U1906" s="22">
        <f t="shared" si="148"/>
        <v>2021</v>
      </c>
      <c r="V1906" s="22" t="str">
        <f t="shared" si="149"/>
        <v>METROPOLITANA</v>
      </c>
    </row>
    <row r="1907" spans="1:22" x14ac:dyDescent="0.2">
      <c r="A1907" s="11" t="s">
        <v>2408</v>
      </c>
      <c r="B1907" s="12" t="s">
        <v>33</v>
      </c>
      <c r="C1907" s="12" t="s">
        <v>87</v>
      </c>
      <c r="D1907" s="12" t="s">
        <v>63</v>
      </c>
      <c r="E1907" s="13" t="s">
        <v>64</v>
      </c>
      <c r="F1907" s="12" t="s">
        <v>2004</v>
      </c>
      <c r="G1907" s="14">
        <v>8008.0000000000009</v>
      </c>
      <c r="H1907" s="12" t="s">
        <v>65</v>
      </c>
      <c r="I1907" s="12">
        <v>0</v>
      </c>
      <c r="J1907" s="12" t="s">
        <v>2004</v>
      </c>
      <c r="K1907" s="12" t="s">
        <v>23</v>
      </c>
      <c r="L1907" s="12">
        <v>5</v>
      </c>
      <c r="M1907" s="15">
        <v>90000</v>
      </c>
      <c r="N1907" s="15">
        <v>0</v>
      </c>
      <c r="O1907" s="15">
        <f t="shared" si="145"/>
        <v>90000</v>
      </c>
      <c r="P1907" s="15">
        <f t="shared" si="146"/>
        <v>11.238761238761237</v>
      </c>
      <c r="Q1907" s="14">
        <v>10000</v>
      </c>
      <c r="R1907" s="12">
        <v>80</v>
      </c>
      <c r="S1907" s="12" t="s">
        <v>2418</v>
      </c>
      <c r="T1907" s="22">
        <f t="shared" si="147"/>
        <v>4</v>
      </c>
      <c r="U1907" s="22">
        <f t="shared" si="148"/>
        <v>2021</v>
      </c>
      <c r="V1907" s="22" t="str">
        <f t="shared" si="149"/>
        <v>METROPOLITANA</v>
      </c>
    </row>
    <row r="1908" spans="1:22" x14ac:dyDescent="0.2">
      <c r="A1908" s="11" t="s">
        <v>2408</v>
      </c>
      <c r="B1908" s="12" t="s">
        <v>33</v>
      </c>
      <c r="C1908" s="12" t="s">
        <v>87</v>
      </c>
      <c r="D1908" s="12" t="s">
        <v>20</v>
      </c>
      <c r="E1908" s="13" t="s">
        <v>21</v>
      </c>
      <c r="F1908" s="12" t="s">
        <v>2004</v>
      </c>
      <c r="G1908" s="14">
        <v>8008.0000000000009</v>
      </c>
      <c r="H1908" s="12" t="s">
        <v>22</v>
      </c>
      <c r="I1908" s="12">
        <v>0</v>
      </c>
      <c r="J1908" s="12" t="s">
        <v>2004</v>
      </c>
      <c r="K1908" s="12" t="s">
        <v>23</v>
      </c>
      <c r="L1908" s="12">
        <v>5</v>
      </c>
      <c r="M1908" s="15">
        <v>90000</v>
      </c>
      <c r="N1908" s="15">
        <v>0</v>
      </c>
      <c r="O1908" s="15">
        <f t="shared" si="145"/>
        <v>90000</v>
      </c>
      <c r="P1908" s="15">
        <f t="shared" si="146"/>
        <v>11.238761238761237</v>
      </c>
      <c r="Q1908" s="14">
        <v>10000</v>
      </c>
      <c r="R1908" s="12">
        <v>80</v>
      </c>
      <c r="S1908" s="12" t="s">
        <v>2419</v>
      </c>
      <c r="T1908" s="22">
        <f t="shared" si="147"/>
        <v>4</v>
      </c>
      <c r="U1908" s="22">
        <f t="shared" si="148"/>
        <v>2021</v>
      </c>
      <c r="V1908" s="22" t="str">
        <f t="shared" si="149"/>
        <v>METROPOLITANA</v>
      </c>
    </row>
    <row r="1909" spans="1:22" x14ac:dyDescent="0.2">
      <c r="A1909" s="11" t="s">
        <v>2408</v>
      </c>
      <c r="B1909" s="12" t="s">
        <v>33</v>
      </c>
      <c r="C1909" s="12" t="s">
        <v>29</v>
      </c>
      <c r="D1909" s="12" t="s">
        <v>38</v>
      </c>
      <c r="E1909" s="13" t="s">
        <v>42</v>
      </c>
      <c r="F1909" s="12" t="s">
        <v>134</v>
      </c>
      <c r="G1909" s="14">
        <v>8782.1</v>
      </c>
      <c r="H1909" s="12" t="s">
        <v>43</v>
      </c>
      <c r="I1909" s="12">
        <v>0</v>
      </c>
      <c r="J1909" s="12" t="s">
        <v>134</v>
      </c>
      <c r="K1909" s="12" t="s">
        <v>23</v>
      </c>
      <c r="L1909" s="12">
        <v>2</v>
      </c>
      <c r="M1909" s="15">
        <v>96603</v>
      </c>
      <c r="N1909" s="15">
        <v>0</v>
      </c>
      <c r="O1909" s="15">
        <f t="shared" si="145"/>
        <v>96603</v>
      </c>
      <c r="P1909" s="15">
        <f t="shared" si="146"/>
        <v>10.999988613201854</v>
      </c>
      <c r="Q1909" s="14">
        <v>5000</v>
      </c>
      <c r="R1909" s="12">
        <v>100</v>
      </c>
      <c r="S1909" s="12" t="s">
        <v>2420</v>
      </c>
      <c r="T1909" s="22">
        <f t="shared" si="147"/>
        <v>4</v>
      </c>
      <c r="U1909" s="22">
        <f t="shared" si="148"/>
        <v>2021</v>
      </c>
      <c r="V1909" s="22" t="str">
        <f t="shared" si="149"/>
        <v>METROPOLITANA</v>
      </c>
    </row>
    <row r="1910" spans="1:22" x14ac:dyDescent="0.2">
      <c r="A1910" s="11" t="s">
        <v>2408</v>
      </c>
      <c r="B1910" s="12" t="s">
        <v>33</v>
      </c>
      <c r="C1910" s="12" t="s">
        <v>29</v>
      </c>
      <c r="D1910" s="12" t="s">
        <v>188</v>
      </c>
      <c r="E1910" s="13" t="s">
        <v>189</v>
      </c>
      <c r="F1910" s="12" t="s">
        <v>134</v>
      </c>
      <c r="G1910" s="14">
        <v>8426.8000000000011</v>
      </c>
      <c r="H1910" s="12" t="s">
        <v>190</v>
      </c>
      <c r="I1910" s="12">
        <v>0</v>
      </c>
      <c r="J1910" s="12" t="s">
        <v>134</v>
      </c>
      <c r="K1910" s="12" t="s">
        <v>23</v>
      </c>
      <c r="L1910" s="12">
        <v>2</v>
      </c>
      <c r="M1910" s="15">
        <v>92695</v>
      </c>
      <c r="N1910" s="15">
        <v>0</v>
      </c>
      <c r="O1910" s="15">
        <f t="shared" si="145"/>
        <v>92695</v>
      </c>
      <c r="P1910" s="15">
        <f t="shared" si="146"/>
        <v>11.00002373380168</v>
      </c>
      <c r="Q1910" s="14">
        <v>5000</v>
      </c>
      <c r="R1910" s="12">
        <v>100</v>
      </c>
      <c r="S1910" s="12" t="s">
        <v>2421</v>
      </c>
      <c r="T1910" s="22">
        <f t="shared" si="147"/>
        <v>4</v>
      </c>
      <c r="U1910" s="22">
        <f t="shared" si="148"/>
        <v>2021</v>
      </c>
      <c r="V1910" s="22" t="str">
        <f t="shared" si="149"/>
        <v>METROPOLITANA</v>
      </c>
    </row>
    <row r="1911" spans="1:22" x14ac:dyDescent="0.2">
      <c r="A1911" s="11" t="s">
        <v>2408</v>
      </c>
      <c r="B1911" s="12" t="s">
        <v>33</v>
      </c>
      <c r="C1911" s="12" t="s">
        <v>29</v>
      </c>
      <c r="D1911" s="12" t="s">
        <v>786</v>
      </c>
      <c r="E1911" s="13" t="s">
        <v>787</v>
      </c>
      <c r="F1911" s="12" t="s">
        <v>173</v>
      </c>
      <c r="G1911" s="14">
        <v>18760</v>
      </c>
      <c r="H1911" s="12" t="s">
        <v>788</v>
      </c>
      <c r="I1911" s="12">
        <v>1</v>
      </c>
      <c r="J1911" s="12" t="s">
        <v>173</v>
      </c>
      <c r="K1911" s="12" t="s">
        <v>23</v>
      </c>
      <c r="L1911" s="12">
        <v>5</v>
      </c>
      <c r="M1911" s="15">
        <f>+G1911*11</f>
        <v>206360</v>
      </c>
      <c r="N1911" s="15">
        <v>0</v>
      </c>
      <c r="O1911" s="15">
        <f t="shared" si="145"/>
        <v>206360</v>
      </c>
      <c r="P1911" s="15">
        <f t="shared" si="146"/>
        <v>11</v>
      </c>
      <c r="Q1911" s="14">
        <v>10000</v>
      </c>
      <c r="R1911" s="12">
        <v>100</v>
      </c>
      <c r="S1911" s="12" t="s">
        <v>2422</v>
      </c>
      <c r="T1911" s="22">
        <f t="shared" si="147"/>
        <v>4</v>
      </c>
      <c r="U1911" s="22">
        <f t="shared" si="148"/>
        <v>2021</v>
      </c>
      <c r="V1911" s="22" t="str">
        <f t="shared" si="149"/>
        <v>METROPOLITANA</v>
      </c>
    </row>
    <row r="1912" spans="1:22" x14ac:dyDescent="0.2">
      <c r="A1912" s="11" t="s">
        <v>2408</v>
      </c>
      <c r="B1912" s="12" t="s">
        <v>33</v>
      </c>
      <c r="C1912" s="12" t="s">
        <v>29</v>
      </c>
      <c r="D1912" s="12" t="s">
        <v>35</v>
      </c>
      <c r="E1912" s="13" t="s">
        <v>1576</v>
      </c>
      <c r="F1912" s="12" t="s">
        <v>39</v>
      </c>
      <c r="G1912" s="14">
        <v>907.2</v>
      </c>
      <c r="H1912" s="12" t="s">
        <v>22</v>
      </c>
      <c r="I1912" s="12">
        <v>0</v>
      </c>
      <c r="J1912" s="12" t="s">
        <v>39</v>
      </c>
      <c r="K1912" s="12" t="s">
        <v>23</v>
      </c>
      <c r="L1912" s="12">
        <v>1</v>
      </c>
      <c r="M1912" s="15">
        <v>55000</v>
      </c>
      <c r="N1912" s="15">
        <v>0</v>
      </c>
      <c r="O1912" s="15">
        <f t="shared" si="145"/>
        <v>55000</v>
      </c>
      <c r="P1912" s="15">
        <f t="shared" si="146"/>
        <v>60.626102292768955</v>
      </c>
      <c r="Q1912" s="14">
        <v>5000</v>
      </c>
      <c r="R1912" s="12">
        <v>18</v>
      </c>
      <c r="S1912" s="12" t="s">
        <v>2423</v>
      </c>
      <c r="T1912" s="22">
        <f t="shared" si="147"/>
        <v>4</v>
      </c>
      <c r="U1912" s="22">
        <f t="shared" si="148"/>
        <v>2021</v>
      </c>
      <c r="V1912" s="22" t="str">
        <f t="shared" si="149"/>
        <v>METROPOLITANA</v>
      </c>
    </row>
    <row r="1913" spans="1:22" x14ac:dyDescent="0.2">
      <c r="A1913" s="11" t="s">
        <v>2408</v>
      </c>
      <c r="B1913" s="12" t="s">
        <v>33</v>
      </c>
      <c r="C1913" s="12" t="s">
        <v>29</v>
      </c>
      <c r="D1913" s="12" t="s">
        <v>164</v>
      </c>
      <c r="E1913" s="13" t="s">
        <v>28</v>
      </c>
      <c r="F1913" s="12" t="s">
        <v>170</v>
      </c>
      <c r="G1913" s="14">
        <v>13747.36</v>
      </c>
      <c r="H1913" s="12" t="s">
        <v>22</v>
      </c>
      <c r="I1913" s="12">
        <v>1</v>
      </c>
      <c r="J1913" s="12" t="s">
        <v>170</v>
      </c>
      <c r="K1913" s="12" t="s">
        <v>171</v>
      </c>
      <c r="L1913" s="12">
        <v>0</v>
      </c>
      <c r="M1913" s="15">
        <v>230000</v>
      </c>
      <c r="N1913" s="15">
        <v>0</v>
      </c>
      <c r="O1913" s="15">
        <f t="shared" si="145"/>
        <v>230000</v>
      </c>
      <c r="P1913" s="15">
        <f t="shared" si="146"/>
        <v>16.730484980388962</v>
      </c>
      <c r="Q1913" s="14">
        <v>25000</v>
      </c>
      <c r="R1913" s="12">
        <v>55</v>
      </c>
      <c r="S1913" s="12" t="s">
        <v>2424</v>
      </c>
      <c r="T1913" s="22">
        <f t="shared" si="147"/>
        <v>4</v>
      </c>
      <c r="U1913" s="22">
        <f t="shared" si="148"/>
        <v>2021</v>
      </c>
      <c r="V1913" s="22" t="str">
        <f t="shared" si="149"/>
        <v>REGIONES</v>
      </c>
    </row>
    <row r="1914" spans="1:22" x14ac:dyDescent="0.2">
      <c r="A1914" s="11" t="s">
        <v>2408</v>
      </c>
      <c r="B1914" s="12" t="s">
        <v>33</v>
      </c>
      <c r="C1914" s="12" t="s">
        <v>44</v>
      </c>
      <c r="D1914" s="12" t="s">
        <v>61</v>
      </c>
      <c r="E1914" s="13" t="s">
        <v>62</v>
      </c>
      <c r="F1914" s="12" t="s">
        <v>114</v>
      </c>
      <c r="G1914" s="14">
        <v>16861.260000000009</v>
      </c>
      <c r="H1914" s="12" t="s">
        <v>85</v>
      </c>
      <c r="I1914" s="12">
        <v>1</v>
      </c>
      <c r="J1914" s="12" t="s">
        <v>114</v>
      </c>
      <c r="K1914" s="12" t="s">
        <v>75</v>
      </c>
      <c r="L1914" s="12">
        <v>0</v>
      </c>
      <c r="M1914" s="15">
        <v>380000</v>
      </c>
      <c r="N1914" s="15">
        <v>0</v>
      </c>
      <c r="O1914" s="15">
        <f t="shared" si="145"/>
        <v>380000</v>
      </c>
      <c r="P1914" s="15">
        <f t="shared" si="146"/>
        <v>22.536868537701203</v>
      </c>
      <c r="Q1914" s="14">
        <v>25000</v>
      </c>
      <c r="R1914" s="12">
        <v>67</v>
      </c>
      <c r="S1914" s="12" t="s">
        <v>2425</v>
      </c>
      <c r="T1914" s="22">
        <f t="shared" si="147"/>
        <v>4</v>
      </c>
      <c r="U1914" s="22">
        <f t="shared" si="148"/>
        <v>2021</v>
      </c>
      <c r="V1914" s="22" t="str">
        <f t="shared" si="149"/>
        <v>REGIONES</v>
      </c>
    </row>
    <row r="1915" spans="1:22" x14ac:dyDescent="0.2">
      <c r="A1915" s="23" t="s">
        <v>2426</v>
      </c>
      <c r="B1915" s="22" t="s">
        <v>18</v>
      </c>
      <c r="C1915" s="22" t="s">
        <v>57</v>
      </c>
      <c r="D1915" s="22" t="s">
        <v>27</v>
      </c>
      <c r="E1915" s="24" t="s">
        <v>2427</v>
      </c>
      <c r="F1915" s="22" t="s">
        <v>120</v>
      </c>
      <c r="G1915" s="25">
        <v>7829.73</v>
      </c>
      <c r="H1915" s="22" t="s">
        <v>22</v>
      </c>
      <c r="I1915" s="22">
        <v>1</v>
      </c>
      <c r="J1915" s="22" t="s">
        <v>120</v>
      </c>
      <c r="K1915" s="22" t="s">
        <v>23</v>
      </c>
      <c r="L1915" s="22">
        <v>5</v>
      </c>
      <c r="M1915" s="26">
        <v>120000</v>
      </c>
      <c r="N1915" s="26">
        <v>0</v>
      </c>
      <c r="O1915" s="15">
        <f t="shared" si="145"/>
        <v>120000</v>
      </c>
      <c r="P1915" s="15">
        <f t="shared" si="146"/>
        <v>15.326198987704558</v>
      </c>
      <c r="Q1915" s="25">
        <v>10000</v>
      </c>
      <c r="R1915" s="22">
        <v>78</v>
      </c>
      <c r="S1915" s="22" t="s">
        <v>2428</v>
      </c>
      <c r="T1915" s="22">
        <f t="shared" si="147"/>
        <v>4</v>
      </c>
      <c r="U1915" s="22">
        <f t="shared" si="148"/>
        <v>2021</v>
      </c>
      <c r="V1915" s="22" t="str">
        <f t="shared" si="149"/>
        <v>METROPOLITANA</v>
      </c>
    </row>
    <row r="1916" spans="1:22" x14ac:dyDescent="0.2">
      <c r="A1916" s="23" t="s">
        <v>2426</v>
      </c>
      <c r="B1916" s="22" t="s">
        <v>18</v>
      </c>
      <c r="C1916" s="22" t="s">
        <v>324</v>
      </c>
      <c r="D1916" s="22" t="s">
        <v>30</v>
      </c>
      <c r="E1916" s="24" t="s">
        <v>31</v>
      </c>
      <c r="F1916" s="22" t="s">
        <v>325</v>
      </c>
      <c r="G1916" s="25">
        <v>8482.4999999999982</v>
      </c>
      <c r="H1916" s="22" t="s">
        <v>32</v>
      </c>
      <c r="I1916" s="22">
        <v>0</v>
      </c>
      <c r="J1916" s="22" t="s">
        <v>325</v>
      </c>
      <c r="K1916" s="22" t="s">
        <v>78</v>
      </c>
      <c r="L1916" s="22">
        <v>0</v>
      </c>
      <c r="M1916" s="26">
        <v>180000</v>
      </c>
      <c r="N1916" s="26">
        <v>0</v>
      </c>
      <c r="O1916" s="15">
        <f t="shared" si="145"/>
        <v>180000</v>
      </c>
      <c r="P1916" s="15">
        <f t="shared" si="146"/>
        <v>21.220159151193638</v>
      </c>
      <c r="Q1916" s="25">
        <v>25000</v>
      </c>
      <c r="R1916" s="22">
        <v>34</v>
      </c>
      <c r="S1916" s="22" t="s">
        <v>2429</v>
      </c>
      <c r="T1916" s="22">
        <f t="shared" si="147"/>
        <v>4</v>
      </c>
      <c r="U1916" s="22">
        <f t="shared" si="148"/>
        <v>2021</v>
      </c>
      <c r="V1916" s="22" t="str">
        <f t="shared" si="149"/>
        <v>REGIONES</v>
      </c>
    </row>
    <row r="1917" spans="1:22" x14ac:dyDescent="0.2">
      <c r="A1917" s="23" t="s">
        <v>2426</v>
      </c>
      <c r="B1917" s="22" t="s">
        <v>18</v>
      </c>
      <c r="C1917" s="22" t="s">
        <v>44</v>
      </c>
      <c r="D1917" s="22" t="s">
        <v>41</v>
      </c>
      <c r="E1917" s="24" t="s">
        <v>25</v>
      </c>
      <c r="F1917" s="22" t="s">
        <v>39</v>
      </c>
      <c r="G1917" s="25">
        <v>8075.9700000000012</v>
      </c>
      <c r="H1917" s="22" t="s">
        <v>43</v>
      </c>
      <c r="I1917" s="22">
        <v>0</v>
      </c>
      <c r="J1917" s="22" t="s">
        <v>39</v>
      </c>
      <c r="K1917" s="22" t="s">
        <v>23</v>
      </c>
      <c r="L1917" s="22">
        <v>1</v>
      </c>
      <c r="M1917" s="26">
        <v>88836</v>
      </c>
      <c r="N1917" s="26">
        <v>0</v>
      </c>
      <c r="O1917" s="15">
        <f t="shared" si="145"/>
        <v>88836</v>
      </c>
      <c r="P1917" s="15">
        <f t="shared" si="146"/>
        <v>11.000040861964568</v>
      </c>
      <c r="Q1917" s="25">
        <v>5000</v>
      </c>
      <c r="R1917" s="22">
        <v>100</v>
      </c>
      <c r="S1917" s="22" t="s">
        <v>2430</v>
      </c>
      <c r="T1917" s="22">
        <f t="shared" si="147"/>
        <v>4</v>
      </c>
      <c r="U1917" s="22">
        <f t="shared" si="148"/>
        <v>2021</v>
      </c>
      <c r="V1917" s="22" t="str">
        <f t="shared" si="149"/>
        <v>METROPOLITANA</v>
      </c>
    </row>
    <row r="1918" spans="1:22" x14ac:dyDescent="0.2">
      <c r="A1918" s="23" t="s">
        <v>2426</v>
      </c>
      <c r="B1918" s="22" t="s">
        <v>33</v>
      </c>
      <c r="C1918" s="22" t="s">
        <v>2431</v>
      </c>
      <c r="D1918" s="22" t="s">
        <v>35</v>
      </c>
      <c r="E1918" s="24" t="s">
        <v>49</v>
      </c>
      <c r="F1918" s="22" t="s">
        <v>67</v>
      </c>
      <c r="G1918" s="25">
        <v>1266</v>
      </c>
      <c r="H1918" s="22" t="s">
        <v>22</v>
      </c>
      <c r="I1918" s="22">
        <v>0</v>
      </c>
      <c r="J1918" s="22" t="s">
        <v>67</v>
      </c>
      <c r="K1918" s="22" t="s">
        <v>23</v>
      </c>
      <c r="L1918" s="22">
        <v>2</v>
      </c>
      <c r="M1918" s="26">
        <v>55000</v>
      </c>
      <c r="N1918" s="26">
        <v>0</v>
      </c>
      <c r="O1918" s="15">
        <f t="shared" si="145"/>
        <v>55000</v>
      </c>
      <c r="P1918" s="15">
        <f t="shared" si="146"/>
        <v>43.443917851500792</v>
      </c>
      <c r="Q1918" s="25">
        <v>5000</v>
      </c>
      <c r="R1918" s="22">
        <v>25</v>
      </c>
      <c r="S1918" s="22" t="s">
        <v>2432</v>
      </c>
      <c r="T1918" s="22">
        <f t="shared" si="147"/>
        <v>4</v>
      </c>
      <c r="U1918" s="22">
        <f t="shared" si="148"/>
        <v>2021</v>
      </c>
      <c r="V1918" s="22" t="str">
        <f t="shared" si="149"/>
        <v>METROPOLITANA</v>
      </c>
    </row>
    <row r="1919" spans="1:22" x14ac:dyDescent="0.2">
      <c r="A1919" s="23" t="s">
        <v>2426</v>
      </c>
      <c r="B1919" s="22" t="s">
        <v>33</v>
      </c>
      <c r="C1919" s="22" t="s">
        <v>128</v>
      </c>
      <c r="D1919" s="22" t="s">
        <v>38</v>
      </c>
      <c r="E1919" s="24" t="s">
        <v>42</v>
      </c>
      <c r="F1919" s="22" t="s">
        <v>34</v>
      </c>
      <c r="G1919" s="25">
        <v>9755.1999999999953</v>
      </c>
      <c r="H1919" s="22" t="s">
        <v>43</v>
      </c>
      <c r="I1919" s="22">
        <v>0</v>
      </c>
      <c r="J1919" s="22" t="s">
        <v>34</v>
      </c>
      <c r="K1919" s="22" t="s">
        <v>23</v>
      </c>
      <c r="L1919" s="22">
        <v>1</v>
      </c>
      <c r="M1919" s="26">
        <v>107307</v>
      </c>
      <c r="N1919" s="26">
        <v>0</v>
      </c>
      <c r="O1919" s="15">
        <f t="shared" si="145"/>
        <v>107307</v>
      </c>
      <c r="P1919" s="15">
        <f t="shared" si="146"/>
        <v>10.999979498113833</v>
      </c>
      <c r="Q1919" s="25">
        <v>5000</v>
      </c>
      <c r="R1919" s="22">
        <v>100</v>
      </c>
      <c r="S1919" s="22" t="s">
        <v>2433</v>
      </c>
      <c r="T1919" s="22">
        <f t="shared" si="147"/>
        <v>4</v>
      </c>
      <c r="U1919" s="22">
        <f t="shared" si="148"/>
        <v>2021</v>
      </c>
      <c r="V1919" s="22" t="str">
        <f t="shared" si="149"/>
        <v>METROPOLITANA</v>
      </c>
    </row>
    <row r="1920" spans="1:22" x14ac:dyDescent="0.2">
      <c r="A1920" s="23" t="s">
        <v>2426</v>
      </c>
      <c r="B1920" s="22" t="s">
        <v>33</v>
      </c>
      <c r="C1920" s="22" t="s">
        <v>128</v>
      </c>
      <c r="D1920" s="22" t="s">
        <v>188</v>
      </c>
      <c r="E1920" s="24" t="s">
        <v>189</v>
      </c>
      <c r="F1920" s="22" t="s">
        <v>129</v>
      </c>
      <c r="G1920" s="25">
        <v>4141.2</v>
      </c>
      <c r="H1920" s="22" t="s">
        <v>190</v>
      </c>
      <c r="I1920" s="22">
        <v>0</v>
      </c>
      <c r="J1920" s="22" t="s">
        <v>129</v>
      </c>
      <c r="K1920" s="22" t="s">
        <v>23</v>
      </c>
      <c r="L1920" s="22">
        <v>1</v>
      </c>
      <c r="M1920" s="26">
        <v>55000</v>
      </c>
      <c r="N1920" s="26">
        <v>0</v>
      </c>
      <c r="O1920" s="15">
        <f t="shared" si="145"/>
        <v>55000</v>
      </c>
      <c r="P1920" s="15">
        <f t="shared" si="146"/>
        <v>13.28117453878103</v>
      </c>
      <c r="Q1920" s="25">
        <v>5000</v>
      </c>
      <c r="R1920" s="22">
        <v>83</v>
      </c>
      <c r="S1920" s="22" t="s">
        <v>2434</v>
      </c>
      <c r="T1920" s="22">
        <f t="shared" si="147"/>
        <v>4</v>
      </c>
      <c r="U1920" s="22">
        <f t="shared" si="148"/>
        <v>2021</v>
      </c>
      <c r="V1920" s="22" t="str">
        <f t="shared" si="149"/>
        <v>METROPOLITANA</v>
      </c>
    </row>
    <row r="1921" spans="1:22" x14ac:dyDescent="0.2">
      <c r="A1921" s="23" t="s">
        <v>2426</v>
      </c>
      <c r="B1921" s="22" t="s">
        <v>33</v>
      </c>
      <c r="C1921" s="22" t="s">
        <v>128</v>
      </c>
      <c r="D1921" s="22" t="s">
        <v>37</v>
      </c>
      <c r="E1921" s="24" t="s">
        <v>40</v>
      </c>
      <c r="F1921" s="22" t="s">
        <v>34</v>
      </c>
      <c r="G1921" s="25">
        <v>9755.1999999999953</v>
      </c>
      <c r="H1921" s="22" t="s">
        <v>22</v>
      </c>
      <c r="I1921" s="22">
        <v>0</v>
      </c>
      <c r="J1921" s="22" t="s">
        <v>34</v>
      </c>
      <c r="K1921" s="22" t="s">
        <v>23</v>
      </c>
      <c r="L1921" s="22">
        <v>1</v>
      </c>
      <c r="M1921" s="26">
        <v>107307</v>
      </c>
      <c r="N1921" s="26">
        <v>0</v>
      </c>
      <c r="O1921" s="15">
        <f t="shared" si="145"/>
        <v>107307</v>
      </c>
      <c r="P1921" s="15">
        <f t="shared" si="146"/>
        <v>10.999979498113833</v>
      </c>
      <c r="Q1921" s="25">
        <v>5000</v>
      </c>
      <c r="R1921" s="22">
        <v>100</v>
      </c>
      <c r="S1921" s="22" t="s">
        <v>2435</v>
      </c>
      <c r="T1921" s="22">
        <f t="shared" si="147"/>
        <v>4</v>
      </c>
      <c r="U1921" s="22">
        <f t="shared" si="148"/>
        <v>2021</v>
      </c>
      <c r="V1921" s="22" t="str">
        <f t="shared" si="149"/>
        <v>METROPOLITANA</v>
      </c>
    </row>
    <row r="1922" spans="1:22" x14ac:dyDescent="0.2">
      <c r="A1922" s="23" t="s">
        <v>2426</v>
      </c>
      <c r="B1922" s="22" t="s">
        <v>33</v>
      </c>
      <c r="C1922" s="22" t="s">
        <v>128</v>
      </c>
      <c r="D1922" s="22" t="s">
        <v>47</v>
      </c>
      <c r="E1922" s="24" t="s">
        <v>1576</v>
      </c>
      <c r="F1922" s="22" t="s">
        <v>34</v>
      </c>
      <c r="G1922" s="25">
        <v>9755.1999999999953</v>
      </c>
      <c r="H1922" s="22" t="s">
        <v>22</v>
      </c>
      <c r="I1922" s="22">
        <v>0</v>
      </c>
      <c r="J1922" s="22" t="s">
        <v>34</v>
      </c>
      <c r="K1922" s="22" t="s">
        <v>23</v>
      </c>
      <c r="L1922" s="22">
        <v>1</v>
      </c>
      <c r="M1922" s="26">
        <v>107307</v>
      </c>
      <c r="N1922" s="26">
        <v>0</v>
      </c>
      <c r="O1922" s="15">
        <f t="shared" ref="O1922:O1985" si="150">SUM(M1922:N1922)</f>
        <v>107307</v>
      </c>
      <c r="P1922" s="15">
        <f t="shared" ref="P1922:P1985" si="151">O1922/G1922</f>
        <v>10.999979498113833</v>
      </c>
      <c r="Q1922" s="25">
        <v>5000</v>
      </c>
      <c r="R1922" s="22">
        <v>100</v>
      </c>
      <c r="S1922" s="22" t="s">
        <v>2436</v>
      </c>
      <c r="T1922" s="22">
        <f t="shared" ref="T1922:T1985" si="152">MONTH(A1922)</f>
        <v>4</v>
      </c>
      <c r="U1922" s="22">
        <f t="shared" ref="U1922:U1985" si="153">YEAR(A1922)</f>
        <v>2021</v>
      </c>
      <c r="V1922" s="22" t="str">
        <f t="shared" ref="V1922:V1985" si="154">IF(K1922="METROPOLITANA DE SANTIAGO","METROPOLITANA","REGIONES")</f>
        <v>METROPOLITANA</v>
      </c>
    </row>
    <row r="1923" spans="1:22" x14ac:dyDescent="0.2">
      <c r="A1923" s="23" t="s">
        <v>2426</v>
      </c>
      <c r="B1923" s="22" t="s">
        <v>33</v>
      </c>
      <c r="C1923" s="22" t="s">
        <v>128</v>
      </c>
      <c r="D1923" s="22" t="s">
        <v>20</v>
      </c>
      <c r="E1923" s="24" t="s">
        <v>21</v>
      </c>
      <c r="F1923" s="22" t="s">
        <v>34</v>
      </c>
      <c r="G1923" s="25">
        <v>9755.1999999999953</v>
      </c>
      <c r="H1923" s="22" t="s">
        <v>22</v>
      </c>
      <c r="I1923" s="22">
        <v>0</v>
      </c>
      <c r="J1923" s="22" t="s">
        <v>34</v>
      </c>
      <c r="K1923" s="22" t="s">
        <v>23</v>
      </c>
      <c r="L1923" s="22">
        <v>1</v>
      </c>
      <c r="M1923" s="26">
        <v>107307</v>
      </c>
      <c r="N1923" s="26">
        <v>0</v>
      </c>
      <c r="O1923" s="15">
        <f t="shared" si="150"/>
        <v>107307</v>
      </c>
      <c r="P1923" s="15">
        <f t="shared" si="151"/>
        <v>10.999979498113833</v>
      </c>
      <c r="Q1923" s="25">
        <v>5000</v>
      </c>
      <c r="R1923" s="22">
        <v>100</v>
      </c>
      <c r="S1923" s="22" t="s">
        <v>2437</v>
      </c>
      <c r="T1923" s="22">
        <f t="shared" si="152"/>
        <v>4</v>
      </c>
      <c r="U1923" s="22">
        <f t="shared" si="153"/>
        <v>2021</v>
      </c>
      <c r="V1923" s="22" t="str">
        <f t="shared" si="154"/>
        <v>METROPOLITANA</v>
      </c>
    </row>
    <row r="1924" spans="1:22" x14ac:dyDescent="0.2">
      <c r="A1924" s="23" t="s">
        <v>2426</v>
      </c>
      <c r="B1924" s="22" t="s">
        <v>33</v>
      </c>
      <c r="C1924" s="22" t="s">
        <v>29</v>
      </c>
      <c r="D1924" s="22" t="s">
        <v>56</v>
      </c>
      <c r="E1924" s="24" t="s">
        <v>21</v>
      </c>
      <c r="F1924" s="22" t="s">
        <v>134</v>
      </c>
      <c r="G1924" s="25">
        <v>6753.5999999999995</v>
      </c>
      <c r="H1924" s="22" t="s">
        <v>22</v>
      </c>
      <c r="I1924" s="22">
        <v>0</v>
      </c>
      <c r="J1924" s="22" t="s">
        <v>134</v>
      </c>
      <c r="K1924" s="22" t="s">
        <v>23</v>
      </c>
      <c r="L1924" s="22">
        <v>2</v>
      </c>
      <c r="M1924" s="26">
        <v>74290</v>
      </c>
      <c r="N1924" s="26">
        <v>0</v>
      </c>
      <c r="O1924" s="15">
        <f t="shared" si="150"/>
        <v>74290</v>
      </c>
      <c r="P1924" s="15">
        <f t="shared" si="151"/>
        <v>11.000059227671169</v>
      </c>
      <c r="Q1924" s="25">
        <v>5000</v>
      </c>
      <c r="R1924" s="22">
        <v>100</v>
      </c>
      <c r="S1924" s="22" t="s">
        <v>2438</v>
      </c>
      <c r="T1924" s="22">
        <f t="shared" si="152"/>
        <v>4</v>
      </c>
      <c r="U1924" s="22">
        <f t="shared" si="153"/>
        <v>2021</v>
      </c>
      <c r="V1924" s="22" t="str">
        <f t="shared" si="154"/>
        <v>METROPOLITANA</v>
      </c>
    </row>
    <row r="1925" spans="1:22" x14ac:dyDescent="0.2">
      <c r="A1925" s="23" t="s">
        <v>2426</v>
      </c>
      <c r="B1925" s="22" t="s">
        <v>33</v>
      </c>
      <c r="C1925" s="22" t="s">
        <v>29</v>
      </c>
      <c r="D1925" s="22" t="s">
        <v>188</v>
      </c>
      <c r="E1925" s="24" t="s">
        <v>189</v>
      </c>
      <c r="F1925" s="22" t="s">
        <v>134</v>
      </c>
      <c r="G1925" s="25">
        <v>6753.5999999999995</v>
      </c>
      <c r="H1925" s="22" t="s">
        <v>190</v>
      </c>
      <c r="I1925" s="22">
        <v>0</v>
      </c>
      <c r="J1925" s="22" t="s">
        <v>134</v>
      </c>
      <c r="K1925" s="22" t="s">
        <v>23</v>
      </c>
      <c r="L1925" s="22">
        <v>2</v>
      </c>
      <c r="M1925" s="26">
        <v>74290</v>
      </c>
      <c r="N1925" s="26">
        <v>0</v>
      </c>
      <c r="O1925" s="15">
        <f t="shared" si="150"/>
        <v>74290</v>
      </c>
      <c r="P1925" s="15">
        <f t="shared" si="151"/>
        <v>11.000059227671169</v>
      </c>
      <c r="Q1925" s="25">
        <v>5000</v>
      </c>
      <c r="R1925" s="22">
        <v>100</v>
      </c>
      <c r="S1925" s="22" t="s">
        <v>2439</v>
      </c>
      <c r="T1925" s="22">
        <f t="shared" si="152"/>
        <v>4</v>
      </c>
      <c r="U1925" s="22">
        <f t="shared" si="153"/>
        <v>2021</v>
      </c>
      <c r="V1925" s="22" t="str">
        <f t="shared" si="154"/>
        <v>METROPOLITANA</v>
      </c>
    </row>
    <row r="1926" spans="1:22" x14ac:dyDescent="0.2">
      <c r="A1926" s="23" t="s">
        <v>2426</v>
      </c>
      <c r="B1926" s="22" t="s">
        <v>33</v>
      </c>
      <c r="C1926" s="22" t="s">
        <v>29</v>
      </c>
      <c r="D1926" s="22" t="s">
        <v>45</v>
      </c>
      <c r="E1926" s="24" t="s">
        <v>1576</v>
      </c>
      <c r="F1926" s="22" t="s">
        <v>134</v>
      </c>
      <c r="G1926" s="25">
        <v>6901.9999999999991</v>
      </c>
      <c r="H1926" s="22" t="s">
        <v>22</v>
      </c>
      <c r="I1926" s="22">
        <v>0</v>
      </c>
      <c r="J1926" s="22" t="s">
        <v>134</v>
      </c>
      <c r="K1926" s="22" t="s">
        <v>23</v>
      </c>
      <c r="L1926" s="22">
        <v>2</v>
      </c>
      <c r="M1926" s="26">
        <v>75922</v>
      </c>
      <c r="N1926" s="26">
        <v>0</v>
      </c>
      <c r="O1926" s="15">
        <f t="shared" si="150"/>
        <v>75922</v>
      </c>
      <c r="P1926" s="15">
        <f t="shared" si="151"/>
        <v>11.000000000000002</v>
      </c>
      <c r="Q1926" s="25">
        <v>5000</v>
      </c>
      <c r="R1926" s="22">
        <v>100</v>
      </c>
      <c r="S1926" s="22" t="s">
        <v>2440</v>
      </c>
      <c r="T1926" s="22">
        <f t="shared" si="152"/>
        <v>4</v>
      </c>
      <c r="U1926" s="22">
        <f t="shared" si="153"/>
        <v>2021</v>
      </c>
      <c r="V1926" s="22" t="str">
        <f t="shared" si="154"/>
        <v>METROPOLITANA</v>
      </c>
    </row>
    <row r="1927" spans="1:22" x14ac:dyDescent="0.2">
      <c r="A1927" s="23" t="s">
        <v>2426</v>
      </c>
      <c r="B1927" s="22" t="s">
        <v>33</v>
      </c>
      <c r="C1927" s="22" t="s">
        <v>2441</v>
      </c>
      <c r="D1927" s="22" t="s">
        <v>63</v>
      </c>
      <c r="E1927" s="24" t="s">
        <v>64</v>
      </c>
      <c r="F1927" s="22" t="s">
        <v>89</v>
      </c>
      <c r="G1927" s="25">
        <v>5525.52</v>
      </c>
      <c r="H1927" s="22" t="s">
        <v>65</v>
      </c>
      <c r="I1927" s="22">
        <v>0</v>
      </c>
      <c r="J1927" s="22" t="s">
        <v>89</v>
      </c>
      <c r="K1927" s="22" t="s">
        <v>23</v>
      </c>
      <c r="L1927" s="22">
        <v>5</v>
      </c>
      <c r="M1927" s="26">
        <v>90000</v>
      </c>
      <c r="N1927" s="26">
        <v>0</v>
      </c>
      <c r="O1927" s="15">
        <f t="shared" si="150"/>
        <v>90000</v>
      </c>
      <c r="P1927" s="15">
        <f t="shared" si="151"/>
        <v>16.288059766320636</v>
      </c>
      <c r="Q1927" s="25">
        <v>10000</v>
      </c>
      <c r="R1927" s="22">
        <v>55</v>
      </c>
      <c r="S1927" s="22" t="s">
        <v>2442</v>
      </c>
      <c r="T1927" s="22">
        <f t="shared" si="152"/>
        <v>4</v>
      </c>
      <c r="U1927" s="22">
        <f t="shared" si="153"/>
        <v>2021</v>
      </c>
      <c r="V1927" s="22" t="str">
        <f t="shared" si="154"/>
        <v>METROPOLITANA</v>
      </c>
    </row>
    <row r="1928" spans="1:22" x14ac:dyDescent="0.2">
      <c r="A1928" s="23" t="s">
        <v>2426</v>
      </c>
      <c r="B1928" s="22" t="s">
        <v>33</v>
      </c>
      <c r="C1928" s="22" t="s">
        <v>2441</v>
      </c>
      <c r="D1928" s="22" t="s">
        <v>41</v>
      </c>
      <c r="E1928" s="24" t="s">
        <v>25</v>
      </c>
      <c r="F1928" s="22" t="s">
        <v>67</v>
      </c>
      <c r="G1928" s="25">
        <v>6686.68</v>
      </c>
      <c r="H1928" s="22" t="s">
        <v>43</v>
      </c>
      <c r="I1928" s="22">
        <v>0</v>
      </c>
      <c r="J1928" s="22" t="s">
        <v>67</v>
      </c>
      <c r="K1928" s="22" t="s">
        <v>23</v>
      </c>
      <c r="L1928" s="22">
        <v>2</v>
      </c>
      <c r="M1928" s="26">
        <v>73553</v>
      </c>
      <c r="N1928" s="26">
        <v>0</v>
      </c>
      <c r="O1928" s="15">
        <f t="shared" si="150"/>
        <v>73553</v>
      </c>
      <c r="P1928" s="15">
        <f t="shared" si="151"/>
        <v>10.999928215497077</v>
      </c>
      <c r="Q1928" s="25">
        <v>5000</v>
      </c>
      <c r="R1928" s="22">
        <v>100</v>
      </c>
      <c r="S1928" s="22" t="s">
        <v>2443</v>
      </c>
      <c r="T1928" s="22">
        <f t="shared" si="152"/>
        <v>4</v>
      </c>
      <c r="U1928" s="22">
        <f t="shared" si="153"/>
        <v>2021</v>
      </c>
      <c r="V1928" s="22" t="str">
        <f t="shared" si="154"/>
        <v>METROPOLITANA</v>
      </c>
    </row>
    <row r="1929" spans="1:22" x14ac:dyDescent="0.2">
      <c r="A1929" s="23" t="s">
        <v>2426</v>
      </c>
      <c r="B1929" s="22" t="s">
        <v>33</v>
      </c>
      <c r="C1929" s="22" t="s">
        <v>2441</v>
      </c>
      <c r="D1929" s="22" t="s">
        <v>20</v>
      </c>
      <c r="E1929" s="24" t="s">
        <v>21</v>
      </c>
      <c r="F1929" s="22" t="s">
        <v>89</v>
      </c>
      <c r="G1929" s="25">
        <v>6406.4000000000005</v>
      </c>
      <c r="H1929" s="22" t="s">
        <v>22</v>
      </c>
      <c r="I1929" s="22">
        <v>0</v>
      </c>
      <c r="J1929" s="22" t="s">
        <v>89</v>
      </c>
      <c r="K1929" s="22" t="s">
        <v>23</v>
      </c>
      <c r="L1929" s="22">
        <v>5</v>
      </c>
      <c r="M1929" s="26">
        <v>90000</v>
      </c>
      <c r="N1929" s="26">
        <v>0</v>
      </c>
      <c r="O1929" s="15">
        <f t="shared" si="150"/>
        <v>90000</v>
      </c>
      <c r="P1929" s="15">
        <f t="shared" si="151"/>
        <v>14.048451548451547</v>
      </c>
      <c r="Q1929" s="25">
        <v>10000</v>
      </c>
      <c r="R1929" s="22">
        <v>64</v>
      </c>
      <c r="S1929" s="22" t="s">
        <v>2444</v>
      </c>
      <c r="T1929" s="22">
        <f t="shared" si="152"/>
        <v>4</v>
      </c>
      <c r="U1929" s="22">
        <f t="shared" si="153"/>
        <v>2021</v>
      </c>
      <c r="V1929" s="22" t="str">
        <f t="shared" si="154"/>
        <v>METROPOLITANA</v>
      </c>
    </row>
    <row r="1930" spans="1:22" x14ac:dyDescent="0.2">
      <c r="A1930" s="23" t="s">
        <v>2426</v>
      </c>
      <c r="B1930" s="22" t="s">
        <v>33</v>
      </c>
      <c r="C1930" s="22" t="s">
        <v>44</v>
      </c>
      <c r="D1930" s="22" t="s">
        <v>636</v>
      </c>
      <c r="E1930" s="24" t="s">
        <v>2445</v>
      </c>
      <c r="F1930" s="22" t="s">
        <v>114</v>
      </c>
      <c r="G1930" s="25">
        <f>8405.44+1501</f>
        <v>9906.44</v>
      </c>
      <c r="H1930" s="22" t="s">
        <v>85</v>
      </c>
      <c r="I1930" s="22">
        <v>1</v>
      </c>
      <c r="J1930" s="22" t="s">
        <v>114</v>
      </c>
      <c r="K1930" s="22" t="s">
        <v>75</v>
      </c>
      <c r="L1930" s="22">
        <v>0</v>
      </c>
      <c r="M1930" s="26">
        <v>380000</v>
      </c>
      <c r="N1930" s="26">
        <v>0</v>
      </c>
      <c r="O1930" s="15">
        <f t="shared" si="150"/>
        <v>380000</v>
      </c>
      <c r="P1930" s="15">
        <f t="shared" si="151"/>
        <v>38.358885734936059</v>
      </c>
      <c r="Q1930" s="25">
        <v>25000</v>
      </c>
      <c r="R1930" s="22">
        <v>34</v>
      </c>
      <c r="S1930" s="22" t="s">
        <v>2446</v>
      </c>
      <c r="T1930" s="22">
        <f t="shared" si="152"/>
        <v>4</v>
      </c>
      <c r="U1930" s="22">
        <f t="shared" si="153"/>
        <v>2021</v>
      </c>
      <c r="V1930" s="22" t="str">
        <f t="shared" si="154"/>
        <v>REGIONES</v>
      </c>
    </row>
    <row r="1931" spans="1:22" x14ac:dyDescent="0.2">
      <c r="A1931" s="11" t="s">
        <v>2447</v>
      </c>
      <c r="B1931" s="12" t="s">
        <v>18</v>
      </c>
      <c r="C1931" s="12" t="s">
        <v>57</v>
      </c>
      <c r="D1931" s="12" t="s">
        <v>20</v>
      </c>
      <c r="E1931" s="13" t="s">
        <v>21</v>
      </c>
      <c r="F1931" s="12" t="s">
        <v>120</v>
      </c>
      <c r="G1931" s="14">
        <v>4883.43</v>
      </c>
      <c r="H1931" s="12" t="s">
        <v>22</v>
      </c>
      <c r="I1931" s="12">
        <v>0</v>
      </c>
      <c r="J1931" s="12" t="s">
        <v>120</v>
      </c>
      <c r="K1931" s="12" t="s">
        <v>23</v>
      </c>
      <c r="L1931" s="12">
        <v>5</v>
      </c>
      <c r="M1931" s="15">
        <v>70000</v>
      </c>
      <c r="N1931" s="15">
        <v>0</v>
      </c>
      <c r="O1931" s="15">
        <f t="shared" si="150"/>
        <v>70000</v>
      </c>
      <c r="P1931" s="15">
        <f t="shared" si="151"/>
        <v>14.33418724134471</v>
      </c>
      <c r="Q1931" s="14">
        <v>10000</v>
      </c>
      <c r="R1931" s="12">
        <v>49</v>
      </c>
      <c r="S1931" s="12" t="s">
        <v>2448</v>
      </c>
      <c r="T1931" s="22">
        <f t="shared" si="152"/>
        <v>4</v>
      </c>
      <c r="U1931" s="22">
        <f t="shared" si="153"/>
        <v>2021</v>
      </c>
      <c r="V1931" s="22" t="str">
        <f t="shared" si="154"/>
        <v>METROPOLITANA</v>
      </c>
    </row>
    <row r="1932" spans="1:22" x14ac:dyDescent="0.2">
      <c r="A1932" s="11" t="s">
        <v>2447</v>
      </c>
      <c r="B1932" s="12" t="s">
        <v>18</v>
      </c>
      <c r="C1932" s="12" t="s">
        <v>500</v>
      </c>
      <c r="D1932" s="12" t="s">
        <v>27</v>
      </c>
      <c r="E1932" s="13" t="s">
        <v>28</v>
      </c>
      <c r="F1932" s="12" t="s">
        <v>120</v>
      </c>
      <c r="G1932" s="14">
        <v>12675.18</v>
      </c>
      <c r="H1932" s="12" t="s">
        <v>22</v>
      </c>
      <c r="I1932" s="12">
        <v>1</v>
      </c>
      <c r="J1932" s="12" t="s">
        <v>120</v>
      </c>
      <c r="K1932" s="12" t="s">
        <v>23</v>
      </c>
      <c r="L1932" s="12">
        <v>5</v>
      </c>
      <c r="M1932" s="15">
        <f>+G1932*11</f>
        <v>139426.98000000001</v>
      </c>
      <c r="N1932" s="15">
        <v>0</v>
      </c>
      <c r="O1932" s="15">
        <f t="shared" si="150"/>
        <v>139426.98000000001</v>
      </c>
      <c r="P1932" s="15">
        <f t="shared" si="151"/>
        <v>11</v>
      </c>
      <c r="Q1932" s="14">
        <v>10000</v>
      </c>
      <c r="R1932" s="12">
        <v>100</v>
      </c>
      <c r="S1932" s="12" t="s">
        <v>2449</v>
      </c>
      <c r="T1932" s="22">
        <f t="shared" si="152"/>
        <v>4</v>
      </c>
      <c r="U1932" s="22">
        <f t="shared" si="153"/>
        <v>2021</v>
      </c>
      <c r="V1932" s="22" t="str">
        <f t="shared" si="154"/>
        <v>METROPOLITANA</v>
      </c>
    </row>
    <row r="1933" spans="1:22" x14ac:dyDescent="0.2">
      <c r="A1933" s="11" t="s">
        <v>2447</v>
      </c>
      <c r="B1933" s="12" t="s">
        <v>18</v>
      </c>
      <c r="C1933" s="12" t="s">
        <v>324</v>
      </c>
      <c r="D1933" s="12" t="s">
        <v>30</v>
      </c>
      <c r="E1933" s="13" t="s">
        <v>31</v>
      </c>
      <c r="F1933" s="12" t="s">
        <v>325</v>
      </c>
      <c r="G1933" s="14">
        <v>9468.23</v>
      </c>
      <c r="H1933" s="12" t="s">
        <v>32</v>
      </c>
      <c r="I1933" s="12">
        <v>0</v>
      </c>
      <c r="J1933" s="12" t="s">
        <v>325</v>
      </c>
      <c r="K1933" s="12" t="s">
        <v>78</v>
      </c>
      <c r="L1933" s="12">
        <v>0</v>
      </c>
      <c r="M1933" s="15">
        <v>180000</v>
      </c>
      <c r="N1933" s="15">
        <v>0</v>
      </c>
      <c r="O1933" s="15">
        <f t="shared" si="150"/>
        <v>180000</v>
      </c>
      <c r="P1933" s="15">
        <f t="shared" si="151"/>
        <v>19.010945023515482</v>
      </c>
      <c r="Q1933" s="14">
        <v>25000</v>
      </c>
      <c r="R1933" s="12">
        <v>38</v>
      </c>
      <c r="S1933" s="12" t="s">
        <v>2450</v>
      </c>
      <c r="T1933" s="22">
        <f t="shared" si="152"/>
        <v>4</v>
      </c>
      <c r="U1933" s="22">
        <f t="shared" si="153"/>
        <v>2021</v>
      </c>
      <c r="V1933" s="22" t="str">
        <f t="shared" si="154"/>
        <v>REGIONES</v>
      </c>
    </row>
    <row r="1934" spans="1:22" x14ac:dyDescent="0.2">
      <c r="A1934" s="11" t="s">
        <v>2447</v>
      </c>
      <c r="B1934" s="12" t="s">
        <v>33</v>
      </c>
      <c r="C1934" s="12" t="s">
        <v>128</v>
      </c>
      <c r="D1934" s="12" t="s">
        <v>38</v>
      </c>
      <c r="E1934" s="13" t="s">
        <v>42</v>
      </c>
      <c r="F1934" s="12" t="s">
        <v>34</v>
      </c>
      <c r="G1934" s="14">
        <v>9755.1999999999953</v>
      </c>
      <c r="H1934" s="12" t="s">
        <v>43</v>
      </c>
      <c r="I1934" s="12">
        <v>0</v>
      </c>
      <c r="J1934" s="12" t="s">
        <v>34</v>
      </c>
      <c r="K1934" s="12" t="s">
        <v>23</v>
      </c>
      <c r="L1934" s="12">
        <v>1</v>
      </c>
      <c r="M1934" s="15">
        <v>107307</v>
      </c>
      <c r="N1934" s="15">
        <v>0</v>
      </c>
      <c r="O1934" s="15">
        <f t="shared" si="150"/>
        <v>107307</v>
      </c>
      <c r="P1934" s="15">
        <f t="shared" si="151"/>
        <v>10.999979498113833</v>
      </c>
      <c r="Q1934" s="14">
        <v>5000</v>
      </c>
      <c r="R1934" s="12">
        <v>100</v>
      </c>
      <c r="S1934" s="12" t="s">
        <v>2451</v>
      </c>
      <c r="T1934" s="22">
        <f t="shared" si="152"/>
        <v>4</v>
      </c>
      <c r="U1934" s="22">
        <f t="shared" si="153"/>
        <v>2021</v>
      </c>
      <c r="V1934" s="22" t="str">
        <f t="shared" si="154"/>
        <v>METROPOLITANA</v>
      </c>
    </row>
    <row r="1935" spans="1:22" x14ac:dyDescent="0.2">
      <c r="A1935" s="11" t="s">
        <v>2447</v>
      </c>
      <c r="B1935" s="12" t="s">
        <v>33</v>
      </c>
      <c r="C1935" s="12" t="s">
        <v>128</v>
      </c>
      <c r="D1935" s="12" t="s">
        <v>37</v>
      </c>
      <c r="E1935" s="13" t="s">
        <v>1576</v>
      </c>
      <c r="F1935" s="12" t="s">
        <v>34</v>
      </c>
      <c r="G1935" s="14">
        <v>3001.6</v>
      </c>
      <c r="H1935" s="12" t="s">
        <v>22</v>
      </c>
      <c r="I1935" s="12">
        <v>0</v>
      </c>
      <c r="J1935" s="12" t="s">
        <v>34</v>
      </c>
      <c r="K1935" s="12" t="s">
        <v>23</v>
      </c>
      <c r="L1935" s="12">
        <v>1</v>
      </c>
      <c r="M1935" s="15">
        <v>55000</v>
      </c>
      <c r="N1935" s="15">
        <v>0</v>
      </c>
      <c r="O1935" s="15">
        <f t="shared" si="150"/>
        <v>55000</v>
      </c>
      <c r="P1935" s="15">
        <f t="shared" si="151"/>
        <v>18.323560767590617</v>
      </c>
      <c r="Q1935" s="14">
        <v>5000</v>
      </c>
      <c r="R1935" s="12">
        <v>60</v>
      </c>
      <c r="S1935" s="12" t="s">
        <v>2452</v>
      </c>
      <c r="T1935" s="22">
        <f t="shared" si="152"/>
        <v>4</v>
      </c>
      <c r="U1935" s="22">
        <f t="shared" si="153"/>
        <v>2021</v>
      </c>
      <c r="V1935" s="22" t="str">
        <f t="shared" si="154"/>
        <v>METROPOLITANA</v>
      </c>
    </row>
    <row r="1936" spans="1:22" x14ac:dyDescent="0.2">
      <c r="A1936" s="11" t="s">
        <v>2447</v>
      </c>
      <c r="B1936" s="12" t="s">
        <v>33</v>
      </c>
      <c r="C1936" s="12" t="s">
        <v>128</v>
      </c>
      <c r="D1936" s="12" t="s">
        <v>37</v>
      </c>
      <c r="E1936" s="13" t="s">
        <v>40</v>
      </c>
      <c r="F1936" s="12" t="s">
        <v>34</v>
      </c>
      <c r="G1936" s="14">
        <v>9755.1999999999953</v>
      </c>
      <c r="H1936" s="12" t="s">
        <v>22</v>
      </c>
      <c r="I1936" s="12">
        <v>0</v>
      </c>
      <c r="J1936" s="12" t="s">
        <v>34</v>
      </c>
      <c r="K1936" s="12" t="s">
        <v>23</v>
      </c>
      <c r="L1936" s="12">
        <v>1</v>
      </c>
      <c r="M1936" s="15">
        <v>107307</v>
      </c>
      <c r="N1936" s="15">
        <v>0</v>
      </c>
      <c r="O1936" s="15">
        <f t="shared" si="150"/>
        <v>107307</v>
      </c>
      <c r="P1936" s="15">
        <f t="shared" si="151"/>
        <v>10.999979498113833</v>
      </c>
      <c r="Q1936" s="14">
        <v>5000</v>
      </c>
      <c r="R1936" s="12">
        <v>100</v>
      </c>
      <c r="S1936" s="12" t="s">
        <v>2453</v>
      </c>
      <c r="T1936" s="22">
        <f t="shared" si="152"/>
        <v>4</v>
      </c>
      <c r="U1936" s="22">
        <f t="shared" si="153"/>
        <v>2021</v>
      </c>
      <c r="V1936" s="22" t="str">
        <f t="shared" si="154"/>
        <v>METROPOLITANA</v>
      </c>
    </row>
    <row r="1937" spans="1:22" x14ac:dyDescent="0.2">
      <c r="A1937" s="11" t="s">
        <v>2447</v>
      </c>
      <c r="B1937" s="12" t="s">
        <v>33</v>
      </c>
      <c r="C1937" s="12" t="s">
        <v>128</v>
      </c>
      <c r="D1937" s="12" t="s">
        <v>45</v>
      </c>
      <c r="E1937" s="13" t="s">
        <v>52</v>
      </c>
      <c r="F1937" s="12" t="s">
        <v>34</v>
      </c>
      <c r="G1937" s="14">
        <v>3297.6000000000008</v>
      </c>
      <c r="H1937" s="12" t="s">
        <v>22</v>
      </c>
      <c r="I1937" s="12">
        <v>0</v>
      </c>
      <c r="J1937" s="12" t="s">
        <v>34</v>
      </c>
      <c r="K1937" s="12" t="s">
        <v>23</v>
      </c>
      <c r="L1937" s="12">
        <v>1</v>
      </c>
      <c r="M1937" s="15">
        <v>55000</v>
      </c>
      <c r="N1937" s="15">
        <v>0</v>
      </c>
      <c r="O1937" s="15">
        <f t="shared" si="150"/>
        <v>55000</v>
      </c>
      <c r="P1937" s="15">
        <f t="shared" si="151"/>
        <v>16.678796700630759</v>
      </c>
      <c r="Q1937" s="14">
        <v>5000</v>
      </c>
      <c r="R1937" s="12">
        <v>66</v>
      </c>
      <c r="S1937" s="12" t="s">
        <v>2454</v>
      </c>
      <c r="T1937" s="22">
        <f t="shared" si="152"/>
        <v>4</v>
      </c>
      <c r="U1937" s="22">
        <f t="shared" si="153"/>
        <v>2021</v>
      </c>
      <c r="V1937" s="22" t="str">
        <f t="shared" si="154"/>
        <v>METROPOLITANA</v>
      </c>
    </row>
    <row r="1938" spans="1:22" x14ac:dyDescent="0.2">
      <c r="A1938" s="11" t="s">
        <v>2447</v>
      </c>
      <c r="B1938" s="12" t="s">
        <v>33</v>
      </c>
      <c r="C1938" s="12" t="s">
        <v>128</v>
      </c>
      <c r="D1938" s="12" t="s">
        <v>47</v>
      </c>
      <c r="E1938" s="13" t="s">
        <v>1576</v>
      </c>
      <c r="F1938" s="12" t="s">
        <v>34</v>
      </c>
      <c r="G1938" s="14">
        <v>6753.5999999999995</v>
      </c>
      <c r="H1938" s="12" t="s">
        <v>22</v>
      </c>
      <c r="I1938" s="12">
        <v>0</v>
      </c>
      <c r="J1938" s="12" t="s">
        <v>34</v>
      </c>
      <c r="K1938" s="12" t="s">
        <v>23</v>
      </c>
      <c r="L1938" s="12">
        <v>1</v>
      </c>
      <c r="M1938" s="15">
        <v>74290</v>
      </c>
      <c r="N1938" s="15">
        <v>0</v>
      </c>
      <c r="O1938" s="15">
        <f t="shared" si="150"/>
        <v>74290</v>
      </c>
      <c r="P1938" s="15">
        <f t="shared" si="151"/>
        <v>11.000059227671169</v>
      </c>
      <c r="Q1938" s="14">
        <v>5000</v>
      </c>
      <c r="R1938" s="12">
        <v>100</v>
      </c>
      <c r="S1938" s="12" t="s">
        <v>2455</v>
      </c>
      <c r="T1938" s="22">
        <f t="shared" si="152"/>
        <v>4</v>
      </c>
      <c r="U1938" s="22">
        <f t="shared" si="153"/>
        <v>2021</v>
      </c>
      <c r="V1938" s="22" t="str">
        <f t="shared" si="154"/>
        <v>METROPOLITANA</v>
      </c>
    </row>
    <row r="1939" spans="1:22" x14ac:dyDescent="0.2">
      <c r="A1939" s="11" t="s">
        <v>2447</v>
      </c>
      <c r="B1939" s="12" t="s">
        <v>33</v>
      </c>
      <c r="C1939" s="12" t="s">
        <v>128</v>
      </c>
      <c r="D1939" s="12" t="s">
        <v>35</v>
      </c>
      <c r="E1939" s="13" t="s">
        <v>49</v>
      </c>
      <c r="F1939" s="12" t="s">
        <v>34</v>
      </c>
      <c r="G1939" s="14">
        <v>2198.4</v>
      </c>
      <c r="H1939" s="12" t="s">
        <v>22</v>
      </c>
      <c r="I1939" s="12">
        <v>0</v>
      </c>
      <c r="J1939" s="12" t="s">
        <v>34</v>
      </c>
      <c r="K1939" s="12" t="s">
        <v>23</v>
      </c>
      <c r="L1939" s="12">
        <v>1</v>
      </c>
      <c r="M1939" s="15">
        <v>55000</v>
      </c>
      <c r="N1939" s="15">
        <v>0</v>
      </c>
      <c r="O1939" s="15">
        <f t="shared" si="150"/>
        <v>55000</v>
      </c>
      <c r="P1939" s="15">
        <f t="shared" si="151"/>
        <v>25.01819505094614</v>
      </c>
      <c r="Q1939" s="14">
        <v>5000</v>
      </c>
      <c r="R1939" s="12">
        <v>44</v>
      </c>
      <c r="S1939" s="12" t="s">
        <v>2456</v>
      </c>
      <c r="T1939" s="22">
        <f t="shared" si="152"/>
        <v>4</v>
      </c>
      <c r="U1939" s="22">
        <f t="shared" si="153"/>
        <v>2021</v>
      </c>
      <c r="V1939" s="22" t="str">
        <f t="shared" si="154"/>
        <v>METROPOLITANA</v>
      </c>
    </row>
    <row r="1940" spans="1:22" x14ac:dyDescent="0.2">
      <c r="A1940" s="11" t="s">
        <v>2447</v>
      </c>
      <c r="B1940" s="12" t="s">
        <v>33</v>
      </c>
      <c r="C1940" s="12" t="s">
        <v>128</v>
      </c>
      <c r="D1940" s="12" t="s">
        <v>41</v>
      </c>
      <c r="E1940" s="13" t="s">
        <v>25</v>
      </c>
      <c r="F1940" s="12" t="s">
        <v>34</v>
      </c>
      <c r="G1940" s="14">
        <v>9755.1999999999953</v>
      </c>
      <c r="H1940" s="12" t="s">
        <v>43</v>
      </c>
      <c r="I1940" s="12">
        <v>0</v>
      </c>
      <c r="J1940" s="12" t="s">
        <v>34</v>
      </c>
      <c r="K1940" s="12" t="s">
        <v>23</v>
      </c>
      <c r="L1940" s="12">
        <v>1</v>
      </c>
      <c r="M1940" s="15">
        <v>107307</v>
      </c>
      <c r="N1940" s="15">
        <v>0</v>
      </c>
      <c r="O1940" s="15">
        <f t="shared" si="150"/>
        <v>107307</v>
      </c>
      <c r="P1940" s="15">
        <f t="shared" si="151"/>
        <v>10.999979498113833</v>
      </c>
      <c r="Q1940" s="14">
        <v>5000</v>
      </c>
      <c r="R1940" s="12">
        <v>100</v>
      </c>
      <c r="S1940" s="12" t="s">
        <v>2457</v>
      </c>
      <c r="T1940" s="22">
        <f t="shared" si="152"/>
        <v>4</v>
      </c>
      <c r="U1940" s="22">
        <f t="shared" si="153"/>
        <v>2021</v>
      </c>
      <c r="V1940" s="22" t="str">
        <f t="shared" si="154"/>
        <v>METROPOLITANA</v>
      </c>
    </row>
    <row r="1941" spans="1:22" x14ac:dyDescent="0.2">
      <c r="A1941" s="11" t="s">
        <v>2447</v>
      </c>
      <c r="B1941" s="12" t="s">
        <v>33</v>
      </c>
      <c r="C1941" s="12" t="s">
        <v>29</v>
      </c>
      <c r="D1941" s="12" t="s">
        <v>63</v>
      </c>
      <c r="E1941" s="13" t="s">
        <v>64</v>
      </c>
      <c r="F1941" s="12" t="s">
        <v>1783</v>
      </c>
      <c r="G1941" s="14">
        <v>9352.2000000000007</v>
      </c>
      <c r="H1941" s="12" t="s">
        <v>65</v>
      </c>
      <c r="I1941" s="12">
        <v>0</v>
      </c>
      <c r="J1941" s="12" t="s">
        <v>1784</v>
      </c>
      <c r="K1941" s="12" t="s">
        <v>23</v>
      </c>
      <c r="L1941" s="12">
        <v>5</v>
      </c>
      <c r="M1941" s="15">
        <f>+G1941*11</f>
        <v>102874.20000000001</v>
      </c>
      <c r="N1941" s="15">
        <v>0</v>
      </c>
      <c r="O1941" s="15">
        <f t="shared" si="150"/>
        <v>102874.20000000001</v>
      </c>
      <c r="P1941" s="15">
        <f t="shared" si="151"/>
        <v>11</v>
      </c>
      <c r="Q1941" s="14">
        <v>10000</v>
      </c>
      <c r="R1941" s="12">
        <v>94</v>
      </c>
      <c r="S1941" s="12" t="s">
        <v>2458</v>
      </c>
      <c r="T1941" s="22">
        <f t="shared" si="152"/>
        <v>4</v>
      </c>
      <c r="U1941" s="22">
        <f t="shared" si="153"/>
        <v>2021</v>
      </c>
      <c r="V1941" s="22" t="str">
        <f t="shared" si="154"/>
        <v>METROPOLITANA</v>
      </c>
    </row>
    <row r="1942" spans="1:22" x14ac:dyDescent="0.2">
      <c r="A1942" s="11" t="s">
        <v>2447</v>
      </c>
      <c r="B1942" s="12" t="s">
        <v>33</v>
      </c>
      <c r="C1942" s="12" t="s">
        <v>29</v>
      </c>
      <c r="D1942" s="12" t="s">
        <v>45</v>
      </c>
      <c r="E1942" s="13" t="s">
        <v>1576</v>
      </c>
      <c r="F1942" s="12" t="s">
        <v>134</v>
      </c>
      <c r="G1942" s="14">
        <v>6801.5999999999995</v>
      </c>
      <c r="H1942" s="12" t="s">
        <v>22</v>
      </c>
      <c r="I1942" s="12">
        <v>0</v>
      </c>
      <c r="J1942" s="12" t="s">
        <v>134</v>
      </c>
      <c r="K1942" s="12" t="s">
        <v>23</v>
      </c>
      <c r="L1942" s="12">
        <v>2</v>
      </c>
      <c r="M1942" s="15">
        <v>74818</v>
      </c>
      <c r="N1942" s="15">
        <v>0</v>
      </c>
      <c r="O1942" s="15">
        <f t="shared" si="150"/>
        <v>74818</v>
      </c>
      <c r="P1942" s="15">
        <f t="shared" si="151"/>
        <v>11.000058809691838</v>
      </c>
      <c r="Q1942" s="14">
        <v>5000</v>
      </c>
      <c r="R1942" s="12">
        <v>100</v>
      </c>
      <c r="S1942" s="12" t="s">
        <v>2459</v>
      </c>
      <c r="T1942" s="22">
        <f t="shared" si="152"/>
        <v>4</v>
      </c>
      <c r="U1942" s="22">
        <f t="shared" si="153"/>
        <v>2021</v>
      </c>
      <c r="V1942" s="22" t="str">
        <f t="shared" si="154"/>
        <v>METROPOLITANA</v>
      </c>
    </row>
    <row r="1943" spans="1:22" x14ac:dyDescent="0.2">
      <c r="A1943" s="11" t="s">
        <v>2447</v>
      </c>
      <c r="B1943" s="12" t="s">
        <v>33</v>
      </c>
      <c r="C1943" s="12" t="s">
        <v>29</v>
      </c>
      <c r="D1943" s="12" t="s">
        <v>125</v>
      </c>
      <c r="E1943" s="13" t="s">
        <v>126</v>
      </c>
      <c r="F1943" s="12" t="s">
        <v>132</v>
      </c>
      <c r="G1943" s="14">
        <v>15980.399999999991</v>
      </c>
      <c r="H1943" s="12" t="s">
        <v>174</v>
      </c>
      <c r="I1943" s="12">
        <v>0</v>
      </c>
      <c r="J1943" s="12" t="s">
        <v>132</v>
      </c>
      <c r="K1943" s="12" t="s">
        <v>124</v>
      </c>
      <c r="L1943" s="12">
        <v>0</v>
      </c>
      <c r="M1943" s="15">
        <v>350000</v>
      </c>
      <c r="N1943" s="15">
        <v>0</v>
      </c>
      <c r="O1943" s="15">
        <f t="shared" si="150"/>
        <v>350000</v>
      </c>
      <c r="P1943" s="15">
        <f t="shared" si="151"/>
        <v>21.901829741433268</v>
      </c>
      <c r="Q1943" s="14">
        <v>25000</v>
      </c>
      <c r="R1943" s="12">
        <v>64</v>
      </c>
      <c r="S1943" s="12" t="s">
        <v>2460</v>
      </c>
      <c r="T1943" s="22">
        <f t="shared" si="152"/>
        <v>4</v>
      </c>
      <c r="U1943" s="22">
        <f t="shared" si="153"/>
        <v>2021</v>
      </c>
      <c r="V1943" s="22" t="str">
        <f t="shared" si="154"/>
        <v>REGIONES</v>
      </c>
    </row>
    <row r="1944" spans="1:22" x14ac:dyDescent="0.2">
      <c r="A1944" s="11" t="s">
        <v>2447</v>
      </c>
      <c r="B1944" s="12" t="s">
        <v>33</v>
      </c>
      <c r="C1944" s="12" t="s">
        <v>29</v>
      </c>
      <c r="D1944" s="12" t="s">
        <v>35</v>
      </c>
      <c r="E1944" s="13" t="s">
        <v>49</v>
      </c>
      <c r="F1944" s="12" t="s">
        <v>134</v>
      </c>
      <c r="G1944" s="14">
        <v>6801.5999999999995</v>
      </c>
      <c r="H1944" s="12" t="s">
        <v>22</v>
      </c>
      <c r="I1944" s="12">
        <v>0</v>
      </c>
      <c r="J1944" s="12" t="s">
        <v>134</v>
      </c>
      <c r="K1944" s="12" t="s">
        <v>23</v>
      </c>
      <c r="L1944" s="12">
        <v>2</v>
      </c>
      <c r="M1944" s="15">
        <v>74818</v>
      </c>
      <c r="N1944" s="15">
        <v>0</v>
      </c>
      <c r="O1944" s="15">
        <f t="shared" si="150"/>
        <v>74818</v>
      </c>
      <c r="P1944" s="15">
        <f t="shared" si="151"/>
        <v>11.000058809691838</v>
      </c>
      <c r="Q1944" s="14">
        <v>5000</v>
      </c>
      <c r="R1944" s="12">
        <v>100</v>
      </c>
      <c r="S1944" s="12" t="s">
        <v>2461</v>
      </c>
      <c r="T1944" s="22">
        <f t="shared" si="152"/>
        <v>4</v>
      </c>
      <c r="U1944" s="22">
        <f t="shared" si="153"/>
        <v>2021</v>
      </c>
      <c r="V1944" s="22" t="str">
        <f t="shared" si="154"/>
        <v>METROPOLITANA</v>
      </c>
    </row>
    <row r="1945" spans="1:22" x14ac:dyDescent="0.2">
      <c r="A1945" s="11" t="s">
        <v>2447</v>
      </c>
      <c r="B1945" s="12" t="s">
        <v>33</v>
      </c>
      <c r="C1945" s="12" t="s">
        <v>29</v>
      </c>
      <c r="D1945" s="12" t="s">
        <v>164</v>
      </c>
      <c r="E1945" s="13" t="s">
        <v>544</v>
      </c>
      <c r="F1945" s="12" t="s">
        <v>170</v>
      </c>
      <c r="G1945" s="14">
        <v>15980.399999999991</v>
      </c>
      <c r="H1945" s="12" t="s">
        <v>22</v>
      </c>
      <c r="I1945" s="12">
        <v>1</v>
      </c>
      <c r="J1945" s="12" t="s">
        <v>170</v>
      </c>
      <c r="K1945" s="12" t="s">
        <v>171</v>
      </c>
      <c r="L1945" s="12">
        <v>0</v>
      </c>
      <c r="M1945" s="15">
        <v>230000</v>
      </c>
      <c r="N1945" s="15">
        <v>0</v>
      </c>
      <c r="O1945" s="15">
        <f t="shared" si="150"/>
        <v>230000</v>
      </c>
      <c r="P1945" s="15">
        <f t="shared" si="151"/>
        <v>14.392630972941863</v>
      </c>
      <c r="Q1945" s="14">
        <v>25000</v>
      </c>
      <c r="R1945" s="12">
        <v>64</v>
      </c>
      <c r="S1945" s="12" t="s">
        <v>2462</v>
      </c>
      <c r="T1945" s="22">
        <f t="shared" si="152"/>
        <v>4</v>
      </c>
      <c r="U1945" s="22">
        <f t="shared" si="153"/>
        <v>2021</v>
      </c>
      <c r="V1945" s="22" t="str">
        <f t="shared" si="154"/>
        <v>REGIONES</v>
      </c>
    </row>
    <row r="1946" spans="1:22" x14ac:dyDescent="0.2">
      <c r="A1946" s="11" t="s">
        <v>2447</v>
      </c>
      <c r="B1946" s="12" t="s">
        <v>33</v>
      </c>
      <c r="C1946" s="12" t="s">
        <v>44</v>
      </c>
      <c r="D1946" s="12" t="s">
        <v>130</v>
      </c>
      <c r="E1946" s="13" t="s">
        <v>131</v>
      </c>
      <c r="F1946" s="12" t="s">
        <v>114</v>
      </c>
      <c r="G1946" s="14">
        <v>9844.3800000000047</v>
      </c>
      <c r="H1946" s="12" t="s">
        <v>85</v>
      </c>
      <c r="I1946" s="12">
        <v>1</v>
      </c>
      <c r="J1946" s="12" t="s">
        <v>114</v>
      </c>
      <c r="K1946" s="12" t="s">
        <v>75</v>
      </c>
      <c r="L1946" s="12">
        <v>0</v>
      </c>
      <c r="M1946" s="15">
        <v>380000</v>
      </c>
      <c r="N1946" s="15">
        <v>0</v>
      </c>
      <c r="O1946" s="15">
        <f t="shared" si="150"/>
        <v>380000</v>
      </c>
      <c r="P1946" s="15">
        <f t="shared" si="151"/>
        <v>38.600704158108464</v>
      </c>
      <c r="Q1946" s="14">
        <v>25000</v>
      </c>
      <c r="R1946" s="12">
        <v>39</v>
      </c>
      <c r="S1946" s="12" t="s">
        <v>2463</v>
      </c>
      <c r="T1946" s="22">
        <f t="shared" si="152"/>
        <v>4</v>
      </c>
      <c r="U1946" s="22">
        <f t="shared" si="153"/>
        <v>2021</v>
      </c>
      <c r="V1946" s="22" t="str">
        <f t="shared" si="154"/>
        <v>REGIONES</v>
      </c>
    </row>
    <row r="1947" spans="1:22" x14ac:dyDescent="0.2">
      <c r="A1947" s="11" t="s">
        <v>2447</v>
      </c>
      <c r="B1947" s="12" t="s">
        <v>33</v>
      </c>
      <c r="C1947" s="12" t="s">
        <v>44</v>
      </c>
      <c r="D1947" s="12" t="s">
        <v>1170</v>
      </c>
      <c r="E1947" s="13" t="s">
        <v>81</v>
      </c>
      <c r="F1947" s="12" t="s">
        <v>1026</v>
      </c>
      <c r="G1947" s="14">
        <v>6855</v>
      </c>
      <c r="H1947" s="12" t="s">
        <v>24</v>
      </c>
      <c r="I1947" s="12">
        <v>1</v>
      </c>
      <c r="J1947" s="12" t="s">
        <v>1026</v>
      </c>
      <c r="K1947" s="12" t="s">
        <v>408</v>
      </c>
      <c r="L1947" s="12">
        <v>0</v>
      </c>
      <c r="M1947" s="15">
        <v>600000</v>
      </c>
      <c r="N1947" s="15">
        <v>0</v>
      </c>
      <c r="O1947" s="15">
        <f t="shared" si="150"/>
        <v>600000</v>
      </c>
      <c r="P1947" s="15">
        <f t="shared" si="151"/>
        <v>87.527352297592998</v>
      </c>
      <c r="Q1947" s="14">
        <v>25000</v>
      </c>
      <c r="R1947" s="12">
        <v>27</v>
      </c>
      <c r="S1947" s="12" t="s">
        <v>2464</v>
      </c>
      <c r="T1947" s="22">
        <f t="shared" si="152"/>
        <v>4</v>
      </c>
      <c r="U1947" s="22">
        <f t="shared" si="153"/>
        <v>2021</v>
      </c>
      <c r="V1947" s="22" t="str">
        <f t="shared" si="154"/>
        <v>REGIONES</v>
      </c>
    </row>
    <row r="1948" spans="1:22" x14ac:dyDescent="0.2">
      <c r="A1948" s="23" t="s">
        <v>2465</v>
      </c>
      <c r="B1948" s="22" t="s">
        <v>18</v>
      </c>
      <c r="C1948" s="22" t="s">
        <v>270</v>
      </c>
      <c r="D1948" s="22" t="s">
        <v>20</v>
      </c>
      <c r="E1948" s="24" t="s">
        <v>21</v>
      </c>
      <c r="F1948" s="22" t="s">
        <v>120</v>
      </c>
      <c r="G1948" s="25">
        <v>6315.84</v>
      </c>
      <c r="H1948" s="22" t="s">
        <v>22</v>
      </c>
      <c r="I1948" s="22">
        <v>0</v>
      </c>
      <c r="J1948" s="22" t="s">
        <v>120</v>
      </c>
      <c r="K1948" s="22" t="s">
        <v>23</v>
      </c>
      <c r="L1948" s="22">
        <v>5</v>
      </c>
      <c r="M1948" s="26">
        <f>+G1948*11</f>
        <v>69474.240000000005</v>
      </c>
      <c r="N1948" s="26">
        <v>0</v>
      </c>
      <c r="O1948" s="15">
        <f t="shared" si="150"/>
        <v>69474.240000000005</v>
      </c>
      <c r="P1948" s="15">
        <f t="shared" si="151"/>
        <v>11</v>
      </c>
      <c r="Q1948" s="25">
        <v>10000</v>
      </c>
      <c r="R1948" s="22">
        <v>63</v>
      </c>
      <c r="S1948" s="22" t="s">
        <v>2466</v>
      </c>
      <c r="T1948" s="22">
        <f t="shared" si="152"/>
        <v>4</v>
      </c>
      <c r="U1948" s="22">
        <f t="shared" si="153"/>
        <v>2021</v>
      </c>
      <c r="V1948" s="22" t="str">
        <f t="shared" si="154"/>
        <v>METROPOLITANA</v>
      </c>
    </row>
    <row r="1949" spans="1:22" x14ac:dyDescent="0.2">
      <c r="A1949" s="23" t="s">
        <v>2465</v>
      </c>
      <c r="B1949" s="22" t="s">
        <v>18</v>
      </c>
      <c r="C1949" s="22" t="s">
        <v>500</v>
      </c>
      <c r="D1949" s="22" t="s">
        <v>63</v>
      </c>
      <c r="E1949" s="24" t="s">
        <v>64</v>
      </c>
      <c r="F1949" s="22" t="s">
        <v>120</v>
      </c>
      <c r="G1949" s="25">
        <v>8359.24</v>
      </c>
      <c r="H1949" s="22" t="s">
        <v>65</v>
      </c>
      <c r="I1949" s="22">
        <v>0</v>
      </c>
      <c r="J1949" s="22" t="s">
        <v>120</v>
      </c>
      <c r="K1949" s="22" t="s">
        <v>23</v>
      </c>
      <c r="L1949" s="22">
        <v>5</v>
      </c>
      <c r="M1949" s="26">
        <f>+G1949*11</f>
        <v>91951.64</v>
      </c>
      <c r="N1949" s="26">
        <v>0</v>
      </c>
      <c r="O1949" s="15">
        <f t="shared" si="150"/>
        <v>91951.64</v>
      </c>
      <c r="P1949" s="15">
        <f t="shared" si="151"/>
        <v>11</v>
      </c>
      <c r="Q1949" s="25">
        <v>10000</v>
      </c>
      <c r="R1949" s="22">
        <v>84</v>
      </c>
      <c r="S1949" s="22" t="s">
        <v>2467</v>
      </c>
      <c r="T1949" s="22">
        <f t="shared" si="152"/>
        <v>4</v>
      </c>
      <c r="U1949" s="22">
        <f t="shared" si="153"/>
        <v>2021</v>
      </c>
      <c r="V1949" s="22" t="str">
        <f t="shared" si="154"/>
        <v>METROPOLITANA</v>
      </c>
    </row>
    <row r="1950" spans="1:22" x14ac:dyDescent="0.2">
      <c r="A1950" s="23" t="s">
        <v>2465</v>
      </c>
      <c r="B1950" s="22" t="s">
        <v>18</v>
      </c>
      <c r="C1950" s="22" t="s">
        <v>500</v>
      </c>
      <c r="D1950" s="22" t="s">
        <v>30</v>
      </c>
      <c r="E1950" s="24" t="s">
        <v>31</v>
      </c>
      <c r="F1950" s="22" t="s">
        <v>120</v>
      </c>
      <c r="G1950" s="25">
        <v>9225.01</v>
      </c>
      <c r="H1950" s="22" t="s">
        <v>32</v>
      </c>
      <c r="I1950" s="22">
        <v>0</v>
      </c>
      <c r="J1950" s="22" t="s">
        <v>120</v>
      </c>
      <c r="K1950" s="22" t="s">
        <v>23</v>
      </c>
      <c r="L1950" s="22">
        <v>5</v>
      </c>
      <c r="M1950" s="26">
        <f>+G1950*11</f>
        <v>101475.11</v>
      </c>
      <c r="N1950" s="26">
        <v>0</v>
      </c>
      <c r="O1950" s="15">
        <f t="shared" si="150"/>
        <v>101475.11</v>
      </c>
      <c r="P1950" s="15">
        <f t="shared" si="151"/>
        <v>11</v>
      </c>
      <c r="Q1950" s="25">
        <v>10000</v>
      </c>
      <c r="R1950" s="22">
        <v>92</v>
      </c>
      <c r="S1950" s="22" t="s">
        <v>2468</v>
      </c>
      <c r="T1950" s="22">
        <f t="shared" si="152"/>
        <v>4</v>
      </c>
      <c r="U1950" s="22">
        <f t="shared" si="153"/>
        <v>2021</v>
      </c>
      <c r="V1950" s="22" t="str">
        <f t="shared" si="154"/>
        <v>METROPOLITANA</v>
      </c>
    </row>
    <row r="1951" spans="1:22" x14ac:dyDescent="0.2">
      <c r="A1951" s="23" t="s">
        <v>2465</v>
      </c>
      <c r="B1951" s="22" t="s">
        <v>18</v>
      </c>
      <c r="C1951" s="22" t="s">
        <v>163</v>
      </c>
      <c r="D1951" s="22" t="s">
        <v>164</v>
      </c>
      <c r="E1951" s="24" t="s">
        <v>28</v>
      </c>
      <c r="F1951" s="22" t="s">
        <v>165</v>
      </c>
      <c r="G1951" s="25">
        <v>14562.7</v>
      </c>
      <c r="H1951" s="22" t="s">
        <v>22</v>
      </c>
      <c r="I1951" s="22">
        <v>1</v>
      </c>
      <c r="J1951" s="22" t="s">
        <v>165</v>
      </c>
      <c r="K1951" s="22" t="s">
        <v>23</v>
      </c>
      <c r="L1951" s="22">
        <v>4</v>
      </c>
      <c r="M1951" s="26">
        <v>160190</v>
      </c>
      <c r="N1951" s="26">
        <v>0</v>
      </c>
      <c r="O1951" s="15">
        <f t="shared" si="150"/>
        <v>160190</v>
      </c>
      <c r="P1951" s="15">
        <f t="shared" si="151"/>
        <v>11.000020600575443</v>
      </c>
      <c r="Q1951" s="25">
        <v>5000</v>
      </c>
      <c r="R1951" s="22">
        <v>100</v>
      </c>
      <c r="S1951" s="22" t="s">
        <v>2469</v>
      </c>
      <c r="T1951" s="22">
        <f t="shared" si="152"/>
        <v>4</v>
      </c>
      <c r="U1951" s="22">
        <f t="shared" si="153"/>
        <v>2021</v>
      </c>
      <c r="V1951" s="22" t="str">
        <f t="shared" si="154"/>
        <v>METROPOLITANA</v>
      </c>
    </row>
    <row r="1952" spans="1:22" x14ac:dyDescent="0.2">
      <c r="A1952" s="23" t="s">
        <v>2465</v>
      </c>
      <c r="B1952" s="22" t="s">
        <v>33</v>
      </c>
      <c r="C1952" s="22" t="s">
        <v>29</v>
      </c>
      <c r="D1952" s="22" t="s">
        <v>38</v>
      </c>
      <c r="E1952" s="24" t="s">
        <v>42</v>
      </c>
      <c r="F1952" s="22" t="s">
        <v>134</v>
      </c>
      <c r="G1952" s="25">
        <v>6753.5999999999995</v>
      </c>
      <c r="H1952" s="22" t="s">
        <v>43</v>
      </c>
      <c r="I1952" s="22">
        <v>0</v>
      </c>
      <c r="J1952" s="22" t="s">
        <v>134</v>
      </c>
      <c r="K1952" s="22" t="s">
        <v>23</v>
      </c>
      <c r="L1952" s="22">
        <v>2</v>
      </c>
      <c r="M1952" s="26">
        <v>74290</v>
      </c>
      <c r="N1952" s="26">
        <v>0</v>
      </c>
      <c r="O1952" s="15">
        <f t="shared" si="150"/>
        <v>74290</v>
      </c>
      <c r="P1952" s="15">
        <f t="shared" si="151"/>
        <v>11.000059227671169</v>
      </c>
      <c r="Q1952" s="25">
        <v>5000</v>
      </c>
      <c r="R1952" s="22">
        <v>100</v>
      </c>
      <c r="S1952" s="22" t="s">
        <v>2470</v>
      </c>
      <c r="T1952" s="22">
        <f t="shared" si="152"/>
        <v>4</v>
      </c>
      <c r="U1952" s="22">
        <f t="shared" si="153"/>
        <v>2021</v>
      </c>
      <c r="V1952" s="22" t="str">
        <f t="shared" si="154"/>
        <v>METROPOLITANA</v>
      </c>
    </row>
    <row r="1953" spans="1:22" x14ac:dyDescent="0.2">
      <c r="A1953" s="23" t="s">
        <v>2465</v>
      </c>
      <c r="B1953" s="22" t="s">
        <v>33</v>
      </c>
      <c r="C1953" s="22" t="s">
        <v>29</v>
      </c>
      <c r="D1953" s="22" t="s">
        <v>188</v>
      </c>
      <c r="E1953" s="24" t="s">
        <v>189</v>
      </c>
      <c r="F1953" s="22" t="s">
        <v>134</v>
      </c>
      <c r="G1953" s="25">
        <v>6753.5999999999995</v>
      </c>
      <c r="H1953" s="22" t="s">
        <v>190</v>
      </c>
      <c r="I1953" s="22">
        <v>0</v>
      </c>
      <c r="J1953" s="22" t="s">
        <v>134</v>
      </c>
      <c r="K1953" s="22" t="s">
        <v>23</v>
      </c>
      <c r="L1953" s="22">
        <v>2</v>
      </c>
      <c r="M1953" s="26">
        <v>74290</v>
      </c>
      <c r="N1953" s="26">
        <v>0</v>
      </c>
      <c r="O1953" s="15">
        <f t="shared" si="150"/>
        <v>74290</v>
      </c>
      <c r="P1953" s="15">
        <f t="shared" si="151"/>
        <v>11.000059227671169</v>
      </c>
      <c r="Q1953" s="25">
        <v>5000</v>
      </c>
      <c r="R1953" s="22">
        <v>100</v>
      </c>
      <c r="S1953" s="22" t="s">
        <v>2471</v>
      </c>
      <c r="T1953" s="22">
        <f t="shared" si="152"/>
        <v>4</v>
      </c>
      <c r="U1953" s="22">
        <f t="shared" si="153"/>
        <v>2021</v>
      </c>
      <c r="V1953" s="22" t="str">
        <f t="shared" si="154"/>
        <v>METROPOLITANA</v>
      </c>
    </row>
    <row r="1954" spans="1:22" x14ac:dyDescent="0.2">
      <c r="A1954" s="23" t="s">
        <v>2465</v>
      </c>
      <c r="B1954" s="22" t="s">
        <v>33</v>
      </c>
      <c r="C1954" s="22" t="s">
        <v>29</v>
      </c>
      <c r="D1954" s="22" t="s">
        <v>37</v>
      </c>
      <c r="E1954" s="24" t="s">
        <v>40</v>
      </c>
      <c r="F1954" s="22" t="s">
        <v>134</v>
      </c>
      <c r="G1954" s="25">
        <v>7025.4000000000005</v>
      </c>
      <c r="H1954" s="22" t="s">
        <v>22</v>
      </c>
      <c r="I1954" s="22">
        <v>0</v>
      </c>
      <c r="J1954" s="22" t="s">
        <v>134</v>
      </c>
      <c r="K1954" s="22" t="s">
        <v>23</v>
      </c>
      <c r="L1954" s="22">
        <v>2</v>
      </c>
      <c r="M1954" s="26">
        <v>77279</v>
      </c>
      <c r="N1954" s="26">
        <v>0</v>
      </c>
      <c r="O1954" s="15">
        <f t="shared" si="150"/>
        <v>77279</v>
      </c>
      <c r="P1954" s="15">
        <f t="shared" si="151"/>
        <v>10.999943063740142</v>
      </c>
      <c r="Q1954" s="25">
        <v>5000</v>
      </c>
      <c r="R1954" s="22">
        <v>100</v>
      </c>
      <c r="S1954" s="22" t="s">
        <v>2472</v>
      </c>
      <c r="T1954" s="22">
        <f t="shared" si="152"/>
        <v>4</v>
      </c>
      <c r="U1954" s="22">
        <f t="shared" si="153"/>
        <v>2021</v>
      </c>
      <c r="V1954" s="22" t="str">
        <f t="shared" si="154"/>
        <v>METROPOLITANA</v>
      </c>
    </row>
    <row r="1955" spans="1:22" x14ac:dyDescent="0.2">
      <c r="A1955" s="23" t="s">
        <v>2465</v>
      </c>
      <c r="B1955" s="22" t="s">
        <v>33</v>
      </c>
      <c r="C1955" s="22" t="s">
        <v>29</v>
      </c>
      <c r="D1955" s="22" t="s">
        <v>47</v>
      </c>
      <c r="E1955" s="24" t="s">
        <v>1576</v>
      </c>
      <c r="F1955" s="22" t="s">
        <v>173</v>
      </c>
      <c r="G1955" s="25">
        <v>7503.9999999999982</v>
      </c>
      <c r="H1955" s="22" t="s">
        <v>22</v>
      </c>
      <c r="I1955" s="22">
        <v>0</v>
      </c>
      <c r="J1955" s="22" t="s">
        <v>173</v>
      </c>
      <c r="K1955" s="22" t="s">
        <v>23</v>
      </c>
      <c r="L1955" s="22">
        <v>5</v>
      </c>
      <c r="M1955" s="26">
        <v>90000</v>
      </c>
      <c r="N1955" s="26">
        <v>0</v>
      </c>
      <c r="O1955" s="15">
        <f t="shared" si="150"/>
        <v>90000</v>
      </c>
      <c r="P1955" s="15">
        <f t="shared" si="151"/>
        <v>11.993603411513861</v>
      </c>
      <c r="Q1955" s="25">
        <v>10000</v>
      </c>
      <c r="R1955" s="22">
        <v>75</v>
      </c>
      <c r="S1955" s="22" t="s">
        <v>2473</v>
      </c>
      <c r="T1955" s="22">
        <f t="shared" si="152"/>
        <v>4</v>
      </c>
      <c r="U1955" s="22">
        <f t="shared" si="153"/>
        <v>2021</v>
      </c>
      <c r="V1955" s="22" t="str">
        <f t="shared" si="154"/>
        <v>METROPOLITANA</v>
      </c>
    </row>
    <row r="1956" spans="1:22" x14ac:dyDescent="0.2">
      <c r="A1956" s="23" t="s">
        <v>2465</v>
      </c>
      <c r="B1956" s="22" t="s">
        <v>33</v>
      </c>
      <c r="C1956" s="22" t="s">
        <v>29</v>
      </c>
      <c r="D1956" s="22" t="s">
        <v>41</v>
      </c>
      <c r="E1956" s="24" t="s">
        <v>25</v>
      </c>
      <c r="F1956" s="22" t="s">
        <v>129</v>
      </c>
      <c r="G1956" s="25">
        <v>9004.7999999999975</v>
      </c>
      <c r="H1956" s="22" t="s">
        <v>43</v>
      </c>
      <c r="I1956" s="22">
        <v>0</v>
      </c>
      <c r="J1956" s="22" t="s">
        <v>129</v>
      </c>
      <c r="K1956" s="22" t="s">
        <v>23</v>
      </c>
      <c r="L1956" s="22">
        <v>1</v>
      </c>
      <c r="M1956" s="26">
        <v>99053</v>
      </c>
      <c r="N1956" s="26">
        <v>0</v>
      </c>
      <c r="O1956" s="15">
        <f t="shared" si="150"/>
        <v>99053</v>
      </c>
      <c r="P1956" s="15">
        <f t="shared" si="151"/>
        <v>11.000022210376692</v>
      </c>
      <c r="Q1956" s="25">
        <v>5000</v>
      </c>
      <c r="R1956" s="22">
        <v>100</v>
      </c>
      <c r="S1956" s="22" t="s">
        <v>2474</v>
      </c>
      <c r="T1956" s="22">
        <f t="shared" si="152"/>
        <v>4</v>
      </c>
      <c r="U1956" s="22">
        <f t="shared" si="153"/>
        <v>2021</v>
      </c>
      <c r="V1956" s="22" t="str">
        <f t="shared" si="154"/>
        <v>METROPOLITANA</v>
      </c>
    </row>
    <row r="1957" spans="1:22" x14ac:dyDescent="0.2">
      <c r="A1957" s="23" t="s">
        <v>2465</v>
      </c>
      <c r="B1957" s="22" t="s">
        <v>33</v>
      </c>
      <c r="C1957" s="22" t="s">
        <v>44</v>
      </c>
      <c r="D1957" s="22" t="s">
        <v>191</v>
      </c>
      <c r="E1957" s="24" t="s">
        <v>192</v>
      </c>
      <c r="F1957" s="22" t="s">
        <v>114</v>
      </c>
      <c r="G1957" s="25">
        <v>16067.08</v>
      </c>
      <c r="H1957" s="22" t="s">
        <v>85</v>
      </c>
      <c r="I1957" s="22">
        <v>1</v>
      </c>
      <c r="J1957" s="22" t="s">
        <v>114</v>
      </c>
      <c r="K1957" s="22" t="s">
        <v>75</v>
      </c>
      <c r="L1957" s="22">
        <v>0</v>
      </c>
      <c r="M1957" s="26">
        <v>380000</v>
      </c>
      <c r="N1957" s="26">
        <v>0</v>
      </c>
      <c r="O1957" s="15">
        <f t="shared" si="150"/>
        <v>380000</v>
      </c>
      <c r="P1957" s="15">
        <f t="shared" si="151"/>
        <v>23.650843837212488</v>
      </c>
      <c r="Q1957" s="25">
        <v>25000</v>
      </c>
      <c r="R1957" s="22">
        <v>64</v>
      </c>
      <c r="S1957" s="22" t="s">
        <v>2475</v>
      </c>
      <c r="T1957" s="22">
        <f t="shared" si="152"/>
        <v>4</v>
      </c>
      <c r="U1957" s="22">
        <f t="shared" si="153"/>
        <v>2021</v>
      </c>
      <c r="V1957" s="22" t="str">
        <f t="shared" si="154"/>
        <v>REGIONES</v>
      </c>
    </row>
    <row r="1958" spans="1:22" x14ac:dyDescent="0.2">
      <c r="A1958" s="23" t="s">
        <v>2465</v>
      </c>
      <c r="B1958" s="22" t="s">
        <v>33</v>
      </c>
      <c r="C1958" s="22" t="s">
        <v>44</v>
      </c>
      <c r="D1958" s="22" t="s">
        <v>45</v>
      </c>
      <c r="E1958" s="24" t="s">
        <v>2288</v>
      </c>
      <c r="F1958" s="22" t="s">
        <v>48</v>
      </c>
      <c r="G1958" s="25">
        <f>5813+750</f>
        <v>6563</v>
      </c>
      <c r="H1958" s="22" t="s">
        <v>22</v>
      </c>
      <c r="I1958" s="22">
        <v>0</v>
      </c>
      <c r="J1958" s="22" t="s">
        <v>48</v>
      </c>
      <c r="K1958" s="22" t="s">
        <v>23</v>
      </c>
      <c r="L1958" s="22">
        <v>1</v>
      </c>
      <c r="M1958" s="26">
        <f>+G1958*11</f>
        <v>72193</v>
      </c>
      <c r="N1958" s="26">
        <v>0</v>
      </c>
      <c r="O1958" s="15">
        <f t="shared" si="150"/>
        <v>72193</v>
      </c>
      <c r="P1958" s="15">
        <f t="shared" si="151"/>
        <v>11</v>
      </c>
      <c r="Q1958" s="25">
        <v>5000</v>
      </c>
      <c r="R1958" s="22">
        <v>100</v>
      </c>
      <c r="S1958" s="22" t="s">
        <v>2476</v>
      </c>
      <c r="T1958" s="22">
        <f t="shared" si="152"/>
        <v>4</v>
      </c>
      <c r="U1958" s="22">
        <f t="shared" si="153"/>
        <v>2021</v>
      </c>
      <c r="V1958" s="22" t="str">
        <f t="shared" si="154"/>
        <v>METROPOLITANA</v>
      </c>
    </row>
    <row r="1959" spans="1:22" x14ac:dyDescent="0.2">
      <c r="A1959" s="11" t="s">
        <v>2477</v>
      </c>
      <c r="B1959" s="12" t="s">
        <v>18</v>
      </c>
      <c r="C1959" s="12" t="s">
        <v>500</v>
      </c>
      <c r="D1959" s="12" t="s">
        <v>37</v>
      </c>
      <c r="E1959" s="13" t="s">
        <v>40</v>
      </c>
      <c r="F1959" s="12" t="s">
        <v>120</v>
      </c>
      <c r="G1959" s="14">
        <f>4580+474</f>
        <v>5054</v>
      </c>
      <c r="H1959" s="12" t="s">
        <v>22</v>
      </c>
      <c r="I1959" s="12">
        <v>0</v>
      </c>
      <c r="J1959" s="12" t="s">
        <v>120</v>
      </c>
      <c r="K1959" s="12" t="s">
        <v>23</v>
      </c>
      <c r="L1959" s="12">
        <v>5</v>
      </c>
      <c r="M1959" s="15">
        <v>70000</v>
      </c>
      <c r="N1959" s="15">
        <v>0</v>
      </c>
      <c r="O1959" s="15">
        <f t="shared" si="150"/>
        <v>70000</v>
      </c>
      <c r="P1959" s="15">
        <f t="shared" si="151"/>
        <v>13.850415512465373</v>
      </c>
      <c r="Q1959" s="14">
        <v>10000</v>
      </c>
      <c r="R1959" s="12">
        <v>46</v>
      </c>
      <c r="S1959" s="12" t="s">
        <v>2478</v>
      </c>
      <c r="T1959" s="22">
        <f t="shared" si="152"/>
        <v>4</v>
      </c>
      <c r="U1959" s="22">
        <f t="shared" si="153"/>
        <v>2021</v>
      </c>
      <c r="V1959" s="22" t="str">
        <f t="shared" si="154"/>
        <v>METROPOLITANA</v>
      </c>
    </row>
    <row r="1960" spans="1:22" x14ac:dyDescent="0.2">
      <c r="A1960" s="11" t="s">
        <v>2477</v>
      </c>
      <c r="B1960" s="12" t="s">
        <v>18</v>
      </c>
      <c r="C1960" s="12" t="s">
        <v>163</v>
      </c>
      <c r="D1960" s="12" t="s">
        <v>41</v>
      </c>
      <c r="E1960" s="13" t="s">
        <v>2479</v>
      </c>
      <c r="F1960" s="12" t="s">
        <v>165</v>
      </c>
      <c r="G1960" s="14">
        <v>9721.5999999999967</v>
      </c>
      <c r="H1960" s="12" t="s">
        <v>43</v>
      </c>
      <c r="I1960" s="12">
        <v>0</v>
      </c>
      <c r="J1960" s="12" t="s">
        <v>165</v>
      </c>
      <c r="K1960" s="12" t="s">
        <v>23</v>
      </c>
      <c r="L1960" s="12">
        <v>4</v>
      </c>
      <c r="M1960" s="15">
        <v>106938</v>
      </c>
      <c r="N1960" s="15">
        <v>0</v>
      </c>
      <c r="O1960" s="15">
        <f t="shared" si="150"/>
        <v>106938</v>
      </c>
      <c r="P1960" s="15">
        <f t="shared" si="151"/>
        <v>11.000041145490458</v>
      </c>
      <c r="Q1960" s="14">
        <v>5000</v>
      </c>
      <c r="R1960" s="12">
        <v>100</v>
      </c>
      <c r="S1960" s="12" t="s">
        <v>2480</v>
      </c>
      <c r="T1960" s="22">
        <f t="shared" si="152"/>
        <v>4</v>
      </c>
      <c r="U1960" s="22">
        <f t="shared" si="153"/>
        <v>2021</v>
      </c>
      <c r="V1960" s="22" t="str">
        <f t="shared" si="154"/>
        <v>METROPOLITANA</v>
      </c>
    </row>
    <row r="1961" spans="1:22" x14ac:dyDescent="0.2">
      <c r="A1961" s="11" t="s">
        <v>2477</v>
      </c>
      <c r="B1961" s="12" t="s">
        <v>18</v>
      </c>
      <c r="C1961" s="12" t="s">
        <v>163</v>
      </c>
      <c r="D1961" s="12" t="s">
        <v>20</v>
      </c>
      <c r="E1961" s="13" t="s">
        <v>2481</v>
      </c>
      <c r="F1961" s="12" t="s">
        <v>165</v>
      </c>
      <c r="G1961" s="14">
        <v>4860.7999999999993</v>
      </c>
      <c r="H1961" s="12" t="s">
        <v>22</v>
      </c>
      <c r="I1961" s="12">
        <v>0</v>
      </c>
      <c r="J1961" s="12" t="s">
        <v>165</v>
      </c>
      <c r="K1961" s="12" t="s">
        <v>23</v>
      </c>
      <c r="L1961" s="12">
        <v>4</v>
      </c>
      <c r="M1961" s="15">
        <v>55000</v>
      </c>
      <c r="N1961" s="15">
        <v>0</v>
      </c>
      <c r="O1961" s="15">
        <f t="shared" si="150"/>
        <v>55000</v>
      </c>
      <c r="P1961" s="15">
        <f t="shared" si="151"/>
        <v>11.315009874917711</v>
      </c>
      <c r="Q1961" s="14">
        <v>5000</v>
      </c>
      <c r="R1961" s="12">
        <v>97</v>
      </c>
      <c r="S1961" s="12" t="s">
        <v>2482</v>
      </c>
      <c r="T1961" s="22">
        <f t="shared" si="152"/>
        <v>4</v>
      </c>
      <c r="U1961" s="22">
        <f t="shared" si="153"/>
        <v>2021</v>
      </c>
      <c r="V1961" s="22" t="str">
        <f t="shared" si="154"/>
        <v>METROPOLITANA</v>
      </c>
    </row>
    <row r="1962" spans="1:22" x14ac:dyDescent="0.2">
      <c r="A1962" s="11" t="s">
        <v>2477</v>
      </c>
      <c r="B1962" s="12" t="s">
        <v>18</v>
      </c>
      <c r="C1962" s="12" t="s">
        <v>508</v>
      </c>
      <c r="D1962" s="12" t="s">
        <v>164</v>
      </c>
      <c r="E1962" s="13" t="s">
        <v>28</v>
      </c>
      <c r="F1962" s="12" t="s">
        <v>2323</v>
      </c>
      <c r="G1962" s="14">
        <v>8933.43</v>
      </c>
      <c r="H1962" s="12" t="s">
        <v>22</v>
      </c>
      <c r="I1962" s="12">
        <v>1</v>
      </c>
      <c r="J1962" s="12" t="s">
        <v>182</v>
      </c>
      <c r="K1962" s="12" t="s">
        <v>23</v>
      </c>
      <c r="L1962" s="12">
        <v>4</v>
      </c>
      <c r="M1962" s="15">
        <v>98268</v>
      </c>
      <c r="N1962" s="15">
        <v>0</v>
      </c>
      <c r="O1962" s="15">
        <f t="shared" si="150"/>
        <v>98268</v>
      </c>
      <c r="P1962" s="15">
        <f t="shared" si="151"/>
        <v>11.000030223553551</v>
      </c>
      <c r="Q1962" s="14">
        <v>5000</v>
      </c>
      <c r="R1962" s="12">
        <v>100</v>
      </c>
      <c r="S1962" s="12" t="s">
        <v>2483</v>
      </c>
      <c r="T1962" s="22">
        <f t="shared" si="152"/>
        <v>4</v>
      </c>
      <c r="U1962" s="22">
        <f t="shared" si="153"/>
        <v>2021</v>
      </c>
      <c r="V1962" s="22" t="str">
        <f t="shared" si="154"/>
        <v>METROPOLITANA</v>
      </c>
    </row>
    <row r="1963" spans="1:22" x14ac:dyDescent="0.2">
      <c r="A1963" s="11" t="s">
        <v>2477</v>
      </c>
      <c r="B1963" s="12" t="s">
        <v>33</v>
      </c>
      <c r="C1963" s="12" t="s">
        <v>36</v>
      </c>
      <c r="D1963" s="12" t="s">
        <v>1170</v>
      </c>
      <c r="E1963" s="13" t="s">
        <v>2484</v>
      </c>
      <c r="F1963" s="12" t="s">
        <v>1026</v>
      </c>
      <c r="G1963" s="14">
        <f>5552.2+6377+550</f>
        <v>12479.2</v>
      </c>
      <c r="H1963" s="12" t="s">
        <v>24</v>
      </c>
      <c r="I1963" s="12">
        <v>1</v>
      </c>
      <c r="J1963" s="12" t="s">
        <v>1026</v>
      </c>
      <c r="K1963" s="12" t="s">
        <v>408</v>
      </c>
      <c r="L1963" s="12">
        <v>0</v>
      </c>
      <c r="M1963" s="15">
        <v>600000</v>
      </c>
      <c r="N1963" s="15">
        <v>0</v>
      </c>
      <c r="O1963" s="15">
        <f t="shared" si="150"/>
        <v>600000</v>
      </c>
      <c r="P1963" s="15">
        <f t="shared" si="151"/>
        <v>48.080005128533877</v>
      </c>
      <c r="Q1963" s="14">
        <v>25000</v>
      </c>
      <c r="R1963" s="12">
        <v>100</v>
      </c>
      <c r="S1963" s="12" t="s">
        <v>2485</v>
      </c>
      <c r="T1963" s="22">
        <f t="shared" si="152"/>
        <v>4</v>
      </c>
      <c r="U1963" s="22">
        <f t="shared" si="153"/>
        <v>2021</v>
      </c>
      <c r="V1963" s="22" t="str">
        <f t="shared" si="154"/>
        <v>REGIONES</v>
      </c>
    </row>
    <row r="1964" spans="1:22" x14ac:dyDescent="0.2">
      <c r="A1964" s="11" t="s">
        <v>2477</v>
      </c>
      <c r="B1964" s="12" t="s">
        <v>33</v>
      </c>
      <c r="C1964" s="12" t="s">
        <v>357</v>
      </c>
      <c r="D1964" s="12" t="s">
        <v>63</v>
      </c>
      <c r="E1964" s="13" t="s">
        <v>64</v>
      </c>
      <c r="F1964" s="12" t="s">
        <v>51</v>
      </c>
      <c r="G1964" s="14">
        <v>4818</v>
      </c>
      <c r="H1964" s="12" t="s">
        <v>65</v>
      </c>
      <c r="I1964" s="12">
        <v>0</v>
      </c>
      <c r="J1964" s="12" t="s">
        <v>51</v>
      </c>
      <c r="K1964" s="12" t="s">
        <v>23</v>
      </c>
      <c r="L1964" s="12">
        <v>4</v>
      </c>
      <c r="M1964" s="15">
        <v>55000</v>
      </c>
      <c r="N1964" s="15">
        <v>0</v>
      </c>
      <c r="O1964" s="15">
        <f t="shared" si="150"/>
        <v>55000</v>
      </c>
      <c r="P1964" s="15">
        <f t="shared" si="151"/>
        <v>11.415525114155251</v>
      </c>
      <c r="Q1964" s="14">
        <v>5000</v>
      </c>
      <c r="R1964" s="12">
        <v>96</v>
      </c>
      <c r="S1964" s="12" t="s">
        <v>2486</v>
      </c>
      <c r="T1964" s="22">
        <f t="shared" si="152"/>
        <v>4</v>
      </c>
      <c r="U1964" s="22">
        <f t="shared" si="153"/>
        <v>2021</v>
      </c>
      <c r="V1964" s="22" t="str">
        <f t="shared" si="154"/>
        <v>METROPOLITANA</v>
      </c>
    </row>
    <row r="1965" spans="1:22" x14ac:dyDescent="0.2">
      <c r="A1965" s="11" t="s">
        <v>2477</v>
      </c>
      <c r="B1965" s="12" t="s">
        <v>33</v>
      </c>
      <c r="C1965" s="12" t="s">
        <v>29</v>
      </c>
      <c r="D1965" s="12" t="s">
        <v>38</v>
      </c>
      <c r="E1965" s="13" t="s">
        <v>42</v>
      </c>
      <c r="F1965" s="12" t="s">
        <v>129</v>
      </c>
      <c r="G1965" s="14">
        <v>9755.1999999999953</v>
      </c>
      <c r="H1965" s="12" t="s">
        <v>43</v>
      </c>
      <c r="I1965" s="12">
        <v>0</v>
      </c>
      <c r="J1965" s="12" t="s">
        <v>129</v>
      </c>
      <c r="K1965" s="12" t="s">
        <v>23</v>
      </c>
      <c r="L1965" s="12">
        <v>1</v>
      </c>
      <c r="M1965" s="15">
        <v>107307</v>
      </c>
      <c r="N1965" s="15">
        <v>0</v>
      </c>
      <c r="O1965" s="15">
        <f t="shared" si="150"/>
        <v>107307</v>
      </c>
      <c r="P1965" s="15">
        <f t="shared" si="151"/>
        <v>10.999979498113833</v>
      </c>
      <c r="Q1965" s="14">
        <v>5000</v>
      </c>
      <c r="R1965" s="12">
        <v>100</v>
      </c>
      <c r="S1965" s="12" t="s">
        <v>2487</v>
      </c>
      <c r="T1965" s="22">
        <f t="shared" si="152"/>
        <v>4</v>
      </c>
      <c r="U1965" s="22">
        <f t="shared" si="153"/>
        <v>2021</v>
      </c>
      <c r="V1965" s="22" t="str">
        <f t="shared" si="154"/>
        <v>METROPOLITANA</v>
      </c>
    </row>
    <row r="1966" spans="1:22" x14ac:dyDescent="0.2">
      <c r="A1966" s="11" t="s">
        <v>2477</v>
      </c>
      <c r="B1966" s="12" t="s">
        <v>33</v>
      </c>
      <c r="C1966" s="12" t="s">
        <v>29</v>
      </c>
      <c r="D1966" s="12" t="s">
        <v>188</v>
      </c>
      <c r="E1966" s="13" t="s">
        <v>189</v>
      </c>
      <c r="F1966" s="12" t="s">
        <v>129</v>
      </c>
      <c r="G1966" s="14">
        <v>7503.9999999999982</v>
      </c>
      <c r="H1966" s="12" t="s">
        <v>190</v>
      </c>
      <c r="I1966" s="12">
        <v>0</v>
      </c>
      <c r="J1966" s="12" t="s">
        <v>129</v>
      </c>
      <c r="K1966" s="12" t="s">
        <v>23</v>
      </c>
      <c r="L1966" s="12">
        <v>1</v>
      </c>
      <c r="M1966" s="15">
        <v>82544</v>
      </c>
      <c r="N1966" s="15">
        <v>0</v>
      </c>
      <c r="O1966" s="15">
        <f t="shared" si="150"/>
        <v>82544</v>
      </c>
      <c r="P1966" s="15">
        <f t="shared" si="151"/>
        <v>11.000000000000004</v>
      </c>
      <c r="Q1966" s="14">
        <v>5000</v>
      </c>
      <c r="R1966" s="12">
        <v>100</v>
      </c>
      <c r="S1966" s="12" t="s">
        <v>2488</v>
      </c>
      <c r="T1966" s="22">
        <f t="shared" si="152"/>
        <v>4</v>
      </c>
      <c r="U1966" s="22">
        <f t="shared" si="153"/>
        <v>2021</v>
      </c>
      <c r="V1966" s="22" t="str">
        <f t="shared" si="154"/>
        <v>METROPOLITANA</v>
      </c>
    </row>
    <row r="1967" spans="1:22" x14ac:dyDescent="0.2">
      <c r="A1967" s="11" t="s">
        <v>2477</v>
      </c>
      <c r="B1967" s="12" t="s">
        <v>33</v>
      </c>
      <c r="C1967" s="12" t="s">
        <v>44</v>
      </c>
      <c r="D1967" s="12" t="s">
        <v>35</v>
      </c>
      <c r="E1967" s="13" t="s">
        <v>1576</v>
      </c>
      <c r="F1967" s="12" t="s">
        <v>48</v>
      </c>
      <c r="G1967" s="14">
        <v>2894.1</v>
      </c>
      <c r="H1967" s="12" t="s">
        <v>22</v>
      </c>
      <c r="I1967" s="12">
        <v>0</v>
      </c>
      <c r="J1967" s="12" t="s">
        <v>48</v>
      </c>
      <c r="K1967" s="12" t="s">
        <v>23</v>
      </c>
      <c r="L1967" s="12">
        <v>1</v>
      </c>
      <c r="M1967" s="15">
        <v>55000</v>
      </c>
      <c r="N1967" s="15">
        <v>0</v>
      </c>
      <c r="O1967" s="15">
        <f t="shared" si="150"/>
        <v>55000</v>
      </c>
      <c r="P1967" s="15">
        <f t="shared" si="151"/>
        <v>19.004180919802359</v>
      </c>
      <c r="Q1967" s="14">
        <v>5000</v>
      </c>
      <c r="R1967" s="12">
        <v>58</v>
      </c>
      <c r="S1967" s="12" t="s">
        <v>2489</v>
      </c>
      <c r="T1967" s="22">
        <f t="shared" si="152"/>
        <v>4</v>
      </c>
      <c r="U1967" s="22">
        <f t="shared" si="153"/>
        <v>2021</v>
      </c>
      <c r="V1967" s="22" t="str">
        <f t="shared" si="154"/>
        <v>METROPOLITANA</v>
      </c>
    </row>
    <row r="1968" spans="1:22" x14ac:dyDescent="0.2">
      <c r="A1968" s="11" t="s">
        <v>2477</v>
      </c>
      <c r="B1968" s="12" t="s">
        <v>33</v>
      </c>
      <c r="C1968" s="12" t="s">
        <v>44</v>
      </c>
      <c r="D1968" s="12" t="s">
        <v>867</v>
      </c>
      <c r="E1968" s="13" t="s">
        <v>868</v>
      </c>
      <c r="F1968" s="12" t="s">
        <v>114</v>
      </c>
      <c r="G1968" s="14">
        <v>14322.79999999999</v>
      </c>
      <c r="H1968" s="12" t="s">
        <v>85</v>
      </c>
      <c r="I1968" s="12">
        <v>1</v>
      </c>
      <c r="J1968" s="12" t="s">
        <v>114</v>
      </c>
      <c r="K1968" s="12" t="s">
        <v>75</v>
      </c>
      <c r="L1968" s="12">
        <v>0</v>
      </c>
      <c r="M1968" s="15">
        <v>380000</v>
      </c>
      <c r="N1968" s="15">
        <v>0</v>
      </c>
      <c r="O1968" s="15">
        <f t="shared" si="150"/>
        <v>380000</v>
      </c>
      <c r="P1968" s="15">
        <f t="shared" si="151"/>
        <v>26.531125198983457</v>
      </c>
      <c r="Q1968" s="14">
        <v>25000</v>
      </c>
      <c r="R1968" s="12">
        <v>57</v>
      </c>
      <c r="S1968" s="12" t="s">
        <v>2490</v>
      </c>
      <c r="T1968" s="22">
        <f t="shared" si="152"/>
        <v>4</v>
      </c>
      <c r="U1968" s="22">
        <f t="shared" si="153"/>
        <v>2021</v>
      </c>
      <c r="V1968" s="22" t="str">
        <f t="shared" si="154"/>
        <v>REGIONES</v>
      </c>
    </row>
    <row r="1969" spans="1:22" x14ac:dyDescent="0.2">
      <c r="A1969" s="11" t="s">
        <v>2477</v>
      </c>
      <c r="B1969" s="12" t="s">
        <v>33</v>
      </c>
      <c r="C1969" s="12" t="s">
        <v>1163</v>
      </c>
      <c r="D1969" s="12" t="s">
        <v>30</v>
      </c>
      <c r="E1969" s="13" t="s">
        <v>31</v>
      </c>
      <c r="F1969" s="12" t="s">
        <v>1166</v>
      </c>
      <c r="G1969" s="14">
        <v>24979.19999999999</v>
      </c>
      <c r="H1969" s="12" t="s">
        <v>32</v>
      </c>
      <c r="I1969" s="12">
        <v>0</v>
      </c>
      <c r="J1969" s="12" t="s">
        <v>1166</v>
      </c>
      <c r="K1969" s="12" t="s">
        <v>23</v>
      </c>
      <c r="L1969" s="12">
        <v>5</v>
      </c>
      <c r="M1969" s="15">
        <v>350000</v>
      </c>
      <c r="N1969" s="15">
        <v>0</v>
      </c>
      <c r="O1969" s="15">
        <f t="shared" si="150"/>
        <v>350000</v>
      </c>
      <c r="P1969" s="15">
        <f t="shared" si="151"/>
        <v>14.011657699205745</v>
      </c>
      <c r="Q1969" s="14">
        <v>10000</v>
      </c>
      <c r="R1969" s="12">
        <v>100</v>
      </c>
      <c r="S1969" s="12" t="s">
        <v>2491</v>
      </c>
      <c r="T1969" s="22">
        <f t="shared" si="152"/>
        <v>4</v>
      </c>
      <c r="U1969" s="22">
        <f t="shared" si="153"/>
        <v>2021</v>
      </c>
      <c r="V1969" s="22" t="str">
        <f t="shared" si="154"/>
        <v>METROPOLITANA</v>
      </c>
    </row>
    <row r="1970" spans="1:22" x14ac:dyDescent="0.2">
      <c r="A1970" s="23" t="s">
        <v>2492</v>
      </c>
      <c r="B1970" s="22" t="s">
        <v>18</v>
      </c>
      <c r="C1970" s="22" t="s">
        <v>500</v>
      </c>
      <c r="D1970" s="22" t="s">
        <v>37</v>
      </c>
      <c r="E1970" s="24" t="s">
        <v>40</v>
      </c>
      <c r="F1970" s="22" t="s">
        <v>120</v>
      </c>
      <c r="G1970" s="25">
        <v>3348.18</v>
      </c>
      <c r="H1970" s="22" t="s">
        <v>22</v>
      </c>
      <c r="I1970" s="22">
        <v>0</v>
      </c>
      <c r="J1970" s="22" t="s">
        <v>120</v>
      </c>
      <c r="K1970" s="22" t="s">
        <v>23</v>
      </c>
      <c r="L1970" s="22">
        <v>5</v>
      </c>
      <c r="M1970" s="26">
        <v>70000</v>
      </c>
      <c r="N1970" s="26">
        <v>0</v>
      </c>
      <c r="O1970" s="15">
        <f t="shared" si="150"/>
        <v>70000</v>
      </c>
      <c r="P1970" s="15">
        <f t="shared" si="151"/>
        <v>20.906880753125581</v>
      </c>
      <c r="Q1970" s="25">
        <v>10000</v>
      </c>
      <c r="R1970" s="22">
        <v>33</v>
      </c>
      <c r="S1970" s="22" t="s">
        <v>2493</v>
      </c>
      <c r="T1970" s="22">
        <f t="shared" si="152"/>
        <v>4</v>
      </c>
      <c r="U1970" s="22">
        <f t="shared" si="153"/>
        <v>2021</v>
      </c>
      <c r="V1970" s="22" t="str">
        <f t="shared" si="154"/>
        <v>METROPOLITANA</v>
      </c>
    </row>
    <row r="1971" spans="1:22" x14ac:dyDescent="0.2">
      <c r="A1971" s="23" t="s">
        <v>2492</v>
      </c>
      <c r="B1971" s="22" t="s">
        <v>18</v>
      </c>
      <c r="C1971" s="22" t="s">
        <v>508</v>
      </c>
      <c r="D1971" s="22" t="s">
        <v>164</v>
      </c>
      <c r="E1971" s="24" t="s">
        <v>28</v>
      </c>
      <c r="F1971" s="22" t="s">
        <v>2323</v>
      </c>
      <c r="G1971" s="25">
        <v>6891.33</v>
      </c>
      <c r="H1971" s="22" t="s">
        <v>22</v>
      </c>
      <c r="I1971" s="22">
        <v>1</v>
      </c>
      <c r="J1971" s="22" t="s">
        <v>182</v>
      </c>
      <c r="K1971" s="22" t="s">
        <v>23</v>
      </c>
      <c r="L1971" s="22">
        <v>4</v>
      </c>
      <c r="M1971" s="26">
        <v>75805</v>
      </c>
      <c r="N1971" s="26">
        <v>0</v>
      </c>
      <c r="O1971" s="15">
        <f t="shared" si="150"/>
        <v>75805</v>
      </c>
      <c r="P1971" s="15">
        <f t="shared" si="151"/>
        <v>11.000053690651876</v>
      </c>
      <c r="Q1971" s="25">
        <v>5000</v>
      </c>
      <c r="R1971" s="22">
        <v>100</v>
      </c>
      <c r="S1971" s="22" t="s">
        <v>2494</v>
      </c>
      <c r="T1971" s="22">
        <f t="shared" si="152"/>
        <v>4</v>
      </c>
      <c r="U1971" s="22">
        <f t="shared" si="153"/>
        <v>2021</v>
      </c>
      <c r="V1971" s="22" t="str">
        <f t="shared" si="154"/>
        <v>METROPOLITANA</v>
      </c>
    </row>
    <row r="1972" spans="1:22" x14ac:dyDescent="0.2">
      <c r="A1972" s="23" t="s">
        <v>2492</v>
      </c>
      <c r="B1972" s="22" t="s">
        <v>33</v>
      </c>
      <c r="C1972" s="22" t="s">
        <v>29</v>
      </c>
      <c r="D1972" s="22" t="s">
        <v>2262</v>
      </c>
      <c r="E1972" s="24" t="s">
        <v>83</v>
      </c>
      <c r="F1972" s="22" t="s">
        <v>132</v>
      </c>
      <c r="G1972" s="25">
        <v>12466.29999999999</v>
      </c>
      <c r="H1972" s="22" t="s">
        <v>24</v>
      </c>
      <c r="I1972" s="22">
        <v>1</v>
      </c>
      <c r="J1972" s="22" t="s">
        <v>132</v>
      </c>
      <c r="K1972" s="22" t="s">
        <v>124</v>
      </c>
      <c r="L1972" s="22">
        <v>0</v>
      </c>
      <c r="M1972" s="26">
        <v>350000</v>
      </c>
      <c r="N1972" s="26">
        <v>0</v>
      </c>
      <c r="O1972" s="15">
        <f t="shared" si="150"/>
        <v>350000</v>
      </c>
      <c r="P1972" s="15">
        <f t="shared" si="151"/>
        <v>28.075692065809445</v>
      </c>
      <c r="Q1972" s="25">
        <v>25000</v>
      </c>
      <c r="R1972" s="22">
        <v>50</v>
      </c>
      <c r="S1972" s="22" t="s">
        <v>2495</v>
      </c>
      <c r="T1972" s="22">
        <f t="shared" si="152"/>
        <v>4</v>
      </c>
      <c r="U1972" s="22">
        <f t="shared" si="153"/>
        <v>2021</v>
      </c>
      <c r="V1972" s="22" t="str">
        <f t="shared" si="154"/>
        <v>REGIONES</v>
      </c>
    </row>
    <row r="1973" spans="1:22" x14ac:dyDescent="0.2">
      <c r="A1973" s="23" t="s">
        <v>2492</v>
      </c>
      <c r="B1973" s="22" t="s">
        <v>33</v>
      </c>
      <c r="C1973" s="22" t="s">
        <v>29</v>
      </c>
      <c r="D1973" s="22" t="s">
        <v>45</v>
      </c>
      <c r="E1973" s="24" t="s">
        <v>49</v>
      </c>
      <c r="F1973" s="22" t="s">
        <v>134</v>
      </c>
      <c r="G1973" s="25">
        <v>6753.5999999999995</v>
      </c>
      <c r="H1973" s="22" t="s">
        <v>22</v>
      </c>
      <c r="I1973" s="22">
        <v>0</v>
      </c>
      <c r="J1973" s="22" t="s">
        <v>134</v>
      </c>
      <c r="K1973" s="22" t="s">
        <v>23</v>
      </c>
      <c r="L1973" s="22">
        <v>2</v>
      </c>
      <c r="M1973" s="26">
        <v>74290</v>
      </c>
      <c r="N1973" s="26">
        <v>0</v>
      </c>
      <c r="O1973" s="15">
        <f t="shared" si="150"/>
        <v>74290</v>
      </c>
      <c r="P1973" s="15">
        <f t="shared" si="151"/>
        <v>11.000059227671169</v>
      </c>
      <c r="Q1973" s="25">
        <v>5000</v>
      </c>
      <c r="R1973" s="22">
        <v>100</v>
      </c>
      <c r="S1973" s="22" t="s">
        <v>2496</v>
      </c>
      <c r="T1973" s="22">
        <f t="shared" si="152"/>
        <v>4</v>
      </c>
      <c r="U1973" s="22">
        <f t="shared" si="153"/>
        <v>2021</v>
      </c>
      <c r="V1973" s="22" t="str">
        <f t="shared" si="154"/>
        <v>METROPOLITANA</v>
      </c>
    </row>
    <row r="1974" spans="1:22" x14ac:dyDescent="0.2">
      <c r="A1974" s="23" t="s">
        <v>2492</v>
      </c>
      <c r="B1974" s="22" t="s">
        <v>33</v>
      </c>
      <c r="C1974" s="22" t="s">
        <v>29</v>
      </c>
      <c r="D1974" s="22" t="s">
        <v>47</v>
      </c>
      <c r="E1974" s="24" t="s">
        <v>1576</v>
      </c>
      <c r="F1974" s="22" t="s">
        <v>134</v>
      </c>
      <c r="G1974" s="25">
        <v>6753.5999999999995</v>
      </c>
      <c r="H1974" s="22" t="s">
        <v>22</v>
      </c>
      <c r="I1974" s="22">
        <v>0</v>
      </c>
      <c r="J1974" s="22" t="s">
        <v>134</v>
      </c>
      <c r="K1974" s="22" t="s">
        <v>23</v>
      </c>
      <c r="L1974" s="22">
        <v>2</v>
      </c>
      <c r="M1974" s="26">
        <v>74290</v>
      </c>
      <c r="N1974" s="26">
        <v>0</v>
      </c>
      <c r="O1974" s="15">
        <f t="shared" si="150"/>
        <v>74290</v>
      </c>
      <c r="P1974" s="15">
        <f t="shared" si="151"/>
        <v>11.000059227671169</v>
      </c>
      <c r="Q1974" s="25">
        <v>5000</v>
      </c>
      <c r="R1974" s="22">
        <v>100</v>
      </c>
      <c r="S1974" s="22" t="s">
        <v>2497</v>
      </c>
      <c r="T1974" s="22">
        <f t="shared" si="152"/>
        <v>4</v>
      </c>
      <c r="U1974" s="22">
        <f t="shared" si="153"/>
        <v>2021</v>
      </c>
      <c r="V1974" s="22" t="str">
        <f t="shared" si="154"/>
        <v>METROPOLITANA</v>
      </c>
    </row>
    <row r="1975" spans="1:22" x14ac:dyDescent="0.2">
      <c r="A1975" s="23" t="s">
        <v>2492</v>
      </c>
      <c r="B1975" s="22" t="s">
        <v>33</v>
      </c>
      <c r="C1975" s="22" t="s">
        <v>29</v>
      </c>
      <c r="D1975" s="22" t="s">
        <v>2028</v>
      </c>
      <c r="E1975" s="24" t="s">
        <v>2427</v>
      </c>
      <c r="F1975" s="22" t="s">
        <v>170</v>
      </c>
      <c r="G1975" s="25">
        <v>12846.7</v>
      </c>
      <c r="H1975" s="22" t="s">
        <v>22</v>
      </c>
      <c r="I1975" s="22">
        <v>1</v>
      </c>
      <c r="J1975" s="22" t="s">
        <v>170</v>
      </c>
      <c r="K1975" s="22" t="s">
        <v>171</v>
      </c>
      <c r="L1975" s="22">
        <v>0</v>
      </c>
      <c r="M1975" s="26">
        <v>230000</v>
      </c>
      <c r="N1975" s="26">
        <v>0</v>
      </c>
      <c r="O1975" s="15">
        <f t="shared" si="150"/>
        <v>230000</v>
      </c>
      <c r="P1975" s="15">
        <f t="shared" si="151"/>
        <v>17.90343045295679</v>
      </c>
      <c r="Q1975" s="25">
        <v>25000</v>
      </c>
      <c r="R1975" s="22">
        <v>51</v>
      </c>
      <c r="S1975" s="22" t="s">
        <v>2498</v>
      </c>
      <c r="T1975" s="22">
        <f t="shared" si="152"/>
        <v>4</v>
      </c>
      <c r="U1975" s="22">
        <f t="shared" si="153"/>
        <v>2021</v>
      </c>
      <c r="V1975" s="22" t="str">
        <f t="shared" si="154"/>
        <v>REGIONES</v>
      </c>
    </row>
    <row r="1976" spans="1:22" x14ac:dyDescent="0.2">
      <c r="A1976" s="23" t="s">
        <v>2492</v>
      </c>
      <c r="B1976" s="22" t="s">
        <v>33</v>
      </c>
      <c r="C1976" s="22" t="s">
        <v>29</v>
      </c>
      <c r="D1976" s="22" t="s">
        <v>2028</v>
      </c>
      <c r="E1976" s="24" t="s">
        <v>2427</v>
      </c>
      <c r="F1976" s="22" t="s">
        <v>39</v>
      </c>
      <c r="G1976" s="25">
        <v>4251</v>
      </c>
      <c r="H1976" s="22" t="s">
        <v>22</v>
      </c>
      <c r="I1976" s="22">
        <v>1</v>
      </c>
      <c r="J1976" s="22" t="s">
        <v>39</v>
      </c>
      <c r="K1976" s="22" t="s">
        <v>23</v>
      </c>
      <c r="L1976" s="22">
        <v>1</v>
      </c>
      <c r="M1976" s="26">
        <v>55000</v>
      </c>
      <c r="N1976" s="26">
        <v>0</v>
      </c>
      <c r="O1976" s="15">
        <f t="shared" si="150"/>
        <v>55000</v>
      </c>
      <c r="P1976" s="15">
        <f t="shared" si="151"/>
        <v>12.93813220418725</v>
      </c>
      <c r="Q1976" s="25">
        <v>5000</v>
      </c>
      <c r="R1976" s="22">
        <v>85</v>
      </c>
      <c r="S1976" s="22" t="s">
        <v>2499</v>
      </c>
      <c r="T1976" s="22">
        <f t="shared" si="152"/>
        <v>4</v>
      </c>
      <c r="U1976" s="22">
        <f t="shared" si="153"/>
        <v>2021</v>
      </c>
      <c r="V1976" s="22" t="str">
        <f t="shared" si="154"/>
        <v>METROPOLITANA</v>
      </c>
    </row>
    <row r="1977" spans="1:22" x14ac:dyDescent="0.2">
      <c r="A1977" s="23" t="s">
        <v>2492</v>
      </c>
      <c r="B1977" s="22" t="s">
        <v>33</v>
      </c>
      <c r="C1977" s="22" t="s">
        <v>29</v>
      </c>
      <c r="D1977" s="22" t="s">
        <v>41</v>
      </c>
      <c r="E1977" s="24" t="s">
        <v>25</v>
      </c>
      <c r="F1977" s="22" t="s">
        <v>129</v>
      </c>
      <c r="G1977" s="25">
        <v>8534.4999999999982</v>
      </c>
      <c r="H1977" s="22" t="s">
        <v>43</v>
      </c>
      <c r="I1977" s="22">
        <v>0</v>
      </c>
      <c r="J1977" s="22" t="s">
        <v>129</v>
      </c>
      <c r="K1977" s="22" t="s">
        <v>23</v>
      </c>
      <c r="L1977" s="22">
        <v>1</v>
      </c>
      <c r="M1977" s="26">
        <v>93879</v>
      </c>
      <c r="N1977" s="26">
        <v>0</v>
      </c>
      <c r="O1977" s="15">
        <f t="shared" si="150"/>
        <v>93879</v>
      </c>
      <c r="P1977" s="15">
        <f t="shared" si="151"/>
        <v>10.999941414259771</v>
      </c>
      <c r="Q1977" s="25">
        <v>5000</v>
      </c>
      <c r="R1977" s="22">
        <v>100</v>
      </c>
      <c r="S1977" s="22" t="s">
        <v>2500</v>
      </c>
      <c r="T1977" s="22">
        <f t="shared" si="152"/>
        <v>4</v>
      </c>
      <c r="U1977" s="22">
        <f t="shared" si="153"/>
        <v>2021</v>
      </c>
      <c r="V1977" s="22" t="str">
        <f t="shared" si="154"/>
        <v>METROPOLITANA</v>
      </c>
    </row>
    <row r="1978" spans="1:22" x14ac:dyDescent="0.2">
      <c r="A1978" s="23" t="s">
        <v>2492</v>
      </c>
      <c r="B1978" s="22" t="s">
        <v>33</v>
      </c>
      <c r="C1978" s="22" t="s">
        <v>44</v>
      </c>
      <c r="D1978" s="22" t="s">
        <v>27</v>
      </c>
      <c r="E1978" s="24" t="s">
        <v>28</v>
      </c>
      <c r="F1978" s="22" t="s">
        <v>48</v>
      </c>
      <c r="G1978" s="25">
        <v>12439.79999999999</v>
      </c>
      <c r="H1978" s="22" t="s">
        <v>22</v>
      </c>
      <c r="I1978" s="22">
        <v>1</v>
      </c>
      <c r="J1978" s="22" t="s">
        <v>48</v>
      </c>
      <c r="K1978" s="22" t="s">
        <v>23</v>
      </c>
      <c r="L1978" s="22">
        <v>1</v>
      </c>
      <c r="M1978" s="26">
        <v>136838</v>
      </c>
      <c r="N1978" s="26">
        <v>0</v>
      </c>
      <c r="O1978" s="15">
        <f t="shared" si="150"/>
        <v>136838</v>
      </c>
      <c r="P1978" s="15">
        <f t="shared" si="151"/>
        <v>11.000016077428906</v>
      </c>
      <c r="Q1978" s="25">
        <v>5000</v>
      </c>
      <c r="R1978" s="22">
        <v>100</v>
      </c>
      <c r="S1978" s="22" t="s">
        <v>2501</v>
      </c>
      <c r="T1978" s="22">
        <f t="shared" si="152"/>
        <v>4</v>
      </c>
      <c r="U1978" s="22">
        <f t="shared" si="153"/>
        <v>2021</v>
      </c>
      <c r="V1978" s="22" t="str">
        <f t="shared" si="154"/>
        <v>METROPOLITANA</v>
      </c>
    </row>
    <row r="1979" spans="1:22" x14ac:dyDescent="0.2">
      <c r="A1979" s="23" t="s">
        <v>2492</v>
      </c>
      <c r="B1979" s="22" t="s">
        <v>33</v>
      </c>
      <c r="C1979" s="22" t="s">
        <v>44</v>
      </c>
      <c r="D1979" s="22" t="s">
        <v>125</v>
      </c>
      <c r="E1979" s="24" t="s">
        <v>126</v>
      </c>
      <c r="F1979" s="22" t="s">
        <v>114</v>
      </c>
      <c r="G1979" s="25">
        <v>12295.30000000001</v>
      </c>
      <c r="H1979" s="22" t="s">
        <v>174</v>
      </c>
      <c r="I1979" s="22">
        <v>0</v>
      </c>
      <c r="J1979" s="22" t="s">
        <v>114</v>
      </c>
      <c r="K1979" s="22" t="s">
        <v>75</v>
      </c>
      <c r="L1979" s="22">
        <v>0</v>
      </c>
      <c r="M1979" s="26">
        <v>380000</v>
      </c>
      <c r="N1979" s="26">
        <v>0</v>
      </c>
      <c r="O1979" s="15">
        <f t="shared" si="150"/>
        <v>380000</v>
      </c>
      <c r="P1979" s="15">
        <f t="shared" si="151"/>
        <v>30.906118598163502</v>
      </c>
      <c r="Q1979" s="25">
        <v>25000</v>
      </c>
      <c r="R1979" s="22">
        <v>49</v>
      </c>
      <c r="S1979" s="22" t="s">
        <v>2502</v>
      </c>
      <c r="T1979" s="22">
        <f t="shared" si="152"/>
        <v>4</v>
      </c>
      <c r="U1979" s="22">
        <f t="shared" si="153"/>
        <v>2021</v>
      </c>
      <c r="V1979" s="22" t="str">
        <f t="shared" si="154"/>
        <v>REGIONES</v>
      </c>
    </row>
    <row r="1980" spans="1:22" x14ac:dyDescent="0.2">
      <c r="A1980" s="23" t="s">
        <v>2492</v>
      </c>
      <c r="B1980" s="22" t="s">
        <v>33</v>
      </c>
      <c r="C1980" s="22" t="s">
        <v>1163</v>
      </c>
      <c r="D1980" s="22" t="s">
        <v>30</v>
      </c>
      <c r="E1980" s="24" t="s">
        <v>31</v>
      </c>
      <c r="F1980" s="22" t="s">
        <v>1166</v>
      </c>
      <c r="G1980" s="25">
        <v>12489.6</v>
      </c>
      <c r="H1980" s="22" t="s">
        <v>32</v>
      </c>
      <c r="I1980" s="22">
        <v>0</v>
      </c>
      <c r="J1980" s="22" t="s">
        <v>1166</v>
      </c>
      <c r="K1980" s="22" t="s">
        <v>23</v>
      </c>
      <c r="L1980" s="22">
        <v>5</v>
      </c>
      <c r="M1980" s="26">
        <f>+G1980*11</f>
        <v>137385.60000000001</v>
      </c>
      <c r="N1980" s="26">
        <v>0</v>
      </c>
      <c r="O1980" s="15">
        <f t="shared" si="150"/>
        <v>137385.60000000001</v>
      </c>
      <c r="P1980" s="15">
        <f t="shared" si="151"/>
        <v>11</v>
      </c>
      <c r="Q1980" s="25">
        <v>10000</v>
      </c>
      <c r="R1980" s="22">
        <v>100</v>
      </c>
      <c r="S1980" s="22" t="s">
        <v>2503</v>
      </c>
      <c r="T1980" s="22">
        <f t="shared" si="152"/>
        <v>4</v>
      </c>
      <c r="U1980" s="22">
        <f t="shared" si="153"/>
        <v>2021</v>
      </c>
      <c r="V1980" s="22" t="str">
        <f t="shared" si="154"/>
        <v>METROPOLITANA</v>
      </c>
    </row>
    <row r="1981" spans="1:22" x14ac:dyDescent="0.2">
      <c r="A1981" s="11" t="s">
        <v>2504</v>
      </c>
      <c r="B1981" s="12" t="s">
        <v>18</v>
      </c>
      <c r="C1981" s="12" t="s">
        <v>500</v>
      </c>
      <c r="D1981" s="12" t="s">
        <v>63</v>
      </c>
      <c r="E1981" s="13" t="s">
        <v>64</v>
      </c>
      <c r="F1981" s="12" t="s">
        <v>120</v>
      </c>
      <c r="G1981" s="14">
        <v>4390.28</v>
      </c>
      <c r="H1981" s="12" t="s">
        <v>65</v>
      </c>
      <c r="I1981" s="12">
        <v>0</v>
      </c>
      <c r="J1981" s="12" t="s">
        <v>120</v>
      </c>
      <c r="K1981" s="12" t="s">
        <v>23</v>
      </c>
      <c r="L1981" s="12">
        <v>5</v>
      </c>
      <c r="M1981" s="15">
        <v>70000</v>
      </c>
      <c r="N1981" s="15">
        <v>0</v>
      </c>
      <c r="O1981" s="15">
        <f t="shared" si="150"/>
        <v>70000</v>
      </c>
      <c r="P1981" s="15">
        <f t="shared" si="151"/>
        <v>15.944313346756928</v>
      </c>
      <c r="Q1981" s="14">
        <v>10000</v>
      </c>
      <c r="R1981" s="12">
        <v>44</v>
      </c>
      <c r="S1981" s="12" t="s">
        <v>2505</v>
      </c>
      <c r="T1981" s="22">
        <f t="shared" si="152"/>
        <v>4</v>
      </c>
      <c r="U1981" s="22">
        <f t="shared" si="153"/>
        <v>2021</v>
      </c>
      <c r="V1981" s="22" t="str">
        <f t="shared" si="154"/>
        <v>METROPOLITANA</v>
      </c>
    </row>
    <row r="1982" spans="1:22" x14ac:dyDescent="0.2">
      <c r="A1982" s="11" t="s">
        <v>2504</v>
      </c>
      <c r="B1982" s="12" t="s">
        <v>18</v>
      </c>
      <c r="C1982" s="12" t="s">
        <v>508</v>
      </c>
      <c r="D1982" s="12" t="s">
        <v>20</v>
      </c>
      <c r="E1982" s="13" t="s">
        <v>21</v>
      </c>
      <c r="F1982" s="12" t="s">
        <v>2323</v>
      </c>
      <c r="G1982" s="14">
        <v>5073.1000000000004</v>
      </c>
      <c r="H1982" s="12" t="s">
        <v>22</v>
      </c>
      <c r="I1982" s="12">
        <v>0</v>
      </c>
      <c r="J1982" s="12" t="s">
        <v>182</v>
      </c>
      <c r="K1982" s="12" t="s">
        <v>23</v>
      </c>
      <c r="L1982" s="12">
        <v>4</v>
      </c>
      <c r="M1982" s="15">
        <v>55804</v>
      </c>
      <c r="N1982" s="15">
        <v>0</v>
      </c>
      <c r="O1982" s="15">
        <f t="shared" si="150"/>
        <v>55804</v>
      </c>
      <c r="P1982" s="15">
        <f t="shared" si="151"/>
        <v>10.999980288186709</v>
      </c>
      <c r="Q1982" s="14">
        <v>5000</v>
      </c>
      <c r="R1982" s="12">
        <v>100</v>
      </c>
      <c r="S1982" s="12" t="s">
        <v>2506</v>
      </c>
      <c r="T1982" s="22">
        <f t="shared" si="152"/>
        <v>4</v>
      </c>
      <c r="U1982" s="22">
        <f t="shared" si="153"/>
        <v>2021</v>
      </c>
      <c r="V1982" s="22" t="str">
        <f t="shared" si="154"/>
        <v>METROPOLITANA</v>
      </c>
    </row>
    <row r="1983" spans="1:22" x14ac:dyDescent="0.2">
      <c r="A1983" s="11" t="s">
        <v>2504</v>
      </c>
      <c r="B1983" s="12" t="s">
        <v>33</v>
      </c>
      <c r="C1983" s="12" t="s">
        <v>2507</v>
      </c>
      <c r="D1983" s="12" t="s">
        <v>38</v>
      </c>
      <c r="E1983" s="13" t="s">
        <v>25</v>
      </c>
      <c r="F1983" s="12" t="s">
        <v>2508</v>
      </c>
      <c r="G1983" s="14">
        <v>9290.7500000000018</v>
      </c>
      <c r="H1983" s="12" t="s">
        <v>43</v>
      </c>
      <c r="I1983" s="12">
        <v>0</v>
      </c>
      <c r="J1983" s="12" t="s">
        <v>2508</v>
      </c>
      <c r="K1983" s="12" t="s">
        <v>171</v>
      </c>
      <c r="L1983" s="12">
        <v>0</v>
      </c>
      <c r="M1983" s="15">
        <v>230000</v>
      </c>
      <c r="N1983" s="15">
        <v>0</v>
      </c>
      <c r="O1983" s="15">
        <f t="shared" si="150"/>
        <v>230000</v>
      </c>
      <c r="P1983" s="15">
        <f t="shared" si="151"/>
        <v>24.755805505475873</v>
      </c>
      <c r="Q1983" s="14">
        <v>25000</v>
      </c>
      <c r="R1983" s="12">
        <v>37</v>
      </c>
      <c r="S1983" s="12" t="s">
        <v>2509</v>
      </c>
      <c r="T1983" s="22">
        <f t="shared" si="152"/>
        <v>4</v>
      </c>
      <c r="U1983" s="22">
        <f t="shared" si="153"/>
        <v>2021</v>
      </c>
      <c r="V1983" s="22" t="str">
        <f t="shared" si="154"/>
        <v>REGIONES</v>
      </c>
    </row>
    <row r="1984" spans="1:22" x14ac:dyDescent="0.2">
      <c r="A1984" s="11" t="s">
        <v>2504</v>
      </c>
      <c r="B1984" s="12" t="s">
        <v>33</v>
      </c>
      <c r="C1984" s="12" t="s">
        <v>2507</v>
      </c>
      <c r="D1984" s="12" t="s">
        <v>37</v>
      </c>
      <c r="E1984" s="13" t="s">
        <v>40</v>
      </c>
      <c r="F1984" s="12" t="s">
        <v>2508</v>
      </c>
      <c r="G1984" s="14">
        <v>8494.4000000000015</v>
      </c>
      <c r="H1984" s="12" t="s">
        <v>22</v>
      </c>
      <c r="I1984" s="12">
        <v>0</v>
      </c>
      <c r="J1984" s="12" t="s">
        <v>2508</v>
      </c>
      <c r="K1984" s="12" t="s">
        <v>171</v>
      </c>
      <c r="L1984" s="12">
        <v>0</v>
      </c>
      <c r="M1984" s="15">
        <v>230000</v>
      </c>
      <c r="N1984" s="15">
        <v>0</v>
      </c>
      <c r="O1984" s="15">
        <f t="shared" si="150"/>
        <v>230000</v>
      </c>
      <c r="P1984" s="15">
        <f t="shared" si="151"/>
        <v>27.076662271614236</v>
      </c>
      <c r="Q1984" s="14">
        <v>25000</v>
      </c>
      <c r="R1984" s="12">
        <v>34</v>
      </c>
      <c r="S1984" s="12" t="s">
        <v>2510</v>
      </c>
      <c r="T1984" s="22">
        <f t="shared" si="152"/>
        <v>4</v>
      </c>
      <c r="U1984" s="22">
        <f t="shared" si="153"/>
        <v>2021</v>
      </c>
      <c r="V1984" s="22" t="str">
        <f t="shared" si="154"/>
        <v>REGIONES</v>
      </c>
    </row>
    <row r="1985" spans="1:22" x14ac:dyDescent="0.2">
      <c r="A1985" s="11" t="s">
        <v>2504</v>
      </c>
      <c r="B1985" s="12" t="s">
        <v>33</v>
      </c>
      <c r="C1985" s="12" t="s">
        <v>29</v>
      </c>
      <c r="D1985" s="12" t="s">
        <v>191</v>
      </c>
      <c r="E1985" s="13" t="s">
        <v>192</v>
      </c>
      <c r="F1985" s="12" t="s">
        <v>132</v>
      </c>
      <c r="G1985" s="14">
        <v>14019.89999999998</v>
      </c>
      <c r="H1985" s="12" t="s">
        <v>85</v>
      </c>
      <c r="I1985" s="12">
        <v>1</v>
      </c>
      <c r="J1985" s="12" t="s">
        <v>132</v>
      </c>
      <c r="K1985" s="12" t="s">
        <v>124</v>
      </c>
      <c r="L1985" s="12">
        <v>0</v>
      </c>
      <c r="M1985" s="15">
        <v>350000</v>
      </c>
      <c r="N1985" s="15">
        <v>0</v>
      </c>
      <c r="O1985" s="15">
        <f t="shared" si="150"/>
        <v>350000</v>
      </c>
      <c r="P1985" s="15">
        <f t="shared" si="151"/>
        <v>24.964514725497366</v>
      </c>
      <c r="Q1985" s="14">
        <v>25000</v>
      </c>
      <c r="R1985" s="12">
        <v>56</v>
      </c>
      <c r="S1985" s="12" t="s">
        <v>2511</v>
      </c>
      <c r="T1985" s="22">
        <f t="shared" si="152"/>
        <v>4</v>
      </c>
      <c r="U1985" s="22">
        <f t="shared" si="153"/>
        <v>2021</v>
      </c>
      <c r="V1985" s="22" t="str">
        <f t="shared" si="154"/>
        <v>REGIONES</v>
      </c>
    </row>
    <row r="1986" spans="1:22" x14ac:dyDescent="0.2">
      <c r="A1986" s="11" t="s">
        <v>2504</v>
      </c>
      <c r="B1986" s="12" t="s">
        <v>33</v>
      </c>
      <c r="C1986" s="12" t="s">
        <v>29</v>
      </c>
      <c r="D1986" s="12" t="s">
        <v>41</v>
      </c>
      <c r="E1986" s="13" t="s">
        <v>42</v>
      </c>
      <c r="F1986" s="12" t="s">
        <v>129</v>
      </c>
      <c r="G1986" s="14">
        <v>8465.7999999999993</v>
      </c>
      <c r="H1986" s="12" t="s">
        <v>43</v>
      </c>
      <c r="I1986" s="12">
        <v>0</v>
      </c>
      <c r="J1986" s="12" t="s">
        <v>129</v>
      </c>
      <c r="K1986" s="12" t="s">
        <v>23</v>
      </c>
      <c r="L1986" s="12">
        <v>1</v>
      </c>
      <c r="M1986" s="15">
        <v>93124</v>
      </c>
      <c r="N1986" s="15">
        <v>0</v>
      </c>
      <c r="O1986" s="15">
        <f t="shared" ref="O1986:O2049" si="155">SUM(M1986:N1986)</f>
        <v>93124</v>
      </c>
      <c r="P1986" s="15">
        <f t="shared" ref="P1986:P2049" si="156">O1986/G1986</f>
        <v>11.000023624465497</v>
      </c>
      <c r="Q1986" s="14">
        <v>5000</v>
      </c>
      <c r="R1986" s="12">
        <v>100</v>
      </c>
      <c r="S1986" s="12" t="s">
        <v>2512</v>
      </c>
      <c r="T1986" s="22">
        <f t="shared" ref="T1986:T2049" si="157">MONTH(A1986)</f>
        <v>4</v>
      </c>
      <c r="U1986" s="22">
        <f t="shared" ref="U1986:U2049" si="158">YEAR(A1986)</f>
        <v>2021</v>
      </c>
      <c r="V1986" s="22" t="str">
        <f t="shared" ref="V1986:V2049" si="159">IF(K1986="METROPOLITANA DE SANTIAGO","METROPOLITANA","REGIONES")</f>
        <v>METROPOLITANA</v>
      </c>
    </row>
    <row r="1987" spans="1:22" x14ac:dyDescent="0.2">
      <c r="A1987" s="11" t="s">
        <v>2504</v>
      </c>
      <c r="B1987" s="12" t="s">
        <v>33</v>
      </c>
      <c r="C1987" s="12" t="s">
        <v>29</v>
      </c>
      <c r="D1987" s="12" t="s">
        <v>164</v>
      </c>
      <c r="E1987" s="13" t="s">
        <v>40</v>
      </c>
      <c r="F1987" s="12" t="s">
        <v>39</v>
      </c>
      <c r="G1987" s="14">
        <v>19510.400000000001</v>
      </c>
      <c r="H1987" s="12" t="s">
        <v>22</v>
      </c>
      <c r="I1987" s="12">
        <v>1</v>
      </c>
      <c r="J1987" s="12" t="s">
        <v>39</v>
      </c>
      <c r="K1987" s="12" t="s">
        <v>23</v>
      </c>
      <c r="L1987" s="12">
        <v>1</v>
      </c>
      <c r="M1987" s="15">
        <v>214614</v>
      </c>
      <c r="N1987" s="15">
        <v>0</v>
      </c>
      <c r="O1987" s="15">
        <f t="shared" si="155"/>
        <v>214614</v>
      </c>
      <c r="P1987" s="15">
        <f t="shared" si="156"/>
        <v>10.999979498113825</v>
      </c>
      <c r="Q1987" s="14">
        <v>5000</v>
      </c>
      <c r="R1987" s="12">
        <v>100</v>
      </c>
      <c r="S1987" s="12" t="s">
        <v>2513</v>
      </c>
      <c r="T1987" s="22">
        <f t="shared" si="157"/>
        <v>4</v>
      </c>
      <c r="U1987" s="22">
        <f t="shared" si="158"/>
        <v>2021</v>
      </c>
      <c r="V1987" s="22" t="str">
        <f t="shared" si="159"/>
        <v>METROPOLITANA</v>
      </c>
    </row>
    <row r="1988" spans="1:22" x14ac:dyDescent="0.2">
      <c r="A1988" s="11" t="s">
        <v>2504</v>
      </c>
      <c r="B1988" s="12" t="s">
        <v>33</v>
      </c>
      <c r="C1988" s="12" t="s">
        <v>44</v>
      </c>
      <c r="D1988" s="12" t="s">
        <v>1170</v>
      </c>
      <c r="E1988" s="13" t="s">
        <v>81</v>
      </c>
      <c r="F1988" s="12" t="s">
        <v>114</v>
      </c>
      <c r="G1988" s="14">
        <v>15916.099999999989</v>
      </c>
      <c r="H1988" s="12" t="s">
        <v>24</v>
      </c>
      <c r="I1988" s="12">
        <v>1</v>
      </c>
      <c r="J1988" s="12" t="s">
        <v>114</v>
      </c>
      <c r="K1988" s="12" t="s">
        <v>75</v>
      </c>
      <c r="L1988" s="12">
        <v>0</v>
      </c>
      <c r="M1988" s="15">
        <v>380000</v>
      </c>
      <c r="N1988" s="15">
        <v>0</v>
      </c>
      <c r="O1988" s="15">
        <f t="shared" si="155"/>
        <v>380000</v>
      </c>
      <c r="P1988" s="15">
        <f t="shared" si="156"/>
        <v>23.875195556700465</v>
      </c>
      <c r="Q1988" s="14">
        <v>25000</v>
      </c>
      <c r="R1988" s="12">
        <v>64</v>
      </c>
      <c r="S1988" s="12" t="s">
        <v>2514</v>
      </c>
      <c r="T1988" s="22">
        <f t="shared" si="157"/>
        <v>4</v>
      </c>
      <c r="U1988" s="22">
        <f t="shared" si="158"/>
        <v>2021</v>
      </c>
      <c r="V1988" s="22" t="str">
        <f t="shared" si="159"/>
        <v>REGIONES</v>
      </c>
    </row>
    <row r="1989" spans="1:22" x14ac:dyDescent="0.2">
      <c r="A1989" s="11" t="s">
        <v>2504</v>
      </c>
      <c r="B1989" s="12" t="s">
        <v>33</v>
      </c>
      <c r="C1989" s="12" t="s">
        <v>44</v>
      </c>
      <c r="D1989" s="12" t="s">
        <v>27</v>
      </c>
      <c r="E1989" s="13" t="s">
        <v>544</v>
      </c>
      <c r="F1989" s="12" t="s">
        <v>48</v>
      </c>
      <c r="G1989" s="14">
        <v>13597.1</v>
      </c>
      <c r="H1989" s="12" t="s">
        <v>22</v>
      </c>
      <c r="I1989" s="12">
        <v>1</v>
      </c>
      <c r="J1989" s="12" t="s">
        <v>48</v>
      </c>
      <c r="K1989" s="12" t="s">
        <v>23</v>
      </c>
      <c r="L1989" s="12">
        <v>1</v>
      </c>
      <c r="M1989" s="15">
        <v>149568</v>
      </c>
      <c r="N1989" s="15">
        <v>0</v>
      </c>
      <c r="O1989" s="15">
        <f t="shared" si="155"/>
        <v>149568</v>
      </c>
      <c r="P1989" s="15">
        <f t="shared" si="156"/>
        <v>10.999992645490583</v>
      </c>
      <c r="Q1989" s="14">
        <v>5000</v>
      </c>
      <c r="R1989" s="12">
        <v>100</v>
      </c>
      <c r="S1989" s="12" t="s">
        <v>2515</v>
      </c>
      <c r="T1989" s="22">
        <f t="shared" si="157"/>
        <v>4</v>
      </c>
      <c r="U1989" s="22">
        <f t="shared" si="158"/>
        <v>2021</v>
      </c>
      <c r="V1989" s="22" t="str">
        <f t="shared" si="159"/>
        <v>METROPOLITANA</v>
      </c>
    </row>
    <row r="1990" spans="1:22" x14ac:dyDescent="0.2">
      <c r="A1990" s="23" t="s">
        <v>2516</v>
      </c>
      <c r="B1990" s="22" t="s">
        <v>18</v>
      </c>
      <c r="C1990" s="22" t="s">
        <v>270</v>
      </c>
      <c r="D1990" s="22" t="s">
        <v>41</v>
      </c>
      <c r="E1990" s="24" t="s">
        <v>25</v>
      </c>
      <c r="F1990" s="22" t="s">
        <v>120</v>
      </c>
      <c r="G1990" s="25">
        <v>3157.92</v>
      </c>
      <c r="H1990" s="22" t="s">
        <v>43</v>
      </c>
      <c r="I1990" s="22">
        <v>0</v>
      </c>
      <c r="J1990" s="22" t="s">
        <v>120</v>
      </c>
      <c r="K1990" s="22" t="s">
        <v>23</v>
      </c>
      <c r="L1990" s="22">
        <v>5</v>
      </c>
      <c r="M1990" s="26">
        <v>70000</v>
      </c>
      <c r="N1990" s="26">
        <v>0</v>
      </c>
      <c r="O1990" s="15">
        <f t="shared" si="155"/>
        <v>70000</v>
      </c>
      <c r="P1990" s="15">
        <f t="shared" si="156"/>
        <v>22.166489334751986</v>
      </c>
      <c r="Q1990" s="25">
        <v>10000</v>
      </c>
      <c r="R1990" s="22">
        <v>32</v>
      </c>
      <c r="S1990" s="22" t="s">
        <v>2517</v>
      </c>
      <c r="T1990" s="22">
        <f t="shared" si="157"/>
        <v>5</v>
      </c>
      <c r="U1990" s="22">
        <f t="shared" si="158"/>
        <v>2021</v>
      </c>
      <c r="V1990" s="22" t="str">
        <f t="shared" si="159"/>
        <v>METROPOLITANA</v>
      </c>
    </row>
    <row r="1991" spans="1:22" x14ac:dyDescent="0.2">
      <c r="A1991" s="23" t="s">
        <v>2516</v>
      </c>
      <c r="B1991" s="22" t="s">
        <v>18</v>
      </c>
      <c r="C1991" s="22" t="s">
        <v>508</v>
      </c>
      <c r="D1991" s="22" t="s">
        <v>164</v>
      </c>
      <c r="E1991" s="24" t="s">
        <v>28</v>
      </c>
      <c r="F1991" s="22" t="s">
        <v>2323</v>
      </c>
      <c r="G1991" s="25">
        <v>6735.42</v>
      </c>
      <c r="H1991" s="22" t="s">
        <v>22</v>
      </c>
      <c r="I1991" s="22">
        <v>1</v>
      </c>
      <c r="J1991" s="22" t="s">
        <v>182</v>
      </c>
      <c r="K1991" s="22" t="s">
        <v>23</v>
      </c>
      <c r="L1991" s="22">
        <v>4</v>
      </c>
      <c r="M1991" s="26">
        <v>74090</v>
      </c>
      <c r="N1991" s="26">
        <v>0</v>
      </c>
      <c r="O1991" s="15">
        <f t="shared" si="155"/>
        <v>74090</v>
      </c>
      <c r="P1991" s="15">
        <f t="shared" si="156"/>
        <v>11.00005641815952</v>
      </c>
      <c r="Q1991" s="25">
        <v>5000</v>
      </c>
      <c r="R1991" s="22">
        <v>100</v>
      </c>
      <c r="S1991" s="22" t="s">
        <v>2518</v>
      </c>
      <c r="T1991" s="22">
        <f t="shared" si="157"/>
        <v>5</v>
      </c>
      <c r="U1991" s="22">
        <f t="shared" si="158"/>
        <v>2021</v>
      </c>
      <c r="V1991" s="22" t="str">
        <f t="shared" si="159"/>
        <v>METROPOLITANA</v>
      </c>
    </row>
    <row r="1992" spans="1:22" x14ac:dyDescent="0.2">
      <c r="A1992" s="23" t="s">
        <v>2516</v>
      </c>
      <c r="B1992" s="22" t="s">
        <v>33</v>
      </c>
      <c r="C1992" s="22" t="s">
        <v>29</v>
      </c>
      <c r="D1992" s="22" t="s">
        <v>38</v>
      </c>
      <c r="E1992" s="24" t="s">
        <v>42</v>
      </c>
      <c r="F1992" s="22" t="s">
        <v>134</v>
      </c>
      <c r="G1992" s="25">
        <f>1592.7+2300</f>
        <v>3892.7</v>
      </c>
      <c r="H1992" s="22" t="s">
        <v>43</v>
      </c>
      <c r="I1992" s="22">
        <v>0</v>
      </c>
      <c r="J1992" s="22" t="s">
        <v>134</v>
      </c>
      <c r="K1992" s="22" t="s">
        <v>23</v>
      </c>
      <c r="L1992" s="22">
        <v>2</v>
      </c>
      <c r="M1992" s="26">
        <v>55000</v>
      </c>
      <c r="N1992" s="26">
        <v>0</v>
      </c>
      <c r="O1992" s="15">
        <f t="shared" si="155"/>
        <v>55000</v>
      </c>
      <c r="P1992" s="15">
        <f t="shared" si="156"/>
        <v>14.129010712359031</v>
      </c>
      <c r="Q1992" s="25">
        <v>5000</v>
      </c>
      <c r="R1992" s="22">
        <v>32</v>
      </c>
      <c r="S1992" s="22" t="s">
        <v>2519</v>
      </c>
      <c r="T1992" s="22">
        <f t="shared" si="157"/>
        <v>5</v>
      </c>
      <c r="U1992" s="22">
        <f t="shared" si="158"/>
        <v>2021</v>
      </c>
      <c r="V1992" s="22" t="str">
        <f t="shared" si="159"/>
        <v>METROPOLITANA</v>
      </c>
    </row>
    <row r="1993" spans="1:22" x14ac:dyDescent="0.2">
      <c r="A1993" s="23" t="s">
        <v>2516</v>
      </c>
      <c r="B1993" s="22" t="s">
        <v>33</v>
      </c>
      <c r="C1993" s="22" t="s">
        <v>44</v>
      </c>
      <c r="D1993" s="22" t="s">
        <v>56</v>
      </c>
      <c r="E1993" s="24" t="s">
        <v>52</v>
      </c>
      <c r="F1993" s="22" t="s">
        <v>26</v>
      </c>
      <c r="G1993" s="25">
        <v>2102</v>
      </c>
      <c r="H1993" s="22" t="s">
        <v>22</v>
      </c>
      <c r="I1993" s="22">
        <v>0</v>
      </c>
      <c r="J1993" s="22" t="s">
        <v>26</v>
      </c>
      <c r="K1993" s="22" t="s">
        <v>23</v>
      </c>
      <c r="L1993" s="22">
        <v>4</v>
      </c>
      <c r="M1993" s="26">
        <v>55000</v>
      </c>
      <c r="N1993" s="26">
        <v>0</v>
      </c>
      <c r="O1993" s="15">
        <f t="shared" si="155"/>
        <v>55000</v>
      </c>
      <c r="P1993" s="15">
        <f t="shared" si="156"/>
        <v>26.165556612749761</v>
      </c>
      <c r="Q1993" s="25">
        <v>5000</v>
      </c>
      <c r="R1993" s="22">
        <v>42</v>
      </c>
      <c r="S1993" s="22" t="s">
        <v>2520</v>
      </c>
      <c r="T1993" s="22">
        <f t="shared" si="157"/>
        <v>5</v>
      </c>
      <c r="U1993" s="22">
        <f t="shared" si="158"/>
        <v>2021</v>
      </c>
      <c r="V1993" s="22" t="str">
        <f t="shared" si="159"/>
        <v>METROPOLITANA</v>
      </c>
    </row>
    <row r="1994" spans="1:22" x14ac:dyDescent="0.2">
      <c r="A1994" s="23" t="s">
        <v>2516</v>
      </c>
      <c r="B1994" s="22" t="s">
        <v>33</v>
      </c>
      <c r="C1994" s="22" t="s">
        <v>44</v>
      </c>
      <c r="D1994" s="22" t="s">
        <v>188</v>
      </c>
      <c r="E1994" s="24" t="s">
        <v>189</v>
      </c>
      <c r="F1994" s="22" t="s">
        <v>229</v>
      </c>
      <c r="G1994" s="25">
        <v>2251.1999999999998</v>
      </c>
      <c r="H1994" s="22" t="s">
        <v>190</v>
      </c>
      <c r="I1994" s="22">
        <v>0</v>
      </c>
      <c r="J1994" s="22" t="s">
        <v>230</v>
      </c>
      <c r="K1994" s="22" t="s">
        <v>23</v>
      </c>
      <c r="L1994" s="22">
        <v>4</v>
      </c>
      <c r="M1994" s="26">
        <v>55000</v>
      </c>
      <c r="N1994" s="26">
        <v>0</v>
      </c>
      <c r="O1994" s="15">
        <f t="shared" si="155"/>
        <v>55000</v>
      </c>
      <c r="P1994" s="15">
        <f t="shared" si="156"/>
        <v>24.431414356787492</v>
      </c>
      <c r="Q1994" s="25">
        <v>5000</v>
      </c>
      <c r="R1994" s="22">
        <v>45</v>
      </c>
      <c r="S1994" s="22" t="s">
        <v>2521</v>
      </c>
      <c r="T1994" s="22">
        <f t="shared" si="157"/>
        <v>5</v>
      </c>
      <c r="U1994" s="22">
        <f t="shared" si="158"/>
        <v>2021</v>
      </c>
      <c r="V1994" s="22" t="str">
        <f t="shared" si="159"/>
        <v>METROPOLITANA</v>
      </c>
    </row>
    <row r="1995" spans="1:22" x14ac:dyDescent="0.2">
      <c r="A1995" s="23" t="s">
        <v>2516</v>
      </c>
      <c r="B1995" s="22" t="s">
        <v>33</v>
      </c>
      <c r="C1995" s="22" t="s">
        <v>44</v>
      </c>
      <c r="D1995" s="22" t="s">
        <v>30</v>
      </c>
      <c r="E1995" s="24" t="s">
        <v>31</v>
      </c>
      <c r="F1995" s="22" t="s">
        <v>95</v>
      </c>
      <c r="G1995" s="25">
        <v>3001.6</v>
      </c>
      <c r="H1995" s="22" t="s">
        <v>32</v>
      </c>
      <c r="I1995" s="22">
        <v>0</v>
      </c>
      <c r="J1995" s="22" t="s">
        <v>95</v>
      </c>
      <c r="K1995" s="22" t="s">
        <v>23</v>
      </c>
      <c r="L1995" s="22">
        <v>4</v>
      </c>
      <c r="M1995" s="26">
        <v>55000</v>
      </c>
      <c r="N1995" s="26">
        <v>0</v>
      </c>
      <c r="O1995" s="15">
        <f t="shared" si="155"/>
        <v>55000</v>
      </c>
      <c r="P1995" s="15">
        <f t="shared" si="156"/>
        <v>18.323560767590617</v>
      </c>
      <c r="Q1995" s="25">
        <v>5000</v>
      </c>
      <c r="R1995" s="22">
        <v>60</v>
      </c>
      <c r="S1995" s="22" t="s">
        <v>2522</v>
      </c>
      <c r="T1995" s="22">
        <f t="shared" si="157"/>
        <v>5</v>
      </c>
      <c r="U1995" s="22">
        <f t="shared" si="158"/>
        <v>2021</v>
      </c>
      <c r="V1995" s="22" t="str">
        <f t="shared" si="159"/>
        <v>METROPOLITANA</v>
      </c>
    </row>
    <row r="1996" spans="1:22" x14ac:dyDescent="0.2">
      <c r="A1996" s="23" t="s">
        <v>2516</v>
      </c>
      <c r="B1996" s="22" t="s">
        <v>33</v>
      </c>
      <c r="C1996" s="22" t="s">
        <v>44</v>
      </c>
      <c r="D1996" s="22" t="s">
        <v>45</v>
      </c>
      <c r="E1996" s="24" t="s">
        <v>28</v>
      </c>
      <c r="F1996" s="22" t="s">
        <v>51</v>
      </c>
      <c r="G1996" s="25">
        <v>3750.8</v>
      </c>
      <c r="H1996" s="22" t="s">
        <v>22</v>
      </c>
      <c r="I1996" s="22">
        <v>0</v>
      </c>
      <c r="J1996" s="22" t="s">
        <v>51</v>
      </c>
      <c r="K1996" s="22" t="s">
        <v>23</v>
      </c>
      <c r="L1996" s="22">
        <v>4</v>
      </c>
      <c r="M1996" s="26">
        <v>55000</v>
      </c>
      <c r="N1996" s="26">
        <v>0</v>
      </c>
      <c r="O1996" s="15">
        <f t="shared" si="155"/>
        <v>55000</v>
      </c>
      <c r="P1996" s="15">
        <f t="shared" si="156"/>
        <v>14.663538445131705</v>
      </c>
      <c r="Q1996" s="25">
        <v>5000</v>
      </c>
      <c r="R1996" s="22">
        <v>75</v>
      </c>
      <c r="S1996" s="22" t="s">
        <v>2523</v>
      </c>
      <c r="T1996" s="22">
        <f t="shared" si="157"/>
        <v>5</v>
      </c>
      <c r="U1996" s="22">
        <f t="shared" si="158"/>
        <v>2021</v>
      </c>
      <c r="V1996" s="22" t="str">
        <f t="shared" si="159"/>
        <v>METROPOLITANA</v>
      </c>
    </row>
    <row r="1997" spans="1:22" x14ac:dyDescent="0.2">
      <c r="A1997" s="23" t="s">
        <v>2516</v>
      </c>
      <c r="B1997" s="22" t="s">
        <v>33</v>
      </c>
      <c r="C1997" s="22" t="s">
        <v>44</v>
      </c>
      <c r="D1997" s="22" t="s">
        <v>47</v>
      </c>
      <c r="E1997" s="24" t="s">
        <v>1576</v>
      </c>
      <c r="F1997" s="22" t="s">
        <v>48</v>
      </c>
      <c r="G1997" s="25">
        <v>3826.0000000000009</v>
      </c>
      <c r="H1997" s="22" t="s">
        <v>22</v>
      </c>
      <c r="I1997" s="22">
        <v>0</v>
      </c>
      <c r="J1997" s="22" t="s">
        <v>48</v>
      </c>
      <c r="K1997" s="22" t="s">
        <v>23</v>
      </c>
      <c r="L1997" s="22">
        <v>1</v>
      </c>
      <c r="M1997" s="26">
        <v>55000</v>
      </c>
      <c r="N1997" s="26">
        <v>0</v>
      </c>
      <c r="O1997" s="15">
        <f t="shared" si="155"/>
        <v>55000</v>
      </c>
      <c r="P1997" s="15">
        <f t="shared" si="156"/>
        <v>14.375326711970724</v>
      </c>
      <c r="Q1997" s="25">
        <v>5000</v>
      </c>
      <c r="R1997" s="22">
        <v>77</v>
      </c>
      <c r="S1997" s="22" t="s">
        <v>2524</v>
      </c>
      <c r="T1997" s="22">
        <f t="shared" si="157"/>
        <v>5</v>
      </c>
      <c r="U1997" s="22">
        <f t="shared" si="158"/>
        <v>2021</v>
      </c>
      <c r="V1997" s="22" t="str">
        <f t="shared" si="159"/>
        <v>METROPOLITANA</v>
      </c>
    </row>
    <row r="1998" spans="1:22" x14ac:dyDescent="0.2">
      <c r="A1998" s="23" t="s">
        <v>2516</v>
      </c>
      <c r="B1998" s="22" t="s">
        <v>33</v>
      </c>
      <c r="C1998" s="22" t="s">
        <v>44</v>
      </c>
      <c r="D1998" s="22" t="s">
        <v>35</v>
      </c>
      <c r="E1998" s="24" t="s">
        <v>49</v>
      </c>
      <c r="F1998" s="22" t="s">
        <v>182</v>
      </c>
      <c r="G1998" s="25">
        <v>2462.6</v>
      </c>
      <c r="H1998" s="22" t="s">
        <v>22</v>
      </c>
      <c r="I1998" s="22">
        <v>0</v>
      </c>
      <c r="J1998" s="22" t="s">
        <v>182</v>
      </c>
      <c r="K1998" s="22" t="s">
        <v>23</v>
      </c>
      <c r="L1998" s="22">
        <v>4</v>
      </c>
      <c r="M1998" s="26">
        <v>55000</v>
      </c>
      <c r="N1998" s="26">
        <v>0</v>
      </c>
      <c r="O1998" s="15">
        <f t="shared" si="155"/>
        <v>55000</v>
      </c>
      <c r="P1998" s="15">
        <f t="shared" si="156"/>
        <v>22.334118411435071</v>
      </c>
      <c r="Q1998" s="25">
        <v>5000</v>
      </c>
      <c r="R1998" s="22">
        <v>49</v>
      </c>
      <c r="S1998" s="22" t="s">
        <v>2525</v>
      </c>
      <c r="T1998" s="22">
        <f t="shared" si="157"/>
        <v>5</v>
      </c>
      <c r="U1998" s="22">
        <f t="shared" si="158"/>
        <v>2021</v>
      </c>
      <c r="V1998" s="22" t="str">
        <f t="shared" si="159"/>
        <v>METROPOLITANA</v>
      </c>
    </row>
    <row r="1999" spans="1:22" x14ac:dyDescent="0.2">
      <c r="A1999" s="23" t="s">
        <v>2516</v>
      </c>
      <c r="B1999" s="22" t="s">
        <v>33</v>
      </c>
      <c r="C1999" s="22" t="s">
        <v>1163</v>
      </c>
      <c r="D1999" s="22" t="s">
        <v>37</v>
      </c>
      <c r="E1999" s="24" t="s">
        <v>40</v>
      </c>
      <c r="F1999" s="22" t="s">
        <v>48</v>
      </c>
      <c r="G1999" s="25">
        <v>13949.04</v>
      </c>
      <c r="H1999" s="22" t="s">
        <v>22</v>
      </c>
      <c r="I1999" s="22">
        <v>0</v>
      </c>
      <c r="J1999" s="22" t="s">
        <v>48</v>
      </c>
      <c r="K1999" s="22" t="s">
        <v>23</v>
      </c>
      <c r="L1999" s="22">
        <v>1</v>
      </c>
      <c r="M1999" s="26">
        <v>153439</v>
      </c>
      <c r="N1999" s="26">
        <v>0</v>
      </c>
      <c r="O1999" s="15">
        <f t="shared" si="155"/>
        <v>153439</v>
      </c>
      <c r="P1999" s="15">
        <f t="shared" si="156"/>
        <v>10.999968456610633</v>
      </c>
      <c r="Q1999" s="25">
        <v>5000</v>
      </c>
      <c r="R1999" s="22">
        <v>100</v>
      </c>
      <c r="S1999" s="22" t="s">
        <v>2526</v>
      </c>
      <c r="T1999" s="22">
        <f t="shared" si="157"/>
        <v>5</v>
      </c>
      <c r="U1999" s="22">
        <f t="shared" si="158"/>
        <v>2021</v>
      </c>
      <c r="V1999" s="22" t="str">
        <f t="shared" si="159"/>
        <v>METROPOLITANA</v>
      </c>
    </row>
    <row r="2000" spans="1:22" x14ac:dyDescent="0.2">
      <c r="A2000" s="23" t="s">
        <v>2516</v>
      </c>
      <c r="B2000" s="22" t="s">
        <v>33</v>
      </c>
      <c r="C2000" s="22" t="s">
        <v>1163</v>
      </c>
      <c r="D2000" s="22" t="s">
        <v>63</v>
      </c>
      <c r="E2000" s="24" t="s">
        <v>64</v>
      </c>
      <c r="F2000" s="22" t="s">
        <v>48</v>
      </c>
      <c r="G2000" s="25">
        <v>12480.72</v>
      </c>
      <c r="H2000" s="22" t="s">
        <v>65</v>
      </c>
      <c r="I2000" s="22">
        <v>0</v>
      </c>
      <c r="J2000" s="22" t="s">
        <v>48</v>
      </c>
      <c r="K2000" s="22" t="s">
        <v>23</v>
      </c>
      <c r="L2000" s="22">
        <v>1</v>
      </c>
      <c r="M2000" s="26">
        <v>137288</v>
      </c>
      <c r="N2000" s="26">
        <v>0</v>
      </c>
      <c r="O2000" s="15">
        <f t="shared" si="155"/>
        <v>137288</v>
      </c>
      <c r="P2000" s="15">
        <f t="shared" si="156"/>
        <v>11.000006409886609</v>
      </c>
      <c r="Q2000" s="25">
        <v>5000</v>
      </c>
      <c r="R2000" s="22">
        <v>100</v>
      </c>
      <c r="S2000" s="22" t="s">
        <v>2527</v>
      </c>
      <c r="T2000" s="22">
        <f t="shared" si="157"/>
        <v>5</v>
      </c>
      <c r="U2000" s="22">
        <f t="shared" si="158"/>
        <v>2021</v>
      </c>
      <c r="V2000" s="22" t="str">
        <f t="shared" si="159"/>
        <v>METROPOLITANA</v>
      </c>
    </row>
    <row r="2001" spans="1:22" x14ac:dyDescent="0.2">
      <c r="A2001" s="23" t="s">
        <v>2516</v>
      </c>
      <c r="B2001" s="22" t="s">
        <v>33</v>
      </c>
      <c r="C2001" s="22" t="s">
        <v>1163</v>
      </c>
      <c r="D2001" s="22" t="s">
        <v>20</v>
      </c>
      <c r="E2001" s="24" t="s">
        <v>21</v>
      </c>
      <c r="F2001" s="22" t="s">
        <v>48</v>
      </c>
      <c r="G2001" s="25">
        <v>10278.24</v>
      </c>
      <c r="H2001" s="22" t="s">
        <v>22</v>
      </c>
      <c r="I2001" s="22">
        <v>0</v>
      </c>
      <c r="J2001" s="22" t="s">
        <v>48</v>
      </c>
      <c r="K2001" s="22" t="s">
        <v>23</v>
      </c>
      <c r="L2001" s="22">
        <v>1</v>
      </c>
      <c r="M2001" s="26">
        <v>113061</v>
      </c>
      <c r="N2001" s="26">
        <v>0</v>
      </c>
      <c r="O2001" s="15">
        <f t="shared" si="155"/>
        <v>113061</v>
      </c>
      <c r="P2001" s="15">
        <f t="shared" si="156"/>
        <v>11.000035025451828</v>
      </c>
      <c r="Q2001" s="25">
        <v>5000</v>
      </c>
      <c r="R2001" s="22">
        <v>100</v>
      </c>
      <c r="S2001" s="22" t="s">
        <v>2528</v>
      </c>
      <c r="T2001" s="22">
        <f t="shared" si="157"/>
        <v>5</v>
      </c>
      <c r="U2001" s="22">
        <f t="shared" si="158"/>
        <v>2021</v>
      </c>
      <c r="V2001" s="22" t="str">
        <f t="shared" si="159"/>
        <v>METROPOLITANA</v>
      </c>
    </row>
    <row r="2002" spans="1:22" x14ac:dyDescent="0.2">
      <c r="A2002" s="11" t="s">
        <v>2529</v>
      </c>
      <c r="B2002" s="12" t="s">
        <v>18</v>
      </c>
      <c r="C2002" s="12" t="s">
        <v>60</v>
      </c>
      <c r="D2002" s="12" t="s">
        <v>2266</v>
      </c>
      <c r="E2002" s="13">
        <v>183612816</v>
      </c>
      <c r="F2002" s="12" t="s">
        <v>815</v>
      </c>
      <c r="G2002" s="14">
        <f>4558.68+4575</f>
        <v>9133.68</v>
      </c>
      <c r="H2002" s="12" t="s">
        <v>24</v>
      </c>
      <c r="I2002" s="12">
        <v>1</v>
      </c>
      <c r="J2002" s="12" t="s">
        <v>815</v>
      </c>
      <c r="K2002" s="12" t="s">
        <v>75</v>
      </c>
      <c r="L2002" s="12">
        <v>0</v>
      </c>
      <c r="M2002" s="15">
        <v>420000</v>
      </c>
      <c r="N2002" s="15">
        <v>0</v>
      </c>
      <c r="O2002" s="15">
        <f t="shared" si="155"/>
        <v>420000</v>
      </c>
      <c r="P2002" s="15">
        <f t="shared" si="156"/>
        <v>45.983656094805163</v>
      </c>
      <c r="Q2002" s="14">
        <v>25000</v>
      </c>
      <c r="R2002" s="12">
        <v>18</v>
      </c>
      <c r="S2002" s="12" t="s">
        <v>2530</v>
      </c>
      <c r="T2002" s="22">
        <f t="shared" si="157"/>
        <v>5</v>
      </c>
      <c r="U2002" s="22">
        <f t="shared" si="158"/>
        <v>2021</v>
      </c>
      <c r="V2002" s="22" t="str">
        <f t="shared" si="159"/>
        <v>REGIONES</v>
      </c>
    </row>
    <row r="2003" spans="1:22" x14ac:dyDescent="0.2">
      <c r="A2003" s="11" t="s">
        <v>2529</v>
      </c>
      <c r="B2003" s="12" t="s">
        <v>18</v>
      </c>
      <c r="C2003" s="12" t="s">
        <v>508</v>
      </c>
      <c r="D2003" s="12" t="s">
        <v>164</v>
      </c>
      <c r="E2003" s="13">
        <v>81417709</v>
      </c>
      <c r="F2003" s="12" t="s">
        <v>2323</v>
      </c>
      <c r="G2003" s="14">
        <v>6980.54</v>
      </c>
      <c r="H2003" s="12" t="s">
        <v>22</v>
      </c>
      <c r="I2003" s="12">
        <v>1</v>
      </c>
      <c r="J2003" s="12" t="s">
        <v>182</v>
      </c>
      <c r="K2003" s="12" t="s">
        <v>23</v>
      </c>
      <c r="L2003" s="12">
        <v>4</v>
      </c>
      <c r="M2003" s="15">
        <v>76786</v>
      </c>
      <c r="N2003" s="15">
        <v>0</v>
      </c>
      <c r="O2003" s="15">
        <f t="shared" si="155"/>
        <v>76786</v>
      </c>
      <c r="P2003" s="15">
        <f t="shared" si="156"/>
        <v>11.000008595323571</v>
      </c>
      <c r="Q2003" s="14">
        <v>5000</v>
      </c>
      <c r="R2003" s="12">
        <v>100</v>
      </c>
      <c r="S2003" s="12" t="s">
        <v>2531</v>
      </c>
      <c r="T2003" s="22">
        <f t="shared" si="157"/>
        <v>5</v>
      </c>
      <c r="U2003" s="22">
        <f t="shared" si="158"/>
        <v>2021</v>
      </c>
      <c r="V2003" s="22" t="str">
        <f t="shared" si="159"/>
        <v>METROPOLITANA</v>
      </c>
    </row>
    <row r="2004" spans="1:22" x14ac:dyDescent="0.2">
      <c r="A2004" s="11" t="s">
        <v>2529</v>
      </c>
      <c r="B2004" s="12" t="s">
        <v>33</v>
      </c>
      <c r="C2004" s="12" t="s">
        <v>29</v>
      </c>
      <c r="D2004" s="12" t="s">
        <v>38</v>
      </c>
      <c r="E2004" s="13">
        <v>125108660</v>
      </c>
      <c r="F2004" s="12" t="s">
        <v>134</v>
      </c>
      <c r="G2004" s="14">
        <v>6753.5999999999995</v>
      </c>
      <c r="H2004" s="12" t="s">
        <v>43</v>
      </c>
      <c r="I2004" s="12">
        <v>0</v>
      </c>
      <c r="J2004" s="12" t="s">
        <v>134</v>
      </c>
      <c r="K2004" s="12" t="s">
        <v>23</v>
      </c>
      <c r="L2004" s="12">
        <v>2</v>
      </c>
      <c r="M2004" s="15">
        <v>74290</v>
      </c>
      <c r="N2004" s="15">
        <v>0</v>
      </c>
      <c r="O2004" s="15">
        <f t="shared" si="155"/>
        <v>74290</v>
      </c>
      <c r="P2004" s="15">
        <f t="shared" si="156"/>
        <v>11.000059227671169</v>
      </c>
      <c r="Q2004" s="14">
        <v>5000</v>
      </c>
      <c r="R2004" s="12">
        <v>100</v>
      </c>
      <c r="S2004" s="12" t="s">
        <v>2532</v>
      </c>
      <c r="T2004" s="22">
        <f t="shared" si="157"/>
        <v>5</v>
      </c>
      <c r="U2004" s="22">
        <f t="shared" si="158"/>
        <v>2021</v>
      </c>
      <c r="V2004" s="22" t="str">
        <f t="shared" si="159"/>
        <v>METROPOLITANA</v>
      </c>
    </row>
    <row r="2005" spans="1:22" x14ac:dyDescent="0.2">
      <c r="A2005" s="11" t="s">
        <v>2529</v>
      </c>
      <c r="B2005" s="12" t="s">
        <v>33</v>
      </c>
      <c r="C2005" s="12" t="s">
        <v>29</v>
      </c>
      <c r="D2005" s="12" t="s">
        <v>2533</v>
      </c>
      <c r="E2005" s="13">
        <v>154837728</v>
      </c>
      <c r="F2005" s="12" t="s">
        <v>134</v>
      </c>
      <c r="G2005" s="14">
        <v>6753.5999999999995</v>
      </c>
      <c r="H2005" s="12" t="s">
        <v>24</v>
      </c>
      <c r="I2005" s="12">
        <v>1</v>
      </c>
      <c r="J2005" s="12" t="s">
        <v>134</v>
      </c>
      <c r="K2005" s="12" t="s">
        <v>23</v>
      </c>
      <c r="L2005" s="12">
        <v>2</v>
      </c>
      <c r="M2005" s="15">
        <v>74290</v>
      </c>
      <c r="N2005" s="15">
        <v>0</v>
      </c>
      <c r="O2005" s="15">
        <f t="shared" si="155"/>
        <v>74290</v>
      </c>
      <c r="P2005" s="15">
        <f t="shared" si="156"/>
        <v>11.000059227671169</v>
      </c>
      <c r="Q2005" s="14">
        <v>5000</v>
      </c>
      <c r="R2005" s="12">
        <v>100</v>
      </c>
      <c r="S2005" s="12" t="s">
        <v>2534</v>
      </c>
      <c r="T2005" s="22">
        <f t="shared" si="157"/>
        <v>5</v>
      </c>
      <c r="U2005" s="22">
        <f t="shared" si="158"/>
        <v>2021</v>
      </c>
      <c r="V2005" s="22" t="str">
        <f t="shared" si="159"/>
        <v>METROPOLITANA</v>
      </c>
    </row>
    <row r="2006" spans="1:22" x14ac:dyDescent="0.2">
      <c r="A2006" s="11" t="s">
        <v>2529</v>
      </c>
      <c r="B2006" s="12" t="s">
        <v>33</v>
      </c>
      <c r="C2006" s="12" t="s">
        <v>29</v>
      </c>
      <c r="D2006" s="12" t="s">
        <v>41</v>
      </c>
      <c r="E2006" s="13">
        <v>53173292</v>
      </c>
      <c r="F2006" s="12" t="s">
        <v>134</v>
      </c>
      <c r="G2006" s="14">
        <v>6753.5999999999995</v>
      </c>
      <c r="H2006" s="12" t="s">
        <v>43</v>
      </c>
      <c r="I2006" s="12">
        <v>0</v>
      </c>
      <c r="J2006" s="12" t="s">
        <v>134</v>
      </c>
      <c r="K2006" s="12" t="s">
        <v>23</v>
      </c>
      <c r="L2006" s="12">
        <v>2</v>
      </c>
      <c r="M2006" s="15">
        <v>74290</v>
      </c>
      <c r="N2006" s="15">
        <v>0</v>
      </c>
      <c r="O2006" s="15">
        <f t="shared" si="155"/>
        <v>74290</v>
      </c>
      <c r="P2006" s="15">
        <f t="shared" si="156"/>
        <v>11.000059227671169</v>
      </c>
      <c r="Q2006" s="14">
        <v>5000</v>
      </c>
      <c r="R2006" s="12">
        <v>100</v>
      </c>
      <c r="S2006" s="12" t="s">
        <v>2535</v>
      </c>
      <c r="T2006" s="22">
        <f t="shared" si="157"/>
        <v>5</v>
      </c>
      <c r="U2006" s="22">
        <f t="shared" si="158"/>
        <v>2021</v>
      </c>
      <c r="V2006" s="22" t="str">
        <f t="shared" si="159"/>
        <v>METROPOLITANA</v>
      </c>
    </row>
    <row r="2007" spans="1:22" x14ac:dyDescent="0.2">
      <c r="A2007" s="11" t="s">
        <v>2529</v>
      </c>
      <c r="B2007" s="12" t="s">
        <v>33</v>
      </c>
      <c r="C2007" s="12" t="s">
        <v>29</v>
      </c>
      <c r="D2007" s="12" t="s">
        <v>20</v>
      </c>
      <c r="E2007" s="13">
        <v>78907355</v>
      </c>
      <c r="F2007" s="12" t="s">
        <v>134</v>
      </c>
      <c r="G2007" s="14">
        <v>10618</v>
      </c>
      <c r="H2007" s="12" t="s">
        <v>22</v>
      </c>
      <c r="I2007" s="12">
        <v>0</v>
      </c>
      <c r="J2007" s="12" t="s">
        <v>134</v>
      </c>
      <c r="K2007" s="12" t="s">
        <v>23</v>
      </c>
      <c r="L2007" s="12">
        <v>2</v>
      </c>
      <c r="M2007" s="15">
        <v>116798</v>
      </c>
      <c r="N2007" s="15">
        <v>0</v>
      </c>
      <c r="O2007" s="15">
        <f t="shared" si="155"/>
        <v>116798</v>
      </c>
      <c r="P2007" s="15">
        <f t="shared" si="156"/>
        <v>11</v>
      </c>
      <c r="Q2007" s="14">
        <v>5000</v>
      </c>
      <c r="R2007" s="12">
        <v>100</v>
      </c>
      <c r="S2007" s="12" t="s">
        <v>2536</v>
      </c>
      <c r="T2007" s="22">
        <f t="shared" si="157"/>
        <v>5</v>
      </c>
      <c r="U2007" s="22">
        <f t="shared" si="158"/>
        <v>2021</v>
      </c>
      <c r="V2007" s="22" t="str">
        <f t="shared" si="159"/>
        <v>METROPOLITANA</v>
      </c>
    </row>
    <row r="2008" spans="1:22" x14ac:dyDescent="0.2">
      <c r="A2008" s="11" t="s">
        <v>2529</v>
      </c>
      <c r="B2008" s="12" t="s">
        <v>33</v>
      </c>
      <c r="C2008" s="12" t="s">
        <v>44</v>
      </c>
      <c r="D2008" s="12" t="s">
        <v>130</v>
      </c>
      <c r="E2008" s="13">
        <v>167832741</v>
      </c>
      <c r="F2008" s="12" t="s">
        <v>114</v>
      </c>
      <c r="G2008" s="14">
        <v>14363.4</v>
      </c>
      <c r="H2008" s="12" t="s">
        <v>85</v>
      </c>
      <c r="I2008" s="12">
        <v>1</v>
      </c>
      <c r="J2008" s="12" t="s">
        <v>114</v>
      </c>
      <c r="K2008" s="12" t="s">
        <v>75</v>
      </c>
      <c r="L2008" s="12">
        <v>0</v>
      </c>
      <c r="M2008" s="15">
        <v>380000</v>
      </c>
      <c r="N2008" s="15">
        <v>0</v>
      </c>
      <c r="O2008" s="15">
        <f t="shared" si="155"/>
        <v>380000</v>
      </c>
      <c r="P2008" s="15">
        <f t="shared" si="156"/>
        <v>26.456131556595235</v>
      </c>
      <c r="Q2008" s="14">
        <v>25000</v>
      </c>
      <c r="R2008" s="12">
        <v>57</v>
      </c>
      <c r="S2008" s="12" t="s">
        <v>2537</v>
      </c>
      <c r="T2008" s="22">
        <f t="shared" si="157"/>
        <v>5</v>
      </c>
      <c r="U2008" s="22">
        <f t="shared" si="158"/>
        <v>2021</v>
      </c>
      <c r="V2008" s="22" t="str">
        <f t="shared" si="159"/>
        <v>REGIONES</v>
      </c>
    </row>
    <row r="2009" spans="1:22" x14ac:dyDescent="0.2">
      <c r="A2009" s="11" t="s">
        <v>2529</v>
      </c>
      <c r="B2009" s="12" t="s">
        <v>33</v>
      </c>
      <c r="C2009" s="12" t="s">
        <v>44</v>
      </c>
      <c r="D2009" s="12" t="s">
        <v>47</v>
      </c>
      <c r="E2009" s="13">
        <v>154837728</v>
      </c>
      <c r="F2009" s="12" t="s">
        <v>48</v>
      </c>
      <c r="G2009" s="14">
        <v>5199.1000000000004</v>
      </c>
      <c r="H2009" s="12" t="s">
        <v>22</v>
      </c>
      <c r="I2009" s="12">
        <v>0</v>
      </c>
      <c r="J2009" s="12" t="s">
        <v>48</v>
      </c>
      <c r="K2009" s="12" t="s">
        <v>23</v>
      </c>
      <c r="L2009" s="12">
        <v>1</v>
      </c>
      <c r="M2009" s="15">
        <v>57190</v>
      </c>
      <c r="N2009" s="15">
        <v>0</v>
      </c>
      <c r="O2009" s="15">
        <f t="shared" si="155"/>
        <v>57190</v>
      </c>
      <c r="P2009" s="15">
        <f t="shared" si="156"/>
        <v>10.999980765901791</v>
      </c>
      <c r="Q2009" s="14">
        <v>5000</v>
      </c>
      <c r="R2009" s="12">
        <v>100</v>
      </c>
      <c r="S2009" s="12" t="s">
        <v>2538</v>
      </c>
      <c r="T2009" s="22">
        <f t="shared" si="157"/>
        <v>5</v>
      </c>
      <c r="U2009" s="22">
        <f t="shared" si="158"/>
        <v>2021</v>
      </c>
      <c r="V2009" s="22" t="str">
        <f t="shared" si="159"/>
        <v>METROPOLITANA</v>
      </c>
    </row>
    <row r="2010" spans="1:22" x14ac:dyDescent="0.2">
      <c r="A2010" s="23" t="s">
        <v>2542</v>
      </c>
      <c r="B2010" s="22" t="s">
        <v>18</v>
      </c>
      <c r="C2010" s="22" t="s">
        <v>57</v>
      </c>
      <c r="D2010" s="22" t="s">
        <v>20</v>
      </c>
      <c r="E2010" s="24" t="s">
        <v>21</v>
      </c>
      <c r="F2010" s="22" t="s">
        <v>120</v>
      </c>
      <c r="G2010" s="25">
        <v>4299.3599999999997</v>
      </c>
      <c r="H2010" s="22" t="s">
        <v>22</v>
      </c>
      <c r="I2010" s="22">
        <v>0</v>
      </c>
      <c r="J2010" s="22" t="s">
        <v>120</v>
      </c>
      <c r="K2010" s="22" t="s">
        <v>23</v>
      </c>
      <c r="L2010" s="22">
        <v>5</v>
      </c>
      <c r="M2010" s="26">
        <v>70000</v>
      </c>
      <c r="N2010" s="26">
        <v>0</v>
      </c>
      <c r="O2010" s="15">
        <f t="shared" si="155"/>
        <v>70000</v>
      </c>
      <c r="P2010" s="15">
        <f t="shared" si="156"/>
        <v>16.281493059432101</v>
      </c>
      <c r="Q2010" s="25">
        <v>10000</v>
      </c>
      <c r="R2010" s="22">
        <v>43</v>
      </c>
      <c r="S2010" s="22" t="s">
        <v>2543</v>
      </c>
      <c r="T2010" s="22">
        <f t="shared" si="157"/>
        <v>5</v>
      </c>
      <c r="U2010" s="22">
        <f t="shared" si="158"/>
        <v>2021</v>
      </c>
      <c r="V2010" s="22" t="str">
        <f t="shared" si="159"/>
        <v>METROPOLITANA</v>
      </c>
    </row>
    <row r="2011" spans="1:22" x14ac:dyDescent="0.2">
      <c r="A2011" s="23" t="s">
        <v>2542</v>
      </c>
      <c r="B2011" s="22" t="s">
        <v>18</v>
      </c>
      <c r="C2011" s="22" t="s">
        <v>2049</v>
      </c>
      <c r="D2011" s="22" t="s">
        <v>30</v>
      </c>
      <c r="E2011" s="24" t="s">
        <v>31</v>
      </c>
      <c r="F2011" s="22" t="s">
        <v>2050</v>
      </c>
      <c r="G2011" s="25">
        <v>3420.72</v>
      </c>
      <c r="H2011" s="22" t="s">
        <v>32</v>
      </c>
      <c r="I2011" s="22">
        <v>0</v>
      </c>
      <c r="J2011" s="22" t="s">
        <v>2050</v>
      </c>
      <c r="K2011" s="22" t="s">
        <v>86</v>
      </c>
      <c r="L2011" s="22">
        <v>0</v>
      </c>
      <c r="M2011" s="26">
        <v>180000</v>
      </c>
      <c r="N2011" s="26">
        <v>0</v>
      </c>
      <c r="O2011" s="15">
        <f t="shared" si="155"/>
        <v>180000</v>
      </c>
      <c r="P2011" s="15">
        <f t="shared" si="156"/>
        <v>52.62050094716902</v>
      </c>
      <c r="Q2011" s="25">
        <v>25000</v>
      </c>
      <c r="R2011" s="22">
        <v>14</v>
      </c>
      <c r="S2011" s="22" t="s">
        <v>2544</v>
      </c>
      <c r="T2011" s="22">
        <f t="shared" si="157"/>
        <v>5</v>
      </c>
      <c r="U2011" s="22">
        <f t="shared" si="158"/>
        <v>2021</v>
      </c>
      <c r="V2011" s="22" t="str">
        <f t="shared" si="159"/>
        <v>REGIONES</v>
      </c>
    </row>
    <row r="2012" spans="1:22" x14ac:dyDescent="0.2">
      <c r="A2012" s="23" t="s">
        <v>2542</v>
      </c>
      <c r="B2012" s="22" t="s">
        <v>33</v>
      </c>
      <c r="C2012" s="22" t="s">
        <v>223</v>
      </c>
      <c r="D2012" s="22" t="s">
        <v>38</v>
      </c>
      <c r="E2012" s="24" t="s">
        <v>42</v>
      </c>
      <c r="F2012" s="22" t="s">
        <v>39</v>
      </c>
      <c r="G2012" s="25">
        <v>9755.1999999999953</v>
      </c>
      <c r="H2012" s="22" t="s">
        <v>43</v>
      </c>
      <c r="I2012" s="22">
        <v>0</v>
      </c>
      <c r="J2012" s="22" t="s">
        <v>39</v>
      </c>
      <c r="K2012" s="22" t="s">
        <v>23</v>
      </c>
      <c r="L2012" s="22">
        <v>1</v>
      </c>
      <c r="M2012" s="26">
        <v>107307</v>
      </c>
      <c r="N2012" s="26">
        <v>0</v>
      </c>
      <c r="O2012" s="15">
        <f t="shared" si="155"/>
        <v>107307</v>
      </c>
      <c r="P2012" s="15">
        <f t="shared" si="156"/>
        <v>10.999979498113833</v>
      </c>
      <c r="Q2012" s="25">
        <v>5000</v>
      </c>
      <c r="R2012" s="22">
        <v>100</v>
      </c>
      <c r="S2012" s="22" t="s">
        <v>2545</v>
      </c>
      <c r="T2012" s="22">
        <f t="shared" si="157"/>
        <v>5</v>
      </c>
      <c r="U2012" s="22">
        <f t="shared" si="158"/>
        <v>2021</v>
      </c>
      <c r="V2012" s="22" t="str">
        <f t="shared" si="159"/>
        <v>METROPOLITANA</v>
      </c>
    </row>
    <row r="2013" spans="1:22" x14ac:dyDescent="0.2">
      <c r="A2013" s="23" t="s">
        <v>2542</v>
      </c>
      <c r="B2013" s="22" t="s">
        <v>33</v>
      </c>
      <c r="C2013" s="22" t="s">
        <v>223</v>
      </c>
      <c r="D2013" s="22" t="s">
        <v>41</v>
      </c>
      <c r="E2013" s="24" t="s">
        <v>25</v>
      </c>
      <c r="F2013" s="22" t="s">
        <v>39</v>
      </c>
      <c r="G2013" s="25">
        <v>9755.1999999999953</v>
      </c>
      <c r="H2013" s="22" t="s">
        <v>43</v>
      </c>
      <c r="I2013" s="22">
        <v>0</v>
      </c>
      <c r="J2013" s="22" t="s">
        <v>39</v>
      </c>
      <c r="K2013" s="22" t="s">
        <v>23</v>
      </c>
      <c r="L2013" s="22">
        <v>1</v>
      </c>
      <c r="M2013" s="26">
        <v>107307</v>
      </c>
      <c r="N2013" s="26">
        <v>0</v>
      </c>
      <c r="O2013" s="15">
        <f t="shared" si="155"/>
        <v>107307</v>
      </c>
      <c r="P2013" s="15">
        <f t="shared" si="156"/>
        <v>10.999979498113833</v>
      </c>
      <c r="Q2013" s="25">
        <v>5000</v>
      </c>
      <c r="R2013" s="22">
        <v>100</v>
      </c>
      <c r="S2013" s="22" t="s">
        <v>2546</v>
      </c>
      <c r="T2013" s="22">
        <f t="shared" si="157"/>
        <v>5</v>
      </c>
      <c r="U2013" s="22">
        <f t="shared" si="158"/>
        <v>2021</v>
      </c>
      <c r="V2013" s="22" t="str">
        <f t="shared" si="159"/>
        <v>METROPOLITANA</v>
      </c>
    </row>
    <row r="2014" spans="1:22" x14ac:dyDescent="0.2">
      <c r="A2014" s="23" t="s">
        <v>2542</v>
      </c>
      <c r="B2014" s="22" t="s">
        <v>33</v>
      </c>
      <c r="C2014" s="22" t="s">
        <v>29</v>
      </c>
      <c r="D2014" s="22" t="s">
        <v>2262</v>
      </c>
      <c r="E2014" s="24" t="s">
        <v>83</v>
      </c>
      <c r="F2014" s="22" t="s">
        <v>170</v>
      </c>
      <c r="G2014" s="25">
        <v>15990.999999999991</v>
      </c>
      <c r="H2014" s="22" t="s">
        <v>24</v>
      </c>
      <c r="I2014" s="22">
        <v>1</v>
      </c>
      <c r="J2014" s="22" t="s">
        <v>170</v>
      </c>
      <c r="K2014" s="22" t="s">
        <v>171</v>
      </c>
      <c r="L2014" s="22">
        <v>0</v>
      </c>
      <c r="M2014" s="26">
        <v>230000</v>
      </c>
      <c r="N2014" s="26">
        <v>0</v>
      </c>
      <c r="O2014" s="15">
        <f t="shared" si="155"/>
        <v>230000</v>
      </c>
      <c r="P2014" s="15">
        <f t="shared" si="156"/>
        <v>14.383090488399732</v>
      </c>
      <c r="Q2014" s="25">
        <v>25000</v>
      </c>
      <c r="R2014" s="22">
        <v>64</v>
      </c>
      <c r="S2014" s="22" t="s">
        <v>2547</v>
      </c>
      <c r="T2014" s="22">
        <f t="shared" si="157"/>
        <v>5</v>
      </c>
      <c r="U2014" s="22">
        <f t="shared" si="158"/>
        <v>2021</v>
      </c>
      <c r="V2014" s="22" t="str">
        <f t="shared" si="159"/>
        <v>REGIONES</v>
      </c>
    </row>
    <row r="2015" spans="1:22" x14ac:dyDescent="0.2">
      <c r="A2015" s="23" t="s">
        <v>2542</v>
      </c>
      <c r="B2015" s="22" t="s">
        <v>33</v>
      </c>
      <c r="C2015" s="22" t="s">
        <v>29</v>
      </c>
      <c r="D2015" s="22" t="s">
        <v>37</v>
      </c>
      <c r="E2015" s="24" t="s">
        <v>40</v>
      </c>
      <c r="F2015" s="22" t="s">
        <v>134</v>
      </c>
      <c r="G2015" s="25">
        <v>3752</v>
      </c>
      <c r="H2015" s="22" t="s">
        <v>22</v>
      </c>
      <c r="I2015" s="22">
        <v>0</v>
      </c>
      <c r="J2015" s="22" t="s">
        <v>134</v>
      </c>
      <c r="K2015" s="22" t="s">
        <v>23</v>
      </c>
      <c r="L2015" s="22">
        <v>2</v>
      </c>
      <c r="M2015" s="26">
        <v>55000</v>
      </c>
      <c r="N2015" s="26">
        <v>0</v>
      </c>
      <c r="O2015" s="15">
        <f t="shared" si="155"/>
        <v>55000</v>
      </c>
      <c r="P2015" s="15">
        <f t="shared" si="156"/>
        <v>14.658848614072495</v>
      </c>
      <c r="Q2015" s="25">
        <v>5000</v>
      </c>
      <c r="R2015" s="22">
        <v>75</v>
      </c>
      <c r="S2015" s="22" t="s">
        <v>2548</v>
      </c>
      <c r="T2015" s="22">
        <f t="shared" si="157"/>
        <v>5</v>
      </c>
      <c r="U2015" s="22">
        <f t="shared" si="158"/>
        <v>2021</v>
      </c>
      <c r="V2015" s="22" t="str">
        <f t="shared" si="159"/>
        <v>METROPOLITANA</v>
      </c>
    </row>
    <row r="2016" spans="1:22" x14ac:dyDescent="0.2">
      <c r="A2016" s="23" t="s">
        <v>2542</v>
      </c>
      <c r="B2016" s="22" t="s">
        <v>33</v>
      </c>
      <c r="C2016" s="22" t="s">
        <v>29</v>
      </c>
      <c r="D2016" s="22" t="s">
        <v>37</v>
      </c>
      <c r="E2016" s="24" t="s">
        <v>21</v>
      </c>
      <c r="F2016" s="22" t="s">
        <v>134</v>
      </c>
      <c r="G2016" s="25">
        <v>5043.55</v>
      </c>
      <c r="H2016" s="22" t="s">
        <v>22</v>
      </c>
      <c r="I2016" s="22">
        <v>0</v>
      </c>
      <c r="J2016" s="22" t="s">
        <v>134</v>
      </c>
      <c r="K2016" s="22" t="s">
        <v>23</v>
      </c>
      <c r="L2016" s="22">
        <v>2</v>
      </c>
      <c r="M2016" s="26">
        <v>55479</v>
      </c>
      <c r="N2016" s="26">
        <v>0</v>
      </c>
      <c r="O2016" s="15">
        <f t="shared" si="155"/>
        <v>55479</v>
      </c>
      <c r="P2016" s="15">
        <f t="shared" si="156"/>
        <v>10.999990086347909</v>
      </c>
      <c r="Q2016" s="25">
        <v>5000</v>
      </c>
      <c r="R2016" s="22">
        <v>100</v>
      </c>
      <c r="S2016" s="22" t="s">
        <v>2549</v>
      </c>
      <c r="T2016" s="22">
        <f t="shared" si="157"/>
        <v>5</v>
      </c>
      <c r="U2016" s="22">
        <f t="shared" si="158"/>
        <v>2021</v>
      </c>
      <c r="V2016" s="22" t="str">
        <f t="shared" si="159"/>
        <v>METROPOLITANA</v>
      </c>
    </row>
    <row r="2017" spans="1:22" x14ac:dyDescent="0.2">
      <c r="A2017" s="23" t="s">
        <v>2542</v>
      </c>
      <c r="B2017" s="22" t="s">
        <v>33</v>
      </c>
      <c r="C2017" s="22" t="s">
        <v>29</v>
      </c>
      <c r="D2017" s="22" t="s">
        <v>63</v>
      </c>
      <c r="E2017" s="24" t="s">
        <v>64</v>
      </c>
      <c r="F2017" s="22" t="s">
        <v>173</v>
      </c>
      <c r="G2017" s="25">
        <v>9004.7999999999975</v>
      </c>
      <c r="H2017" s="22" t="s">
        <v>65</v>
      </c>
      <c r="I2017" s="22">
        <v>0</v>
      </c>
      <c r="J2017" s="22" t="s">
        <v>173</v>
      </c>
      <c r="K2017" s="22" t="s">
        <v>23</v>
      </c>
      <c r="L2017" s="22">
        <v>5</v>
      </c>
      <c r="M2017" s="26">
        <v>90000</v>
      </c>
      <c r="N2017" s="26">
        <v>0</v>
      </c>
      <c r="O2017" s="15">
        <f t="shared" si="155"/>
        <v>90000</v>
      </c>
      <c r="P2017" s="15">
        <f t="shared" si="156"/>
        <v>9.9946695095948854</v>
      </c>
      <c r="Q2017" s="25">
        <v>10000</v>
      </c>
      <c r="R2017" s="22">
        <v>90</v>
      </c>
      <c r="S2017" s="22" t="s">
        <v>2550</v>
      </c>
      <c r="T2017" s="22">
        <f t="shared" si="157"/>
        <v>5</v>
      </c>
      <c r="U2017" s="22">
        <f t="shared" si="158"/>
        <v>2021</v>
      </c>
      <c r="V2017" s="22" t="str">
        <f t="shared" si="159"/>
        <v>METROPOLITANA</v>
      </c>
    </row>
    <row r="2018" spans="1:22" x14ac:dyDescent="0.2">
      <c r="A2018" s="23" t="s">
        <v>2542</v>
      </c>
      <c r="B2018" s="22" t="s">
        <v>33</v>
      </c>
      <c r="C2018" s="22" t="s">
        <v>29</v>
      </c>
      <c r="D2018" s="22" t="s">
        <v>30</v>
      </c>
      <c r="E2018" s="24" t="s">
        <v>31</v>
      </c>
      <c r="F2018" s="22" t="s">
        <v>134</v>
      </c>
      <c r="G2018" s="25">
        <v>8576.0499999999993</v>
      </c>
      <c r="H2018" s="22" t="s">
        <v>32</v>
      </c>
      <c r="I2018" s="22">
        <v>0</v>
      </c>
      <c r="J2018" s="22" t="s">
        <v>134</v>
      </c>
      <c r="K2018" s="22" t="s">
        <v>23</v>
      </c>
      <c r="L2018" s="22">
        <v>2</v>
      </c>
      <c r="M2018" s="26">
        <v>94337</v>
      </c>
      <c r="N2018" s="26">
        <v>0</v>
      </c>
      <c r="O2018" s="15">
        <f t="shared" si="155"/>
        <v>94337</v>
      </c>
      <c r="P2018" s="15">
        <f t="shared" si="156"/>
        <v>11.000052471709004</v>
      </c>
      <c r="Q2018" s="25">
        <v>5000</v>
      </c>
      <c r="R2018" s="22">
        <v>100</v>
      </c>
      <c r="S2018" s="22" t="s">
        <v>2551</v>
      </c>
      <c r="T2018" s="22">
        <f t="shared" si="157"/>
        <v>5</v>
      </c>
      <c r="U2018" s="22">
        <f t="shared" si="158"/>
        <v>2021</v>
      </c>
      <c r="V2018" s="22" t="str">
        <f t="shared" si="159"/>
        <v>METROPOLITANA</v>
      </c>
    </row>
    <row r="2019" spans="1:22" x14ac:dyDescent="0.2">
      <c r="A2019" s="23" t="s">
        <v>2542</v>
      </c>
      <c r="B2019" s="22" t="s">
        <v>33</v>
      </c>
      <c r="C2019" s="22" t="s">
        <v>44</v>
      </c>
      <c r="D2019" s="22" t="s">
        <v>47</v>
      </c>
      <c r="E2019" s="24" t="s">
        <v>1576</v>
      </c>
      <c r="F2019" s="22" t="s">
        <v>48</v>
      </c>
      <c r="G2019" s="25">
        <v>5902.9000000000005</v>
      </c>
      <c r="H2019" s="22" t="s">
        <v>22</v>
      </c>
      <c r="I2019" s="22">
        <v>0</v>
      </c>
      <c r="J2019" s="22" t="s">
        <v>48</v>
      </c>
      <c r="K2019" s="22" t="s">
        <v>23</v>
      </c>
      <c r="L2019" s="22">
        <v>1</v>
      </c>
      <c r="M2019" s="26">
        <v>64932</v>
      </c>
      <c r="N2019" s="26">
        <v>0</v>
      </c>
      <c r="O2019" s="15">
        <f t="shared" si="155"/>
        <v>64932</v>
      </c>
      <c r="P2019" s="15">
        <f t="shared" si="156"/>
        <v>11.000016940825695</v>
      </c>
      <c r="Q2019" s="25">
        <v>5000</v>
      </c>
      <c r="R2019" s="22">
        <v>100</v>
      </c>
      <c r="S2019" s="22" t="s">
        <v>2552</v>
      </c>
      <c r="T2019" s="22">
        <f t="shared" si="157"/>
        <v>5</v>
      </c>
      <c r="U2019" s="22">
        <f t="shared" si="158"/>
        <v>2021</v>
      </c>
      <c r="V2019" s="22" t="str">
        <f t="shared" si="159"/>
        <v>METROPOLITANA</v>
      </c>
    </row>
    <row r="2020" spans="1:22" x14ac:dyDescent="0.2">
      <c r="A2020" s="11" t="s">
        <v>2553</v>
      </c>
      <c r="B2020" s="12" t="s">
        <v>33</v>
      </c>
      <c r="C2020" s="12" t="s">
        <v>799</v>
      </c>
      <c r="D2020" s="12" t="s">
        <v>37</v>
      </c>
      <c r="E2020" s="13" t="s">
        <v>40</v>
      </c>
      <c r="F2020" s="12" t="s">
        <v>2554</v>
      </c>
      <c r="G2020" s="14">
        <v>11350.67</v>
      </c>
      <c r="H2020" s="12" t="s">
        <v>22</v>
      </c>
      <c r="I2020" s="12">
        <v>0</v>
      </c>
      <c r="J2020" s="12" t="s">
        <v>2554</v>
      </c>
      <c r="K2020" s="12" t="s">
        <v>23</v>
      </c>
      <c r="L2020" s="12">
        <v>5</v>
      </c>
      <c r="M2020" s="15">
        <f>+G2020*11</f>
        <v>124857.37</v>
      </c>
      <c r="N2020" s="15">
        <v>0</v>
      </c>
      <c r="O2020" s="15">
        <f t="shared" si="155"/>
        <v>124857.37</v>
      </c>
      <c r="P2020" s="15">
        <f t="shared" si="156"/>
        <v>11</v>
      </c>
      <c r="Q2020" s="14">
        <v>10000</v>
      </c>
      <c r="R2020" s="12">
        <v>100</v>
      </c>
      <c r="S2020" s="12" t="s">
        <v>2555</v>
      </c>
      <c r="T2020" s="22">
        <f t="shared" si="157"/>
        <v>5</v>
      </c>
      <c r="U2020" s="22">
        <f t="shared" si="158"/>
        <v>2021</v>
      </c>
      <c r="V2020" s="22" t="str">
        <f t="shared" si="159"/>
        <v>METROPOLITANA</v>
      </c>
    </row>
    <row r="2021" spans="1:22" x14ac:dyDescent="0.2">
      <c r="A2021" s="11" t="s">
        <v>2553</v>
      </c>
      <c r="B2021" s="12" t="s">
        <v>33</v>
      </c>
      <c r="C2021" s="12" t="s">
        <v>36</v>
      </c>
      <c r="D2021" s="12" t="s">
        <v>125</v>
      </c>
      <c r="E2021" s="13" t="s">
        <v>126</v>
      </c>
      <c r="F2021" s="12" t="s">
        <v>84</v>
      </c>
      <c r="G2021" s="14">
        <v>13081.8</v>
      </c>
      <c r="H2021" s="12" t="s">
        <v>174</v>
      </c>
      <c r="I2021" s="12">
        <v>0</v>
      </c>
      <c r="J2021" s="12" t="s">
        <v>84</v>
      </c>
      <c r="K2021" s="12" t="s">
        <v>86</v>
      </c>
      <c r="L2021" s="12">
        <v>0</v>
      </c>
      <c r="M2021" s="15">
        <v>260000</v>
      </c>
      <c r="N2021" s="15">
        <v>0</v>
      </c>
      <c r="O2021" s="15">
        <f t="shared" si="155"/>
        <v>260000</v>
      </c>
      <c r="P2021" s="15">
        <f t="shared" si="156"/>
        <v>19.874940757388128</v>
      </c>
      <c r="Q2021" s="14">
        <v>25000</v>
      </c>
      <c r="R2021" s="12">
        <v>52</v>
      </c>
      <c r="S2021" s="12" t="s">
        <v>2556</v>
      </c>
      <c r="T2021" s="22">
        <f t="shared" si="157"/>
        <v>5</v>
      </c>
      <c r="U2021" s="22">
        <f t="shared" si="158"/>
        <v>2021</v>
      </c>
      <c r="V2021" s="22" t="str">
        <f t="shared" si="159"/>
        <v>REGIONES</v>
      </c>
    </row>
    <row r="2022" spans="1:22" x14ac:dyDescent="0.2">
      <c r="A2022" s="11" t="s">
        <v>2553</v>
      </c>
      <c r="B2022" s="12" t="s">
        <v>33</v>
      </c>
      <c r="C2022" s="12" t="s">
        <v>909</v>
      </c>
      <c r="D2022" s="12" t="s">
        <v>2199</v>
      </c>
      <c r="E2022" s="13" t="s">
        <v>28</v>
      </c>
      <c r="F2022" s="12" t="s">
        <v>910</v>
      </c>
      <c r="G2022" s="14">
        <v>18760</v>
      </c>
      <c r="H2022" s="12" t="s">
        <v>22</v>
      </c>
      <c r="I2022" s="12">
        <v>0</v>
      </c>
      <c r="J2022" s="12" t="s">
        <v>910</v>
      </c>
      <c r="K2022" s="12" t="s">
        <v>171</v>
      </c>
      <c r="L2022" s="12">
        <v>0</v>
      </c>
      <c r="M2022" s="15">
        <v>180000</v>
      </c>
      <c r="N2022" s="15">
        <v>0</v>
      </c>
      <c r="O2022" s="15">
        <f t="shared" si="155"/>
        <v>180000</v>
      </c>
      <c r="P2022" s="15">
        <f t="shared" si="156"/>
        <v>9.5948827292110881</v>
      </c>
      <c r="Q2022" s="14">
        <v>25000</v>
      </c>
      <c r="R2022" s="12">
        <v>75</v>
      </c>
      <c r="S2022" s="12" t="s">
        <v>2557</v>
      </c>
      <c r="T2022" s="22">
        <f t="shared" si="157"/>
        <v>5</v>
      </c>
      <c r="U2022" s="22">
        <f t="shared" si="158"/>
        <v>2021</v>
      </c>
      <c r="V2022" s="22" t="str">
        <f t="shared" si="159"/>
        <v>REGIONES</v>
      </c>
    </row>
    <row r="2023" spans="1:22" x14ac:dyDescent="0.2">
      <c r="A2023" s="11" t="s">
        <v>2553</v>
      </c>
      <c r="B2023" s="12" t="s">
        <v>33</v>
      </c>
      <c r="C2023" s="12" t="s">
        <v>29</v>
      </c>
      <c r="D2023" s="12" t="s">
        <v>41</v>
      </c>
      <c r="E2023" s="13" t="s">
        <v>25</v>
      </c>
      <c r="F2023" s="12" t="s">
        <v>39</v>
      </c>
      <c r="G2023" s="14">
        <v>4662</v>
      </c>
      <c r="H2023" s="12" t="s">
        <v>43</v>
      </c>
      <c r="I2023" s="12">
        <v>0</v>
      </c>
      <c r="J2023" s="12" t="s">
        <v>39</v>
      </c>
      <c r="K2023" s="12" t="s">
        <v>23</v>
      </c>
      <c r="L2023" s="12">
        <v>1</v>
      </c>
      <c r="M2023" s="15">
        <v>55000</v>
      </c>
      <c r="N2023" s="15">
        <v>0</v>
      </c>
      <c r="O2023" s="15">
        <f t="shared" si="155"/>
        <v>55000</v>
      </c>
      <c r="P2023" s="15">
        <f t="shared" si="156"/>
        <v>11.797511797511797</v>
      </c>
      <c r="Q2023" s="14">
        <v>5000</v>
      </c>
      <c r="R2023" s="12">
        <v>93</v>
      </c>
      <c r="S2023" s="12" t="s">
        <v>2558</v>
      </c>
      <c r="T2023" s="22">
        <f t="shared" si="157"/>
        <v>5</v>
      </c>
      <c r="U2023" s="22">
        <f t="shared" si="158"/>
        <v>2021</v>
      </c>
      <c r="V2023" s="22" t="str">
        <f t="shared" si="159"/>
        <v>METROPOLITANA</v>
      </c>
    </row>
    <row r="2024" spans="1:22" x14ac:dyDescent="0.2">
      <c r="A2024" s="11" t="s">
        <v>2553</v>
      </c>
      <c r="B2024" s="12" t="s">
        <v>33</v>
      </c>
      <c r="C2024" s="12" t="s">
        <v>29</v>
      </c>
      <c r="D2024" s="12" t="s">
        <v>20</v>
      </c>
      <c r="E2024" s="13" t="s">
        <v>21</v>
      </c>
      <c r="F2024" s="12" t="s">
        <v>39</v>
      </c>
      <c r="G2024" s="14">
        <v>4662</v>
      </c>
      <c r="H2024" s="12" t="s">
        <v>22</v>
      </c>
      <c r="I2024" s="12">
        <v>0</v>
      </c>
      <c r="J2024" s="12" t="s">
        <v>39</v>
      </c>
      <c r="K2024" s="12" t="s">
        <v>23</v>
      </c>
      <c r="L2024" s="12">
        <v>1</v>
      </c>
      <c r="M2024" s="15">
        <v>55000</v>
      </c>
      <c r="N2024" s="15">
        <v>0</v>
      </c>
      <c r="O2024" s="15">
        <f t="shared" si="155"/>
        <v>55000</v>
      </c>
      <c r="P2024" s="15">
        <f t="shared" si="156"/>
        <v>11.797511797511797</v>
      </c>
      <c r="Q2024" s="14">
        <v>5000</v>
      </c>
      <c r="R2024" s="12">
        <v>93</v>
      </c>
      <c r="S2024" s="12" t="s">
        <v>2559</v>
      </c>
      <c r="T2024" s="22">
        <f t="shared" si="157"/>
        <v>5</v>
      </c>
      <c r="U2024" s="22">
        <f t="shared" si="158"/>
        <v>2021</v>
      </c>
      <c r="V2024" s="22" t="str">
        <f t="shared" si="159"/>
        <v>METROPOLITANA</v>
      </c>
    </row>
    <row r="2025" spans="1:22" x14ac:dyDescent="0.2">
      <c r="A2025" s="11" t="s">
        <v>2553</v>
      </c>
      <c r="B2025" s="12" t="s">
        <v>33</v>
      </c>
      <c r="C2025" s="12" t="s">
        <v>44</v>
      </c>
      <c r="D2025" s="12" t="s">
        <v>2560</v>
      </c>
      <c r="E2025" s="13" t="s">
        <v>2561</v>
      </c>
      <c r="F2025" s="12" t="s">
        <v>114</v>
      </c>
      <c r="G2025" s="14">
        <v>12385.79999999999</v>
      </c>
      <c r="H2025" s="12" t="s">
        <v>24</v>
      </c>
      <c r="I2025" s="12">
        <v>1</v>
      </c>
      <c r="J2025" s="12" t="s">
        <v>114</v>
      </c>
      <c r="K2025" s="12" t="s">
        <v>75</v>
      </c>
      <c r="L2025" s="12">
        <v>0</v>
      </c>
      <c r="M2025" s="15">
        <v>380000</v>
      </c>
      <c r="N2025" s="15">
        <v>0</v>
      </c>
      <c r="O2025" s="15">
        <f t="shared" si="155"/>
        <v>380000</v>
      </c>
      <c r="P2025" s="15">
        <f t="shared" si="156"/>
        <v>30.680295176734671</v>
      </c>
      <c r="Q2025" s="14">
        <v>25000</v>
      </c>
      <c r="R2025" s="12">
        <v>50</v>
      </c>
      <c r="S2025" s="12" t="s">
        <v>2562</v>
      </c>
      <c r="T2025" s="22">
        <f t="shared" si="157"/>
        <v>5</v>
      </c>
      <c r="U2025" s="22">
        <f t="shared" si="158"/>
        <v>2021</v>
      </c>
      <c r="V2025" s="22" t="str">
        <f t="shared" si="159"/>
        <v>REGIONES</v>
      </c>
    </row>
    <row r="2026" spans="1:22" x14ac:dyDescent="0.2">
      <c r="A2026" s="11" t="s">
        <v>2553</v>
      </c>
      <c r="B2026" s="12" t="s">
        <v>33</v>
      </c>
      <c r="C2026" s="12" t="s">
        <v>44</v>
      </c>
      <c r="D2026" s="12" t="s">
        <v>47</v>
      </c>
      <c r="E2026" s="13" t="s">
        <v>1576</v>
      </c>
      <c r="F2026" s="12" t="s">
        <v>48</v>
      </c>
      <c r="G2026" s="14">
        <v>4781.2999999999993</v>
      </c>
      <c r="H2026" s="12" t="s">
        <v>22</v>
      </c>
      <c r="I2026" s="12">
        <v>0</v>
      </c>
      <c r="J2026" s="12" t="s">
        <v>48</v>
      </c>
      <c r="K2026" s="12" t="s">
        <v>23</v>
      </c>
      <c r="L2026" s="12">
        <v>1</v>
      </c>
      <c r="M2026" s="15">
        <v>55000</v>
      </c>
      <c r="N2026" s="15">
        <v>0</v>
      </c>
      <c r="O2026" s="15">
        <f t="shared" si="155"/>
        <v>55000</v>
      </c>
      <c r="P2026" s="15">
        <f t="shared" si="156"/>
        <v>11.503147679501392</v>
      </c>
      <c r="Q2026" s="14">
        <v>5000</v>
      </c>
      <c r="R2026" s="12">
        <v>96</v>
      </c>
      <c r="S2026" s="12" t="s">
        <v>2563</v>
      </c>
      <c r="T2026" s="22">
        <f t="shared" si="157"/>
        <v>5</v>
      </c>
      <c r="U2026" s="22">
        <f t="shared" si="158"/>
        <v>2021</v>
      </c>
      <c r="V2026" s="22" t="str">
        <f t="shared" si="159"/>
        <v>METROPOLITANA</v>
      </c>
    </row>
    <row r="2027" spans="1:22" x14ac:dyDescent="0.2">
      <c r="A2027" s="11" t="s">
        <v>2553</v>
      </c>
      <c r="B2027" s="12" t="s">
        <v>33</v>
      </c>
      <c r="C2027" s="12" t="s">
        <v>1163</v>
      </c>
      <c r="D2027" s="12" t="s">
        <v>38</v>
      </c>
      <c r="E2027" s="13" t="s">
        <v>42</v>
      </c>
      <c r="F2027" s="12" t="s">
        <v>1166</v>
      </c>
      <c r="G2027" s="14">
        <v>5464.2000000000007</v>
      </c>
      <c r="H2027" s="12" t="s">
        <v>43</v>
      </c>
      <c r="I2027" s="12">
        <v>0</v>
      </c>
      <c r="J2027" s="12" t="s">
        <v>1166</v>
      </c>
      <c r="K2027" s="12" t="s">
        <v>23</v>
      </c>
      <c r="L2027" s="12">
        <v>5</v>
      </c>
      <c r="M2027" s="15">
        <v>90000</v>
      </c>
      <c r="N2027" s="15">
        <v>0</v>
      </c>
      <c r="O2027" s="15">
        <f t="shared" si="155"/>
        <v>90000</v>
      </c>
      <c r="P2027" s="15">
        <f t="shared" si="156"/>
        <v>16.470846601515316</v>
      </c>
      <c r="Q2027" s="14">
        <v>10000</v>
      </c>
      <c r="R2027" s="12">
        <v>55</v>
      </c>
      <c r="S2027" s="12" t="s">
        <v>2564</v>
      </c>
      <c r="T2027" s="22">
        <f t="shared" si="157"/>
        <v>5</v>
      </c>
      <c r="U2027" s="22">
        <f t="shared" si="158"/>
        <v>2021</v>
      </c>
      <c r="V2027" s="22" t="str">
        <f t="shared" si="159"/>
        <v>METROPOLITANA</v>
      </c>
    </row>
    <row r="2028" spans="1:22" x14ac:dyDescent="0.2">
      <c r="A2028" s="23" t="s">
        <v>2565</v>
      </c>
      <c r="B2028" s="22" t="s">
        <v>18</v>
      </c>
      <c r="C2028" s="22" t="s">
        <v>57</v>
      </c>
      <c r="D2028" s="22" t="s">
        <v>63</v>
      </c>
      <c r="E2028" s="24">
        <v>138841065</v>
      </c>
      <c r="F2028" s="22" t="s">
        <v>120</v>
      </c>
      <c r="G2028" s="25">
        <v>5985.78</v>
      </c>
      <c r="H2028" s="22" t="s">
        <v>65</v>
      </c>
      <c r="I2028" s="22">
        <v>0</v>
      </c>
      <c r="J2028" s="22" t="s">
        <v>120</v>
      </c>
      <c r="K2028" s="22" t="s">
        <v>23</v>
      </c>
      <c r="L2028" s="22">
        <v>5</v>
      </c>
      <c r="M2028" s="26">
        <v>70000</v>
      </c>
      <c r="N2028" s="26">
        <v>0</v>
      </c>
      <c r="O2028" s="15">
        <f t="shared" si="155"/>
        <v>70000</v>
      </c>
      <c r="P2028" s="15">
        <f t="shared" si="156"/>
        <v>11.694382352842904</v>
      </c>
      <c r="Q2028" s="25">
        <v>10000</v>
      </c>
      <c r="R2028" s="22">
        <v>60</v>
      </c>
      <c r="S2028" s="22" t="s">
        <v>2566</v>
      </c>
      <c r="T2028" s="22">
        <f t="shared" si="157"/>
        <v>5</v>
      </c>
      <c r="U2028" s="22">
        <f t="shared" si="158"/>
        <v>2021</v>
      </c>
      <c r="V2028" s="22" t="str">
        <f t="shared" si="159"/>
        <v>METROPOLITANA</v>
      </c>
    </row>
    <row r="2029" spans="1:22" x14ac:dyDescent="0.2">
      <c r="A2029" s="23" t="s">
        <v>2565</v>
      </c>
      <c r="B2029" s="22" t="s">
        <v>33</v>
      </c>
      <c r="C2029" s="22" t="s">
        <v>50</v>
      </c>
      <c r="D2029" s="22" t="s">
        <v>20</v>
      </c>
      <c r="E2029" s="24">
        <v>78907355</v>
      </c>
      <c r="F2029" s="22" t="s">
        <v>26</v>
      </c>
      <c r="G2029" s="25">
        <v>9484.92</v>
      </c>
      <c r="H2029" s="22" t="s">
        <v>22</v>
      </c>
      <c r="I2029" s="22">
        <v>0</v>
      </c>
      <c r="J2029" s="22" t="s">
        <v>26</v>
      </c>
      <c r="K2029" s="22" t="s">
        <v>23</v>
      </c>
      <c r="L2029" s="22">
        <v>4</v>
      </c>
      <c r="M2029" s="26">
        <v>104334</v>
      </c>
      <c r="N2029" s="26">
        <v>0</v>
      </c>
      <c r="O2029" s="15">
        <f t="shared" si="155"/>
        <v>104334</v>
      </c>
      <c r="P2029" s="15">
        <f t="shared" si="156"/>
        <v>10.999987348338204</v>
      </c>
      <c r="Q2029" s="25">
        <v>5000</v>
      </c>
      <c r="R2029" s="22">
        <v>100</v>
      </c>
      <c r="S2029" s="22" t="s">
        <v>2567</v>
      </c>
      <c r="T2029" s="22">
        <f t="shared" si="157"/>
        <v>5</v>
      </c>
      <c r="U2029" s="22">
        <f t="shared" si="158"/>
        <v>2021</v>
      </c>
      <c r="V2029" s="22" t="str">
        <f t="shared" si="159"/>
        <v>METROPOLITANA</v>
      </c>
    </row>
    <row r="2030" spans="1:22" x14ac:dyDescent="0.2">
      <c r="A2030" s="23" t="s">
        <v>2565</v>
      </c>
      <c r="B2030" s="22" t="s">
        <v>33</v>
      </c>
      <c r="C2030" s="22" t="s">
        <v>29</v>
      </c>
      <c r="D2030" s="22" t="s">
        <v>636</v>
      </c>
      <c r="E2030" s="24">
        <v>113693868</v>
      </c>
      <c r="F2030" s="22" t="s">
        <v>132</v>
      </c>
      <c r="G2030" s="25">
        <v>13126.8</v>
      </c>
      <c r="H2030" s="22" t="s">
        <v>85</v>
      </c>
      <c r="I2030" s="22">
        <v>1</v>
      </c>
      <c r="J2030" s="22" t="s">
        <v>132</v>
      </c>
      <c r="K2030" s="22" t="s">
        <v>124</v>
      </c>
      <c r="L2030" s="22">
        <v>0</v>
      </c>
      <c r="M2030" s="26">
        <v>350000</v>
      </c>
      <c r="N2030" s="26">
        <v>0</v>
      </c>
      <c r="O2030" s="15">
        <f t="shared" si="155"/>
        <v>350000</v>
      </c>
      <c r="P2030" s="15">
        <f t="shared" si="156"/>
        <v>26.663010025291772</v>
      </c>
      <c r="Q2030" s="25">
        <v>25000</v>
      </c>
      <c r="R2030" s="22">
        <v>53</v>
      </c>
      <c r="S2030" s="22" t="s">
        <v>2568</v>
      </c>
      <c r="T2030" s="22">
        <f t="shared" si="157"/>
        <v>5</v>
      </c>
      <c r="U2030" s="22">
        <f t="shared" si="158"/>
        <v>2021</v>
      </c>
      <c r="V2030" s="22" t="str">
        <f t="shared" si="159"/>
        <v>REGIONES</v>
      </c>
    </row>
    <row r="2031" spans="1:22" x14ac:dyDescent="0.2">
      <c r="A2031" s="23" t="s">
        <v>2565</v>
      </c>
      <c r="B2031" s="22" t="s">
        <v>33</v>
      </c>
      <c r="C2031" s="22" t="s">
        <v>44</v>
      </c>
      <c r="D2031" s="22" t="s">
        <v>130</v>
      </c>
      <c r="E2031" s="24">
        <v>167832741</v>
      </c>
      <c r="F2031" s="22" t="s">
        <v>114</v>
      </c>
      <c r="G2031" s="25">
        <v>14776.6</v>
      </c>
      <c r="H2031" s="22" t="s">
        <v>85</v>
      </c>
      <c r="I2031" s="22">
        <v>1</v>
      </c>
      <c r="J2031" s="22" t="s">
        <v>114</v>
      </c>
      <c r="K2031" s="22" t="s">
        <v>75</v>
      </c>
      <c r="L2031" s="22">
        <v>0</v>
      </c>
      <c r="M2031" s="26">
        <v>380000</v>
      </c>
      <c r="N2031" s="26">
        <v>0</v>
      </c>
      <c r="O2031" s="15">
        <f t="shared" si="155"/>
        <v>380000</v>
      </c>
      <c r="P2031" s="15">
        <f t="shared" si="156"/>
        <v>25.716335286872486</v>
      </c>
      <c r="Q2031" s="25">
        <v>25000</v>
      </c>
      <c r="R2031" s="22">
        <v>59</v>
      </c>
      <c r="S2031" s="22" t="s">
        <v>2569</v>
      </c>
      <c r="T2031" s="22">
        <f t="shared" si="157"/>
        <v>5</v>
      </c>
      <c r="U2031" s="22">
        <f t="shared" si="158"/>
        <v>2021</v>
      </c>
      <c r="V2031" s="22" t="str">
        <f t="shared" si="159"/>
        <v>REGIONES</v>
      </c>
    </row>
    <row r="2032" spans="1:22" x14ac:dyDescent="0.2">
      <c r="A2032" s="23" t="s">
        <v>2565</v>
      </c>
      <c r="B2032" s="22" t="s">
        <v>33</v>
      </c>
      <c r="C2032" s="22" t="s">
        <v>44</v>
      </c>
      <c r="D2032" s="22" t="s">
        <v>47</v>
      </c>
      <c r="E2032" s="24">
        <v>154837728</v>
      </c>
      <c r="F2032" s="22" t="s">
        <v>48</v>
      </c>
      <c r="G2032" s="25">
        <v>8877.9999999999982</v>
      </c>
      <c r="H2032" s="22" t="s">
        <v>22</v>
      </c>
      <c r="I2032" s="22">
        <v>0</v>
      </c>
      <c r="J2032" s="22" t="s">
        <v>48</v>
      </c>
      <c r="K2032" s="22" t="s">
        <v>23</v>
      </c>
      <c r="L2032" s="22">
        <v>1</v>
      </c>
      <c r="M2032" s="26">
        <v>97658</v>
      </c>
      <c r="N2032" s="26">
        <v>0</v>
      </c>
      <c r="O2032" s="15">
        <f t="shared" si="155"/>
        <v>97658</v>
      </c>
      <c r="P2032" s="15">
        <f t="shared" si="156"/>
        <v>11.000000000000002</v>
      </c>
      <c r="Q2032" s="25">
        <v>5000</v>
      </c>
      <c r="R2032" s="22">
        <v>100</v>
      </c>
      <c r="S2032" s="22" t="s">
        <v>2570</v>
      </c>
      <c r="T2032" s="22">
        <f t="shared" si="157"/>
        <v>5</v>
      </c>
      <c r="U2032" s="22">
        <f t="shared" si="158"/>
        <v>2021</v>
      </c>
      <c r="V2032" s="22" t="str">
        <f t="shared" si="159"/>
        <v>METROPOLITANA</v>
      </c>
    </row>
    <row r="2033" spans="1:22" x14ac:dyDescent="0.2">
      <c r="A2033" s="11" t="s">
        <v>2571</v>
      </c>
      <c r="B2033" s="12" t="s">
        <v>33</v>
      </c>
      <c r="C2033" s="12" t="s">
        <v>29</v>
      </c>
      <c r="D2033" s="12" t="s">
        <v>38</v>
      </c>
      <c r="E2033" s="13">
        <v>125108660</v>
      </c>
      <c r="F2033" s="12" t="s">
        <v>173</v>
      </c>
      <c r="G2033" s="14">
        <v>9004.7999999999975</v>
      </c>
      <c r="H2033" s="12" t="s">
        <v>43</v>
      </c>
      <c r="I2033" s="12">
        <v>0</v>
      </c>
      <c r="J2033" s="12" t="s">
        <v>173</v>
      </c>
      <c r="K2033" s="12" t="s">
        <v>23</v>
      </c>
      <c r="L2033" s="12">
        <v>5</v>
      </c>
      <c r="M2033" s="15">
        <f>+G2033*11</f>
        <v>99052.799999999974</v>
      </c>
      <c r="N2033" s="15">
        <v>0</v>
      </c>
      <c r="O2033" s="15">
        <f t="shared" si="155"/>
        <v>99052.799999999974</v>
      </c>
      <c r="P2033" s="15">
        <f t="shared" si="156"/>
        <v>11</v>
      </c>
      <c r="Q2033" s="14">
        <v>10000</v>
      </c>
      <c r="R2033" s="12">
        <v>90</v>
      </c>
      <c r="S2033" s="12" t="s">
        <v>2572</v>
      </c>
      <c r="T2033" s="22">
        <f t="shared" si="157"/>
        <v>5</v>
      </c>
      <c r="U2033" s="22">
        <f t="shared" si="158"/>
        <v>2021</v>
      </c>
      <c r="V2033" s="22" t="str">
        <f t="shared" si="159"/>
        <v>METROPOLITANA</v>
      </c>
    </row>
    <row r="2034" spans="1:22" x14ac:dyDescent="0.2">
      <c r="A2034" s="11" t="s">
        <v>2571</v>
      </c>
      <c r="B2034" s="12" t="s">
        <v>33</v>
      </c>
      <c r="C2034" s="12" t="s">
        <v>29</v>
      </c>
      <c r="D2034" s="12" t="s">
        <v>63</v>
      </c>
      <c r="E2034" s="13">
        <v>138841065</v>
      </c>
      <c r="F2034" s="12" t="s">
        <v>134</v>
      </c>
      <c r="G2034" s="14">
        <v>6352</v>
      </c>
      <c r="H2034" s="12" t="s">
        <v>65</v>
      </c>
      <c r="I2034" s="12">
        <v>0</v>
      </c>
      <c r="J2034" s="12" t="s">
        <v>134</v>
      </c>
      <c r="K2034" s="12" t="s">
        <v>23</v>
      </c>
      <c r="L2034" s="12">
        <v>2</v>
      </c>
      <c r="M2034" s="15">
        <v>69872</v>
      </c>
      <c r="N2034" s="15">
        <v>0</v>
      </c>
      <c r="O2034" s="15">
        <f t="shared" si="155"/>
        <v>69872</v>
      </c>
      <c r="P2034" s="15">
        <f t="shared" si="156"/>
        <v>11</v>
      </c>
      <c r="Q2034" s="14">
        <v>5000</v>
      </c>
      <c r="R2034" s="12">
        <v>100</v>
      </c>
      <c r="S2034" s="12" t="s">
        <v>2573</v>
      </c>
      <c r="T2034" s="22">
        <f t="shared" si="157"/>
        <v>5</v>
      </c>
      <c r="U2034" s="22">
        <f t="shared" si="158"/>
        <v>2021</v>
      </c>
      <c r="V2034" s="22" t="str">
        <f t="shared" si="159"/>
        <v>METROPOLITANA</v>
      </c>
    </row>
    <row r="2035" spans="1:22" x14ac:dyDescent="0.2">
      <c r="A2035" s="11" t="s">
        <v>2571</v>
      </c>
      <c r="B2035" s="12" t="s">
        <v>33</v>
      </c>
      <c r="C2035" s="12" t="s">
        <v>29</v>
      </c>
      <c r="D2035" s="12" t="s">
        <v>30</v>
      </c>
      <c r="E2035" s="13">
        <v>72564391</v>
      </c>
      <c r="F2035" s="12" t="s">
        <v>134</v>
      </c>
      <c r="G2035" s="14">
        <v>6352</v>
      </c>
      <c r="H2035" s="12" t="s">
        <v>32</v>
      </c>
      <c r="I2035" s="12">
        <v>0</v>
      </c>
      <c r="J2035" s="12" t="s">
        <v>134</v>
      </c>
      <c r="K2035" s="12" t="s">
        <v>23</v>
      </c>
      <c r="L2035" s="12">
        <v>2</v>
      </c>
      <c r="M2035" s="15">
        <v>69872</v>
      </c>
      <c r="N2035" s="15">
        <v>0</v>
      </c>
      <c r="O2035" s="15">
        <f t="shared" si="155"/>
        <v>69872</v>
      </c>
      <c r="P2035" s="15">
        <f t="shared" si="156"/>
        <v>11</v>
      </c>
      <c r="Q2035" s="14">
        <v>5000</v>
      </c>
      <c r="R2035" s="12">
        <v>100</v>
      </c>
      <c r="S2035" s="12" t="s">
        <v>2574</v>
      </c>
      <c r="T2035" s="22">
        <f t="shared" si="157"/>
        <v>5</v>
      </c>
      <c r="U2035" s="22">
        <f t="shared" si="158"/>
        <v>2021</v>
      </c>
      <c r="V2035" s="22" t="str">
        <f t="shared" si="159"/>
        <v>METROPOLITANA</v>
      </c>
    </row>
    <row r="2036" spans="1:22" x14ac:dyDescent="0.2">
      <c r="A2036" s="11" t="s">
        <v>2571</v>
      </c>
      <c r="B2036" s="12" t="s">
        <v>33</v>
      </c>
      <c r="C2036" s="12" t="s">
        <v>29</v>
      </c>
      <c r="D2036" s="12" t="s">
        <v>41</v>
      </c>
      <c r="E2036" s="13">
        <v>53173292</v>
      </c>
      <c r="F2036" s="12" t="s">
        <v>134</v>
      </c>
      <c r="G2036" s="14">
        <v>5876.4</v>
      </c>
      <c r="H2036" s="12" t="s">
        <v>43</v>
      </c>
      <c r="I2036" s="12">
        <v>0</v>
      </c>
      <c r="J2036" s="12" t="s">
        <v>134</v>
      </c>
      <c r="K2036" s="12" t="s">
        <v>23</v>
      </c>
      <c r="L2036" s="12">
        <v>2</v>
      </c>
      <c r="M2036" s="15">
        <v>64640</v>
      </c>
      <c r="N2036" s="15">
        <v>0</v>
      </c>
      <c r="O2036" s="15">
        <f t="shared" si="155"/>
        <v>64640</v>
      </c>
      <c r="P2036" s="15">
        <f t="shared" si="156"/>
        <v>10.999931931114288</v>
      </c>
      <c r="Q2036" s="14">
        <v>5000</v>
      </c>
      <c r="R2036" s="12">
        <v>100</v>
      </c>
      <c r="S2036" s="12" t="s">
        <v>2575</v>
      </c>
      <c r="T2036" s="22">
        <f t="shared" si="157"/>
        <v>5</v>
      </c>
      <c r="U2036" s="22">
        <f t="shared" si="158"/>
        <v>2021</v>
      </c>
      <c r="V2036" s="22" t="str">
        <f t="shared" si="159"/>
        <v>METROPOLITANA</v>
      </c>
    </row>
    <row r="2037" spans="1:22" x14ac:dyDescent="0.2">
      <c r="A2037" s="11" t="s">
        <v>2571</v>
      </c>
      <c r="B2037" s="12" t="s">
        <v>33</v>
      </c>
      <c r="C2037" s="12" t="s">
        <v>29</v>
      </c>
      <c r="D2037" s="12" t="s">
        <v>164</v>
      </c>
      <c r="E2037" s="13">
        <v>81417709</v>
      </c>
      <c r="F2037" s="12" t="s">
        <v>170</v>
      </c>
      <c r="G2037" s="14">
        <v>15155.999999999991</v>
      </c>
      <c r="H2037" s="12" t="s">
        <v>22</v>
      </c>
      <c r="I2037" s="12">
        <v>1</v>
      </c>
      <c r="J2037" s="12" t="s">
        <v>170</v>
      </c>
      <c r="K2037" s="12" t="s">
        <v>171</v>
      </c>
      <c r="L2037" s="12">
        <v>0</v>
      </c>
      <c r="M2037" s="15">
        <v>230000</v>
      </c>
      <c r="N2037" s="15">
        <v>0</v>
      </c>
      <c r="O2037" s="15">
        <f t="shared" si="155"/>
        <v>230000</v>
      </c>
      <c r="P2037" s="15">
        <f t="shared" si="156"/>
        <v>15.175508049617322</v>
      </c>
      <c r="Q2037" s="14">
        <v>25000</v>
      </c>
      <c r="R2037" s="12">
        <v>61</v>
      </c>
      <c r="S2037" s="12" t="s">
        <v>2576</v>
      </c>
      <c r="T2037" s="22">
        <f t="shared" si="157"/>
        <v>5</v>
      </c>
      <c r="U2037" s="22">
        <f t="shared" si="158"/>
        <v>2021</v>
      </c>
      <c r="V2037" s="22" t="str">
        <f t="shared" si="159"/>
        <v>REGIONES</v>
      </c>
    </row>
    <row r="2038" spans="1:22" x14ac:dyDescent="0.2">
      <c r="A2038" s="11" t="s">
        <v>2571</v>
      </c>
      <c r="B2038" s="12" t="s">
        <v>33</v>
      </c>
      <c r="C2038" s="12" t="s">
        <v>29</v>
      </c>
      <c r="D2038" s="12" t="s">
        <v>20</v>
      </c>
      <c r="E2038" s="13">
        <v>78907355</v>
      </c>
      <c r="F2038" s="12" t="s">
        <v>134</v>
      </c>
      <c r="G2038" s="14">
        <v>7309.4000000000005</v>
      </c>
      <c r="H2038" s="12" t="s">
        <v>22</v>
      </c>
      <c r="I2038" s="12">
        <v>0</v>
      </c>
      <c r="J2038" s="12" t="s">
        <v>134</v>
      </c>
      <c r="K2038" s="12" t="s">
        <v>23</v>
      </c>
      <c r="L2038" s="12">
        <v>2</v>
      </c>
      <c r="M2038" s="15">
        <v>80403</v>
      </c>
      <c r="N2038" s="15">
        <v>0</v>
      </c>
      <c r="O2038" s="15">
        <f t="shared" si="155"/>
        <v>80403</v>
      </c>
      <c r="P2038" s="15">
        <f t="shared" si="156"/>
        <v>10.999945275946041</v>
      </c>
      <c r="Q2038" s="14">
        <v>5000</v>
      </c>
      <c r="R2038" s="12">
        <v>100</v>
      </c>
      <c r="S2038" s="12" t="s">
        <v>2577</v>
      </c>
      <c r="T2038" s="22">
        <f t="shared" si="157"/>
        <v>5</v>
      </c>
      <c r="U2038" s="22">
        <f t="shared" si="158"/>
        <v>2021</v>
      </c>
      <c r="V2038" s="22" t="str">
        <f t="shared" si="159"/>
        <v>METROPOLITANA</v>
      </c>
    </row>
    <row r="2039" spans="1:22" x14ac:dyDescent="0.2">
      <c r="A2039" s="11" t="s">
        <v>2571</v>
      </c>
      <c r="B2039" s="12" t="s">
        <v>33</v>
      </c>
      <c r="C2039" s="12" t="s">
        <v>44</v>
      </c>
      <c r="D2039" s="12" t="s">
        <v>191</v>
      </c>
      <c r="E2039" s="13">
        <v>78551976</v>
      </c>
      <c r="F2039" s="12" t="s">
        <v>114</v>
      </c>
      <c r="G2039" s="14">
        <v>14575.79999999999</v>
      </c>
      <c r="H2039" s="12" t="s">
        <v>85</v>
      </c>
      <c r="I2039" s="12">
        <v>1</v>
      </c>
      <c r="J2039" s="12" t="s">
        <v>114</v>
      </c>
      <c r="K2039" s="12" t="s">
        <v>75</v>
      </c>
      <c r="L2039" s="12">
        <v>0</v>
      </c>
      <c r="M2039" s="15">
        <v>380000</v>
      </c>
      <c r="N2039" s="15">
        <v>0</v>
      </c>
      <c r="O2039" s="15">
        <f t="shared" si="155"/>
        <v>380000</v>
      </c>
      <c r="P2039" s="15">
        <f t="shared" si="156"/>
        <v>26.070610189492189</v>
      </c>
      <c r="Q2039" s="14">
        <v>25000</v>
      </c>
      <c r="R2039" s="12">
        <v>58</v>
      </c>
      <c r="S2039" s="12" t="s">
        <v>2578</v>
      </c>
      <c r="T2039" s="22">
        <f t="shared" si="157"/>
        <v>5</v>
      </c>
      <c r="U2039" s="22">
        <f t="shared" si="158"/>
        <v>2021</v>
      </c>
      <c r="V2039" s="22" t="str">
        <f t="shared" si="159"/>
        <v>REGIONES</v>
      </c>
    </row>
    <row r="2040" spans="1:22" x14ac:dyDescent="0.2">
      <c r="A2040" s="11" t="s">
        <v>2571</v>
      </c>
      <c r="B2040" s="12" t="s">
        <v>33</v>
      </c>
      <c r="C2040" s="12" t="s">
        <v>44</v>
      </c>
      <c r="D2040" s="12" t="s">
        <v>188</v>
      </c>
      <c r="E2040" s="13">
        <v>35488103</v>
      </c>
      <c r="F2040" s="12" t="s">
        <v>51</v>
      </c>
      <c r="G2040" s="14">
        <v>4295.1000000000004</v>
      </c>
      <c r="H2040" s="12" t="s">
        <v>190</v>
      </c>
      <c r="I2040" s="12">
        <v>0</v>
      </c>
      <c r="J2040" s="12" t="s">
        <v>51</v>
      </c>
      <c r="K2040" s="12" t="s">
        <v>23</v>
      </c>
      <c r="L2040" s="12">
        <v>4</v>
      </c>
      <c r="M2040" s="15">
        <v>55000</v>
      </c>
      <c r="N2040" s="15">
        <v>0</v>
      </c>
      <c r="O2040" s="15">
        <f t="shared" si="155"/>
        <v>55000</v>
      </c>
      <c r="P2040" s="15">
        <f t="shared" si="156"/>
        <v>12.805289748783496</v>
      </c>
      <c r="Q2040" s="14">
        <v>5000</v>
      </c>
      <c r="R2040" s="12">
        <v>86</v>
      </c>
      <c r="S2040" s="12" t="s">
        <v>2579</v>
      </c>
      <c r="T2040" s="22">
        <f t="shared" si="157"/>
        <v>5</v>
      </c>
      <c r="U2040" s="22">
        <f t="shared" si="158"/>
        <v>2021</v>
      </c>
      <c r="V2040" s="22" t="str">
        <f t="shared" si="159"/>
        <v>METROPOLITANA</v>
      </c>
    </row>
    <row r="2041" spans="1:22" x14ac:dyDescent="0.2">
      <c r="A2041" s="11" t="s">
        <v>2571</v>
      </c>
      <c r="B2041" s="12" t="s">
        <v>33</v>
      </c>
      <c r="C2041" s="12" t="s">
        <v>44</v>
      </c>
      <c r="D2041" s="12" t="s">
        <v>2580</v>
      </c>
      <c r="E2041" s="13">
        <v>79602280</v>
      </c>
      <c r="F2041" s="12" t="s">
        <v>114</v>
      </c>
      <c r="G2041" s="14">
        <v>12096.3</v>
      </c>
      <c r="H2041" s="12" t="s">
        <v>24</v>
      </c>
      <c r="I2041" s="12">
        <v>1</v>
      </c>
      <c r="J2041" s="12" t="s">
        <v>114</v>
      </c>
      <c r="K2041" s="12" t="s">
        <v>75</v>
      </c>
      <c r="L2041" s="12">
        <v>0</v>
      </c>
      <c r="M2041" s="15">
        <v>380000</v>
      </c>
      <c r="N2041" s="15">
        <v>0</v>
      </c>
      <c r="O2041" s="15">
        <f t="shared" si="155"/>
        <v>380000</v>
      </c>
      <c r="P2041" s="15">
        <f t="shared" si="156"/>
        <v>31.41456478427288</v>
      </c>
      <c r="Q2041" s="14">
        <v>25000</v>
      </c>
      <c r="R2041" s="12">
        <v>48</v>
      </c>
      <c r="S2041" s="12" t="s">
        <v>2581</v>
      </c>
      <c r="T2041" s="22">
        <f t="shared" si="157"/>
        <v>5</v>
      </c>
      <c r="U2041" s="22">
        <f t="shared" si="158"/>
        <v>2021</v>
      </c>
      <c r="V2041" s="22" t="str">
        <f t="shared" si="159"/>
        <v>REGIONES</v>
      </c>
    </row>
    <row r="2042" spans="1:22" x14ac:dyDescent="0.2">
      <c r="A2042" s="11" t="s">
        <v>2571</v>
      </c>
      <c r="B2042" s="12" t="s">
        <v>33</v>
      </c>
      <c r="C2042" s="12" t="s">
        <v>44</v>
      </c>
      <c r="D2042" s="12" t="s">
        <v>45</v>
      </c>
      <c r="E2042" s="13">
        <v>78907355</v>
      </c>
      <c r="F2042" s="12" t="s">
        <v>46</v>
      </c>
      <c r="G2042" s="14">
        <v>5056.1000000000004</v>
      </c>
      <c r="H2042" s="12" t="s">
        <v>22</v>
      </c>
      <c r="I2042" s="12">
        <v>0</v>
      </c>
      <c r="J2042" s="12" t="s">
        <v>46</v>
      </c>
      <c r="K2042" s="12" t="s">
        <v>23</v>
      </c>
      <c r="L2042" s="12">
        <v>2</v>
      </c>
      <c r="M2042" s="15">
        <v>55617</v>
      </c>
      <c r="N2042" s="15">
        <v>0</v>
      </c>
      <c r="O2042" s="15">
        <f t="shared" si="155"/>
        <v>55617</v>
      </c>
      <c r="P2042" s="15">
        <f t="shared" si="156"/>
        <v>10.999980221910167</v>
      </c>
      <c r="Q2042" s="14">
        <v>5000</v>
      </c>
      <c r="R2042" s="12">
        <v>100</v>
      </c>
      <c r="S2042" s="12" t="s">
        <v>2582</v>
      </c>
      <c r="T2042" s="22">
        <f t="shared" si="157"/>
        <v>5</v>
      </c>
      <c r="U2042" s="22">
        <f t="shared" si="158"/>
        <v>2021</v>
      </c>
      <c r="V2042" s="22" t="str">
        <f t="shared" si="159"/>
        <v>METROPOLITANA</v>
      </c>
    </row>
    <row r="2043" spans="1:22" x14ac:dyDescent="0.2">
      <c r="A2043" s="11" t="s">
        <v>2571</v>
      </c>
      <c r="B2043" s="12" t="s">
        <v>33</v>
      </c>
      <c r="C2043" s="12" t="s">
        <v>44</v>
      </c>
      <c r="D2043" s="12" t="s">
        <v>47</v>
      </c>
      <c r="E2043" s="13">
        <v>154837728</v>
      </c>
      <c r="F2043" s="12" t="s">
        <v>48</v>
      </c>
      <c r="G2043" s="14">
        <v>3693.900000000001</v>
      </c>
      <c r="H2043" s="12" t="s">
        <v>22</v>
      </c>
      <c r="I2043" s="12">
        <v>0</v>
      </c>
      <c r="J2043" s="12" t="s">
        <v>48</v>
      </c>
      <c r="K2043" s="12" t="s">
        <v>23</v>
      </c>
      <c r="L2043" s="12">
        <v>1</v>
      </c>
      <c r="M2043" s="15">
        <v>55000</v>
      </c>
      <c r="N2043" s="15">
        <v>0</v>
      </c>
      <c r="O2043" s="15">
        <f t="shared" si="155"/>
        <v>55000</v>
      </c>
      <c r="P2043" s="15">
        <f t="shared" si="156"/>
        <v>14.889412274290041</v>
      </c>
      <c r="Q2043" s="14">
        <v>5000</v>
      </c>
      <c r="R2043" s="12">
        <v>74</v>
      </c>
      <c r="S2043" s="12" t="s">
        <v>2583</v>
      </c>
      <c r="T2043" s="22">
        <f t="shared" si="157"/>
        <v>5</v>
      </c>
      <c r="U2043" s="22">
        <f t="shared" si="158"/>
        <v>2021</v>
      </c>
      <c r="V2043" s="22" t="str">
        <f t="shared" si="159"/>
        <v>METROPOLITANA</v>
      </c>
    </row>
    <row r="2044" spans="1:22" x14ac:dyDescent="0.2">
      <c r="A2044" s="23" t="s">
        <v>2584</v>
      </c>
      <c r="B2044" s="22" t="s">
        <v>18</v>
      </c>
      <c r="C2044" s="22" t="s">
        <v>540</v>
      </c>
      <c r="D2044" s="22" t="s">
        <v>20</v>
      </c>
      <c r="E2044" s="24">
        <v>78907355</v>
      </c>
      <c r="F2044" s="22" t="s">
        <v>26</v>
      </c>
      <c r="G2044" s="25">
        <v>4800</v>
      </c>
      <c r="H2044" s="22" t="s">
        <v>22</v>
      </c>
      <c r="I2044" s="22">
        <v>0</v>
      </c>
      <c r="J2044" s="22" t="s">
        <v>26</v>
      </c>
      <c r="K2044" s="22" t="s">
        <v>23</v>
      </c>
      <c r="L2044" s="22">
        <v>4</v>
      </c>
      <c r="M2044" s="26">
        <v>55000</v>
      </c>
      <c r="N2044" s="26">
        <v>0</v>
      </c>
      <c r="O2044" s="15">
        <f t="shared" si="155"/>
        <v>55000</v>
      </c>
      <c r="P2044" s="15">
        <f t="shared" si="156"/>
        <v>11.458333333333334</v>
      </c>
      <c r="Q2044" s="25">
        <v>5000</v>
      </c>
      <c r="R2044" s="22">
        <v>96</v>
      </c>
      <c r="S2044" s="22" t="s">
        <v>2585</v>
      </c>
      <c r="T2044" s="22">
        <f t="shared" si="157"/>
        <v>5</v>
      </c>
      <c r="U2044" s="22">
        <f t="shared" si="158"/>
        <v>2021</v>
      </c>
      <c r="V2044" s="22" t="str">
        <f t="shared" si="159"/>
        <v>METROPOLITANA</v>
      </c>
    </row>
    <row r="2045" spans="1:22" x14ac:dyDescent="0.2">
      <c r="A2045" s="23" t="s">
        <v>2584</v>
      </c>
      <c r="B2045" s="22" t="s">
        <v>18</v>
      </c>
      <c r="C2045" s="22" t="s">
        <v>163</v>
      </c>
      <c r="D2045" s="22" t="s">
        <v>164</v>
      </c>
      <c r="E2045" s="24">
        <v>81417709</v>
      </c>
      <c r="F2045" s="22" t="s">
        <v>165</v>
      </c>
      <c r="G2045" s="25">
        <v>15642</v>
      </c>
      <c r="H2045" s="22" t="s">
        <v>22</v>
      </c>
      <c r="I2045" s="22">
        <v>1</v>
      </c>
      <c r="J2045" s="22" t="s">
        <v>165</v>
      </c>
      <c r="K2045" s="22" t="s">
        <v>23</v>
      </c>
      <c r="L2045" s="22">
        <v>4</v>
      </c>
      <c r="M2045" s="26">
        <v>172062</v>
      </c>
      <c r="N2045" s="26">
        <v>0</v>
      </c>
      <c r="O2045" s="15">
        <f t="shared" si="155"/>
        <v>172062</v>
      </c>
      <c r="P2045" s="15">
        <f t="shared" si="156"/>
        <v>11</v>
      </c>
      <c r="Q2045" s="25">
        <v>5000</v>
      </c>
      <c r="R2045" s="22">
        <v>100</v>
      </c>
      <c r="S2045" s="22" t="s">
        <v>2586</v>
      </c>
      <c r="T2045" s="22">
        <f t="shared" si="157"/>
        <v>5</v>
      </c>
      <c r="U2045" s="22">
        <f t="shared" si="158"/>
        <v>2021</v>
      </c>
      <c r="V2045" s="22" t="str">
        <f t="shared" si="159"/>
        <v>METROPOLITANA</v>
      </c>
    </row>
    <row r="2046" spans="1:22" x14ac:dyDescent="0.2">
      <c r="A2046" s="23" t="s">
        <v>2584</v>
      </c>
      <c r="B2046" s="22" t="s">
        <v>33</v>
      </c>
      <c r="C2046" s="22" t="s">
        <v>223</v>
      </c>
      <c r="D2046" s="22" t="s">
        <v>30</v>
      </c>
      <c r="E2046" s="24">
        <v>72564391</v>
      </c>
      <c r="F2046" s="22" t="s">
        <v>39</v>
      </c>
      <c r="G2046" s="25">
        <v>7503.9999999999982</v>
      </c>
      <c r="H2046" s="22" t="s">
        <v>32</v>
      </c>
      <c r="I2046" s="22">
        <v>0</v>
      </c>
      <c r="J2046" s="22" t="s">
        <v>39</v>
      </c>
      <c r="K2046" s="22" t="s">
        <v>23</v>
      </c>
      <c r="L2046" s="22">
        <v>1</v>
      </c>
      <c r="M2046" s="26">
        <v>82544</v>
      </c>
      <c r="N2046" s="26">
        <v>0</v>
      </c>
      <c r="O2046" s="15">
        <f t="shared" si="155"/>
        <v>82544</v>
      </c>
      <c r="P2046" s="15">
        <f t="shared" si="156"/>
        <v>11.000000000000004</v>
      </c>
      <c r="Q2046" s="25">
        <v>5000</v>
      </c>
      <c r="R2046" s="22">
        <v>100</v>
      </c>
      <c r="S2046" s="22" t="s">
        <v>2587</v>
      </c>
      <c r="T2046" s="22">
        <f t="shared" si="157"/>
        <v>5</v>
      </c>
      <c r="U2046" s="22">
        <f t="shared" si="158"/>
        <v>2021</v>
      </c>
      <c r="V2046" s="22" t="str">
        <f t="shared" si="159"/>
        <v>METROPOLITANA</v>
      </c>
    </row>
    <row r="2047" spans="1:22" x14ac:dyDescent="0.2">
      <c r="A2047" s="23" t="s">
        <v>2584</v>
      </c>
      <c r="B2047" s="22" t="s">
        <v>33</v>
      </c>
      <c r="C2047" s="22" t="s">
        <v>44</v>
      </c>
      <c r="D2047" s="22" t="s">
        <v>45</v>
      </c>
      <c r="E2047" s="24">
        <v>81417709</v>
      </c>
      <c r="F2047" s="22" t="s">
        <v>95</v>
      </c>
      <c r="G2047" s="25">
        <f>4702+344</f>
        <v>5046</v>
      </c>
      <c r="H2047" s="22" t="s">
        <v>24</v>
      </c>
      <c r="I2047" s="22">
        <v>1</v>
      </c>
      <c r="J2047" s="22" t="s">
        <v>95</v>
      </c>
      <c r="K2047" s="22" t="s">
        <v>23</v>
      </c>
      <c r="L2047" s="22">
        <v>4</v>
      </c>
      <c r="M2047" s="26">
        <f>+G2047*11</f>
        <v>55506</v>
      </c>
      <c r="N2047" s="26">
        <v>0</v>
      </c>
      <c r="O2047" s="15">
        <f t="shared" si="155"/>
        <v>55506</v>
      </c>
      <c r="P2047" s="15">
        <f t="shared" si="156"/>
        <v>11</v>
      </c>
      <c r="Q2047" s="25">
        <v>5000</v>
      </c>
      <c r="R2047" s="22">
        <v>94</v>
      </c>
      <c r="S2047" s="22" t="s">
        <v>2588</v>
      </c>
      <c r="T2047" s="22">
        <f t="shared" si="157"/>
        <v>5</v>
      </c>
      <c r="U2047" s="22">
        <f t="shared" si="158"/>
        <v>2021</v>
      </c>
      <c r="V2047" s="22" t="str">
        <f t="shared" si="159"/>
        <v>METROPOLITANA</v>
      </c>
    </row>
    <row r="2048" spans="1:22" x14ac:dyDescent="0.2">
      <c r="A2048" s="23" t="s">
        <v>2584</v>
      </c>
      <c r="B2048" s="22" t="s">
        <v>33</v>
      </c>
      <c r="C2048" s="22" t="s">
        <v>44</v>
      </c>
      <c r="D2048" s="22" t="s">
        <v>56</v>
      </c>
      <c r="E2048" s="24">
        <v>78907355</v>
      </c>
      <c r="F2048" s="22" t="s">
        <v>137</v>
      </c>
      <c r="G2048" s="25">
        <v>4913.3999999999996</v>
      </c>
      <c r="H2048" s="22" t="s">
        <v>22</v>
      </c>
      <c r="I2048" s="22">
        <v>0</v>
      </c>
      <c r="J2048" s="22" t="s">
        <v>137</v>
      </c>
      <c r="K2048" s="22" t="s">
        <v>23</v>
      </c>
      <c r="L2048" s="22">
        <v>1</v>
      </c>
      <c r="M2048" s="26">
        <v>55000</v>
      </c>
      <c r="N2048" s="26">
        <v>0</v>
      </c>
      <c r="O2048" s="15">
        <f t="shared" si="155"/>
        <v>55000</v>
      </c>
      <c r="P2048" s="15">
        <f t="shared" si="156"/>
        <v>11.193877966377661</v>
      </c>
      <c r="Q2048" s="25">
        <v>5000</v>
      </c>
      <c r="R2048" s="22">
        <v>98</v>
      </c>
      <c r="S2048" s="22" t="s">
        <v>2589</v>
      </c>
      <c r="T2048" s="22">
        <f t="shared" si="157"/>
        <v>5</v>
      </c>
      <c r="U2048" s="22">
        <f t="shared" si="158"/>
        <v>2021</v>
      </c>
      <c r="V2048" s="22" t="str">
        <f t="shared" si="159"/>
        <v>METROPOLITANA</v>
      </c>
    </row>
    <row r="2049" spans="1:22" x14ac:dyDescent="0.2">
      <c r="A2049" s="23" t="s">
        <v>2584</v>
      </c>
      <c r="B2049" s="22" t="s">
        <v>33</v>
      </c>
      <c r="C2049" s="22" t="s">
        <v>44</v>
      </c>
      <c r="D2049" s="22" t="s">
        <v>38</v>
      </c>
      <c r="E2049" s="24">
        <v>53173292</v>
      </c>
      <c r="F2049" s="22" t="s">
        <v>229</v>
      </c>
      <c r="G2049" s="25">
        <v>7503.9999999999982</v>
      </c>
      <c r="H2049" s="22" t="s">
        <v>43</v>
      </c>
      <c r="I2049" s="22">
        <v>0</v>
      </c>
      <c r="J2049" s="22" t="s">
        <v>230</v>
      </c>
      <c r="K2049" s="22" t="s">
        <v>23</v>
      </c>
      <c r="L2049" s="22">
        <v>4</v>
      </c>
      <c r="M2049" s="26">
        <v>82544</v>
      </c>
      <c r="N2049" s="26">
        <v>0</v>
      </c>
      <c r="O2049" s="15">
        <f t="shared" si="155"/>
        <v>82544</v>
      </c>
      <c r="P2049" s="15">
        <f t="shared" si="156"/>
        <v>11.000000000000004</v>
      </c>
      <c r="Q2049" s="25">
        <v>5000</v>
      </c>
      <c r="R2049" s="22">
        <v>100</v>
      </c>
      <c r="S2049" s="22" t="s">
        <v>2590</v>
      </c>
      <c r="T2049" s="22">
        <f t="shared" si="157"/>
        <v>5</v>
      </c>
      <c r="U2049" s="22">
        <f t="shared" si="158"/>
        <v>2021</v>
      </c>
      <c r="V2049" s="22" t="str">
        <f t="shared" si="159"/>
        <v>METROPOLITANA</v>
      </c>
    </row>
    <row r="2050" spans="1:22" x14ac:dyDescent="0.2">
      <c r="A2050" s="23" t="s">
        <v>2584</v>
      </c>
      <c r="B2050" s="22" t="s">
        <v>33</v>
      </c>
      <c r="C2050" s="22" t="s">
        <v>44</v>
      </c>
      <c r="D2050" s="22" t="s">
        <v>188</v>
      </c>
      <c r="E2050" s="24">
        <v>35488103</v>
      </c>
      <c r="F2050" s="22" t="s">
        <v>34</v>
      </c>
      <c r="G2050" s="25">
        <v>3951.6</v>
      </c>
      <c r="H2050" s="22" t="s">
        <v>190</v>
      </c>
      <c r="I2050" s="22">
        <v>0</v>
      </c>
      <c r="J2050" s="22" t="s">
        <v>34</v>
      </c>
      <c r="K2050" s="22" t="s">
        <v>23</v>
      </c>
      <c r="L2050" s="22">
        <v>1</v>
      </c>
      <c r="M2050" s="26">
        <v>55000</v>
      </c>
      <c r="N2050" s="26">
        <v>0</v>
      </c>
      <c r="O2050" s="15">
        <f t="shared" ref="O2050:O2113" si="160">SUM(M2050:N2050)</f>
        <v>55000</v>
      </c>
      <c r="P2050" s="15">
        <f t="shared" ref="P2050:P2113" si="161">O2050/G2050</f>
        <v>13.918412794817289</v>
      </c>
      <c r="Q2050" s="25">
        <v>5000</v>
      </c>
      <c r="R2050" s="22">
        <v>79</v>
      </c>
      <c r="S2050" s="22" t="s">
        <v>2591</v>
      </c>
      <c r="T2050" s="22">
        <f t="shared" ref="T2050:T2113" si="162">MONTH(A2050)</f>
        <v>5</v>
      </c>
      <c r="U2050" s="22">
        <f t="shared" ref="U2050:U2113" si="163">YEAR(A2050)</f>
        <v>2021</v>
      </c>
      <c r="V2050" s="22" t="str">
        <f t="shared" ref="V2050:V2113" si="164">IF(K2050="METROPOLITANA DE SANTIAGO","METROPOLITANA","REGIONES")</f>
        <v>METROPOLITANA</v>
      </c>
    </row>
    <row r="2051" spans="1:22" x14ac:dyDescent="0.2">
      <c r="A2051" s="23" t="s">
        <v>2584</v>
      </c>
      <c r="B2051" s="22" t="s">
        <v>33</v>
      </c>
      <c r="C2051" s="22" t="s">
        <v>44</v>
      </c>
      <c r="D2051" s="22" t="s">
        <v>63</v>
      </c>
      <c r="E2051" s="24">
        <v>138841065</v>
      </c>
      <c r="F2051" s="22" t="s">
        <v>26</v>
      </c>
      <c r="G2051" s="25">
        <v>6202.7999999999993</v>
      </c>
      <c r="H2051" s="22" t="s">
        <v>65</v>
      </c>
      <c r="I2051" s="22">
        <v>0</v>
      </c>
      <c r="J2051" s="22" t="s">
        <v>26</v>
      </c>
      <c r="K2051" s="22" t="s">
        <v>23</v>
      </c>
      <c r="L2051" s="22">
        <v>4</v>
      </c>
      <c r="M2051" s="26">
        <v>68231</v>
      </c>
      <c r="N2051" s="26">
        <v>0</v>
      </c>
      <c r="O2051" s="15">
        <f t="shared" si="160"/>
        <v>68231</v>
      </c>
      <c r="P2051" s="15">
        <f t="shared" si="161"/>
        <v>11.000032243502936</v>
      </c>
      <c r="Q2051" s="25">
        <v>5000</v>
      </c>
      <c r="R2051" s="22">
        <v>100</v>
      </c>
      <c r="S2051" s="22" t="s">
        <v>2592</v>
      </c>
      <c r="T2051" s="22">
        <f t="shared" si="162"/>
        <v>5</v>
      </c>
      <c r="U2051" s="22">
        <f t="shared" si="163"/>
        <v>2021</v>
      </c>
      <c r="V2051" s="22" t="str">
        <f t="shared" si="164"/>
        <v>METROPOLITANA</v>
      </c>
    </row>
    <row r="2052" spans="1:22" x14ac:dyDescent="0.2">
      <c r="A2052" s="23" t="s">
        <v>2584</v>
      </c>
      <c r="B2052" s="22" t="s">
        <v>33</v>
      </c>
      <c r="C2052" s="22" t="s">
        <v>44</v>
      </c>
      <c r="D2052" s="22" t="s">
        <v>47</v>
      </c>
      <c r="E2052" s="24">
        <v>154837728</v>
      </c>
      <c r="F2052" s="22" t="s">
        <v>94</v>
      </c>
      <c r="G2052" s="25">
        <v>7990.1999999999989</v>
      </c>
      <c r="H2052" s="22" t="s">
        <v>22</v>
      </c>
      <c r="I2052" s="22">
        <v>0</v>
      </c>
      <c r="J2052" s="22" t="s">
        <v>59</v>
      </c>
      <c r="K2052" s="22" t="s">
        <v>78</v>
      </c>
      <c r="L2052" s="22">
        <v>0</v>
      </c>
      <c r="M2052" s="26">
        <v>180000</v>
      </c>
      <c r="N2052" s="26">
        <v>0</v>
      </c>
      <c r="O2052" s="15">
        <f t="shared" si="160"/>
        <v>180000</v>
      </c>
      <c r="P2052" s="15">
        <f t="shared" si="161"/>
        <v>22.527596305474209</v>
      </c>
      <c r="Q2052" s="25">
        <v>25000</v>
      </c>
      <c r="R2052" s="22">
        <v>32</v>
      </c>
      <c r="S2052" s="22" t="s">
        <v>2593</v>
      </c>
      <c r="T2052" s="22">
        <f t="shared" si="162"/>
        <v>5</v>
      </c>
      <c r="U2052" s="22">
        <f t="shared" si="163"/>
        <v>2021</v>
      </c>
      <c r="V2052" s="22" t="str">
        <f t="shared" si="164"/>
        <v>REGIONES</v>
      </c>
    </row>
    <row r="2053" spans="1:22" x14ac:dyDescent="0.2">
      <c r="A2053" s="23" t="s">
        <v>2584</v>
      </c>
      <c r="B2053" s="22" t="s">
        <v>33</v>
      </c>
      <c r="C2053" s="22" t="s">
        <v>44</v>
      </c>
      <c r="D2053" s="22" t="s">
        <v>35</v>
      </c>
      <c r="E2053" s="24">
        <v>99626232</v>
      </c>
      <c r="F2053" s="22" t="s">
        <v>67</v>
      </c>
      <c r="G2053" s="25">
        <v>3476</v>
      </c>
      <c r="H2053" s="22" t="s">
        <v>22</v>
      </c>
      <c r="I2053" s="22">
        <v>0</v>
      </c>
      <c r="J2053" s="22" t="s">
        <v>67</v>
      </c>
      <c r="K2053" s="22" t="s">
        <v>23</v>
      </c>
      <c r="L2053" s="22">
        <v>2</v>
      </c>
      <c r="M2053" s="26">
        <v>55000</v>
      </c>
      <c r="N2053" s="26">
        <v>0</v>
      </c>
      <c r="O2053" s="15">
        <f t="shared" si="160"/>
        <v>55000</v>
      </c>
      <c r="P2053" s="15">
        <f t="shared" si="161"/>
        <v>15.822784810126583</v>
      </c>
      <c r="Q2053" s="25">
        <v>5000</v>
      </c>
      <c r="R2053" s="22">
        <v>70</v>
      </c>
      <c r="S2053" s="22" t="s">
        <v>2594</v>
      </c>
      <c r="T2053" s="22">
        <f t="shared" si="162"/>
        <v>5</v>
      </c>
      <c r="U2053" s="22">
        <f t="shared" si="163"/>
        <v>2021</v>
      </c>
      <c r="V2053" s="22" t="str">
        <f t="shared" si="164"/>
        <v>METROPOLITANA</v>
      </c>
    </row>
    <row r="2054" spans="1:22" x14ac:dyDescent="0.2">
      <c r="A2054" s="23" t="s">
        <v>2584</v>
      </c>
      <c r="B2054" s="22" t="s">
        <v>33</v>
      </c>
      <c r="C2054" s="22" t="s">
        <v>44</v>
      </c>
      <c r="D2054" s="22" t="s">
        <v>41</v>
      </c>
      <c r="E2054" s="24">
        <v>125108660</v>
      </c>
      <c r="F2054" s="22" t="s">
        <v>53</v>
      </c>
      <c r="G2054" s="25">
        <v>5876.3999999999987</v>
      </c>
      <c r="H2054" s="22" t="s">
        <v>43</v>
      </c>
      <c r="I2054" s="22">
        <v>0</v>
      </c>
      <c r="J2054" s="22" t="s">
        <v>53</v>
      </c>
      <c r="K2054" s="22" t="s">
        <v>23</v>
      </c>
      <c r="L2054" s="22">
        <v>3</v>
      </c>
      <c r="M2054" s="26">
        <v>64640</v>
      </c>
      <c r="N2054" s="26">
        <v>0</v>
      </c>
      <c r="O2054" s="15">
        <f t="shared" si="160"/>
        <v>64640</v>
      </c>
      <c r="P2054" s="15">
        <f t="shared" si="161"/>
        <v>10.99993193111429</v>
      </c>
      <c r="Q2054" s="25">
        <v>5000</v>
      </c>
      <c r="R2054" s="22">
        <v>100</v>
      </c>
      <c r="S2054" s="22" t="s">
        <v>2595</v>
      </c>
      <c r="T2054" s="22">
        <f t="shared" si="162"/>
        <v>5</v>
      </c>
      <c r="U2054" s="22">
        <f t="shared" si="163"/>
        <v>2021</v>
      </c>
      <c r="V2054" s="22" t="str">
        <f t="shared" si="164"/>
        <v>METROPOLITANA</v>
      </c>
    </row>
    <row r="2055" spans="1:22" x14ac:dyDescent="0.2">
      <c r="A2055" s="23" t="s">
        <v>2584</v>
      </c>
      <c r="B2055" s="22" t="s">
        <v>33</v>
      </c>
      <c r="C2055" s="22" t="s">
        <v>44</v>
      </c>
      <c r="D2055" s="22" t="s">
        <v>20</v>
      </c>
      <c r="E2055" s="24">
        <v>78907355</v>
      </c>
      <c r="F2055" s="22" t="s">
        <v>48</v>
      </c>
      <c r="G2055" s="25">
        <v>5131.3000000000011</v>
      </c>
      <c r="H2055" s="22" t="s">
        <v>22</v>
      </c>
      <c r="I2055" s="22">
        <v>0</v>
      </c>
      <c r="J2055" s="22" t="s">
        <v>48</v>
      </c>
      <c r="K2055" s="22" t="s">
        <v>23</v>
      </c>
      <c r="L2055" s="22">
        <v>1</v>
      </c>
      <c r="M2055" s="26">
        <v>56444</v>
      </c>
      <c r="N2055" s="26">
        <v>0</v>
      </c>
      <c r="O2055" s="15">
        <f t="shared" si="160"/>
        <v>56444</v>
      </c>
      <c r="P2055" s="15">
        <f t="shared" si="161"/>
        <v>10.999941535283455</v>
      </c>
      <c r="Q2055" s="25">
        <v>5000</v>
      </c>
      <c r="R2055" s="22">
        <v>100</v>
      </c>
      <c r="S2055" s="22" t="s">
        <v>2596</v>
      </c>
      <c r="T2055" s="22">
        <f t="shared" si="162"/>
        <v>5</v>
      </c>
      <c r="U2055" s="22">
        <f t="shared" si="163"/>
        <v>2021</v>
      </c>
      <c r="V2055" s="22" t="str">
        <f t="shared" si="164"/>
        <v>METROPOLITANA</v>
      </c>
    </row>
    <row r="2056" spans="1:22" x14ac:dyDescent="0.2">
      <c r="A2056" s="11" t="s">
        <v>2597</v>
      </c>
      <c r="B2056" s="12" t="s">
        <v>18</v>
      </c>
      <c r="C2056" s="12" t="s">
        <v>57</v>
      </c>
      <c r="D2056" s="12" t="s">
        <v>63</v>
      </c>
      <c r="E2056" s="13">
        <v>138841065</v>
      </c>
      <c r="F2056" s="12" t="s">
        <v>120</v>
      </c>
      <c r="G2056" s="14">
        <v>4639.34</v>
      </c>
      <c r="H2056" s="12" t="s">
        <v>65</v>
      </c>
      <c r="I2056" s="12">
        <v>0</v>
      </c>
      <c r="J2056" s="12" t="s">
        <v>120</v>
      </c>
      <c r="K2056" s="12" t="s">
        <v>23</v>
      </c>
      <c r="L2056" s="12">
        <v>5</v>
      </c>
      <c r="M2056" s="15">
        <v>70000</v>
      </c>
      <c r="N2056" s="15">
        <v>0</v>
      </c>
      <c r="O2056" s="15">
        <f t="shared" si="160"/>
        <v>70000</v>
      </c>
      <c r="P2056" s="15">
        <f t="shared" si="161"/>
        <v>15.088353084706014</v>
      </c>
      <c r="Q2056" s="14">
        <v>10000</v>
      </c>
      <c r="R2056" s="12">
        <v>46</v>
      </c>
      <c r="S2056" s="12" t="s">
        <v>2598</v>
      </c>
      <c r="T2056" s="22">
        <f t="shared" si="162"/>
        <v>5</v>
      </c>
      <c r="U2056" s="22">
        <f t="shared" si="163"/>
        <v>2021</v>
      </c>
      <c r="V2056" s="22" t="str">
        <f t="shared" si="164"/>
        <v>METROPOLITANA</v>
      </c>
    </row>
    <row r="2057" spans="1:22" x14ac:dyDescent="0.2">
      <c r="A2057" s="11" t="s">
        <v>2597</v>
      </c>
      <c r="B2057" s="12" t="s">
        <v>33</v>
      </c>
      <c r="C2057" s="12" t="s">
        <v>128</v>
      </c>
      <c r="D2057" s="12" t="s">
        <v>38</v>
      </c>
      <c r="E2057" s="13">
        <v>53173292</v>
      </c>
      <c r="F2057" s="12" t="s">
        <v>34</v>
      </c>
      <c r="G2057" s="14">
        <v>8603.1999999999989</v>
      </c>
      <c r="H2057" s="12" t="s">
        <v>43</v>
      </c>
      <c r="I2057" s="12">
        <v>0</v>
      </c>
      <c r="J2057" s="12" t="s">
        <v>34</v>
      </c>
      <c r="K2057" s="12" t="s">
        <v>23</v>
      </c>
      <c r="L2057" s="12">
        <v>1</v>
      </c>
      <c r="M2057" s="15">
        <v>94635</v>
      </c>
      <c r="N2057" s="15">
        <v>0</v>
      </c>
      <c r="O2057" s="15">
        <f t="shared" si="160"/>
        <v>94635</v>
      </c>
      <c r="P2057" s="15">
        <f t="shared" si="161"/>
        <v>10.999976752836155</v>
      </c>
      <c r="Q2057" s="14">
        <v>5000</v>
      </c>
      <c r="R2057" s="12">
        <v>100</v>
      </c>
      <c r="S2057" s="12" t="s">
        <v>2599</v>
      </c>
      <c r="T2057" s="22">
        <f t="shared" si="162"/>
        <v>5</v>
      </c>
      <c r="U2057" s="22">
        <f t="shared" si="163"/>
        <v>2021</v>
      </c>
      <c r="V2057" s="22" t="str">
        <f t="shared" si="164"/>
        <v>METROPOLITANA</v>
      </c>
    </row>
    <row r="2058" spans="1:22" x14ac:dyDescent="0.2">
      <c r="A2058" s="11" t="s">
        <v>2597</v>
      </c>
      <c r="B2058" s="12" t="s">
        <v>33</v>
      </c>
      <c r="C2058" s="12" t="s">
        <v>128</v>
      </c>
      <c r="D2058" s="12" t="s">
        <v>30</v>
      </c>
      <c r="E2058" s="13">
        <v>72564391</v>
      </c>
      <c r="F2058" s="12" t="s">
        <v>34</v>
      </c>
      <c r="G2058" s="14">
        <v>8603.1999999999989</v>
      </c>
      <c r="H2058" s="12" t="s">
        <v>32</v>
      </c>
      <c r="I2058" s="12">
        <v>0</v>
      </c>
      <c r="J2058" s="12" t="s">
        <v>34</v>
      </c>
      <c r="K2058" s="12" t="s">
        <v>23</v>
      </c>
      <c r="L2058" s="12">
        <v>1</v>
      </c>
      <c r="M2058" s="15">
        <v>94635</v>
      </c>
      <c r="N2058" s="15">
        <v>0</v>
      </c>
      <c r="O2058" s="15">
        <f t="shared" si="160"/>
        <v>94635</v>
      </c>
      <c r="P2058" s="15">
        <f t="shared" si="161"/>
        <v>10.999976752836155</v>
      </c>
      <c r="Q2058" s="14">
        <v>5000</v>
      </c>
      <c r="R2058" s="12">
        <v>100</v>
      </c>
      <c r="S2058" s="12" t="s">
        <v>2600</v>
      </c>
      <c r="T2058" s="22">
        <f t="shared" si="162"/>
        <v>5</v>
      </c>
      <c r="U2058" s="22">
        <f t="shared" si="163"/>
        <v>2021</v>
      </c>
      <c r="V2058" s="22" t="str">
        <f t="shared" si="164"/>
        <v>METROPOLITANA</v>
      </c>
    </row>
    <row r="2059" spans="1:22" x14ac:dyDescent="0.2">
      <c r="A2059" s="11" t="s">
        <v>2597</v>
      </c>
      <c r="B2059" s="12" t="s">
        <v>33</v>
      </c>
      <c r="C2059" s="12" t="s">
        <v>128</v>
      </c>
      <c r="D2059" s="12" t="s">
        <v>47</v>
      </c>
      <c r="E2059" s="13">
        <v>154837728</v>
      </c>
      <c r="F2059" s="12" t="s">
        <v>34</v>
      </c>
      <c r="G2059" s="14">
        <v>7303.1999999999989</v>
      </c>
      <c r="H2059" s="12" t="s">
        <v>22</v>
      </c>
      <c r="I2059" s="12">
        <v>0</v>
      </c>
      <c r="J2059" s="12" t="s">
        <v>34</v>
      </c>
      <c r="K2059" s="12" t="s">
        <v>23</v>
      </c>
      <c r="L2059" s="12">
        <v>1</v>
      </c>
      <c r="M2059" s="15">
        <v>80335</v>
      </c>
      <c r="N2059" s="15">
        <v>0</v>
      </c>
      <c r="O2059" s="15">
        <f t="shared" si="160"/>
        <v>80335</v>
      </c>
      <c r="P2059" s="15">
        <f t="shared" si="161"/>
        <v>10.999972614744223</v>
      </c>
      <c r="Q2059" s="14">
        <v>5000</v>
      </c>
      <c r="R2059" s="12">
        <v>100</v>
      </c>
      <c r="S2059" s="12" t="s">
        <v>2601</v>
      </c>
      <c r="T2059" s="22">
        <f t="shared" si="162"/>
        <v>5</v>
      </c>
      <c r="U2059" s="22">
        <f t="shared" si="163"/>
        <v>2021</v>
      </c>
      <c r="V2059" s="22" t="str">
        <f t="shared" si="164"/>
        <v>METROPOLITANA</v>
      </c>
    </row>
    <row r="2060" spans="1:22" x14ac:dyDescent="0.2">
      <c r="A2060" s="11" t="s">
        <v>2597</v>
      </c>
      <c r="B2060" s="12" t="s">
        <v>33</v>
      </c>
      <c r="C2060" s="12" t="s">
        <v>128</v>
      </c>
      <c r="D2060" s="12" t="s">
        <v>41</v>
      </c>
      <c r="E2060" s="13">
        <v>125108660</v>
      </c>
      <c r="F2060" s="12" t="s">
        <v>34</v>
      </c>
      <c r="G2060" s="14">
        <v>8482.0999999999985</v>
      </c>
      <c r="H2060" s="12" t="s">
        <v>43</v>
      </c>
      <c r="I2060" s="12">
        <v>0</v>
      </c>
      <c r="J2060" s="12" t="s">
        <v>34</v>
      </c>
      <c r="K2060" s="12" t="s">
        <v>23</v>
      </c>
      <c r="L2060" s="12">
        <v>1</v>
      </c>
      <c r="M2060" s="15">
        <v>93303</v>
      </c>
      <c r="N2060" s="15">
        <v>0</v>
      </c>
      <c r="O2060" s="15">
        <f t="shared" si="160"/>
        <v>93303</v>
      </c>
      <c r="P2060" s="15">
        <f t="shared" si="161"/>
        <v>10.99998821046675</v>
      </c>
      <c r="Q2060" s="14">
        <v>5000</v>
      </c>
      <c r="R2060" s="12">
        <v>100</v>
      </c>
      <c r="S2060" s="12" t="s">
        <v>2602</v>
      </c>
      <c r="T2060" s="22">
        <f t="shared" si="162"/>
        <v>5</v>
      </c>
      <c r="U2060" s="22">
        <f t="shared" si="163"/>
        <v>2021</v>
      </c>
      <c r="V2060" s="22" t="str">
        <f t="shared" si="164"/>
        <v>METROPOLITANA</v>
      </c>
    </row>
    <row r="2061" spans="1:22" x14ac:dyDescent="0.2">
      <c r="A2061" s="11" t="s">
        <v>2597</v>
      </c>
      <c r="B2061" s="12" t="s">
        <v>33</v>
      </c>
      <c r="C2061" s="12" t="s">
        <v>128</v>
      </c>
      <c r="D2061" s="12" t="s">
        <v>164</v>
      </c>
      <c r="E2061" s="13">
        <v>81417709</v>
      </c>
      <c r="F2061" s="12" t="s">
        <v>129</v>
      </c>
      <c r="G2061" s="14">
        <v>16564.80000000001</v>
      </c>
      <c r="H2061" s="12" t="s">
        <v>22</v>
      </c>
      <c r="I2061" s="12">
        <v>1</v>
      </c>
      <c r="J2061" s="12" t="s">
        <v>129</v>
      </c>
      <c r="K2061" s="12" t="s">
        <v>23</v>
      </c>
      <c r="L2061" s="12">
        <v>1</v>
      </c>
      <c r="M2061" s="15">
        <v>182213</v>
      </c>
      <c r="N2061" s="15">
        <v>0</v>
      </c>
      <c r="O2061" s="15">
        <f t="shared" si="160"/>
        <v>182213</v>
      </c>
      <c r="P2061" s="15">
        <f t="shared" si="161"/>
        <v>11.000012073795029</v>
      </c>
      <c r="Q2061" s="14">
        <v>5000</v>
      </c>
      <c r="R2061" s="12">
        <v>100</v>
      </c>
      <c r="S2061" s="12" t="s">
        <v>2603</v>
      </c>
      <c r="T2061" s="22">
        <f t="shared" si="162"/>
        <v>5</v>
      </c>
      <c r="U2061" s="22">
        <f t="shared" si="163"/>
        <v>2021</v>
      </c>
      <c r="V2061" s="22" t="str">
        <f t="shared" si="164"/>
        <v>METROPOLITANA</v>
      </c>
    </row>
    <row r="2062" spans="1:22" x14ac:dyDescent="0.2">
      <c r="A2062" s="11" t="s">
        <v>2597</v>
      </c>
      <c r="B2062" s="12" t="s">
        <v>33</v>
      </c>
      <c r="C2062" s="12" t="s">
        <v>128</v>
      </c>
      <c r="D2062" s="12" t="s">
        <v>20</v>
      </c>
      <c r="E2062" s="13">
        <v>78907355</v>
      </c>
      <c r="F2062" s="12" t="s">
        <v>34</v>
      </c>
      <c r="G2062" s="14">
        <f>7578+750</f>
        <v>8328</v>
      </c>
      <c r="H2062" s="12" t="s">
        <v>22</v>
      </c>
      <c r="I2062" s="12">
        <v>0</v>
      </c>
      <c r="J2062" s="12" t="s">
        <v>34</v>
      </c>
      <c r="K2062" s="12" t="s">
        <v>23</v>
      </c>
      <c r="L2062" s="12">
        <v>1</v>
      </c>
      <c r="M2062" s="15">
        <f>+G2062*11</f>
        <v>91608</v>
      </c>
      <c r="N2062" s="15">
        <v>0</v>
      </c>
      <c r="O2062" s="15">
        <f t="shared" si="160"/>
        <v>91608</v>
      </c>
      <c r="P2062" s="15">
        <f t="shared" si="161"/>
        <v>11</v>
      </c>
      <c r="Q2062" s="14">
        <v>5000</v>
      </c>
      <c r="R2062" s="12">
        <v>100</v>
      </c>
      <c r="S2062" s="12" t="s">
        <v>2604</v>
      </c>
      <c r="T2062" s="22">
        <f t="shared" si="162"/>
        <v>5</v>
      </c>
      <c r="U2062" s="22">
        <f t="shared" si="163"/>
        <v>2021</v>
      </c>
      <c r="V2062" s="22" t="str">
        <f t="shared" si="164"/>
        <v>METROPOLITANA</v>
      </c>
    </row>
    <row r="2063" spans="1:22" x14ac:dyDescent="0.2">
      <c r="A2063" s="11" t="s">
        <v>2597</v>
      </c>
      <c r="B2063" s="12" t="s">
        <v>33</v>
      </c>
      <c r="C2063" s="12" t="s">
        <v>2605</v>
      </c>
      <c r="D2063" s="12" t="s">
        <v>164</v>
      </c>
      <c r="E2063" s="13">
        <v>81417709</v>
      </c>
      <c r="F2063" s="12" t="s">
        <v>129</v>
      </c>
      <c r="G2063" s="14">
        <v>16723.350000000009</v>
      </c>
      <c r="H2063" s="12" t="s">
        <v>22</v>
      </c>
      <c r="I2063" s="12">
        <v>1</v>
      </c>
      <c r="J2063" s="12" t="s">
        <v>129</v>
      </c>
      <c r="K2063" s="12" t="s">
        <v>23</v>
      </c>
      <c r="L2063" s="12">
        <v>1</v>
      </c>
      <c r="M2063" s="15">
        <v>183957</v>
      </c>
      <c r="N2063" s="15">
        <v>0</v>
      </c>
      <c r="O2063" s="15">
        <f t="shared" si="160"/>
        <v>183957</v>
      </c>
      <c r="P2063" s="15">
        <f t="shared" si="161"/>
        <v>11.000008969494742</v>
      </c>
      <c r="Q2063" s="14">
        <v>5000</v>
      </c>
      <c r="R2063" s="12">
        <v>100</v>
      </c>
      <c r="S2063" s="12" t="s">
        <v>2606</v>
      </c>
      <c r="T2063" s="22">
        <f t="shared" si="162"/>
        <v>5</v>
      </c>
      <c r="U2063" s="22">
        <f t="shared" si="163"/>
        <v>2021</v>
      </c>
      <c r="V2063" s="22" t="str">
        <f t="shared" si="164"/>
        <v>METROPOLITANA</v>
      </c>
    </row>
    <row r="2064" spans="1:22" x14ac:dyDescent="0.2">
      <c r="A2064" s="11" t="s">
        <v>2597</v>
      </c>
      <c r="B2064" s="12" t="s">
        <v>33</v>
      </c>
      <c r="C2064" s="12" t="s">
        <v>29</v>
      </c>
      <c r="D2064" s="12" t="s">
        <v>38</v>
      </c>
      <c r="E2064" s="13">
        <v>53173292</v>
      </c>
      <c r="F2064" s="12" t="s">
        <v>173</v>
      </c>
      <c r="G2064" s="14">
        <v>9004.7999999999975</v>
      </c>
      <c r="H2064" s="12" t="s">
        <v>43</v>
      </c>
      <c r="I2064" s="12">
        <v>0</v>
      </c>
      <c r="J2064" s="12" t="s">
        <v>173</v>
      </c>
      <c r="K2064" s="12" t="s">
        <v>23</v>
      </c>
      <c r="L2064" s="12">
        <v>5</v>
      </c>
      <c r="M2064" s="15">
        <f>+G2064*11</f>
        <v>99052.799999999974</v>
      </c>
      <c r="N2064" s="15">
        <v>0</v>
      </c>
      <c r="O2064" s="15">
        <f t="shared" si="160"/>
        <v>99052.799999999974</v>
      </c>
      <c r="P2064" s="15">
        <f t="shared" si="161"/>
        <v>11</v>
      </c>
      <c r="Q2064" s="14">
        <v>10000</v>
      </c>
      <c r="R2064" s="12">
        <v>90</v>
      </c>
      <c r="S2064" s="12" t="s">
        <v>2607</v>
      </c>
      <c r="T2064" s="22">
        <f t="shared" si="162"/>
        <v>5</v>
      </c>
      <c r="U2064" s="22">
        <f t="shared" si="163"/>
        <v>2021</v>
      </c>
      <c r="V2064" s="22" t="str">
        <f t="shared" si="164"/>
        <v>METROPOLITANA</v>
      </c>
    </row>
    <row r="2065" spans="1:22" x14ac:dyDescent="0.2">
      <c r="A2065" s="11" t="s">
        <v>2597</v>
      </c>
      <c r="B2065" s="12" t="s">
        <v>33</v>
      </c>
      <c r="C2065" s="12" t="s">
        <v>29</v>
      </c>
      <c r="D2065" s="12" t="s">
        <v>188</v>
      </c>
      <c r="E2065" s="13">
        <v>35488103</v>
      </c>
      <c r="F2065" s="12" t="s">
        <v>134</v>
      </c>
      <c r="G2065" s="14">
        <v>6814.1999999999989</v>
      </c>
      <c r="H2065" s="12" t="s">
        <v>190</v>
      </c>
      <c r="I2065" s="12">
        <v>0</v>
      </c>
      <c r="J2065" s="12" t="s">
        <v>134</v>
      </c>
      <c r="K2065" s="12" t="s">
        <v>23</v>
      </c>
      <c r="L2065" s="12">
        <v>2</v>
      </c>
      <c r="M2065" s="15">
        <v>74956</v>
      </c>
      <c r="N2065" s="15">
        <v>0</v>
      </c>
      <c r="O2065" s="15">
        <f t="shared" si="160"/>
        <v>74956</v>
      </c>
      <c r="P2065" s="15">
        <f t="shared" si="161"/>
        <v>10.999970649525991</v>
      </c>
      <c r="Q2065" s="14">
        <v>5000</v>
      </c>
      <c r="R2065" s="12">
        <v>100</v>
      </c>
      <c r="S2065" s="12" t="s">
        <v>2608</v>
      </c>
      <c r="T2065" s="22">
        <f t="shared" si="162"/>
        <v>5</v>
      </c>
      <c r="U2065" s="22">
        <f t="shared" si="163"/>
        <v>2021</v>
      </c>
      <c r="V2065" s="22" t="str">
        <f t="shared" si="164"/>
        <v>METROPOLITANA</v>
      </c>
    </row>
    <row r="2066" spans="1:22" x14ac:dyDescent="0.2">
      <c r="A2066" s="11" t="s">
        <v>2597</v>
      </c>
      <c r="B2066" s="12" t="s">
        <v>33</v>
      </c>
      <c r="C2066" s="12" t="s">
        <v>29</v>
      </c>
      <c r="D2066" s="12" t="s">
        <v>41</v>
      </c>
      <c r="E2066" s="13">
        <v>125108660</v>
      </c>
      <c r="F2066" s="12" t="s">
        <v>173</v>
      </c>
      <c r="G2066" s="14">
        <v>9004.7999999999975</v>
      </c>
      <c r="H2066" s="12" t="s">
        <v>43</v>
      </c>
      <c r="I2066" s="12">
        <v>0</v>
      </c>
      <c r="J2066" s="12" t="s">
        <v>173</v>
      </c>
      <c r="K2066" s="12" t="s">
        <v>23</v>
      </c>
      <c r="L2066" s="12">
        <v>5</v>
      </c>
      <c r="M2066" s="15">
        <f>+G2066*11</f>
        <v>99052.799999999974</v>
      </c>
      <c r="N2066" s="15">
        <v>0</v>
      </c>
      <c r="O2066" s="15">
        <f t="shared" si="160"/>
        <v>99052.799999999974</v>
      </c>
      <c r="P2066" s="15">
        <f t="shared" si="161"/>
        <v>11</v>
      </c>
      <c r="Q2066" s="14">
        <v>10000</v>
      </c>
      <c r="R2066" s="12">
        <v>90</v>
      </c>
      <c r="S2066" s="12" t="s">
        <v>2609</v>
      </c>
      <c r="T2066" s="22">
        <f t="shared" si="162"/>
        <v>5</v>
      </c>
      <c r="U2066" s="22">
        <f t="shared" si="163"/>
        <v>2021</v>
      </c>
      <c r="V2066" s="22" t="str">
        <f t="shared" si="164"/>
        <v>METROPOLITANA</v>
      </c>
    </row>
    <row r="2067" spans="1:22" x14ac:dyDescent="0.2">
      <c r="A2067" s="11" t="s">
        <v>2597</v>
      </c>
      <c r="B2067" s="12" t="s">
        <v>33</v>
      </c>
      <c r="C2067" s="12" t="s">
        <v>29</v>
      </c>
      <c r="D2067" s="12" t="s">
        <v>20</v>
      </c>
      <c r="E2067" s="13">
        <v>154837728</v>
      </c>
      <c r="F2067" s="12" t="s">
        <v>134</v>
      </c>
      <c r="G2067" s="14">
        <v>7202.9999999999982</v>
      </c>
      <c r="H2067" s="12" t="s">
        <v>22</v>
      </c>
      <c r="I2067" s="12">
        <v>0</v>
      </c>
      <c r="J2067" s="12" t="s">
        <v>134</v>
      </c>
      <c r="K2067" s="12" t="s">
        <v>23</v>
      </c>
      <c r="L2067" s="12">
        <v>2</v>
      </c>
      <c r="M2067" s="15">
        <v>79233</v>
      </c>
      <c r="N2067" s="15">
        <v>0</v>
      </c>
      <c r="O2067" s="15">
        <f t="shared" si="160"/>
        <v>79233</v>
      </c>
      <c r="P2067" s="15">
        <f t="shared" si="161"/>
        <v>11.000000000000004</v>
      </c>
      <c r="Q2067" s="14">
        <v>5000</v>
      </c>
      <c r="R2067" s="12">
        <v>100</v>
      </c>
      <c r="S2067" s="12" t="s">
        <v>2610</v>
      </c>
      <c r="T2067" s="22">
        <f t="shared" si="162"/>
        <v>5</v>
      </c>
      <c r="U2067" s="22">
        <f t="shared" si="163"/>
        <v>2021</v>
      </c>
      <c r="V2067" s="22" t="str">
        <f t="shared" si="164"/>
        <v>METROPOLITANA</v>
      </c>
    </row>
    <row r="2068" spans="1:22" x14ac:dyDescent="0.2">
      <c r="A2068" s="11" t="s">
        <v>2597</v>
      </c>
      <c r="B2068" s="12" t="s">
        <v>33</v>
      </c>
      <c r="C2068" s="12" t="s">
        <v>44</v>
      </c>
      <c r="D2068" s="12" t="s">
        <v>56</v>
      </c>
      <c r="E2068" s="13">
        <v>107643206</v>
      </c>
      <c r="F2068" s="12" t="s">
        <v>48</v>
      </c>
      <c r="G2068" s="14">
        <v>4724.4000000000005</v>
      </c>
      <c r="H2068" s="12" t="s">
        <v>22</v>
      </c>
      <c r="I2068" s="12">
        <v>0</v>
      </c>
      <c r="J2068" s="12" t="s">
        <v>48</v>
      </c>
      <c r="K2068" s="12" t="s">
        <v>23</v>
      </c>
      <c r="L2068" s="12">
        <v>1</v>
      </c>
      <c r="M2068" s="15">
        <v>55000</v>
      </c>
      <c r="N2068" s="15">
        <v>0</v>
      </c>
      <c r="O2068" s="15">
        <f t="shared" si="160"/>
        <v>55000</v>
      </c>
      <c r="P2068" s="15">
        <f t="shared" si="161"/>
        <v>11.641689950046565</v>
      </c>
      <c r="Q2068" s="14">
        <v>5000</v>
      </c>
      <c r="R2068" s="12">
        <v>94</v>
      </c>
      <c r="S2068" s="12" t="s">
        <v>2611</v>
      </c>
      <c r="T2068" s="22">
        <f t="shared" si="162"/>
        <v>5</v>
      </c>
      <c r="U2068" s="22">
        <f t="shared" si="163"/>
        <v>2021</v>
      </c>
      <c r="V2068" s="22" t="str">
        <f t="shared" si="164"/>
        <v>METROPOLITANA</v>
      </c>
    </row>
    <row r="2069" spans="1:22" x14ac:dyDescent="0.2">
      <c r="A2069" s="11" t="s">
        <v>2597</v>
      </c>
      <c r="B2069" s="12" t="s">
        <v>33</v>
      </c>
      <c r="C2069" s="12" t="s">
        <v>44</v>
      </c>
      <c r="D2069" s="12" t="s">
        <v>2612</v>
      </c>
      <c r="E2069" s="13">
        <v>103576032</v>
      </c>
      <c r="F2069" s="12" t="s">
        <v>114</v>
      </c>
      <c r="G2069" s="14">
        <v>14299.999999999991</v>
      </c>
      <c r="H2069" s="12" t="s">
        <v>24</v>
      </c>
      <c r="I2069" s="12">
        <v>1</v>
      </c>
      <c r="J2069" s="12" t="s">
        <v>114</v>
      </c>
      <c r="K2069" s="12" t="s">
        <v>75</v>
      </c>
      <c r="L2069" s="12">
        <v>0</v>
      </c>
      <c r="M2069" s="15">
        <v>380000</v>
      </c>
      <c r="N2069" s="15">
        <v>0</v>
      </c>
      <c r="O2069" s="15">
        <f t="shared" si="160"/>
        <v>380000</v>
      </c>
      <c r="P2069" s="15">
        <f t="shared" si="161"/>
        <v>26.573426573426591</v>
      </c>
      <c r="Q2069" s="14">
        <v>25000</v>
      </c>
      <c r="R2069" s="12">
        <v>57</v>
      </c>
      <c r="S2069" s="12" t="s">
        <v>2613</v>
      </c>
      <c r="T2069" s="22">
        <f t="shared" si="162"/>
        <v>5</v>
      </c>
      <c r="U2069" s="22">
        <f t="shared" si="163"/>
        <v>2021</v>
      </c>
      <c r="V2069" s="22" t="str">
        <f t="shared" si="164"/>
        <v>REGIONES</v>
      </c>
    </row>
    <row r="2070" spans="1:22" x14ac:dyDescent="0.2">
      <c r="A2070" s="23" t="s">
        <v>2614</v>
      </c>
      <c r="B2070" s="22" t="s">
        <v>18</v>
      </c>
      <c r="C2070" s="22" t="s">
        <v>163</v>
      </c>
      <c r="D2070" s="22" t="s">
        <v>41</v>
      </c>
      <c r="E2070" s="24">
        <v>125108660</v>
      </c>
      <c r="F2070" s="22" t="s">
        <v>165</v>
      </c>
      <c r="G2070" s="25">
        <v>7520.8000000000011</v>
      </c>
      <c r="H2070" s="22" t="s">
        <v>43</v>
      </c>
      <c r="I2070" s="22">
        <v>0</v>
      </c>
      <c r="J2070" s="22" t="s">
        <v>165</v>
      </c>
      <c r="K2070" s="22" t="s">
        <v>23</v>
      </c>
      <c r="L2070" s="22">
        <v>4</v>
      </c>
      <c r="M2070" s="26">
        <v>82729</v>
      </c>
      <c r="N2070" s="26">
        <v>0</v>
      </c>
      <c r="O2070" s="15">
        <f t="shared" si="160"/>
        <v>82729</v>
      </c>
      <c r="P2070" s="15">
        <f t="shared" si="161"/>
        <v>11.000026592915646</v>
      </c>
      <c r="Q2070" s="25">
        <v>5000</v>
      </c>
      <c r="R2070" s="22">
        <v>100</v>
      </c>
      <c r="S2070" s="22" t="s">
        <v>2615</v>
      </c>
      <c r="T2070" s="22">
        <f t="shared" si="162"/>
        <v>5</v>
      </c>
      <c r="U2070" s="22">
        <f t="shared" si="163"/>
        <v>2021</v>
      </c>
      <c r="V2070" s="22" t="str">
        <f t="shared" si="164"/>
        <v>METROPOLITANA</v>
      </c>
    </row>
    <row r="2071" spans="1:22" x14ac:dyDescent="0.2">
      <c r="A2071" s="23" t="s">
        <v>2614</v>
      </c>
      <c r="B2071" s="22" t="s">
        <v>18</v>
      </c>
      <c r="C2071" s="22" t="s">
        <v>44</v>
      </c>
      <c r="D2071" s="22" t="s">
        <v>130</v>
      </c>
      <c r="E2071" s="24">
        <v>167832741</v>
      </c>
      <c r="F2071" s="22" t="s">
        <v>407</v>
      </c>
      <c r="G2071" s="25">
        <v>8569.5399999999991</v>
      </c>
      <c r="H2071" s="22" t="s">
        <v>85</v>
      </c>
      <c r="I2071" s="22">
        <v>1</v>
      </c>
      <c r="J2071" s="22" t="s">
        <v>407</v>
      </c>
      <c r="K2071" s="22" t="s">
        <v>408</v>
      </c>
      <c r="L2071" s="22">
        <v>0</v>
      </c>
      <c r="M2071" s="26">
        <v>600000</v>
      </c>
      <c r="N2071" s="26">
        <v>0</v>
      </c>
      <c r="O2071" s="15">
        <f t="shared" si="160"/>
        <v>600000</v>
      </c>
      <c r="P2071" s="15">
        <f t="shared" si="161"/>
        <v>70.015426732356701</v>
      </c>
      <c r="Q2071" s="25">
        <v>25000</v>
      </c>
      <c r="R2071" s="22">
        <v>34</v>
      </c>
      <c r="S2071" s="22" t="s">
        <v>2616</v>
      </c>
      <c r="T2071" s="22">
        <f t="shared" si="162"/>
        <v>5</v>
      </c>
      <c r="U2071" s="22">
        <f t="shared" si="163"/>
        <v>2021</v>
      </c>
      <c r="V2071" s="22" t="str">
        <f t="shared" si="164"/>
        <v>REGIONES</v>
      </c>
    </row>
    <row r="2072" spans="1:22" x14ac:dyDescent="0.2">
      <c r="A2072" s="23" t="s">
        <v>2614</v>
      </c>
      <c r="B2072" s="22" t="s">
        <v>33</v>
      </c>
      <c r="C2072" s="22" t="s">
        <v>29</v>
      </c>
      <c r="D2072" s="22" t="s">
        <v>45</v>
      </c>
      <c r="E2072" s="24">
        <v>154837728</v>
      </c>
      <c r="F2072" s="22" t="s">
        <v>134</v>
      </c>
      <c r="G2072" s="25">
        <v>3389.1</v>
      </c>
      <c r="H2072" s="22" t="s">
        <v>22</v>
      </c>
      <c r="I2072" s="22">
        <v>0</v>
      </c>
      <c r="J2072" s="22" t="s">
        <v>134</v>
      </c>
      <c r="K2072" s="22" t="s">
        <v>23</v>
      </c>
      <c r="L2072" s="22">
        <v>2</v>
      </c>
      <c r="M2072" s="26">
        <v>55000</v>
      </c>
      <c r="N2072" s="26">
        <v>0</v>
      </c>
      <c r="O2072" s="15">
        <f t="shared" si="160"/>
        <v>55000</v>
      </c>
      <c r="P2072" s="15">
        <f t="shared" si="161"/>
        <v>16.22849724115547</v>
      </c>
      <c r="Q2072" s="25">
        <v>5000</v>
      </c>
      <c r="R2072" s="22">
        <v>68</v>
      </c>
      <c r="S2072" s="22" t="s">
        <v>2617</v>
      </c>
      <c r="T2072" s="22">
        <f t="shared" si="162"/>
        <v>5</v>
      </c>
      <c r="U2072" s="22">
        <f t="shared" si="163"/>
        <v>2021</v>
      </c>
      <c r="V2072" s="22" t="str">
        <f t="shared" si="164"/>
        <v>METROPOLITANA</v>
      </c>
    </row>
    <row r="2073" spans="1:22" x14ac:dyDescent="0.2">
      <c r="A2073" s="23" t="s">
        <v>2614</v>
      </c>
      <c r="B2073" s="22" t="s">
        <v>33</v>
      </c>
      <c r="C2073" s="22" t="s">
        <v>29</v>
      </c>
      <c r="D2073" s="22" t="s">
        <v>164</v>
      </c>
      <c r="E2073" s="24">
        <v>81417709</v>
      </c>
      <c r="F2073" s="22" t="s">
        <v>170</v>
      </c>
      <c r="G2073" s="25">
        <v>19510.400000000001</v>
      </c>
      <c r="H2073" s="22" t="s">
        <v>22</v>
      </c>
      <c r="I2073" s="22">
        <v>1</v>
      </c>
      <c r="J2073" s="22" t="s">
        <v>170</v>
      </c>
      <c r="K2073" s="22" t="s">
        <v>171</v>
      </c>
      <c r="L2073" s="22">
        <v>0</v>
      </c>
      <c r="M2073" s="26">
        <v>230000</v>
      </c>
      <c r="N2073" s="26">
        <v>0</v>
      </c>
      <c r="O2073" s="15">
        <f t="shared" si="160"/>
        <v>230000</v>
      </c>
      <c r="P2073" s="15">
        <f t="shared" si="161"/>
        <v>11.788584549778578</v>
      </c>
      <c r="Q2073" s="25">
        <v>25000</v>
      </c>
      <c r="R2073" s="22">
        <v>78</v>
      </c>
      <c r="S2073" s="22" t="s">
        <v>2618</v>
      </c>
      <c r="T2073" s="22">
        <f t="shared" si="162"/>
        <v>5</v>
      </c>
      <c r="U2073" s="22">
        <f t="shared" si="163"/>
        <v>2021</v>
      </c>
      <c r="V2073" s="22" t="str">
        <f t="shared" si="164"/>
        <v>REGIONES</v>
      </c>
    </row>
    <row r="2074" spans="1:22" x14ac:dyDescent="0.2">
      <c r="A2074" s="23" t="s">
        <v>2614</v>
      </c>
      <c r="B2074" s="22" t="s">
        <v>33</v>
      </c>
      <c r="C2074" s="22" t="s">
        <v>44</v>
      </c>
      <c r="D2074" s="22" t="s">
        <v>636</v>
      </c>
      <c r="E2074" s="24">
        <v>113693568</v>
      </c>
      <c r="F2074" s="22" t="s">
        <v>114</v>
      </c>
      <c r="G2074" s="25">
        <v>13755.69999999999</v>
      </c>
      <c r="H2074" s="22" t="s">
        <v>85</v>
      </c>
      <c r="I2074" s="22">
        <v>1</v>
      </c>
      <c r="J2074" s="22" t="s">
        <v>114</v>
      </c>
      <c r="K2074" s="22" t="s">
        <v>75</v>
      </c>
      <c r="L2074" s="22">
        <v>0</v>
      </c>
      <c r="M2074" s="26">
        <v>380000</v>
      </c>
      <c r="N2074" s="26">
        <v>0</v>
      </c>
      <c r="O2074" s="15">
        <f t="shared" si="160"/>
        <v>380000</v>
      </c>
      <c r="P2074" s="15">
        <f t="shared" si="161"/>
        <v>27.624911854722065</v>
      </c>
      <c r="Q2074" s="25">
        <v>25000</v>
      </c>
      <c r="R2074" s="22">
        <v>55</v>
      </c>
      <c r="S2074" s="22" t="s">
        <v>2619</v>
      </c>
      <c r="T2074" s="22">
        <f t="shared" si="162"/>
        <v>5</v>
      </c>
      <c r="U2074" s="22">
        <f t="shared" si="163"/>
        <v>2021</v>
      </c>
      <c r="V2074" s="22" t="str">
        <f t="shared" si="164"/>
        <v>REGIONES</v>
      </c>
    </row>
    <row r="2075" spans="1:22" x14ac:dyDescent="0.2">
      <c r="A2075" s="23" t="s">
        <v>2614</v>
      </c>
      <c r="B2075" s="22" t="s">
        <v>33</v>
      </c>
      <c r="C2075" s="22" t="s">
        <v>44</v>
      </c>
      <c r="D2075" s="22" t="s">
        <v>35</v>
      </c>
      <c r="E2075" s="24">
        <v>99626232</v>
      </c>
      <c r="F2075" s="22" t="s">
        <v>48</v>
      </c>
      <c r="G2075" s="25">
        <v>2536.6</v>
      </c>
      <c r="H2075" s="22" t="s">
        <v>22</v>
      </c>
      <c r="I2075" s="22">
        <v>0</v>
      </c>
      <c r="J2075" s="22" t="s">
        <v>48</v>
      </c>
      <c r="K2075" s="22" t="s">
        <v>23</v>
      </c>
      <c r="L2075" s="22">
        <v>1</v>
      </c>
      <c r="M2075" s="26">
        <v>55000</v>
      </c>
      <c r="N2075" s="26">
        <v>0</v>
      </c>
      <c r="O2075" s="15">
        <f t="shared" si="160"/>
        <v>55000</v>
      </c>
      <c r="P2075" s="15">
        <f t="shared" si="161"/>
        <v>21.682567215958372</v>
      </c>
      <c r="Q2075" s="25">
        <v>5000</v>
      </c>
      <c r="R2075" s="22">
        <v>51</v>
      </c>
      <c r="S2075" s="22" t="s">
        <v>2620</v>
      </c>
      <c r="T2075" s="22">
        <f t="shared" si="162"/>
        <v>5</v>
      </c>
      <c r="U2075" s="22">
        <f t="shared" si="163"/>
        <v>2021</v>
      </c>
      <c r="V2075" s="22" t="str">
        <f t="shared" si="164"/>
        <v>METROPOLITANA</v>
      </c>
    </row>
    <row r="2076" spans="1:22" x14ac:dyDescent="0.2">
      <c r="A2076" s="11" t="s">
        <v>2621</v>
      </c>
      <c r="B2076" s="12" t="s">
        <v>18</v>
      </c>
      <c r="C2076" s="12" t="s">
        <v>163</v>
      </c>
      <c r="D2076" s="12" t="s">
        <v>20</v>
      </c>
      <c r="E2076" s="13">
        <v>154837728</v>
      </c>
      <c r="F2076" s="12" t="s">
        <v>165</v>
      </c>
      <c r="G2076" s="14">
        <v>7252.2000000000007</v>
      </c>
      <c r="H2076" s="12" t="s">
        <v>22</v>
      </c>
      <c r="I2076" s="12">
        <v>0</v>
      </c>
      <c r="J2076" s="12" t="s">
        <v>165</v>
      </c>
      <c r="K2076" s="12" t="s">
        <v>23</v>
      </c>
      <c r="L2076" s="12">
        <v>4</v>
      </c>
      <c r="M2076" s="15">
        <v>79774</v>
      </c>
      <c r="N2076" s="15">
        <v>0</v>
      </c>
      <c r="O2076" s="15">
        <f t="shared" si="160"/>
        <v>79774</v>
      </c>
      <c r="P2076" s="15">
        <f t="shared" si="161"/>
        <v>10.99997242216155</v>
      </c>
      <c r="Q2076" s="14">
        <v>5000</v>
      </c>
      <c r="R2076" s="12">
        <v>100</v>
      </c>
      <c r="S2076" s="12" t="s">
        <v>2622</v>
      </c>
      <c r="T2076" s="22">
        <f t="shared" si="162"/>
        <v>5</v>
      </c>
      <c r="U2076" s="22">
        <f t="shared" si="163"/>
        <v>2021</v>
      </c>
      <c r="V2076" s="22" t="str">
        <f t="shared" si="164"/>
        <v>METROPOLITANA</v>
      </c>
    </row>
    <row r="2077" spans="1:22" x14ac:dyDescent="0.2">
      <c r="A2077" s="11" t="s">
        <v>2621</v>
      </c>
      <c r="B2077" s="12" t="s">
        <v>33</v>
      </c>
      <c r="C2077" s="12" t="s">
        <v>2623</v>
      </c>
      <c r="D2077" s="12" t="s">
        <v>30</v>
      </c>
      <c r="E2077" s="13">
        <v>72564391</v>
      </c>
      <c r="F2077" s="12" t="s">
        <v>2004</v>
      </c>
      <c r="G2077" s="14">
        <v>5627.9999999999991</v>
      </c>
      <c r="H2077" s="12" t="s">
        <v>32</v>
      </c>
      <c r="I2077" s="12">
        <v>0</v>
      </c>
      <c r="J2077" s="12" t="s">
        <v>2004</v>
      </c>
      <c r="K2077" s="12" t="s">
        <v>23</v>
      </c>
      <c r="L2077" s="12">
        <v>5</v>
      </c>
      <c r="M2077" s="15">
        <v>90000</v>
      </c>
      <c r="N2077" s="15">
        <v>0</v>
      </c>
      <c r="O2077" s="15">
        <f t="shared" si="160"/>
        <v>90000</v>
      </c>
      <c r="P2077" s="15">
        <f t="shared" si="161"/>
        <v>15.991471215351815</v>
      </c>
      <c r="Q2077" s="14">
        <v>10000</v>
      </c>
      <c r="R2077" s="12">
        <v>56</v>
      </c>
      <c r="S2077" s="12" t="s">
        <v>2624</v>
      </c>
      <c r="T2077" s="22">
        <f t="shared" si="162"/>
        <v>5</v>
      </c>
      <c r="U2077" s="22">
        <f t="shared" si="163"/>
        <v>2021</v>
      </c>
      <c r="V2077" s="22" t="str">
        <f t="shared" si="164"/>
        <v>METROPOLITANA</v>
      </c>
    </row>
    <row r="2078" spans="1:22" x14ac:dyDescent="0.2">
      <c r="A2078" s="11" t="s">
        <v>2621</v>
      </c>
      <c r="B2078" s="12" t="s">
        <v>33</v>
      </c>
      <c r="C2078" s="12" t="s">
        <v>60</v>
      </c>
      <c r="D2078" s="12" t="s">
        <v>41</v>
      </c>
      <c r="E2078" s="13">
        <v>125108660</v>
      </c>
      <c r="F2078" s="12" t="s">
        <v>51</v>
      </c>
      <c r="G2078" s="14">
        <v>5668</v>
      </c>
      <c r="H2078" s="12" t="s">
        <v>43</v>
      </c>
      <c r="I2078" s="12">
        <v>0</v>
      </c>
      <c r="J2078" s="12" t="s">
        <v>51</v>
      </c>
      <c r="K2078" s="12" t="s">
        <v>23</v>
      </c>
      <c r="L2078" s="12">
        <v>4</v>
      </c>
      <c r="M2078" s="15">
        <v>62348</v>
      </c>
      <c r="N2078" s="15">
        <v>0</v>
      </c>
      <c r="O2078" s="15">
        <f t="shared" si="160"/>
        <v>62348</v>
      </c>
      <c r="P2078" s="15">
        <f t="shared" si="161"/>
        <v>11</v>
      </c>
      <c r="Q2078" s="14">
        <v>5000</v>
      </c>
      <c r="R2078" s="12">
        <v>100</v>
      </c>
      <c r="S2078" s="12" t="s">
        <v>2625</v>
      </c>
      <c r="T2078" s="22">
        <f t="shared" si="162"/>
        <v>5</v>
      </c>
      <c r="U2078" s="22">
        <f t="shared" si="163"/>
        <v>2021</v>
      </c>
      <c r="V2078" s="22" t="str">
        <f t="shared" si="164"/>
        <v>METROPOLITANA</v>
      </c>
    </row>
    <row r="2079" spans="1:22" x14ac:dyDescent="0.2">
      <c r="A2079" s="11" t="s">
        <v>2621</v>
      </c>
      <c r="B2079" s="12" t="s">
        <v>33</v>
      </c>
      <c r="C2079" s="12" t="s">
        <v>57</v>
      </c>
      <c r="D2079" s="12" t="s">
        <v>38</v>
      </c>
      <c r="E2079" s="13">
        <v>53173292</v>
      </c>
      <c r="F2079" s="12" t="s">
        <v>120</v>
      </c>
      <c r="G2079" s="14">
        <v>6480</v>
      </c>
      <c r="H2079" s="12" t="s">
        <v>43</v>
      </c>
      <c r="I2079" s="12">
        <v>0</v>
      </c>
      <c r="J2079" s="12" t="s">
        <v>120</v>
      </c>
      <c r="K2079" s="12" t="s">
        <v>23</v>
      </c>
      <c r="L2079" s="12">
        <v>5</v>
      </c>
      <c r="M2079" s="15">
        <v>70000</v>
      </c>
      <c r="N2079" s="15">
        <v>0</v>
      </c>
      <c r="O2079" s="15">
        <f t="shared" si="160"/>
        <v>70000</v>
      </c>
      <c r="P2079" s="15">
        <f t="shared" si="161"/>
        <v>10.802469135802468</v>
      </c>
      <c r="Q2079" s="14">
        <v>10000</v>
      </c>
      <c r="R2079" s="12">
        <v>65</v>
      </c>
      <c r="S2079" s="12" t="s">
        <v>2626</v>
      </c>
      <c r="T2079" s="22">
        <f t="shared" si="162"/>
        <v>5</v>
      </c>
      <c r="U2079" s="22">
        <f t="shared" si="163"/>
        <v>2021</v>
      </c>
      <c r="V2079" s="22" t="str">
        <f t="shared" si="164"/>
        <v>METROPOLITANA</v>
      </c>
    </row>
    <row r="2080" spans="1:22" x14ac:dyDescent="0.2">
      <c r="A2080" s="11" t="s">
        <v>2621</v>
      </c>
      <c r="B2080" s="12" t="s">
        <v>33</v>
      </c>
      <c r="C2080" s="12" t="s">
        <v>500</v>
      </c>
      <c r="D2080" s="12" t="s">
        <v>56</v>
      </c>
      <c r="E2080" s="13">
        <v>99626232</v>
      </c>
      <c r="F2080" s="12" t="s">
        <v>120</v>
      </c>
      <c r="G2080" s="14">
        <v>6003.1999999999989</v>
      </c>
      <c r="H2080" s="12" t="s">
        <v>22</v>
      </c>
      <c r="I2080" s="12">
        <v>0</v>
      </c>
      <c r="J2080" s="12" t="s">
        <v>120</v>
      </c>
      <c r="K2080" s="12" t="s">
        <v>23</v>
      </c>
      <c r="L2080" s="12">
        <v>5</v>
      </c>
      <c r="M2080" s="15">
        <v>70000</v>
      </c>
      <c r="N2080" s="15">
        <v>0</v>
      </c>
      <c r="O2080" s="15">
        <f t="shared" si="160"/>
        <v>70000</v>
      </c>
      <c r="P2080" s="15">
        <f t="shared" si="161"/>
        <v>11.660447761194032</v>
      </c>
      <c r="Q2080" s="14">
        <v>10000</v>
      </c>
      <c r="R2080" s="12">
        <v>60</v>
      </c>
      <c r="S2080" s="12" t="s">
        <v>2627</v>
      </c>
      <c r="T2080" s="22">
        <f t="shared" si="162"/>
        <v>5</v>
      </c>
      <c r="U2080" s="22">
        <f t="shared" si="163"/>
        <v>2021</v>
      </c>
      <c r="V2080" s="22" t="str">
        <f t="shared" si="164"/>
        <v>METROPOLITANA</v>
      </c>
    </row>
    <row r="2081" spans="1:22" x14ac:dyDescent="0.2">
      <c r="A2081" s="11" t="s">
        <v>2621</v>
      </c>
      <c r="B2081" s="12" t="s">
        <v>33</v>
      </c>
      <c r="C2081" s="12" t="s">
        <v>500</v>
      </c>
      <c r="D2081" s="12" t="s">
        <v>188</v>
      </c>
      <c r="E2081" s="13">
        <v>35488103</v>
      </c>
      <c r="F2081" s="12" t="s">
        <v>120</v>
      </c>
      <c r="G2081" s="14">
        <v>6753.5999999999995</v>
      </c>
      <c r="H2081" s="12" t="s">
        <v>190</v>
      </c>
      <c r="I2081" s="12">
        <v>0</v>
      </c>
      <c r="J2081" s="12" t="s">
        <v>120</v>
      </c>
      <c r="K2081" s="12" t="s">
        <v>23</v>
      </c>
      <c r="L2081" s="12">
        <v>5</v>
      </c>
      <c r="M2081" s="15">
        <f>+G2081*11</f>
        <v>74289.599999999991</v>
      </c>
      <c r="N2081" s="15">
        <v>0</v>
      </c>
      <c r="O2081" s="15">
        <f t="shared" si="160"/>
        <v>74289.599999999991</v>
      </c>
      <c r="P2081" s="15">
        <f t="shared" si="161"/>
        <v>11</v>
      </c>
      <c r="Q2081" s="14">
        <v>10000</v>
      </c>
      <c r="R2081" s="12">
        <v>68</v>
      </c>
      <c r="S2081" s="12" t="s">
        <v>2628</v>
      </c>
      <c r="T2081" s="22">
        <f t="shared" si="162"/>
        <v>5</v>
      </c>
      <c r="U2081" s="22">
        <f t="shared" si="163"/>
        <v>2021</v>
      </c>
      <c r="V2081" s="22" t="str">
        <f t="shared" si="164"/>
        <v>METROPOLITANA</v>
      </c>
    </row>
    <row r="2082" spans="1:22" x14ac:dyDescent="0.2">
      <c r="A2082" s="11" t="s">
        <v>2621</v>
      </c>
      <c r="B2082" s="12" t="s">
        <v>33</v>
      </c>
      <c r="C2082" s="12" t="s">
        <v>335</v>
      </c>
      <c r="D2082" s="12" t="s">
        <v>41</v>
      </c>
      <c r="E2082" s="13">
        <v>125108660</v>
      </c>
      <c r="F2082" s="12" t="s">
        <v>336</v>
      </c>
      <c r="G2082" s="14">
        <v>7207.2000000000007</v>
      </c>
      <c r="H2082" s="12" t="s">
        <v>43</v>
      </c>
      <c r="I2082" s="12">
        <v>0</v>
      </c>
      <c r="J2082" s="12" t="s">
        <v>120</v>
      </c>
      <c r="K2082" s="12" t="s">
        <v>23</v>
      </c>
      <c r="L2082" s="12">
        <v>5</v>
      </c>
      <c r="M2082" s="15">
        <f>+G2082*11</f>
        <v>79279.200000000012</v>
      </c>
      <c r="N2082" s="15">
        <v>0</v>
      </c>
      <c r="O2082" s="15">
        <f t="shared" si="160"/>
        <v>79279.200000000012</v>
      </c>
      <c r="P2082" s="15">
        <f t="shared" si="161"/>
        <v>11</v>
      </c>
      <c r="Q2082" s="14">
        <v>10000</v>
      </c>
      <c r="R2082" s="12">
        <v>72</v>
      </c>
      <c r="S2082" s="12" t="s">
        <v>2629</v>
      </c>
      <c r="T2082" s="22">
        <f t="shared" si="162"/>
        <v>5</v>
      </c>
      <c r="U2082" s="22">
        <f t="shared" si="163"/>
        <v>2021</v>
      </c>
      <c r="V2082" s="22" t="str">
        <f t="shared" si="164"/>
        <v>METROPOLITANA</v>
      </c>
    </row>
    <row r="2083" spans="1:22" x14ac:dyDescent="0.2">
      <c r="A2083" s="11" t="s">
        <v>2621</v>
      </c>
      <c r="B2083" s="12" t="s">
        <v>33</v>
      </c>
      <c r="C2083" s="12" t="s">
        <v>29</v>
      </c>
      <c r="D2083" s="12" t="s">
        <v>63</v>
      </c>
      <c r="E2083" s="13">
        <v>138841065</v>
      </c>
      <c r="F2083" s="12" t="s">
        <v>134</v>
      </c>
      <c r="G2083" s="14">
        <v>4804.8</v>
      </c>
      <c r="H2083" s="12" t="s">
        <v>65</v>
      </c>
      <c r="I2083" s="12">
        <v>0</v>
      </c>
      <c r="J2083" s="12" t="s">
        <v>134</v>
      </c>
      <c r="K2083" s="12" t="s">
        <v>23</v>
      </c>
      <c r="L2083" s="12">
        <v>2</v>
      </c>
      <c r="M2083" s="15">
        <v>55000</v>
      </c>
      <c r="N2083" s="15">
        <v>0</v>
      </c>
      <c r="O2083" s="15">
        <f t="shared" si="160"/>
        <v>55000</v>
      </c>
      <c r="P2083" s="15">
        <f t="shared" si="161"/>
        <v>11.446886446886447</v>
      </c>
      <c r="Q2083" s="14">
        <v>5000</v>
      </c>
      <c r="R2083" s="12">
        <v>96</v>
      </c>
      <c r="S2083" s="12" t="s">
        <v>2630</v>
      </c>
      <c r="T2083" s="22">
        <f t="shared" si="162"/>
        <v>5</v>
      </c>
      <c r="U2083" s="22">
        <f t="shared" si="163"/>
        <v>2021</v>
      </c>
      <c r="V2083" s="22" t="str">
        <f t="shared" si="164"/>
        <v>METROPOLITANA</v>
      </c>
    </row>
    <row r="2084" spans="1:22" x14ac:dyDescent="0.2">
      <c r="A2084" s="11" t="s">
        <v>2621</v>
      </c>
      <c r="B2084" s="12" t="s">
        <v>33</v>
      </c>
      <c r="C2084" s="12" t="s">
        <v>44</v>
      </c>
      <c r="D2084" s="12" t="s">
        <v>45</v>
      </c>
      <c r="E2084" s="13">
        <v>99626232</v>
      </c>
      <c r="F2084" s="12" t="s">
        <v>225</v>
      </c>
      <c r="G2084" s="14">
        <v>5596.2999999999993</v>
      </c>
      <c r="H2084" s="12" t="s">
        <v>22</v>
      </c>
      <c r="I2084" s="12">
        <v>0</v>
      </c>
      <c r="J2084" s="12" t="s">
        <v>225</v>
      </c>
      <c r="K2084" s="12" t="s">
        <v>23</v>
      </c>
      <c r="L2084" s="12">
        <v>3</v>
      </c>
      <c r="M2084" s="15">
        <v>61559</v>
      </c>
      <c r="N2084" s="15">
        <v>0</v>
      </c>
      <c r="O2084" s="15">
        <f t="shared" si="160"/>
        <v>61559</v>
      </c>
      <c r="P2084" s="15">
        <f t="shared" si="161"/>
        <v>10.999946393152619</v>
      </c>
      <c r="Q2084" s="14">
        <v>5000</v>
      </c>
      <c r="R2084" s="12">
        <v>100</v>
      </c>
      <c r="S2084" s="12" t="s">
        <v>2631</v>
      </c>
      <c r="T2084" s="22">
        <f t="shared" si="162"/>
        <v>5</v>
      </c>
      <c r="U2084" s="22">
        <f t="shared" si="163"/>
        <v>2021</v>
      </c>
      <c r="V2084" s="22" t="str">
        <f t="shared" si="164"/>
        <v>METROPOLITANA</v>
      </c>
    </row>
    <row r="2085" spans="1:22" x14ac:dyDescent="0.2">
      <c r="A2085" s="11" t="s">
        <v>2621</v>
      </c>
      <c r="B2085" s="12" t="s">
        <v>33</v>
      </c>
      <c r="C2085" s="12" t="s">
        <v>44</v>
      </c>
      <c r="D2085" s="12" t="s">
        <v>164</v>
      </c>
      <c r="E2085" s="13">
        <v>81417709</v>
      </c>
      <c r="F2085" s="12" t="s">
        <v>48</v>
      </c>
      <c r="G2085" s="14">
        <v>14479.6</v>
      </c>
      <c r="H2085" s="12" t="s">
        <v>22</v>
      </c>
      <c r="I2085" s="12">
        <v>1</v>
      </c>
      <c r="J2085" s="12" t="s">
        <v>48</v>
      </c>
      <c r="K2085" s="12" t="s">
        <v>23</v>
      </c>
      <c r="L2085" s="12">
        <v>1</v>
      </c>
      <c r="M2085" s="15">
        <v>159276</v>
      </c>
      <c r="N2085" s="15">
        <v>0</v>
      </c>
      <c r="O2085" s="15">
        <f t="shared" si="160"/>
        <v>159276</v>
      </c>
      <c r="P2085" s="15">
        <f t="shared" si="161"/>
        <v>11.000027625072516</v>
      </c>
      <c r="Q2085" s="14">
        <v>5000</v>
      </c>
      <c r="R2085" s="12">
        <v>100</v>
      </c>
      <c r="S2085" s="12" t="s">
        <v>2632</v>
      </c>
      <c r="T2085" s="22">
        <f t="shared" si="162"/>
        <v>5</v>
      </c>
      <c r="U2085" s="22">
        <f t="shared" si="163"/>
        <v>2021</v>
      </c>
      <c r="V2085" s="22" t="str">
        <f t="shared" si="164"/>
        <v>METROPOLITANA</v>
      </c>
    </row>
    <row r="2086" spans="1:22" x14ac:dyDescent="0.2">
      <c r="A2086" s="23" t="s">
        <v>2633</v>
      </c>
      <c r="B2086" s="22" t="s">
        <v>18</v>
      </c>
      <c r="C2086" s="22" t="s">
        <v>57</v>
      </c>
      <c r="D2086" s="22" t="s">
        <v>164</v>
      </c>
      <c r="E2086" s="24">
        <v>81417709</v>
      </c>
      <c r="F2086" s="22" t="s">
        <v>120</v>
      </c>
      <c r="G2086" s="25">
        <v>7893.7499999999991</v>
      </c>
      <c r="H2086" s="22" t="s">
        <v>22</v>
      </c>
      <c r="I2086" s="22">
        <v>1</v>
      </c>
      <c r="J2086" s="22" t="s">
        <v>120</v>
      </c>
      <c r="K2086" s="22" t="s">
        <v>23</v>
      </c>
      <c r="L2086" s="22">
        <v>5</v>
      </c>
      <c r="M2086" s="26">
        <v>120000</v>
      </c>
      <c r="N2086" s="26">
        <v>0</v>
      </c>
      <c r="O2086" s="15">
        <f t="shared" si="160"/>
        <v>120000</v>
      </c>
      <c r="P2086" s="15">
        <f t="shared" si="161"/>
        <v>15.201900237529692</v>
      </c>
      <c r="Q2086" s="25">
        <v>10000</v>
      </c>
      <c r="R2086" s="22">
        <v>79</v>
      </c>
      <c r="S2086" s="22" t="s">
        <v>2634</v>
      </c>
      <c r="T2086" s="22">
        <f t="shared" si="162"/>
        <v>5</v>
      </c>
      <c r="U2086" s="22">
        <f t="shared" si="163"/>
        <v>2021</v>
      </c>
      <c r="V2086" s="22" t="str">
        <f t="shared" si="164"/>
        <v>METROPOLITANA</v>
      </c>
    </row>
    <row r="2087" spans="1:22" x14ac:dyDescent="0.2">
      <c r="A2087" s="23" t="s">
        <v>2633</v>
      </c>
      <c r="B2087" s="22" t="s">
        <v>18</v>
      </c>
      <c r="C2087" s="22" t="s">
        <v>163</v>
      </c>
      <c r="D2087" s="22" t="s">
        <v>63</v>
      </c>
      <c r="E2087" s="24">
        <v>138841065</v>
      </c>
      <c r="F2087" s="22" t="s">
        <v>165</v>
      </c>
      <c r="G2087" s="25">
        <v>6715.0000000000009</v>
      </c>
      <c r="H2087" s="22" t="s">
        <v>65</v>
      </c>
      <c r="I2087" s="22">
        <v>0</v>
      </c>
      <c r="J2087" s="22" t="s">
        <v>165</v>
      </c>
      <c r="K2087" s="22" t="s">
        <v>23</v>
      </c>
      <c r="L2087" s="22">
        <v>4</v>
      </c>
      <c r="M2087" s="26">
        <v>73865</v>
      </c>
      <c r="N2087" s="26">
        <v>0</v>
      </c>
      <c r="O2087" s="15">
        <f t="shared" si="160"/>
        <v>73865</v>
      </c>
      <c r="P2087" s="15">
        <f t="shared" si="161"/>
        <v>10.999999999999998</v>
      </c>
      <c r="Q2087" s="25">
        <v>5000</v>
      </c>
      <c r="R2087" s="22">
        <v>100</v>
      </c>
      <c r="S2087" s="22" t="s">
        <v>2635</v>
      </c>
      <c r="T2087" s="22">
        <f t="shared" si="162"/>
        <v>5</v>
      </c>
      <c r="U2087" s="22">
        <f t="shared" si="163"/>
        <v>2021</v>
      </c>
      <c r="V2087" s="22" t="str">
        <f t="shared" si="164"/>
        <v>METROPOLITANA</v>
      </c>
    </row>
    <row r="2088" spans="1:22" x14ac:dyDescent="0.2">
      <c r="A2088" s="23" t="s">
        <v>2633</v>
      </c>
      <c r="B2088" s="22" t="s">
        <v>18</v>
      </c>
      <c r="C2088" s="22" t="s">
        <v>44</v>
      </c>
      <c r="D2088" s="22" t="s">
        <v>2636</v>
      </c>
      <c r="E2088" s="24">
        <v>122975819</v>
      </c>
      <c r="F2088" s="22" t="s">
        <v>407</v>
      </c>
      <c r="G2088" s="25">
        <v>5197.91</v>
      </c>
      <c r="H2088" s="22" t="s">
        <v>24</v>
      </c>
      <c r="I2088" s="22">
        <v>1</v>
      </c>
      <c r="J2088" s="22" t="s">
        <v>407</v>
      </c>
      <c r="K2088" s="22" t="s">
        <v>408</v>
      </c>
      <c r="L2088" s="22">
        <v>0</v>
      </c>
      <c r="M2088" s="26">
        <v>600000</v>
      </c>
      <c r="N2088" s="26">
        <v>0</v>
      </c>
      <c r="O2088" s="15">
        <f t="shared" si="160"/>
        <v>600000</v>
      </c>
      <c r="P2088" s="15">
        <f t="shared" si="161"/>
        <v>115.43100977123498</v>
      </c>
      <c r="Q2088" s="25">
        <v>25000</v>
      </c>
      <c r="R2088" s="22">
        <v>21</v>
      </c>
      <c r="S2088" s="22" t="s">
        <v>2637</v>
      </c>
      <c r="T2088" s="22">
        <f t="shared" si="162"/>
        <v>5</v>
      </c>
      <c r="U2088" s="22">
        <f t="shared" si="163"/>
        <v>2021</v>
      </c>
      <c r="V2088" s="22" t="str">
        <f t="shared" si="164"/>
        <v>REGIONES</v>
      </c>
    </row>
    <row r="2089" spans="1:22" x14ac:dyDescent="0.2">
      <c r="A2089" s="23" t="s">
        <v>2633</v>
      </c>
      <c r="B2089" s="22" t="s">
        <v>33</v>
      </c>
      <c r="C2089" s="22" t="s">
        <v>128</v>
      </c>
      <c r="D2089" s="22" t="s">
        <v>188</v>
      </c>
      <c r="E2089" s="24">
        <v>3548810</v>
      </c>
      <c r="F2089" s="22" t="s">
        <v>129</v>
      </c>
      <c r="G2089" s="25">
        <v>3796.1</v>
      </c>
      <c r="H2089" s="22" t="s">
        <v>190</v>
      </c>
      <c r="I2089" s="22">
        <v>0</v>
      </c>
      <c r="J2089" s="22" t="s">
        <v>129</v>
      </c>
      <c r="K2089" s="22" t="s">
        <v>23</v>
      </c>
      <c r="L2089" s="22">
        <v>1</v>
      </c>
      <c r="M2089" s="26">
        <v>55000</v>
      </c>
      <c r="N2089" s="26">
        <v>0</v>
      </c>
      <c r="O2089" s="15">
        <f t="shared" si="160"/>
        <v>55000</v>
      </c>
      <c r="P2089" s="15">
        <f t="shared" si="161"/>
        <v>14.488554042306578</v>
      </c>
      <c r="Q2089" s="25">
        <v>5000</v>
      </c>
      <c r="R2089" s="22">
        <v>76</v>
      </c>
      <c r="S2089" s="22" t="s">
        <v>2638</v>
      </c>
      <c r="T2089" s="22">
        <f t="shared" si="162"/>
        <v>5</v>
      </c>
      <c r="U2089" s="22">
        <f t="shared" si="163"/>
        <v>2021</v>
      </c>
      <c r="V2089" s="22" t="str">
        <f t="shared" si="164"/>
        <v>METROPOLITANA</v>
      </c>
    </row>
    <row r="2090" spans="1:22" x14ac:dyDescent="0.2">
      <c r="A2090" s="23" t="s">
        <v>2633</v>
      </c>
      <c r="B2090" s="22" t="s">
        <v>33</v>
      </c>
      <c r="C2090" s="22" t="s">
        <v>223</v>
      </c>
      <c r="D2090" s="22" t="s">
        <v>125</v>
      </c>
      <c r="E2090" s="24">
        <v>172861164</v>
      </c>
      <c r="F2090" s="22" t="s">
        <v>2639</v>
      </c>
      <c r="G2090" s="25">
        <v>16939.19999999999</v>
      </c>
      <c r="H2090" s="22" t="s">
        <v>174</v>
      </c>
      <c r="I2090" s="22">
        <v>0</v>
      </c>
      <c r="J2090" s="22" t="s">
        <v>2639</v>
      </c>
      <c r="K2090" s="22" t="s">
        <v>75</v>
      </c>
      <c r="L2090" s="22">
        <v>0</v>
      </c>
      <c r="M2090" s="26">
        <v>380000</v>
      </c>
      <c r="N2090" s="26">
        <v>0</v>
      </c>
      <c r="O2090" s="15">
        <f t="shared" si="160"/>
        <v>380000</v>
      </c>
      <c r="P2090" s="15">
        <f t="shared" si="161"/>
        <v>22.433172759044123</v>
      </c>
      <c r="Q2090" s="25">
        <v>25000</v>
      </c>
      <c r="R2090" s="22">
        <v>68</v>
      </c>
      <c r="S2090" s="22" t="s">
        <v>2640</v>
      </c>
      <c r="T2090" s="22">
        <f t="shared" si="162"/>
        <v>5</v>
      </c>
      <c r="U2090" s="22">
        <f t="shared" si="163"/>
        <v>2021</v>
      </c>
      <c r="V2090" s="22" t="str">
        <f t="shared" si="164"/>
        <v>REGIONES</v>
      </c>
    </row>
    <row r="2091" spans="1:22" x14ac:dyDescent="0.2">
      <c r="A2091" s="23" t="s">
        <v>2633</v>
      </c>
      <c r="B2091" s="22" t="s">
        <v>33</v>
      </c>
      <c r="C2091" s="22" t="s">
        <v>29</v>
      </c>
      <c r="D2091" s="22" t="s">
        <v>30</v>
      </c>
      <c r="E2091" s="24">
        <v>75264391</v>
      </c>
      <c r="F2091" s="22" t="s">
        <v>39</v>
      </c>
      <c r="G2091" s="25">
        <f>4952.85+708</f>
        <v>5660.85</v>
      </c>
      <c r="H2091" s="22" t="s">
        <v>32</v>
      </c>
      <c r="I2091" s="22">
        <v>0</v>
      </c>
      <c r="J2091" s="22" t="s">
        <v>39</v>
      </c>
      <c r="K2091" s="22" t="s">
        <v>23</v>
      </c>
      <c r="L2091" s="22">
        <v>1</v>
      </c>
      <c r="M2091" s="26">
        <f>+G2091*11</f>
        <v>62269.350000000006</v>
      </c>
      <c r="N2091" s="26">
        <v>0</v>
      </c>
      <c r="O2091" s="15">
        <f t="shared" si="160"/>
        <v>62269.350000000006</v>
      </c>
      <c r="P2091" s="15">
        <f t="shared" si="161"/>
        <v>11</v>
      </c>
      <c r="Q2091" s="25">
        <v>5000</v>
      </c>
      <c r="R2091" s="22">
        <v>99</v>
      </c>
      <c r="S2091" s="22" t="s">
        <v>2641</v>
      </c>
      <c r="T2091" s="22">
        <f t="shared" si="162"/>
        <v>5</v>
      </c>
      <c r="U2091" s="22">
        <f t="shared" si="163"/>
        <v>2021</v>
      </c>
      <c r="V2091" s="22" t="str">
        <f t="shared" si="164"/>
        <v>METROPOLITANA</v>
      </c>
    </row>
    <row r="2092" spans="1:22" x14ac:dyDescent="0.2">
      <c r="A2092" s="23" t="s">
        <v>2633</v>
      </c>
      <c r="B2092" s="22" t="s">
        <v>33</v>
      </c>
      <c r="C2092" s="22" t="s">
        <v>44</v>
      </c>
      <c r="D2092" s="22" t="s">
        <v>47</v>
      </c>
      <c r="E2092" s="24">
        <v>154837728</v>
      </c>
      <c r="F2092" s="22" t="s">
        <v>48</v>
      </c>
      <c r="G2092" s="25">
        <v>4576.4000000000005</v>
      </c>
      <c r="H2092" s="22" t="s">
        <v>22</v>
      </c>
      <c r="I2092" s="22">
        <v>0</v>
      </c>
      <c r="J2092" s="22" t="s">
        <v>48</v>
      </c>
      <c r="K2092" s="22" t="s">
        <v>23</v>
      </c>
      <c r="L2092" s="22">
        <v>1</v>
      </c>
      <c r="M2092" s="26">
        <v>55000</v>
      </c>
      <c r="N2092" s="26">
        <v>0</v>
      </c>
      <c r="O2092" s="15">
        <f t="shared" si="160"/>
        <v>55000</v>
      </c>
      <c r="P2092" s="15">
        <f t="shared" si="161"/>
        <v>12.01818022900096</v>
      </c>
      <c r="Q2092" s="25">
        <v>5000</v>
      </c>
      <c r="R2092" s="22">
        <v>92</v>
      </c>
      <c r="S2092" s="22" t="s">
        <v>2642</v>
      </c>
      <c r="T2092" s="22">
        <f t="shared" si="162"/>
        <v>5</v>
      </c>
      <c r="U2092" s="22">
        <f t="shared" si="163"/>
        <v>2021</v>
      </c>
      <c r="V2092" s="22" t="str">
        <f t="shared" si="164"/>
        <v>METROPOLITANA</v>
      </c>
    </row>
    <row r="2093" spans="1:22" x14ac:dyDescent="0.2">
      <c r="A2093" s="23" t="s">
        <v>2633</v>
      </c>
      <c r="B2093" s="22" t="s">
        <v>33</v>
      </c>
      <c r="C2093" s="22" t="s">
        <v>44</v>
      </c>
      <c r="D2093" s="22" t="s">
        <v>867</v>
      </c>
      <c r="E2093" s="24">
        <v>98494073</v>
      </c>
      <c r="F2093" s="22" t="s">
        <v>66</v>
      </c>
      <c r="G2093" s="25">
        <v>14553.599999999989</v>
      </c>
      <c r="H2093" s="22" t="s">
        <v>85</v>
      </c>
      <c r="I2093" s="22">
        <v>1</v>
      </c>
      <c r="J2093" s="22" t="s">
        <v>66</v>
      </c>
      <c r="K2093" s="22" t="s">
        <v>75</v>
      </c>
      <c r="L2093" s="22">
        <v>0</v>
      </c>
      <c r="M2093" s="26">
        <v>380000</v>
      </c>
      <c r="N2093" s="26">
        <v>0</v>
      </c>
      <c r="O2093" s="15">
        <f t="shared" si="160"/>
        <v>380000</v>
      </c>
      <c r="P2093" s="15">
        <f t="shared" si="161"/>
        <v>26.110378188214618</v>
      </c>
      <c r="Q2093" s="25">
        <v>25000</v>
      </c>
      <c r="R2093" s="22">
        <v>58</v>
      </c>
      <c r="S2093" s="22" t="s">
        <v>2643</v>
      </c>
      <c r="T2093" s="22">
        <f t="shared" si="162"/>
        <v>5</v>
      </c>
      <c r="U2093" s="22">
        <f t="shared" si="163"/>
        <v>2021</v>
      </c>
      <c r="V2093" s="22" t="str">
        <f t="shared" si="164"/>
        <v>REGIONES</v>
      </c>
    </row>
    <row r="2094" spans="1:22" x14ac:dyDescent="0.2">
      <c r="A2094" s="11" t="s">
        <v>2644</v>
      </c>
      <c r="B2094" s="12" t="s">
        <v>33</v>
      </c>
      <c r="C2094" s="12" t="s">
        <v>128</v>
      </c>
      <c r="D2094" s="12" t="s">
        <v>38</v>
      </c>
      <c r="E2094" s="13" t="s">
        <v>42</v>
      </c>
      <c r="F2094" s="12" t="s">
        <v>129</v>
      </c>
      <c r="G2094" s="14">
        <v>7982.4999999999991</v>
      </c>
      <c r="H2094" s="12" t="s">
        <v>43</v>
      </c>
      <c r="I2094" s="12">
        <v>0</v>
      </c>
      <c r="J2094" s="12" t="s">
        <v>129</v>
      </c>
      <c r="K2094" s="12" t="s">
        <v>23</v>
      </c>
      <c r="L2094" s="12">
        <v>1</v>
      </c>
      <c r="M2094" s="15">
        <v>87807</v>
      </c>
      <c r="N2094" s="15">
        <v>0</v>
      </c>
      <c r="O2094" s="15">
        <f t="shared" si="160"/>
        <v>87807</v>
      </c>
      <c r="P2094" s="15">
        <f t="shared" si="161"/>
        <v>10.999937362981523</v>
      </c>
      <c r="Q2094" s="14">
        <v>5000</v>
      </c>
      <c r="R2094" s="12">
        <v>100</v>
      </c>
      <c r="S2094" s="12" t="s">
        <v>2645</v>
      </c>
      <c r="T2094" s="22">
        <f t="shared" si="162"/>
        <v>5</v>
      </c>
      <c r="U2094" s="22">
        <f t="shared" si="163"/>
        <v>2021</v>
      </c>
      <c r="V2094" s="22" t="str">
        <f t="shared" si="164"/>
        <v>METROPOLITANA</v>
      </c>
    </row>
    <row r="2095" spans="1:22" x14ac:dyDescent="0.2">
      <c r="A2095" s="11" t="s">
        <v>2644</v>
      </c>
      <c r="B2095" s="12" t="s">
        <v>33</v>
      </c>
      <c r="C2095" s="12" t="s">
        <v>128</v>
      </c>
      <c r="D2095" s="12" t="s">
        <v>63</v>
      </c>
      <c r="E2095" s="13" t="s">
        <v>64</v>
      </c>
      <c r="F2095" s="12" t="s">
        <v>129</v>
      </c>
      <c r="G2095" s="14">
        <v>5124.0000000000018</v>
      </c>
      <c r="H2095" s="12" t="s">
        <v>65</v>
      </c>
      <c r="I2095" s="12">
        <v>0</v>
      </c>
      <c r="J2095" s="12" t="s">
        <v>129</v>
      </c>
      <c r="K2095" s="12" t="s">
        <v>23</v>
      </c>
      <c r="L2095" s="12">
        <v>1</v>
      </c>
      <c r="M2095" s="15">
        <v>56364</v>
      </c>
      <c r="N2095" s="15">
        <v>0</v>
      </c>
      <c r="O2095" s="15">
        <f t="shared" si="160"/>
        <v>56364</v>
      </c>
      <c r="P2095" s="15">
        <f t="shared" si="161"/>
        <v>10.999999999999996</v>
      </c>
      <c r="Q2095" s="14">
        <v>5000</v>
      </c>
      <c r="R2095" s="12">
        <v>100</v>
      </c>
      <c r="S2095" s="12" t="s">
        <v>2646</v>
      </c>
      <c r="T2095" s="22">
        <f t="shared" si="162"/>
        <v>5</v>
      </c>
      <c r="U2095" s="22">
        <f t="shared" si="163"/>
        <v>2021</v>
      </c>
      <c r="V2095" s="22" t="str">
        <f t="shared" si="164"/>
        <v>METROPOLITANA</v>
      </c>
    </row>
    <row r="2096" spans="1:22" x14ac:dyDescent="0.2">
      <c r="A2096" s="11" t="s">
        <v>2644</v>
      </c>
      <c r="B2096" s="12" t="s">
        <v>33</v>
      </c>
      <c r="C2096" s="12" t="s">
        <v>128</v>
      </c>
      <c r="D2096" s="12" t="s">
        <v>30</v>
      </c>
      <c r="E2096" s="13" t="s">
        <v>31</v>
      </c>
      <c r="F2096" s="12" t="s">
        <v>129</v>
      </c>
      <c r="G2096" s="14">
        <v>7018.4000000000005</v>
      </c>
      <c r="H2096" s="12" t="s">
        <v>32</v>
      </c>
      <c r="I2096" s="12">
        <v>0</v>
      </c>
      <c r="J2096" s="12" t="s">
        <v>129</v>
      </c>
      <c r="K2096" s="12" t="s">
        <v>23</v>
      </c>
      <c r="L2096" s="12">
        <v>1</v>
      </c>
      <c r="M2096" s="15">
        <v>77202</v>
      </c>
      <c r="N2096" s="15">
        <v>0</v>
      </c>
      <c r="O2096" s="15">
        <f t="shared" si="160"/>
        <v>77202</v>
      </c>
      <c r="P2096" s="15">
        <f t="shared" si="161"/>
        <v>10.999943006953151</v>
      </c>
      <c r="Q2096" s="14">
        <v>5000</v>
      </c>
      <c r="R2096" s="12">
        <v>100</v>
      </c>
      <c r="S2096" s="12" t="s">
        <v>2647</v>
      </c>
      <c r="T2096" s="22">
        <f t="shared" si="162"/>
        <v>5</v>
      </c>
      <c r="U2096" s="22">
        <f t="shared" si="163"/>
        <v>2021</v>
      </c>
      <c r="V2096" s="22" t="str">
        <f t="shared" si="164"/>
        <v>METROPOLITANA</v>
      </c>
    </row>
    <row r="2097" spans="1:22" x14ac:dyDescent="0.2">
      <c r="A2097" s="11" t="s">
        <v>2644</v>
      </c>
      <c r="B2097" s="12" t="s">
        <v>33</v>
      </c>
      <c r="C2097" s="12" t="s">
        <v>128</v>
      </c>
      <c r="D2097" s="12" t="s">
        <v>164</v>
      </c>
      <c r="E2097" s="13" t="s">
        <v>28</v>
      </c>
      <c r="F2097" s="12" t="s">
        <v>129</v>
      </c>
      <c r="G2097" s="14">
        <v>7872.0000000000045</v>
      </c>
      <c r="H2097" s="12" t="s">
        <v>22</v>
      </c>
      <c r="I2097" s="12">
        <v>1</v>
      </c>
      <c r="J2097" s="12" t="s">
        <v>129</v>
      </c>
      <c r="K2097" s="12" t="s">
        <v>23</v>
      </c>
      <c r="L2097" s="12">
        <v>1</v>
      </c>
      <c r="M2097" s="15">
        <v>86592</v>
      </c>
      <c r="N2097" s="15">
        <v>0</v>
      </c>
      <c r="O2097" s="15">
        <f t="shared" si="160"/>
        <v>86592</v>
      </c>
      <c r="P2097" s="15">
        <f t="shared" si="161"/>
        <v>10.999999999999993</v>
      </c>
      <c r="Q2097" s="14">
        <v>5000</v>
      </c>
      <c r="R2097" s="12">
        <v>100</v>
      </c>
      <c r="S2097" s="12" t="s">
        <v>2648</v>
      </c>
      <c r="T2097" s="22">
        <f t="shared" si="162"/>
        <v>5</v>
      </c>
      <c r="U2097" s="22">
        <f t="shared" si="163"/>
        <v>2021</v>
      </c>
      <c r="V2097" s="22" t="str">
        <f t="shared" si="164"/>
        <v>METROPOLITANA</v>
      </c>
    </row>
    <row r="2098" spans="1:22" x14ac:dyDescent="0.2">
      <c r="A2098" s="11" t="s">
        <v>2644</v>
      </c>
      <c r="B2098" s="12" t="s">
        <v>33</v>
      </c>
      <c r="C2098" s="12" t="s">
        <v>36</v>
      </c>
      <c r="D2098" s="12" t="s">
        <v>56</v>
      </c>
      <c r="E2098" s="13" t="s">
        <v>52</v>
      </c>
      <c r="F2098" s="12" t="s">
        <v>53</v>
      </c>
      <c r="G2098" s="14">
        <v>4449.6000000000013</v>
      </c>
      <c r="H2098" s="12" t="s">
        <v>22</v>
      </c>
      <c r="I2098" s="12">
        <v>0</v>
      </c>
      <c r="J2098" s="12" t="s">
        <v>53</v>
      </c>
      <c r="K2098" s="12" t="s">
        <v>23</v>
      </c>
      <c r="L2098" s="12">
        <v>3</v>
      </c>
      <c r="M2098" s="15">
        <v>55000</v>
      </c>
      <c r="N2098" s="15">
        <v>0</v>
      </c>
      <c r="O2098" s="15">
        <f t="shared" si="160"/>
        <v>55000</v>
      </c>
      <c r="P2098" s="15">
        <f t="shared" si="161"/>
        <v>12.360661632506289</v>
      </c>
      <c r="Q2098" s="14">
        <v>5000</v>
      </c>
      <c r="R2098" s="12">
        <v>89</v>
      </c>
      <c r="S2098" s="12" t="s">
        <v>2649</v>
      </c>
      <c r="T2098" s="22">
        <f t="shared" si="162"/>
        <v>5</v>
      </c>
      <c r="U2098" s="22">
        <f t="shared" si="163"/>
        <v>2021</v>
      </c>
      <c r="V2098" s="22" t="str">
        <f t="shared" si="164"/>
        <v>METROPOLITANA</v>
      </c>
    </row>
    <row r="2099" spans="1:22" x14ac:dyDescent="0.2">
      <c r="A2099" s="11" t="s">
        <v>2644</v>
      </c>
      <c r="B2099" s="12" t="s">
        <v>33</v>
      </c>
      <c r="C2099" s="12" t="s">
        <v>36</v>
      </c>
      <c r="D2099" s="12" t="s">
        <v>786</v>
      </c>
      <c r="E2099" s="13" t="s">
        <v>787</v>
      </c>
      <c r="F2099" s="12" t="s">
        <v>170</v>
      </c>
      <c r="G2099" s="14">
        <v>6100</v>
      </c>
      <c r="H2099" s="12" t="s">
        <v>788</v>
      </c>
      <c r="I2099" s="12">
        <v>1</v>
      </c>
      <c r="J2099" s="12" t="s">
        <v>170</v>
      </c>
      <c r="K2099" s="12" t="s">
        <v>171</v>
      </c>
      <c r="L2099" s="12">
        <v>0</v>
      </c>
      <c r="M2099" s="15">
        <v>230000</v>
      </c>
      <c r="N2099" s="15">
        <v>0</v>
      </c>
      <c r="O2099" s="15">
        <f t="shared" si="160"/>
        <v>230000</v>
      </c>
      <c r="P2099" s="15">
        <f t="shared" si="161"/>
        <v>37.704918032786885</v>
      </c>
      <c r="Q2099" s="14">
        <v>25000</v>
      </c>
      <c r="R2099" s="12">
        <v>24</v>
      </c>
      <c r="S2099" s="12" t="s">
        <v>2650</v>
      </c>
      <c r="T2099" s="22">
        <f t="shared" si="162"/>
        <v>5</v>
      </c>
      <c r="U2099" s="22">
        <f t="shared" si="163"/>
        <v>2021</v>
      </c>
      <c r="V2099" s="22" t="str">
        <f t="shared" si="164"/>
        <v>REGIONES</v>
      </c>
    </row>
    <row r="2100" spans="1:22" x14ac:dyDescent="0.2">
      <c r="A2100" s="11" t="s">
        <v>2644</v>
      </c>
      <c r="B2100" s="12" t="s">
        <v>33</v>
      </c>
      <c r="C2100" s="12" t="s">
        <v>44</v>
      </c>
      <c r="D2100" s="12" t="s">
        <v>130</v>
      </c>
      <c r="E2100" s="13" t="s">
        <v>131</v>
      </c>
      <c r="F2100" s="12" t="s">
        <v>66</v>
      </c>
      <c r="G2100" s="14">
        <v>14627.6</v>
      </c>
      <c r="H2100" s="12" t="s">
        <v>85</v>
      </c>
      <c r="I2100" s="12">
        <v>1</v>
      </c>
      <c r="J2100" s="12" t="s">
        <v>66</v>
      </c>
      <c r="K2100" s="12" t="s">
        <v>75</v>
      </c>
      <c r="L2100" s="12">
        <v>0</v>
      </c>
      <c r="M2100" s="15">
        <v>380000</v>
      </c>
      <c r="N2100" s="15">
        <v>0</v>
      </c>
      <c r="O2100" s="15">
        <f t="shared" si="160"/>
        <v>380000</v>
      </c>
      <c r="P2100" s="15">
        <f t="shared" si="161"/>
        <v>25.978287620662307</v>
      </c>
      <c r="Q2100" s="14">
        <v>25000</v>
      </c>
      <c r="R2100" s="12">
        <v>59</v>
      </c>
      <c r="S2100" s="12" t="s">
        <v>2651</v>
      </c>
      <c r="T2100" s="22">
        <f t="shared" si="162"/>
        <v>5</v>
      </c>
      <c r="U2100" s="22">
        <f t="shared" si="163"/>
        <v>2021</v>
      </c>
      <c r="V2100" s="22" t="str">
        <f t="shared" si="164"/>
        <v>REGIONES</v>
      </c>
    </row>
    <row r="2101" spans="1:22" x14ac:dyDescent="0.2">
      <c r="A2101" s="11" t="s">
        <v>2644</v>
      </c>
      <c r="B2101" s="12" t="s">
        <v>33</v>
      </c>
      <c r="C2101" s="12" t="s">
        <v>44</v>
      </c>
      <c r="D2101" s="12" t="s">
        <v>188</v>
      </c>
      <c r="E2101" s="13" t="s">
        <v>189</v>
      </c>
      <c r="F2101" s="12" t="s">
        <v>95</v>
      </c>
      <c r="G2101" s="14">
        <v>4301.6000000000004</v>
      </c>
      <c r="H2101" s="12" t="s">
        <v>190</v>
      </c>
      <c r="I2101" s="12">
        <v>0</v>
      </c>
      <c r="J2101" s="12" t="s">
        <v>95</v>
      </c>
      <c r="K2101" s="12" t="s">
        <v>23</v>
      </c>
      <c r="L2101" s="12">
        <v>4</v>
      </c>
      <c r="M2101" s="15">
        <v>55000</v>
      </c>
      <c r="N2101" s="15">
        <v>0</v>
      </c>
      <c r="O2101" s="15">
        <f t="shared" si="160"/>
        <v>55000</v>
      </c>
      <c r="P2101" s="15">
        <f t="shared" si="161"/>
        <v>12.785940115305932</v>
      </c>
      <c r="Q2101" s="14">
        <v>5000</v>
      </c>
      <c r="R2101" s="12">
        <v>86</v>
      </c>
      <c r="S2101" s="12" t="s">
        <v>2652</v>
      </c>
      <c r="T2101" s="22">
        <f t="shared" si="162"/>
        <v>5</v>
      </c>
      <c r="U2101" s="22">
        <f t="shared" si="163"/>
        <v>2021</v>
      </c>
      <c r="V2101" s="22" t="str">
        <f t="shared" si="164"/>
        <v>METROPOLITANA</v>
      </c>
    </row>
    <row r="2102" spans="1:22" x14ac:dyDescent="0.2">
      <c r="A2102" s="11" t="s">
        <v>2644</v>
      </c>
      <c r="B2102" s="12" t="s">
        <v>33</v>
      </c>
      <c r="C2102" s="12" t="s">
        <v>44</v>
      </c>
      <c r="D2102" s="12" t="s">
        <v>80</v>
      </c>
      <c r="E2102" s="13" t="s">
        <v>81</v>
      </c>
      <c r="F2102" s="12" t="s">
        <v>114</v>
      </c>
      <c r="G2102" s="14">
        <v>9219.5</v>
      </c>
      <c r="H2102" s="12" t="s">
        <v>85</v>
      </c>
      <c r="I2102" s="12">
        <v>1</v>
      </c>
      <c r="J2102" s="12" t="s">
        <v>114</v>
      </c>
      <c r="K2102" s="12" t="s">
        <v>75</v>
      </c>
      <c r="L2102" s="12">
        <v>0</v>
      </c>
      <c r="M2102" s="15">
        <v>380000</v>
      </c>
      <c r="N2102" s="15">
        <v>0</v>
      </c>
      <c r="O2102" s="15">
        <f t="shared" si="160"/>
        <v>380000</v>
      </c>
      <c r="P2102" s="15">
        <f t="shared" si="161"/>
        <v>41.216985736753621</v>
      </c>
      <c r="Q2102" s="14">
        <v>25000</v>
      </c>
      <c r="R2102" s="12">
        <v>37</v>
      </c>
      <c r="S2102" s="12" t="s">
        <v>2653</v>
      </c>
      <c r="T2102" s="22">
        <f t="shared" si="162"/>
        <v>5</v>
      </c>
      <c r="U2102" s="22">
        <f t="shared" si="163"/>
        <v>2021</v>
      </c>
      <c r="V2102" s="22" t="str">
        <f t="shared" si="164"/>
        <v>REGIONES</v>
      </c>
    </row>
    <row r="2103" spans="1:22" x14ac:dyDescent="0.2">
      <c r="A2103" s="23" t="s">
        <v>2654</v>
      </c>
      <c r="B2103" s="22" t="s">
        <v>33</v>
      </c>
      <c r="C2103" s="22" t="s">
        <v>163</v>
      </c>
      <c r="D2103" s="22" t="s">
        <v>30</v>
      </c>
      <c r="E2103" s="24" t="s">
        <v>31</v>
      </c>
      <c r="F2103" s="22" t="s">
        <v>165</v>
      </c>
      <c r="G2103" s="25">
        <v>9025.3000000000047</v>
      </c>
      <c r="H2103" s="22" t="s">
        <v>32</v>
      </c>
      <c r="I2103" s="22">
        <v>0</v>
      </c>
      <c r="J2103" s="22" t="s">
        <v>165</v>
      </c>
      <c r="K2103" s="22" t="s">
        <v>23</v>
      </c>
      <c r="L2103" s="22">
        <v>4</v>
      </c>
      <c r="M2103" s="26">
        <v>99278</v>
      </c>
      <c r="N2103" s="26">
        <v>0</v>
      </c>
      <c r="O2103" s="15">
        <f t="shared" si="160"/>
        <v>99278</v>
      </c>
      <c r="P2103" s="15">
        <f t="shared" si="161"/>
        <v>10.999966760107691</v>
      </c>
      <c r="Q2103" s="25">
        <v>5000</v>
      </c>
      <c r="R2103" s="22">
        <v>100</v>
      </c>
      <c r="S2103" s="22" t="s">
        <v>2655</v>
      </c>
      <c r="T2103" s="22">
        <f t="shared" si="162"/>
        <v>5</v>
      </c>
      <c r="U2103" s="22">
        <f t="shared" si="163"/>
        <v>2021</v>
      </c>
      <c r="V2103" s="22" t="str">
        <f t="shared" si="164"/>
        <v>METROPOLITANA</v>
      </c>
    </row>
    <row r="2104" spans="1:22" x14ac:dyDescent="0.2">
      <c r="A2104" s="23" t="s">
        <v>2654</v>
      </c>
      <c r="B2104" s="22" t="s">
        <v>33</v>
      </c>
      <c r="C2104" s="22" t="s">
        <v>36</v>
      </c>
      <c r="D2104" s="22" t="s">
        <v>361</v>
      </c>
      <c r="E2104" s="24" t="s">
        <v>52</v>
      </c>
      <c r="F2104" s="22" t="s">
        <v>225</v>
      </c>
      <c r="G2104" s="25">
        <v>6176.6</v>
      </c>
      <c r="H2104" s="22" t="s">
        <v>24</v>
      </c>
      <c r="I2104" s="22">
        <v>1</v>
      </c>
      <c r="J2104" s="22" t="s">
        <v>225</v>
      </c>
      <c r="K2104" s="22" t="s">
        <v>23</v>
      </c>
      <c r="L2104" s="22">
        <v>3</v>
      </c>
      <c r="M2104" s="26">
        <v>67943</v>
      </c>
      <c r="N2104" s="26">
        <v>0</v>
      </c>
      <c r="O2104" s="15">
        <f t="shared" si="160"/>
        <v>67943</v>
      </c>
      <c r="P2104" s="15">
        <f t="shared" si="161"/>
        <v>11.000064760547874</v>
      </c>
      <c r="Q2104" s="25">
        <v>5000</v>
      </c>
      <c r="R2104" s="22">
        <v>100</v>
      </c>
      <c r="S2104" s="22" t="s">
        <v>2656</v>
      </c>
      <c r="T2104" s="22">
        <f t="shared" si="162"/>
        <v>5</v>
      </c>
      <c r="U2104" s="22">
        <f t="shared" si="163"/>
        <v>2021</v>
      </c>
      <c r="V2104" s="22" t="str">
        <f t="shared" si="164"/>
        <v>METROPOLITANA</v>
      </c>
    </row>
    <row r="2105" spans="1:22" x14ac:dyDescent="0.2">
      <c r="A2105" s="23" t="s">
        <v>2654</v>
      </c>
      <c r="B2105" s="22" t="s">
        <v>33</v>
      </c>
      <c r="C2105" s="22" t="s">
        <v>36</v>
      </c>
      <c r="D2105" s="22" t="s">
        <v>47</v>
      </c>
      <c r="E2105" s="24" t="s">
        <v>1576</v>
      </c>
      <c r="F2105" s="22" t="s">
        <v>67</v>
      </c>
      <c r="G2105" s="25">
        <v>7159.8</v>
      </c>
      <c r="H2105" s="22" t="s">
        <v>22</v>
      </c>
      <c r="I2105" s="22">
        <v>0</v>
      </c>
      <c r="J2105" s="22" t="s">
        <v>67</v>
      </c>
      <c r="K2105" s="22" t="s">
        <v>23</v>
      </c>
      <c r="L2105" s="22">
        <v>2</v>
      </c>
      <c r="M2105" s="26">
        <v>78758</v>
      </c>
      <c r="N2105" s="26">
        <v>0</v>
      </c>
      <c r="O2105" s="15">
        <f t="shared" si="160"/>
        <v>78758</v>
      </c>
      <c r="P2105" s="15">
        <f t="shared" si="161"/>
        <v>11.000027933741165</v>
      </c>
      <c r="Q2105" s="25">
        <v>5000</v>
      </c>
      <c r="R2105" s="22">
        <v>100</v>
      </c>
      <c r="S2105" s="22" t="s">
        <v>2657</v>
      </c>
      <c r="T2105" s="22">
        <f t="shared" si="162"/>
        <v>5</v>
      </c>
      <c r="U2105" s="22">
        <f t="shared" si="163"/>
        <v>2021</v>
      </c>
      <c r="V2105" s="22" t="str">
        <f t="shared" si="164"/>
        <v>METROPOLITANA</v>
      </c>
    </row>
    <row r="2106" spans="1:22" x14ac:dyDescent="0.2">
      <c r="A2106" s="23" t="s">
        <v>2654</v>
      </c>
      <c r="B2106" s="22" t="s">
        <v>33</v>
      </c>
      <c r="C2106" s="22" t="s">
        <v>36</v>
      </c>
      <c r="D2106" s="22" t="s">
        <v>35</v>
      </c>
      <c r="E2106" s="24" t="s">
        <v>21</v>
      </c>
      <c r="F2106" s="22" t="s">
        <v>230</v>
      </c>
      <c r="G2106" s="25">
        <v>5326.4</v>
      </c>
      <c r="H2106" s="22" t="s">
        <v>22</v>
      </c>
      <c r="I2106" s="22">
        <v>0</v>
      </c>
      <c r="J2106" s="22" t="s">
        <v>230</v>
      </c>
      <c r="K2106" s="22" t="s">
        <v>23</v>
      </c>
      <c r="L2106" s="22">
        <v>4</v>
      </c>
      <c r="M2106" s="26">
        <v>58590</v>
      </c>
      <c r="N2106" s="26">
        <v>0</v>
      </c>
      <c r="O2106" s="15">
        <f t="shared" si="160"/>
        <v>58590</v>
      </c>
      <c r="P2106" s="15">
        <f t="shared" si="161"/>
        <v>10.999924902373087</v>
      </c>
      <c r="Q2106" s="25">
        <v>5000</v>
      </c>
      <c r="R2106" s="22">
        <v>100</v>
      </c>
      <c r="S2106" s="22" t="s">
        <v>2658</v>
      </c>
      <c r="T2106" s="22">
        <f t="shared" si="162"/>
        <v>5</v>
      </c>
      <c r="U2106" s="22">
        <f t="shared" si="163"/>
        <v>2021</v>
      </c>
      <c r="V2106" s="22" t="str">
        <f t="shared" si="164"/>
        <v>METROPOLITANA</v>
      </c>
    </row>
    <row r="2107" spans="1:22" x14ac:dyDescent="0.2">
      <c r="A2107" s="23" t="s">
        <v>2654</v>
      </c>
      <c r="B2107" s="22" t="s">
        <v>33</v>
      </c>
      <c r="C2107" s="22" t="s">
        <v>36</v>
      </c>
      <c r="D2107" s="22" t="s">
        <v>41</v>
      </c>
      <c r="E2107" s="24" t="s">
        <v>42</v>
      </c>
      <c r="F2107" s="22" t="s">
        <v>182</v>
      </c>
      <c r="G2107" s="25">
        <v>5601.2</v>
      </c>
      <c r="H2107" s="22" t="s">
        <v>43</v>
      </c>
      <c r="I2107" s="22">
        <v>0</v>
      </c>
      <c r="J2107" s="22" t="s">
        <v>182</v>
      </c>
      <c r="K2107" s="22" t="s">
        <v>23</v>
      </c>
      <c r="L2107" s="22">
        <v>4</v>
      </c>
      <c r="M2107" s="26">
        <v>61613</v>
      </c>
      <c r="N2107" s="26">
        <v>0</v>
      </c>
      <c r="O2107" s="15">
        <f t="shared" si="160"/>
        <v>61613</v>
      </c>
      <c r="P2107" s="15">
        <f t="shared" si="161"/>
        <v>10.999964293365707</v>
      </c>
      <c r="Q2107" s="25">
        <v>5000</v>
      </c>
      <c r="R2107" s="22">
        <v>100</v>
      </c>
      <c r="S2107" s="22" t="s">
        <v>2659</v>
      </c>
      <c r="T2107" s="22">
        <f t="shared" si="162"/>
        <v>5</v>
      </c>
      <c r="U2107" s="22">
        <f t="shared" si="163"/>
        <v>2021</v>
      </c>
      <c r="V2107" s="22" t="str">
        <f t="shared" si="164"/>
        <v>METROPOLITANA</v>
      </c>
    </row>
    <row r="2108" spans="1:22" x14ac:dyDescent="0.2">
      <c r="A2108" s="23" t="s">
        <v>2654</v>
      </c>
      <c r="B2108" s="22" t="s">
        <v>33</v>
      </c>
      <c r="C2108" s="22" t="s">
        <v>29</v>
      </c>
      <c r="D2108" s="22" t="s">
        <v>125</v>
      </c>
      <c r="E2108" s="24" t="s">
        <v>126</v>
      </c>
      <c r="F2108" s="22" t="s">
        <v>173</v>
      </c>
      <c r="G2108" s="25">
        <v>3001.6</v>
      </c>
      <c r="H2108" s="22" t="s">
        <v>174</v>
      </c>
      <c r="I2108" s="22">
        <v>0</v>
      </c>
      <c r="J2108" s="22" t="s">
        <v>173</v>
      </c>
      <c r="K2108" s="22" t="s">
        <v>23</v>
      </c>
      <c r="L2108" s="22">
        <v>5</v>
      </c>
      <c r="M2108" s="26">
        <v>90000</v>
      </c>
      <c r="N2108" s="26">
        <v>0</v>
      </c>
      <c r="O2108" s="15">
        <f t="shared" si="160"/>
        <v>90000</v>
      </c>
      <c r="P2108" s="15">
        <f t="shared" si="161"/>
        <v>29.984008528784649</v>
      </c>
      <c r="Q2108" s="25">
        <v>10000</v>
      </c>
      <c r="R2108" s="22">
        <v>30</v>
      </c>
      <c r="S2108" s="22" t="s">
        <v>2660</v>
      </c>
      <c r="T2108" s="22">
        <f t="shared" si="162"/>
        <v>5</v>
      </c>
      <c r="U2108" s="22">
        <f t="shared" si="163"/>
        <v>2021</v>
      </c>
      <c r="V2108" s="22" t="str">
        <f t="shared" si="164"/>
        <v>METROPOLITANA</v>
      </c>
    </row>
    <row r="2109" spans="1:22" x14ac:dyDescent="0.2">
      <c r="A2109" s="23" t="s">
        <v>2654</v>
      </c>
      <c r="B2109" s="22" t="s">
        <v>33</v>
      </c>
      <c r="C2109" s="22" t="s">
        <v>29</v>
      </c>
      <c r="D2109" s="22" t="s">
        <v>35</v>
      </c>
      <c r="E2109" s="24" t="s">
        <v>40</v>
      </c>
      <c r="F2109" s="22" t="s">
        <v>134</v>
      </c>
      <c r="G2109" s="25">
        <v>5464.2000000000007</v>
      </c>
      <c r="H2109" s="22" t="s">
        <v>22</v>
      </c>
      <c r="I2109" s="22">
        <v>0</v>
      </c>
      <c r="J2109" s="22" t="s">
        <v>134</v>
      </c>
      <c r="K2109" s="22" t="s">
        <v>23</v>
      </c>
      <c r="L2109" s="22">
        <v>2</v>
      </c>
      <c r="M2109" s="26">
        <v>60106</v>
      </c>
      <c r="N2109" s="26">
        <v>0</v>
      </c>
      <c r="O2109" s="15">
        <f t="shared" si="160"/>
        <v>60106</v>
      </c>
      <c r="P2109" s="15">
        <f t="shared" si="161"/>
        <v>10.999963398118663</v>
      </c>
      <c r="Q2109" s="25">
        <v>5000</v>
      </c>
      <c r="R2109" s="22">
        <v>100</v>
      </c>
      <c r="S2109" s="22" t="s">
        <v>2661</v>
      </c>
      <c r="T2109" s="22">
        <f t="shared" si="162"/>
        <v>5</v>
      </c>
      <c r="U2109" s="22">
        <f t="shared" si="163"/>
        <v>2021</v>
      </c>
      <c r="V2109" s="22" t="str">
        <f t="shared" si="164"/>
        <v>METROPOLITANA</v>
      </c>
    </row>
    <row r="2110" spans="1:22" x14ac:dyDescent="0.2">
      <c r="A2110" s="23" t="s">
        <v>2654</v>
      </c>
      <c r="B2110" s="22" t="s">
        <v>33</v>
      </c>
      <c r="C2110" s="22" t="s">
        <v>29</v>
      </c>
      <c r="D2110" s="22" t="s">
        <v>41</v>
      </c>
      <c r="E2110" s="24" t="s">
        <v>25</v>
      </c>
      <c r="F2110" s="22" t="s">
        <v>129</v>
      </c>
      <c r="G2110" s="25">
        <v>5866.5999999999995</v>
      </c>
      <c r="H2110" s="22" t="s">
        <v>43</v>
      </c>
      <c r="I2110" s="22">
        <v>0</v>
      </c>
      <c r="J2110" s="22" t="s">
        <v>129</v>
      </c>
      <c r="K2110" s="22" t="s">
        <v>23</v>
      </c>
      <c r="L2110" s="22">
        <v>1</v>
      </c>
      <c r="M2110" s="26">
        <v>64533</v>
      </c>
      <c r="N2110" s="26">
        <v>0</v>
      </c>
      <c r="O2110" s="15">
        <f t="shared" si="160"/>
        <v>64533</v>
      </c>
      <c r="P2110" s="15">
        <f t="shared" si="161"/>
        <v>11.000068182592985</v>
      </c>
      <c r="Q2110" s="25">
        <v>5000</v>
      </c>
      <c r="R2110" s="22">
        <v>100</v>
      </c>
      <c r="S2110" s="22" t="s">
        <v>2662</v>
      </c>
      <c r="T2110" s="22">
        <f t="shared" si="162"/>
        <v>5</v>
      </c>
      <c r="U2110" s="22">
        <f t="shared" si="163"/>
        <v>2021</v>
      </c>
      <c r="V2110" s="22" t="str">
        <f t="shared" si="164"/>
        <v>METROPOLITANA</v>
      </c>
    </row>
    <row r="2111" spans="1:22" x14ac:dyDescent="0.2">
      <c r="A2111" s="23" t="s">
        <v>2654</v>
      </c>
      <c r="B2111" s="22" t="s">
        <v>33</v>
      </c>
      <c r="C2111" s="22" t="s">
        <v>29</v>
      </c>
      <c r="D2111" s="22" t="s">
        <v>20</v>
      </c>
      <c r="E2111" s="24" t="s">
        <v>21</v>
      </c>
      <c r="F2111" s="22" t="s">
        <v>134</v>
      </c>
      <c r="G2111" s="25">
        <v>8586.6000000000022</v>
      </c>
      <c r="H2111" s="22" t="s">
        <v>22</v>
      </c>
      <c r="I2111" s="22">
        <v>0</v>
      </c>
      <c r="J2111" s="22" t="s">
        <v>134</v>
      </c>
      <c r="K2111" s="22" t="s">
        <v>23</v>
      </c>
      <c r="L2111" s="22">
        <v>2</v>
      </c>
      <c r="M2111" s="26">
        <v>94453</v>
      </c>
      <c r="N2111" s="26">
        <v>0</v>
      </c>
      <c r="O2111" s="15">
        <f t="shared" si="160"/>
        <v>94453</v>
      </c>
      <c r="P2111" s="15">
        <f t="shared" si="161"/>
        <v>11.000046584212608</v>
      </c>
      <c r="Q2111" s="25">
        <v>5000</v>
      </c>
      <c r="R2111" s="22">
        <v>100</v>
      </c>
      <c r="S2111" s="22" t="s">
        <v>2663</v>
      </c>
      <c r="T2111" s="22">
        <f t="shared" si="162"/>
        <v>5</v>
      </c>
      <c r="U2111" s="22">
        <f t="shared" si="163"/>
        <v>2021</v>
      </c>
      <c r="V2111" s="22" t="str">
        <f t="shared" si="164"/>
        <v>METROPOLITANA</v>
      </c>
    </row>
    <row r="2112" spans="1:22" x14ac:dyDescent="0.2">
      <c r="A2112" s="23" t="s">
        <v>2654</v>
      </c>
      <c r="B2112" s="22" t="s">
        <v>33</v>
      </c>
      <c r="C2112" s="22" t="s">
        <v>44</v>
      </c>
      <c r="D2112" s="22" t="s">
        <v>191</v>
      </c>
      <c r="E2112" s="24" t="s">
        <v>192</v>
      </c>
      <c r="F2112" s="22" t="s">
        <v>114</v>
      </c>
      <c r="G2112" s="25">
        <v>8571.1000000000058</v>
      </c>
      <c r="H2112" s="22" t="s">
        <v>85</v>
      </c>
      <c r="I2112" s="22">
        <v>1</v>
      </c>
      <c r="J2112" s="22" t="s">
        <v>114</v>
      </c>
      <c r="K2112" s="22" t="s">
        <v>75</v>
      </c>
      <c r="L2112" s="22">
        <v>0</v>
      </c>
      <c r="M2112" s="26">
        <v>380000</v>
      </c>
      <c r="N2112" s="26">
        <v>0</v>
      </c>
      <c r="O2112" s="15">
        <f t="shared" si="160"/>
        <v>380000</v>
      </c>
      <c r="P2112" s="15">
        <f t="shared" si="161"/>
        <v>44.335032842925614</v>
      </c>
      <c r="Q2112" s="25">
        <v>25000</v>
      </c>
      <c r="R2112" s="22">
        <v>34</v>
      </c>
      <c r="S2112" s="22" t="s">
        <v>2664</v>
      </c>
      <c r="T2112" s="22">
        <f t="shared" si="162"/>
        <v>5</v>
      </c>
      <c r="U2112" s="22">
        <f t="shared" si="163"/>
        <v>2021</v>
      </c>
      <c r="V2112" s="22" t="str">
        <f t="shared" si="164"/>
        <v>REGIONES</v>
      </c>
    </row>
    <row r="2113" spans="1:22" x14ac:dyDescent="0.2">
      <c r="A2113" s="23" t="s">
        <v>2654</v>
      </c>
      <c r="B2113" s="22" t="s">
        <v>33</v>
      </c>
      <c r="C2113" s="22" t="s">
        <v>44</v>
      </c>
      <c r="D2113" s="22" t="s">
        <v>63</v>
      </c>
      <c r="E2113" s="24" t="s">
        <v>64</v>
      </c>
      <c r="F2113" s="22" t="s">
        <v>94</v>
      </c>
      <c r="G2113" s="25">
        <v>7875.7000000000016</v>
      </c>
      <c r="H2113" s="22" t="s">
        <v>65</v>
      </c>
      <c r="I2113" s="22">
        <v>0</v>
      </c>
      <c r="J2113" s="22" t="s">
        <v>59</v>
      </c>
      <c r="K2113" s="22" t="s">
        <v>78</v>
      </c>
      <c r="L2113" s="22">
        <v>0</v>
      </c>
      <c r="M2113" s="26">
        <v>180000</v>
      </c>
      <c r="N2113" s="26">
        <v>0</v>
      </c>
      <c r="O2113" s="15">
        <f t="shared" si="160"/>
        <v>180000</v>
      </c>
      <c r="P2113" s="15">
        <f t="shared" si="161"/>
        <v>22.855111291694701</v>
      </c>
      <c r="Q2113" s="25">
        <v>25000</v>
      </c>
      <c r="R2113" s="22">
        <v>32</v>
      </c>
      <c r="S2113" s="22" t="s">
        <v>2665</v>
      </c>
      <c r="T2113" s="22">
        <f t="shared" si="162"/>
        <v>5</v>
      </c>
      <c r="U2113" s="22">
        <f t="shared" si="163"/>
        <v>2021</v>
      </c>
      <c r="V2113" s="22" t="str">
        <f t="shared" si="164"/>
        <v>REGIONES</v>
      </c>
    </row>
    <row r="2114" spans="1:22" s="34" customFormat="1" x14ac:dyDescent="0.2">
      <c r="A2114" s="11" t="s">
        <v>2669</v>
      </c>
      <c r="B2114" s="12" t="s">
        <v>33</v>
      </c>
      <c r="C2114" s="12" t="s">
        <v>36</v>
      </c>
      <c r="D2114" s="12" t="s">
        <v>2262</v>
      </c>
      <c r="E2114" s="13" t="s">
        <v>83</v>
      </c>
      <c r="F2114" s="12" t="s">
        <v>132</v>
      </c>
      <c r="G2114" s="14">
        <v>6191</v>
      </c>
      <c r="H2114" s="12" t="s">
        <v>24</v>
      </c>
      <c r="I2114" s="12">
        <v>1</v>
      </c>
      <c r="J2114" s="12" t="s">
        <v>132</v>
      </c>
      <c r="K2114" s="12" t="s">
        <v>124</v>
      </c>
      <c r="L2114" s="12">
        <v>0</v>
      </c>
      <c r="M2114" s="15">
        <v>350000</v>
      </c>
      <c r="N2114" s="15">
        <v>0</v>
      </c>
      <c r="O2114" s="15">
        <f t="shared" ref="O2114:O2177" si="165">SUM(M2114:N2114)</f>
        <v>350000</v>
      </c>
      <c r="P2114" s="15">
        <f t="shared" ref="P2114:P2177" si="166">O2114/G2114</f>
        <v>56.533677919560652</v>
      </c>
      <c r="Q2114" s="14">
        <v>25000</v>
      </c>
      <c r="R2114" s="12">
        <v>19</v>
      </c>
      <c r="S2114" s="12" t="s">
        <v>2765</v>
      </c>
      <c r="T2114" s="34">
        <f t="shared" ref="T2114:T2177" si="167">MONTH(A2114)</f>
        <v>5</v>
      </c>
      <c r="U2114" s="34">
        <f t="shared" ref="U2114:U2177" si="168">YEAR(A2114)</f>
        <v>2021</v>
      </c>
      <c r="V2114" s="34" t="str">
        <f t="shared" ref="V2114:V2177" si="169">IF(K2114="METROPOLITANA DE SANTIAGO","METROPOLITANA","REGIONES")</f>
        <v>REGIONES</v>
      </c>
    </row>
    <row r="2115" spans="1:22" x14ac:dyDescent="0.2">
      <c r="A2115" s="11" t="s">
        <v>2669</v>
      </c>
      <c r="B2115" s="12" t="s">
        <v>33</v>
      </c>
      <c r="C2115" s="12" t="s">
        <v>2605</v>
      </c>
      <c r="D2115" s="12" t="s">
        <v>30</v>
      </c>
      <c r="E2115" s="13" t="s">
        <v>31</v>
      </c>
      <c r="F2115" s="12" t="s">
        <v>129</v>
      </c>
      <c r="G2115" s="14">
        <v>13272.500000000009</v>
      </c>
      <c r="H2115" s="12" t="s">
        <v>32</v>
      </c>
      <c r="I2115" s="12">
        <v>0</v>
      </c>
      <c r="J2115" s="12" t="s">
        <v>129</v>
      </c>
      <c r="K2115" s="12" t="s">
        <v>23</v>
      </c>
      <c r="L2115" s="12">
        <v>1</v>
      </c>
      <c r="M2115" s="15">
        <v>145998</v>
      </c>
      <c r="N2115" s="15">
        <v>0</v>
      </c>
      <c r="O2115" s="15">
        <f t="shared" si="165"/>
        <v>145998</v>
      </c>
      <c r="P2115" s="15">
        <f t="shared" si="166"/>
        <v>11.000037671877935</v>
      </c>
      <c r="Q2115" s="14">
        <v>5000</v>
      </c>
      <c r="R2115" s="12">
        <v>100</v>
      </c>
      <c r="S2115" s="12" t="s">
        <v>2670</v>
      </c>
      <c r="T2115" s="22">
        <f t="shared" si="167"/>
        <v>5</v>
      </c>
      <c r="U2115" s="22">
        <f t="shared" si="168"/>
        <v>2021</v>
      </c>
      <c r="V2115" s="22" t="str">
        <f t="shared" si="169"/>
        <v>METROPOLITANA</v>
      </c>
    </row>
    <row r="2116" spans="1:22" x14ac:dyDescent="0.2">
      <c r="A2116" s="11" t="s">
        <v>2669</v>
      </c>
      <c r="B2116" s="12" t="s">
        <v>33</v>
      </c>
      <c r="C2116" s="12" t="s">
        <v>29</v>
      </c>
      <c r="D2116" s="12" t="s">
        <v>2671</v>
      </c>
      <c r="E2116" s="13" t="s">
        <v>639</v>
      </c>
      <c r="F2116" s="12" t="s">
        <v>132</v>
      </c>
      <c r="G2116" s="14">
        <v>5124.0000000000018</v>
      </c>
      <c r="H2116" s="12" t="s">
        <v>24</v>
      </c>
      <c r="I2116" s="12">
        <v>1</v>
      </c>
      <c r="J2116" s="12" t="s">
        <v>132</v>
      </c>
      <c r="K2116" s="12" t="s">
        <v>124</v>
      </c>
      <c r="L2116" s="12">
        <v>0</v>
      </c>
      <c r="M2116" s="15">
        <v>350000</v>
      </c>
      <c r="N2116" s="15">
        <v>0</v>
      </c>
      <c r="O2116" s="15">
        <f t="shared" si="165"/>
        <v>350000</v>
      </c>
      <c r="P2116" s="15">
        <f t="shared" si="166"/>
        <v>68.306010928961726</v>
      </c>
      <c r="Q2116" s="14">
        <v>25000</v>
      </c>
      <c r="R2116" s="12">
        <v>20</v>
      </c>
      <c r="S2116" s="12" t="s">
        <v>2672</v>
      </c>
      <c r="T2116" s="22">
        <f t="shared" si="167"/>
        <v>5</v>
      </c>
      <c r="U2116" s="22">
        <f t="shared" si="168"/>
        <v>2021</v>
      </c>
      <c r="V2116" s="22" t="str">
        <f t="shared" si="169"/>
        <v>REGIONES</v>
      </c>
    </row>
    <row r="2117" spans="1:22" x14ac:dyDescent="0.2">
      <c r="A2117" s="11" t="s">
        <v>2669</v>
      </c>
      <c r="B2117" s="12" t="s">
        <v>33</v>
      </c>
      <c r="C2117" s="12" t="s">
        <v>29</v>
      </c>
      <c r="D2117" s="12" t="s">
        <v>37</v>
      </c>
      <c r="E2117" s="13" t="s">
        <v>40</v>
      </c>
      <c r="F2117" s="12" t="s">
        <v>134</v>
      </c>
      <c r="G2117" s="14">
        <v>6753.5999999999995</v>
      </c>
      <c r="H2117" s="12" t="s">
        <v>22</v>
      </c>
      <c r="I2117" s="12">
        <v>0</v>
      </c>
      <c r="J2117" s="12" t="s">
        <v>134</v>
      </c>
      <c r="K2117" s="12" t="s">
        <v>23</v>
      </c>
      <c r="L2117" s="12">
        <v>2</v>
      </c>
      <c r="M2117" s="15">
        <v>74290</v>
      </c>
      <c r="N2117" s="15">
        <v>0</v>
      </c>
      <c r="O2117" s="15">
        <f t="shared" si="165"/>
        <v>74290</v>
      </c>
      <c r="P2117" s="15">
        <f t="shared" si="166"/>
        <v>11.000059227671169</v>
      </c>
      <c r="Q2117" s="14">
        <v>5000</v>
      </c>
      <c r="R2117" s="12">
        <v>100</v>
      </c>
      <c r="S2117" s="12" t="s">
        <v>2673</v>
      </c>
      <c r="T2117" s="22">
        <f t="shared" si="167"/>
        <v>5</v>
      </c>
      <c r="U2117" s="22">
        <f t="shared" si="168"/>
        <v>2021</v>
      </c>
      <c r="V2117" s="22" t="str">
        <f t="shared" si="169"/>
        <v>METROPOLITANA</v>
      </c>
    </row>
    <row r="2118" spans="1:22" x14ac:dyDescent="0.2">
      <c r="A2118" s="11" t="s">
        <v>2669</v>
      </c>
      <c r="B2118" s="12" t="s">
        <v>33</v>
      </c>
      <c r="C2118" s="12" t="s">
        <v>29</v>
      </c>
      <c r="D2118" s="12" t="s">
        <v>20</v>
      </c>
      <c r="E2118" s="13" t="s">
        <v>21</v>
      </c>
      <c r="F2118" s="12" t="s">
        <v>134</v>
      </c>
      <c r="G2118" s="14">
        <v>7097.0999999999995</v>
      </c>
      <c r="H2118" s="12" t="s">
        <v>22</v>
      </c>
      <c r="I2118" s="12">
        <v>0</v>
      </c>
      <c r="J2118" s="12" t="s">
        <v>134</v>
      </c>
      <c r="K2118" s="12" t="s">
        <v>23</v>
      </c>
      <c r="L2118" s="12">
        <v>2</v>
      </c>
      <c r="M2118" s="15">
        <v>78068</v>
      </c>
      <c r="N2118" s="15">
        <v>0</v>
      </c>
      <c r="O2118" s="15">
        <f t="shared" si="165"/>
        <v>78068</v>
      </c>
      <c r="P2118" s="15">
        <f t="shared" si="166"/>
        <v>10.999985909737781</v>
      </c>
      <c r="Q2118" s="14">
        <v>5000</v>
      </c>
      <c r="R2118" s="12">
        <v>100</v>
      </c>
      <c r="S2118" s="12" t="s">
        <v>2674</v>
      </c>
      <c r="T2118" s="22">
        <f t="shared" si="167"/>
        <v>5</v>
      </c>
      <c r="U2118" s="22">
        <f t="shared" si="168"/>
        <v>2021</v>
      </c>
      <c r="V2118" s="22" t="str">
        <f t="shared" si="169"/>
        <v>METROPOLITANA</v>
      </c>
    </row>
    <row r="2119" spans="1:22" x14ac:dyDescent="0.2">
      <c r="A2119" s="11" t="s">
        <v>2669</v>
      </c>
      <c r="B2119" s="12" t="s">
        <v>33</v>
      </c>
      <c r="C2119" s="12" t="s">
        <v>44</v>
      </c>
      <c r="D2119" s="12" t="s">
        <v>2080</v>
      </c>
      <c r="E2119" s="13" t="s">
        <v>1700</v>
      </c>
      <c r="F2119" s="12" t="s">
        <v>114</v>
      </c>
      <c r="G2119" s="14">
        <v>11275.2</v>
      </c>
      <c r="H2119" s="12" t="s">
        <v>24</v>
      </c>
      <c r="I2119" s="12">
        <v>1</v>
      </c>
      <c r="J2119" s="12" t="s">
        <v>114</v>
      </c>
      <c r="K2119" s="12" t="s">
        <v>75</v>
      </c>
      <c r="L2119" s="12">
        <v>0</v>
      </c>
      <c r="M2119" s="15">
        <v>380000</v>
      </c>
      <c r="N2119" s="15">
        <v>0</v>
      </c>
      <c r="O2119" s="15">
        <f t="shared" si="165"/>
        <v>380000</v>
      </c>
      <c r="P2119" s="15">
        <f t="shared" si="166"/>
        <v>33.702284660139064</v>
      </c>
      <c r="Q2119" s="14">
        <v>25000</v>
      </c>
      <c r="R2119" s="12">
        <v>45</v>
      </c>
      <c r="S2119" s="12" t="s">
        <v>2675</v>
      </c>
      <c r="T2119" s="22">
        <f t="shared" si="167"/>
        <v>5</v>
      </c>
      <c r="U2119" s="22">
        <f t="shared" si="168"/>
        <v>2021</v>
      </c>
      <c r="V2119" s="22" t="str">
        <f t="shared" si="169"/>
        <v>REGIONES</v>
      </c>
    </row>
    <row r="2120" spans="1:22" s="34" customFormat="1" x14ac:dyDescent="0.2">
      <c r="A2120" s="11" t="s">
        <v>2669</v>
      </c>
      <c r="B2120" s="12" t="s">
        <v>33</v>
      </c>
      <c r="C2120" s="12" t="s">
        <v>44</v>
      </c>
      <c r="D2120" s="12" t="s">
        <v>45</v>
      </c>
      <c r="E2120" s="13" t="s">
        <v>52</v>
      </c>
      <c r="F2120" s="12" t="s">
        <v>48</v>
      </c>
      <c r="G2120" s="14">
        <v>3948</v>
      </c>
      <c r="H2120" s="12" t="s">
        <v>22</v>
      </c>
      <c r="I2120" s="12">
        <v>0</v>
      </c>
      <c r="J2120" s="12" t="s">
        <v>48</v>
      </c>
      <c r="K2120" s="12" t="s">
        <v>23</v>
      </c>
      <c r="L2120" s="12">
        <v>1</v>
      </c>
      <c r="M2120" s="15">
        <v>55000</v>
      </c>
      <c r="N2120" s="15">
        <v>0</v>
      </c>
      <c r="O2120" s="15">
        <f t="shared" si="165"/>
        <v>55000</v>
      </c>
      <c r="P2120" s="15">
        <f t="shared" si="166"/>
        <v>13.931104356636272</v>
      </c>
      <c r="Q2120" s="14">
        <v>5000</v>
      </c>
      <c r="R2120" s="12">
        <v>64</v>
      </c>
      <c r="S2120" s="12" t="s">
        <v>2676</v>
      </c>
      <c r="T2120" s="34">
        <f t="shared" si="167"/>
        <v>5</v>
      </c>
      <c r="U2120" s="34">
        <f t="shared" si="168"/>
        <v>2021</v>
      </c>
      <c r="V2120" s="34" t="str">
        <f t="shared" si="169"/>
        <v>METROPOLITANA</v>
      </c>
    </row>
    <row r="2121" spans="1:22" x14ac:dyDescent="0.2">
      <c r="A2121" s="11" t="s">
        <v>2669</v>
      </c>
      <c r="B2121" s="12" t="s">
        <v>33</v>
      </c>
      <c r="C2121" s="12" t="s">
        <v>44</v>
      </c>
      <c r="D2121" s="12" t="s">
        <v>41</v>
      </c>
      <c r="E2121" s="13" t="s">
        <v>25</v>
      </c>
      <c r="F2121" s="12" t="s">
        <v>59</v>
      </c>
      <c r="G2121" s="14">
        <v>8502</v>
      </c>
      <c r="H2121" s="12" t="s">
        <v>43</v>
      </c>
      <c r="I2121" s="12">
        <v>0</v>
      </c>
      <c r="J2121" s="12" t="s">
        <v>59</v>
      </c>
      <c r="K2121" s="12" t="s">
        <v>78</v>
      </c>
      <c r="L2121" s="12">
        <v>0</v>
      </c>
      <c r="M2121" s="15">
        <v>180000</v>
      </c>
      <c r="N2121" s="15">
        <v>0</v>
      </c>
      <c r="O2121" s="15">
        <f t="shared" si="165"/>
        <v>180000</v>
      </c>
      <c r="P2121" s="15">
        <f t="shared" si="166"/>
        <v>21.171489061397317</v>
      </c>
      <c r="Q2121" s="14">
        <v>25000</v>
      </c>
      <c r="R2121" s="12">
        <v>34</v>
      </c>
      <c r="S2121" s="12" t="s">
        <v>2677</v>
      </c>
      <c r="T2121" s="22">
        <f t="shared" si="167"/>
        <v>5</v>
      </c>
      <c r="U2121" s="22">
        <f t="shared" si="168"/>
        <v>2021</v>
      </c>
      <c r="V2121" s="22" t="str">
        <f t="shared" si="169"/>
        <v>REGIONES</v>
      </c>
    </row>
    <row r="2122" spans="1:22" x14ac:dyDescent="0.2">
      <c r="A2122" s="23" t="s">
        <v>2678</v>
      </c>
      <c r="B2122" s="22" t="s">
        <v>18</v>
      </c>
      <c r="C2122" s="22" t="s">
        <v>57</v>
      </c>
      <c r="D2122" s="22" t="s">
        <v>2199</v>
      </c>
      <c r="E2122" s="24" t="s">
        <v>126</v>
      </c>
      <c r="F2122" s="22" t="s">
        <v>120</v>
      </c>
      <c r="G2122" s="25">
        <v>7369.91</v>
      </c>
      <c r="H2122" s="22" t="s">
        <v>22</v>
      </c>
      <c r="I2122" s="22">
        <v>0</v>
      </c>
      <c r="J2122" s="22" t="s">
        <v>120</v>
      </c>
      <c r="K2122" s="22" t="s">
        <v>23</v>
      </c>
      <c r="L2122" s="22">
        <v>5</v>
      </c>
      <c r="M2122" s="26">
        <v>70000</v>
      </c>
      <c r="N2122" s="26">
        <v>0</v>
      </c>
      <c r="O2122" s="15">
        <f t="shared" si="165"/>
        <v>70000</v>
      </c>
      <c r="P2122" s="15">
        <f t="shared" si="166"/>
        <v>9.4980807092623927</v>
      </c>
      <c r="Q2122" s="25">
        <v>10000</v>
      </c>
      <c r="R2122" s="22">
        <v>74</v>
      </c>
      <c r="S2122" s="22" t="s">
        <v>2679</v>
      </c>
      <c r="T2122" s="22">
        <f t="shared" si="167"/>
        <v>5</v>
      </c>
      <c r="U2122" s="22">
        <f t="shared" si="168"/>
        <v>2021</v>
      </c>
      <c r="V2122" s="22" t="str">
        <f t="shared" si="169"/>
        <v>METROPOLITANA</v>
      </c>
    </row>
    <row r="2123" spans="1:22" x14ac:dyDescent="0.2">
      <c r="A2123" s="23" t="s">
        <v>2678</v>
      </c>
      <c r="B2123" s="22" t="s">
        <v>18</v>
      </c>
      <c r="C2123" s="22" t="s">
        <v>160</v>
      </c>
      <c r="D2123" s="22" t="s">
        <v>38</v>
      </c>
      <c r="E2123" s="24" t="s">
        <v>25</v>
      </c>
      <c r="F2123" s="22" t="s">
        <v>58</v>
      </c>
      <c r="G2123" s="25">
        <v>12621.179999999989</v>
      </c>
      <c r="H2123" s="22" t="s">
        <v>43</v>
      </c>
      <c r="I2123" s="22">
        <v>0</v>
      </c>
      <c r="J2123" s="22" t="s">
        <v>58</v>
      </c>
      <c r="K2123" s="22" t="s">
        <v>23</v>
      </c>
      <c r="L2123" s="22">
        <v>5</v>
      </c>
      <c r="M2123" s="26">
        <v>70000</v>
      </c>
      <c r="N2123" s="26">
        <v>0</v>
      </c>
      <c r="O2123" s="15">
        <f t="shared" si="165"/>
        <v>70000</v>
      </c>
      <c r="P2123" s="15">
        <f t="shared" si="166"/>
        <v>5.5462326026568087</v>
      </c>
      <c r="Q2123" s="25">
        <v>10000</v>
      </c>
      <c r="R2123" s="22">
        <v>100</v>
      </c>
      <c r="S2123" s="22" t="s">
        <v>2680</v>
      </c>
      <c r="T2123" s="22">
        <f t="shared" si="167"/>
        <v>5</v>
      </c>
      <c r="U2123" s="22">
        <f t="shared" si="168"/>
        <v>2021</v>
      </c>
      <c r="V2123" s="22" t="str">
        <f t="shared" si="169"/>
        <v>METROPOLITANA</v>
      </c>
    </row>
    <row r="2124" spans="1:22" x14ac:dyDescent="0.2">
      <c r="A2124" s="23" t="s">
        <v>2678</v>
      </c>
      <c r="B2124" s="22" t="s">
        <v>18</v>
      </c>
      <c r="C2124" s="22" t="s">
        <v>160</v>
      </c>
      <c r="D2124" s="22" t="s">
        <v>37</v>
      </c>
      <c r="E2124" s="24" t="s">
        <v>40</v>
      </c>
      <c r="F2124" s="22" t="s">
        <v>58</v>
      </c>
      <c r="G2124" s="25">
        <v>9765.9</v>
      </c>
      <c r="H2124" s="22" t="s">
        <v>22</v>
      </c>
      <c r="I2124" s="22">
        <v>0</v>
      </c>
      <c r="J2124" s="22" t="s">
        <v>58</v>
      </c>
      <c r="K2124" s="22" t="s">
        <v>23</v>
      </c>
      <c r="L2124" s="22">
        <v>5</v>
      </c>
      <c r="M2124" s="26">
        <v>70000</v>
      </c>
      <c r="N2124" s="26">
        <v>0</v>
      </c>
      <c r="O2124" s="15">
        <f t="shared" si="165"/>
        <v>70000</v>
      </c>
      <c r="P2124" s="15">
        <f t="shared" si="166"/>
        <v>7.1677981548039611</v>
      </c>
      <c r="Q2124" s="25">
        <v>10000</v>
      </c>
      <c r="R2124" s="22">
        <v>98</v>
      </c>
      <c r="S2124" s="22" t="s">
        <v>2681</v>
      </c>
      <c r="T2124" s="22">
        <f t="shared" si="167"/>
        <v>5</v>
      </c>
      <c r="U2124" s="22">
        <f t="shared" si="168"/>
        <v>2021</v>
      </c>
      <c r="V2124" s="22" t="str">
        <f t="shared" si="169"/>
        <v>METROPOLITANA</v>
      </c>
    </row>
    <row r="2125" spans="1:22" x14ac:dyDescent="0.2">
      <c r="A2125" s="23" t="s">
        <v>2678</v>
      </c>
      <c r="B2125" s="22" t="s">
        <v>33</v>
      </c>
      <c r="C2125" s="22" t="s">
        <v>163</v>
      </c>
      <c r="D2125" s="22" t="s">
        <v>30</v>
      </c>
      <c r="E2125" s="24" t="s">
        <v>31</v>
      </c>
      <c r="F2125" s="22" t="s">
        <v>165</v>
      </c>
      <c r="G2125" s="25">
        <v>9025.3000000000029</v>
      </c>
      <c r="H2125" s="22" t="s">
        <v>32</v>
      </c>
      <c r="I2125" s="22">
        <v>0</v>
      </c>
      <c r="J2125" s="22" t="s">
        <v>165</v>
      </c>
      <c r="K2125" s="22" t="s">
        <v>23</v>
      </c>
      <c r="L2125" s="22">
        <v>4</v>
      </c>
      <c r="M2125" s="26">
        <v>99278</v>
      </c>
      <c r="N2125" s="26">
        <v>0</v>
      </c>
      <c r="O2125" s="15">
        <f t="shared" si="165"/>
        <v>99278</v>
      </c>
      <c r="P2125" s="15">
        <f t="shared" si="166"/>
        <v>10.999966760107693</v>
      </c>
      <c r="Q2125" s="25">
        <v>5000</v>
      </c>
      <c r="R2125" s="22">
        <v>100</v>
      </c>
      <c r="S2125" s="22" t="s">
        <v>2682</v>
      </c>
      <c r="T2125" s="22">
        <f t="shared" si="167"/>
        <v>5</v>
      </c>
      <c r="U2125" s="22">
        <f t="shared" si="168"/>
        <v>2021</v>
      </c>
      <c r="V2125" s="22" t="str">
        <f t="shared" si="169"/>
        <v>METROPOLITANA</v>
      </c>
    </row>
    <row r="2126" spans="1:22" x14ac:dyDescent="0.2">
      <c r="A2126" s="23" t="s">
        <v>2678</v>
      </c>
      <c r="B2126" s="22" t="s">
        <v>33</v>
      </c>
      <c r="C2126" s="22" t="s">
        <v>163</v>
      </c>
      <c r="D2126" s="22" t="s">
        <v>41</v>
      </c>
      <c r="E2126" s="24" t="s">
        <v>25</v>
      </c>
      <c r="F2126" s="22" t="s">
        <v>165</v>
      </c>
      <c r="G2126" s="25">
        <v>9556.2000000000044</v>
      </c>
      <c r="H2126" s="22" t="s">
        <v>43</v>
      </c>
      <c r="I2126" s="22">
        <v>0</v>
      </c>
      <c r="J2126" s="22" t="s">
        <v>165</v>
      </c>
      <c r="K2126" s="22" t="s">
        <v>23</v>
      </c>
      <c r="L2126" s="22">
        <v>4</v>
      </c>
      <c r="M2126" s="26">
        <v>105118</v>
      </c>
      <c r="N2126" s="26">
        <v>0</v>
      </c>
      <c r="O2126" s="15">
        <f t="shared" si="165"/>
        <v>105118</v>
      </c>
      <c r="P2126" s="15">
        <f t="shared" si="166"/>
        <v>10.999979071178915</v>
      </c>
      <c r="Q2126" s="25">
        <v>5000</v>
      </c>
      <c r="R2126" s="22">
        <v>100</v>
      </c>
      <c r="S2126" s="22" t="s">
        <v>2683</v>
      </c>
      <c r="T2126" s="22">
        <f t="shared" si="167"/>
        <v>5</v>
      </c>
      <c r="U2126" s="22">
        <f t="shared" si="168"/>
        <v>2021</v>
      </c>
      <c r="V2126" s="22" t="str">
        <f t="shared" si="169"/>
        <v>METROPOLITANA</v>
      </c>
    </row>
    <row r="2127" spans="1:22" x14ac:dyDescent="0.2">
      <c r="A2127" s="23" t="s">
        <v>2678</v>
      </c>
      <c r="B2127" s="22" t="s">
        <v>33</v>
      </c>
      <c r="C2127" s="22" t="s">
        <v>128</v>
      </c>
      <c r="D2127" s="22" t="s">
        <v>188</v>
      </c>
      <c r="E2127" s="24" t="s">
        <v>189</v>
      </c>
      <c r="F2127" s="22" t="s">
        <v>129</v>
      </c>
      <c r="G2127" s="25">
        <v>8684.6000000000022</v>
      </c>
      <c r="H2127" s="22" t="s">
        <v>190</v>
      </c>
      <c r="I2127" s="22">
        <v>0</v>
      </c>
      <c r="J2127" s="22" t="s">
        <v>129</v>
      </c>
      <c r="K2127" s="22" t="s">
        <v>23</v>
      </c>
      <c r="L2127" s="22">
        <v>1</v>
      </c>
      <c r="M2127" s="26">
        <v>95531</v>
      </c>
      <c r="N2127" s="26">
        <v>0</v>
      </c>
      <c r="O2127" s="15">
        <f t="shared" si="165"/>
        <v>95531</v>
      </c>
      <c r="P2127" s="15">
        <f t="shared" si="166"/>
        <v>11.000046058540402</v>
      </c>
      <c r="Q2127" s="25">
        <v>5000</v>
      </c>
      <c r="R2127" s="22">
        <v>100</v>
      </c>
      <c r="S2127" s="22" t="s">
        <v>2684</v>
      </c>
      <c r="T2127" s="22">
        <f t="shared" si="167"/>
        <v>5</v>
      </c>
      <c r="U2127" s="22">
        <f t="shared" si="168"/>
        <v>2021</v>
      </c>
      <c r="V2127" s="22" t="str">
        <f t="shared" si="169"/>
        <v>METROPOLITANA</v>
      </c>
    </row>
    <row r="2128" spans="1:22" x14ac:dyDescent="0.2">
      <c r="A2128" s="23" t="s">
        <v>2678</v>
      </c>
      <c r="B2128" s="22" t="s">
        <v>33</v>
      </c>
      <c r="C2128" s="22" t="s">
        <v>128</v>
      </c>
      <c r="D2128" s="22" t="s">
        <v>63</v>
      </c>
      <c r="E2128" s="24" t="s">
        <v>64</v>
      </c>
      <c r="F2128" s="22" t="s">
        <v>129</v>
      </c>
      <c r="G2128" s="25">
        <v>9842.4000000000033</v>
      </c>
      <c r="H2128" s="22" t="s">
        <v>65</v>
      </c>
      <c r="I2128" s="22">
        <v>0</v>
      </c>
      <c r="J2128" s="22" t="s">
        <v>129</v>
      </c>
      <c r="K2128" s="22" t="s">
        <v>23</v>
      </c>
      <c r="L2128" s="22">
        <v>1</v>
      </c>
      <c r="M2128" s="26">
        <v>108266</v>
      </c>
      <c r="N2128" s="26">
        <v>0</v>
      </c>
      <c r="O2128" s="15">
        <f t="shared" si="165"/>
        <v>108266</v>
      </c>
      <c r="P2128" s="15">
        <f t="shared" si="166"/>
        <v>10.999959359505809</v>
      </c>
      <c r="Q2128" s="25">
        <v>5000</v>
      </c>
      <c r="R2128" s="22">
        <v>100</v>
      </c>
      <c r="S2128" s="22" t="s">
        <v>2685</v>
      </c>
      <c r="T2128" s="22">
        <f t="shared" si="167"/>
        <v>5</v>
      </c>
      <c r="U2128" s="22">
        <f t="shared" si="168"/>
        <v>2021</v>
      </c>
      <c r="V2128" s="22" t="str">
        <f t="shared" si="169"/>
        <v>METROPOLITANA</v>
      </c>
    </row>
    <row r="2129" spans="1:22" x14ac:dyDescent="0.2">
      <c r="A2129" s="23" t="s">
        <v>2678</v>
      </c>
      <c r="B2129" s="22" t="s">
        <v>33</v>
      </c>
      <c r="C2129" s="22" t="s">
        <v>128</v>
      </c>
      <c r="D2129" s="22" t="s">
        <v>47</v>
      </c>
      <c r="E2129" s="24" t="s">
        <v>1576</v>
      </c>
      <c r="F2129" s="22" t="s">
        <v>129</v>
      </c>
      <c r="G2129" s="25">
        <v>3520.7999999999988</v>
      </c>
      <c r="H2129" s="22" t="s">
        <v>22</v>
      </c>
      <c r="I2129" s="22">
        <v>0</v>
      </c>
      <c r="J2129" s="22" t="s">
        <v>129</v>
      </c>
      <c r="K2129" s="22" t="s">
        <v>23</v>
      </c>
      <c r="L2129" s="22">
        <v>1</v>
      </c>
      <c r="M2129" s="26">
        <v>55000</v>
      </c>
      <c r="N2129" s="26">
        <v>0</v>
      </c>
      <c r="O2129" s="15">
        <f t="shared" si="165"/>
        <v>55000</v>
      </c>
      <c r="P2129" s="15">
        <f t="shared" si="166"/>
        <v>15.621449670529431</v>
      </c>
      <c r="Q2129" s="25">
        <v>5000</v>
      </c>
      <c r="R2129" s="22">
        <v>70</v>
      </c>
      <c r="S2129" s="22" t="s">
        <v>2686</v>
      </c>
      <c r="T2129" s="22">
        <f t="shared" si="167"/>
        <v>5</v>
      </c>
      <c r="U2129" s="22">
        <f t="shared" si="168"/>
        <v>2021</v>
      </c>
      <c r="V2129" s="22" t="str">
        <f t="shared" si="169"/>
        <v>METROPOLITANA</v>
      </c>
    </row>
    <row r="2130" spans="1:22" x14ac:dyDescent="0.2">
      <c r="A2130" s="23" t="s">
        <v>2678</v>
      </c>
      <c r="B2130" s="22" t="s">
        <v>33</v>
      </c>
      <c r="C2130" s="22" t="s">
        <v>128</v>
      </c>
      <c r="D2130" s="22" t="s">
        <v>164</v>
      </c>
      <c r="E2130" s="24" t="s">
        <v>28</v>
      </c>
      <c r="F2130" s="22" t="s">
        <v>129</v>
      </c>
      <c r="G2130" s="25">
        <v>13281.6</v>
      </c>
      <c r="H2130" s="22" t="s">
        <v>22</v>
      </c>
      <c r="I2130" s="22">
        <v>1</v>
      </c>
      <c r="J2130" s="22" t="s">
        <v>129</v>
      </c>
      <c r="K2130" s="22" t="s">
        <v>23</v>
      </c>
      <c r="L2130" s="22">
        <v>1</v>
      </c>
      <c r="M2130" s="26">
        <v>146098</v>
      </c>
      <c r="N2130" s="26">
        <v>0</v>
      </c>
      <c r="O2130" s="15">
        <f t="shared" si="165"/>
        <v>146098</v>
      </c>
      <c r="P2130" s="15">
        <f t="shared" si="166"/>
        <v>11.000030116853392</v>
      </c>
      <c r="Q2130" s="25">
        <v>5000</v>
      </c>
      <c r="R2130" s="22">
        <v>100</v>
      </c>
      <c r="S2130" s="22" t="s">
        <v>2687</v>
      </c>
      <c r="T2130" s="22">
        <f t="shared" si="167"/>
        <v>5</v>
      </c>
      <c r="U2130" s="22">
        <f t="shared" si="168"/>
        <v>2021</v>
      </c>
      <c r="V2130" s="22" t="str">
        <f t="shared" si="169"/>
        <v>METROPOLITANA</v>
      </c>
    </row>
    <row r="2131" spans="1:22" x14ac:dyDescent="0.2">
      <c r="A2131" s="23" t="s">
        <v>2678</v>
      </c>
      <c r="B2131" s="22" t="s">
        <v>33</v>
      </c>
      <c r="C2131" s="22" t="s">
        <v>44</v>
      </c>
      <c r="D2131" s="22" t="s">
        <v>56</v>
      </c>
      <c r="E2131" s="24" t="s">
        <v>52</v>
      </c>
      <c r="F2131" s="22" t="s">
        <v>48</v>
      </c>
      <c r="G2131" s="25">
        <v>6603.1999999999989</v>
      </c>
      <c r="H2131" s="22" t="s">
        <v>22</v>
      </c>
      <c r="I2131" s="22">
        <v>0</v>
      </c>
      <c r="J2131" s="22" t="s">
        <v>48</v>
      </c>
      <c r="K2131" s="22" t="s">
        <v>23</v>
      </c>
      <c r="L2131" s="22">
        <v>1</v>
      </c>
      <c r="M2131" s="26">
        <v>72635</v>
      </c>
      <c r="N2131" s="26">
        <v>0</v>
      </c>
      <c r="O2131" s="15">
        <f t="shared" si="165"/>
        <v>72635</v>
      </c>
      <c r="P2131" s="15">
        <f t="shared" si="166"/>
        <v>10.999969711654957</v>
      </c>
      <c r="Q2131" s="25">
        <v>5000</v>
      </c>
      <c r="R2131" s="22">
        <v>100</v>
      </c>
      <c r="S2131" s="22" t="s">
        <v>2688</v>
      </c>
      <c r="T2131" s="22">
        <f t="shared" si="167"/>
        <v>5</v>
      </c>
      <c r="U2131" s="22">
        <f t="shared" si="168"/>
        <v>2021</v>
      </c>
      <c r="V2131" s="22" t="str">
        <f t="shared" si="169"/>
        <v>METROPOLITANA</v>
      </c>
    </row>
    <row r="2132" spans="1:22" x14ac:dyDescent="0.2">
      <c r="A2132" s="23" t="s">
        <v>2678</v>
      </c>
      <c r="B2132" s="22" t="s">
        <v>33</v>
      </c>
      <c r="C2132" s="22" t="s">
        <v>44</v>
      </c>
      <c r="D2132" s="22" t="s">
        <v>61</v>
      </c>
      <c r="E2132" s="24" t="s">
        <v>1431</v>
      </c>
      <c r="F2132" s="22" t="s">
        <v>114</v>
      </c>
      <c r="G2132" s="25">
        <v>20385.600000000009</v>
      </c>
      <c r="H2132" s="22" t="s">
        <v>85</v>
      </c>
      <c r="I2132" s="22">
        <v>1</v>
      </c>
      <c r="J2132" s="22" t="s">
        <v>114</v>
      </c>
      <c r="K2132" s="22" t="s">
        <v>75</v>
      </c>
      <c r="L2132" s="22">
        <v>0</v>
      </c>
      <c r="M2132" s="26">
        <v>380000</v>
      </c>
      <c r="N2132" s="26">
        <v>0</v>
      </c>
      <c r="O2132" s="15">
        <f t="shared" si="165"/>
        <v>380000</v>
      </c>
      <c r="P2132" s="15">
        <f t="shared" si="166"/>
        <v>18.640609057373823</v>
      </c>
      <c r="Q2132" s="25">
        <v>25000</v>
      </c>
      <c r="R2132" s="22">
        <v>82</v>
      </c>
      <c r="S2132" s="22" t="s">
        <v>2689</v>
      </c>
      <c r="T2132" s="22">
        <f t="shared" si="167"/>
        <v>5</v>
      </c>
      <c r="U2132" s="22">
        <f t="shared" si="168"/>
        <v>2021</v>
      </c>
      <c r="V2132" s="22" t="str">
        <f t="shared" si="169"/>
        <v>REGIONES</v>
      </c>
    </row>
    <row r="2133" spans="1:22" x14ac:dyDescent="0.2">
      <c r="A2133" s="23" t="s">
        <v>2678</v>
      </c>
      <c r="B2133" s="22" t="s">
        <v>33</v>
      </c>
      <c r="C2133" s="22" t="s">
        <v>44</v>
      </c>
      <c r="D2133" s="22" t="s">
        <v>1170</v>
      </c>
      <c r="E2133" s="24" t="s">
        <v>81</v>
      </c>
      <c r="F2133" s="22" t="s">
        <v>2639</v>
      </c>
      <c r="G2133" s="25">
        <v>14627.599999999989</v>
      </c>
      <c r="H2133" s="22" t="s">
        <v>24</v>
      </c>
      <c r="I2133" s="22">
        <v>1</v>
      </c>
      <c r="J2133" s="22" t="s">
        <v>2639</v>
      </c>
      <c r="K2133" s="22" t="s">
        <v>75</v>
      </c>
      <c r="L2133" s="22">
        <v>0</v>
      </c>
      <c r="M2133" s="26">
        <v>380000</v>
      </c>
      <c r="N2133" s="26">
        <v>0</v>
      </c>
      <c r="O2133" s="15">
        <f t="shared" si="165"/>
        <v>380000</v>
      </c>
      <c r="P2133" s="15">
        <f t="shared" si="166"/>
        <v>25.978287620662329</v>
      </c>
      <c r="Q2133" s="25">
        <v>25000</v>
      </c>
      <c r="R2133" s="22">
        <v>59</v>
      </c>
      <c r="S2133" s="22" t="s">
        <v>2690</v>
      </c>
      <c r="T2133" s="22">
        <f t="shared" si="167"/>
        <v>5</v>
      </c>
      <c r="U2133" s="22">
        <f t="shared" si="168"/>
        <v>2021</v>
      </c>
      <c r="V2133" s="22" t="str">
        <f t="shared" si="169"/>
        <v>REGIONES</v>
      </c>
    </row>
    <row r="2134" spans="1:22" x14ac:dyDescent="0.2">
      <c r="A2134" s="23" t="s">
        <v>2678</v>
      </c>
      <c r="B2134" s="22" t="s">
        <v>33</v>
      </c>
      <c r="C2134" s="22" t="s">
        <v>403</v>
      </c>
      <c r="D2134" s="22" t="s">
        <v>47</v>
      </c>
      <c r="E2134" s="24" t="s">
        <v>52</v>
      </c>
      <c r="F2134" s="22" t="s">
        <v>48</v>
      </c>
      <c r="G2134" s="25">
        <v>9919</v>
      </c>
      <c r="H2134" s="22" t="s">
        <v>22</v>
      </c>
      <c r="I2134" s="22">
        <v>0</v>
      </c>
      <c r="J2134" s="22" t="s">
        <v>48</v>
      </c>
      <c r="K2134" s="22" t="s">
        <v>23</v>
      </c>
      <c r="L2134" s="22">
        <v>1</v>
      </c>
      <c r="M2134" s="26">
        <v>109109</v>
      </c>
      <c r="N2134" s="26">
        <v>0</v>
      </c>
      <c r="O2134" s="15">
        <f t="shared" si="165"/>
        <v>109109</v>
      </c>
      <c r="P2134" s="15">
        <f t="shared" si="166"/>
        <v>11</v>
      </c>
      <c r="Q2134" s="25">
        <v>5000</v>
      </c>
      <c r="R2134" s="22">
        <v>100</v>
      </c>
      <c r="S2134" s="22" t="s">
        <v>2691</v>
      </c>
      <c r="T2134" s="22">
        <f t="shared" si="167"/>
        <v>5</v>
      </c>
      <c r="U2134" s="22">
        <f t="shared" si="168"/>
        <v>2021</v>
      </c>
      <c r="V2134" s="22" t="str">
        <f t="shared" si="169"/>
        <v>METROPOLITANA</v>
      </c>
    </row>
    <row r="2135" spans="1:22" x14ac:dyDescent="0.2">
      <c r="A2135" s="11" t="s">
        <v>2692</v>
      </c>
      <c r="B2135" s="12" t="s">
        <v>18</v>
      </c>
      <c r="C2135" s="12" t="s">
        <v>160</v>
      </c>
      <c r="D2135" s="12" t="s">
        <v>30</v>
      </c>
      <c r="E2135" s="13" t="s">
        <v>31</v>
      </c>
      <c r="F2135" s="12" t="s">
        <v>58</v>
      </c>
      <c r="G2135" s="14">
        <v>8992.5499999999993</v>
      </c>
      <c r="H2135" s="12" t="s">
        <v>32</v>
      </c>
      <c r="I2135" s="12">
        <v>0</v>
      </c>
      <c r="J2135" s="12" t="s">
        <v>58</v>
      </c>
      <c r="K2135" s="12" t="s">
        <v>23</v>
      </c>
      <c r="L2135" s="12">
        <v>5</v>
      </c>
      <c r="M2135" s="15">
        <v>70000</v>
      </c>
      <c r="N2135" s="15">
        <v>0</v>
      </c>
      <c r="O2135" s="15">
        <f t="shared" si="165"/>
        <v>70000</v>
      </c>
      <c r="P2135" s="15">
        <f t="shared" si="166"/>
        <v>7.7842213832561402</v>
      </c>
      <c r="Q2135" s="14">
        <v>10000</v>
      </c>
      <c r="R2135" s="12">
        <v>90</v>
      </c>
      <c r="S2135" s="12" t="s">
        <v>2693</v>
      </c>
      <c r="T2135" s="22">
        <f t="shared" si="167"/>
        <v>5</v>
      </c>
      <c r="U2135" s="22">
        <f t="shared" si="168"/>
        <v>2021</v>
      </c>
      <c r="V2135" s="22" t="str">
        <f t="shared" si="169"/>
        <v>METROPOLITANA</v>
      </c>
    </row>
    <row r="2136" spans="1:22" x14ac:dyDescent="0.2">
      <c r="A2136" s="11" t="s">
        <v>2692</v>
      </c>
      <c r="B2136" s="12" t="s">
        <v>33</v>
      </c>
      <c r="C2136" s="12" t="s">
        <v>128</v>
      </c>
      <c r="D2136" s="12" t="s">
        <v>636</v>
      </c>
      <c r="E2136" s="13" t="s">
        <v>639</v>
      </c>
      <c r="F2136" s="12" t="s">
        <v>66</v>
      </c>
      <c r="G2136" s="14">
        <v>18906.999999999982</v>
      </c>
      <c r="H2136" s="12" t="s">
        <v>85</v>
      </c>
      <c r="I2136" s="12">
        <v>1</v>
      </c>
      <c r="J2136" s="12" t="s">
        <v>66</v>
      </c>
      <c r="K2136" s="12" t="s">
        <v>75</v>
      </c>
      <c r="L2136" s="12">
        <v>0</v>
      </c>
      <c r="M2136" s="15">
        <v>380000</v>
      </c>
      <c r="N2136" s="15">
        <v>0</v>
      </c>
      <c r="O2136" s="15">
        <f t="shared" si="165"/>
        <v>380000</v>
      </c>
      <c r="P2136" s="15">
        <f t="shared" si="166"/>
        <v>20.098376262759842</v>
      </c>
      <c r="Q2136" s="14">
        <v>25000</v>
      </c>
      <c r="R2136" s="12">
        <v>76</v>
      </c>
      <c r="S2136" s="12" t="s">
        <v>2694</v>
      </c>
      <c r="T2136" s="22">
        <f t="shared" si="167"/>
        <v>5</v>
      </c>
      <c r="U2136" s="22">
        <f t="shared" si="168"/>
        <v>2021</v>
      </c>
      <c r="V2136" s="22" t="str">
        <f t="shared" si="169"/>
        <v>REGIONES</v>
      </c>
    </row>
    <row r="2137" spans="1:22" s="12" customFormat="1" x14ac:dyDescent="0.2">
      <c r="A2137" s="11" t="s">
        <v>2692</v>
      </c>
      <c r="B2137" s="12" t="s">
        <v>33</v>
      </c>
      <c r="C2137" s="12" t="s">
        <v>128</v>
      </c>
      <c r="D2137" s="12" t="s">
        <v>38</v>
      </c>
      <c r="E2137" s="13" t="s">
        <v>42</v>
      </c>
      <c r="F2137" s="12" t="s">
        <v>34</v>
      </c>
      <c r="G2137" s="14">
        <v>9917</v>
      </c>
      <c r="H2137" s="12" t="s">
        <v>43</v>
      </c>
      <c r="I2137" s="12">
        <v>0</v>
      </c>
      <c r="J2137" s="12" t="s">
        <v>34</v>
      </c>
      <c r="K2137" s="12" t="s">
        <v>23</v>
      </c>
      <c r="L2137" s="12">
        <v>1</v>
      </c>
      <c r="M2137" s="15">
        <v>100835</v>
      </c>
      <c r="N2137" s="15">
        <v>0</v>
      </c>
      <c r="O2137" s="15">
        <f t="shared" si="165"/>
        <v>100835</v>
      </c>
      <c r="P2137" s="15">
        <f t="shared" si="166"/>
        <v>10.16789351618433</v>
      </c>
      <c r="Q2137" s="14">
        <v>5000</v>
      </c>
      <c r="R2137" s="12">
        <v>100</v>
      </c>
      <c r="S2137" s="12" t="s">
        <v>2766</v>
      </c>
      <c r="T2137" s="12">
        <f t="shared" si="167"/>
        <v>5</v>
      </c>
      <c r="U2137" s="12">
        <f t="shared" si="168"/>
        <v>2021</v>
      </c>
      <c r="V2137" s="12" t="str">
        <f t="shared" si="169"/>
        <v>METROPOLITANA</v>
      </c>
    </row>
    <row r="2138" spans="1:22" x14ac:dyDescent="0.2">
      <c r="A2138" s="11" t="s">
        <v>2692</v>
      </c>
      <c r="B2138" s="12" t="s">
        <v>33</v>
      </c>
      <c r="C2138" s="12" t="s">
        <v>128</v>
      </c>
      <c r="D2138" s="12" t="s">
        <v>20</v>
      </c>
      <c r="E2138" s="13" t="s">
        <v>21</v>
      </c>
      <c r="F2138" s="12" t="s">
        <v>34</v>
      </c>
      <c r="G2138" s="14">
        <v>9490.7999999999956</v>
      </c>
      <c r="H2138" s="12" t="s">
        <v>22</v>
      </c>
      <c r="I2138" s="12">
        <v>0</v>
      </c>
      <c r="J2138" s="12" t="s">
        <v>34</v>
      </c>
      <c r="K2138" s="12" t="s">
        <v>23</v>
      </c>
      <c r="L2138" s="12">
        <v>1</v>
      </c>
      <c r="M2138" s="15">
        <v>104399</v>
      </c>
      <c r="N2138" s="15">
        <v>0</v>
      </c>
      <c r="O2138" s="15">
        <f t="shared" si="165"/>
        <v>104399</v>
      </c>
      <c r="P2138" s="15">
        <f t="shared" si="166"/>
        <v>11.000021073039159</v>
      </c>
      <c r="Q2138" s="14">
        <v>5000</v>
      </c>
      <c r="R2138" s="12">
        <v>100</v>
      </c>
      <c r="S2138" s="12" t="s">
        <v>2695</v>
      </c>
      <c r="T2138" s="22">
        <f t="shared" si="167"/>
        <v>5</v>
      </c>
      <c r="U2138" s="22">
        <f t="shared" si="168"/>
        <v>2021</v>
      </c>
      <c r="V2138" s="22" t="str">
        <f t="shared" si="169"/>
        <v>METROPOLITANA</v>
      </c>
    </row>
    <row r="2139" spans="1:22" x14ac:dyDescent="0.2">
      <c r="A2139" s="11" t="s">
        <v>2692</v>
      </c>
      <c r="B2139" s="12" t="s">
        <v>33</v>
      </c>
      <c r="C2139" s="12" t="s">
        <v>223</v>
      </c>
      <c r="D2139" s="12" t="s">
        <v>37</v>
      </c>
      <c r="E2139" s="13" t="s">
        <v>40</v>
      </c>
      <c r="F2139" s="12" t="s">
        <v>2308</v>
      </c>
      <c r="G2139" s="14">
        <v>7202.9999999999973</v>
      </c>
      <c r="H2139" s="12" t="s">
        <v>22</v>
      </c>
      <c r="I2139" s="12">
        <v>0</v>
      </c>
      <c r="J2139" s="12" t="s">
        <v>2308</v>
      </c>
      <c r="K2139" s="12" t="s">
        <v>2767</v>
      </c>
      <c r="L2139" s="12">
        <v>0</v>
      </c>
      <c r="M2139" s="15">
        <v>90000</v>
      </c>
      <c r="N2139" s="15">
        <v>0</v>
      </c>
      <c r="O2139" s="15">
        <f t="shared" si="165"/>
        <v>90000</v>
      </c>
      <c r="P2139" s="15">
        <f t="shared" si="166"/>
        <v>12.494793835901712</v>
      </c>
      <c r="Q2139" s="14">
        <v>5000</v>
      </c>
      <c r="R2139" s="12">
        <v>100</v>
      </c>
      <c r="S2139" s="12" t="s">
        <v>2696</v>
      </c>
      <c r="T2139" s="22">
        <f t="shared" si="167"/>
        <v>5</v>
      </c>
      <c r="U2139" s="22">
        <f t="shared" si="168"/>
        <v>2021</v>
      </c>
      <c r="V2139" s="22" t="str">
        <f t="shared" si="169"/>
        <v>REGIONES</v>
      </c>
    </row>
    <row r="2140" spans="1:22" x14ac:dyDescent="0.2">
      <c r="A2140" s="11" t="s">
        <v>2692</v>
      </c>
      <c r="B2140" s="12" t="s">
        <v>33</v>
      </c>
      <c r="C2140" s="12" t="s">
        <v>223</v>
      </c>
      <c r="D2140" s="12" t="s">
        <v>41</v>
      </c>
      <c r="E2140" s="13" t="s">
        <v>25</v>
      </c>
      <c r="F2140" s="12" t="s">
        <v>2308</v>
      </c>
      <c r="G2140" s="14">
        <v>7503.9999999999973</v>
      </c>
      <c r="H2140" s="12" t="s">
        <v>43</v>
      </c>
      <c r="I2140" s="12">
        <v>0</v>
      </c>
      <c r="J2140" s="12" t="s">
        <v>2308</v>
      </c>
      <c r="K2140" s="12" t="s">
        <v>2767</v>
      </c>
      <c r="L2140" s="12">
        <v>0</v>
      </c>
      <c r="M2140" s="15">
        <v>90000</v>
      </c>
      <c r="N2140" s="15">
        <v>0</v>
      </c>
      <c r="O2140" s="15">
        <f t="shared" si="165"/>
        <v>90000</v>
      </c>
      <c r="P2140" s="15">
        <f t="shared" si="166"/>
        <v>11.993603411513863</v>
      </c>
      <c r="Q2140" s="14">
        <v>5000</v>
      </c>
      <c r="R2140" s="12">
        <v>100</v>
      </c>
      <c r="S2140" s="12" t="s">
        <v>2697</v>
      </c>
      <c r="T2140" s="22">
        <f t="shared" si="167"/>
        <v>5</v>
      </c>
      <c r="U2140" s="22">
        <f t="shared" si="168"/>
        <v>2021</v>
      </c>
      <c r="V2140" s="22" t="str">
        <f t="shared" si="169"/>
        <v>REGIONES</v>
      </c>
    </row>
    <row r="2141" spans="1:22" x14ac:dyDescent="0.2">
      <c r="A2141" s="11" t="s">
        <v>2692</v>
      </c>
      <c r="B2141" s="12" t="s">
        <v>33</v>
      </c>
      <c r="C2141" s="12" t="s">
        <v>2698</v>
      </c>
      <c r="D2141" s="12" t="s">
        <v>37</v>
      </c>
      <c r="E2141" s="13" t="s">
        <v>40</v>
      </c>
      <c r="F2141" s="12" t="s">
        <v>34</v>
      </c>
      <c r="G2141" s="14">
        <v>13207.599999999989</v>
      </c>
      <c r="H2141" s="12" t="s">
        <v>22</v>
      </c>
      <c r="I2141" s="12">
        <v>0</v>
      </c>
      <c r="J2141" s="12" t="s">
        <v>34</v>
      </c>
      <c r="K2141" s="12" t="s">
        <v>23</v>
      </c>
      <c r="L2141" s="12">
        <v>1</v>
      </c>
      <c r="M2141" s="15">
        <v>145284</v>
      </c>
      <c r="N2141" s="15">
        <v>0</v>
      </c>
      <c r="O2141" s="15">
        <f t="shared" si="165"/>
        <v>145284</v>
      </c>
      <c r="P2141" s="15">
        <f t="shared" si="166"/>
        <v>11.000030285593152</v>
      </c>
      <c r="Q2141" s="14">
        <v>5000</v>
      </c>
      <c r="R2141" s="12">
        <v>100</v>
      </c>
      <c r="S2141" s="12" t="s">
        <v>2699</v>
      </c>
      <c r="T2141" s="22">
        <f t="shared" si="167"/>
        <v>5</v>
      </c>
      <c r="U2141" s="22">
        <f t="shared" si="168"/>
        <v>2021</v>
      </c>
      <c r="V2141" s="22" t="str">
        <f t="shared" si="169"/>
        <v>METROPOLITANA</v>
      </c>
    </row>
    <row r="2142" spans="1:22" x14ac:dyDescent="0.2">
      <c r="A2142" s="11" t="s">
        <v>2692</v>
      </c>
      <c r="B2142" s="12" t="s">
        <v>33</v>
      </c>
      <c r="C2142" s="12" t="s">
        <v>44</v>
      </c>
      <c r="D2142" s="12" t="s">
        <v>2080</v>
      </c>
      <c r="E2142" s="13" t="s">
        <v>1700</v>
      </c>
      <c r="F2142" s="12" t="s">
        <v>114</v>
      </c>
      <c r="G2142" s="14">
        <v>14308.999999999991</v>
      </c>
      <c r="H2142" s="12" t="s">
        <v>24</v>
      </c>
      <c r="I2142" s="12">
        <v>1</v>
      </c>
      <c r="J2142" s="12" t="s">
        <v>114</v>
      </c>
      <c r="K2142" s="12" t="s">
        <v>75</v>
      </c>
      <c r="L2142" s="12">
        <v>0</v>
      </c>
      <c r="M2142" s="15">
        <v>380000</v>
      </c>
      <c r="N2142" s="15">
        <v>0</v>
      </c>
      <c r="O2142" s="15">
        <f t="shared" si="165"/>
        <v>380000</v>
      </c>
      <c r="P2142" s="15">
        <f t="shared" si="166"/>
        <v>26.556712558529615</v>
      </c>
      <c r="Q2142" s="14">
        <v>25000</v>
      </c>
      <c r="R2142" s="12">
        <v>57</v>
      </c>
      <c r="S2142" s="12" t="s">
        <v>2700</v>
      </c>
      <c r="T2142" s="22">
        <f t="shared" si="167"/>
        <v>5</v>
      </c>
      <c r="U2142" s="22">
        <f t="shared" si="168"/>
        <v>2021</v>
      </c>
      <c r="V2142" s="22" t="str">
        <f t="shared" si="169"/>
        <v>REGIONES</v>
      </c>
    </row>
    <row r="2143" spans="1:22" x14ac:dyDescent="0.2">
      <c r="A2143" s="11" t="s">
        <v>2692</v>
      </c>
      <c r="B2143" s="12" t="s">
        <v>33</v>
      </c>
      <c r="C2143" s="12" t="s">
        <v>44</v>
      </c>
      <c r="D2143" s="12" t="s">
        <v>47</v>
      </c>
      <c r="E2143" s="13" t="s">
        <v>1576</v>
      </c>
      <c r="F2143" s="12" t="s">
        <v>48</v>
      </c>
      <c r="G2143" s="14">
        <v>4492.7000000000016</v>
      </c>
      <c r="H2143" s="12" t="s">
        <v>22</v>
      </c>
      <c r="I2143" s="12">
        <v>0</v>
      </c>
      <c r="J2143" s="12" t="s">
        <v>48</v>
      </c>
      <c r="K2143" s="12" t="s">
        <v>23</v>
      </c>
      <c r="L2143" s="12">
        <v>1</v>
      </c>
      <c r="M2143" s="15">
        <v>55000</v>
      </c>
      <c r="N2143" s="15">
        <v>0</v>
      </c>
      <c r="O2143" s="15">
        <f t="shared" si="165"/>
        <v>55000</v>
      </c>
      <c r="P2143" s="15">
        <f t="shared" si="166"/>
        <v>12.242081599038436</v>
      </c>
      <c r="Q2143" s="14">
        <v>5000</v>
      </c>
      <c r="R2143" s="12">
        <v>90</v>
      </c>
      <c r="S2143" s="12" t="s">
        <v>2701</v>
      </c>
      <c r="T2143" s="22">
        <f t="shared" si="167"/>
        <v>5</v>
      </c>
      <c r="U2143" s="22">
        <f t="shared" si="168"/>
        <v>2021</v>
      </c>
      <c r="V2143" s="22" t="str">
        <f t="shared" si="169"/>
        <v>METROPOLITANA</v>
      </c>
    </row>
    <row r="2144" spans="1:22" x14ac:dyDescent="0.2">
      <c r="A2144" s="23" t="s">
        <v>2702</v>
      </c>
      <c r="B2144" s="22" t="s">
        <v>18</v>
      </c>
      <c r="C2144" s="22" t="s">
        <v>457</v>
      </c>
      <c r="D2144" s="22" t="s">
        <v>1869</v>
      </c>
      <c r="E2144" s="24" t="s">
        <v>1870</v>
      </c>
      <c r="F2144" s="22" t="s">
        <v>132</v>
      </c>
      <c r="G2144" s="25">
        <v>17004</v>
      </c>
      <c r="H2144" s="22" t="s">
        <v>24</v>
      </c>
      <c r="I2144" s="22">
        <v>1</v>
      </c>
      <c r="J2144" s="22" t="s">
        <v>132</v>
      </c>
      <c r="K2144" s="22" t="s">
        <v>124</v>
      </c>
      <c r="L2144" s="22">
        <v>0</v>
      </c>
      <c r="M2144" s="26">
        <v>350000</v>
      </c>
      <c r="N2144" s="26">
        <v>0</v>
      </c>
      <c r="O2144" s="15">
        <f t="shared" si="165"/>
        <v>350000</v>
      </c>
      <c r="P2144" s="15">
        <f t="shared" si="166"/>
        <v>20.583392143025172</v>
      </c>
      <c r="Q2144" s="25">
        <v>25000</v>
      </c>
      <c r="R2144" s="22">
        <v>47</v>
      </c>
      <c r="S2144" s="22" t="s">
        <v>2768</v>
      </c>
      <c r="T2144" s="22">
        <f t="shared" si="167"/>
        <v>5</v>
      </c>
      <c r="U2144" s="22">
        <f t="shared" si="168"/>
        <v>2021</v>
      </c>
      <c r="V2144" s="22" t="str">
        <f t="shared" si="169"/>
        <v>REGIONES</v>
      </c>
    </row>
    <row r="2145" spans="1:22" x14ac:dyDescent="0.2">
      <c r="A2145" s="23" t="s">
        <v>2702</v>
      </c>
      <c r="B2145" s="22" t="s">
        <v>18</v>
      </c>
      <c r="C2145" s="22" t="s">
        <v>500</v>
      </c>
      <c r="D2145" s="22" t="s">
        <v>30</v>
      </c>
      <c r="E2145" s="24" t="s">
        <v>31</v>
      </c>
      <c r="F2145" s="22" t="s">
        <v>120</v>
      </c>
      <c r="G2145" s="25">
        <v>12805.26</v>
      </c>
      <c r="H2145" s="22" t="s">
        <v>32</v>
      </c>
      <c r="I2145" s="22">
        <v>0</v>
      </c>
      <c r="J2145" s="22" t="s">
        <v>120</v>
      </c>
      <c r="K2145" s="22" t="s">
        <v>23</v>
      </c>
      <c r="L2145" s="22">
        <v>5</v>
      </c>
      <c r="M2145" s="26">
        <v>70000</v>
      </c>
      <c r="N2145" s="26">
        <v>0</v>
      </c>
      <c r="O2145" s="15">
        <f t="shared" si="165"/>
        <v>70000</v>
      </c>
      <c r="P2145" s="15">
        <f t="shared" si="166"/>
        <v>5.4665036086733103</v>
      </c>
      <c r="Q2145" s="25">
        <v>10000</v>
      </c>
      <c r="R2145" s="22">
        <v>100</v>
      </c>
      <c r="S2145" s="22" t="s">
        <v>2703</v>
      </c>
      <c r="T2145" s="22">
        <f t="shared" si="167"/>
        <v>5</v>
      </c>
      <c r="U2145" s="22">
        <f t="shared" si="168"/>
        <v>2021</v>
      </c>
      <c r="V2145" s="22" t="str">
        <f t="shared" si="169"/>
        <v>METROPOLITANA</v>
      </c>
    </row>
    <row r="2146" spans="1:22" x14ac:dyDescent="0.2">
      <c r="A2146" s="23" t="s">
        <v>2702</v>
      </c>
      <c r="B2146" s="22" t="s">
        <v>18</v>
      </c>
      <c r="C2146" s="22" t="s">
        <v>160</v>
      </c>
      <c r="D2146" s="22" t="s">
        <v>164</v>
      </c>
      <c r="E2146" s="24" t="s">
        <v>28</v>
      </c>
      <c r="F2146" s="22" t="s">
        <v>58</v>
      </c>
      <c r="G2146" s="25">
        <v>14304.88</v>
      </c>
      <c r="H2146" s="22" t="s">
        <v>22</v>
      </c>
      <c r="I2146" s="22">
        <v>1</v>
      </c>
      <c r="J2146" s="22" t="s">
        <v>58</v>
      </c>
      <c r="K2146" s="22" t="s">
        <v>23</v>
      </c>
      <c r="L2146" s="22">
        <v>5</v>
      </c>
      <c r="M2146" s="26">
        <v>120000</v>
      </c>
      <c r="N2146" s="26">
        <v>0</v>
      </c>
      <c r="O2146" s="15">
        <f t="shared" si="165"/>
        <v>120000</v>
      </c>
      <c r="P2146" s="15">
        <f t="shared" si="166"/>
        <v>8.3887456588241225</v>
      </c>
      <c r="Q2146" s="25">
        <v>10000</v>
      </c>
      <c r="R2146" s="22">
        <v>100</v>
      </c>
      <c r="S2146" s="22" t="s">
        <v>2704</v>
      </c>
      <c r="T2146" s="22">
        <f t="shared" si="167"/>
        <v>5</v>
      </c>
      <c r="U2146" s="22">
        <f t="shared" si="168"/>
        <v>2021</v>
      </c>
      <c r="V2146" s="22" t="str">
        <f t="shared" si="169"/>
        <v>METROPOLITANA</v>
      </c>
    </row>
    <row r="2147" spans="1:22" x14ac:dyDescent="0.2">
      <c r="A2147" s="23" t="s">
        <v>2702</v>
      </c>
      <c r="B2147" s="22" t="s">
        <v>18</v>
      </c>
      <c r="C2147" s="22" t="s">
        <v>29</v>
      </c>
      <c r="D2147" s="22" t="s">
        <v>20</v>
      </c>
      <c r="E2147" s="24" t="s">
        <v>21</v>
      </c>
      <c r="F2147" s="22" t="s">
        <v>39</v>
      </c>
      <c r="G2147" s="25">
        <v>3654</v>
      </c>
      <c r="H2147" s="22" t="s">
        <v>22</v>
      </c>
      <c r="I2147" s="22">
        <v>0</v>
      </c>
      <c r="J2147" s="22" t="s">
        <v>39</v>
      </c>
      <c r="K2147" s="22" t="s">
        <v>23</v>
      </c>
      <c r="L2147" s="22">
        <v>1</v>
      </c>
      <c r="M2147" s="26">
        <v>55000</v>
      </c>
      <c r="N2147" s="26">
        <v>0</v>
      </c>
      <c r="O2147" s="15">
        <f t="shared" si="165"/>
        <v>55000</v>
      </c>
      <c r="P2147" s="15">
        <f t="shared" si="166"/>
        <v>15.0519978106185</v>
      </c>
      <c r="Q2147" s="25">
        <v>5000</v>
      </c>
      <c r="R2147" s="22">
        <v>73</v>
      </c>
      <c r="S2147" s="22" t="s">
        <v>2705</v>
      </c>
      <c r="T2147" s="22">
        <f t="shared" si="167"/>
        <v>5</v>
      </c>
      <c r="U2147" s="22">
        <f t="shared" si="168"/>
        <v>2021</v>
      </c>
      <c r="V2147" s="22" t="str">
        <f t="shared" si="169"/>
        <v>METROPOLITANA</v>
      </c>
    </row>
    <row r="2148" spans="1:22" x14ac:dyDescent="0.2">
      <c r="A2148" s="23" t="s">
        <v>2702</v>
      </c>
      <c r="B2148" s="22" t="s">
        <v>33</v>
      </c>
      <c r="C2148" s="22" t="s">
        <v>128</v>
      </c>
      <c r="D2148" s="22" t="s">
        <v>164</v>
      </c>
      <c r="E2148" s="24" t="s">
        <v>28</v>
      </c>
      <c r="F2148" s="22" t="s">
        <v>129</v>
      </c>
      <c r="G2148" s="25">
        <v>11902.8</v>
      </c>
      <c r="H2148" s="22" t="s">
        <v>22</v>
      </c>
      <c r="I2148" s="22">
        <v>1</v>
      </c>
      <c r="J2148" s="22" t="s">
        <v>129</v>
      </c>
      <c r="K2148" s="22" t="s">
        <v>23</v>
      </c>
      <c r="L2148" s="22">
        <v>1</v>
      </c>
      <c r="M2148" s="26">
        <v>130931</v>
      </c>
      <c r="N2148" s="26">
        <v>0</v>
      </c>
      <c r="O2148" s="15">
        <f t="shared" si="165"/>
        <v>130931</v>
      </c>
      <c r="P2148" s="15">
        <f t="shared" si="166"/>
        <v>11.000016802769098</v>
      </c>
      <c r="Q2148" s="25">
        <v>5000</v>
      </c>
      <c r="R2148" s="22">
        <v>100</v>
      </c>
      <c r="S2148" s="22" t="s">
        <v>2706</v>
      </c>
      <c r="T2148" s="22">
        <f t="shared" si="167"/>
        <v>5</v>
      </c>
      <c r="U2148" s="22">
        <f t="shared" si="168"/>
        <v>2021</v>
      </c>
      <c r="V2148" s="22" t="str">
        <f t="shared" si="169"/>
        <v>METROPOLITANA</v>
      </c>
    </row>
    <row r="2149" spans="1:22" x14ac:dyDescent="0.2">
      <c r="A2149" s="23" t="s">
        <v>2702</v>
      </c>
      <c r="B2149" s="22" t="s">
        <v>33</v>
      </c>
      <c r="C2149" s="22" t="s">
        <v>36</v>
      </c>
      <c r="D2149" s="22" t="s">
        <v>38</v>
      </c>
      <c r="E2149" s="24" t="s">
        <v>42</v>
      </c>
      <c r="F2149" s="22" t="s">
        <v>129</v>
      </c>
      <c r="G2149" s="25">
        <v>7503.9999999999973</v>
      </c>
      <c r="H2149" s="22" t="s">
        <v>43</v>
      </c>
      <c r="I2149" s="22">
        <v>0</v>
      </c>
      <c r="J2149" s="22" t="s">
        <v>129</v>
      </c>
      <c r="K2149" s="22" t="s">
        <v>23</v>
      </c>
      <c r="L2149" s="22">
        <v>0</v>
      </c>
      <c r="M2149" s="26">
        <v>55000</v>
      </c>
      <c r="N2149" s="26">
        <v>0</v>
      </c>
      <c r="O2149" s="15">
        <f t="shared" si="165"/>
        <v>55000</v>
      </c>
      <c r="P2149" s="15">
        <f t="shared" si="166"/>
        <v>7.3294243070362501</v>
      </c>
      <c r="Q2149" s="25">
        <v>5000</v>
      </c>
      <c r="R2149" s="22">
        <v>100</v>
      </c>
      <c r="S2149" s="22" t="s">
        <v>2707</v>
      </c>
      <c r="T2149" s="22">
        <f t="shared" si="167"/>
        <v>5</v>
      </c>
      <c r="U2149" s="22">
        <f t="shared" si="168"/>
        <v>2021</v>
      </c>
      <c r="V2149" s="22" t="str">
        <f t="shared" si="169"/>
        <v>METROPOLITANA</v>
      </c>
    </row>
    <row r="2150" spans="1:22" x14ac:dyDescent="0.2">
      <c r="A2150" s="23" t="s">
        <v>2702</v>
      </c>
      <c r="B2150" s="22" t="s">
        <v>33</v>
      </c>
      <c r="C2150" s="22" t="s">
        <v>2605</v>
      </c>
      <c r="D2150" s="22" t="s">
        <v>38</v>
      </c>
      <c r="E2150" s="24" t="s">
        <v>42</v>
      </c>
      <c r="F2150" s="22" t="s">
        <v>129</v>
      </c>
      <c r="G2150" s="25">
        <v>12953.96</v>
      </c>
      <c r="H2150" s="22" t="s">
        <v>43</v>
      </c>
      <c r="I2150" s="22">
        <v>0</v>
      </c>
      <c r="J2150" s="22" t="s">
        <v>129</v>
      </c>
      <c r="K2150" s="22" t="s">
        <v>23</v>
      </c>
      <c r="L2150" s="22">
        <v>1</v>
      </c>
      <c r="M2150" s="26">
        <v>142494</v>
      </c>
      <c r="N2150" s="26">
        <v>0</v>
      </c>
      <c r="O2150" s="15">
        <f t="shared" si="165"/>
        <v>142494</v>
      </c>
      <c r="P2150" s="15">
        <f t="shared" si="166"/>
        <v>11.000033966447326</v>
      </c>
      <c r="Q2150" s="25">
        <v>5000</v>
      </c>
      <c r="R2150" s="22">
        <v>100</v>
      </c>
      <c r="S2150" s="22" t="s">
        <v>2708</v>
      </c>
      <c r="T2150" s="22">
        <f t="shared" si="167"/>
        <v>5</v>
      </c>
      <c r="U2150" s="22">
        <f t="shared" si="168"/>
        <v>2021</v>
      </c>
      <c r="V2150" s="22" t="str">
        <f t="shared" si="169"/>
        <v>METROPOLITANA</v>
      </c>
    </row>
    <row r="2151" spans="1:22" x14ac:dyDescent="0.2">
      <c r="A2151" s="23" t="s">
        <v>2702</v>
      </c>
      <c r="B2151" s="22" t="s">
        <v>33</v>
      </c>
      <c r="C2151" s="22" t="s">
        <v>29</v>
      </c>
      <c r="D2151" s="22" t="s">
        <v>37</v>
      </c>
      <c r="E2151" s="24" t="s">
        <v>40</v>
      </c>
      <c r="F2151" s="22" t="s">
        <v>173</v>
      </c>
      <c r="G2151" s="25">
        <v>9367.1999999999971</v>
      </c>
      <c r="H2151" s="22" t="s">
        <v>22</v>
      </c>
      <c r="I2151" s="22">
        <v>0</v>
      </c>
      <c r="J2151" s="22" t="s">
        <v>173</v>
      </c>
      <c r="K2151" s="22" t="s">
        <v>23</v>
      </c>
      <c r="L2151" s="22">
        <v>5</v>
      </c>
      <c r="M2151" s="26">
        <v>90000</v>
      </c>
      <c r="N2151" s="26">
        <v>0</v>
      </c>
      <c r="O2151" s="15">
        <f t="shared" si="165"/>
        <v>90000</v>
      </c>
      <c r="P2151" s="15">
        <f t="shared" si="166"/>
        <v>9.607993850883938</v>
      </c>
      <c r="Q2151" s="25">
        <v>10000</v>
      </c>
      <c r="R2151" s="22">
        <v>94</v>
      </c>
      <c r="S2151" s="22" t="s">
        <v>2709</v>
      </c>
      <c r="T2151" s="22">
        <f t="shared" si="167"/>
        <v>5</v>
      </c>
      <c r="U2151" s="22">
        <f t="shared" si="168"/>
        <v>2021</v>
      </c>
      <c r="V2151" s="22" t="str">
        <f t="shared" si="169"/>
        <v>METROPOLITANA</v>
      </c>
    </row>
    <row r="2152" spans="1:22" x14ac:dyDescent="0.2">
      <c r="A2152" s="23" t="s">
        <v>2702</v>
      </c>
      <c r="B2152" s="22" t="s">
        <v>33</v>
      </c>
      <c r="C2152" s="22" t="s">
        <v>29</v>
      </c>
      <c r="D2152" s="22" t="s">
        <v>786</v>
      </c>
      <c r="E2152" s="24" t="s">
        <v>1891</v>
      </c>
      <c r="F2152" s="22" t="s">
        <v>170</v>
      </c>
      <c r="G2152" s="25">
        <v>19084.80000000001</v>
      </c>
      <c r="H2152" s="22" t="s">
        <v>788</v>
      </c>
      <c r="I2152" s="22">
        <v>1</v>
      </c>
      <c r="J2152" s="22" t="s">
        <v>170</v>
      </c>
      <c r="K2152" s="22" t="s">
        <v>171</v>
      </c>
      <c r="L2152" s="22">
        <v>0</v>
      </c>
      <c r="M2152" s="26">
        <v>230000</v>
      </c>
      <c r="N2152" s="26">
        <v>0</v>
      </c>
      <c r="O2152" s="15">
        <f t="shared" si="165"/>
        <v>230000</v>
      </c>
      <c r="P2152" s="15">
        <f t="shared" si="166"/>
        <v>12.051475519785372</v>
      </c>
      <c r="Q2152" s="25">
        <v>25000</v>
      </c>
      <c r="R2152" s="22">
        <v>76</v>
      </c>
      <c r="S2152" s="22" t="s">
        <v>2710</v>
      </c>
      <c r="T2152" s="22">
        <f t="shared" si="167"/>
        <v>5</v>
      </c>
      <c r="U2152" s="22">
        <f t="shared" si="168"/>
        <v>2021</v>
      </c>
      <c r="V2152" s="22" t="str">
        <f t="shared" si="169"/>
        <v>REGIONES</v>
      </c>
    </row>
    <row r="2153" spans="1:22" x14ac:dyDescent="0.2">
      <c r="A2153" s="23" t="s">
        <v>2702</v>
      </c>
      <c r="B2153" s="22" t="s">
        <v>33</v>
      </c>
      <c r="C2153" s="22" t="s">
        <v>29</v>
      </c>
      <c r="D2153" s="22" t="s">
        <v>63</v>
      </c>
      <c r="E2153" s="24" t="s">
        <v>64</v>
      </c>
      <c r="F2153" s="22" t="s">
        <v>134</v>
      </c>
      <c r="G2153" s="25">
        <v>7750.5999999999995</v>
      </c>
      <c r="H2153" s="22" t="s">
        <v>65</v>
      </c>
      <c r="I2153" s="22">
        <v>0</v>
      </c>
      <c r="J2153" s="22" t="s">
        <v>134</v>
      </c>
      <c r="K2153" s="22" t="s">
        <v>23</v>
      </c>
      <c r="L2153" s="22">
        <v>2</v>
      </c>
      <c r="M2153" s="26">
        <v>85257</v>
      </c>
      <c r="N2153" s="26">
        <v>0</v>
      </c>
      <c r="O2153" s="15">
        <f t="shared" si="165"/>
        <v>85257</v>
      </c>
      <c r="P2153" s="15">
        <f t="shared" si="166"/>
        <v>11.000051608907699</v>
      </c>
      <c r="Q2153" s="25">
        <v>5000</v>
      </c>
      <c r="R2153" s="22">
        <v>100</v>
      </c>
      <c r="S2153" s="22" t="s">
        <v>2711</v>
      </c>
      <c r="T2153" s="22">
        <f t="shared" si="167"/>
        <v>5</v>
      </c>
      <c r="U2153" s="22">
        <f t="shared" si="168"/>
        <v>2021</v>
      </c>
      <c r="V2153" s="22" t="str">
        <f t="shared" si="169"/>
        <v>METROPOLITANA</v>
      </c>
    </row>
    <row r="2154" spans="1:22" x14ac:dyDescent="0.2">
      <c r="A2154" s="23" t="s">
        <v>2702</v>
      </c>
      <c r="B2154" s="22" t="s">
        <v>33</v>
      </c>
      <c r="C2154" s="22" t="s">
        <v>29</v>
      </c>
      <c r="D2154" s="22" t="s">
        <v>47</v>
      </c>
      <c r="E2154" s="24" t="s">
        <v>1576</v>
      </c>
      <c r="F2154" s="22" t="s">
        <v>173</v>
      </c>
      <c r="G2154" s="25">
        <v>9129.6000000000022</v>
      </c>
      <c r="H2154" s="22" t="s">
        <v>22</v>
      </c>
      <c r="I2154" s="22">
        <v>0</v>
      </c>
      <c r="J2154" s="22" t="s">
        <v>173</v>
      </c>
      <c r="K2154" s="22" t="s">
        <v>23</v>
      </c>
      <c r="L2154" s="22">
        <v>5</v>
      </c>
      <c r="M2154" s="26">
        <v>90000</v>
      </c>
      <c r="N2154" s="26">
        <v>0</v>
      </c>
      <c r="O2154" s="15">
        <f t="shared" si="165"/>
        <v>90000</v>
      </c>
      <c r="P2154" s="15">
        <f t="shared" si="166"/>
        <v>9.8580441640378531</v>
      </c>
      <c r="Q2154" s="25">
        <v>10000</v>
      </c>
      <c r="R2154" s="22">
        <v>91</v>
      </c>
      <c r="S2154" s="22" t="s">
        <v>2712</v>
      </c>
      <c r="T2154" s="22">
        <f t="shared" si="167"/>
        <v>5</v>
      </c>
      <c r="U2154" s="22">
        <f t="shared" si="168"/>
        <v>2021</v>
      </c>
      <c r="V2154" s="22" t="str">
        <f t="shared" si="169"/>
        <v>METROPOLITANA</v>
      </c>
    </row>
    <row r="2155" spans="1:22" x14ac:dyDescent="0.2">
      <c r="A2155" s="23" t="s">
        <v>2702</v>
      </c>
      <c r="B2155" s="22" t="s">
        <v>33</v>
      </c>
      <c r="C2155" s="22" t="s">
        <v>2698</v>
      </c>
      <c r="D2155" s="22" t="s">
        <v>41</v>
      </c>
      <c r="E2155" s="24" t="s">
        <v>25</v>
      </c>
      <c r="F2155" s="22" t="s">
        <v>51</v>
      </c>
      <c r="G2155" s="25">
        <v>8018.9000000000024</v>
      </c>
      <c r="H2155" s="22" t="s">
        <v>43</v>
      </c>
      <c r="I2155" s="22">
        <v>0</v>
      </c>
      <c r="J2155" s="22" t="s">
        <v>51</v>
      </c>
      <c r="K2155" s="22" t="s">
        <v>23</v>
      </c>
      <c r="L2155" s="22">
        <v>4</v>
      </c>
      <c r="M2155" s="26">
        <v>88208</v>
      </c>
      <c r="N2155" s="26">
        <v>0</v>
      </c>
      <c r="O2155" s="15">
        <f t="shared" si="165"/>
        <v>88208</v>
      </c>
      <c r="P2155" s="15">
        <f t="shared" si="166"/>
        <v>11.00001247053835</v>
      </c>
      <c r="Q2155" s="25">
        <v>5000</v>
      </c>
      <c r="R2155" s="22">
        <v>100</v>
      </c>
      <c r="S2155" s="22" t="s">
        <v>2713</v>
      </c>
      <c r="T2155" s="22">
        <f t="shared" si="167"/>
        <v>5</v>
      </c>
      <c r="U2155" s="22">
        <f t="shared" si="168"/>
        <v>2021</v>
      </c>
      <c r="V2155" s="22" t="str">
        <f t="shared" si="169"/>
        <v>METROPOLITANA</v>
      </c>
    </row>
    <row r="2156" spans="1:22" x14ac:dyDescent="0.2">
      <c r="A2156" s="23" t="s">
        <v>2702</v>
      </c>
      <c r="B2156" s="22" t="s">
        <v>33</v>
      </c>
      <c r="C2156" s="22" t="s">
        <v>44</v>
      </c>
      <c r="D2156" s="22" t="s">
        <v>2714</v>
      </c>
      <c r="E2156" s="24" t="s">
        <v>189</v>
      </c>
      <c r="F2156" s="22" t="s">
        <v>51</v>
      </c>
      <c r="G2156" s="25">
        <v>4200.3999999999996</v>
      </c>
      <c r="H2156" s="22" t="s">
        <v>24</v>
      </c>
      <c r="I2156" s="22">
        <v>1</v>
      </c>
      <c r="J2156" s="22" t="s">
        <v>51</v>
      </c>
      <c r="K2156" s="22" t="s">
        <v>23</v>
      </c>
      <c r="L2156" s="22">
        <v>4</v>
      </c>
      <c r="M2156" s="26">
        <v>55000</v>
      </c>
      <c r="N2156" s="26">
        <v>0</v>
      </c>
      <c r="O2156" s="15">
        <f t="shared" si="165"/>
        <v>55000</v>
      </c>
      <c r="P2156" s="15">
        <f t="shared" si="166"/>
        <v>13.093991048471576</v>
      </c>
      <c r="Q2156" s="25">
        <v>5000</v>
      </c>
      <c r="R2156" s="22">
        <v>84</v>
      </c>
      <c r="S2156" s="22" t="s">
        <v>2715</v>
      </c>
      <c r="T2156" s="22">
        <f t="shared" si="167"/>
        <v>5</v>
      </c>
      <c r="U2156" s="22">
        <f t="shared" si="168"/>
        <v>2021</v>
      </c>
      <c r="V2156" s="22" t="str">
        <f t="shared" si="169"/>
        <v>METROPOLITANA</v>
      </c>
    </row>
    <row r="2157" spans="1:22" x14ac:dyDescent="0.2">
      <c r="A2157" s="23" t="s">
        <v>2702</v>
      </c>
      <c r="B2157" s="22" t="s">
        <v>33</v>
      </c>
      <c r="C2157" s="22" t="s">
        <v>44</v>
      </c>
      <c r="D2157" s="22" t="s">
        <v>188</v>
      </c>
      <c r="E2157" s="24" t="s">
        <v>189</v>
      </c>
      <c r="F2157" s="22" t="s">
        <v>51</v>
      </c>
      <c r="G2157" s="25">
        <v>3093.6</v>
      </c>
      <c r="H2157" s="22" t="s">
        <v>190</v>
      </c>
      <c r="I2157" s="22">
        <v>0</v>
      </c>
      <c r="J2157" s="22" t="s">
        <v>51</v>
      </c>
      <c r="K2157" s="22" t="s">
        <v>23</v>
      </c>
      <c r="L2157" s="22">
        <v>4</v>
      </c>
      <c r="M2157" s="26">
        <v>55000</v>
      </c>
      <c r="N2157" s="26">
        <v>0</v>
      </c>
      <c r="O2157" s="15">
        <f t="shared" si="165"/>
        <v>55000</v>
      </c>
      <c r="P2157" s="15">
        <f t="shared" si="166"/>
        <v>17.778639772433412</v>
      </c>
      <c r="Q2157" s="25">
        <v>5000</v>
      </c>
      <c r="R2157" s="22">
        <v>62</v>
      </c>
      <c r="S2157" s="22" t="s">
        <v>2716</v>
      </c>
      <c r="T2157" s="22">
        <f t="shared" si="167"/>
        <v>5</v>
      </c>
      <c r="U2157" s="22">
        <f t="shared" si="168"/>
        <v>2021</v>
      </c>
      <c r="V2157" s="22" t="str">
        <f t="shared" si="169"/>
        <v>METROPOLITANA</v>
      </c>
    </row>
    <row r="2158" spans="1:22" x14ac:dyDescent="0.2">
      <c r="A2158" s="23" t="s">
        <v>2702</v>
      </c>
      <c r="B2158" s="22" t="s">
        <v>33</v>
      </c>
      <c r="C2158" s="22" t="s">
        <v>44</v>
      </c>
      <c r="D2158" s="22" t="s">
        <v>45</v>
      </c>
      <c r="E2158" s="24" t="s">
        <v>52</v>
      </c>
      <c r="F2158" s="22" t="s">
        <v>48</v>
      </c>
      <c r="G2158" s="25">
        <v>3455.6</v>
      </c>
      <c r="H2158" s="22" t="s">
        <v>22</v>
      </c>
      <c r="I2158" s="22">
        <v>0</v>
      </c>
      <c r="J2158" s="22" t="s">
        <v>48</v>
      </c>
      <c r="K2158" s="22" t="s">
        <v>23</v>
      </c>
      <c r="L2158" s="22">
        <v>1</v>
      </c>
      <c r="M2158" s="26">
        <v>55000</v>
      </c>
      <c r="N2158" s="26">
        <v>0</v>
      </c>
      <c r="O2158" s="15">
        <f t="shared" si="165"/>
        <v>55000</v>
      </c>
      <c r="P2158" s="15">
        <f t="shared" si="166"/>
        <v>15.916194003935642</v>
      </c>
      <c r="Q2158" s="25">
        <v>5000</v>
      </c>
      <c r="R2158" s="22">
        <v>69</v>
      </c>
      <c r="S2158" s="22" t="s">
        <v>2717</v>
      </c>
      <c r="T2158" s="22">
        <f t="shared" si="167"/>
        <v>5</v>
      </c>
      <c r="U2158" s="22">
        <f t="shared" si="168"/>
        <v>2021</v>
      </c>
      <c r="V2158" s="22" t="str">
        <f t="shared" si="169"/>
        <v>METROPOLITANA</v>
      </c>
    </row>
    <row r="2159" spans="1:22" x14ac:dyDescent="0.2">
      <c r="A2159" s="23" t="s">
        <v>2702</v>
      </c>
      <c r="B2159" s="22" t="s">
        <v>33</v>
      </c>
      <c r="C2159" s="22" t="s">
        <v>44</v>
      </c>
      <c r="D2159" s="22" t="s">
        <v>41</v>
      </c>
      <c r="E2159" s="24" t="s">
        <v>25</v>
      </c>
      <c r="F2159" s="22" t="s">
        <v>182</v>
      </c>
      <c r="G2159" s="25">
        <v>3714.4</v>
      </c>
      <c r="H2159" s="22" t="s">
        <v>43</v>
      </c>
      <c r="I2159" s="22">
        <v>0</v>
      </c>
      <c r="J2159" s="22" t="s">
        <v>182</v>
      </c>
      <c r="K2159" s="22" t="s">
        <v>23</v>
      </c>
      <c r="L2159" s="22">
        <v>4</v>
      </c>
      <c r="M2159" s="26">
        <v>55000</v>
      </c>
      <c r="N2159" s="26">
        <v>0</v>
      </c>
      <c r="O2159" s="15">
        <f t="shared" si="165"/>
        <v>55000</v>
      </c>
      <c r="P2159" s="15">
        <f t="shared" si="166"/>
        <v>14.807236700409218</v>
      </c>
      <c r="Q2159" s="25">
        <v>5000</v>
      </c>
      <c r="R2159" s="22">
        <v>74</v>
      </c>
      <c r="S2159" s="22" t="s">
        <v>2718</v>
      </c>
      <c r="T2159" s="22">
        <f t="shared" si="167"/>
        <v>5</v>
      </c>
      <c r="U2159" s="22">
        <f t="shared" si="168"/>
        <v>2021</v>
      </c>
      <c r="V2159" s="22" t="str">
        <f t="shared" si="169"/>
        <v>METROPOLITANA</v>
      </c>
    </row>
    <row r="2160" spans="1:22" x14ac:dyDescent="0.2">
      <c r="A2160" s="11" t="s">
        <v>2719</v>
      </c>
      <c r="B2160" s="12" t="s">
        <v>18</v>
      </c>
      <c r="C2160" s="12" t="s">
        <v>160</v>
      </c>
      <c r="D2160" s="12" t="s">
        <v>20</v>
      </c>
      <c r="E2160" s="13" t="s">
        <v>21</v>
      </c>
      <c r="F2160" s="12" t="s">
        <v>58</v>
      </c>
      <c r="G2160" s="14">
        <v>4684.87</v>
      </c>
      <c r="H2160" s="12" t="s">
        <v>22</v>
      </c>
      <c r="I2160" s="12">
        <v>0</v>
      </c>
      <c r="J2160" s="12" t="s">
        <v>58</v>
      </c>
      <c r="K2160" s="12" t="s">
        <v>23</v>
      </c>
      <c r="L2160" s="12">
        <v>5</v>
      </c>
      <c r="M2160" s="15">
        <v>70000</v>
      </c>
      <c r="N2160" s="15">
        <v>0</v>
      </c>
      <c r="O2160" s="15">
        <f t="shared" si="165"/>
        <v>70000</v>
      </c>
      <c r="P2160" s="15">
        <f t="shared" si="166"/>
        <v>14.941716632478597</v>
      </c>
      <c r="Q2160" s="14">
        <v>10000</v>
      </c>
      <c r="R2160" s="12">
        <v>47</v>
      </c>
      <c r="S2160" s="12" t="s">
        <v>2720</v>
      </c>
      <c r="T2160" s="22">
        <f t="shared" si="167"/>
        <v>5</v>
      </c>
      <c r="U2160" s="22">
        <f t="shared" si="168"/>
        <v>2021</v>
      </c>
      <c r="V2160" s="22" t="str">
        <f t="shared" si="169"/>
        <v>METROPOLITANA</v>
      </c>
    </row>
    <row r="2161" spans="1:22" x14ac:dyDescent="0.2">
      <c r="A2161" s="11" t="s">
        <v>2719</v>
      </c>
      <c r="B2161" s="12" t="s">
        <v>18</v>
      </c>
      <c r="C2161" s="12" t="s">
        <v>163</v>
      </c>
      <c r="D2161" s="12" t="s">
        <v>2199</v>
      </c>
      <c r="E2161" s="13" t="s">
        <v>28</v>
      </c>
      <c r="F2161" s="12" t="s">
        <v>165</v>
      </c>
      <c r="G2161" s="14">
        <v>12158.4</v>
      </c>
      <c r="H2161" s="12" t="s">
        <v>22</v>
      </c>
      <c r="I2161" s="12">
        <v>0</v>
      </c>
      <c r="J2161" s="12" t="s">
        <v>165</v>
      </c>
      <c r="K2161" s="12" t="s">
        <v>23</v>
      </c>
      <c r="L2161" s="12">
        <v>4</v>
      </c>
      <c r="M2161" s="15">
        <v>133742</v>
      </c>
      <c r="N2161" s="15">
        <v>0</v>
      </c>
      <c r="O2161" s="15">
        <f t="shared" si="165"/>
        <v>133742</v>
      </c>
      <c r="P2161" s="15">
        <f t="shared" si="166"/>
        <v>10.999967100934334</v>
      </c>
      <c r="Q2161" s="14">
        <v>5000</v>
      </c>
      <c r="R2161" s="12">
        <v>100</v>
      </c>
      <c r="S2161" s="12" t="s">
        <v>2721</v>
      </c>
      <c r="T2161" s="22">
        <f t="shared" si="167"/>
        <v>5</v>
      </c>
      <c r="U2161" s="22">
        <f t="shared" si="168"/>
        <v>2021</v>
      </c>
      <c r="V2161" s="22" t="str">
        <f t="shared" si="169"/>
        <v>METROPOLITANA</v>
      </c>
    </row>
    <row r="2162" spans="1:22" x14ac:dyDescent="0.2">
      <c r="A2162" s="11" t="s">
        <v>2719</v>
      </c>
      <c r="B2162" s="12" t="s">
        <v>18</v>
      </c>
      <c r="C2162" s="12" t="s">
        <v>87</v>
      </c>
      <c r="D2162" s="12" t="s">
        <v>38</v>
      </c>
      <c r="E2162" s="13" t="s">
        <v>42</v>
      </c>
      <c r="F2162" s="12" t="s">
        <v>51</v>
      </c>
      <c r="G2162" s="14">
        <v>9889.2000000000044</v>
      </c>
      <c r="H2162" s="12" t="s">
        <v>43</v>
      </c>
      <c r="I2162" s="12">
        <v>0</v>
      </c>
      <c r="J2162" s="12" t="s">
        <v>51</v>
      </c>
      <c r="K2162" s="12" t="s">
        <v>23</v>
      </c>
      <c r="L2162" s="12">
        <v>4</v>
      </c>
      <c r="M2162" s="15">
        <v>108781</v>
      </c>
      <c r="N2162" s="15">
        <v>0</v>
      </c>
      <c r="O2162" s="15">
        <f t="shared" si="165"/>
        <v>108781</v>
      </c>
      <c r="P2162" s="15">
        <f t="shared" si="166"/>
        <v>10.999979775917158</v>
      </c>
      <c r="Q2162" s="14">
        <v>5000</v>
      </c>
      <c r="R2162" s="12">
        <v>100</v>
      </c>
      <c r="S2162" s="12" t="s">
        <v>2722</v>
      </c>
      <c r="T2162" s="22">
        <f t="shared" si="167"/>
        <v>5</v>
      </c>
      <c r="U2162" s="22">
        <f t="shared" si="168"/>
        <v>2021</v>
      </c>
      <c r="V2162" s="22" t="str">
        <f t="shared" si="169"/>
        <v>METROPOLITANA</v>
      </c>
    </row>
    <row r="2163" spans="1:22" x14ac:dyDescent="0.2">
      <c r="A2163" s="11" t="s">
        <v>2719</v>
      </c>
      <c r="B2163" s="12" t="s">
        <v>18</v>
      </c>
      <c r="C2163" s="12" t="s">
        <v>508</v>
      </c>
      <c r="D2163" s="12" t="s">
        <v>41</v>
      </c>
      <c r="E2163" s="13" t="s">
        <v>25</v>
      </c>
      <c r="F2163" s="12" t="s">
        <v>58</v>
      </c>
      <c r="G2163" s="14">
        <v>6730.91</v>
      </c>
      <c r="H2163" s="12" t="s">
        <v>43</v>
      </c>
      <c r="I2163" s="12">
        <v>0</v>
      </c>
      <c r="J2163" s="12" t="s">
        <v>58</v>
      </c>
      <c r="K2163" s="12" t="s">
        <v>23</v>
      </c>
      <c r="L2163" s="12">
        <v>5</v>
      </c>
      <c r="M2163" s="15">
        <v>70000</v>
      </c>
      <c r="N2163" s="15">
        <v>0</v>
      </c>
      <c r="O2163" s="15">
        <f t="shared" si="165"/>
        <v>70000</v>
      </c>
      <c r="P2163" s="15">
        <f t="shared" si="166"/>
        <v>10.399782495977513</v>
      </c>
      <c r="Q2163" s="14">
        <v>10000</v>
      </c>
      <c r="R2163" s="12">
        <v>67</v>
      </c>
      <c r="S2163" s="12" t="s">
        <v>2723</v>
      </c>
      <c r="T2163" s="22">
        <f t="shared" si="167"/>
        <v>5</v>
      </c>
      <c r="U2163" s="22">
        <f t="shared" si="168"/>
        <v>2021</v>
      </c>
      <c r="V2163" s="22" t="str">
        <f t="shared" si="169"/>
        <v>METROPOLITANA</v>
      </c>
    </row>
    <row r="2164" spans="1:22" x14ac:dyDescent="0.2">
      <c r="A2164" s="11" t="s">
        <v>2719</v>
      </c>
      <c r="B2164" s="12" t="s">
        <v>33</v>
      </c>
      <c r="C2164" s="12" t="s">
        <v>36</v>
      </c>
      <c r="D2164" s="12" t="s">
        <v>191</v>
      </c>
      <c r="E2164" s="13" t="s">
        <v>192</v>
      </c>
      <c r="F2164" s="12" t="s">
        <v>815</v>
      </c>
      <c r="G2164" s="14">
        <v>19522.400000000009</v>
      </c>
      <c r="H2164" s="12" t="s">
        <v>85</v>
      </c>
      <c r="I2164" s="12">
        <v>1</v>
      </c>
      <c r="J2164" s="12" t="s">
        <v>815</v>
      </c>
      <c r="K2164" s="12" t="s">
        <v>75</v>
      </c>
      <c r="L2164" s="12">
        <v>0</v>
      </c>
      <c r="M2164" s="15">
        <v>420000</v>
      </c>
      <c r="N2164" s="15">
        <v>0</v>
      </c>
      <c r="O2164" s="15">
        <f t="shared" si="165"/>
        <v>420000</v>
      </c>
      <c r="P2164" s="15">
        <f t="shared" si="166"/>
        <v>21.513748309634053</v>
      </c>
      <c r="Q2164" s="14">
        <v>25000</v>
      </c>
      <c r="R2164" s="12">
        <v>78</v>
      </c>
      <c r="S2164" s="12" t="s">
        <v>2724</v>
      </c>
      <c r="T2164" s="22">
        <f t="shared" si="167"/>
        <v>5</v>
      </c>
      <c r="U2164" s="22">
        <f t="shared" si="168"/>
        <v>2021</v>
      </c>
      <c r="V2164" s="22" t="str">
        <f t="shared" si="169"/>
        <v>REGIONES</v>
      </c>
    </row>
    <row r="2165" spans="1:22" x14ac:dyDescent="0.2">
      <c r="A2165" s="11" t="s">
        <v>2719</v>
      </c>
      <c r="B2165" s="12" t="s">
        <v>33</v>
      </c>
      <c r="C2165" s="12" t="s">
        <v>36</v>
      </c>
      <c r="D2165" s="12" t="s">
        <v>956</v>
      </c>
      <c r="E2165" s="13" t="s">
        <v>957</v>
      </c>
      <c r="F2165" s="12" t="s">
        <v>815</v>
      </c>
      <c r="G2165" s="14">
        <v>18772</v>
      </c>
      <c r="H2165" s="12" t="s">
        <v>85</v>
      </c>
      <c r="I2165" s="12">
        <v>1</v>
      </c>
      <c r="J2165" s="12" t="s">
        <v>815</v>
      </c>
      <c r="K2165" s="12" t="s">
        <v>75</v>
      </c>
      <c r="L2165" s="12">
        <v>0</v>
      </c>
      <c r="M2165" s="15">
        <v>420000</v>
      </c>
      <c r="N2165" s="15">
        <v>0</v>
      </c>
      <c r="O2165" s="15">
        <f t="shared" si="165"/>
        <v>420000</v>
      </c>
      <c r="P2165" s="15">
        <f t="shared" si="166"/>
        <v>22.373748135520987</v>
      </c>
      <c r="Q2165" s="14">
        <v>25000</v>
      </c>
      <c r="R2165" s="12">
        <v>75</v>
      </c>
      <c r="S2165" s="12" t="s">
        <v>2725</v>
      </c>
      <c r="T2165" s="22">
        <f t="shared" si="167"/>
        <v>5</v>
      </c>
      <c r="U2165" s="22">
        <f t="shared" si="168"/>
        <v>2021</v>
      </c>
      <c r="V2165" s="22" t="str">
        <f t="shared" si="169"/>
        <v>REGIONES</v>
      </c>
    </row>
    <row r="2166" spans="1:22" x14ac:dyDescent="0.2">
      <c r="A2166" s="11" t="s">
        <v>2719</v>
      </c>
      <c r="B2166" s="12" t="s">
        <v>33</v>
      </c>
      <c r="C2166" s="12" t="s">
        <v>29</v>
      </c>
      <c r="D2166" s="12" t="s">
        <v>188</v>
      </c>
      <c r="E2166" s="13" t="s">
        <v>189</v>
      </c>
      <c r="F2166" s="12" t="s">
        <v>129</v>
      </c>
      <c r="G2166" s="14">
        <v>5475.5999999999995</v>
      </c>
      <c r="H2166" s="12" t="s">
        <v>190</v>
      </c>
      <c r="I2166" s="12">
        <v>0</v>
      </c>
      <c r="J2166" s="12" t="s">
        <v>129</v>
      </c>
      <c r="K2166" s="12" t="s">
        <v>23</v>
      </c>
      <c r="L2166" s="12">
        <v>1</v>
      </c>
      <c r="M2166" s="15">
        <v>60232</v>
      </c>
      <c r="N2166" s="15">
        <v>0</v>
      </c>
      <c r="O2166" s="15">
        <f t="shared" si="165"/>
        <v>60232</v>
      </c>
      <c r="P2166" s="15">
        <f t="shared" si="166"/>
        <v>11.000073051355104</v>
      </c>
      <c r="Q2166" s="14">
        <v>5000</v>
      </c>
      <c r="R2166" s="12">
        <v>100</v>
      </c>
      <c r="S2166" s="12" t="s">
        <v>2726</v>
      </c>
      <c r="T2166" s="22">
        <f t="shared" si="167"/>
        <v>5</v>
      </c>
      <c r="U2166" s="22">
        <f t="shared" si="168"/>
        <v>2021</v>
      </c>
      <c r="V2166" s="22" t="str">
        <f t="shared" si="169"/>
        <v>METROPOLITANA</v>
      </c>
    </row>
    <row r="2167" spans="1:22" x14ac:dyDescent="0.2">
      <c r="A2167" s="11" t="s">
        <v>2719</v>
      </c>
      <c r="B2167" s="12" t="s">
        <v>33</v>
      </c>
      <c r="C2167" s="12" t="s">
        <v>29</v>
      </c>
      <c r="D2167" s="12" t="s">
        <v>63</v>
      </c>
      <c r="E2167" s="13" t="s">
        <v>64</v>
      </c>
      <c r="F2167" s="12" t="s">
        <v>134</v>
      </c>
      <c r="G2167" s="14">
        <v>10653.6</v>
      </c>
      <c r="H2167" s="12" t="s">
        <v>65</v>
      </c>
      <c r="I2167" s="12">
        <v>0</v>
      </c>
      <c r="J2167" s="12" t="s">
        <v>134</v>
      </c>
      <c r="K2167" s="12" t="s">
        <v>23</v>
      </c>
      <c r="L2167" s="12">
        <v>2</v>
      </c>
      <c r="M2167" s="15">
        <v>117190</v>
      </c>
      <c r="N2167" s="15">
        <v>0</v>
      </c>
      <c r="O2167" s="15">
        <f t="shared" si="165"/>
        <v>117190</v>
      </c>
      <c r="P2167" s="15">
        <f t="shared" si="166"/>
        <v>11.000037545993843</v>
      </c>
      <c r="Q2167" s="14">
        <v>5000</v>
      </c>
      <c r="R2167" s="12">
        <v>100</v>
      </c>
      <c r="S2167" s="12" t="s">
        <v>2727</v>
      </c>
      <c r="T2167" s="22">
        <f t="shared" si="167"/>
        <v>5</v>
      </c>
      <c r="U2167" s="22">
        <f t="shared" si="168"/>
        <v>2021</v>
      </c>
      <c r="V2167" s="22" t="str">
        <f t="shared" si="169"/>
        <v>METROPOLITANA</v>
      </c>
    </row>
    <row r="2168" spans="1:22" x14ac:dyDescent="0.2">
      <c r="A2168" s="11" t="s">
        <v>2719</v>
      </c>
      <c r="B2168" s="12" t="s">
        <v>33</v>
      </c>
      <c r="C2168" s="12" t="s">
        <v>29</v>
      </c>
      <c r="D2168" s="12" t="s">
        <v>30</v>
      </c>
      <c r="E2168" s="13" t="s">
        <v>31</v>
      </c>
      <c r="F2168" s="12" t="s">
        <v>134</v>
      </c>
      <c r="G2168" s="14">
        <v>6753.5999999999995</v>
      </c>
      <c r="H2168" s="12" t="s">
        <v>32</v>
      </c>
      <c r="I2168" s="12">
        <v>0</v>
      </c>
      <c r="J2168" s="12" t="s">
        <v>134</v>
      </c>
      <c r="K2168" s="12" t="s">
        <v>23</v>
      </c>
      <c r="L2168" s="12">
        <v>2</v>
      </c>
      <c r="M2168" s="15">
        <v>74290</v>
      </c>
      <c r="N2168" s="15">
        <v>0</v>
      </c>
      <c r="O2168" s="15">
        <f t="shared" si="165"/>
        <v>74290</v>
      </c>
      <c r="P2168" s="15">
        <f t="shared" si="166"/>
        <v>11.000059227671169</v>
      </c>
      <c r="Q2168" s="14">
        <v>5000</v>
      </c>
      <c r="R2168" s="12">
        <v>100</v>
      </c>
      <c r="S2168" s="12" t="s">
        <v>2728</v>
      </c>
      <c r="T2168" s="22">
        <f t="shared" si="167"/>
        <v>5</v>
      </c>
      <c r="U2168" s="22">
        <f t="shared" si="168"/>
        <v>2021</v>
      </c>
      <c r="V2168" s="22" t="str">
        <f t="shared" si="169"/>
        <v>METROPOLITANA</v>
      </c>
    </row>
    <row r="2169" spans="1:22" x14ac:dyDescent="0.2">
      <c r="A2169" s="11" t="s">
        <v>2719</v>
      </c>
      <c r="B2169" s="12" t="s">
        <v>33</v>
      </c>
      <c r="C2169" s="12" t="s">
        <v>29</v>
      </c>
      <c r="D2169" s="12" t="s">
        <v>45</v>
      </c>
      <c r="E2169" s="13" t="s">
        <v>52</v>
      </c>
      <c r="F2169" s="12" t="s">
        <v>134</v>
      </c>
      <c r="G2169" s="14">
        <v>6753.5999999999995</v>
      </c>
      <c r="H2169" s="12" t="s">
        <v>22</v>
      </c>
      <c r="I2169" s="12">
        <v>0</v>
      </c>
      <c r="J2169" s="12" t="s">
        <v>134</v>
      </c>
      <c r="K2169" s="12" t="s">
        <v>23</v>
      </c>
      <c r="L2169" s="12">
        <v>2</v>
      </c>
      <c r="M2169" s="15">
        <v>74290</v>
      </c>
      <c r="N2169" s="15">
        <v>0</v>
      </c>
      <c r="O2169" s="15">
        <f t="shared" si="165"/>
        <v>74290</v>
      </c>
      <c r="P2169" s="15">
        <f t="shared" si="166"/>
        <v>11.000059227671169</v>
      </c>
      <c r="Q2169" s="14">
        <v>5000</v>
      </c>
      <c r="R2169" s="12">
        <v>100</v>
      </c>
      <c r="S2169" s="12" t="s">
        <v>2729</v>
      </c>
      <c r="T2169" s="22">
        <f t="shared" si="167"/>
        <v>5</v>
      </c>
      <c r="U2169" s="22">
        <f t="shared" si="168"/>
        <v>2021</v>
      </c>
      <c r="V2169" s="22" t="str">
        <f t="shared" si="169"/>
        <v>METROPOLITANA</v>
      </c>
    </row>
    <row r="2170" spans="1:22" x14ac:dyDescent="0.2">
      <c r="A2170" s="11" t="s">
        <v>2719</v>
      </c>
      <c r="B2170" s="12" t="s">
        <v>33</v>
      </c>
      <c r="C2170" s="12" t="s">
        <v>44</v>
      </c>
      <c r="D2170" s="12" t="s">
        <v>56</v>
      </c>
      <c r="E2170" s="13" t="s">
        <v>28</v>
      </c>
      <c r="F2170" s="12" t="s">
        <v>94</v>
      </c>
      <c r="G2170" s="14">
        <v>5600.8000000000011</v>
      </c>
      <c r="H2170" s="12" t="s">
        <v>22</v>
      </c>
      <c r="I2170" s="12">
        <v>0</v>
      </c>
      <c r="J2170" s="12" t="s">
        <v>59</v>
      </c>
      <c r="K2170" s="12" t="s">
        <v>78</v>
      </c>
      <c r="L2170" s="12">
        <v>0</v>
      </c>
      <c r="M2170" s="15">
        <v>180000</v>
      </c>
      <c r="N2170" s="15">
        <v>0</v>
      </c>
      <c r="O2170" s="15">
        <f t="shared" si="165"/>
        <v>180000</v>
      </c>
      <c r="P2170" s="15">
        <f t="shared" si="166"/>
        <v>32.13826596200542</v>
      </c>
      <c r="Q2170" s="14">
        <v>25000</v>
      </c>
      <c r="R2170" s="12">
        <v>22</v>
      </c>
      <c r="S2170" s="12" t="s">
        <v>2730</v>
      </c>
      <c r="T2170" s="22">
        <f t="shared" si="167"/>
        <v>5</v>
      </c>
      <c r="U2170" s="22">
        <f t="shared" si="168"/>
        <v>2021</v>
      </c>
      <c r="V2170" s="22" t="str">
        <f t="shared" si="169"/>
        <v>REGIONES</v>
      </c>
    </row>
    <row r="2171" spans="1:22" x14ac:dyDescent="0.2">
      <c r="A2171" s="11" t="s">
        <v>2719</v>
      </c>
      <c r="B2171" s="12" t="s">
        <v>33</v>
      </c>
      <c r="C2171" s="12" t="s">
        <v>44</v>
      </c>
      <c r="D2171" s="12" t="s">
        <v>45</v>
      </c>
      <c r="E2171" s="13" t="s">
        <v>52</v>
      </c>
      <c r="F2171" s="12" t="s">
        <v>26</v>
      </c>
      <c r="G2171" s="14">
        <v>5252.4</v>
      </c>
      <c r="H2171" s="12" t="s">
        <v>22</v>
      </c>
      <c r="I2171" s="12">
        <v>0</v>
      </c>
      <c r="J2171" s="12" t="s">
        <v>26</v>
      </c>
      <c r="K2171" s="12" t="s">
        <v>23</v>
      </c>
      <c r="L2171" s="12">
        <v>4</v>
      </c>
      <c r="M2171" s="15">
        <v>57776</v>
      </c>
      <c r="N2171" s="15">
        <v>0</v>
      </c>
      <c r="O2171" s="15">
        <f t="shared" si="165"/>
        <v>57776</v>
      </c>
      <c r="P2171" s="15">
        <f t="shared" si="166"/>
        <v>10.999923844337827</v>
      </c>
      <c r="Q2171" s="14">
        <v>5000</v>
      </c>
      <c r="R2171" s="12">
        <v>100</v>
      </c>
      <c r="S2171" s="12" t="s">
        <v>2731</v>
      </c>
      <c r="T2171" s="22">
        <f t="shared" si="167"/>
        <v>5</v>
      </c>
      <c r="U2171" s="22">
        <f t="shared" si="168"/>
        <v>2021</v>
      </c>
      <c r="V2171" s="22" t="str">
        <f t="shared" si="169"/>
        <v>METROPOLITANA</v>
      </c>
    </row>
    <row r="2172" spans="1:22" x14ac:dyDescent="0.2">
      <c r="A2172" s="11" t="s">
        <v>2719</v>
      </c>
      <c r="B2172" s="12" t="s">
        <v>33</v>
      </c>
      <c r="C2172" s="12" t="s">
        <v>44</v>
      </c>
      <c r="D2172" s="12" t="s">
        <v>47</v>
      </c>
      <c r="E2172" s="13" t="s">
        <v>1576</v>
      </c>
      <c r="F2172" s="12" t="s">
        <v>48</v>
      </c>
      <c r="G2172" s="14">
        <v>5964.4000000000024</v>
      </c>
      <c r="H2172" s="12" t="s">
        <v>22</v>
      </c>
      <c r="I2172" s="12">
        <v>0</v>
      </c>
      <c r="J2172" s="12" t="s">
        <v>48</v>
      </c>
      <c r="K2172" s="12" t="s">
        <v>23</v>
      </c>
      <c r="L2172" s="12">
        <v>1</v>
      </c>
      <c r="M2172" s="15">
        <v>65608</v>
      </c>
      <c r="N2172" s="15">
        <v>0</v>
      </c>
      <c r="O2172" s="15">
        <f t="shared" si="165"/>
        <v>65608</v>
      </c>
      <c r="P2172" s="15">
        <f t="shared" si="166"/>
        <v>10.999932935416801</v>
      </c>
      <c r="Q2172" s="14">
        <v>5000</v>
      </c>
      <c r="R2172" s="12">
        <v>100</v>
      </c>
      <c r="S2172" s="12" t="s">
        <v>2732</v>
      </c>
      <c r="T2172" s="22">
        <f t="shared" si="167"/>
        <v>5</v>
      </c>
      <c r="U2172" s="22">
        <f t="shared" si="168"/>
        <v>2021</v>
      </c>
      <c r="V2172" s="22" t="str">
        <f t="shared" si="169"/>
        <v>METROPOLITANA</v>
      </c>
    </row>
    <row r="2173" spans="1:22" x14ac:dyDescent="0.2">
      <c r="A2173" s="23" t="s">
        <v>2733</v>
      </c>
      <c r="B2173" s="22" t="s">
        <v>18</v>
      </c>
      <c r="C2173" s="22" t="s">
        <v>160</v>
      </c>
      <c r="D2173" s="22" t="s">
        <v>37</v>
      </c>
      <c r="E2173" s="24" t="s">
        <v>40</v>
      </c>
      <c r="F2173" s="22" t="s">
        <v>58</v>
      </c>
      <c r="G2173" s="25">
        <v>7440.869999999999</v>
      </c>
      <c r="H2173" s="22" t="s">
        <v>22</v>
      </c>
      <c r="I2173" s="22">
        <v>0</v>
      </c>
      <c r="J2173" s="22" t="s">
        <v>58</v>
      </c>
      <c r="K2173" s="22" t="s">
        <v>23</v>
      </c>
      <c r="L2173" s="22">
        <v>5</v>
      </c>
      <c r="M2173" s="26">
        <v>70000</v>
      </c>
      <c r="N2173" s="26">
        <v>0</v>
      </c>
      <c r="O2173" s="15">
        <f t="shared" si="165"/>
        <v>70000</v>
      </c>
      <c r="P2173" s="15">
        <f t="shared" si="166"/>
        <v>9.4075020797299249</v>
      </c>
      <c r="Q2173" s="25">
        <v>10000</v>
      </c>
      <c r="R2173" s="22">
        <v>74</v>
      </c>
      <c r="S2173" s="22" t="s">
        <v>2734</v>
      </c>
      <c r="T2173" s="22">
        <f t="shared" si="167"/>
        <v>5</v>
      </c>
      <c r="U2173" s="22">
        <f t="shared" si="168"/>
        <v>2021</v>
      </c>
      <c r="V2173" s="22" t="str">
        <f t="shared" si="169"/>
        <v>METROPOLITANA</v>
      </c>
    </row>
    <row r="2174" spans="1:22" x14ac:dyDescent="0.2">
      <c r="A2174" s="23" t="s">
        <v>2733</v>
      </c>
      <c r="B2174" s="22" t="s">
        <v>18</v>
      </c>
      <c r="C2174" s="22" t="s">
        <v>163</v>
      </c>
      <c r="D2174" s="22" t="s">
        <v>164</v>
      </c>
      <c r="E2174" s="24" t="s">
        <v>28</v>
      </c>
      <c r="F2174" s="22" t="s">
        <v>165</v>
      </c>
      <c r="G2174" s="25">
        <v>15875.099999999989</v>
      </c>
      <c r="H2174" s="22" t="s">
        <v>22</v>
      </c>
      <c r="I2174" s="22">
        <v>1</v>
      </c>
      <c r="J2174" s="22" t="s">
        <v>165</v>
      </c>
      <c r="K2174" s="22" t="s">
        <v>23</v>
      </c>
      <c r="L2174" s="22">
        <v>4</v>
      </c>
      <c r="M2174" s="26">
        <v>174626</v>
      </c>
      <c r="N2174" s="26">
        <v>0</v>
      </c>
      <c r="O2174" s="15">
        <f t="shared" si="165"/>
        <v>174626</v>
      </c>
      <c r="P2174" s="15">
        <f t="shared" si="166"/>
        <v>10.999993700827089</v>
      </c>
      <c r="Q2174" s="25">
        <v>5000</v>
      </c>
      <c r="R2174" s="22">
        <v>100</v>
      </c>
      <c r="S2174" s="22" t="s">
        <v>2735</v>
      </c>
      <c r="T2174" s="22">
        <f t="shared" si="167"/>
        <v>5</v>
      </c>
      <c r="U2174" s="22">
        <f t="shared" si="168"/>
        <v>2021</v>
      </c>
      <c r="V2174" s="22" t="str">
        <f t="shared" si="169"/>
        <v>METROPOLITANA</v>
      </c>
    </row>
    <row r="2175" spans="1:22" x14ac:dyDescent="0.2">
      <c r="A2175" s="23" t="s">
        <v>2733</v>
      </c>
      <c r="B2175" s="22" t="s">
        <v>33</v>
      </c>
      <c r="C2175" s="22" t="s">
        <v>60</v>
      </c>
      <c r="D2175" s="22" t="s">
        <v>45</v>
      </c>
      <c r="E2175" s="24" t="s">
        <v>52</v>
      </c>
      <c r="F2175" s="22" t="s">
        <v>51</v>
      </c>
      <c r="G2175" s="25">
        <v>3951.6</v>
      </c>
      <c r="H2175" s="22" t="s">
        <v>22</v>
      </c>
      <c r="I2175" s="22">
        <v>0</v>
      </c>
      <c r="J2175" s="22" t="s">
        <v>51</v>
      </c>
      <c r="K2175" s="22" t="s">
        <v>23</v>
      </c>
      <c r="L2175" s="22">
        <v>4</v>
      </c>
      <c r="M2175" s="26">
        <v>55000</v>
      </c>
      <c r="N2175" s="26">
        <v>0</v>
      </c>
      <c r="O2175" s="15">
        <f t="shared" si="165"/>
        <v>55000</v>
      </c>
      <c r="P2175" s="15">
        <f t="shared" si="166"/>
        <v>13.918412794817289</v>
      </c>
      <c r="Q2175" s="25">
        <v>5000</v>
      </c>
      <c r="R2175" s="22">
        <v>79</v>
      </c>
      <c r="S2175" s="22" t="s">
        <v>2736</v>
      </c>
      <c r="T2175" s="22">
        <f t="shared" si="167"/>
        <v>5</v>
      </c>
      <c r="U2175" s="22">
        <f t="shared" si="168"/>
        <v>2021</v>
      </c>
      <c r="V2175" s="22" t="str">
        <f t="shared" si="169"/>
        <v>METROPOLITANA</v>
      </c>
    </row>
    <row r="2176" spans="1:22" x14ac:dyDescent="0.2">
      <c r="A2176" s="23" t="s">
        <v>2733</v>
      </c>
      <c r="B2176" s="22" t="s">
        <v>33</v>
      </c>
      <c r="C2176" s="22" t="s">
        <v>60</v>
      </c>
      <c r="D2176" s="22" t="s">
        <v>20</v>
      </c>
      <c r="E2176" s="24" t="s">
        <v>21</v>
      </c>
      <c r="F2176" s="22" t="s">
        <v>51</v>
      </c>
      <c r="G2176" s="25">
        <v>7503.9999999999973</v>
      </c>
      <c r="H2176" s="22" t="s">
        <v>22</v>
      </c>
      <c r="I2176" s="22">
        <v>0</v>
      </c>
      <c r="J2176" s="22" t="s">
        <v>51</v>
      </c>
      <c r="K2176" s="22" t="s">
        <v>23</v>
      </c>
      <c r="L2176" s="22">
        <v>4</v>
      </c>
      <c r="M2176" s="26">
        <v>82544</v>
      </c>
      <c r="N2176" s="26">
        <v>0</v>
      </c>
      <c r="O2176" s="15">
        <f t="shared" si="165"/>
        <v>82544</v>
      </c>
      <c r="P2176" s="15">
        <f t="shared" si="166"/>
        <v>11.000000000000004</v>
      </c>
      <c r="Q2176" s="25">
        <v>5000</v>
      </c>
      <c r="R2176" s="22">
        <v>100</v>
      </c>
      <c r="S2176" s="22" t="s">
        <v>2737</v>
      </c>
      <c r="T2176" s="22">
        <f t="shared" si="167"/>
        <v>5</v>
      </c>
      <c r="U2176" s="22">
        <f t="shared" si="168"/>
        <v>2021</v>
      </c>
      <c r="V2176" s="22" t="str">
        <f t="shared" si="169"/>
        <v>METROPOLITANA</v>
      </c>
    </row>
    <row r="2177" spans="1:22" x14ac:dyDescent="0.2">
      <c r="A2177" s="23" t="s">
        <v>2733</v>
      </c>
      <c r="B2177" s="22" t="s">
        <v>33</v>
      </c>
      <c r="C2177" s="22" t="s">
        <v>128</v>
      </c>
      <c r="D2177" s="22" t="s">
        <v>38</v>
      </c>
      <c r="E2177" s="24" t="s">
        <v>42</v>
      </c>
      <c r="F2177" s="22" t="s">
        <v>34</v>
      </c>
      <c r="G2177" s="25">
        <v>6151.2000000000016</v>
      </c>
      <c r="H2177" s="22" t="s">
        <v>43</v>
      </c>
      <c r="I2177" s="22">
        <v>0</v>
      </c>
      <c r="J2177" s="22" t="s">
        <v>34</v>
      </c>
      <c r="K2177" s="22" t="s">
        <v>23</v>
      </c>
      <c r="L2177" s="22">
        <v>1</v>
      </c>
      <c r="M2177" s="26">
        <v>67663</v>
      </c>
      <c r="N2177" s="26">
        <v>0</v>
      </c>
      <c r="O2177" s="15">
        <f t="shared" si="165"/>
        <v>67663</v>
      </c>
      <c r="P2177" s="15">
        <f t="shared" si="166"/>
        <v>10.999967486018985</v>
      </c>
      <c r="Q2177" s="25">
        <v>5000</v>
      </c>
      <c r="R2177" s="22">
        <v>100</v>
      </c>
      <c r="S2177" s="22" t="s">
        <v>2738</v>
      </c>
      <c r="T2177" s="22">
        <f t="shared" si="167"/>
        <v>5</v>
      </c>
      <c r="U2177" s="22">
        <f t="shared" si="168"/>
        <v>2021</v>
      </c>
      <c r="V2177" s="22" t="str">
        <f t="shared" si="169"/>
        <v>METROPOLITANA</v>
      </c>
    </row>
    <row r="2178" spans="1:22" x14ac:dyDescent="0.2">
      <c r="A2178" s="23" t="s">
        <v>2733</v>
      </c>
      <c r="B2178" s="22" t="s">
        <v>33</v>
      </c>
      <c r="C2178" s="22" t="s">
        <v>128</v>
      </c>
      <c r="D2178" s="22" t="s">
        <v>37</v>
      </c>
      <c r="E2178" s="24" t="s">
        <v>40</v>
      </c>
      <c r="F2178" s="22" t="s">
        <v>34</v>
      </c>
      <c r="G2178" s="25">
        <v>8051</v>
      </c>
      <c r="H2178" s="22" t="s">
        <v>22</v>
      </c>
      <c r="I2178" s="22">
        <v>0</v>
      </c>
      <c r="J2178" s="22" t="s">
        <v>34</v>
      </c>
      <c r="K2178" s="22" t="s">
        <v>23</v>
      </c>
      <c r="L2178" s="22">
        <v>1</v>
      </c>
      <c r="M2178" s="26">
        <v>80313</v>
      </c>
      <c r="N2178" s="26">
        <v>0</v>
      </c>
      <c r="O2178" s="15">
        <f t="shared" ref="O2178:O2209" si="170">SUM(M2178:N2178)</f>
        <v>80313</v>
      </c>
      <c r="P2178" s="15">
        <f t="shared" ref="P2178:P2241" si="171">O2178/G2178</f>
        <v>9.9755309899391378</v>
      </c>
      <c r="Q2178" s="25">
        <v>5000</v>
      </c>
      <c r="R2178" s="22">
        <v>100</v>
      </c>
      <c r="S2178" s="22" t="s">
        <v>2739</v>
      </c>
      <c r="T2178" s="22">
        <f t="shared" ref="T2178:T2246" si="172">MONTH(A2178)</f>
        <v>5</v>
      </c>
      <c r="U2178" s="22">
        <f t="shared" ref="U2178:U2246" si="173">YEAR(A2178)</f>
        <v>2021</v>
      </c>
      <c r="V2178" s="22" t="str">
        <f t="shared" ref="V2178:V2246" si="174">IF(K2178="METROPOLITANA DE SANTIAGO","METROPOLITANA","REGIONES")</f>
        <v>METROPOLITANA</v>
      </c>
    </row>
    <row r="2179" spans="1:22" x14ac:dyDescent="0.2">
      <c r="A2179" s="23" t="s">
        <v>2733</v>
      </c>
      <c r="B2179" s="22" t="s">
        <v>33</v>
      </c>
      <c r="C2179" s="22" t="s">
        <v>128</v>
      </c>
      <c r="D2179" s="22" t="s">
        <v>63</v>
      </c>
      <c r="E2179" s="24" t="s">
        <v>64</v>
      </c>
      <c r="F2179" s="22" t="s">
        <v>34</v>
      </c>
      <c r="G2179" s="25">
        <v>8051.600000000004</v>
      </c>
      <c r="H2179" s="22" t="s">
        <v>65</v>
      </c>
      <c r="I2179" s="22">
        <v>0</v>
      </c>
      <c r="J2179" s="22" t="s">
        <v>34</v>
      </c>
      <c r="K2179" s="22" t="s">
        <v>23</v>
      </c>
      <c r="L2179" s="22">
        <v>1</v>
      </c>
      <c r="M2179" s="26">
        <v>88568</v>
      </c>
      <c r="N2179" s="26">
        <v>0</v>
      </c>
      <c r="O2179" s="15">
        <f t="shared" si="170"/>
        <v>88568</v>
      </c>
      <c r="P2179" s="15">
        <f t="shared" si="171"/>
        <v>11.000049679566789</v>
      </c>
      <c r="Q2179" s="25">
        <v>5000</v>
      </c>
      <c r="R2179" s="22">
        <v>100</v>
      </c>
      <c r="S2179" s="22" t="s">
        <v>2740</v>
      </c>
      <c r="T2179" s="22">
        <f t="shared" si="172"/>
        <v>5</v>
      </c>
      <c r="U2179" s="22">
        <f t="shared" si="173"/>
        <v>2021</v>
      </c>
      <c r="V2179" s="22" t="str">
        <f t="shared" si="174"/>
        <v>METROPOLITANA</v>
      </c>
    </row>
    <row r="2180" spans="1:22" x14ac:dyDescent="0.2">
      <c r="A2180" s="23" t="s">
        <v>2733</v>
      </c>
      <c r="B2180" s="22" t="s">
        <v>33</v>
      </c>
      <c r="C2180" s="22" t="s">
        <v>128</v>
      </c>
      <c r="D2180" s="22" t="s">
        <v>30</v>
      </c>
      <c r="E2180" s="24" t="s">
        <v>31</v>
      </c>
      <c r="F2180" s="22" t="s">
        <v>34</v>
      </c>
      <c r="G2180" s="25">
        <v>8051.600000000004</v>
      </c>
      <c r="H2180" s="22" t="s">
        <v>32</v>
      </c>
      <c r="I2180" s="22">
        <v>0</v>
      </c>
      <c r="J2180" s="22" t="s">
        <v>34</v>
      </c>
      <c r="K2180" s="22" t="s">
        <v>23</v>
      </c>
      <c r="L2180" s="22">
        <v>1</v>
      </c>
      <c r="M2180" s="26">
        <v>88568</v>
      </c>
      <c r="N2180" s="26">
        <v>0</v>
      </c>
      <c r="O2180" s="15">
        <f t="shared" si="170"/>
        <v>88568</v>
      </c>
      <c r="P2180" s="15">
        <f t="shared" si="171"/>
        <v>11.000049679566789</v>
      </c>
      <c r="Q2180" s="25">
        <v>5000</v>
      </c>
      <c r="R2180" s="22">
        <v>100</v>
      </c>
      <c r="S2180" s="22" t="s">
        <v>2741</v>
      </c>
      <c r="T2180" s="22">
        <f t="shared" si="172"/>
        <v>5</v>
      </c>
      <c r="U2180" s="22">
        <f t="shared" si="173"/>
        <v>2021</v>
      </c>
      <c r="V2180" s="22" t="str">
        <f t="shared" si="174"/>
        <v>METROPOLITANA</v>
      </c>
    </row>
    <row r="2181" spans="1:22" x14ac:dyDescent="0.2">
      <c r="A2181" s="23" t="s">
        <v>2733</v>
      </c>
      <c r="B2181" s="22" t="s">
        <v>33</v>
      </c>
      <c r="C2181" s="22" t="s">
        <v>128</v>
      </c>
      <c r="D2181" s="22" t="s">
        <v>41</v>
      </c>
      <c r="E2181" s="24" t="s">
        <v>25</v>
      </c>
      <c r="F2181" s="22" t="s">
        <v>34</v>
      </c>
      <c r="G2181" s="25">
        <v>7117.9999999999973</v>
      </c>
      <c r="H2181" s="22" t="s">
        <v>43</v>
      </c>
      <c r="I2181" s="22">
        <v>0</v>
      </c>
      <c r="J2181" s="22" t="s">
        <v>34</v>
      </c>
      <c r="K2181" s="22" t="s">
        <v>23</v>
      </c>
      <c r="L2181" s="22">
        <v>1</v>
      </c>
      <c r="M2181" s="26">
        <v>78298</v>
      </c>
      <c r="N2181" s="26">
        <v>0</v>
      </c>
      <c r="O2181" s="15">
        <f t="shared" si="170"/>
        <v>78298</v>
      </c>
      <c r="P2181" s="15">
        <f t="shared" si="171"/>
        <v>11.000000000000004</v>
      </c>
      <c r="Q2181" s="25">
        <v>5000</v>
      </c>
      <c r="R2181" s="22">
        <v>100</v>
      </c>
      <c r="S2181" s="22" t="s">
        <v>2742</v>
      </c>
      <c r="T2181" s="22">
        <f t="shared" si="172"/>
        <v>5</v>
      </c>
      <c r="U2181" s="22">
        <f t="shared" si="173"/>
        <v>2021</v>
      </c>
      <c r="V2181" s="22" t="str">
        <f t="shared" si="174"/>
        <v>METROPOLITANA</v>
      </c>
    </row>
    <row r="2182" spans="1:22" x14ac:dyDescent="0.2">
      <c r="A2182" s="23" t="s">
        <v>2733</v>
      </c>
      <c r="B2182" s="22" t="s">
        <v>33</v>
      </c>
      <c r="C2182" s="22" t="s">
        <v>36</v>
      </c>
      <c r="D2182" s="22" t="s">
        <v>1170</v>
      </c>
      <c r="E2182" s="24" t="s">
        <v>2743</v>
      </c>
      <c r="F2182" s="22" t="s">
        <v>2744</v>
      </c>
      <c r="G2182" s="25">
        <v>10079</v>
      </c>
      <c r="H2182" s="22" t="s">
        <v>24</v>
      </c>
      <c r="I2182" s="22">
        <v>1</v>
      </c>
      <c r="J2182" s="22" t="s">
        <v>2744</v>
      </c>
      <c r="K2182" s="22" t="s">
        <v>75</v>
      </c>
      <c r="L2182" s="22">
        <v>0</v>
      </c>
      <c r="M2182" s="26">
        <v>380000</v>
      </c>
      <c r="N2182" s="26">
        <v>0</v>
      </c>
      <c r="O2182" s="15">
        <f t="shared" si="170"/>
        <v>380000</v>
      </c>
      <c r="P2182" s="15">
        <f t="shared" si="171"/>
        <v>37.702152991368195</v>
      </c>
      <c r="Q2182" s="25">
        <v>25000</v>
      </c>
      <c r="R2182" s="22">
        <v>7</v>
      </c>
      <c r="S2182" s="22" t="s">
        <v>2745</v>
      </c>
      <c r="T2182" s="22">
        <f t="shared" si="172"/>
        <v>5</v>
      </c>
      <c r="U2182" s="22">
        <f t="shared" si="173"/>
        <v>2021</v>
      </c>
      <c r="V2182" s="22" t="str">
        <f t="shared" si="174"/>
        <v>REGIONES</v>
      </c>
    </row>
    <row r="2183" spans="1:22" x14ac:dyDescent="0.2">
      <c r="A2183" s="23" t="s">
        <v>2733</v>
      </c>
      <c r="B2183" s="22" t="s">
        <v>33</v>
      </c>
      <c r="C2183" s="22" t="s">
        <v>2605</v>
      </c>
      <c r="D2183" s="22" t="s">
        <v>41</v>
      </c>
      <c r="E2183" s="24" t="s">
        <v>25</v>
      </c>
      <c r="F2183" s="22" t="s">
        <v>129</v>
      </c>
      <c r="G2183" s="25">
        <v>6370.8000000000011</v>
      </c>
      <c r="H2183" s="22" t="s">
        <v>43</v>
      </c>
      <c r="I2183" s="22">
        <v>0</v>
      </c>
      <c r="J2183" s="22" t="s">
        <v>129</v>
      </c>
      <c r="K2183" s="22" t="s">
        <v>23</v>
      </c>
      <c r="L2183" s="22">
        <v>1</v>
      </c>
      <c r="M2183" s="26">
        <v>70079</v>
      </c>
      <c r="N2183" s="26">
        <v>0</v>
      </c>
      <c r="O2183" s="15">
        <f t="shared" si="170"/>
        <v>70079</v>
      </c>
      <c r="P2183" s="15">
        <f t="shared" si="171"/>
        <v>11.000031393231618</v>
      </c>
      <c r="Q2183" s="25">
        <v>5000</v>
      </c>
      <c r="R2183" s="22">
        <v>100</v>
      </c>
      <c r="S2183" s="22" t="s">
        <v>2746</v>
      </c>
      <c r="T2183" s="22">
        <f t="shared" si="172"/>
        <v>5</v>
      </c>
      <c r="U2183" s="22">
        <f t="shared" si="173"/>
        <v>2021</v>
      </c>
      <c r="V2183" s="22" t="str">
        <f t="shared" si="174"/>
        <v>METROPOLITANA</v>
      </c>
    </row>
    <row r="2184" spans="1:22" x14ac:dyDescent="0.2">
      <c r="A2184" s="23" t="s">
        <v>2733</v>
      </c>
      <c r="B2184" s="22" t="s">
        <v>33</v>
      </c>
      <c r="C2184" s="22" t="s">
        <v>29</v>
      </c>
      <c r="D2184" s="22" t="s">
        <v>2080</v>
      </c>
      <c r="E2184" s="24" t="s">
        <v>1700</v>
      </c>
      <c r="F2184" s="22" t="s">
        <v>132</v>
      </c>
      <c r="G2184" s="25">
        <v>12903.599999999989</v>
      </c>
      <c r="H2184" s="22" t="s">
        <v>24</v>
      </c>
      <c r="I2184" s="22">
        <v>1</v>
      </c>
      <c r="J2184" s="22" t="s">
        <v>132</v>
      </c>
      <c r="K2184" s="22" t="s">
        <v>124</v>
      </c>
      <c r="L2184" s="22">
        <v>0</v>
      </c>
      <c r="M2184" s="26">
        <v>350000</v>
      </c>
      <c r="N2184" s="26">
        <v>0</v>
      </c>
      <c r="O2184" s="15">
        <f t="shared" si="170"/>
        <v>350000</v>
      </c>
      <c r="P2184" s="15">
        <f t="shared" si="171"/>
        <v>27.124213397811484</v>
      </c>
      <c r="Q2184" s="25">
        <v>25000</v>
      </c>
      <c r="R2184" s="22">
        <v>52</v>
      </c>
      <c r="S2184" s="22" t="s">
        <v>2747</v>
      </c>
      <c r="T2184" s="22">
        <f t="shared" si="172"/>
        <v>5</v>
      </c>
      <c r="U2184" s="22">
        <f t="shared" si="173"/>
        <v>2021</v>
      </c>
      <c r="V2184" s="22" t="str">
        <f t="shared" si="174"/>
        <v>REGIONES</v>
      </c>
    </row>
    <row r="2185" spans="1:22" x14ac:dyDescent="0.2">
      <c r="A2185" s="23" t="s">
        <v>2733</v>
      </c>
      <c r="B2185" s="22" t="s">
        <v>33</v>
      </c>
      <c r="C2185" s="22" t="s">
        <v>44</v>
      </c>
      <c r="D2185" s="22" t="s">
        <v>786</v>
      </c>
      <c r="E2185" s="24" t="s">
        <v>787</v>
      </c>
      <c r="F2185" s="22" t="s">
        <v>114</v>
      </c>
      <c r="G2185" s="25">
        <v>12437</v>
      </c>
      <c r="H2185" s="22" t="s">
        <v>788</v>
      </c>
      <c r="I2185" s="22">
        <v>1</v>
      </c>
      <c r="J2185" s="22" t="s">
        <v>114</v>
      </c>
      <c r="K2185" s="22" t="s">
        <v>75</v>
      </c>
      <c r="L2185" s="22">
        <v>0</v>
      </c>
      <c r="M2185" s="26">
        <v>380000</v>
      </c>
      <c r="N2185" s="26">
        <v>0</v>
      </c>
      <c r="O2185" s="15">
        <f t="shared" si="170"/>
        <v>380000</v>
      </c>
      <c r="P2185" s="15">
        <f t="shared" si="171"/>
        <v>30.553992120286242</v>
      </c>
      <c r="Q2185" s="25">
        <v>25000</v>
      </c>
      <c r="R2185" s="22">
        <v>44</v>
      </c>
      <c r="S2185" s="22" t="s">
        <v>2748</v>
      </c>
      <c r="T2185" s="22">
        <f t="shared" si="172"/>
        <v>5</v>
      </c>
      <c r="U2185" s="22">
        <f t="shared" si="173"/>
        <v>2021</v>
      </c>
      <c r="V2185" s="22" t="str">
        <f t="shared" si="174"/>
        <v>REGIONES</v>
      </c>
    </row>
    <row r="2186" spans="1:22" x14ac:dyDescent="0.2">
      <c r="A2186" s="23" t="s">
        <v>2733</v>
      </c>
      <c r="B2186" s="22" t="s">
        <v>33</v>
      </c>
      <c r="C2186" s="22" t="s">
        <v>44</v>
      </c>
      <c r="D2186" s="22" t="s">
        <v>164</v>
      </c>
      <c r="E2186" s="24" t="s">
        <v>28</v>
      </c>
      <c r="F2186" s="22" t="s">
        <v>48</v>
      </c>
      <c r="G2186" s="25">
        <v>14241.8</v>
      </c>
      <c r="H2186" s="22" t="s">
        <v>22</v>
      </c>
      <c r="I2186" s="22">
        <v>1</v>
      </c>
      <c r="J2186" s="22" t="s">
        <v>48</v>
      </c>
      <c r="K2186" s="22" t="s">
        <v>23</v>
      </c>
      <c r="L2186" s="22">
        <v>1</v>
      </c>
      <c r="M2186" s="26">
        <v>156660</v>
      </c>
      <c r="N2186" s="26">
        <v>0</v>
      </c>
      <c r="O2186" s="15">
        <f t="shared" si="170"/>
        <v>156660</v>
      </c>
      <c r="P2186" s="15">
        <f t="shared" si="171"/>
        <v>11.000014043168701</v>
      </c>
      <c r="Q2186" s="25">
        <v>5000</v>
      </c>
      <c r="R2186" s="22">
        <v>100</v>
      </c>
      <c r="S2186" s="22" t="s">
        <v>2749</v>
      </c>
      <c r="T2186" s="22">
        <f t="shared" si="172"/>
        <v>5</v>
      </c>
      <c r="U2186" s="22">
        <f t="shared" si="173"/>
        <v>2021</v>
      </c>
      <c r="V2186" s="22" t="str">
        <f t="shared" si="174"/>
        <v>METROPOLITANA</v>
      </c>
    </row>
    <row r="2187" spans="1:22" x14ac:dyDescent="0.2">
      <c r="A2187" s="11" t="s">
        <v>2750</v>
      </c>
      <c r="B2187" s="12" t="s">
        <v>18</v>
      </c>
      <c r="C2187" s="12" t="s">
        <v>457</v>
      </c>
      <c r="D2187" s="12" t="s">
        <v>867</v>
      </c>
      <c r="E2187" s="13" t="s">
        <v>868</v>
      </c>
      <c r="F2187" s="12" t="s">
        <v>815</v>
      </c>
      <c r="G2187" s="14">
        <v>11678</v>
      </c>
      <c r="H2187" s="12" t="s">
        <v>85</v>
      </c>
      <c r="I2187" s="12">
        <v>1</v>
      </c>
      <c r="J2187" s="12" t="s">
        <v>815</v>
      </c>
      <c r="K2187" s="12" t="s">
        <v>75</v>
      </c>
      <c r="L2187" s="12">
        <v>0</v>
      </c>
      <c r="M2187" s="15">
        <v>420000</v>
      </c>
      <c r="N2187" s="15">
        <v>0</v>
      </c>
      <c r="O2187" s="15">
        <f t="shared" si="170"/>
        <v>420000</v>
      </c>
      <c r="P2187" s="15">
        <f t="shared" si="171"/>
        <v>35.965062510703888</v>
      </c>
      <c r="Q2187" s="14">
        <v>25000</v>
      </c>
      <c r="R2187" s="12">
        <v>20</v>
      </c>
      <c r="S2187" s="12" t="s">
        <v>2751</v>
      </c>
      <c r="T2187" s="22">
        <f t="shared" si="172"/>
        <v>5</v>
      </c>
      <c r="U2187" s="22">
        <f t="shared" si="173"/>
        <v>2021</v>
      </c>
      <c r="V2187" s="22" t="str">
        <f t="shared" si="174"/>
        <v>REGIONES</v>
      </c>
    </row>
    <row r="2188" spans="1:22" x14ac:dyDescent="0.2">
      <c r="A2188" s="11" t="s">
        <v>2750</v>
      </c>
      <c r="B2188" s="12" t="s">
        <v>18</v>
      </c>
      <c r="C2188" s="12" t="s">
        <v>163</v>
      </c>
      <c r="D2188" s="12" t="s">
        <v>2199</v>
      </c>
      <c r="E2188" s="13" t="s">
        <v>28</v>
      </c>
      <c r="F2188" s="12" t="s">
        <v>165</v>
      </c>
      <c r="G2188" s="14">
        <v>23507.94</v>
      </c>
      <c r="H2188" s="12" t="s">
        <v>22</v>
      </c>
      <c r="I2188" s="12">
        <v>0</v>
      </c>
      <c r="J2188" s="12" t="s">
        <v>165</v>
      </c>
      <c r="K2188" s="12" t="s">
        <v>23</v>
      </c>
      <c r="L2188" s="12">
        <v>4</v>
      </c>
      <c r="M2188" s="15">
        <v>258587</v>
      </c>
      <c r="N2188" s="15">
        <v>0</v>
      </c>
      <c r="O2188" s="15">
        <f t="shared" si="170"/>
        <v>258587</v>
      </c>
      <c r="P2188" s="15">
        <f t="shared" si="171"/>
        <v>10.999985536801608</v>
      </c>
      <c r="Q2188" s="14">
        <v>5000</v>
      </c>
      <c r="R2188" s="12">
        <v>100</v>
      </c>
      <c r="S2188" s="12" t="s">
        <v>2752</v>
      </c>
      <c r="T2188" s="22">
        <f t="shared" si="172"/>
        <v>5</v>
      </c>
      <c r="U2188" s="22">
        <f t="shared" si="173"/>
        <v>2021</v>
      </c>
      <c r="V2188" s="22" t="str">
        <f t="shared" si="174"/>
        <v>METROPOLITANA</v>
      </c>
    </row>
    <row r="2189" spans="1:22" x14ac:dyDescent="0.2">
      <c r="A2189" s="11" t="s">
        <v>2750</v>
      </c>
      <c r="B2189" s="12" t="s">
        <v>18</v>
      </c>
      <c r="C2189" s="12" t="s">
        <v>163</v>
      </c>
      <c r="D2189" s="12" t="s">
        <v>164</v>
      </c>
      <c r="E2189" s="13" t="s">
        <v>28</v>
      </c>
      <c r="F2189" s="12" t="s">
        <v>165</v>
      </c>
      <c r="G2189" s="14">
        <v>22586.06</v>
      </c>
      <c r="H2189" s="12" t="s">
        <v>22</v>
      </c>
      <c r="I2189" s="12">
        <v>1</v>
      </c>
      <c r="J2189" s="12" t="s">
        <v>165</v>
      </c>
      <c r="K2189" s="12" t="s">
        <v>23</v>
      </c>
      <c r="L2189" s="12">
        <v>4</v>
      </c>
      <c r="M2189" s="15">
        <v>248447</v>
      </c>
      <c r="N2189" s="15">
        <v>0</v>
      </c>
      <c r="O2189" s="15">
        <f t="shared" si="170"/>
        <v>248447</v>
      </c>
      <c r="P2189" s="15">
        <f t="shared" si="171"/>
        <v>11.000015053533019</v>
      </c>
      <c r="Q2189" s="14">
        <v>5000</v>
      </c>
      <c r="R2189" s="12">
        <v>100</v>
      </c>
      <c r="S2189" s="12" t="s">
        <v>2753</v>
      </c>
      <c r="T2189" s="22">
        <f t="shared" si="172"/>
        <v>5</v>
      </c>
      <c r="U2189" s="22">
        <f t="shared" si="173"/>
        <v>2021</v>
      </c>
      <c r="V2189" s="22" t="str">
        <f t="shared" si="174"/>
        <v>METROPOLITANA</v>
      </c>
    </row>
    <row r="2190" spans="1:22" x14ac:dyDescent="0.2">
      <c r="A2190" s="11" t="s">
        <v>2750</v>
      </c>
      <c r="B2190" s="12" t="s">
        <v>33</v>
      </c>
      <c r="C2190" s="12" t="s">
        <v>354</v>
      </c>
      <c r="D2190" s="12" t="s">
        <v>30</v>
      </c>
      <c r="E2190" s="13" t="s">
        <v>31</v>
      </c>
      <c r="F2190" s="12" t="s">
        <v>53</v>
      </c>
      <c r="G2190" s="14">
        <v>11336.000000000009</v>
      </c>
      <c r="H2190" s="12" t="s">
        <v>32</v>
      </c>
      <c r="I2190" s="12">
        <v>0</v>
      </c>
      <c r="J2190" s="12" t="s">
        <v>53</v>
      </c>
      <c r="K2190" s="12" t="s">
        <v>23</v>
      </c>
      <c r="L2190" s="12">
        <v>3</v>
      </c>
      <c r="M2190" s="15">
        <v>124696</v>
      </c>
      <c r="N2190" s="15">
        <v>0</v>
      </c>
      <c r="O2190" s="15">
        <f t="shared" si="170"/>
        <v>124696</v>
      </c>
      <c r="P2190" s="15">
        <f t="shared" si="171"/>
        <v>10.999999999999991</v>
      </c>
      <c r="Q2190" s="14">
        <v>5000</v>
      </c>
      <c r="R2190" s="12">
        <v>100</v>
      </c>
      <c r="S2190" s="12" t="s">
        <v>2754</v>
      </c>
      <c r="T2190" s="22">
        <f t="shared" si="172"/>
        <v>5</v>
      </c>
      <c r="U2190" s="22">
        <f t="shared" si="173"/>
        <v>2021</v>
      </c>
      <c r="V2190" s="22" t="str">
        <f t="shared" si="174"/>
        <v>METROPOLITANA</v>
      </c>
    </row>
    <row r="2191" spans="1:22" x14ac:dyDescent="0.2">
      <c r="A2191" s="11" t="s">
        <v>2750</v>
      </c>
      <c r="B2191" s="12" t="s">
        <v>33</v>
      </c>
      <c r="C2191" s="12" t="s">
        <v>36</v>
      </c>
      <c r="D2191" s="12" t="s">
        <v>2262</v>
      </c>
      <c r="E2191" s="13" t="s">
        <v>83</v>
      </c>
      <c r="F2191" s="12" t="s">
        <v>1105</v>
      </c>
      <c r="G2191" s="14">
        <v>10090</v>
      </c>
      <c r="H2191" s="12" t="s">
        <v>24</v>
      </c>
      <c r="I2191" s="12">
        <v>1</v>
      </c>
      <c r="J2191" s="12" t="s">
        <v>1105</v>
      </c>
      <c r="K2191" s="12" t="s">
        <v>873</v>
      </c>
      <c r="L2191" s="12">
        <v>0</v>
      </c>
      <c r="M2191" s="15">
        <v>900000</v>
      </c>
      <c r="N2191" s="15">
        <v>0</v>
      </c>
      <c r="O2191" s="15">
        <f t="shared" si="170"/>
        <v>900000</v>
      </c>
      <c r="P2191" s="15">
        <f t="shared" si="171"/>
        <v>89.197224975222994</v>
      </c>
      <c r="Q2191" s="14">
        <v>25000</v>
      </c>
      <c r="R2191" s="12">
        <v>19</v>
      </c>
      <c r="S2191" s="12" t="s">
        <v>2755</v>
      </c>
      <c r="T2191" s="22">
        <f t="shared" si="172"/>
        <v>5</v>
      </c>
      <c r="U2191" s="22">
        <f t="shared" si="173"/>
        <v>2021</v>
      </c>
      <c r="V2191" s="22" t="str">
        <f t="shared" si="174"/>
        <v>REGIONES</v>
      </c>
    </row>
    <row r="2192" spans="1:22" x14ac:dyDescent="0.2">
      <c r="A2192" s="11" t="s">
        <v>2750</v>
      </c>
      <c r="B2192" s="12" t="s">
        <v>33</v>
      </c>
      <c r="C2192" s="12" t="s">
        <v>29</v>
      </c>
      <c r="D2192" s="12" t="s">
        <v>38</v>
      </c>
      <c r="E2192" s="13" t="s">
        <v>42</v>
      </c>
      <c r="F2192" s="12" t="s">
        <v>134</v>
      </c>
      <c r="G2192" s="14">
        <v>11474.7</v>
      </c>
      <c r="H2192" s="12" t="s">
        <v>43</v>
      </c>
      <c r="I2192" s="12">
        <v>0</v>
      </c>
      <c r="J2192" s="12" t="s">
        <v>134</v>
      </c>
      <c r="K2192" s="12" t="s">
        <v>23</v>
      </c>
      <c r="L2192" s="12">
        <v>2</v>
      </c>
      <c r="M2192" s="15">
        <v>126222</v>
      </c>
      <c r="N2192" s="15">
        <v>0</v>
      </c>
      <c r="O2192" s="15">
        <f t="shared" si="170"/>
        <v>126222</v>
      </c>
      <c r="P2192" s="15">
        <f t="shared" si="171"/>
        <v>11.000026144474365</v>
      </c>
      <c r="Q2192" s="14">
        <v>5000</v>
      </c>
      <c r="R2192" s="12">
        <v>100</v>
      </c>
      <c r="S2192" s="12" t="s">
        <v>2756</v>
      </c>
      <c r="T2192" s="22">
        <f t="shared" si="172"/>
        <v>5</v>
      </c>
      <c r="U2192" s="22">
        <f t="shared" si="173"/>
        <v>2021</v>
      </c>
      <c r="V2192" s="22" t="str">
        <f t="shared" si="174"/>
        <v>METROPOLITANA</v>
      </c>
    </row>
    <row r="2193" spans="1:22" x14ac:dyDescent="0.2">
      <c r="A2193" s="11" t="s">
        <v>2750</v>
      </c>
      <c r="B2193" s="12" t="s">
        <v>33</v>
      </c>
      <c r="C2193" s="12" t="s">
        <v>29</v>
      </c>
      <c r="D2193" s="12" t="s">
        <v>311</v>
      </c>
      <c r="E2193" s="13" t="s">
        <v>312</v>
      </c>
      <c r="F2193" s="12" t="s">
        <v>132</v>
      </c>
      <c r="G2193" s="14">
        <v>22292.1</v>
      </c>
      <c r="H2193" s="12" t="s">
        <v>85</v>
      </c>
      <c r="I2193" s="12">
        <v>1</v>
      </c>
      <c r="J2193" s="12" t="s">
        <v>132</v>
      </c>
      <c r="K2193" s="12" t="s">
        <v>124</v>
      </c>
      <c r="L2193" s="12">
        <v>0</v>
      </c>
      <c r="M2193" s="15">
        <v>350000</v>
      </c>
      <c r="N2193" s="15">
        <v>0</v>
      </c>
      <c r="O2193" s="15">
        <f t="shared" si="170"/>
        <v>350000</v>
      </c>
      <c r="P2193" s="15">
        <f t="shared" si="171"/>
        <v>15.700629370943071</v>
      </c>
      <c r="Q2193" s="14">
        <v>25000</v>
      </c>
      <c r="R2193" s="12">
        <v>89</v>
      </c>
      <c r="S2193" s="12" t="s">
        <v>2757</v>
      </c>
      <c r="T2193" s="22">
        <f t="shared" si="172"/>
        <v>5</v>
      </c>
      <c r="U2193" s="22">
        <f t="shared" si="173"/>
        <v>2021</v>
      </c>
      <c r="V2193" s="22" t="str">
        <f t="shared" si="174"/>
        <v>REGIONES</v>
      </c>
    </row>
    <row r="2194" spans="1:22" x14ac:dyDescent="0.2">
      <c r="A2194" s="11" t="s">
        <v>2750</v>
      </c>
      <c r="B2194" s="12" t="s">
        <v>33</v>
      </c>
      <c r="C2194" s="12" t="s">
        <v>44</v>
      </c>
      <c r="D2194" s="12" t="s">
        <v>56</v>
      </c>
      <c r="E2194" s="13" t="s">
        <v>28</v>
      </c>
      <c r="F2194" s="12" t="s">
        <v>229</v>
      </c>
      <c r="G2194" s="14">
        <v>8002.9999999999991</v>
      </c>
      <c r="H2194" s="12" t="s">
        <v>22</v>
      </c>
      <c r="I2194" s="12">
        <v>0</v>
      </c>
      <c r="J2194" s="12" t="s">
        <v>230</v>
      </c>
      <c r="K2194" s="12" t="s">
        <v>23</v>
      </c>
      <c r="L2194" s="12">
        <v>4</v>
      </c>
      <c r="M2194" s="15">
        <v>88033</v>
      </c>
      <c r="N2194" s="15">
        <v>0</v>
      </c>
      <c r="O2194" s="15">
        <f t="shared" si="170"/>
        <v>88033</v>
      </c>
      <c r="P2194" s="15">
        <f t="shared" si="171"/>
        <v>11.000000000000002</v>
      </c>
      <c r="Q2194" s="14">
        <v>5000</v>
      </c>
      <c r="R2194" s="12">
        <v>100</v>
      </c>
      <c r="S2194" s="12" t="s">
        <v>2758</v>
      </c>
      <c r="T2194" s="22">
        <f t="shared" si="172"/>
        <v>5</v>
      </c>
      <c r="U2194" s="22">
        <f t="shared" si="173"/>
        <v>2021</v>
      </c>
      <c r="V2194" s="22" t="str">
        <f t="shared" si="174"/>
        <v>METROPOLITANA</v>
      </c>
    </row>
    <row r="2195" spans="1:22" x14ac:dyDescent="0.2">
      <c r="A2195" s="11" t="s">
        <v>2750</v>
      </c>
      <c r="B2195" s="12" t="s">
        <v>33</v>
      </c>
      <c r="C2195" s="12" t="s">
        <v>44</v>
      </c>
      <c r="D2195" s="12" t="s">
        <v>1869</v>
      </c>
      <c r="E2195" s="13" t="s">
        <v>1870</v>
      </c>
      <c r="F2195" s="12" t="s">
        <v>92</v>
      </c>
      <c r="G2195" s="14">
        <v>14944.8</v>
      </c>
      <c r="H2195" s="12" t="s">
        <v>24</v>
      </c>
      <c r="I2195" s="12">
        <v>1</v>
      </c>
      <c r="J2195" s="12" t="s">
        <v>92</v>
      </c>
      <c r="K2195" s="12" t="s">
        <v>93</v>
      </c>
      <c r="L2195" s="12">
        <v>0</v>
      </c>
      <c r="M2195" s="15">
        <v>620000</v>
      </c>
      <c r="N2195" s="15">
        <v>0</v>
      </c>
      <c r="O2195" s="15">
        <f t="shared" si="170"/>
        <v>620000</v>
      </c>
      <c r="P2195" s="15">
        <f t="shared" si="171"/>
        <v>41.486001820031049</v>
      </c>
      <c r="Q2195" s="14">
        <v>25000</v>
      </c>
      <c r="R2195" s="12">
        <v>60</v>
      </c>
      <c r="S2195" s="12" t="s">
        <v>2759</v>
      </c>
      <c r="T2195" s="22">
        <f t="shared" si="172"/>
        <v>5</v>
      </c>
      <c r="U2195" s="22">
        <f t="shared" si="173"/>
        <v>2021</v>
      </c>
      <c r="V2195" s="22" t="str">
        <f t="shared" si="174"/>
        <v>REGIONES</v>
      </c>
    </row>
    <row r="2196" spans="1:22" x14ac:dyDescent="0.2">
      <c r="A2196" s="11" t="s">
        <v>2750</v>
      </c>
      <c r="B2196" s="12" t="s">
        <v>33</v>
      </c>
      <c r="C2196" s="12" t="s">
        <v>44</v>
      </c>
      <c r="D2196" s="12" t="s">
        <v>188</v>
      </c>
      <c r="E2196" s="13" t="s">
        <v>189</v>
      </c>
      <c r="F2196" s="12" t="s">
        <v>53</v>
      </c>
      <c r="G2196" s="14">
        <v>4089.4</v>
      </c>
      <c r="H2196" s="12" t="s">
        <v>190</v>
      </c>
      <c r="I2196" s="12">
        <v>0</v>
      </c>
      <c r="J2196" s="12" t="s">
        <v>53</v>
      </c>
      <c r="K2196" s="12" t="s">
        <v>23</v>
      </c>
      <c r="L2196" s="12">
        <v>3</v>
      </c>
      <c r="M2196" s="15">
        <v>55000</v>
      </c>
      <c r="N2196" s="15">
        <v>0</v>
      </c>
      <c r="O2196" s="15">
        <f t="shared" si="170"/>
        <v>55000</v>
      </c>
      <c r="P2196" s="15">
        <f t="shared" si="171"/>
        <v>13.44940578079914</v>
      </c>
      <c r="Q2196" s="14">
        <v>5000</v>
      </c>
      <c r="R2196" s="12">
        <v>82</v>
      </c>
      <c r="S2196" s="12" t="s">
        <v>2760</v>
      </c>
      <c r="T2196" s="22">
        <f t="shared" si="172"/>
        <v>5</v>
      </c>
      <c r="U2196" s="22">
        <f t="shared" si="173"/>
        <v>2021</v>
      </c>
      <c r="V2196" s="22" t="str">
        <f t="shared" si="174"/>
        <v>METROPOLITANA</v>
      </c>
    </row>
    <row r="2197" spans="1:22" x14ac:dyDescent="0.2">
      <c r="A2197" s="11" t="s">
        <v>2750</v>
      </c>
      <c r="B2197" s="12" t="s">
        <v>33</v>
      </c>
      <c r="C2197" s="12" t="s">
        <v>44</v>
      </c>
      <c r="D2197" s="12" t="s">
        <v>45</v>
      </c>
      <c r="E2197" s="13" t="s">
        <v>52</v>
      </c>
      <c r="F2197" s="12" t="s">
        <v>34</v>
      </c>
      <c r="G2197" s="14">
        <v>6265</v>
      </c>
      <c r="H2197" s="12" t="s">
        <v>22</v>
      </c>
      <c r="I2197" s="12">
        <v>0</v>
      </c>
      <c r="J2197" s="12" t="s">
        <v>34</v>
      </c>
      <c r="K2197" s="12" t="s">
        <v>23</v>
      </c>
      <c r="L2197" s="12">
        <v>1</v>
      </c>
      <c r="M2197" s="15">
        <v>68915</v>
      </c>
      <c r="N2197" s="15">
        <v>0</v>
      </c>
      <c r="O2197" s="15">
        <f t="shared" si="170"/>
        <v>68915</v>
      </c>
      <c r="P2197" s="15">
        <f t="shared" si="171"/>
        <v>11</v>
      </c>
      <c r="Q2197" s="14">
        <v>5000</v>
      </c>
      <c r="R2197" s="12">
        <v>100</v>
      </c>
      <c r="S2197" s="12" t="s">
        <v>2761</v>
      </c>
      <c r="T2197" s="22">
        <f t="shared" si="172"/>
        <v>5</v>
      </c>
      <c r="U2197" s="22">
        <f t="shared" si="173"/>
        <v>2021</v>
      </c>
      <c r="V2197" s="22" t="str">
        <f t="shared" si="174"/>
        <v>METROPOLITANA</v>
      </c>
    </row>
    <row r="2198" spans="1:22" x14ac:dyDescent="0.2">
      <c r="A2198" s="11" t="s">
        <v>2750</v>
      </c>
      <c r="B2198" s="12" t="s">
        <v>33</v>
      </c>
      <c r="C2198" s="12" t="s">
        <v>44</v>
      </c>
      <c r="D2198" s="12" t="s">
        <v>47</v>
      </c>
      <c r="E2198" s="13" t="s">
        <v>1576</v>
      </c>
      <c r="F2198" s="12" t="s">
        <v>48</v>
      </c>
      <c r="G2198" s="14">
        <v>5251.2</v>
      </c>
      <c r="H2198" s="12" t="s">
        <v>22</v>
      </c>
      <c r="I2198" s="12">
        <v>0</v>
      </c>
      <c r="J2198" s="12" t="s">
        <v>48</v>
      </c>
      <c r="K2198" s="12" t="s">
        <v>23</v>
      </c>
      <c r="L2198" s="12">
        <v>1</v>
      </c>
      <c r="M2198" s="15">
        <v>57763</v>
      </c>
      <c r="N2198" s="15">
        <v>0</v>
      </c>
      <c r="O2198" s="15">
        <f t="shared" si="170"/>
        <v>57763</v>
      </c>
      <c r="P2198" s="15">
        <f t="shared" si="171"/>
        <v>10.999961913467398</v>
      </c>
      <c r="Q2198" s="14">
        <v>5000</v>
      </c>
      <c r="R2198" s="12">
        <v>100</v>
      </c>
      <c r="S2198" s="12" t="s">
        <v>2762</v>
      </c>
      <c r="T2198" s="22">
        <f t="shared" si="172"/>
        <v>5</v>
      </c>
      <c r="U2198" s="22">
        <f t="shared" si="173"/>
        <v>2021</v>
      </c>
      <c r="V2198" s="22" t="str">
        <f t="shared" si="174"/>
        <v>METROPOLITANA</v>
      </c>
    </row>
    <row r="2199" spans="1:22" x14ac:dyDescent="0.2">
      <c r="A2199" s="11" t="s">
        <v>2750</v>
      </c>
      <c r="B2199" s="12" t="s">
        <v>33</v>
      </c>
      <c r="C2199" s="12" t="s">
        <v>44</v>
      </c>
      <c r="D2199" s="12" t="s">
        <v>35</v>
      </c>
      <c r="E2199" s="13" t="s">
        <v>21</v>
      </c>
      <c r="F2199" s="12" t="s">
        <v>95</v>
      </c>
      <c r="G2199" s="14">
        <v>4939.5999999999995</v>
      </c>
      <c r="H2199" s="12" t="s">
        <v>22</v>
      </c>
      <c r="I2199" s="12">
        <v>0</v>
      </c>
      <c r="J2199" s="12" t="s">
        <v>95</v>
      </c>
      <c r="K2199" s="12" t="s">
        <v>23</v>
      </c>
      <c r="L2199" s="12">
        <v>4</v>
      </c>
      <c r="M2199" s="15">
        <v>55000</v>
      </c>
      <c r="N2199" s="15">
        <v>0</v>
      </c>
      <c r="O2199" s="15">
        <f t="shared" si="170"/>
        <v>55000</v>
      </c>
      <c r="P2199" s="15">
        <f t="shared" si="171"/>
        <v>11.134504818203904</v>
      </c>
      <c r="Q2199" s="14">
        <v>5000</v>
      </c>
      <c r="R2199" s="12">
        <v>99</v>
      </c>
      <c r="S2199" s="12" t="s">
        <v>2763</v>
      </c>
      <c r="T2199" s="22">
        <f t="shared" si="172"/>
        <v>5</v>
      </c>
      <c r="U2199" s="22">
        <f t="shared" si="173"/>
        <v>2021</v>
      </c>
      <c r="V2199" s="22" t="str">
        <f t="shared" si="174"/>
        <v>METROPOLITANA</v>
      </c>
    </row>
    <row r="2200" spans="1:22" x14ac:dyDescent="0.2">
      <c r="A2200" s="11" t="s">
        <v>2750</v>
      </c>
      <c r="B2200" s="12" t="s">
        <v>33</v>
      </c>
      <c r="C2200" s="12" t="s">
        <v>44</v>
      </c>
      <c r="D2200" s="12" t="s">
        <v>20</v>
      </c>
      <c r="E2200" s="13" t="s">
        <v>21</v>
      </c>
      <c r="F2200" s="12" t="s">
        <v>46</v>
      </c>
      <c r="G2200" s="14">
        <v>4290</v>
      </c>
      <c r="H2200" s="12" t="s">
        <v>22</v>
      </c>
      <c r="I2200" s="12">
        <v>0</v>
      </c>
      <c r="J2200" s="12" t="s">
        <v>46</v>
      </c>
      <c r="K2200" s="12" t="s">
        <v>23</v>
      </c>
      <c r="L2200" s="12">
        <v>2</v>
      </c>
      <c r="M2200" s="15">
        <v>55000</v>
      </c>
      <c r="N2200" s="15">
        <v>0</v>
      </c>
      <c r="O2200" s="15">
        <f t="shared" si="170"/>
        <v>55000</v>
      </c>
      <c r="P2200" s="15">
        <f t="shared" si="171"/>
        <v>12.820512820512821</v>
      </c>
      <c r="Q2200" s="14">
        <v>5000</v>
      </c>
      <c r="R2200" s="12">
        <v>91</v>
      </c>
      <c r="S2200" s="12" t="s">
        <v>2764</v>
      </c>
      <c r="T2200" s="22">
        <f t="shared" si="172"/>
        <v>5</v>
      </c>
      <c r="U2200" s="22">
        <f t="shared" si="173"/>
        <v>2021</v>
      </c>
      <c r="V2200" s="22" t="str">
        <f t="shared" si="174"/>
        <v>METROPOLITANA</v>
      </c>
    </row>
    <row r="2201" spans="1:22" x14ac:dyDescent="0.2">
      <c r="A2201" s="22" t="s">
        <v>2770</v>
      </c>
      <c r="B2201" s="22" t="s">
        <v>33</v>
      </c>
      <c r="C2201" s="22" t="s">
        <v>417</v>
      </c>
      <c r="D2201" s="22" t="s">
        <v>125</v>
      </c>
      <c r="E2201" s="22">
        <v>172861164</v>
      </c>
      <c r="F2201" s="22" t="s">
        <v>418</v>
      </c>
      <c r="G2201" s="22">
        <v>11052.000000000009</v>
      </c>
      <c r="H2201" s="22" t="s">
        <v>174</v>
      </c>
      <c r="I2201" s="22">
        <v>0</v>
      </c>
      <c r="J2201" s="22" t="s">
        <v>418</v>
      </c>
      <c r="K2201" s="22" t="s">
        <v>171</v>
      </c>
      <c r="L2201" s="22">
        <v>0</v>
      </c>
      <c r="M2201" s="15">
        <v>160000</v>
      </c>
      <c r="N2201" s="22">
        <v>0</v>
      </c>
      <c r="O2201" s="15">
        <f t="shared" si="170"/>
        <v>160000</v>
      </c>
      <c r="P2201" s="15">
        <f t="shared" si="171"/>
        <v>14.477017734346713</v>
      </c>
      <c r="Q2201" s="22">
        <v>25000</v>
      </c>
      <c r="R2201" s="22">
        <v>44</v>
      </c>
      <c r="S2201" s="22" t="s">
        <v>2771</v>
      </c>
      <c r="T2201" s="22">
        <f t="shared" si="172"/>
        <v>6</v>
      </c>
      <c r="U2201" s="22">
        <f t="shared" si="173"/>
        <v>2021</v>
      </c>
      <c r="V2201" s="22" t="str">
        <f t="shared" si="174"/>
        <v>REGIONES</v>
      </c>
    </row>
    <row r="2202" spans="1:22" x14ac:dyDescent="0.2">
      <c r="A2202" s="22" t="s">
        <v>2770</v>
      </c>
      <c r="B2202" s="22" t="s">
        <v>33</v>
      </c>
      <c r="C2202" s="22" t="s">
        <v>223</v>
      </c>
      <c r="D2202" s="22" t="s">
        <v>63</v>
      </c>
      <c r="E2202" s="22">
        <v>138841065</v>
      </c>
      <c r="F2202" s="22" t="s">
        <v>39</v>
      </c>
      <c r="G2202" s="22">
        <v>7879.199999999998</v>
      </c>
      <c r="H2202" s="22" t="s">
        <v>65</v>
      </c>
      <c r="I2202" s="22">
        <v>0</v>
      </c>
      <c r="J2202" s="22" t="s">
        <v>39</v>
      </c>
      <c r="K2202" s="22" t="s">
        <v>23</v>
      </c>
      <c r="L2202" s="22">
        <v>1</v>
      </c>
      <c r="M2202" s="22">
        <v>86671</v>
      </c>
      <c r="N2202" s="22">
        <v>0</v>
      </c>
      <c r="O2202" s="15">
        <f t="shared" si="170"/>
        <v>86671</v>
      </c>
      <c r="P2202" s="15">
        <f t="shared" si="171"/>
        <v>10.999974616712359</v>
      </c>
      <c r="Q2202" s="22">
        <v>5000</v>
      </c>
      <c r="R2202" s="22">
        <v>100</v>
      </c>
      <c r="S2202" s="22" t="s">
        <v>2772</v>
      </c>
      <c r="T2202" s="22">
        <f t="shared" si="172"/>
        <v>6</v>
      </c>
      <c r="U2202" s="22">
        <f t="shared" si="173"/>
        <v>2021</v>
      </c>
      <c r="V2202" s="22" t="str">
        <f t="shared" si="174"/>
        <v>METROPOLITANA</v>
      </c>
    </row>
    <row r="2203" spans="1:22" x14ac:dyDescent="0.2">
      <c r="A2203" s="22" t="s">
        <v>2770</v>
      </c>
      <c r="B2203" s="22" t="s">
        <v>33</v>
      </c>
      <c r="C2203" s="22" t="s">
        <v>223</v>
      </c>
      <c r="D2203" s="22" t="s">
        <v>20</v>
      </c>
      <c r="E2203" s="22">
        <v>78907355</v>
      </c>
      <c r="F2203" s="22" t="s">
        <v>39</v>
      </c>
      <c r="G2203" s="22">
        <v>9004.7999999999975</v>
      </c>
      <c r="H2203" s="22" t="s">
        <v>22</v>
      </c>
      <c r="I2203" s="22">
        <v>0</v>
      </c>
      <c r="J2203" s="22" t="s">
        <v>39</v>
      </c>
      <c r="K2203" s="22" t="s">
        <v>23</v>
      </c>
      <c r="L2203" s="22">
        <v>1</v>
      </c>
      <c r="M2203" s="22">
        <v>99053</v>
      </c>
      <c r="N2203" s="22">
        <v>0</v>
      </c>
      <c r="O2203" s="15">
        <f t="shared" si="170"/>
        <v>99053</v>
      </c>
      <c r="P2203" s="15">
        <f t="shared" si="171"/>
        <v>11.000022210376692</v>
      </c>
      <c r="Q2203" s="22">
        <v>5000</v>
      </c>
      <c r="R2203" s="22">
        <v>100</v>
      </c>
      <c r="S2203" s="22" t="s">
        <v>2773</v>
      </c>
      <c r="T2203" s="22">
        <f t="shared" si="172"/>
        <v>6</v>
      </c>
      <c r="U2203" s="22">
        <f t="shared" si="173"/>
        <v>2021</v>
      </c>
      <c r="V2203" s="22" t="str">
        <f t="shared" si="174"/>
        <v>METROPOLITANA</v>
      </c>
    </row>
    <row r="2204" spans="1:22" x14ac:dyDescent="0.2">
      <c r="A2204" s="22" t="s">
        <v>2770</v>
      </c>
      <c r="B2204" s="22" t="s">
        <v>33</v>
      </c>
      <c r="C2204" s="22" t="s">
        <v>44</v>
      </c>
      <c r="D2204" s="22" t="s">
        <v>636</v>
      </c>
      <c r="E2204" s="22">
        <v>113693568</v>
      </c>
      <c r="F2204" s="22" t="s">
        <v>114</v>
      </c>
      <c r="G2204" s="22">
        <v>14890.8</v>
      </c>
      <c r="H2204" s="22" t="s">
        <v>85</v>
      </c>
      <c r="I2204" s="22">
        <v>1</v>
      </c>
      <c r="J2204" s="22" t="s">
        <v>114</v>
      </c>
      <c r="K2204" s="22" t="s">
        <v>75</v>
      </c>
      <c r="L2204" s="22">
        <v>0</v>
      </c>
      <c r="M2204" s="22">
        <v>380000</v>
      </c>
      <c r="N2204" s="22">
        <v>0</v>
      </c>
      <c r="O2204" s="15">
        <f t="shared" si="170"/>
        <v>380000</v>
      </c>
      <c r="P2204" s="15">
        <f t="shared" si="171"/>
        <v>25.519112472130445</v>
      </c>
      <c r="Q2204" s="22">
        <v>25000</v>
      </c>
      <c r="R2204" s="22">
        <v>60</v>
      </c>
      <c r="S2204" s="22" t="s">
        <v>2774</v>
      </c>
      <c r="T2204" s="22">
        <f t="shared" si="172"/>
        <v>6</v>
      </c>
      <c r="U2204" s="22">
        <f t="shared" si="173"/>
        <v>2021</v>
      </c>
      <c r="V2204" s="22" t="str">
        <f t="shared" si="174"/>
        <v>REGIONES</v>
      </c>
    </row>
    <row r="2205" spans="1:22" x14ac:dyDescent="0.2">
      <c r="A2205" s="22" t="s">
        <v>2770</v>
      </c>
      <c r="B2205" s="22" t="s">
        <v>33</v>
      </c>
      <c r="C2205" s="22" t="s">
        <v>44</v>
      </c>
      <c r="D2205" s="22" t="s">
        <v>188</v>
      </c>
      <c r="E2205" s="22">
        <v>35488103</v>
      </c>
      <c r="F2205" s="22" t="s">
        <v>182</v>
      </c>
      <c r="G2205" s="22">
        <v>3101.4</v>
      </c>
      <c r="H2205" s="22" t="s">
        <v>190</v>
      </c>
      <c r="I2205" s="22">
        <v>0</v>
      </c>
      <c r="J2205" s="22" t="s">
        <v>182</v>
      </c>
      <c r="K2205" s="22" t="s">
        <v>23</v>
      </c>
      <c r="L2205" s="22">
        <v>4</v>
      </c>
      <c r="M2205" s="22">
        <v>55000</v>
      </c>
      <c r="N2205" s="22">
        <v>0</v>
      </c>
      <c r="O2205" s="15">
        <f t="shared" si="170"/>
        <v>55000</v>
      </c>
      <c r="P2205" s="15">
        <f t="shared" si="171"/>
        <v>17.733926613787322</v>
      </c>
      <c r="Q2205" s="22">
        <v>5000</v>
      </c>
      <c r="R2205" s="22">
        <v>62</v>
      </c>
      <c r="S2205" s="22" t="s">
        <v>2775</v>
      </c>
      <c r="T2205" s="22">
        <f t="shared" si="172"/>
        <v>6</v>
      </c>
      <c r="U2205" s="22">
        <f t="shared" si="173"/>
        <v>2021</v>
      </c>
      <c r="V2205" s="22" t="str">
        <f t="shared" si="174"/>
        <v>METROPOLITANA</v>
      </c>
    </row>
    <row r="2206" spans="1:22" x14ac:dyDescent="0.2">
      <c r="A2206" s="22" t="s">
        <v>2770</v>
      </c>
      <c r="B2206" s="22" t="s">
        <v>33</v>
      </c>
      <c r="C2206" s="22" t="s">
        <v>44</v>
      </c>
      <c r="D2206" s="22" t="s">
        <v>45</v>
      </c>
      <c r="E2206" s="22">
        <v>99626232</v>
      </c>
      <c r="F2206" s="22" t="s">
        <v>48</v>
      </c>
      <c r="G2206" s="22">
        <v>3313.2000000000012</v>
      </c>
      <c r="H2206" s="22" t="s">
        <v>22</v>
      </c>
      <c r="I2206" s="22">
        <v>0</v>
      </c>
      <c r="J2206" s="22" t="s">
        <v>48</v>
      </c>
      <c r="K2206" s="22" t="s">
        <v>23</v>
      </c>
      <c r="L2206" s="22">
        <v>1</v>
      </c>
      <c r="M2206" s="22">
        <v>55000</v>
      </c>
      <c r="N2206" s="22">
        <v>0</v>
      </c>
      <c r="O2206" s="15">
        <f t="shared" si="170"/>
        <v>55000</v>
      </c>
      <c r="P2206" s="15">
        <f t="shared" si="171"/>
        <v>16.60026560424966</v>
      </c>
      <c r="Q2206" s="22">
        <v>5000</v>
      </c>
      <c r="R2206" s="22">
        <v>66</v>
      </c>
      <c r="S2206" s="22" t="s">
        <v>2776</v>
      </c>
      <c r="T2206" s="22">
        <f t="shared" si="172"/>
        <v>6</v>
      </c>
      <c r="U2206" s="22">
        <f t="shared" si="173"/>
        <v>2021</v>
      </c>
      <c r="V2206" s="22" t="str">
        <f t="shared" si="174"/>
        <v>METROPOLITANA</v>
      </c>
    </row>
    <row r="2207" spans="1:22" x14ac:dyDescent="0.2">
      <c r="A2207" s="22" t="s">
        <v>2770</v>
      </c>
      <c r="B2207" s="22" t="s">
        <v>33</v>
      </c>
      <c r="C2207" s="22" t="s">
        <v>44</v>
      </c>
      <c r="D2207" s="22" t="s">
        <v>47</v>
      </c>
      <c r="E2207" s="22">
        <v>154837728</v>
      </c>
      <c r="F2207" s="22" t="s">
        <v>94</v>
      </c>
      <c r="G2207" s="22">
        <v>5150.2</v>
      </c>
      <c r="H2207" s="22" t="s">
        <v>22</v>
      </c>
      <c r="I2207" s="22">
        <v>0</v>
      </c>
      <c r="J2207" s="22" t="s">
        <v>59</v>
      </c>
      <c r="K2207" s="22" t="s">
        <v>78</v>
      </c>
      <c r="L2207" s="22">
        <v>0</v>
      </c>
      <c r="M2207" s="22">
        <v>180000</v>
      </c>
      <c r="N2207" s="22">
        <v>0</v>
      </c>
      <c r="O2207" s="15">
        <f t="shared" si="170"/>
        <v>180000</v>
      </c>
      <c r="P2207" s="15">
        <f t="shared" si="171"/>
        <v>34.950099025280572</v>
      </c>
      <c r="Q2207" s="22">
        <v>25000</v>
      </c>
      <c r="R2207" s="22">
        <v>21</v>
      </c>
      <c r="S2207" s="22" t="s">
        <v>2777</v>
      </c>
      <c r="T2207" s="22">
        <f t="shared" si="172"/>
        <v>6</v>
      </c>
      <c r="U2207" s="22">
        <f t="shared" si="173"/>
        <v>2021</v>
      </c>
      <c r="V2207" s="22" t="str">
        <f t="shared" si="174"/>
        <v>REGIONES</v>
      </c>
    </row>
    <row r="2208" spans="1:22" ht="14.25" customHeight="1" x14ac:dyDescent="0.2">
      <c r="A2208" s="22" t="s">
        <v>2770</v>
      </c>
      <c r="B2208" s="22" t="s">
        <v>33</v>
      </c>
      <c r="C2208" s="22" t="s">
        <v>44</v>
      </c>
      <c r="D2208" s="22" t="s">
        <v>35</v>
      </c>
      <c r="E2208" s="22">
        <v>99626232</v>
      </c>
      <c r="F2208" s="22" t="s">
        <v>67</v>
      </c>
      <c r="G2208" s="22">
        <v>4188.7999999999984</v>
      </c>
      <c r="H2208" s="22" t="s">
        <v>22</v>
      </c>
      <c r="I2208" s="22">
        <v>0</v>
      </c>
      <c r="J2208" s="22" t="s">
        <v>67</v>
      </c>
      <c r="K2208" s="22" t="s">
        <v>23</v>
      </c>
      <c r="L2208" s="22">
        <v>2</v>
      </c>
      <c r="M2208" s="22">
        <v>55000</v>
      </c>
      <c r="N2208" s="22">
        <v>0</v>
      </c>
      <c r="O2208" s="15">
        <f t="shared" si="170"/>
        <v>55000</v>
      </c>
      <c r="P2208" s="15">
        <f t="shared" si="171"/>
        <v>13.130252100840341</v>
      </c>
      <c r="Q2208" s="22">
        <v>5000</v>
      </c>
      <c r="R2208" s="22">
        <v>84</v>
      </c>
      <c r="S2208" s="22" t="s">
        <v>2778</v>
      </c>
      <c r="T2208" s="22">
        <f t="shared" si="172"/>
        <v>6</v>
      </c>
      <c r="U2208" s="22">
        <f t="shared" si="173"/>
        <v>2021</v>
      </c>
      <c r="V2208" s="22" t="str">
        <f t="shared" si="174"/>
        <v>METROPOLITANA</v>
      </c>
    </row>
    <row r="2209" spans="1:22" s="12" customFormat="1" x14ac:dyDescent="0.2">
      <c r="A2209" s="11" t="s">
        <v>2779</v>
      </c>
      <c r="B2209" s="12" t="s">
        <v>18</v>
      </c>
      <c r="C2209" s="12" t="s">
        <v>87</v>
      </c>
      <c r="D2209" s="12" t="s">
        <v>20</v>
      </c>
      <c r="E2209" s="13" t="s">
        <v>21</v>
      </c>
      <c r="F2209" s="12" t="s">
        <v>51</v>
      </c>
      <c r="G2209" s="14">
        <v>8058</v>
      </c>
      <c r="H2209" s="12" t="s">
        <v>22</v>
      </c>
      <c r="I2209" s="12">
        <v>0</v>
      </c>
      <c r="J2209" s="12" t="s">
        <v>51</v>
      </c>
      <c r="K2209" s="12" t="s">
        <v>23</v>
      </c>
      <c r="L2209" s="12">
        <v>4</v>
      </c>
      <c r="M2209" s="15">
        <v>88638</v>
      </c>
      <c r="N2209" s="15">
        <v>0</v>
      </c>
      <c r="O2209" s="15">
        <f t="shared" si="170"/>
        <v>88638</v>
      </c>
      <c r="P2209" s="15">
        <f t="shared" si="171"/>
        <v>11</v>
      </c>
      <c r="Q2209" s="14">
        <v>5000</v>
      </c>
      <c r="R2209" s="12">
        <v>100</v>
      </c>
      <c r="S2209" s="12" t="s">
        <v>2780</v>
      </c>
      <c r="T2209" s="12">
        <f t="shared" si="172"/>
        <v>6</v>
      </c>
      <c r="U2209" s="12">
        <f t="shared" si="173"/>
        <v>2021</v>
      </c>
      <c r="V2209" s="12" t="str">
        <f t="shared" si="174"/>
        <v>METROPOLITANA</v>
      </c>
    </row>
    <row r="2210" spans="1:22" s="12" customFormat="1" x14ac:dyDescent="0.2">
      <c r="A2210" s="11" t="s">
        <v>2779</v>
      </c>
      <c r="B2210" s="12" t="s">
        <v>18</v>
      </c>
      <c r="C2210" s="12" t="s">
        <v>508</v>
      </c>
      <c r="D2210" s="12" t="s">
        <v>37</v>
      </c>
      <c r="E2210" s="13" t="s">
        <v>40</v>
      </c>
      <c r="F2210" s="12" t="s">
        <v>58</v>
      </c>
      <c r="G2210" s="14">
        <v>8808.69</v>
      </c>
      <c r="H2210" s="12" t="s">
        <v>22</v>
      </c>
      <c r="I2210" s="12">
        <v>0</v>
      </c>
      <c r="J2210" s="12" t="s">
        <v>58</v>
      </c>
      <c r="K2210" s="12" t="s">
        <v>23</v>
      </c>
      <c r="L2210" s="12">
        <v>5</v>
      </c>
      <c r="M2210" s="15">
        <v>70000</v>
      </c>
      <c r="N2210" s="15">
        <v>0</v>
      </c>
      <c r="O2210" s="15">
        <v>96899</v>
      </c>
      <c r="P2210" s="15">
        <f t="shared" si="171"/>
        <v>11.00038711772125</v>
      </c>
      <c r="Q2210" s="14">
        <v>10000</v>
      </c>
      <c r="R2210" s="12">
        <v>88</v>
      </c>
      <c r="S2210" s="12" t="s">
        <v>2781</v>
      </c>
      <c r="T2210" s="12">
        <f t="shared" si="172"/>
        <v>6</v>
      </c>
      <c r="U2210" s="12">
        <f t="shared" si="173"/>
        <v>2021</v>
      </c>
      <c r="V2210" s="12" t="str">
        <f t="shared" si="174"/>
        <v>METROPOLITANA</v>
      </c>
    </row>
    <row r="2211" spans="1:22" s="12" customFormat="1" x14ac:dyDescent="0.2">
      <c r="A2211" s="11" t="s">
        <v>2779</v>
      </c>
      <c r="B2211" s="12" t="s">
        <v>33</v>
      </c>
      <c r="C2211" s="12" t="s">
        <v>270</v>
      </c>
      <c r="D2211" s="12" t="s">
        <v>63</v>
      </c>
      <c r="E2211" s="13" t="s">
        <v>64</v>
      </c>
      <c r="F2211" s="12" t="s">
        <v>120</v>
      </c>
      <c r="G2211" s="14">
        <v>13887.999999999991</v>
      </c>
      <c r="H2211" s="12" t="s">
        <v>65</v>
      </c>
      <c r="I2211" s="12">
        <v>0</v>
      </c>
      <c r="J2211" s="12" t="s">
        <v>120</v>
      </c>
      <c r="K2211" s="12" t="s">
        <v>23</v>
      </c>
      <c r="L2211" s="12">
        <v>5</v>
      </c>
      <c r="M2211" s="15">
        <v>70000</v>
      </c>
      <c r="N2211" s="15">
        <v>0</v>
      </c>
      <c r="O2211" s="15">
        <v>152768</v>
      </c>
      <c r="P2211" s="15">
        <f t="shared" si="171"/>
        <v>11.000000000000007</v>
      </c>
      <c r="Q2211" s="14">
        <v>10000</v>
      </c>
      <c r="R2211" s="12">
        <v>100</v>
      </c>
      <c r="S2211" s="12" t="s">
        <v>2782</v>
      </c>
      <c r="T2211" s="12">
        <f t="shared" si="172"/>
        <v>6</v>
      </c>
      <c r="U2211" s="12">
        <f t="shared" si="173"/>
        <v>2021</v>
      </c>
      <c r="V2211" s="12" t="str">
        <f t="shared" si="174"/>
        <v>METROPOLITANA</v>
      </c>
    </row>
    <row r="2212" spans="1:22" s="12" customFormat="1" x14ac:dyDescent="0.2">
      <c r="A2212" s="11" t="s">
        <v>2779</v>
      </c>
      <c r="B2212" s="12" t="s">
        <v>33</v>
      </c>
      <c r="C2212" s="12" t="s">
        <v>128</v>
      </c>
      <c r="D2212" s="12" t="s">
        <v>191</v>
      </c>
      <c r="E2212" s="13" t="s">
        <v>192</v>
      </c>
      <c r="F2212" s="12" t="s">
        <v>66</v>
      </c>
      <c r="G2212" s="14">
        <v>16580.799999999988</v>
      </c>
      <c r="H2212" s="12" t="s">
        <v>85</v>
      </c>
      <c r="I2212" s="12">
        <v>1</v>
      </c>
      <c r="J2212" s="12" t="s">
        <v>66</v>
      </c>
      <c r="K2212" s="12" t="s">
        <v>75</v>
      </c>
      <c r="L2212" s="12">
        <v>0</v>
      </c>
      <c r="M2212" s="15">
        <v>380000</v>
      </c>
      <c r="N2212" s="15">
        <v>0</v>
      </c>
      <c r="O2212" s="15">
        <f t="shared" ref="O2212:O2224" si="175">SUM(M2212:N2212)</f>
        <v>380000</v>
      </c>
      <c r="P2212" s="15">
        <f t="shared" si="171"/>
        <v>22.91807391681947</v>
      </c>
      <c r="Q2212" s="14">
        <v>25000</v>
      </c>
      <c r="R2212" s="12">
        <v>66</v>
      </c>
      <c r="S2212" s="12" t="s">
        <v>2783</v>
      </c>
      <c r="T2212" s="12">
        <f t="shared" si="172"/>
        <v>6</v>
      </c>
      <c r="U2212" s="12">
        <f t="shared" si="173"/>
        <v>2021</v>
      </c>
      <c r="V2212" s="12" t="str">
        <f t="shared" si="174"/>
        <v>REGIONES</v>
      </c>
    </row>
    <row r="2213" spans="1:22" s="12" customFormat="1" x14ac:dyDescent="0.2">
      <c r="A2213" s="11" t="s">
        <v>2779</v>
      </c>
      <c r="B2213" s="12" t="s">
        <v>33</v>
      </c>
      <c r="C2213" s="12" t="s">
        <v>128</v>
      </c>
      <c r="D2213" s="12" t="s">
        <v>27</v>
      </c>
      <c r="E2213" s="13" t="s">
        <v>1576</v>
      </c>
      <c r="F2213" s="12" t="s">
        <v>129</v>
      </c>
      <c r="G2213" s="14">
        <v>12756.8</v>
      </c>
      <c r="H2213" s="12" t="s">
        <v>22</v>
      </c>
      <c r="I2213" s="12">
        <v>1</v>
      </c>
      <c r="J2213" s="12" t="s">
        <v>129</v>
      </c>
      <c r="K2213" s="12" t="s">
        <v>23</v>
      </c>
      <c r="L2213" s="12">
        <v>1</v>
      </c>
      <c r="M2213" s="15">
        <v>140325</v>
      </c>
      <c r="N2213" s="15">
        <v>0</v>
      </c>
      <c r="O2213" s="15">
        <f t="shared" si="175"/>
        <v>140325</v>
      </c>
      <c r="P2213" s="15">
        <f t="shared" si="171"/>
        <v>11.000015677912957</v>
      </c>
      <c r="Q2213" s="14">
        <v>5000</v>
      </c>
      <c r="R2213" s="12">
        <v>100</v>
      </c>
      <c r="S2213" s="12" t="s">
        <v>2784</v>
      </c>
      <c r="T2213" s="12">
        <f t="shared" si="172"/>
        <v>6</v>
      </c>
      <c r="U2213" s="12">
        <f t="shared" si="173"/>
        <v>2021</v>
      </c>
      <c r="V2213" s="12" t="str">
        <f t="shared" si="174"/>
        <v>METROPOLITANA</v>
      </c>
    </row>
    <row r="2214" spans="1:22" s="12" customFormat="1" x14ac:dyDescent="0.2">
      <c r="A2214" s="11" t="s">
        <v>2779</v>
      </c>
      <c r="B2214" s="12" t="s">
        <v>33</v>
      </c>
      <c r="C2214" s="12" t="s">
        <v>128</v>
      </c>
      <c r="D2214" s="12" t="s">
        <v>164</v>
      </c>
      <c r="E2214" s="13" t="s">
        <v>28</v>
      </c>
      <c r="F2214" s="12" t="s">
        <v>129</v>
      </c>
      <c r="G2214" s="14">
        <v>16508.8</v>
      </c>
      <c r="H2214" s="12" t="s">
        <v>22</v>
      </c>
      <c r="I2214" s="12">
        <v>1</v>
      </c>
      <c r="J2214" s="12" t="s">
        <v>129</v>
      </c>
      <c r="K2214" s="12" t="s">
        <v>23</v>
      </c>
      <c r="L2214" s="12">
        <v>1</v>
      </c>
      <c r="M2214" s="15">
        <v>181597</v>
      </c>
      <c r="N2214" s="15">
        <v>0</v>
      </c>
      <c r="O2214" s="15">
        <f t="shared" si="175"/>
        <v>181597</v>
      </c>
      <c r="P2214" s="15">
        <f t="shared" si="171"/>
        <v>11.000012114750922</v>
      </c>
      <c r="Q2214" s="14">
        <v>5000</v>
      </c>
      <c r="R2214" s="12">
        <v>100</v>
      </c>
      <c r="S2214" s="12" t="s">
        <v>2785</v>
      </c>
      <c r="T2214" s="12">
        <f t="shared" si="172"/>
        <v>6</v>
      </c>
      <c r="U2214" s="12">
        <f t="shared" si="173"/>
        <v>2021</v>
      </c>
      <c r="V2214" s="12" t="str">
        <f t="shared" si="174"/>
        <v>METROPOLITANA</v>
      </c>
    </row>
    <row r="2215" spans="1:22" s="12" customFormat="1" x14ac:dyDescent="0.2">
      <c r="A2215" s="11" t="s">
        <v>2779</v>
      </c>
      <c r="B2215" s="12" t="s">
        <v>33</v>
      </c>
      <c r="C2215" s="12" t="s">
        <v>36</v>
      </c>
      <c r="D2215" s="12" t="s">
        <v>786</v>
      </c>
      <c r="E2215" s="13" t="s">
        <v>2786</v>
      </c>
      <c r="F2215" s="12" t="s">
        <v>59</v>
      </c>
      <c r="G2215" s="14">
        <v>15608</v>
      </c>
      <c r="H2215" s="12" t="s">
        <v>788</v>
      </c>
      <c r="I2215" s="12">
        <v>1</v>
      </c>
      <c r="J2215" s="12" t="s">
        <v>59</v>
      </c>
      <c r="K2215" s="12" t="s">
        <v>78</v>
      </c>
      <c r="L2215" s="12">
        <v>0</v>
      </c>
      <c r="M2215" s="15">
        <v>230000</v>
      </c>
      <c r="N2215" s="15">
        <v>0</v>
      </c>
      <c r="O2215" s="15">
        <f t="shared" si="175"/>
        <v>230000</v>
      </c>
      <c r="P2215" s="15">
        <f t="shared" si="171"/>
        <v>14.736032803690415</v>
      </c>
      <c r="Q2215" s="14">
        <v>25000</v>
      </c>
      <c r="R2215" s="12">
        <v>6</v>
      </c>
      <c r="S2215" s="12" t="s">
        <v>2787</v>
      </c>
      <c r="T2215" s="12">
        <f t="shared" si="172"/>
        <v>6</v>
      </c>
      <c r="U2215" s="12">
        <f t="shared" si="173"/>
        <v>2021</v>
      </c>
      <c r="V2215" s="12" t="str">
        <f t="shared" si="174"/>
        <v>REGIONES</v>
      </c>
    </row>
    <row r="2216" spans="1:22" s="12" customFormat="1" x14ac:dyDescent="0.2">
      <c r="A2216" s="11" t="s">
        <v>2779</v>
      </c>
      <c r="B2216" s="12" t="s">
        <v>33</v>
      </c>
      <c r="C2216" s="12" t="s">
        <v>2605</v>
      </c>
      <c r="D2216" s="12" t="s">
        <v>38</v>
      </c>
      <c r="E2216" s="13" t="s">
        <v>42</v>
      </c>
      <c r="F2216" s="12" t="s">
        <v>129</v>
      </c>
      <c r="G2216" s="14">
        <v>11189.3</v>
      </c>
      <c r="H2216" s="12" t="s">
        <v>43</v>
      </c>
      <c r="I2216" s="12">
        <v>0</v>
      </c>
      <c r="J2216" s="12" t="s">
        <v>129</v>
      </c>
      <c r="K2216" s="12" t="s">
        <v>23</v>
      </c>
      <c r="L2216" s="12">
        <v>1</v>
      </c>
      <c r="M2216" s="15">
        <v>123082</v>
      </c>
      <c r="N2216" s="15">
        <v>0</v>
      </c>
      <c r="O2216" s="15">
        <f t="shared" si="175"/>
        <v>123082</v>
      </c>
      <c r="P2216" s="15">
        <f t="shared" si="171"/>
        <v>10.999973188671321</v>
      </c>
      <c r="Q2216" s="14">
        <v>5000</v>
      </c>
      <c r="R2216" s="12">
        <v>100</v>
      </c>
      <c r="S2216" s="12" t="s">
        <v>2788</v>
      </c>
      <c r="T2216" s="12">
        <f t="shared" si="172"/>
        <v>6</v>
      </c>
      <c r="U2216" s="12">
        <f t="shared" si="173"/>
        <v>2021</v>
      </c>
      <c r="V2216" s="12" t="str">
        <f t="shared" si="174"/>
        <v>METROPOLITANA</v>
      </c>
    </row>
    <row r="2217" spans="1:22" s="12" customFormat="1" x14ac:dyDescent="0.2">
      <c r="A2217" s="11" t="s">
        <v>2779</v>
      </c>
      <c r="B2217" s="12" t="s">
        <v>33</v>
      </c>
      <c r="C2217" s="12" t="s">
        <v>29</v>
      </c>
      <c r="D2217" s="12" t="s">
        <v>45</v>
      </c>
      <c r="E2217" s="13" t="s">
        <v>1576</v>
      </c>
      <c r="F2217" s="12" t="s">
        <v>134</v>
      </c>
      <c r="G2217" s="14">
        <v>5101.2</v>
      </c>
      <c r="H2217" s="12" t="s">
        <v>22</v>
      </c>
      <c r="I2217" s="12">
        <v>0</v>
      </c>
      <c r="J2217" s="12" t="s">
        <v>134</v>
      </c>
      <c r="K2217" s="12" t="s">
        <v>23</v>
      </c>
      <c r="L2217" s="12">
        <v>2</v>
      </c>
      <c r="M2217" s="15">
        <v>56113</v>
      </c>
      <c r="N2217" s="15">
        <v>0</v>
      </c>
      <c r="O2217" s="15">
        <f t="shared" si="175"/>
        <v>56113</v>
      </c>
      <c r="P2217" s="15">
        <f t="shared" si="171"/>
        <v>10.999960793538776</v>
      </c>
      <c r="Q2217" s="14">
        <v>5000</v>
      </c>
      <c r="R2217" s="12">
        <v>100</v>
      </c>
      <c r="S2217" s="12" t="s">
        <v>2789</v>
      </c>
      <c r="T2217" s="12">
        <f t="shared" si="172"/>
        <v>6</v>
      </c>
      <c r="U2217" s="12">
        <f t="shared" si="173"/>
        <v>2021</v>
      </c>
      <c r="V2217" s="12" t="str">
        <f t="shared" si="174"/>
        <v>METROPOLITANA</v>
      </c>
    </row>
    <row r="2218" spans="1:22" s="12" customFormat="1" x14ac:dyDescent="0.2">
      <c r="A2218" s="11" t="s">
        <v>2779</v>
      </c>
      <c r="B2218" s="12" t="s">
        <v>33</v>
      </c>
      <c r="C2218" s="12" t="s">
        <v>29</v>
      </c>
      <c r="D2218" s="12" t="s">
        <v>35</v>
      </c>
      <c r="E2218" s="13" t="s">
        <v>52</v>
      </c>
      <c r="F2218" s="12" t="s">
        <v>134</v>
      </c>
      <c r="G2218" s="14">
        <v>6801.5999999999995</v>
      </c>
      <c r="H2218" s="12" t="s">
        <v>22</v>
      </c>
      <c r="I2218" s="12">
        <v>0</v>
      </c>
      <c r="J2218" s="12" t="s">
        <v>134</v>
      </c>
      <c r="K2218" s="12" t="s">
        <v>23</v>
      </c>
      <c r="L2218" s="12">
        <v>2</v>
      </c>
      <c r="M2218" s="15">
        <v>74818</v>
      </c>
      <c r="N2218" s="15">
        <v>0</v>
      </c>
      <c r="O2218" s="15">
        <f t="shared" si="175"/>
        <v>74818</v>
      </c>
      <c r="P2218" s="15">
        <f t="shared" si="171"/>
        <v>11.000058809691838</v>
      </c>
      <c r="Q2218" s="14">
        <v>5000</v>
      </c>
      <c r="R2218" s="12">
        <v>100</v>
      </c>
      <c r="S2218" s="12" t="s">
        <v>2790</v>
      </c>
      <c r="T2218" s="12">
        <f t="shared" si="172"/>
        <v>6</v>
      </c>
      <c r="U2218" s="12">
        <f t="shared" si="173"/>
        <v>2021</v>
      </c>
      <c r="V2218" s="12" t="str">
        <f t="shared" si="174"/>
        <v>METROPOLITANA</v>
      </c>
    </row>
    <row r="2219" spans="1:22" s="12" customFormat="1" x14ac:dyDescent="0.2">
      <c r="A2219" s="11" t="s">
        <v>2779</v>
      </c>
      <c r="B2219" s="12" t="s">
        <v>33</v>
      </c>
      <c r="C2219" s="12" t="s">
        <v>2698</v>
      </c>
      <c r="D2219" s="12" t="s">
        <v>41</v>
      </c>
      <c r="E2219" s="13" t="s">
        <v>25</v>
      </c>
      <c r="F2219" s="12" t="s">
        <v>34</v>
      </c>
      <c r="G2219" s="14">
        <v>5176.5</v>
      </c>
      <c r="H2219" s="12" t="s">
        <v>43</v>
      </c>
      <c r="I2219" s="12">
        <v>0</v>
      </c>
      <c r="J2219" s="12" t="s">
        <v>34</v>
      </c>
      <c r="K2219" s="12" t="s">
        <v>23</v>
      </c>
      <c r="L2219" s="12">
        <v>1</v>
      </c>
      <c r="M2219" s="15">
        <v>56942</v>
      </c>
      <c r="N2219" s="15">
        <v>0</v>
      </c>
      <c r="O2219" s="15">
        <f t="shared" si="175"/>
        <v>56942</v>
      </c>
      <c r="P2219" s="15">
        <f t="shared" si="171"/>
        <v>11.000096590360283</v>
      </c>
      <c r="Q2219" s="14">
        <v>5000</v>
      </c>
      <c r="R2219" s="12">
        <v>100</v>
      </c>
      <c r="S2219" s="12" t="s">
        <v>2791</v>
      </c>
      <c r="T2219" s="12">
        <f t="shared" si="172"/>
        <v>6</v>
      </c>
      <c r="U2219" s="12">
        <f t="shared" si="173"/>
        <v>2021</v>
      </c>
      <c r="V2219" s="12" t="str">
        <f t="shared" si="174"/>
        <v>METROPOLITANA</v>
      </c>
    </row>
    <row r="2220" spans="1:22" s="12" customFormat="1" x14ac:dyDescent="0.2">
      <c r="A2220" s="11" t="s">
        <v>2779</v>
      </c>
      <c r="B2220" s="12" t="s">
        <v>33</v>
      </c>
      <c r="C2220" s="12" t="s">
        <v>2698</v>
      </c>
      <c r="D2220" s="12" t="s">
        <v>41</v>
      </c>
      <c r="E2220" s="13" t="s">
        <v>25</v>
      </c>
      <c r="F2220" s="12" t="s">
        <v>51</v>
      </c>
      <c r="G2220" s="14">
        <v>6591.5999999999995</v>
      </c>
      <c r="H2220" s="12" t="s">
        <v>43</v>
      </c>
      <c r="I2220" s="12">
        <v>0</v>
      </c>
      <c r="J2220" s="12" t="s">
        <v>51</v>
      </c>
      <c r="K2220" s="12" t="s">
        <v>23</v>
      </c>
      <c r="L2220" s="12">
        <v>4</v>
      </c>
      <c r="M2220" s="15">
        <v>72508</v>
      </c>
      <c r="N2220" s="15">
        <v>0</v>
      </c>
      <c r="O2220" s="15">
        <f t="shared" si="175"/>
        <v>72508</v>
      </c>
      <c r="P2220" s="15">
        <f t="shared" si="171"/>
        <v>11.00006068329389</v>
      </c>
      <c r="Q2220" s="14">
        <v>5000</v>
      </c>
      <c r="R2220" s="12">
        <v>100</v>
      </c>
      <c r="S2220" s="12" t="s">
        <v>2792</v>
      </c>
      <c r="T2220" s="12">
        <f t="shared" si="172"/>
        <v>6</v>
      </c>
      <c r="U2220" s="12">
        <f t="shared" si="173"/>
        <v>2021</v>
      </c>
      <c r="V2220" s="12" t="str">
        <f t="shared" si="174"/>
        <v>METROPOLITANA</v>
      </c>
    </row>
    <row r="2221" spans="1:22" s="12" customFormat="1" x14ac:dyDescent="0.2">
      <c r="A2221" s="11" t="s">
        <v>2779</v>
      </c>
      <c r="B2221" s="12" t="s">
        <v>33</v>
      </c>
      <c r="C2221" s="12" t="s">
        <v>44</v>
      </c>
      <c r="D2221" s="12" t="s">
        <v>2793</v>
      </c>
      <c r="E2221" s="13" t="s">
        <v>189</v>
      </c>
      <c r="F2221" s="12" t="s">
        <v>225</v>
      </c>
      <c r="G2221" s="14">
        <v>4977</v>
      </c>
      <c r="H2221" s="12" t="s">
        <v>24</v>
      </c>
      <c r="I2221" s="12">
        <v>1</v>
      </c>
      <c r="J2221" s="12" t="s">
        <v>225</v>
      </c>
      <c r="K2221" s="12" t="s">
        <v>23</v>
      </c>
      <c r="L2221" s="12">
        <v>3</v>
      </c>
      <c r="M2221" s="15">
        <v>55000</v>
      </c>
      <c r="N2221" s="15">
        <v>0</v>
      </c>
      <c r="O2221" s="15">
        <f t="shared" si="175"/>
        <v>55000</v>
      </c>
      <c r="P2221" s="15">
        <f t="shared" si="171"/>
        <v>11.050833835643962</v>
      </c>
      <c r="Q2221" s="14">
        <v>5000</v>
      </c>
      <c r="R2221" s="12">
        <v>47</v>
      </c>
      <c r="S2221" s="12" t="s">
        <v>2794</v>
      </c>
      <c r="T2221" s="12">
        <f t="shared" si="172"/>
        <v>6</v>
      </c>
      <c r="U2221" s="12">
        <f t="shared" si="173"/>
        <v>2021</v>
      </c>
      <c r="V2221" s="12" t="str">
        <f t="shared" si="174"/>
        <v>METROPOLITANA</v>
      </c>
    </row>
    <row r="2222" spans="1:22" s="12" customFormat="1" x14ac:dyDescent="0.2">
      <c r="A2222" s="11" t="s">
        <v>2779</v>
      </c>
      <c r="B2222" s="12" t="s">
        <v>33</v>
      </c>
      <c r="C2222" s="12" t="s">
        <v>44</v>
      </c>
      <c r="D2222" s="12" t="s">
        <v>45</v>
      </c>
      <c r="E2222" s="13" t="s">
        <v>52</v>
      </c>
      <c r="F2222" s="12" t="s">
        <v>34</v>
      </c>
      <c r="G2222" s="14">
        <v>4526.5999999999995</v>
      </c>
      <c r="H2222" s="12" t="s">
        <v>22</v>
      </c>
      <c r="I2222" s="12">
        <v>0</v>
      </c>
      <c r="J2222" s="12" t="s">
        <v>34</v>
      </c>
      <c r="K2222" s="12" t="s">
        <v>23</v>
      </c>
      <c r="L2222" s="12">
        <v>1</v>
      </c>
      <c r="M2222" s="15">
        <v>55000</v>
      </c>
      <c r="N2222" s="15">
        <v>0</v>
      </c>
      <c r="O2222" s="15">
        <f t="shared" si="175"/>
        <v>55000</v>
      </c>
      <c r="P2222" s="15">
        <f t="shared" si="171"/>
        <v>12.150399858613531</v>
      </c>
      <c r="Q2222" s="14">
        <v>5000</v>
      </c>
      <c r="R2222" s="12">
        <v>91</v>
      </c>
      <c r="S2222" s="12" t="s">
        <v>2795</v>
      </c>
      <c r="T2222" s="12">
        <f t="shared" si="172"/>
        <v>6</v>
      </c>
      <c r="U2222" s="12">
        <f t="shared" si="173"/>
        <v>2021</v>
      </c>
      <c r="V2222" s="12" t="str">
        <f t="shared" si="174"/>
        <v>METROPOLITANA</v>
      </c>
    </row>
    <row r="2223" spans="1:22" s="12" customFormat="1" x14ac:dyDescent="0.2">
      <c r="A2223" s="11" t="s">
        <v>2779</v>
      </c>
      <c r="B2223" s="12" t="s">
        <v>33</v>
      </c>
      <c r="C2223" s="12" t="s">
        <v>44</v>
      </c>
      <c r="D2223" s="12" t="s">
        <v>47</v>
      </c>
      <c r="E2223" s="13" t="s">
        <v>2796</v>
      </c>
      <c r="F2223" s="12" t="s">
        <v>48</v>
      </c>
      <c r="G2223" s="14">
        <v>5258</v>
      </c>
      <c r="H2223" s="12" t="s">
        <v>22</v>
      </c>
      <c r="I2223" s="12">
        <v>0</v>
      </c>
      <c r="J2223" s="12" t="s">
        <v>48</v>
      </c>
      <c r="K2223" s="12" t="s">
        <v>23</v>
      </c>
      <c r="L2223" s="12">
        <v>1</v>
      </c>
      <c r="M2223" s="15">
        <v>55000</v>
      </c>
      <c r="N2223" s="15">
        <v>0</v>
      </c>
      <c r="O2223" s="15">
        <f t="shared" si="175"/>
        <v>55000</v>
      </c>
      <c r="P2223" s="15">
        <f t="shared" si="171"/>
        <v>10.460251046025105</v>
      </c>
      <c r="Q2223" s="14">
        <v>5000</v>
      </c>
      <c r="R2223" s="12">
        <v>51</v>
      </c>
      <c r="S2223" s="12" t="s">
        <v>2797</v>
      </c>
      <c r="T2223" s="12">
        <f t="shared" si="172"/>
        <v>6</v>
      </c>
      <c r="U2223" s="12">
        <f t="shared" si="173"/>
        <v>2021</v>
      </c>
      <c r="V2223" s="12" t="str">
        <f t="shared" si="174"/>
        <v>METROPOLITANA</v>
      </c>
    </row>
    <row r="2224" spans="1:22" s="12" customFormat="1" x14ac:dyDescent="0.2">
      <c r="A2224" s="11" t="s">
        <v>2779</v>
      </c>
      <c r="B2224" s="12" t="s">
        <v>33</v>
      </c>
      <c r="C2224" s="12" t="s">
        <v>44</v>
      </c>
      <c r="D2224" s="12" t="s">
        <v>35</v>
      </c>
      <c r="E2224" s="13" t="s">
        <v>28</v>
      </c>
      <c r="F2224" s="12" t="s">
        <v>229</v>
      </c>
      <c r="G2224" s="14">
        <v>4908.0999999999995</v>
      </c>
      <c r="H2224" s="12" t="s">
        <v>22</v>
      </c>
      <c r="I2224" s="12">
        <v>0</v>
      </c>
      <c r="J2224" s="12" t="s">
        <v>230</v>
      </c>
      <c r="K2224" s="12" t="s">
        <v>23</v>
      </c>
      <c r="L2224" s="12">
        <v>4</v>
      </c>
      <c r="M2224" s="15">
        <v>55000</v>
      </c>
      <c r="N2224" s="15">
        <v>0</v>
      </c>
      <c r="O2224" s="15">
        <f t="shared" si="175"/>
        <v>55000</v>
      </c>
      <c r="P2224" s="15">
        <f t="shared" si="171"/>
        <v>11.205965648621667</v>
      </c>
      <c r="Q2224" s="14">
        <v>5000</v>
      </c>
      <c r="R2224" s="12">
        <v>98</v>
      </c>
      <c r="S2224" s="12" t="s">
        <v>2798</v>
      </c>
      <c r="T2224" s="12">
        <f t="shared" si="172"/>
        <v>6</v>
      </c>
      <c r="U2224" s="12">
        <f t="shared" si="173"/>
        <v>2021</v>
      </c>
      <c r="V2224" s="12" t="str">
        <f t="shared" si="174"/>
        <v>METROPOLITANA</v>
      </c>
    </row>
    <row r="2225" spans="1:22" x14ac:dyDescent="0.2">
      <c r="A2225" s="23" t="s">
        <v>2799</v>
      </c>
      <c r="B2225" s="22" t="s">
        <v>18</v>
      </c>
      <c r="C2225" s="22" t="s">
        <v>57</v>
      </c>
      <c r="D2225" s="22" t="s">
        <v>30</v>
      </c>
      <c r="E2225" s="24" t="s">
        <v>31</v>
      </c>
      <c r="F2225" s="22" t="s">
        <v>120</v>
      </c>
      <c r="G2225" s="25">
        <v>12468.33</v>
      </c>
      <c r="H2225" s="22" t="s">
        <v>32</v>
      </c>
      <c r="I2225" s="22">
        <v>0</v>
      </c>
      <c r="J2225" s="22" t="s">
        <v>120</v>
      </c>
      <c r="K2225" s="22" t="s">
        <v>23</v>
      </c>
      <c r="L2225" s="22">
        <v>5</v>
      </c>
      <c r="M2225" s="26">
        <v>70000</v>
      </c>
      <c r="N2225" s="26">
        <v>0</v>
      </c>
      <c r="O2225" s="15">
        <f>G2225*11</f>
        <v>137151.63</v>
      </c>
      <c r="P2225" s="15">
        <f t="shared" si="171"/>
        <v>11</v>
      </c>
      <c r="Q2225" s="25">
        <v>10000</v>
      </c>
      <c r="R2225" s="22">
        <v>100</v>
      </c>
      <c r="S2225" s="22" t="s">
        <v>2800</v>
      </c>
      <c r="T2225" s="22">
        <f t="shared" si="172"/>
        <v>6</v>
      </c>
      <c r="U2225" s="22">
        <f t="shared" si="173"/>
        <v>2021</v>
      </c>
      <c r="V2225" s="22" t="str">
        <f t="shared" si="174"/>
        <v>METROPOLITANA</v>
      </c>
    </row>
    <row r="2226" spans="1:22" x14ac:dyDescent="0.2">
      <c r="A2226" s="23" t="s">
        <v>2799</v>
      </c>
      <c r="B2226" s="22" t="s">
        <v>18</v>
      </c>
      <c r="C2226" s="22" t="s">
        <v>163</v>
      </c>
      <c r="D2226" s="22" t="s">
        <v>27</v>
      </c>
      <c r="E2226" s="24" t="s">
        <v>28</v>
      </c>
      <c r="F2226" s="22" t="s">
        <v>165</v>
      </c>
      <c r="G2226" s="25">
        <v>23507.94</v>
      </c>
      <c r="H2226" s="22" t="s">
        <v>22</v>
      </c>
      <c r="I2226" s="22">
        <v>1</v>
      </c>
      <c r="J2226" s="22" t="s">
        <v>165</v>
      </c>
      <c r="K2226" s="22" t="s">
        <v>23</v>
      </c>
      <c r="L2226" s="22">
        <v>4</v>
      </c>
      <c r="M2226" s="26">
        <v>258587</v>
      </c>
      <c r="N2226" s="26">
        <v>0</v>
      </c>
      <c r="O2226" s="15">
        <f>SUM(M2226:N2226)</f>
        <v>258587</v>
      </c>
      <c r="P2226" s="15">
        <f t="shared" si="171"/>
        <v>10.999985536801608</v>
      </c>
      <c r="Q2226" s="25">
        <v>5000</v>
      </c>
      <c r="R2226" s="22">
        <v>100</v>
      </c>
      <c r="S2226" s="22" t="s">
        <v>2801</v>
      </c>
      <c r="T2226" s="22">
        <f t="shared" si="172"/>
        <v>6</v>
      </c>
      <c r="U2226" s="22">
        <f t="shared" si="173"/>
        <v>2021</v>
      </c>
      <c r="V2226" s="22" t="str">
        <f t="shared" si="174"/>
        <v>METROPOLITANA</v>
      </c>
    </row>
    <row r="2227" spans="1:22" x14ac:dyDescent="0.2">
      <c r="A2227" s="23" t="s">
        <v>2799</v>
      </c>
      <c r="B2227" s="22" t="s">
        <v>18</v>
      </c>
      <c r="C2227" s="22" t="s">
        <v>508</v>
      </c>
      <c r="D2227" s="22" t="s">
        <v>37</v>
      </c>
      <c r="E2227" s="24" t="s">
        <v>40</v>
      </c>
      <c r="F2227" s="22" t="s">
        <v>58</v>
      </c>
      <c r="G2227" s="25">
        <v>3794.4</v>
      </c>
      <c r="H2227" s="22" t="s">
        <v>22</v>
      </c>
      <c r="I2227" s="22">
        <v>0</v>
      </c>
      <c r="J2227" s="22" t="s">
        <v>58</v>
      </c>
      <c r="K2227" s="22" t="s">
        <v>23</v>
      </c>
      <c r="L2227" s="22">
        <v>5</v>
      </c>
      <c r="M2227" s="26">
        <v>70000</v>
      </c>
      <c r="N2227" s="26">
        <v>0</v>
      </c>
      <c r="O2227" s="15">
        <f>SUM(M2227:N2227)</f>
        <v>70000</v>
      </c>
      <c r="P2227" s="15">
        <f t="shared" si="171"/>
        <v>18.448239510858105</v>
      </c>
      <c r="Q2227" s="25">
        <v>10000</v>
      </c>
      <c r="R2227" s="22">
        <v>38</v>
      </c>
      <c r="S2227" s="22" t="s">
        <v>2802</v>
      </c>
      <c r="T2227" s="22">
        <f t="shared" si="172"/>
        <v>6</v>
      </c>
      <c r="U2227" s="22">
        <f t="shared" si="173"/>
        <v>2021</v>
      </c>
      <c r="V2227" s="22" t="str">
        <f t="shared" si="174"/>
        <v>METROPOLITANA</v>
      </c>
    </row>
    <row r="2228" spans="1:22" x14ac:dyDescent="0.2">
      <c r="A2228" s="23" t="s">
        <v>2799</v>
      </c>
      <c r="B2228" s="22" t="s">
        <v>33</v>
      </c>
      <c r="C2228" s="22" t="s">
        <v>270</v>
      </c>
      <c r="D2228" s="22" t="s">
        <v>20</v>
      </c>
      <c r="E2228" s="24" t="s">
        <v>21</v>
      </c>
      <c r="F2228" s="22" t="s">
        <v>120</v>
      </c>
      <c r="G2228" s="25">
        <v>7806.0000000000027</v>
      </c>
      <c r="H2228" s="22" t="s">
        <v>22</v>
      </c>
      <c r="I2228" s="22">
        <v>0</v>
      </c>
      <c r="J2228" s="22" t="s">
        <v>120</v>
      </c>
      <c r="K2228" s="22" t="s">
        <v>23</v>
      </c>
      <c r="L2228" s="22">
        <v>5</v>
      </c>
      <c r="M2228" s="26">
        <v>70000</v>
      </c>
      <c r="N2228" s="26">
        <v>0</v>
      </c>
      <c r="O2228" s="15">
        <f>G2228*11</f>
        <v>85866.000000000029</v>
      </c>
      <c r="P2228" s="15">
        <f t="shared" si="171"/>
        <v>11</v>
      </c>
      <c r="Q2228" s="25">
        <v>10000</v>
      </c>
      <c r="R2228" s="22">
        <v>78</v>
      </c>
      <c r="S2228" s="22" t="s">
        <v>2803</v>
      </c>
      <c r="T2228" s="22">
        <f t="shared" si="172"/>
        <v>6</v>
      </c>
      <c r="U2228" s="22">
        <f t="shared" si="173"/>
        <v>2021</v>
      </c>
      <c r="V2228" s="22" t="str">
        <f t="shared" si="174"/>
        <v>METROPOLITANA</v>
      </c>
    </row>
    <row r="2229" spans="1:22" x14ac:dyDescent="0.2">
      <c r="A2229" s="23" t="s">
        <v>2799</v>
      </c>
      <c r="B2229" s="22" t="s">
        <v>33</v>
      </c>
      <c r="C2229" s="22" t="s">
        <v>128</v>
      </c>
      <c r="D2229" s="22" t="s">
        <v>27</v>
      </c>
      <c r="E2229" s="24" t="s">
        <v>1576</v>
      </c>
      <c r="F2229" s="22" t="s">
        <v>129</v>
      </c>
      <c r="G2229" s="25">
        <v>15759</v>
      </c>
      <c r="H2229" s="22" t="s">
        <v>22</v>
      </c>
      <c r="I2229" s="22">
        <v>1</v>
      </c>
      <c r="J2229" s="22" t="s">
        <v>129</v>
      </c>
      <c r="K2229" s="22" t="s">
        <v>23</v>
      </c>
      <c r="L2229" s="22">
        <v>1</v>
      </c>
      <c r="M2229" s="26">
        <v>55000</v>
      </c>
      <c r="N2229" s="26">
        <v>0</v>
      </c>
      <c r="O2229" s="15">
        <f>G2229*11</f>
        <v>173349</v>
      </c>
      <c r="P2229" s="15">
        <f t="shared" si="171"/>
        <v>11</v>
      </c>
      <c r="Q2229" s="25">
        <v>5000</v>
      </c>
      <c r="R2229" s="22">
        <v>60</v>
      </c>
      <c r="S2229" s="22" t="s">
        <v>2804</v>
      </c>
      <c r="T2229" s="22">
        <f t="shared" si="172"/>
        <v>6</v>
      </c>
      <c r="U2229" s="22">
        <f t="shared" si="173"/>
        <v>2021</v>
      </c>
      <c r="V2229" s="22" t="str">
        <f t="shared" si="174"/>
        <v>METROPOLITANA</v>
      </c>
    </row>
    <row r="2230" spans="1:22" x14ac:dyDescent="0.2">
      <c r="A2230" s="23" t="s">
        <v>2799</v>
      </c>
      <c r="B2230" s="22" t="s">
        <v>33</v>
      </c>
      <c r="C2230" s="22" t="s">
        <v>128</v>
      </c>
      <c r="D2230" s="22" t="s">
        <v>41</v>
      </c>
      <c r="E2230" s="24" t="s">
        <v>25</v>
      </c>
      <c r="F2230" s="22" t="s">
        <v>129</v>
      </c>
      <c r="G2230" s="25">
        <v>8691.4</v>
      </c>
      <c r="H2230" s="22" t="s">
        <v>43</v>
      </c>
      <c r="I2230" s="22">
        <v>0</v>
      </c>
      <c r="J2230" s="22" t="s">
        <v>129</v>
      </c>
      <c r="K2230" s="22" t="s">
        <v>23</v>
      </c>
      <c r="L2230" s="22">
        <v>1</v>
      </c>
      <c r="M2230" s="26">
        <v>95605</v>
      </c>
      <c r="N2230" s="26">
        <v>0</v>
      </c>
      <c r="O2230" s="15">
        <f t="shared" ref="O2230:O2256" si="176">SUM(M2230:N2230)</f>
        <v>95605</v>
      </c>
      <c r="P2230" s="15">
        <f t="shared" si="171"/>
        <v>10.999953977494995</v>
      </c>
      <c r="Q2230" s="25">
        <v>5000</v>
      </c>
      <c r="R2230" s="22">
        <v>100</v>
      </c>
      <c r="S2230" s="22" t="s">
        <v>2805</v>
      </c>
      <c r="T2230" s="22">
        <f t="shared" si="172"/>
        <v>6</v>
      </c>
      <c r="U2230" s="22">
        <f t="shared" si="173"/>
        <v>2021</v>
      </c>
      <c r="V2230" s="22" t="str">
        <f t="shared" si="174"/>
        <v>METROPOLITANA</v>
      </c>
    </row>
    <row r="2231" spans="1:22" x14ac:dyDescent="0.2">
      <c r="A2231" s="23" t="s">
        <v>2799</v>
      </c>
      <c r="B2231" s="22" t="s">
        <v>33</v>
      </c>
      <c r="C2231" s="22" t="s">
        <v>128</v>
      </c>
      <c r="D2231" s="22" t="s">
        <v>20</v>
      </c>
      <c r="E2231" s="24" t="s">
        <v>21</v>
      </c>
      <c r="F2231" s="22" t="s">
        <v>129</v>
      </c>
      <c r="G2231" s="25">
        <v>8691.3999999999978</v>
      </c>
      <c r="H2231" s="22" t="s">
        <v>22</v>
      </c>
      <c r="I2231" s="22">
        <v>0</v>
      </c>
      <c r="J2231" s="22" t="s">
        <v>129</v>
      </c>
      <c r="K2231" s="22" t="s">
        <v>23</v>
      </c>
      <c r="L2231" s="22">
        <v>1</v>
      </c>
      <c r="M2231" s="26">
        <v>95605</v>
      </c>
      <c r="N2231" s="26">
        <v>0</v>
      </c>
      <c r="O2231" s="15">
        <f t="shared" si="176"/>
        <v>95605</v>
      </c>
      <c r="P2231" s="15">
        <f t="shared" si="171"/>
        <v>10.999953977494998</v>
      </c>
      <c r="Q2231" s="25">
        <v>5000</v>
      </c>
      <c r="R2231" s="22">
        <v>100</v>
      </c>
      <c r="S2231" s="22" t="s">
        <v>2806</v>
      </c>
      <c r="T2231" s="22">
        <f t="shared" si="172"/>
        <v>6</v>
      </c>
      <c r="U2231" s="22">
        <f t="shared" si="173"/>
        <v>2021</v>
      </c>
      <c r="V2231" s="22" t="str">
        <f t="shared" si="174"/>
        <v>METROPOLITANA</v>
      </c>
    </row>
    <row r="2232" spans="1:22" x14ac:dyDescent="0.2">
      <c r="A2232" s="23" t="s">
        <v>2799</v>
      </c>
      <c r="B2232" s="22" t="s">
        <v>33</v>
      </c>
      <c r="C2232" s="22" t="s">
        <v>2605</v>
      </c>
      <c r="D2232" s="22" t="s">
        <v>63</v>
      </c>
      <c r="E2232" s="24" t="s">
        <v>64</v>
      </c>
      <c r="F2232" s="22" t="s">
        <v>129</v>
      </c>
      <c r="G2232" s="25">
        <v>15927.000000000009</v>
      </c>
      <c r="H2232" s="22" t="s">
        <v>65</v>
      </c>
      <c r="I2232" s="22">
        <v>0</v>
      </c>
      <c r="J2232" s="22" t="s">
        <v>129</v>
      </c>
      <c r="K2232" s="22" t="s">
        <v>23</v>
      </c>
      <c r="L2232" s="22">
        <v>1</v>
      </c>
      <c r="M2232" s="26">
        <v>175197</v>
      </c>
      <c r="N2232" s="26">
        <v>0</v>
      </c>
      <c r="O2232" s="15">
        <f t="shared" si="176"/>
        <v>175197</v>
      </c>
      <c r="P2232" s="15">
        <f t="shared" si="171"/>
        <v>10.999999999999993</v>
      </c>
      <c r="Q2232" s="25">
        <v>5000</v>
      </c>
      <c r="R2232" s="22">
        <v>100</v>
      </c>
      <c r="S2232" s="22" t="s">
        <v>2807</v>
      </c>
      <c r="T2232" s="22">
        <f t="shared" si="172"/>
        <v>6</v>
      </c>
      <c r="U2232" s="22">
        <f t="shared" si="173"/>
        <v>2021</v>
      </c>
      <c r="V2232" s="22" t="str">
        <f t="shared" si="174"/>
        <v>METROPOLITANA</v>
      </c>
    </row>
    <row r="2233" spans="1:22" s="41" customFormat="1" x14ac:dyDescent="0.2">
      <c r="A2233" s="40" t="s">
        <v>2799</v>
      </c>
      <c r="B2233" s="41" t="s">
        <v>33</v>
      </c>
      <c r="C2233" s="41" t="s">
        <v>29</v>
      </c>
      <c r="D2233" s="41" t="s">
        <v>2808</v>
      </c>
      <c r="E2233" s="42" t="s">
        <v>2809</v>
      </c>
      <c r="F2233" s="41" t="s">
        <v>132</v>
      </c>
      <c r="G2233" s="43">
        <v>18910</v>
      </c>
      <c r="H2233" s="41" t="s">
        <v>24</v>
      </c>
      <c r="I2233" s="41">
        <v>1</v>
      </c>
      <c r="J2233" s="41" t="s">
        <v>132</v>
      </c>
      <c r="K2233" s="41" t="s">
        <v>124</v>
      </c>
      <c r="L2233" s="41">
        <v>0</v>
      </c>
      <c r="M2233" s="44">
        <v>350000</v>
      </c>
      <c r="N2233" s="44">
        <v>0</v>
      </c>
      <c r="O2233" s="15">
        <f t="shared" si="176"/>
        <v>350000</v>
      </c>
      <c r="P2233" s="15">
        <f t="shared" si="171"/>
        <v>18.508725542041248</v>
      </c>
      <c r="Q2233" s="43">
        <v>25000</v>
      </c>
      <c r="R2233" s="41">
        <v>62</v>
      </c>
      <c r="S2233" s="41" t="s">
        <v>2810</v>
      </c>
      <c r="T2233" s="41">
        <f t="shared" si="172"/>
        <v>6</v>
      </c>
      <c r="U2233" s="41">
        <f t="shared" si="173"/>
        <v>2021</v>
      </c>
      <c r="V2233" s="41" t="str">
        <f t="shared" si="174"/>
        <v>REGIONES</v>
      </c>
    </row>
    <row r="2234" spans="1:22" x14ac:dyDescent="0.2">
      <c r="A2234" s="23" t="s">
        <v>2799</v>
      </c>
      <c r="B2234" s="22" t="s">
        <v>33</v>
      </c>
      <c r="C2234" s="22" t="s">
        <v>29</v>
      </c>
      <c r="D2234" s="22" t="s">
        <v>38</v>
      </c>
      <c r="E2234" s="24" t="s">
        <v>25</v>
      </c>
      <c r="F2234" s="22" t="s">
        <v>134</v>
      </c>
      <c r="G2234" s="25">
        <v>8254.3999999999978</v>
      </c>
      <c r="H2234" s="22" t="s">
        <v>43</v>
      </c>
      <c r="I2234" s="22">
        <v>0</v>
      </c>
      <c r="J2234" s="22" t="s">
        <v>134</v>
      </c>
      <c r="K2234" s="22" t="s">
        <v>23</v>
      </c>
      <c r="L2234" s="22">
        <v>2</v>
      </c>
      <c r="M2234" s="26">
        <v>90798</v>
      </c>
      <c r="N2234" s="26">
        <v>0</v>
      </c>
      <c r="O2234" s="15">
        <f t="shared" si="176"/>
        <v>90798</v>
      </c>
      <c r="P2234" s="15">
        <f t="shared" si="171"/>
        <v>10.999951540996321</v>
      </c>
      <c r="Q2234" s="25">
        <v>5000</v>
      </c>
      <c r="R2234" s="22">
        <v>100</v>
      </c>
      <c r="S2234" s="22" t="s">
        <v>2811</v>
      </c>
      <c r="T2234" s="22">
        <f t="shared" si="172"/>
        <v>6</v>
      </c>
      <c r="U2234" s="22">
        <f t="shared" si="173"/>
        <v>2021</v>
      </c>
      <c r="V2234" s="22" t="str">
        <f t="shared" si="174"/>
        <v>METROPOLITANA</v>
      </c>
    </row>
    <row r="2235" spans="1:22" x14ac:dyDescent="0.2">
      <c r="A2235" s="23" t="s">
        <v>2799</v>
      </c>
      <c r="B2235" s="22" t="s">
        <v>33</v>
      </c>
      <c r="C2235" s="22" t="s">
        <v>29</v>
      </c>
      <c r="D2235" s="22" t="s">
        <v>786</v>
      </c>
      <c r="E2235" s="24" t="s">
        <v>1891</v>
      </c>
      <c r="F2235" s="22" t="s">
        <v>132</v>
      </c>
      <c r="G2235" s="25">
        <v>19038.000000000011</v>
      </c>
      <c r="H2235" s="22" t="s">
        <v>788</v>
      </c>
      <c r="I2235" s="22">
        <v>1</v>
      </c>
      <c r="J2235" s="22" t="s">
        <v>132</v>
      </c>
      <c r="K2235" s="22" t="s">
        <v>124</v>
      </c>
      <c r="L2235" s="22">
        <v>0</v>
      </c>
      <c r="M2235" s="26">
        <v>350000</v>
      </c>
      <c r="N2235" s="26">
        <v>0</v>
      </c>
      <c r="O2235" s="15">
        <f t="shared" si="176"/>
        <v>350000</v>
      </c>
      <c r="P2235" s="15">
        <f t="shared" si="171"/>
        <v>18.384284063452032</v>
      </c>
      <c r="Q2235" s="25">
        <v>25000</v>
      </c>
      <c r="R2235" s="22">
        <v>76</v>
      </c>
      <c r="S2235" s="22" t="s">
        <v>2812</v>
      </c>
      <c r="T2235" s="22">
        <f t="shared" si="172"/>
        <v>6</v>
      </c>
      <c r="U2235" s="22">
        <f t="shared" si="173"/>
        <v>2021</v>
      </c>
      <c r="V2235" s="22" t="str">
        <f t="shared" si="174"/>
        <v>REGIONES</v>
      </c>
    </row>
    <row r="2236" spans="1:22" x14ac:dyDescent="0.2">
      <c r="A2236" s="23" t="s">
        <v>2799</v>
      </c>
      <c r="B2236" s="22" t="s">
        <v>33</v>
      </c>
      <c r="C2236" s="22" t="s">
        <v>29</v>
      </c>
      <c r="D2236" s="22" t="s">
        <v>45</v>
      </c>
      <c r="E2236" s="24" t="s">
        <v>52</v>
      </c>
      <c r="F2236" s="22" t="s">
        <v>134</v>
      </c>
      <c r="G2236" s="25">
        <v>3297.6000000000008</v>
      </c>
      <c r="H2236" s="22" t="s">
        <v>22</v>
      </c>
      <c r="I2236" s="22">
        <v>0</v>
      </c>
      <c r="J2236" s="22" t="s">
        <v>134</v>
      </c>
      <c r="K2236" s="22" t="s">
        <v>23</v>
      </c>
      <c r="L2236" s="22">
        <v>2</v>
      </c>
      <c r="M2236" s="26">
        <v>55000</v>
      </c>
      <c r="N2236" s="26">
        <v>0</v>
      </c>
      <c r="O2236" s="15">
        <f t="shared" si="176"/>
        <v>55000</v>
      </c>
      <c r="P2236" s="15">
        <f t="shared" si="171"/>
        <v>16.678796700630759</v>
      </c>
      <c r="Q2236" s="25">
        <v>5000</v>
      </c>
      <c r="R2236" s="22">
        <v>66</v>
      </c>
      <c r="S2236" s="22" t="s">
        <v>2813</v>
      </c>
      <c r="T2236" s="22">
        <f t="shared" si="172"/>
        <v>6</v>
      </c>
      <c r="U2236" s="22">
        <f t="shared" si="173"/>
        <v>2021</v>
      </c>
      <c r="V2236" s="22" t="str">
        <f t="shared" si="174"/>
        <v>METROPOLITANA</v>
      </c>
    </row>
    <row r="2237" spans="1:22" s="41" customFormat="1" x14ac:dyDescent="0.2">
      <c r="A2237" s="40" t="s">
        <v>2799</v>
      </c>
      <c r="B2237" s="41" t="s">
        <v>33</v>
      </c>
      <c r="C2237" s="41" t="s">
        <v>2698</v>
      </c>
      <c r="D2237" s="41" t="s">
        <v>38</v>
      </c>
      <c r="E2237" s="42" t="s">
        <v>42</v>
      </c>
      <c r="F2237" s="41" t="s">
        <v>34</v>
      </c>
      <c r="G2237" s="43">
        <v>7291</v>
      </c>
      <c r="H2237" s="41" t="s">
        <v>43</v>
      </c>
      <c r="I2237" s="41">
        <v>0</v>
      </c>
      <c r="J2237" s="41" t="s">
        <v>34</v>
      </c>
      <c r="K2237" s="41" t="s">
        <v>23</v>
      </c>
      <c r="L2237" s="41">
        <v>1</v>
      </c>
      <c r="M2237" s="44">
        <v>55000</v>
      </c>
      <c r="N2237" s="44">
        <v>0</v>
      </c>
      <c r="O2237" s="15">
        <f t="shared" si="176"/>
        <v>55000</v>
      </c>
      <c r="P2237" s="15">
        <f t="shared" si="171"/>
        <v>7.5435468385680977</v>
      </c>
      <c r="Q2237" s="43">
        <v>5000</v>
      </c>
      <c r="R2237" s="41">
        <v>56</v>
      </c>
      <c r="S2237" s="41" t="s">
        <v>2814</v>
      </c>
      <c r="T2237" s="41">
        <f t="shared" si="172"/>
        <v>6</v>
      </c>
      <c r="U2237" s="41">
        <f t="shared" si="173"/>
        <v>2021</v>
      </c>
      <c r="V2237" s="41" t="str">
        <f t="shared" si="174"/>
        <v>METROPOLITANA</v>
      </c>
    </row>
    <row r="2238" spans="1:22" x14ac:dyDescent="0.2">
      <c r="A2238" s="23" t="s">
        <v>2799</v>
      </c>
      <c r="B2238" s="22" t="s">
        <v>33</v>
      </c>
      <c r="C2238" s="22" t="s">
        <v>44</v>
      </c>
      <c r="D2238" s="22" t="s">
        <v>188</v>
      </c>
      <c r="E2238" s="24" t="s">
        <v>189</v>
      </c>
      <c r="F2238" s="22" t="s">
        <v>134</v>
      </c>
      <c r="G2238" s="25">
        <v>4100.8</v>
      </c>
      <c r="H2238" s="22" t="s">
        <v>190</v>
      </c>
      <c r="I2238" s="22">
        <v>0</v>
      </c>
      <c r="J2238" s="22" t="s">
        <v>134</v>
      </c>
      <c r="K2238" s="22" t="s">
        <v>23</v>
      </c>
      <c r="L2238" s="22">
        <v>2</v>
      </c>
      <c r="M2238" s="26">
        <v>55000</v>
      </c>
      <c r="N2238" s="26">
        <v>0</v>
      </c>
      <c r="O2238" s="15">
        <f t="shared" si="176"/>
        <v>55000</v>
      </c>
      <c r="P2238" s="15">
        <f t="shared" si="171"/>
        <v>13.412017167381974</v>
      </c>
      <c r="Q2238" s="25">
        <v>5000</v>
      </c>
      <c r="R2238" s="22">
        <v>82</v>
      </c>
      <c r="S2238" s="22" t="s">
        <v>2815</v>
      </c>
      <c r="T2238" s="22">
        <f t="shared" si="172"/>
        <v>6</v>
      </c>
      <c r="U2238" s="22">
        <f t="shared" si="173"/>
        <v>2021</v>
      </c>
      <c r="V2238" s="22" t="str">
        <f t="shared" si="174"/>
        <v>METROPOLITANA</v>
      </c>
    </row>
    <row r="2239" spans="1:22" x14ac:dyDescent="0.2">
      <c r="A2239" s="23" t="s">
        <v>2799</v>
      </c>
      <c r="B2239" s="22" t="s">
        <v>33</v>
      </c>
      <c r="C2239" s="22" t="s">
        <v>44</v>
      </c>
      <c r="D2239" s="22" t="s">
        <v>47</v>
      </c>
      <c r="E2239" s="24" t="s">
        <v>1576</v>
      </c>
      <c r="F2239" s="22" t="s">
        <v>48</v>
      </c>
      <c r="G2239" s="25">
        <v>3974.0000000000009</v>
      </c>
      <c r="H2239" s="22" t="s">
        <v>22</v>
      </c>
      <c r="I2239" s="22">
        <v>0</v>
      </c>
      <c r="J2239" s="22" t="s">
        <v>48</v>
      </c>
      <c r="K2239" s="22" t="s">
        <v>23</v>
      </c>
      <c r="L2239" s="22">
        <v>1</v>
      </c>
      <c r="M2239" s="26">
        <v>55000</v>
      </c>
      <c r="N2239" s="26">
        <v>0</v>
      </c>
      <c r="O2239" s="15">
        <f t="shared" si="176"/>
        <v>55000</v>
      </c>
      <c r="P2239" s="15">
        <f t="shared" si="171"/>
        <v>13.839959738298941</v>
      </c>
      <c r="Q2239" s="25">
        <v>5000</v>
      </c>
      <c r="R2239" s="22">
        <v>79</v>
      </c>
      <c r="S2239" s="22" t="s">
        <v>2816</v>
      </c>
      <c r="T2239" s="22">
        <f t="shared" si="172"/>
        <v>6</v>
      </c>
      <c r="U2239" s="22">
        <f t="shared" si="173"/>
        <v>2021</v>
      </c>
      <c r="V2239" s="22" t="str">
        <f t="shared" si="174"/>
        <v>METROPOLITANA</v>
      </c>
    </row>
    <row r="2240" spans="1:22" x14ac:dyDescent="0.2">
      <c r="A2240" s="23" t="s">
        <v>2799</v>
      </c>
      <c r="B2240" s="22" t="s">
        <v>33</v>
      </c>
      <c r="C2240" s="22" t="s">
        <v>44</v>
      </c>
      <c r="D2240" s="22" t="s">
        <v>35</v>
      </c>
      <c r="E2240" s="24" t="s">
        <v>52</v>
      </c>
      <c r="F2240" s="22" t="s">
        <v>137</v>
      </c>
      <c r="G2240" s="25">
        <v>4539.2</v>
      </c>
      <c r="H2240" s="22" t="s">
        <v>22</v>
      </c>
      <c r="I2240" s="22">
        <v>0</v>
      </c>
      <c r="J2240" s="22" t="s">
        <v>137</v>
      </c>
      <c r="K2240" s="22" t="s">
        <v>23</v>
      </c>
      <c r="L2240" s="22">
        <v>1</v>
      </c>
      <c r="M2240" s="26">
        <v>55000</v>
      </c>
      <c r="N2240" s="26">
        <v>0</v>
      </c>
      <c r="O2240" s="15">
        <f t="shared" si="176"/>
        <v>55000</v>
      </c>
      <c r="P2240" s="15">
        <f t="shared" si="171"/>
        <v>12.116672541416991</v>
      </c>
      <c r="Q2240" s="25">
        <v>5000</v>
      </c>
      <c r="R2240" s="22">
        <v>91</v>
      </c>
      <c r="S2240" s="22" t="s">
        <v>2817</v>
      </c>
      <c r="T2240" s="22">
        <f t="shared" si="172"/>
        <v>6</v>
      </c>
      <c r="U2240" s="22">
        <f t="shared" si="173"/>
        <v>2021</v>
      </c>
      <c r="V2240" s="22" t="str">
        <f t="shared" si="174"/>
        <v>METROPOLITANA</v>
      </c>
    </row>
    <row r="2241" spans="1:22" x14ac:dyDescent="0.2">
      <c r="A2241" s="23" t="s">
        <v>2818</v>
      </c>
      <c r="B2241" s="22" t="s">
        <v>18</v>
      </c>
      <c r="C2241" s="22" t="s">
        <v>163</v>
      </c>
      <c r="D2241" s="22" t="s">
        <v>164</v>
      </c>
      <c r="E2241" s="24" t="s">
        <v>28</v>
      </c>
      <c r="F2241" s="22" t="s">
        <v>165</v>
      </c>
      <c r="G2241" s="25">
        <v>22586.06</v>
      </c>
      <c r="H2241" s="22" t="s">
        <v>22</v>
      </c>
      <c r="I2241" s="22">
        <v>1</v>
      </c>
      <c r="J2241" s="22" t="s">
        <v>165</v>
      </c>
      <c r="K2241" s="22" t="s">
        <v>23</v>
      </c>
      <c r="L2241" s="22">
        <v>4</v>
      </c>
      <c r="M2241" s="26">
        <v>248447</v>
      </c>
      <c r="N2241" s="26">
        <v>0</v>
      </c>
      <c r="O2241" s="15">
        <f t="shared" si="176"/>
        <v>248447</v>
      </c>
      <c r="P2241" s="15">
        <f t="shared" si="171"/>
        <v>11.000015053533019</v>
      </c>
      <c r="Q2241" s="25">
        <v>5000</v>
      </c>
      <c r="R2241" s="22">
        <v>100</v>
      </c>
      <c r="S2241" s="22" t="s">
        <v>2819</v>
      </c>
      <c r="T2241" s="22">
        <f t="shared" si="172"/>
        <v>6</v>
      </c>
      <c r="U2241" s="22">
        <f t="shared" si="173"/>
        <v>2021</v>
      </c>
      <c r="V2241" s="22" t="str">
        <f t="shared" si="174"/>
        <v>METROPOLITANA</v>
      </c>
    </row>
    <row r="2242" spans="1:22" x14ac:dyDescent="0.2">
      <c r="A2242" s="23" t="s">
        <v>2818</v>
      </c>
      <c r="B2242" s="22" t="s">
        <v>33</v>
      </c>
      <c r="C2242" s="22" t="s">
        <v>57</v>
      </c>
      <c r="D2242" s="22" t="s">
        <v>63</v>
      </c>
      <c r="E2242" s="24" t="s">
        <v>64</v>
      </c>
      <c r="F2242" s="22" t="s">
        <v>26</v>
      </c>
      <c r="G2242" s="25">
        <v>4860</v>
      </c>
      <c r="H2242" s="22" t="s">
        <v>65</v>
      </c>
      <c r="I2242" s="22">
        <v>0</v>
      </c>
      <c r="J2242" s="22" t="s">
        <v>26</v>
      </c>
      <c r="K2242" s="22" t="s">
        <v>23</v>
      </c>
      <c r="L2242" s="22">
        <v>4</v>
      </c>
      <c r="M2242" s="26">
        <v>55000</v>
      </c>
      <c r="N2242" s="26">
        <v>0</v>
      </c>
      <c r="O2242" s="15">
        <f t="shared" si="176"/>
        <v>55000</v>
      </c>
      <c r="P2242" s="15">
        <f t="shared" ref="P2242:P2305" si="177">O2242/G2242</f>
        <v>11.316872427983538</v>
      </c>
      <c r="Q2242" s="25">
        <v>5000</v>
      </c>
      <c r="R2242" s="22">
        <v>97</v>
      </c>
      <c r="S2242" s="22" t="s">
        <v>2820</v>
      </c>
      <c r="T2242" s="22">
        <f t="shared" si="172"/>
        <v>6</v>
      </c>
      <c r="U2242" s="22">
        <f t="shared" si="173"/>
        <v>2021</v>
      </c>
      <c r="V2242" s="22" t="str">
        <f t="shared" si="174"/>
        <v>METROPOLITANA</v>
      </c>
    </row>
    <row r="2243" spans="1:22" x14ac:dyDescent="0.2">
      <c r="A2243" s="23" t="s">
        <v>2818</v>
      </c>
      <c r="B2243" s="22" t="s">
        <v>33</v>
      </c>
      <c r="C2243" s="22" t="s">
        <v>2605</v>
      </c>
      <c r="D2243" s="22" t="s">
        <v>38</v>
      </c>
      <c r="E2243" s="24" t="s">
        <v>42</v>
      </c>
      <c r="F2243" s="22" t="s">
        <v>129</v>
      </c>
      <c r="G2243" s="25">
        <v>9115.5199999999968</v>
      </c>
      <c r="H2243" s="22" t="s">
        <v>43</v>
      </c>
      <c r="I2243" s="22">
        <v>0</v>
      </c>
      <c r="J2243" s="22" t="s">
        <v>129</v>
      </c>
      <c r="K2243" s="22" t="s">
        <v>23</v>
      </c>
      <c r="L2243" s="22">
        <v>1</v>
      </c>
      <c r="M2243" s="26">
        <v>100271</v>
      </c>
      <c r="N2243" s="26">
        <v>0</v>
      </c>
      <c r="O2243" s="15">
        <f t="shared" si="176"/>
        <v>100271</v>
      </c>
      <c r="P2243" s="15">
        <f t="shared" si="177"/>
        <v>11.000030716843366</v>
      </c>
      <c r="Q2243" s="25">
        <v>5000</v>
      </c>
      <c r="R2243" s="22">
        <v>100</v>
      </c>
      <c r="S2243" s="22" t="s">
        <v>2821</v>
      </c>
      <c r="T2243" s="22">
        <f t="shared" si="172"/>
        <v>6</v>
      </c>
      <c r="U2243" s="22">
        <f t="shared" si="173"/>
        <v>2021</v>
      </c>
      <c r="V2243" s="22" t="str">
        <f t="shared" si="174"/>
        <v>METROPOLITANA</v>
      </c>
    </row>
    <row r="2244" spans="1:22" x14ac:dyDescent="0.2">
      <c r="A2244" s="23" t="s">
        <v>2818</v>
      </c>
      <c r="B2244" s="22" t="s">
        <v>33</v>
      </c>
      <c r="C2244" s="22" t="s">
        <v>223</v>
      </c>
      <c r="D2244" s="22" t="s">
        <v>37</v>
      </c>
      <c r="E2244" s="24" t="s">
        <v>40</v>
      </c>
      <c r="F2244" s="22" t="s">
        <v>39</v>
      </c>
      <c r="G2244" s="25">
        <v>8254.3999999999978</v>
      </c>
      <c r="H2244" s="22" t="s">
        <v>22</v>
      </c>
      <c r="I2244" s="22">
        <v>0</v>
      </c>
      <c r="J2244" s="22" t="s">
        <v>39</v>
      </c>
      <c r="K2244" s="22" t="s">
        <v>23</v>
      </c>
      <c r="L2244" s="22">
        <v>1</v>
      </c>
      <c r="M2244" s="26">
        <v>90798</v>
      </c>
      <c r="N2244" s="26">
        <v>0</v>
      </c>
      <c r="O2244" s="15">
        <f t="shared" si="176"/>
        <v>90798</v>
      </c>
      <c r="P2244" s="15">
        <f t="shared" si="177"/>
        <v>10.999951540996321</v>
      </c>
      <c r="Q2244" s="25">
        <v>5000</v>
      </c>
      <c r="R2244" s="22">
        <v>100</v>
      </c>
      <c r="S2244" s="22" t="s">
        <v>2822</v>
      </c>
      <c r="T2244" s="22">
        <f t="shared" si="172"/>
        <v>6</v>
      </c>
      <c r="U2244" s="22">
        <f t="shared" si="173"/>
        <v>2021</v>
      </c>
      <c r="V2244" s="22" t="str">
        <f t="shared" si="174"/>
        <v>METROPOLITANA</v>
      </c>
    </row>
    <row r="2245" spans="1:22" x14ac:dyDescent="0.2">
      <c r="A2245" s="23" t="s">
        <v>2818</v>
      </c>
      <c r="B2245" s="22" t="s">
        <v>33</v>
      </c>
      <c r="C2245" s="22" t="s">
        <v>223</v>
      </c>
      <c r="D2245" s="22" t="s">
        <v>30</v>
      </c>
      <c r="E2245" s="24" t="s">
        <v>31</v>
      </c>
      <c r="F2245" s="22" t="s">
        <v>39</v>
      </c>
      <c r="G2245" s="25">
        <v>8254.3999999999978</v>
      </c>
      <c r="H2245" s="22" t="s">
        <v>32</v>
      </c>
      <c r="I2245" s="22">
        <v>0</v>
      </c>
      <c r="J2245" s="22" t="s">
        <v>39</v>
      </c>
      <c r="K2245" s="22" t="s">
        <v>23</v>
      </c>
      <c r="L2245" s="22">
        <v>1</v>
      </c>
      <c r="M2245" s="26">
        <v>90798</v>
      </c>
      <c r="N2245" s="26">
        <v>0</v>
      </c>
      <c r="O2245" s="15">
        <f t="shared" si="176"/>
        <v>90798</v>
      </c>
      <c r="P2245" s="15">
        <f t="shared" si="177"/>
        <v>10.999951540996321</v>
      </c>
      <c r="Q2245" s="25">
        <v>5000</v>
      </c>
      <c r="R2245" s="22">
        <v>100</v>
      </c>
      <c r="S2245" s="22" t="s">
        <v>2823</v>
      </c>
      <c r="T2245" s="22">
        <f t="shared" si="172"/>
        <v>6</v>
      </c>
      <c r="U2245" s="22">
        <f t="shared" si="173"/>
        <v>2021</v>
      </c>
      <c r="V2245" s="22" t="str">
        <f t="shared" si="174"/>
        <v>METROPOLITANA</v>
      </c>
    </row>
    <row r="2246" spans="1:22" x14ac:dyDescent="0.2">
      <c r="A2246" s="23" t="s">
        <v>2818</v>
      </c>
      <c r="B2246" s="22" t="s">
        <v>33</v>
      </c>
      <c r="C2246" s="22" t="s">
        <v>29</v>
      </c>
      <c r="D2246" s="22" t="s">
        <v>191</v>
      </c>
      <c r="E2246" s="24" t="s">
        <v>192</v>
      </c>
      <c r="F2246" s="22" t="s">
        <v>132</v>
      </c>
      <c r="G2246" s="25">
        <v>22279</v>
      </c>
      <c r="H2246" s="22" t="s">
        <v>85</v>
      </c>
      <c r="I2246" s="22">
        <v>1</v>
      </c>
      <c r="J2246" s="22" t="s">
        <v>132</v>
      </c>
      <c r="K2246" s="22" t="s">
        <v>124</v>
      </c>
      <c r="L2246" s="22">
        <v>0</v>
      </c>
      <c r="M2246" s="26">
        <v>350000</v>
      </c>
      <c r="N2246" s="26">
        <v>0</v>
      </c>
      <c r="O2246" s="15">
        <f t="shared" si="176"/>
        <v>350000</v>
      </c>
      <c r="P2246" s="15">
        <f t="shared" si="177"/>
        <v>15.709861304367342</v>
      </c>
      <c r="Q2246" s="25">
        <v>25000</v>
      </c>
      <c r="R2246" s="22">
        <v>100</v>
      </c>
      <c r="S2246" s="22" t="s">
        <v>2824</v>
      </c>
      <c r="T2246" s="22">
        <f t="shared" si="172"/>
        <v>6</v>
      </c>
      <c r="U2246" s="22">
        <f t="shared" si="173"/>
        <v>2021</v>
      </c>
      <c r="V2246" s="22" t="str">
        <f t="shared" si="174"/>
        <v>REGIONES</v>
      </c>
    </row>
    <row r="2247" spans="1:22" x14ac:dyDescent="0.2">
      <c r="A2247" s="23" t="s">
        <v>2818</v>
      </c>
      <c r="B2247" s="22" t="s">
        <v>33</v>
      </c>
      <c r="C2247" s="22" t="s">
        <v>29</v>
      </c>
      <c r="D2247" s="22" t="s">
        <v>191</v>
      </c>
      <c r="E2247" s="24" t="s">
        <v>192</v>
      </c>
      <c r="F2247" s="22" t="s">
        <v>132</v>
      </c>
      <c r="G2247" s="25">
        <v>22279</v>
      </c>
      <c r="H2247" s="22" t="s">
        <v>85</v>
      </c>
      <c r="I2247" s="22">
        <v>1</v>
      </c>
      <c r="J2247" s="22" t="s">
        <v>132</v>
      </c>
      <c r="K2247" s="22" t="s">
        <v>124</v>
      </c>
      <c r="L2247" s="22">
        <v>0</v>
      </c>
      <c r="M2247" s="26">
        <v>350000</v>
      </c>
      <c r="N2247" s="26">
        <v>0</v>
      </c>
      <c r="O2247" s="15">
        <f t="shared" si="176"/>
        <v>350000</v>
      </c>
      <c r="P2247" s="15">
        <f t="shared" si="177"/>
        <v>15.709861304367342</v>
      </c>
      <c r="Q2247" s="25">
        <v>25000</v>
      </c>
      <c r="R2247" s="22">
        <v>100</v>
      </c>
      <c r="S2247" s="22" t="s">
        <v>2824</v>
      </c>
    </row>
    <row r="2248" spans="1:22" x14ac:dyDescent="0.2">
      <c r="A2248" s="23" t="s">
        <v>2818</v>
      </c>
      <c r="B2248" s="22" t="s">
        <v>33</v>
      </c>
      <c r="C2248" s="22" t="s">
        <v>29</v>
      </c>
      <c r="D2248" s="22" t="s">
        <v>2825</v>
      </c>
      <c r="E2248" s="24" t="s">
        <v>639</v>
      </c>
      <c r="F2248" s="22" t="s">
        <v>132</v>
      </c>
      <c r="G2248" s="25">
        <v>22297.8</v>
      </c>
      <c r="H2248" s="22" t="s">
        <v>24</v>
      </c>
      <c r="I2248" s="22">
        <v>1</v>
      </c>
      <c r="J2248" s="22" t="s">
        <v>132</v>
      </c>
      <c r="K2248" s="22" t="s">
        <v>124</v>
      </c>
      <c r="L2248" s="22">
        <v>0</v>
      </c>
      <c r="M2248" s="26">
        <v>350000</v>
      </c>
      <c r="N2248" s="26">
        <v>0</v>
      </c>
      <c r="O2248" s="15">
        <f t="shared" si="176"/>
        <v>350000</v>
      </c>
      <c r="P2248" s="15">
        <f t="shared" si="177"/>
        <v>15.696615809631444</v>
      </c>
      <c r="Q2248" s="25">
        <v>25000</v>
      </c>
      <c r="R2248" s="22">
        <v>89</v>
      </c>
      <c r="S2248" s="22" t="s">
        <v>2826</v>
      </c>
      <c r="T2248" s="22">
        <f t="shared" ref="T2248:T2311" si="178">MONTH(A2248)</f>
        <v>6</v>
      </c>
      <c r="U2248" s="22">
        <f t="shared" ref="U2248:U2311" si="179">YEAR(A2248)</f>
        <v>2021</v>
      </c>
      <c r="V2248" s="22" t="str">
        <f t="shared" ref="V2248:V2311" si="180">IF(K2248="METROPOLITANA DE SANTIAGO","METROPOLITANA","REGIONES")</f>
        <v>REGIONES</v>
      </c>
    </row>
    <row r="2249" spans="1:22" x14ac:dyDescent="0.2">
      <c r="A2249" s="23" t="s">
        <v>2818</v>
      </c>
      <c r="B2249" s="22" t="s">
        <v>33</v>
      </c>
      <c r="C2249" s="22" t="s">
        <v>44</v>
      </c>
      <c r="D2249" s="22" t="s">
        <v>47</v>
      </c>
      <c r="E2249" s="24" t="s">
        <v>1576</v>
      </c>
      <c r="F2249" s="22" t="s">
        <v>48</v>
      </c>
      <c r="G2249" s="25">
        <v>8628.9999999999982</v>
      </c>
      <c r="H2249" s="22" t="s">
        <v>22</v>
      </c>
      <c r="I2249" s="22">
        <v>0</v>
      </c>
      <c r="J2249" s="22" t="s">
        <v>48</v>
      </c>
      <c r="K2249" s="22" t="s">
        <v>23</v>
      </c>
      <c r="L2249" s="22">
        <v>1</v>
      </c>
      <c r="M2249" s="26">
        <v>94919</v>
      </c>
      <c r="N2249" s="26">
        <v>0</v>
      </c>
      <c r="O2249" s="15">
        <f t="shared" si="176"/>
        <v>94919</v>
      </c>
      <c r="P2249" s="15">
        <f t="shared" si="177"/>
        <v>11.000000000000002</v>
      </c>
      <c r="Q2249" s="25">
        <v>5000</v>
      </c>
      <c r="R2249" s="22">
        <v>100</v>
      </c>
      <c r="S2249" s="22" t="s">
        <v>2827</v>
      </c>
      <c r="T2249" s="22">
        <f t="shared" si="178"/>
        <v>6</v>
      </c>
      <c r="U2249" s="22">
        <f t="shared" si="179"/>
        <v>2021</v>
      </c>
      <c r="V2249" s="22" t="str">
        <f t="shared" si="180"/>
        <v>METROPOLITANA</v>
      </c>
    </row>
    <row r="2250" spans="1:22" s="12" customFormat="1" x14ac:dyDescent="0.2">
      <c r="A2250" s="11" t="s">
        <v>2828</v>
      </c>
      <c r="B2250" s="12" t="s">
        <v>18</v>
      </c>
      <c r="C2250" s="12" t="s">
        <v>163</v>
      </c>
      <c r="D2250" s="12" t="s">
        <v>164</v>
      </c>
      <c r="E2250" s="13" t="s">
        <v>28</v>
      </c>
      <c r="F2250" s="12" t="s">
        <v>165</v>
      </c>
      <c r="G2250" s="14">
        <v>7821.0000000000027</v>
      </c>
      <c r="H2250" s="12" t="s">
        <v>22</v>
      </c>
      <c r="I2250" s="12">
        <v>1</v>
      </c>
      <c r="J2250" s="12" t="s">
        <v>165</v>
      </c>
      <c r="K2250" s="12" t="s">
        <v>23</v>
      </c>
      <c r="L2250" s="12">
        <v>4</v>
      </c>
      <c r="M2250" s="15">
        <v>86031</v>
      </c>
      <c r="N2250" s="15">
        <v>0</v>
      </c>
      <c r="O2250" s="15">
        <f t="shared" si="176"/>
        <v>86031</v>
      </c>
      <c r="P2250" s="15">
        <f t="shared" si="177"/>
        <v>10.999999999999996</v>
      </c>
      <c r="Q2250" s="14">
        <v>5000</v>
      </c>
      <c r="R2250" s="12">
        <v>100</v>
      </c>
      <c r="S2250" s="12" t="s">
        <v>2829</v>
      </c>
      <c r="T2250" s="12">
        <f t="shared" si="178"/>
        <v>6</v>
      </c>
      <c r="U2250" s="12">
        <f t="shared" si="179"/>
        <v>2021</v>
      </c>
      <c r="V2250" s="12" t="str">
        <f t="shared" si="180"/>
        <v>METROPOLITANA</v>
      </c>
    </row>
    <row r="2251" spans="1:22" s="12" customFormat="1" x14ac:dyDescent="0.2">
      <c r="A2251" s="11" t="s">
        <v>2828</v>
      </c>
      <c r="B2251" s="12" t="s">
        <v>18</v>
      </c>
      <c r="C2251" s="12" t="s">
        <v>87</v>
      </c>
      <c r="D2251" s="12" t="s">
        <v>20</v>
      </c>
      <c r="E2251" s="13" t="s">
        <v>21</v>
      </c>
      <c r="F2251" s="12" t="s">
        <v>51</v>
      </c>
      <c r="G2251" s="14">
        <v>11942.13</v>
      </c>
      <c r="H2251" s="12" t="s">
        <v>22</v>
      </c>
      <c r="I2251" s="12">
        <v>0</v>
      </c>
      <c r="J2251" s="12" t="s">
        <v>51</v>
      </c>
      <c r="K2251" s="12" t="s">
        <v>23</v>
      </c>
      <c r="L2251" s="12">
        <v>4</v>
      </c>
      <c r="M2251" s="15">
        <v>131363</v>
      </c>
      <c r="N2251" s="15">
        <v>0</v>
      </c>
      <c r="O2251" s="15">
        <f t="shared" si="176"/>
        <v>131363</v>
      </c>
      <c r="P2251" s="15">
        <f t="shared" si="177"/>
        <v>10.999963993023021</v>
      </c>
      <c r="Q2251" s="14">
        <v>5000</v>
      </c>
      <c r="R2251" s="12">
        <v>100</v>
      </c>
      <c r="S2251" s="12" t="s">
        <v>2830</v>
      </c>
      <c r="T2251" s="12">
        <f t="shared" si="178"/>
        <v>6</v>
      </c>
      <c r="U2251" s="12">
        <f t="shared" si="179"/>
        <v>2021</v>
      </c>
      <c r="V2251" s="12" t="str">
        <f t="shared" si="180"/>
        <v>METROPOLITANA</v>
      </c>
    </row>
    <row r="2252" spans="1:22" s="12" customFormat="1" x14ac:dyDescent="0.2">
      <c r="A2252" s="11" t="s">
        <v>2828</v>
      </c>
      <c r="B2252" s="12" t="s">
        <v>33</v>
      </c>
      <c r="C2252" s="12" t="s">
        <v>50</v>
      </c>
      <c r="D2252" s="12" t="s">
        <v>63</v>
      </c>
      <c r="E2252" s="13" t="s">
        <v>64</v>
      </c>
      <c r="F2252" s="12" t="s">
        <v>26</v>
      </c>
      <c r="G2252" s="14">
        <v>8332.7999999999975</v>
      </c>
      <c r="H2252" s="12" t="s">
        <v>65</v>
      </c>
      <c r="I2252" s="12">
        <v>0</v>
      </c>
      <c r="J2252" s="12" t="s">
        <v>26</v>
      </c>
      <c r="K2252" s="12" t="s">
        <v>23</v>
      </c>
      <c r="L2252" s="12">
        <v>4</v>
      </c>
      <c r="M2252" s="15">
        <v>91661</v>
      </c>
      <c r="N2252" s="15">
        <v>0</v>
      </c>
      <c r="O2252" s="15">
        <f t="shared" si="176"/>
        <v>91661</v>
      </c>
      <c r="P2252" s="15">
        <f t="shared" si="177"/>
        <v>11.000024001536101</v>
      </c>
      <c r="Q2252" s="14">
        <v>5000</v>
      </c>
      <c r="R2252" s="12">
        <v>100</v>
      </c>
      <c r="S2252" s="12" t="s">
        <v>2831</v>
      </c>
      <c r="T2252" s="12">
        <f t="shared" si="178"/>
        <v>6</v>
      </c>
      <c r="U2252" s="12">
        <f t="shared" si="179"/>
        <v>2021</v>
      </c>
      <c r="V2252" s="12" t="str">
        <f t="shared" si="180"/>
        <v>METROPOLITANA</v>
      </c>
    </row>
    <row r="2253" spans="1:22" s="12" customFormat="1" x14ac:dyDescent="0.2">
      <c r="A2253" s="11" t="s">
        <v>2828</v>
      </c>
      <c r="B2253" s="12" t="s">
        <v>33</v>
      </c>
      <c r="C2253" s="12" t="s">
        <v>128</v>
      </c>
      <c r="D2253" s="12" t="s">
        <v>38</v>
      </c>
      <c r="E2253" s="13" t="s">
        <v>42</v>
      </c>
      <c r="F2253" s="12" t="s">
        <v>34</v>
      </c>
      <c r="G2253" s="14">
        <v>6801.5999999999995</v>
      </c>
      <c r="H2253" s="12" t="s">
        <v>43</v>
      </c>
      <c r="I2253" s="12">
        <v>0</v>
      </c>
      <c r="J2253" s="12" t="s">
        <v>34</v>
      </c>
      <c r="K2253" s="12" t="s">
        <v>23</v>
      </c>
      <c r="L2253" s="12">
        <v>1</v>
      </c>
      <c r="M2253" s="15">
        <v>74818</v>
      </c>
      <c r="N2253" s="15">
        <v>0</v>
      </c>
      <c r="O2253" s="15">
        <f t="shared" si="176"/>
        <v>74818</v>
      </c>
      <c r="P2253" s="15">
        <f t="shared" si="177"/>
        <v>11.000058809691838</v>
      </c>
      <c r="Q2253" s="14">
        <v>5000</v>
      </c>
      <c r="R2253" s="12">
        <v>100</v>
      </c>
      <c r="S2253" s="12" t="s">
        <v>2832</v>
      </c>
      <c r="T2253" s="12">
        <f t="shared" si="178"/>
        <v>6</v>
      </c>
      <c r="U2253" s="12">
        <f t="shared" si="179"/>
        <v>2021</v>
      </c>
      <c r="V2253" s="12" t="str">
        <f t="shared" si="180"/>
        <v>METROPOLITANA</v>
      </c>
    </row>
    <row r="2254" spans="1:22" s="12" customFormat="1" x14ac:dyDescent="0.2">
      <c r="A2254" s="11" t="s">
        <v>2828</v>
      </c>
      <c r="B2254" s="12" t="s">
        <v>33</v>
      </c>
      <c r="C2254" s="12" t="s">
        <v>128</v>
      </c>
      <c r="D2254" s="12" t="s">
        <v>41</v>
      </c>
      <c r="E2254" s="13" t="s">
        <v>25</v>
      </c>
      <c r="F2254" s="12" t="s">
        <v>34</v>
      </c>
      <c r="G2254" s="14">
        <v>8502</v>
      </c>
      <c r="H2254" s="12" t="s">
        <v>43</v>
      </c>
      <c r="I2254" s="12">
        <v>0</v>
      </c>
      <c r="J2254" s="12" t="s">
        <v>34</v>
      </c>
      <c r="K2254" s="12" t="s">
        <v>23</v>
      </c>
      <c r="L2254" s="12">
        <v>1</v>
      </c>
      <c r="M2254" s="15">
        <v>93522</v>
      </c>
      <c r="N2254" s="15">
        <v>0</v>
      </c>
      <c r="O2254" s="15">
        <f t="shared" si="176"/>
        <v>93522</v>
      </c>
      <c r="P2254" s="15">
        <f t="shared" si="177"/>
        <v>11</v>
      </c>
      <c r="Q2254" s="14">
        <v>5000</v>
      </c>
      <c r="R2254" s="12">
        <v>100</v>
      </c>
      <c r="S2254" s="12" t="s">
        <v>2833</v>
      </c>
      <c r="T2254" s="12">
        <f t="shared" si="178"/>
        <v>6</v>
      </c>
      <c r="U2254" s="12">
        <f t="shared" si="179"/>
        <v>2021</v>
      </c>
      <c r="V2254" s="12" t="str">
        <f t="shared" si="180"/>
        <v>METROPOLITANA</v>
      </c>
    </row>
    <row r="2255" spans="1:22" s="12" customFormat="1" x14ac:dyDescent="0.2">
      <c r="A2255" s="11" t="s">
        <v>2828</v>
      </c>
      <c r="B2255" s="12" t="s">
        <v>33</v>
      </c>
      <c r="C2255" s="12" t="s">
        <v>29</v>
      </c>
      <c r="D2255" s="12" t="s">
        <v>2834</v>
      </c>
      <c r="E2255" s="13" t="s">
        <v>2835</v>
      </c>
      <c r="F2255" s="12" t="s">
        <v>132</v>
      </c>
      <c r="G2255" s="14">
        <v>18756.849999999999</v>
      </c>
      <c r="H2255" s="12" t="s">
        <v>24</v>
      </c>
      <c r="I2255" s="12">
        <v>1</v>
      </c>
      <c r="J2255" s="12" t="s">
        <v>132</v>
      </c>
      <c r="K2255" s="12" t="s">
        <v>124</v>
      </c>
      <c r="L2255" s="12">
        <v>0</v>
      </c>
      <c r="M2255" s="15">
        <v>350000</v>
      </c>
      <c r="N2255" s="15">
        <v>0</v>
      </c>
      <c r="O2255" s="15">
        <f t="shared" si="176"/>
        <v>350000</v>
      </c>
      <c r="P2255" s="15">
        <f t="shared" si="177"/>
        <v>18.659849601612212</v>
      </c>
      <c r="Q2255" s="14">
        <v>25000</v>
      </c>
      <c r="R2255" s="12">
        <v>75</v>
      </c>
      <c r="S2255" s="12" t="s">
        <v>2836</v>
      </c>
      <c r="T2255" s="12">
        <f t="shared" si="178"/>
        <v>6</v>
      </c>
      <c r="U2255" s="12">
        <f t="shared" si="179"/>
        <v>2021</v>
      </c>
      <c r="V2255" s="12" t="str">
        <f t="shared" si="180"/>
        <v>REGIONES</v>
      </c>
    </row>
    <row r="2256" spans="1:22" s="12" customFormat="1" x14ac:dyDescent="0.2">
      <c r="A2256" s="11" t="s">
        <v>2828</v>
      </c>
      <c r="B2256" s="12" t="s">
        <v>33</v>
      </c>
      <c r="C2256" s="12" t="s">
        <v>29</v>
      </c>
      <c r="D2256" s="12" t="s">
        <v>37</v>
      </c>
      <c r="E2256" s="13" t="s">
        <v>40</v>
      </c>
      <c r="F2256" s="12" t="s">
        <v>134</v>
      </c>
      <c r="G2256" s="14">
        <v>8254.3999999999978</v>
      </c>
      <c r="H2256" s="12" t="s">
        <v>22</v>
      </c>
      <c r="I2256" s="12">
        <v>0</v>
      </c>
      <c r="J2256" s="12" t="s">
        <v>134</v>
      </c>
      <c r="K2256" s="12" t="s">
        <v>23</v>
      </c>
      <c r="L2256" s="12">
        <v>2</v>
      </c>
      <c r="M2256" s="15">
        <v>90798</v>
      </c>
      <c r="N2256" s="15">
        <v>0</v>
      </c>
      <c r="O2256" s="15">
        <f t="shared" si="176"/>
        <v>90798</v>
      </c>
      <c r="P2256" s="15">
        <f t="shared" si="177"/>
        <v>10.999951540996321</v>
      </c>
      <c r="Q2256" s="14">
        <v>5000</v>
      </c>
      <c r="R2256" s="12">
        <v>100</v>
      </c>
      <c r="S2256" s="12" t="s">
        <v>2837</v>
      </c>
      <c r="T2256" s="12">
        <f t="shared" si="178"/>
        <v>6</v>
      </c>
      <c r="U2256" s="12">
        <f t="shared" si="179"/>
        <v>2021</v>
      </c>
      <c r="V2256" s="12" t="str">
        <f t="shared" si="180"/>
        <v>METROPOLITANA</v>
      </c>
    </row>
    <row r="2257" spans="1:22" s="12" customFormat="1" x14ac:dyDescent="0.2">
      <c r="A2257" s="11" t="s">
        <v>2828</v>
      </c>
      <c r="B2257" s="12" t="s">
        <v>33</v>
      </c>
      <c r="C2257" s="12" t="s">
        <v>29</v>
      </c>
      <c r="D2257" s="12" t="s">
        <v>786</v>
      </c>
      <c r="E2257" s="13" t="s">
        <v>787</v>
      </c>
      <c r="F2257" s="12" t="s">
        <v>173</v>
      </c>
      <c r="G2257" s="14">
        <v>19510.400000000001</v>
      </c>
      <c r="H2257" s="12" t="s">
        <v>788</v>
      </c>
      <c r="I2257" s="12">
        <v>1</v>
      </c>
      <c r="J2257" s="12" t="s">
        <v>173</v>
      </c>
      <c r="K2257" s="12" t="s">
        <v>23</v>
      </c>
      <c r="L2257" s="12">
        <v>5</v>
      </c>
      <c r="M2257" s="15">
        <v>120000</v>
      </c>
      <c r="N2257" s="15">
        <v>0</v>
      </c>
      <c r="O2257" s="15">
        <f>G2257*11</f>
        <v>214614.40000000002</v>
      </c>
      <c r="P2257" s="15">
        <f t="shared" si="177"/>
        <v>11</v>
      </c>
      <c r="Q2257" s="14">
        <v>10000</v>
      </c>
      <c r="R2257" s="12">
        <v>100</v>
      </c>
      <c r="S2257" s="12" t="s">
        <v>2838</v>
      </c>
      <c r="T2257" s="12">
        <f t="shared" si="178"/>
        <v>6</v>
      </c>
      <c r="U2257" s="12">
        <f t="shared" si="179"/>
        <v>2021</v>
      </c>
      <c r="V2257" s="12" t="str">
        <f t="shared" si="180"/>
        <v>METROPOLITANA</v>
      </c>
    </row>
    <row r="2258" spans="1:22" s="51" customFormat="1" x14ac:dyDescent="0.2">
      <c r="A2258" s="50" t="s">
        <v>2828</v>
      </c>
      <c r="B2258" s="51" t="s">
        <v>33</v>
      </c>
      <c r="C2258" s="51" t="s">
        <v>44</v>
      </c>
      <c r="D2258" s="51" t="s">
        <v>1170</v>
      </c>
      <c r="E2258" s="52" t="s">
        <v>81</v>
      </c>
      <c r="F2258" s="51" t="s">
        <v>66</v>
      </c>
      <c r="G2258" s="53">
        <v>13302</v>
      </c>
      <c r="H2258" s="51" t="s">
        <v>24</v>
      </c>
      <c r="I2258" s="51">
        <v>1</v>
      </c>
      <c r="J2258" s="51" t="s">
        <v>66</v>
      </c>
      <c r="K2258" s="51" t="s">
        <v>75</v>
      </c>
      <c r="L2258" s="51">
        <v>0</v>
      </c>
      <c r="M2258" s="54">
        <v>380000</v>
      </c>
      <c r="N2258" s="54">
        <v>0</v>
      </c>
      <c r="O2258" s="54">
        <f t="shared" ref="O2258:O2270" si="181">SUM(M2258:N2258)</f>
        <v>380000</v>
      </c>
      <c r="P2258" s="54">
        <f t="shared" si="177"/>
        <v>28.567132761990678</v>
      </c>
      <c r="Q2258" s="53">
        <v>25000</v>
      </c>
      <c r="R2258" s="51">
        <v>53</v>
      </c>
      <c r="S2258" s="51" t="s">
        <v>2839</v>
      </c>
      <c r="T2258" s="51">
        <f t="shared" si="178"/>
        <v>6</v>
      </c>
      <c r="U2258" s="51">
        <f t="shared" si="179"/>
        <v>2021</v>
      </c>
      <c r="V2258" s="51" t="str">
        <f t="shared" si="180"/>
        <v>REGIONES</v>
      </c>
    </row>
    <row r="2259" spans="1:22" s="12" customFormat="1" x14ac:dyDescent="0.2">
      <c r="A2259" s="11" t="s">
        <v>2828</v>
      </c>
      <c r="B2259" s="12" t="s">
        <v>33</v>
      </c>
      <c r="C2259" s="12" t="s">
        <v>44</v>
      </c>
      <c r="D2259" s="12" t="s">
        <v>30</v>
      </c>
      <c r="E2259" s="13" t="s">
        <v>31</v>
      </c>
      <c r="F2259" s="12" t="s">
        <v>127</v>
      </c>
      <c r="G2259" s="14">
        <v>7883.8999999999978</v>
      </c>
      <c r="H2259" s="12" t="s">
        <v>32</v>
      </c>
      <c r="I2259" s="12">
        <v>0</v>
      </c>
      <c r="J2259" s="12" t="s">
        <v>127</v>
      </c>
      <c r="K2259" s="12" t="s">
        <v>78</v>
      </c>
      <c r="L2259" s="12">
        <v>0</v>
      </c>
      <c r="M2259" s="15">
        <v>180000</v>
      </c>
      <c r="N2259" s="15">
        <v>0</v>
      </c>
      <c r="O2259" s="15">
        <f t="shared" si="181"/>
        <v>180000</v>
      </c>
      <c r="P2259" s="15">
        <f t="shared" si="177"/>
        <v>22.831339819125059</v>
      </c>
      <c r="Q2259" s="14">
        <v>25000</v>
      </c>
      <c r="R2259" s="12">
        <v>32</v>
      </c>
      <c r="S2259" s="12" t="s">
        <v>2840</v>
      </c>
      <c r="T2259" s="12">
        <f t="shared" si="178"/>
        <v>6</v>
      </c>
      <c r="U2259" s="12">
        <f t="shared" si="179"/>
        <v>2021</v>
      </c>
      <c r="V2259" s="12" t="str">
        <f t="shared" si="180"/>
        <v>REGIONES</v>
      </c>
    </row>
    <row r="2260" spans="1:22" x14ac:dyDescent="0.2">
      <c r="A2260" s="23" t="s">
        <v>2841</v>
      </c>
      <c r="B2260" s="22" t="s">
        <v>18</v>
      </c>
      <c r="C2260" s="22" t="s">
        <v>163</v>
      </c>
      <c r="D2260" s="22" t="s">
        <v>164</v>
      </c>
      <c r="E2260" s="24" t="s">
        <v>28</v>
      </c>
      <c r="F2260" s="22" t="s">
        <v>165</v>
      </c>
      <c r="G2260" s="25">
        <v>15235.2</v>
      </c>
      <c r="H2260" s="22" t="s">
        <v>22</v>
      </c>
      <c r="I2260" s="22">
        <v>1</v>
      </c>
      <c r="J2260" s="22" t="s">
        <v>165</v>
      </c>
      <c r="K2260" s="22" t="s">
        <v>23</v>
      </c>
      <c r="L2260" s="22">
        <v>4</v>
      </c>
      <c r="M2260" s="26">
        <v>167587</v>
      </c>
      <c r="N2260" s="26">
        <v>0</v>
      </c>
      <c r="O2260" s="15">
        <f t="shared" si="181"/>
        <v>167587</v>
      </c>
      <c r="P2260" s="15">
        <f t="shared" si="177"/>
        <v>10.999986872505776</v>
      </c>
      <c r="Q2260" s="25">
        <v>5000</v>
      </c>
      <c r="R2260" s="22">
        <v>100</v>
      </c>
      <c r="S2260" s="22" t="s">
        <v>2842</v>
      </c>
      <c r="T2260" s="22">
        <f t="shared" si="178"/>
        <v>6</v>
      </c>
      <c r="U2260" s="22">
        <f t="shared" si="179"/>
        <v>2021</v>
      </c>
      <c r="V2260" s="22" t="str">
        <f t="shared" si="180"/>
        <v>METROPOLITANA</v>
      </c>
    </row>
    <row r="2261" spans="1:22" x14ac:dyDescent="0.2">
      <c r="A2261" s="23" t="s">
        <v>2841</v>
      </c>
      <c r="B2261" s="22" t="s">
        <v>18</v>
      </c>
      <c r="C2261" s="22" t="s">
        <v>2843</v>
      </c>
      <c r="D2261" s="22" t="s">
        <v>37</v>
      </c>
      <c r="E2261" s="24" t="s">
        <v>2844</v>
      </c>
      <c r="F2261" s="22" t="s">
        <v>129</v>
      </c>
      <c r="G2261" s="25">
        <v>8145</v>
      </c>
      <c r="H2261" s="22" t="s">
        <v>22</v>
      </c>
      <c r="I2261" s="22">
        <v>0</v>
      </c>
      <c r="J2261" s="22" t="s">
        <v>129</v>
      </c>
      <c r="K2261" s="22" t="s">
        <v>23</v>
      </c>
      <c r="L2261" s="22">
        <v>1</v>
      </c>
      <c r="M2261" s="26">
        <v>89595</v>
      </c>
      <c r="N2261" s="26">
        <v>0</v>
      </c>
      <c r="O2261" s="15">
        <f t="shared" si="181"/>
        <v>89595</v>
      </c>
      <c r="P2261" s="15">
        <f t="shared" si="177"/>
        <v>11</v>
      </c>
      <c r="Q2261" s="25">
        <v>5000</v>
      </c>
      <c r="R2261" s="22">
        <v>100</v>
      </c>
      <c r="S2261" s="22" t="s">
        <v>2845</v>
      </c>
      <c r="T2261" s="22">
        <f t="shared" si="178"/>
        <v>6</v>
      </c>
      <c r="U2261" s="22">
        <f t="shared" si="179"/>
        <v>2021</v>
      </c>
      <c r="V2261" s="22" t="str">
        <f t="shared" si="180"/>
        <v>METROPOLITANA</v>
      </c>
    </row>
    <row r="2262" spans="1:22" x14ac:dyDescent="0.2">
      <c r="A2262" s="23" t="s">
        <v>2841</v>
      </c>
      <c r="B2262" s="22" t="s">
        <v>33</v>
      </c>
      <c r="C2262" s="22" t="s">
        <v>60</v>
      </c>
      <c r="D2262" s="22" t="s">
        <v>20</v>
      </c>
      <c r="E2262" s="24" t="s">
        <v>21</v>
      </c>
      <c r="F2262" s="22" t="s">
        <v>51</v>
      </c>
      <c r="G2262" s="25">
        <v>8502</v>
      </c>
      <c r="H2262" s="22" t="s">
        <v>22</v>
      </c>
      <c r="I2262" s="22">
        <v>0</v>
      </c>
      <c r="J2262" s="22" t="s">
        <v>51</v>
      </c>
      <c r="K2262" s="22" t="s">
        <v>23</v>
      </c>
      <c r="L2262" s="22">
        <v>4</v>
      </c>
      <c r="M2262" s="26">
        <v>93522</v>
      </c>
      <c r="N2262" s="26">
        <v>0</v>
      </c>
      <c r="O2262" s="15">
        <f t="shared" si="181"/>
        <v>93522</v>
      </c>
      <c r="P2262" s="15">
        <f t="shared" si="177"/>
        <v>11</v>
      </c>
      <c r="Q2262" s="25">
        <v>5000</v>
      </c>
      <c r="R2262" s="22">
        <v>100</v>
      </c>
      <c r="S2262" s="22" t="s">
        <v>2846</v>
      </c>
      <c r="T2262" s="22">
        <f t="shared" si="178"/>
        <v>6</v>
      </c>
      <c r="U2262" s="22">
        <f t="shared" si="179"/>
        <v>2021</v>
      </c>
      <c r="V2262" s="22" t="str">
        <f t="shared" si="180"/>
        <v>METROPOLITANA</v>
      </c>
    </row>
    <row r="2263" spans="1:22" x14ac:dyDescent="0.2">
      <c r="A2263" s="23" t="s">
        <v>2841</v>
      </c>
      <c r="B2263" s="22" t="s">
        <v>33</v>
      </c>
      <c r="C2263" s="22" t="s">
        <v>128</v>
      </c>
      <c r="D2263" s="22" t="s">
        <v>164</v>
      </c>
      <c r="E2263" s="24" t="s">
        <v>28</v>
      </c>
      <c r="F2263" s="22" t="s">
        <v>129</v>
      </c>
      <c r="G2263" s="25">
        <v>8244.0000000000036</v>
      </c>
      <c r="H2263" s="22" t="s">
        <v>22</v>
      </c>
      <c r="I2263" s="22">
        <v>1</v>
      </c>
      <c r="J2263" s="22" t="s">
        <v>129</v>
      </c>
      <c r="K2263" s="22" t="s">
        <v>23</v>
      </c>
      <c r="L2263" s="22">
        <v>1</v>
      </c>
      <c r="M2263" s="26">
        <v>90684</v>
      </c>
      <c r="N2263" s="26">
        <v>0</v>
      </c>
      <c r="O2263" s="15">
        <f t="shared" si="181"/>
        <v>90684</v>
      </c>
      <c r="P2263" s="15">
        <f t="shared" si="177"/>
        <v>10.999999999999995</v>
      </c>
      <c r="Q2263" s="25">
        <v>5000</v>
      </c>
      <c r="R2263" s="22">
        <v>100</v>
      </c>
      <c r="S2263" s="22" t="s">
        <v>2847</v>
      </c>
      <c r="T2263" s="22">
        <f t="shared" si="178"/>
        <v>6</v>
      </c>
      <c r="U2263" s="22">
        <f t="shared" si="179"/>
        <v>2021</v>
      </c>
      <c r="V2263" s="22" t="str">
        <f t="shared" si="180"/>
        <v>METROPOLITANA</v>
      </c>
    </row>
    <row r="2264" spans="1:22" x14ac:dyDescent="0.2">
      <c r="A2264" s="23" t="s">
        <v>2841</v>
      </c>
      <c r="B2264" s="22" t="s">
        <v>33</v>
      </c>
      <c r="C2264" s="22" t="s">
        <v>29</v>
      </c>
      <c r="D2264" s="22" t="s">
        <v>38</v>
      </c>
      <c r="E2264" s="24" t="s">
        <v>42</v>
      </c>
      <c r="F2264" s="22" t="s">
        <v>134</v>
      </c>
      <c r="G2264" s="25">
        <v>8254.3999999999978</v>
      </c>
      <c r="H2264" s="22" t="s">
        <v>43</v>
      </c>
      <c r="I2264" s="22">
        <v>0</v>
      </c>
      <c r="J2264" s="22" t="s">
        <v>134</v>
      </c>
      <c r="K2264" s="22" t="s">
        <v>23</v>
      </c>
      <c r="L2264" s="22">
        <v>2</v>
      </c>
      <c r="M2264" s="26">
        <v>90798</v>
      </c>
      <c r="N2264" s="26">
        <v>0</v>
      </c>
      <c r="O2264" s="15">
        <f t="shared" si="181"/>
        <v>90798</v>
      </c>
      <c r="P2264" s="15">
        <f t="shared" si="177"/>
        <v>10.999951540996321</v>
      </c>
      <c r="Q2264" s="25">
        <v>5000</v>
      </c>
      <c r="R2264" s="22">
        <v>100</v>
      </c>
      <c r="S2264" s="22" t="s">
        <v>2848</v>
      </c>
      <c r="T2264" s="22">
        <f t="shared" si="178"/>
        <v>6</v>
      </c>
      <c r="U2264" s="22">
        <f t="shared" si="179"/>
        <v>2021</v>
      </c>
      <c r="V2264" s="22" t="str">
        <f t="shared" si="180"/>
        <v>METROPOLITANA</v>
      </c>
    </row>
    <row r="2265" spans="1:22" x14ac:dyDescent="0.2">
      <c r="A2265" s="23" t="s">
        <v>2841</v>
      </c>
      <c r="B2265" s="22" t="s">
        <v>33</v>
      </c>
      <c r="C2265" s="22" t="s">
        <v>29</v>
      </c>
      <c r="D2265" s="22" t="s">
        <v>41</v>
      </c>
      <c r="E2265" s="24" t="s">
        <v>25</v>
      </c>
      <c r="F2265" s="22" t="s">
        <v>134</v>
      </c>
      <c r="G2265" s="25">
        <v>8254.3999999999978</v>
      </c>
      <c r="H2265" s="22" t="s">
        <v>43</v>
      </c>
      <c r="I2265" s="22">
        <v>0</v>
      </c>
      <c r="J2265" s="22" t="s">
        <v>134</v>
      </c>
      <c r="K2265" s="22" t="s">
        <v>23</v>
      </c>
      <c r="L2265" s="22">
        <v>2</v>
      </c>
      <c r="M2265" s="26">
        <v>90798</v>
      </c>
      <c r="N2265" s="26">
        <v>0</v>
      </c>
      <c r="O2265" s="15">
        <f t="shared" si="181"/>
        <v>90798</v>
      </c>
      <c r="P2265" s="15">
        <f t="shared" si="177"/>
        <v>10.999951540996321</v>
      </c>
      <c r="Q2265" s="25">
        <v>5000</v>
      </c>
      <c r="R2265" s="22">
        <v>100</v>
      </c>
      <c r="S2265" s="22" t="s">
        <v>2849</v>
      </c>
      <c r="T2265" s="22">
        <f t="shared" si="178"/>
        <v>6</v>
      </c>
      <c r="U2265" s="22">
        <f t="shared" si="179"/>
        <v>2021</v>
      </c>
      <c r="V2265" s="22" t="str">
        <f t="shared" si="180"/>
        <v>METROPOLITANA</v>
      </c>
    </row>
    <row r="2266" spans="1:22" x14ac:dyDescent="0.2">
      <c r="A2266" s="23" t="s">
        <v>2841</v>
      </c>
      <c r="B2266" s="22" t="s">
        <v>33</v>
      </c>
      <c r="C2266" s="22" t="s">
        <v>44</v>
      </c>
      <c r="D2266" s="22" t="s">
        <v>35</v>
      </c>
      <c r="E2266" s="24" t="s">
        <v>52</v>
      </c>
      <c r="F2266" s="22" t="s">
        <v>182</v>
      </c>
      <c r="G2266" s="25">
        <v>3688.6</v>
      </c>
      <c r="H2266" s="22" t="s">
        <v>22</v>
      </c>
      <c r="I2266" s="22">
        <v>0</v>
      </c>
      <c r="J2266" s="22" t="s">
        <v>182</v>
      </c>
      <c r="K2266" s="22" t="s">
        <v>23</v>
      </c>
      <c r="L2266" s="22">
        <v>4</v>
      </c>
      <c r="M2266" s="26">
        <v>55000</v>
      </c>
      <c r="N2266" s="26">
        <v>0</v>
      </c>
      <c r="O2266" s="15">
        <f t="shared" si="181"/>
        <v>55000</v>
      </c>
      <c r="P2266" s="15">
        <f t="shared" si="177"/>
        <v>14.910806267960744</v>
      </c>
      <c r="Q2266" s="25">
        <v>5000</v>
      </c>
      <c r="R2266" s="22">
        <v>74</v>
      </c>
      <c r="S2266" s="22" t="s">
        <v>2850</v>
      </c>
      <c r="T2266" s="22">
        <f t="shared" si="178"/>
        <v>6</v>
      </c>
      <c r="U2266" s="22">
        <f t="shared" si="179"/>
        <v>2021</v>
      </c>
      <c r="V2266" s="22" t="str">
        <f t="shared" si="180"/>
        <v>METROPOLITANA</v>
      </c>
    </row>
    <row r="2267" spans="1:22" x14ac:dyDescent="0.2">
      <c r="A2267" s="11" t="s">
        <v>2851</v>
      </c>
      <c r="B2267" s="12" t="s">
        <v>18</v>
      </c>
      <c r="C2267" s="12" t="s">
        <v>163</v>
      </c>
      <c r="D2267" s="12" t="s">
        <v>2852</v>
      </c>
      <c r="E2267" s="13" t="s">
        <v>28</v>
      </c>
      <c r="F2267" s="12" t="s">
        <v>165</v>
      </c>
      <c r="G2267" s="14">
        <v>15235.2</v>
      </c>
      <c r="H2267" s="12" t="s">
        <v>24</v>
      </c>
      <c r="I2267" s="12">
        <v>1</v>
      </c>
      <c r="J2267" s="12" t="s">
        <v>165</v>
      </c>
      <c r="K2267" s="12" t="s">
        <v>23</v>
      </c>
      <c r="L2267" s="12">
        <v>4</v>
      </c>
      <c r="M2267" s="15">
        <v>167587</v>
      </c>
      <c r="N2267" s="15">
        <v>0</v>
      </c>
      <c r="O2267" s="15">
        <f t="shared" si="181"/>
        <v>167587</v>
      </c>
      <c r="P2267" s="15">
        <f t="shared" si="177"/>
        <v>10.999986872505776</v>
      </c>
      <c r="Q2267" s="14">
        <v>5000</v>
      </c>
      <c r="R2267" s="12">
        <v>100</v>
      </c>
      <c r="S2267" s="12" t="s">
        <v>2853</v>
      </c>
      <c r="T2267" s="22">
        <f t="shared" si="178"/>
        <v>6</v>
      </c>
      <c r="U2267" s="22">
        <f t="shared" si="179"/>
        <v>2021</v>
      </c>
      <c r="V2267" s="22" t="str">
        <f t="shared" si="180"/>
        <v>METROPOLITANA</v>
      </c>
    </row>
    <row r="2268" spans="1:22" x14ac:dyDescent="0.2">
      <c r="A2268" s="11" t="s">
        <v>2851</v>
      </c>
      <c r="B2268" s="12" t="s">
        <v>18</v>
      </c>
      <c r="C2268" s="12" t="s">
        <v>2843</v>
      </c>
      <c r="D2268" s="12" t="s">
        <v>30</v>
      </c>
      <c r="E2268" s="13" t="s">
        <v>31</v>
      </c>
      <c r="F2268" s="12" t="s">
        <v>129</v>
      </c>
      <c r="G2268" s="14">
        <v>8145</v>
      </c>
      <c r="H2268" s="12" t="s">
        <v>32</v>
      </c>
      <c r="I2268" s="12">
        <v>0</v>
      </c>
      <c r="J2268" s="12" t="s">
        <v>129</v>
      </c>
      <c r="K2268" s="12" t="s">
        <v>23</v>
      </c>
      <c r="L2268" s="12">
        <v>1</v>
      </c>
      <c r="M2268" s="15">
        <v>89595</v>
      </c>
      <c r="N2268" s="15">
        <v>0</v>
      </c>
      <c r="O2268" s="15">
        <f t="shared" si="181"/>
        <v>89595</v>
      </c>
      <c r="P2268" s="15">
        <f t="shared" si="177"/>
        <v>11</v>
      </c>
      <c r="Q2268" s="14">
        <v>5000</v>
      </c>
      <c r="R2268" s="12">
        <v>100</v>
      </c>
      <c r="S2268" s="12" t="s">
        <v>2854</v>
      </c>
      <c r="T2268" s="22">
        <f t="shared" si="178"/>
        <v>6</v>
      </c>
      <c r="U2268" s="22">
        <f t="shared" si="179"/>
        <v>2021</v>
      </c>
      <c r="V2268" s="22" t="str">
        <f t="shared" si="180"/>
        <v>METROPOLITANA</v>
      </c>
    </row>
    <row r="2269" spans="1:22" x14ac:dyDescent="0.2">
      <c r="A2269" s="11" t="s">
        <v>2851</v>
      </c>
      <c r="B2269" s="12" t="s">
        <v>33</v>
      </c>
      <c r="C2269" s="12" t="s">
        <v>50</v>
      </c>
      <c r="D2269" s="12" t="s">
        <v>41</v>
      </c>
      <c r="E2269" s="13" t="s">
        <v>25</v>
      </c>
      <c r="F2269" s="12" t="s">
        <v>26</v>
      </c>
      <c r="G2269" s="14">
        <v>18996.39</v>
      </c>
      <c r="H2269" s="12" t="s">
        <v>43</v>
      </c>
      <c r="I2269" s="12">
        <v>0</v>
      </c>
      <c r="J2269" s="12" t="s">
        <v>26</v>
      </c>
      <c r="K2269" s="12" t="s">
        <v>23</v>
      </c>
      <c r="L2269" s="12">
        <v>4</v>
      </c>
      <c r="M2269" s="15">
        <v>208960</v>
      </c>
      <c r="N2269" s="15">
        <v>0</v>
      </c>
      <c r="O2269" s="15">
        <f t="shared" si="181"/>
        <v>208960</v>
      </c>
      <c r="P2269" s="15">
        <f t="shared" si="177"/>
        <v>10.999984733941554</v>
      </c>
      <c r="Q2269" s="14">
        <v>5000</v>
      </c>
      <c r="R2269" s="12">
        <v>100</v>
      </c>
      <c r="S2269" s="12" t="s">
        <v>2855</v>
      </c>
      <c r="T2269" s="22">
        <f t="shared" si="178"/>
        <v>6</v>
      </c>
      <c r="U2269" s="22">
        <f t="shared" si="179"/>
        <v>2021</v>
      </c>
      <c r="V2269" s="22" t="str">
        <f t="shared" si="180"/>
        <v>METROPOLITANA</v>
      </c>
    </row>
    <row r="2270" spans="1:22" x14ac:dyDescent="0.2">
      <c r="A2270" s="11" t="s">
        <v>2851</v>
      </c>
      <c r="B2270" s="12" t="s">
        <v>33</v>
      </c>
      <c r="C2270" s="12" t="s">
        <v>57</v>
      </c>
      <c r="D2270" s="12" t="s">
        <v>35</v>
      </c>
      <c r="E2270" s="13" t="s">
        <v>52</v>
      </c>
      <c r="F2270" s="12" t="s">
        <v>26</v>
      </c>
      <c r="G2270" s="14">
        <v>1944</v>
      </c>
      <c r="H2270" s="12" t="s">
        <v>22</v>
      </c>
      <c r="I2270" s="12">
        <v>0</v>
      </c>
      <c r="J2270" s="12" t="s">
        <v>26</v>
      </c>
      <c r="K2270" s="12" t="s">
        <v>23</v>
      </c>
      <c r="L2270" s="12">
        <v>4</v>
      </c>
      <c r="M2270" s="15">
        <v>55000</v>
      </c>
      <c r="N2270" s="15">
        <v>0</v>
      </c>
      <c r="O2270" s="55">
        <f t="shared" si="181"/>
        <v>55000</v>
      </c>
      <c r="P2270" s="15">
        <f t="shared" si="177"/>
        <v>28.292181069958847</v>
      </c>
      <c r="Q2270" s="14">
        <v>5000</v>
      </c>
      <c r="R2270" s="12">
        <v>39</v>
      </c>
      <c r="S2270" s="12" t="s">
        <v>2856</v>
      </c>
      <c r="T2270" s="22">
        <f t="shared" si="178"/>
        <v>6</v>
      </c>
      <c r="U2270" s="22">
        <f t="shared" si="179"/>
        <v>2021</v>
      </c>
      <c r="V2270" s="22" t="str">
        <f t="shared" si="180"/>
        <v>METROPOLITANA</v>
      </c>
    </row>
    <row r="2271" spans="1:22" x14ac:dyDescent="0.2">
      <c r="A2271" s="11" t="s">
        <v>2851</v>
      </c>
      <c r="B2271" s="12" t="s">
        <v>33</v>
      </c>
      <c r="C2271" s="12" t="s">
        <v>2507</v>
      </c>
      <c r="D2271" s="12" t="s">
        <v>37</v>
      </c>
      <c r="E2271" s="13" t="s">
        <v>40</v>
      </c>
      <c r="F2271" s="12" t="s">
        <v>2508</v>
      </c>
      <c r="G2271" s="14">
        <v>13168.4</v>
      </c>
      <c r="H2271" s="12" t="s">
        <v>22</v>
      </c>
      <c r="I2271" s="12">
        <v>0</v>
      </c>
      <c r="J2271" s="12" t="s">
        <v>2508</v>
      </c>
      <c r="K2271" s="12" t="s">
        <v>171</v>
      </c>
      <c r="L2271" s="12">
        <v>0</v>
      </c>
      <c r="M2271" s="15"/>
      <c r="N2271" s="15">
        <v>0</v>
      </c>
      <c r="O2271" s="15">
        <f>G2271*11</f>
        <v>144852.4</v>
      </c>
      <c r="P2271" s="15">
        <f t="shared" si="177"/>
        <v>11</v>
      </c>
      <c r="Q2271" s="14">
        <v>25000</v>
      </c>
      <c r="R2271" s="12">
        <v>53</v>
      </c>
      <c r="S2271" s="12" t="s">
        <v>2857</v>
      </c>
      <c r="T2271" s="22">
        <f t="shared" si="178"/>
        <v>6</v>
      </c>
      <c r="U2271" s="22">
        <f t="shared" si="179"/>
        <v>2021</v>
      </c>
      <c r="V2271" s="22" t="str">
        <f t="shared" si="180"/>
        <v>REGIONES</v>
      </c>
    </row>
    <row r="2272" spans="1:22" x14ac:dyDescent="0.2">
      <c r="A2272" s="11" t="s">
        <v>2851</v>
      </c>
      <c r="B2272" s="12" t="s">
        <v>33</v>
      </c>
      <c r="C2272" s="12" t="s">
        <v>2507</v>
      </c>
      <c r="D2272" s="12" t="s">
        <v>63</v>
      </c>
      <c r="E2272" s="13" t="s">
        <v>64</v>
      </c>
      <c r="F2272" s="12" t="s">
        <v>2508</v>
      </c>
      <c r="G2272" s="14">
        <v>10119.52</v>
      </c>
      <c r="H2272" s="12" t="s">
        <v>65</v>
      </c>
      <c r="I2272" s="12">
        <v>0</v>
      </c>
      <c r="J2272" s="12" t="s">
        <v>2508</v>
      </c>
      <c r="K2272" s="12" t="s">
        <v>171</v>
      </c>
      <c r="L2272" s="12">
        <v>0</v>
      </c>
      <c r="M2272" s="15"/>
      <c r="N2272" s="15">
        <v>0</v>
      </c>
      <c r="O2272" s="15">
        <f>G2272*11</f>
        <v>111314.72</v>
      </c>
      <c r="P2272" s="15">
        <f t="shared" si="177"/>
        <v>11</v>
      </c>
      <c r="Q2272" s="14">
        <v>25000</v>
      </c>
      <c r="R2272" s="12">
        <v>40</v>
      </c>
      <c r="S2272" s="12" t="s">
        <v>2858</v>
      </c>
      <c r="T2272" s="22">
        <f t="shared" si="178"/>
        <v>6</v>
      </c>
      <c r="U2272" s="22">
        <f t="shared" si="179"/>
        <v>2021</v>
      </c>
      <c r="V2272" s="22" t="str">
        <f t="shared" si="180"/>
        <v>REGIONES</v>
      </c>
    </row>
    <row r="2273" spans="1:22" x14ac:dyDescent="0.2">
      <c r="A2273" s="11" t="s">
        <v>2851</v>
      </c>
      <c r="B2273" s="12" t="s">
        <v>33</v>
      </c>
      <c r="C2273" s="12" t="s">
        <v>324</v>
      </c>
      <c r="D2273" s="12" t="s">
        <v>56</v>
      </c>
      <c r="E2273" s="13" t="s">
        <v>2113</v>
      </c>
      <c r="F2273" s="12" t="s">
        <v>1471</v>
      </c>
      <c r="G2273" s="14">
        <v>5378.4</v>
      </c>
      <c r="H2273" s="12" t="s">
        <v>22</v>
      </c>
      <c r="I2273" s="12">
        <v>0</v>
      </c>
      <c r="J2273" s="12" t="s">
        <v>1471</v>
      </c>
      <c r="K2273" s="12" t="s">
        <v>78</v>
      </c>
      <c r="L2273" s="12">
        <v>0</v>
      </c>
      <c r="M2273" s="15"/>
      <c r="N2273" s="15">
        <v>0</v>
      </c>
      <c r="O2273" s="15">
        <f>G2273*11</f>
        <v>59162.399999999994</v>
      </c>
      <c r="P2273" s="15">
        <f t="shared" si="177"/>
        <v>11</v>
      </c>
      <c r="Q2273" s="14">
        <v>25000</v>
      </c>
      <c r="R2273" s="12">
        <v>22</v>
      </c>
      <c r="S2273" s="12" t="s">
        <v>2859</v>
      </c>
      <c r="T2273" s="22">
        <f t="shared" si="178"/>
        <v>6</v>
      </c>
      <c r="U2273" s="22">
        <f t="shared" si="179"/>
        <v>2021</v>
      </c>
      <c r="V2273" s="22" t="str">
        <f t="shared" si="180"/>
        <v>REGIONES</v>
      </c>
    </row>
    <row r="2274" spans="1:22" x14ac:dyDescent="0.2">
      <c r="A2274" s="11" t="s">
        <v>2851</v>
      </c>
      <c r="B2274" s="12" t="s">
        <v>33</v>
      </c>
      <c r="C2274" s="12" t="s">
        <v>128</v>
      </c>
      <c r="D2274" s="12" t="s">
        <v>38</v>
      </c>
      <c r="E2274" s="13" t="s">
        <v>42</v>
      </c>
      <c r="F2274" s="12" t="s">
        <v>34</v>
      </c>
      <c r="G2274" s="14">
        <v>6626.8</v>
      </c>
      <c r="H2274" s="12" t="s">
        <v>43</v>
      </c>
      <c r="I2274" s="12">
        <v>0</v>
      </c>
      <c r="J2274" s="12" t="s">
        <v>34</v>
      </c>
      <c r="K2274" s="12" t="s">
        <v>23</v>
      </c>
      <c r="L2274" s="12">
        <v>1</v>
      </c>
      <c r="M2274" s="15">
        <v>72895</v>
      </c>
      <c r="N2274" s="15">
        <v>0</v>
      </c>
      <c r="O2274" s="15">
        <f>SUM(M2274:N2274)</f>
        <v>72895</v>
      </c>
      <c r="P2274" s="15">
        <f t="shared" si="177"/>
        <v>11.000030180479266</v>
      </c>
      <c r="Q2274" s="14">
        <v>5000</v>
      </c>
      <c r="R2274" s="12">
        <v>100</v>
      </c>
      <c r="S2274" s="12" t="s">
        <v>2860</v>
      </c>
      <c r="T2274" s="22">
        <f t="shared" si="178"/>
        <v>6</v>
      </c>
      <c r="U2274" s="22">
        <f t="shared" si="179"/>
        <v>2021</v>
      </c>
      <c r="V2274" s="22" t="str">
        <f t="shared" si="180"/>
        <v>METROPOLITANA</v>
      </c>
    </row>
    <row r="2275" spans="1:22" x14ac:dyDescent="0.2">
      <c r="A2275" s="11" t="s">
        <v>2851</v>
      </c>
      <c r="B2275" s="12" t="s">
        <v>33</v>
      </c>
      <c r="C2275" s="12" t="s">
        <v>128</v>
      </c>
      <c r="D2275" s="12" t="s">
        <v>20</v>
      </c>
      <c r="E2275" s="13" t="s">
        <v>21</v>
      </c>
      <c r="F2275" s="12" t="s">
        <v>34</v>
      </c>
      <c r="G2275" s="14">
        <f>5126+1501</f>
        <v>6627</v>
      </c>
      <c r="H2275" s="12" t="s">
        <v>22</v>
      </c>
      <c r="I2275" s="12">
        <v>0</v>
      </c>
      <c r="J2275" s="12" t="s">
        <v>34</v>
      </c>
      <c r="K2275" s="12" t="s">
        <v>23</v>
      </c>
      <c r="L2275" s="12">
        <v>1</v>
      </c>
      <c r="M2275" s="15">
        <v>56386</v>
      </c>
      <c r="N2275" s="15">
        <v>0</v>
      </c>
      <c r="O2275" s="15">
        <f>G2275*11</f>
        <v>72897</v>
      </c>
      <c r="P2275" s="15">
        <f t="shared" si="177"/>
        <v>11</v>
      </c>
      <c r="Q2275" s="14">
        <v>5000</v>
      </c>
      <c r="R2275" s="12">
        <v>100</v>
      </c>
      <c r="S2275" s="12" t="s">
        <v>2861</v>
      </c>
      <c r="T2275" s="22">
        <f t="shared" si="178"/>
        <v>6</v>
      </c>
      <c r="U2275" s="22">
        <f t="shared" si="179"/>
        <v>2021</v>
      </c>
      <c r="V2275" s="22" t="str">
        <f t="shared" si="180"/>
        <v>METROPOLITANA</v>
      </c>
    </row>
    <row r="2276" spans="1:22" x14ac:dyDescent="0.2">
      <c r="A2276" s="11" t="s">
        <v>2851</v>
      </c>
      <c r="B2276" s="12" t="s">
        <v>33</v>
      </c>
      <c r="C2276" s="12" t="s">
        <v>2862</v>
      </c>
      <c r="D2276" s="12" t="s">
        <v>27</v>
      </c>
      <c r="E2276" s="13" t="s">
        <v>1576</v>
      </c>
      <c r="F2276" s="12" t="s">
        <v>129</v>
      </c>
      <c r="G2276" s="14">
        <v>18760</v>
      </c>
      <c r="H2276" s="12" t="s">
        <v>22</v>
      </c>
      <c r="I2276" s="12">
        <v>1</v>
      </c>
      <c r="J2276" s="12" t="s">
        <v>129</v>
      </c>
      <c r="K2276" s="12" t="s">
        <v>23</v>
      </c>
      <c r="L2276" s="12">
        <v>1</v>
      </c>
      <c r="M2276" s="15">
        <v>206360</v>
      </c>
      <c r="N2276" s="15">
        <v>0</v>
      </c>
      <c r="O2276" s="15">
        <f t="shared" ref="O2276:O2281" si="182">SUM(M2276:N2276)</f>
        <v>206360</v>
      </c>
      <c r="P2276" s="15">
        <f t="shared" si="177"/>
        <v>11</v>
      </c>
      <c r="Q2276" s="14">
        <v>5000</v>
      </c>
      <c r="R2276" s="12">
        <v>100</v>
      </c>
      <c r="S2276" s="12" t="s">
        <v>2863</v>
      </c>
      <c r="T2276" s="22">
        <f t="shared" si="178"/>
        <v>6</v>
      </c>
      <c r="U2276" s="22">
        <f t="shared" si="179"/>
        <v>2021</v>
      </c>
      <c r="V2276" s="22" t="str">
        <f t="shared" si="180"/>
        <v>METROPOLITANA</v>
      </c>
    </row>
    <row r="2277" spans="1:22" x14ac:dyDescent="0.2">
      <c r="A2277" s="11" t="s">
        <v>2851</v>
      </c>
      <c r="B2277" s="12" t="s">
        <v>33</v>
      </c>
      <c r="C2277" s="12" t="s">
        <v>29</v>
      </c>
      <c r="D2277" s="12" t="s">
        <v>164</v>
      </c>
      <c r="E2277" s="13" t="s">
        <v>1576</v>
      </c>
      <c r="F2277" s="12" t="s">
        <v>39</v>
      </c>
      <c r="G2277" s="14">
        <v>16564.80000000001</v>
      </c>
      <c r="H2277" s="12" t="s">
        <v>22</v>
      </c>
      <c r="I2277" s="12">
        <v>1</v>
      </c>
      <c r="J2277" s="12" t="s">
        <v>39</v>
      </c>
      <c r="K2277" s="12" t="s">
        <v>23</v>
      </c>
      <c r="L2277" s="12">
        <v>1</v>
      </c>
      <c r="M2277" s="15">
        <v>182213</v>
      </c>
      <c r="N2277" s="15">
        <v>0</v>
      </c>
      <c r="O2277" s="15">
        <f t="shared" si="182"/>
        <v>182213</v>
      </c>
      <c r="P2277" s="15">
        <f t="shared" si="177"/>
        <v>11.000012073795029</v>
      </c>
      <c r="Q2277" s="14">
        <v>5000</v>
      </c>
      <c r="R2277" s="12">
        <v>100</v>
      </c>
      <c r="S2277" s="12" t="s">
        <v>2864</v>
      </c>
      <c r="T2277" s="22">
        <f t="shared" si="178"/>
        <v>6</v>
      </c>
      <c r="U2277" s="22">
        <f t="shared" si="179"/>
        <v>2021</v>
      </c>
      <c r="V2277" s="22" t="str">
        <f t="shared" si="180"/>
        <v>METROPOLITANA</v>
      </c>
    </row>
    <row r="2278" spans="1:22" x14ac:dyDescent="0.2">
      <c r="A2278" s="11" t="s">
        <v>2851</v>
      </c>
      <c r="B2278" s="12" t="s">
        <v>33</v>
      </c>
      <c r="C2278" s="12" t="s">
        <v>44</v>
      </c>
      <c r="D2278" s="12" t="s">
        <v>2080</v>
      </c>
      <c r="E2278" s="13" t="s">
        <v>1700</v>
      </c>
      <c r="F2278" s="12" t="s">
        <v>691</v>
      </c>
      <c r="G2278" s="14">
        <v>15103.2</v>
      </c>
      <c r="H2278" s="12" t="s">
        <v>24</v>
      </c>
      <c r="I2278" s="12">
        <v>1</v>
      </c>
      <c r="J2278" s="12" t="s">
        <v>691</v>
      </c>
      <c r="K2278" s="12" t="s">
        <v>873</v>
      </c>
      <c r="L2278" s="12">
        <v>0</v>
      </c>
      <c r="M2278" s="15">
        <v>1020000</v>
      </c>
      <c r="N2278" s="15">
        <v>0</v>
      </c>
      <c r="O2278" s="15">
        <f t="shared" si="182"/>
        <v>1020000</v>
      </c>
      <c r="P2278" s="15">
        <f t="shared" si="177"/>
        <v>67.535356745590335</v>
      </c>
      <c r="Q2278" s="14">
        <v>25000</v>
      </c>
      <c r="R2278" s="12">
        <v>60</v>
      </c>
      <c r="S2278" s="12" t="s">
        <v>2865</v>
      </c>
      <c r="T2278" s="22">
        <f t="shared" si="178"/>
        <v>6</v>
      </c>
      <c r="U2278" s="22">
        <f t="shared" si="179"/>
        <v>2021</v>
      </c>
      <c r="V2278" s="22" t="str">
        <f t="shared" si="180"/>
        <v>REGIONES</v>
      </c>
    </row>
    <row r="2279" spans="1:22" s="51" customFormat="1" x14ac:dyDescent="0.2">
      <c r="A2279" s="50" t="s">
        <v>2866</v>
      </c>
      <c r="B2279" s="51" t="s">
        <v>18</v>
      </c>
      <c r="C2279" s="51" t="s">
        <v>57</v>
      </c>
      <c r="D2279" s="51" t="s">
        <v>37</v>
      </c>
      <c r="E2279" s="52" t="s">
        <v>40</v>
      </c>
      <c r="F2279" s="51" t="s">
        <v>120</v>
      </c>
      <c r="G2279" s="53">
        <v>4040.49</v>
      </c>
      <c r="H2279" s="51" t="s">
        <v>22</v>
      </c>
      <c r="I2279" s="51">
        <v>0</v>
      </c>
      <c r="J2279" s="51" t="s">
        <v>120</v>
      </c>
      <c r="K2279" s="51" t="s">
        <v>23</v>
      </c>
      <c r="L2279" s="51">
        <v>5</v>
      </c>
      <c r="M2279" s="54">
        <v>70000</v>
      </c>
      <c r="N2279" s="54">
        <v>0</v>
      </c>
      <c r="O2279" s="54">
        <f t="shared" si="182"/>
        <v>70000</v>
      </c>
      <c r="P2279" s="54">
        <f t="shared" si="177"/>
        <v>17.324631418466574</v>
      </c>
      <c r="Q2279" s="53">
        <v>10000</v>
      </c>
      <c r="R2279" s="51">
        <v>40</v>
      </c>
      <c r="S2279" s="51" t="s">
        <v>2867</v>
      </c>
      <c r="T2279" s="51">
        <f t="shared" si="178"/>
        <v>6</v>
      </c>
      <c r="U2279" s="51">
        <f t="shared" si="179"/>
        <v>2021</v>
      </c>
      <c r="V2279" s="51" t="str">
        <f t="shared" si="180"/>
        <v>METROPOLITANA</v>
      </c>
    </row>
    <row r="2280" spans="1:22" x14ac:dyDescent="0.2">
      <c r="A2280" s="23" t="s">
        <v>2866</v>
      </c>
      <c r="B2280" s="22" t="s">
        <v>18</v>
      </c>
      <c r="C2280" s="22" t="s">
        <v>163</v>
      </c>
      <c r="D2280" s="22" t="s">
        <v>164</v>
      </c>
      <c r="E2280" s="24" t="s">
        <v>28</v>
      </c>
      <c r="F2280" s="22" t="s">
        <v>165</v>
      </c>
      <c r="G2280" s="25">
        <v>11849.599999999989</v>
      </c>
      <c r="H2280" s="22" t="s">
        <v>22</v>
      </c>
      <c r="I2280" s="22">
        <v>1</v>
      </c>
      <c r="J2280" s="22" t="s">
        <v>165</v>
      </c>
      <c r="K2280" s="22" t="s">
        <v>23</v>
      </c>
      <c r="L2280" s="22">
        <v>4</v>
      </c>
      <c r="M2280" s="26">
        <v>130346</v>
      </c>
      <c r="N2280" s="26">
        <v>0</v>
      </c>
      <c r="O2280" s="15">
        <f t="shared" si="182"/>
        <v>130346</v>
      </c>
      <c r="P2280" s="15">
        <f t="shared" si="177"/>
        <v>11.000033756413728</v>
      </c>
      <c r="Q2280" s="25">
        <v>5000</v>
      </c>
      <c r="R2280" s="22">
        <v>100</v>
      </c>
      <c r="S2280" s="22" t="s">
        <v>2868</v>
      </c>
      <c r="T2280" s="22">
        <f t="shared" si="178"/>
        <v>6</v>
      </c>
      <c r="U2280" s="22">
        <f t="shared" si="179"/>
        <v>2021</v>
      </c>
      <c r="V2280" s="22" t="str">
        <f t="shared" si="180"/>
        <v>METROPOLITANA</v>
      </c>
    </row>
    <row r="2281" spans="1:22" x14ac:dyDescent="0.2">
      <c r="A2281" s="23" t="s">
        <v>2866</v>
      </c>
      <c r="B2281" s="22" t="s">
        <v>18</v>
      </c>
      <c r="C2281" s="22" t="s">
        <v>2843</v>
      </c>
      <c r="D2281" s="22" t="s">
        <v>63</v>
      </c>
      <c r="E2281" s="24" t="s">
        <v>64</v>
      </c>
      <c r="F2281" s="22" t="s">
        <v>129</v>
      </c>
      <c r="G2281" s="25">
        <v>8145</v>
      </c>
      <c r="H2281" s="22" t="s">
        <v>65</v>
      </c>
      <c r="I2281" s="22">
        <v>0</v>
      </c>
      <c r="J2281" s="22" t="s">
        <v>129</v>
      </c>
      <c r="K2281" s="22" t="s">
        <v>23</v>
      </c>
      <c r="L2281" s="22">
        <v>1</v>
      </c>
      <c r="M2281" s="26">
        <v>89595</v>
      </c>
      <c r="N2281" s="26">
        <v>0</v>
      </c>
      <c r="O2281" s="15">
        <f t="shared" si="182"/>
        <v>89595</v>
      </c>
      <c r="P2281" s="15">
        <f t="shared" si="177"/>
        <v>11</v>
      </c>
      <c r="Q2281" s="25">
        <v>5000</v>
      </c>
      <c r="R2281" s="22">
        <v>100</v>
      </c>
      <c r="S2281" s="22" t="s">
        <v>2869</v>
      </c>
      <c r="T2281" s="22">
        <f t="shared" si="178"/>
        <v>6</v>
      </c>
      <c r="U2281" s="22">
        <f t="shared" si="179"/>
        <v>2021</v>
      </c>
      <c r="V2281" s="22" t="str">
        <f t="shared" si="180"/>
        <v>METROPOLITANA</v>
      </c>
    </row>
    <row r="2282" spans="1:22" x14ac:dyDescent="0.2">
      <c r="A2282" s="23" t="s">
        <v>2866</v>
      </c>
      <c r="B2282" s="22" t="s">
        <v>33</v>
      </c>
      <c r="C2282" s="22" t="s">
        <v>2623</v>
      </c>
      <c r="D2282" s="22" t="s">
        <v>38</v>
      </c>
      <c r="E2282" s="24" t="s">
        <v>25</v>
      </c>
      <c r="F2282" s="22" t="s">
        <v>2004</v>
      </c>
      <c r="G2282" s="25">
        <v>9379.9999999999982</v>
      </c>
      <c r="H2282" s="22" t="s">
        <v>43</v>
      </c>
      <c r="I2282" s="22">
        <v>0</v>
      </c>
      <c r="J2282" s="22" t="s">
        <v>2004</v>
      </c>
      <c r="K2282" s="22" t="s">
        <v>23</v>
      </c>
      <c r="L2282" s="22">
        <v>5</v>
      </c>
      <c r="M2282" s="26">
        <v>90000</v>
      </c>
      <c r="N2282" s="26">
        <v>0</v>
      </c>
      <c r="O2282" s="15">
        <f>G2282*11</f>
        <v>103179.99999999999</v>
      </c>
      <c r="P2282" s="15">
        <f t="shared" si="177"/>
        <v>11</v>
      </c>
      <c r="Q2282" s="25">
        <v>10000</v>
      </c>
      <c r="R2282" s="22">
        <v>94</v>
      </c>
      <c r="S2282" s="22" t="s">
        <v>2870</v>
      </c>
      <c r="T2282" s="22">
        <f t="shared" si="178"/>
        <v>6</v>
      </c>
      <c r="U2282" s="22">
        <f t="shared" si="179"/>
        <v>2021</v>
      </c>
      <c r="V2282" s="22" t="str">
        <f t="shared" si="180"/>
        <v>METROPOLITANA</v>
      </c>
    </row>
    <row r="2283" spans="1:22" s="51" customFormat="1" x14ac:dyDescent="0.2">
      <c r="A2283" s="50" t="s">
        <v>2866</v>
      </c>
      <c r="B2283" s="51" t="s">
        <v>33</v>
      </c>
      <c r="C2283" s="51" t="s">
        <v>57</v>
      </c>
      <c r="D2283" s="51" t="s">
        <v>56</v>
      </c>
      <c r="E2283" s="52" t="s">
        <v>1576</v>
      </c>
      <c r="F2283" s="51" t="s">
        <v>418</v>
      </c>
      <c r="G2283" s="53">
        <v>5832</v>
      </c>
      <c r="H2283" s="51" t="s">
        <v>22</v>
      </c>
      <c r="I2283" s="51">
        <v>0</v>
      </c>
      <c r="J2283" s="51" t="s">
        <v>418</v>
      </c>
      <c r="K2283" s="51" t="s">
        <v>171</v>
      </c>
      <c r="L2283" s="51">
        <v>0</v>
      </c>
      <c r="M2283" s="54">
        <v>80000</v>
      </c>
      <c r="N2283" s="54">
        <v>0</v>
      </c>
      <c r="O2283" s="54">
        <v>180000</v>
      </c>
      <c r="P2283" s="54">
        <f t="shared" si="177"/>
        <v>30.864197530864196</v>
      </c>
      <c r="Q2283" s="53">
        <v>25000</v>
      </c>
      <c r="R2283" s="51">
        <v>23</v>
      </c>
      <c r="S2283" s="51" t="s">
        <v>2871</v>
      </c>
      <c r="T2283" s="51">
        <f t="shared" si="178"/>
        <v>6</v>
      </c>
      <c r="U2283" s="51">
        <f t="shared" si="179"/>
        <v>2021</v>
      </c>
      <c r="V2283" s="51" t="str">
        <f t="shared" si="180"/>
        <v>REGIONES</v>
      </c>
    </row>
    <row r="2284" spans="1:22" x14ac:dyDescent="0.2">
      <c r="A2284" s="23" t="s">
        <v>2866</v>
      </c>
      <c r="B2284" s="22" t="s">
        <v>33</v>
      </c>
      <c r="C2284" s="22" t="s">
        <v>128</v>
      </c>
      <c r="D2284" s="22" t="s">
        <v>164</v>
      </c>
      <c r="E2284" s="24" t="s">
        <v>1576</v>
      </c>
      <c r="F2284" s="22" t="s">
        <v>129</v>
      </c>
      <c r="G2284" s="25">
        <v>19510.400000000001</v>
      </c>
      <c r="H2284" s="22" t="s">
        <v>22</v>
      </c>
      <c r="I2284" s="22">
        <v>1</v>
      </c>
      <c r="J2284" s="22" t="s">
        <v>129</v>
      </c>
      <c r="K2284" s="22" t="s">
        <v>23</v>
      </c>
      <c r="L2284" s="22">
        <v>1</v>
      </c>
      <c r="M2284" s="26">
        <v>214614</v>
      </c>
      <c r="N2284" s="26">
        <v>0</v>
      </c>
      <c r="O2284" s="15">
        <f t="shared" ref="O2284:O2289" si="183">SUM(M2284:N2284)</f>
        <v>214614</v>
      </c>
      <c r="P2284" s="15">
        <f t="shared" si="177"/>
        <v>10.999979498113825</v>
      </c>
      <c r="Q2284" s="25">
        <v>5000</v>
      </c>
      <c r="R2284" s="22">
        <v>100</v>
      </c>
      <c r="S2284" s="22" t="s">
        <v>2872</v>
      </c>
      <c r="T2284" s="22">
        <f t="shared" si="178"/>
        <v>6</v>
      </c>
      <c r="U2284" s="22">
        <f t="shared" si="179"/>
        <v>2021</v>
      </c>
      <c r="V2284" s="22" t="str">
        <f t="shared" si="180"/>
        <v>METROPOLITANA</v>
      </c>
    </row>
    <row r="2285" spans="1:22" x14ac:dyDescent="0.2">
      <c r="A2285" s="23" t="s">
        <v>2866</v>
      </c>
      <c r="B2285" s="22" t="s">
        <v>33</v>
      </c>
      <c r="C2285" s="22" t="s">
        <v>2862</v>
      </c>
      <c r="D2285" s="22" t="s">
        <v>20</v>
      </c>
      <c r="E2285" s="24" t="s">
        <v>21</v>
      </c>
      <c r="F2285" s="22" t="s">
        <v>129</v>
      </c>
      <c r="G2285" s="25">
        <v>9755.1999999999971</v>
      </c>
      <c r="H2285" s="22" t="s">
        <v>22</v>
      </c>
      <c r="I2285" s="22">
        <v>0</v>
      </c>
      <c r="J2285" s="22" t="s">
        <v>129</v>
      </c>
      <c r="K2285" s="22" t="s">
        <v>23</v>
      </c>
      <c r="L2285" s="22">
        <v>1</v>
      </c>
      <c r="M2285" s="26">
        <v>107307</v>
      </c>
      <c r="N2285" s="26">
        <v>0</v>
      </c>
      <c r="O2285" s="15">
        <f t="shared" si="183"/>
        <v>107307</v>
      </c>
      <c r="P2285" s="15">
        <f t="shared" si="177"/>
        <v>10.999979498113829</v>
      </c>
      <c r="Q2285" s="25">
        <v>5000</v>
      </c>
      <c r="R2285" s="22">
        <v>100</v>
      </c>
      <c r="S2285" s="22" t="s">
        <v>2873</v>
      </c>
      <c r="T2285" s="22">
        <f t="shared" si="178"/>
        <v>6</v>
      </c>
      <c r="U2285" s="22">
        <f t="shared" si="179"/>
        <v>2021</v>
      </c>
      <c r="V2285" s="22" t="str">
        <f t="shared" si="180"/>
        <v>METROPOLITANA</v>
      </c>
    </row>
    <row r="2286" spans="1:22" x14ac:dyDescent="0.2">
      <c r="A2286" s="23" t="s">
        <v>2866</v>
      </c>
      <c r="B2286" s="22" t="s">
        <v>33</v>
      </c>
      <c r="C2286" s="22" t="s">
        <v>29</v>
      </c>
      <c r="D2286" s="22" t="s">
        <v>63</v>
      </c>
      <c r="E2286" s="24" t="s">
        <v>64</v>
      </c>
      <c r="F2286" s="22" t="s">
        <v>39</v>
      </c>
      <c r="G2286" s="25">
        <v>6895.6</v>
      </c>
      <c r="H2286" s="22" t="s">
        <v>65</v>
      </c>
      <c r="I2286" s="22">
        <v>0</v>
      </c>
      <c r="J2286" s="22" t="s">
        <v>39</v>
      </c>
      <c r="K2286" s="22" t="s">
        <v>23</v>
      </c>
      <c r="L2286" s="22">
        <v>1</v>
      </c>
      <c r="M2286" s="26">
        <v>75852</v>
      </c>
      <c r="N2286" s="26">
        <v>0</v>
      </c>
      <c r="O2286" s="15">
        <f t="shared" si="183"/>
        <v>75852</v>
      </c>
      <c r="P2286" s="15">
        <f t="shared" si="177"/>
        <v>11.000058008005103</v>
      </c>
      <c r="Q2286" s="25">
        <v>5000</v>
      </c>
      <c r="R2286" s="22">
        <v>100</v>
      </c>
      <c r="S2286" s="22" t="s">
        <v>2874</v>
      </c>
      <c r="T2286" s="22">
        <f t="shared" si="178"/>
        <v>6</v>
      </c>
      <c r="U2286" s="22">
        <f t="shared" si="179"/>
        <v>2021</v>
      </c>
      <c r="V2286" s="22" t="str">
        <f t="shared" si="180"/>
        <v>METROPOLITANA</v>
      </c>
    </row>
    <row r="2287" spans="1:22" x14ac:dyDescent="0.2">
      <c r="A2287" s="23" t="s">
        <v>2866</v>
      </c>
      <c r="B2287" s="22" t="s">
        <v>33</v>
      </c>
      <c r="C2287" s="22" t="s">
        <v>29</v>
      </c>
      <c r="D2287" s="22" t="s">
        <v>41</v>
      </c>
      <c r="E2287" s="24" t="s">
        <v>25</v>
      </c>
      <c r="F2287" s="22" t="s">
        <v>39</v>
      </c>
      <c r="G2287" s="25">
        <v>6895.6</v>
      </c>
      <c r="H2287" s="22" t="s">
        <v>43</v>
      </c>
      <c r="I2287" s="22">
        <v>0</v>
      </c>
      <c r="J2287" s="22" t="s">
        <v>39</v>
      </c>
      <c r="K2287" s="22" t="s">
        <v>23</v>
      </c>
      <c r="L2287" s="22">
        <v>1</v>
      </c>
      <c r="M2287" s="26">
        <v>75852</v>
      </c>
      <c r="N2287" s="26">
        <v>0</v>
      </c>
      <c r="O2287" s="15">
        <f t="shared" si="183"/>
        <v>75852</v>
      </c>
      <c r="P2287" s="15">
        <f t="shared" si="177"/>
        <v>11.000058008005103</v>
      </c>
      <c r="Q2287" s="25">
        <v>5000</v>
      </c>
      <c r="R2287" s="22">
        <v>100</v>
      </c>
      <c r="S2287" s="22" t="s">
        <v>2875</v>
      </c>
      <c r="T2287" s="22">
        <f t="shared" si="178"/>
        <v>6</v>
      </c>
      <c r="U2287" s="22">
        <f t="shared" si="179"/>
        <v>2021</v>
      </c>
      <c r="V2287" s="22" t="str">
        <f t="shared" si="180"/>
        <v>METROPOLITANA</v>
      </c>
    </row>
    <row r="2288" spans="1:22" x14ac:dyDescent="0.2">
      <c r="A2288" s="23" t="s">
        <v>2866</v>
      </c>
      <c r="B2288" s="22" t="s">
        <v>33</v>
      </c>
      <c r="C2288" s="22" t="s">
        <v>44</v>
      </c>
      <c r="D2288" s="22" t="s">
        <v>188</v>
      </c>
      <c r="E2288" s="24" t="s">
        <v>189</v>
      </c>
      <c r="F2288" s="22" t="s">
        <v>53</v>
      </c>
      <c r="G2288" s="25">
        <v>5498.9</v>
      </c>
      <c r="H2288" s="22" t="s">
        <v>190</v>
      </c>
      <c r="I2288" s="22">
        <v>0</v>
      </c>
      <c r="J2288" s="22" t="s">
        <v>53</v>
      </c>
      <c r="K2288" s="22" t="s">
        <v>23</v>
      </c>
      <c r="L2288" s="22">
        <v>3</v>
      </c>
      <c r="M2288" s="26">
        <v>60488</v>
      </c>
      <c r="N2288" s="26">
        <v>0</v>
      </c>
      <c r="O2288" s="15">
        <f t="shared" si="183"/>
        <v>60488</v>
      </c>
      <c r="P2288" s="15">
        <f t="shared" si="177"/>
        <v>11.000018185455273</v>
      </c>
      <c r="Q2288" s="25">
        <v>5000</v>
      </c>
      <c r="R2288" s="22">
        <v>100</v>
      </c>
      <c r="S2288" s="22" t="s">
        <v>2876</v>
      </c>
      <c r="T2288" s="22">
        <f t="shared" si="178"/>
        <v>6</v>
      </c>
      <c r="U2288" s="22">
        <f t="shared" si="179"/>
        <v>2021</v>
      </c>
      <c r="V2288" s="22" t="str">
        <f t="shared" si="180"/>
        <v>METROPOLITANA</v>
      </c>
    </row>
    <row r="2289" spans="1:22" x14ac:dyDescent="0.2">
      <c r="A2289" s="23" t="s">
        <v>2866</v>
      </c>
      <c r="B2289" s="22" t="s">
        <v>33</v>
      </c>
      <c r="C2289" s="22" t="s">
        <v>44</v>
      </c>
      <c r="D2289" s="22" t="s">
        <v>45</v>
      </c>
      <c r="E2289" s="24" t="s">
        <v>52</v>
      </c>
      <c r="F2289" s="22" t="s">
        <v>51</v>
      </c>
      <c r="G2289" s="25">
        <v>6440.9999999999991</v>
      </c>
      <c r="H2289" s="22" t="s">
        <v>22</v>
      </c>
      <c r="I2289" s="22">
        <v>0</v>
      </c>
      <c r="J2289" s="22" t="s">
        <v>51</v>
      </c>
      <c r="K2289" s="22" t="s">
        <v>23</v>
      </c>
      <c r="L2289" s="22">
        <v>4</v>
      </c>
      <c r="M2289" s="26">
        <v>70851</v>
      </c>
      <c r="N2289" s="26">
        <v>0</v>
      </c>
      <c r="O2289" s="15">
        <f t="shared" si="183"/>
        <v>70851</v>
      </c>
      <c r="P2289" s="15">
        <f t="shared" si="177"/>
        <v>11.000000000000002</v>
      </c>
      <c r="Q2289" s="25">
        <v>5000</v>
      </c>
      <c r="R2289" s="22">
        <v>100</v>
      </c>
      <c r="S2289" s="22" t="s">
        <v>2877</v>
      </c>
      <c r="T2289" s="22">
        <f t="shared" si="178"/>
        <v>6</v>
      </c>
      <c r="U2289" s="22">
        <f t="shared" si="179"/>
        <v>2021</v>
      </c>
      <c r="V2289" s="22" t="str">
        <f t="shared" si="180"/>
        <v>METROPOLITANA</v>
      </c>
    </row>
    <row r="2290" spans="1:22" x14ac:dyDescent="0.2">
      <c r="A2290" s="23" t="s">
        <v>2866</v>
      </c>
      <c r="B2290" s="22" t="s">
        <v>33</v>
      </c>
      <c r="C2290" s="22" t="s">
        <v>44</v>
      </c>
      <c r="D2290" s="22" t="s">
        <v>35</v>
      </c>
      <c r="E2290" s="24" t="s">
        <v>21</v>
      </c>
      <c r="F2290" s="22" t="s">
        <v>95</v>
      </c>
      <c r="G2290" s="25">
        <v>5906</v>
      </c>
      <c r="H2290" s="22" t="s">
        <v>22</v>
      </c>
      <c r="I2290" s="22">
        <v>0</v>
      </c>
      <c r="J2290" s="22" t="s">
        <v>95</v>
      </c>
      <c r="K2290" s="22" t="s">
        <v>23</v>
      </c>
      <c r="L2290" s="22">
        <v>4</v>
      </c>
      <c r="M2290" s="26">
        <v>55000</v>
      </c>
      <c r="N2290" s="26">
        <v>0</v>
      </c>
      <c r="O2290" s="15">
        <f>G2290*11</f>
        <v>64966</v>
      </c>
      <c r="P2290" s="15">
        <f t="shared" si="177"/>
        <v>11</v>
      </c>
      <c r="Q2290" s="25">
        <v>5000</v>
      </c>
      <c r="R2290" s="22">
        <v>91</v>
      </c>
      <c r="S2290" s="22" t="s">
        <v>2878</v>
      </c>
      <c r="T2290" s="22">
        <f t="shared" si="178"/>
        <v>6</v>
      </c>
      <c r="U2290" s="22">
        <f t="shared" si="179"/>
        <v>2021</v>
      </c>
      <c r="V2290" s="22" t="str">
        <f t="shared" si="180"/>
        <v>METROPOLITANA</v>
      </c>
    </row>
    <row r="2291" spans="1:22" x14ac:dyDescent="0.2">
      <c r="A2291" s="11" t="s">
        <v>2879</v>
      </c>
      <c r="B2291" s="12" t="s">
        <v>18</v>
      </c>
      <c r="C2291" s="12" t="s">
        <v>1997</v>
      </c>
      <c r="D2291" s="12" t="s">
        <v>30</v>
      </c>
      <c r="E2291" s="13" t="s">
        <v>31</v>
      </c>
      <c r="F2291" s="12" t="s">
        <v>58</v>
      </c>
      <c r="G2291" s="14">
        <v>11391.6</v>
      </c>
      <c r="H2291" s="12" t="s">
        <v>32</v>
      </c>
      <c r="I2291" s="12">
        <v>0</v>
      </c>
      <c r="J2291" s="12" t="s">
        <v>58</v>
      </c>
      <c r="K2291" s="12" t="s">
        <v>23</v>
      </c>
      <c r="L2291" s="12">
        <v>5</v>
      </c>
      <c r="M2291" s="15">
        <v>70000</v>
      </c>
      <c r="N2291" s="15">
        <v>0</v>
      </c>
      <c r="O2291" s="15">
        <f>G2291*11</f>
        <v>125307.6</v>
      </c>
      <c r="P2291" s="15">
        <f t="shared" si="177"/>
        <v>11</v>
      </c>
      <c r="Q2291" s="14">
        <v>10000</v>
      </c>
      <c r="R2291" s="12">
        <v>100</v>
      </c>
      <c r="S2291" s="12" t="s">
        <v>2880</v>
      </c>
      <c r="T2291" s="22">
        <f t="shared" si="178"/>
        <v>6</v>
      </c>
      <c r="U2291" s="22">
        <f t="shared" si="179"/>
        <v>2021</v>
      </c>
      <c r="V2291" s="22" t="str">
        <f t="shared" si="180"/>
        <v>METROPOLITANA</v>
      </c>
    </row>
    <row r="2292" spans="1:22" s="51" customFormat="1" x14ac:dyDescent="0.2">
      <c r="A2292" s="50" t="s">
        <v>2879</v>
      </c>
      <c r="B2292" s="51" t="s">
        <v>18</v>
      </c>
      <c r="C2292" s="51" t="s">
        <v>2049</v>
      </c>
      <c r="D2292" s="51" t="s">
        <v>2262</v>
      </c>
      <c r="E2292" s="52" t="s">
        <v>83</v>
      </c>
      <c r="F2292" s="51" t="s">
        <v>84</v>
      </c>
      <c r="G2292" s="53">
        <v>10412.15</v>
      </c>
      <c r="H2292" s="51" t="s">
        <v>24</v>
      </c>
      <c r="I2292" s="51">
        <v>1</v>
      </c>
      <c r="J2292" s="51" t="s">
        <v>84</v>
      </c>
      <c r="K2292" s="51" t="s">
        <v>86</v>
      </c>
      <c r="L2292" s="51">
        <v>0</v>
      </c>
      <c r="M2292" s="54">
        <v>320000</v>
      </c>
      <c r="N2292" s="54">
        <v>0</v>
      </c>
      <c r="O2292" s="54">
        <f>SUM(M2292:N2292)</f>
        <v>320000</v>
      </c>
      <c r="P2292" s="54">
        <f t="shared" si="177"/>
        <v>30.733325970140655</v>
      </c>
      <c r="Q2292" s="53">
        <v>25000</v>
      </c>
      <c r="R2292" s="51">
        <v>22</v>
      </c>
      <c r="S2292" s="51" t="s">
        <v>2881</v>
      </c>
      <c r="T2292" s="51">
        <f t="shared" si="178"/>
        <v>6</v>
      </c>
      <c r="U2292" s="51">
        <f t="shared" si="179"/>
        <v>2021</v>
      </c>
      <c r="V2292" s="51" t="str">
        <f t="shared" si="180"/>
        <v>REGIONES</v>
      </c>
    </row>
    <row r="2293" spans="1:22" x14ac:dyDescent="0.2">
      <c r="A2293" s="11" t="s">
        <v>2879</v>
      </c>
      <c r="B2293" s="12" t="s">
        <v>18</v>
      </c>
      <c r="C2293" s="12" t="s">
        <v>2843</v>
      </c>
      <c r="D2293" s="12" t="s">
        <v>38</v>
      </c>
      <c r="E2293" s="13" t="s">
        <v>42</v>
      </c>
      <c r="F2293" s="12" t="s">
        <v>129</v>
      </c>
      <c r="G2293" s="14">
        <v>4072.5</v>
      </c>
      <c r="H2293" s="12" t="s">
        <v>43</v>
      </c>
      <c r="I2293" s="12">
        <v>0</v>
      </c>
      <c r="J2293" s="12" t="s">
        <v>129</v>
      </c>
      <c r="K2293" s="12" t="s">
        <v>23</v>
      </c>
      <c r="L2293" s="12">
        <v>1</v>
      </c>
      <c r="M2293" s="15">
        <v>55000</v>
      </c>
      <c r="N2293" s="15">
        <v>0</v>
      </c>
      <c r="O2293" s="15">
        <f>SUM(M2293:N2293)</f>
        <v>55000</v>
      </c>
      <c r="P2293" s="15">
        <f t="shared" si="177"/>
        <v>13.505217925107427</v>
      </c>
      <c r="Q2293" s="14">
        <v>5000</v>
      </c>
      <c r="R2293" s="12">
        <v>81</v>
      </c>
      <c r="S2293" s="12" t="s">
        <v>2882</v>
      </c>
      <c r="T2293" s="22">
        <f t="shared" si="178"/>
        <v>6</v>
      </c>
      <c r="U2293" s="22">
        <f t="shared" si="179"/>
        <v>2021</v>
      </c>
      <c r="V2293" s="22" t="str">
        <f t="shared" si="180"/>
        <v>METROPOLITANA</v>
      </c>
    </row>
    <row r="2294" spans="1:22" x14ac:dyDescent="0.2">
      <c r="A2294" s="11" t="s">
        <v>2879</v>
      </c>
      <c r="B2294" s="12" t="s">
        <v>33</v>
      </c>
      <c r="C2294" s="12" t="s">
        <v>1642</v>
      </c>
      <c r="D2294" s="12" t="s">
        <v>130</v>
      </c>
      <c r="E2294" s="13" t="s">
        <v>131</v>
      </c>
      <c r="F2294" s="12" t="s">
        <v>46</v>
      </c>
      <c r="G2294" s="14">
        <v>15218.414000000001</v>
      </c>
      <c r="H2294" s="12" t="s">
        <v>85</v>
      </c>
      <c r="I2294" s="12">
        <v>1</v>
      </c>
      <c r="J2294" s="12" t="s">
        <v>46</v>
      </c>
      <c r="K2294" s="12" t="s">
        <v>23</v>
      </c>
      <c r="L2294" s="12">
        <v>2</v>
      </c>
      <c r="M2294" s="15">
        <v>167403</v>
      </c>
      <c r="N2294" s="15">
        <v>0</v>
      </c>
      <c r="O2294" s="15">
        <f>SUM(M2294:N2294)</f>
        <v>167403</v>
      </c>
      <c r="P2294" s="15">
        <f t="shared" si="177"/>
        <v>11.000029306601856</v>
      </c>
      <c r="Q2294" s="14">
        <v>5000</v>
      </c>
      <c r="R2294" s="12">
        <v>100</v>
      </c>
      <c r="S2294" s="12" t="s">
        <v>2883</v>
      </c>
      <c r="T2294" s="22">
        <f t="shared" si="178"/>
        <v>6</v>
      </c>
      <c r="U2294" s="22">
        <f t="shared" si="179"/>
        <v>2021</v>
      </c>
      <c r="V2294" s="22" t="str">
        <f t="shared" si="180"/>
        <v>METROPOLITANA</v>
      </c>
    </row>
    <row r="2295" spans="1:22" x14ac:dyDescent="0.2">
      <c r="A2295" s="11" t="s">
        <v>2879</v>
      </c>
      <c r="B2295" s="12" t="s">
        <v>33</v>
      </c>
      <c r="C2295" s="12" t="s">
        <v>270</v>
      </c>
      <c r="D2295" s="12" t="s">
        <v>786</v>
      </c>
      <c r="E2295" s="13" t="s">
        <v>787</v>
      </c>
      <c r="F2295" s="12" t="s">
        <v>120</v>
      </c>
      <c r="G2295" s="14">
        <f>14612+2051</f>
        <v>16663</v>
      </c>
      <c r="H2295" s="12" t="s">
        <v>788</v>
      </c>
      <c r="I2295" s="12">
        <v>1</v>
      </c>
      <c r="J2295" s="12" t="s">
        <v>120</v>
      </c>
      <c r="K2295" s="12" t="s">
        <v>23</v>
      </c>
      <c r="L2295" s="12">
        <v>5</v>
      </c>
      <c r="M2295" s="15">
        <v>120000</v>
      </c>
      <c r="N2295" s="15">
        <v>0</v>
      </c>
      <c r="O2295" s="15">
        <f>G2295*11</f>
        <v>183293</v>
      </c>
      <c r="P2295" s="15">
        <f t="shared" si="177"/>
        <v>11</v>
      </c>
      <c r="Q2295" s="14">
        <v>10000</v>
      </c>
      <c r="R2295" s="12">
        <v>100</v>
      </c>
      <c r="S2295" s="12" t="s">
        <v>2895</v>
      </c>
      <c r="T2295" s="22">
        <f t="shared" si="178"/>
        <v>6</v>
      </c>
      <c r="U2295" s="22">
        <f t="shared" si="179"/>
        <v>2021</v>
      </c>
      <c r="V2295" s="22" t="str">
        <f t="shared" si="180"/>
        <v>METROPOLITANA</v>
      </c>
    </row>
    <row r="2296" spans="1:22" x14ac:dyDescent="0.2">
      <c r="A2296" s="11" t="s">
        <v>2879</v>
      </c>
      <c r="B2296" s="12" t="s">
        <v>33</v>
      </c>
      <c r="C2296" s="12" t="s">
        <v>50</v>
      </c>
      <c r="D2296" s="12" t="s">
        <v>37</v>
      </c>
      <c r="E2296" s="13" t="s">
        <v>1576</v>
      </c>
      <c r="F2296" s="12" t="s">
        <v>26</v>
      </c>
      <c r="G2296" s="14">
        <v>5506.2</v>
      </c>
      <c r="H2296" s="12" t="s">
        <v>22</v>
      </c>
      <c r="I2296" s="12">
        <v>0</v>
      </c>
      <c r="J2296" s="12" t="s">
        <v>26</v>
      </c>
      <c r="K2296" s="12" t="s">
        <v>23</v>
      </c>
      <c r="L2296" s="12">
        <v>4</v>
      </c>
      <c r="M2296" s="15">
        <v>60568</v>
      </c>
      <c r="N2296" s="15">
        <v>0</v>
      </c>
      <c r="O2296" s="15">
        <f>SUM(M2296:N2296)</f>
        <v>60568</v>
      </c>
      <c r="P2296" s="15">
        <f t="shared" si="177"/>
        <v>10.999963677309216</v>
      </c>
      <c r="Q2296" s="14">
        <v>5000</v>
      </c>
      <c r="R2296" s="12">
        <v>100</v>
      </c>
      <c r="S2296" s="12" t="s">
        <v>2884</v>
      </c>
      <c r="T2296" s="22">
        <f t="shared" si="178"/>
        <v>6</v>
      </c>
      <c r="U2296" s="22">
        <f t="shared" si="179"/>
        <v>2021</v>
      </c>
      <c r="V2296" s="22" t="str">
        <f t="shared" si="180"/>
        <v>METROPOLITANA</v>
      </c>
    </row>
    <row r="2297" spans="1:22" x14ac:dyDescent="0.2">
      <c r="A2297" s="11" t="s">
        <v>2879</v>
      </c>
      <c r="B2297" s="12" t="s">
        <v>33</v>
      </c>
      <c r="C2297" s="12" t="s">
        <v>128</v>
      </c>
      <c r="D2297" s="12" t="s">
        <v>37</v>
      </c>
      <c r="E2297" s="13" t="s">
        <v>40</v>
      </c>
      <c r="F2297" s="12" t="s">
        <v>34</v>
      </c>
      <c r="G2297" s="14">
        <v>7121.5999999999995</v>
      </c>
      <c r="H2297" s="12" t="s">
        <v>22</v>
      </c>
      <c r="I2297" s="12">
        <v>0</v>
      </c>
      <c r="J2297" s="12" t="s">
        <v>34</v>
      </c>
      <c r="K2297" s="12" t="s">
        <v>23</v>
      </c>
      <c r="L2297" s="12">
        <v>1</v>
      </c>
      <c r="M2297" s="15">
        <v>78338</v>
      </c>
      <c r="N2297" s="15">
        <v>0</v>
      </c>
      <c r="O2297" s="15">
        <f>SUM(M2297:N2297)</f>
        <v>78338</v>
      </c>
      <c r="P2297" s="15">
        <f t="shared" si="177"/>
        <v>11.000056167153449</v>
      </c>
      <c r="Q2297" s="14">
        <v>5000</v>
      </c>
      <c r="R2297" s="12">
        <v>100</v>
      </c>
      <c r="S2297" s="12" t="s">
        <v>2885</v>
      </c>
      <c r="T2297" s="22">
        <f t="shared" si="178"/>
        <v>6</v>
      </c>
      <c r="U2297" s="22">
        <f t="shared" si="179"/>
        <v>2021</v>
      </c>
      <c r="V2297" s="22" t="str">
        <f t="shared" si="180"/>
        <v>METROPOLITANA</v>
      </c>
    </row>
    <row r="2298" spans="1:22" x14ac:dyDescent="0.2">
      <c r="A2298" s="11" t="s">
        <v>2879</v>
      </c>
      <c r="B2298" s="12" t="s">
        <v>33</v>
      </c>
      <c r="C2298" s="12" t="s">
        <v>128</v>
      </c>
      <c r="D2298" s="12" t="s">
        <v>63</v>
      </c>
      <c r="E2298" s="13" t="s">
        <v>64</v>
      </c>
      <c r="F2298" s="12" t="s">
        <v>34</v>
      </c>
      <c r="G2298" s="14">
        <v>7075.1999999999989</v>
      </c>
      <c r="H2298" s="12" t="s">
        <v>65</v>
      </c>
      <c r="I2298" s="12">
        <v>0</v>
      </c>
      <c r="J2298" s="12" t="s">
        <v>34</v>
      </c>
      <c r="K2298" s="12" t="s">
        <v>23</v>
      </c>
      <c r="L2298" s="12">
        <v>1</v>
      </c>
      <c r="M2298" s="15">
        <v>77827</v>
      </c>
      <c r="N2298" s="15">
        <v>0</v>
      </c>
      <c r="O2298" s="15">
        <f>SUM(M2298:N2298)</f>
        <v>77827</v>
      </c>
      <c r="P2298" s="15">
        <f t="shared" si="177"/>
        <v>10.999971732247854</v>
      </c>
      <c r="Q2298" s="14">
        <v>5000</v>
      </c>
      <c r="R2298" s="12">
        <v>100</v>
      </c>
      <c r="S2298" s="12" t="s">
        <v>2886</v>
      </c>
      <c r="T2298" s="22">
        <f t="shared" si="178"/>
        <v>6</v>
      </c>
      <c r="U2298" s="22">
        <f t="shared" si="179"/>
        <v>2021</v>
      </c>
      <c r="V2298" s="22" t="str">
        <f t="shared" si="180"/>
        <v>METROPOLITANA</v>
      </c>
    </row>
    <row r="2299" spans="1:22" x14ac:dyDescent="0.2">
      <c r="A2299" s="11" t="s">
        <v>2879</v>
      </c>
      <c r="B2299" s="12" t="s">
        <v>33</v>
      </c>
      <c r="C2299" s="12" t="s">
        <v>128</v>
      </c>
      <c r="D2299" s="12" t="s">
        <v>47</v>
      </c>
      <c r="E2299" s="13" t="s">
        <v>1576</v>
      </c>
      <c r="F2299" s="12" t="s">
        <v>34</v>
      </c>
      <c r="G2299" s="14">
        <v>7503.9999999999973</v>
      </c>
      <c r="H2299" s="12" t="s">
        <v>22</v>
      </c>
      <c r="I2299" s="12">
        <v>0</v>
      </c>
      <c r="J2299" s="12" t="s">
        <v>34</v>
      </c>
      <c r="K2299" s="12" t="s">
        <v>23</v>
      </c>
      <c r="L2299" s="12">
        <v>1</v>
      </c>
      <c r="M2299" s="15">
        <v>82544</v>
      </c>
      <c r="N2299" s="15">
        <v>0</v>
      </c>
      <c r="O2299" s="15">
        <f>SUM(M2299:N2299)</f>
        <v>82544</v>
      </c>
      <c r="P2299" s="15">
        <f t="shared" si="177"/>
        <v>11.000000000000004</v>
      </c>
      <c r="Q2299" s="14">
        <v>5000</v>
      </c>
      <c r="R2299" s="12">
        <v>100</v>
      </c>
      <c r="S2299" s="12" t="s">
        <v>2887</v>
      </c>
      <c r="T2299" s="22">
        <f t="shared" si="178"/>
        <v>6</v>
      </c>
      <c r="U2299" s="22">
        <f t="shared" si="179"/>
        <v>2021</v>
      </c>
      <c r="V2299" s="22" t="str">
        <f t="shared" si="180"/>
        <v>METROPOLITANA</v>
      </c>
    </row>
    <row r="2300" spans="1:22" x14ac:dyDescent="0.2">
      <c r="A2300" s="11" t="s">
        <v>2879</v>
      </c>
      <c r="B2300" s="12" t="s">
        <v>33</v>
      </c>
      <c r="C2300" s="12" t="s">
        <v>128</v>
      </c>
      <c r="D2300" s="12" t="s">
        <v>41</v>
      </c>
      <c r="E2300" s="13" t="s">
        <v>25</v>
      </c>
      <c r="F2300" s="12" t="s">
        <v>34</v>
      </c>
      <c r="G2300" s="14">
        <v>6875.6</v>
      </c>
      <c r="H2300" s="12" t="s">
        <v>43</v>
      </c>
      <c r="I2300" s="12">
        <v>0</v>
      </c>
      <c r="J2300" s="12" t="s">
        <v>34</v>
      </c>
      <c r="K2300" s="12" t="s">
        <v>23</v>
      </c>
      <c r="L2300" s="12">
        <v>1</v>
      </c>
      <c r="M2300" s="15">
        <v>75632</v>
      </c>
      <c r="N2300" s="15">
        <v>0</v>
      </c>
      <c r="O2300" s="15">
        <f>SUM(M2300:N2300)</f>
        <v>75632</v>
      </c>
      <c r="P2300" s="15">
        <f t="shared" si="177"/>
        <v>11.000058176740938</v>
      </c>
      <c r="Q2300" s="14">
        <v>5000</v>
      </c>
      <c r="R2300" s="12">
        <v>100</v>
      </c>
      <c r="S2300" s="12" t="s">
        <v>2888</v>
      </c>
      <c r="T2300" s="22">
        <f t="shared" si="178"/>
        <v>6</v>
      </c>
      <c r="U2300" s="22">
        <f t="shared" si="179"/>
        <v>2021</v>
      </c>
      <c r="V2300" s="22" t="str">
        <f t="shared" si="180"/>
        <v>METROPOLITANA</v>
      </c>
    </row>
    <row r="2301" spans="1:22" x14ac:dyDescent="0.2">
      <c r="A2301" s="11" t="s">
        <v>2879</v>
      </c>
      <c r="B2301" s="12" t="s">
        <v>33</v>
      </c>
      <c r="C2301" s="12" t="s">
        <v>128</v>
      </c>
      <c r="D2301" s="12" t="s">
        <v>20</v>
      </c>
      <c r="E2301" s="13" t="s">
        <v>21</v>
      </c>
      <c r="F2301" s="12" t="s">
        <v>34</v>
      </c>
      <c r="G2301" s="14">
        <f>7504+2944</f>
        <v>10448</v>
      </c>
      <c r="H2301" s="12" t="s">
        <v>22</v>
      </c>
      <c r="I2301" s="12">
        <v>0</v>
      </c>
      <c r="J2301" s="12" t="s">
        <v>34</v>
      </c>
      <c r="K2301" s="12" t="s">
        <v>23</v>
      </c>
      <c r="L2301" s="12">
        <v>1</v>
      </c>
      <c r="M2301" s="15">
        <v>82544</v>
      </c>
      <c r="N2301" s="15">
        <v>0</v>
      </c>
      <c r="O2301" s="15">
        <f>G2301*11</f>
        <v>114928</v>
      </c>
      <c r="P2301" s="15">
        <f t="shared" si="177"/>
        <v>11</v>
      </c>
      <c r="Q2301" s="14">
        <v>5000</v>
      </c>
      <c r="R2301" s="12">
        <v>100</v>
      </c>
      <c r="S2301" s="12" t="s">
        <v>2889</v>
      </c>
      <c r="T2301" s="22">
        <f t="shared" si="178"/>
        <v>6</v>
      </c>
      <c r="U2301" s="22">
        <f t="shared" si="179"/>
        <v>2021</v>
      </c>
      <c r="V2301" s="22" t="str">
        <f t="shared" si="180"/>
        <v>METROPOLITANA</v>
      </c>
    </row>
    <row r="2302" spans="1:22" x14ac:dyDescent="0.2">
      <c r="A2302" s="11" t="s">
        <v>2879</v>
      </c>
      <c r="B2302" s="12" t="s">
        <v>33</v>
      </c>
      <c r="C2302" s="12" t="s">
        <v>29</v>
      </c>
      <c r="D2302" s="12" t="s">
        <v>30</v>
      </c>
      <c r="E2302" s="13" t="s">
        <v>31</v>
      </c>
      <c r="F2302" s="12" t="s">
        <v>39</v>
      </c>
      <c r="G2302" s="14">
        <v>7615.4000000000005</v>
      </c>
      <c r="H2302" s="12" t="s">
        <v>32</v>
      </c>
      <c r="I2302" s="12">
        <v>0</v>
      </c>
      <c r="J2302" s="12" t="s">
        <v>39</v>
      </c>
      <c r="K2302" s="12" t="s">
        <v>23</v>
      </c>
      <c r="L2302" s="12">
        <v>1</v>
      </c>
      <c r="M2302" s="15">
        <v>83769</v>
      </c>
      <c r="N2302" s="15">
        <v>0</v>
      </c>
      <c r="O2302" s="15">
        <f>SUM(M2302:N2302)</f>
        <v>83769</v>
      </c>
      <c r="P2302" s="15">
        <f t="shared" si="177"/>
        <v>10.999947474853585</v>
      </c>
      <c r="Q2302" s="14">
        <v>5000</v>
      </c>
      <c r="R2302" s="12">
        <v>100</v>
      </c>
      <c r="S2302" s="12" t="s">
        <v>2890</v>
      </c>
      <c r="T2302" s="22">
        <f t="shared" si="178"/>
        <v>6</v>
      </c>
      <c r="U2302" s="22">
        <f t="shared" si="179"/>
        <v>2021</v>
      </c>
      <c r="V2302" s="22" t="str">
        <f t="shared" si="180"/>
        <v>METROPOLITANA</v>
      </c>
    </row>
    <row r="2303" spans="1:22" x14ac:dyDescent="0.2">
      <c r="A2303" s="11" t="s">
        <v>2879</v>
      </c>
      <c r="B2303" s="12" t="s">
        <v>33</v>
      </c>
      <c r="C2303" s="12" t="s">
        <v>29</v>
      </c>
      <c r="D2303" s="12" t="s">
        <v>45</v>
      </c>
      <c r="E2303" s="13" t="s">
        <v>52</v>
      </c>
      <c r="F2303" s="12" t="s">
        <v>134</v>
      </c>
      <c r="G2303" s="14">
        <v>5837.9999999999991</v>
      </c>
      <c r="H2303" s="12" t="s">
        <v>22</v>
      </c>
      <c r="I2303" s="12">
        <v>0</v>
      </c>
      <c r="J2303" s="12" t="s">
        <v>134</v>
      </c>
      <c r="K2303" s="12" t="s">
        <v>23</v>
      </c>
      <c r="L2303" s="12">
        <v>2</v>
      </c>
      <c r="M2303" s="15">
        <v>64218</v>
      </c>
      <c r="N2303" s="15">
        <v>0</v>
      </c>
      <c r="O2303" s="15">
        <f>SUM(M2303:N2303)</f>
        <v>64218</v>
      </c>
      <c r="P2303" s="15">
        <f t="shared" si="177"/>
        <v>11.000000000000002</v>
      </c>
      <c r="Q2303" s="14">
        <v>5000</v>
      </c>
      <c r="R2303" s="12">
        <v>100</v>
      </c>
      <c r="S2303" s="12" t="s">
        <v>2891</v>
      </c>
      <c r="T2303" s="22">
        <f t="shared" si="178"/>
        <v>6</v>
      </c>
      <c r="U2303" s="22">
        <f t="shared" si="179"/>
        <v>2021</v>
      </c>
      <c r="V2303" s="22" t="str">
        <f t="shared" si="180"/>
        <v>METROPOLITANA</v>
      </c>
    </row>
    <row r="2304" spans="1:22" x14ac:dyDescent="0.2">
      <c r="A2304" s="11" t="s">
        <v>2879</v>
      </c>
      <c r="B2304" s="12" t="s">
        <v>33</v>
      </c>
      <c r="C2304" s="12" t="s">
        <v>29</v>
      </c>
      <c r="D2304" s="12" t="s">
        <v>41</v>
      </c>
      <c r="E2304" s="13" t="s">
        <v>42</v>
      </c>
      <c r="F2304" s="12" t="s">
        <v>39</v>
      </c>
      <c r="G2304" s="14">
        <v>7113.0000000000027</v>
      </c>
      <c r="H2304" s="12" t="s">
        <v>43</v>
      </c>
      <c r="I2304" s="12">
        <v>0</v>
      </c>
      <c r="J2304" s="12" t="s">
        <v>39</v>
      </c>
      <c r="K2304" s="12" t="s">
        <v>23</v>
      </c>
      <c r="L2304" s="12">
        <v>1</v>
      </c>
      <c r="M2304" s="15">
        <v>78243</v>
      </c>
      <c r="N2304" s="15">
        <v>0</v>
      </c>
      <c r="O2304" s="15">
        <f>SUM(M2304:N2304)</f>
        <v>78243</v>
      </c>
      <c r="P2304" s="15">
        <f t="shared" si="177"/>
        <v>10.999999999999996</v>
      </c>
      <c r="Q2304" s="14">
        <v>5000</v>
      </c>
      <c r="R2304" s="12">
        <v>100</v>
      </c>
      <c r="S2304" s="12" t="s">
        <v>2892</v>
      </c>
      <c r="T2304" s="22">
        <f t="shared" si="178"/>
        <v>6</v>
      </c>
      <c r="U2304" s="22">
        <f t="shared" si="179"/>
        <v>2021</v>
      </c>
      <c r="V2304" s="22" t="str">
        <f t="shared" si="180"/>
        <v>METROPOLITANA</v>
      </c>
    </row>
    <row r="2305" spans="1:22" s="51" customFormat="1" x14ac:dyDescent="0.2">
      <c r="A2305" s="50" t="s">
        <v>2879</v>
      </c>
      <c r="B2305" s="51" t="s">
        <v>33</v>
      </c>
      <c r="C2305" s="51" t="s">
        <v>44</v>
      </c>
      <c r="D2305" s="51" t="s">
        <v>61</v>
      </c>
      <c r="E2305" s="52" t="s">
        <v>62</v>
      </c>
      <c r="F2305" s="51" t="s">
        <v>114</v>
      </c>
      <c r="G2305" s="53">
        <v>8919.9000000000015</v>
      </c>
      <c r="H2305" s="51" t="s">
        <v>85</v>
      </c>
      <c r="I2305" s="51">
        <v>1</v>
      </c>
      <c r="J2305" s="51" t="s">
        <v>114</v>
      </c>
      <c r="K2305" s="51" t="s">
        <v>75</v>
      </c>
      <c r="L2305" s="51">
        <v>0</v>
      </c>
      <c r="M2305" s="54">
        <v>380000</v>
      </c>
      <c r="N2305" s="54">
        <v>0</v>
      </c>
      <c r="O2305" s="15">
        <f>SUM(M2305:N2305)</f>
        <v>380000</v>
      </c>
      <c r="P2305" s="15">
        <f t="shared" si="177"/>
        <v>42.601374454870566</v>
      </c>
      <c r="Q2305" s="53">
        <v>25000</v>
      </c>
      <c r="R2305" s="51">
        <v>36</v>
      </c>
      <c r="S2305" s="51" t="s">
        <v>2893</v>
      </c>
      <c r="T2305" s="51">
        <f t="shared" si="178"/>
        <v>6</v>
      </c>
      <c r="U2305" s="51">
        <f t="shared" si="179"/>
        <v>2021</v>
      </c>
      <c r="V2305" s="51" t="str">
        <f t="shared" si="180"/>
        <v>REGIONES</v>
      </c>
    </row>
    <row r="2306" spans="1:22" x14ac:dyDescent="0.2">
      <c r="A2306" s="11" t="s">
        <v>2879</v>
      </c>
      <c r="B2306" s="12" t="s">
        <v>33</v>
      </c>
      <c r="C2306" s="12" t="s">
        <v>44</v>
      </c>
      <c r="D2306" s="12" t="s">
        <v>35</v>
      </c>
      <c r="E2306" s="13" t="s">
        <v>52</v>
      </c>
      <c r="F2306" s="12" t="s">
        <v>48</v>
      </c>
      <c r="G2306" s="14">
        <v>6500</v>
      </c>
      <c r="H2306" s="12" t="s">
        <v>22</v>
      </c>
      <c r="I2306" s="12">
        <v>0</v>
      </c>
      <c r="J2306" s="12" t="s">
        <v>48</v>
      </c>
      <c r="K2306" s="12" t="s">
        <v>23</v>
      </c>
      <c r="L2306" s="12">
        <v>1</v>
      </c>
      <c r="M2306" s="15">
        <v>71500</v>
      </c>
      <c r="N2306" s="15">
        <v>0</v>
      </c>
      <c r="O2306" s="15">
        <f>SUM(M2306:N2306)</f>
        <v>71500</v>
      </c>
      <c r="P2306" s="15">
        <f t="shared" ref="P2306:P2369" si="184">O2306/G2306</f>
        <v>11</v>
      </c>
      <c r="Q2306" s="14">
        <v>5000</v>
      </c>
      <c r="R2306" s="12">
        <v>100</v>
      </c>
      <c r="S2306" s="12" t="s">
        <v>2894</v>
      </c>
      <c r="T2306" s="22">
        <f t="shared" si="178"/>
        <v>6</v>
      </c>
      <c r="U2306" s="22">
        <f t="shared" si="179"/>
        <v>2021</v>
      </c>
      <c r="V2306" s="22" t="str">
        <f t="shared" si="180"/>
        <v>METROPOLITANA</v>
      </c>
    </row>
    <row r="2307" spans="1:22" x14ac:dyDescent="0.2">
      <c r="A2307" s="23" t="s">
        <v>2896</v>
      </c>
      <c r="B2307" s="22" t="s">
        <v>18</v>
      </c>
      <c r="C2307" s="22" t="s">
        <v>57</v>
      </c>
      <c r="D2307" s="22" t="s">
        <v>38</v>
      </c>
      <c r="E2307" s="24" t="s">
        <v>42</v>
      </c>
      <c r="F2307" s="22" t="s">
        <v>120</v>
      </c>
      <c r="G2307" s="25">
        <v>8177.78</v>
      </c>
      <c r="H2307" s="22" t="s">
        <v>43</v>
      </c>
      <c r="I2307" s="22">
        <v>0</v>
      </c>
      <c r="J2307" s="22" t="s">
        <v>120</v>
      </c>
      <c r="K2307" s="22" t="s">
        <v>23</v>
      </c>
      <c r="L2307" s="22">
        <v>5</v>
      </c>
      <c r="M2307" s="26">
        <v>70000</v>
      </c>
      <c r="N2307" s="26">
        <v>0</v>
      </c>
      <c r="O2307" s="15">
        <f>G2307*11</f>
        <v>89955.58</v>
      </c>
      <c r="P2307" s="15">
        <f t="shared" si="184"/>
        <v>11</v>
      </c>
      <c r="Q2307" s="25">
        <v>10000</v>
      </c>
      <c r="R2307" s="22">
        <v>82</v>
      </c>
      <c r="S2307" s="22" t="s">
        <v>2897</v>
      </c>
      <c r="T2307" s="22">
        <f t="shared" si="178"/>
        <v>6</v>
      </c>
      <c r="U2307" s="22">
        <f t="shared" si="179"/>
        <v>2021</v>
      </c>
      <c r="V2307" s="22" t="str">
        <f t="shared" si="180"/>
        <v>METROPOLITANA</v>
      </c>
    </row>
    <row r="2308" spans="1:22" x14ac:dyDescent="0.2">
      <c r="A2308" s="23" t="s">
        <v>2896</v>
      </c>
      <c r="B2308" s="22" t="s">
        <v>18</v>
      </c>
      <c r="C2308" s="22" t="s">
        <v>508</v>
      </c>
      <c r="D2308" s="22" t="s">
        <v>63</v>
      </c>
      <c r="E2308" s="24" t="s">
        <v>64</v>
      </c>
      <c r="F2308" s="22" t="s">
        <v>2323</v>
      </c>
      <c r="G2308" s="25">
        <v>8265.2099999999991</v>
      </c>
      <c r="H2308" s="22" t="s">
        <v>65</v>
      </c>
      <c r="I2308" s="22">
        <v>0</v>
      </c>
      <c r="J2308" s="22" t="s">
        <v>182</v>
      </c>
      <c r="K2308" s="22" t="s">
        <v>23</v>
      </c>
      <c r="L2308" s="22">
        <v>4</v>
      </c>
      <c r="M2308" s="26">
        <v>90917</v>
      </c>
      <c r="N2308" s="26">
        <v>0</v>
      </c>
      <c r="O2308" s="15">
        <f>SUM(M2308:N2308)</f>
        <v>90917</v>
      </c>
      <c r="P2308" s="15">
        <f t="shared" si="184"/>
        <v>10.999962493390974</v>
      </c>
      <c r="Q2308" s="25">
        <v>5000</v>
      </c>
      <c r="R2308" s="22">
        <v>100</v>
      </c>
      <c r="S2308" s="22" t="s">
        <v>2898</v>
      </c>
      <c r="T2308" s="22">
        <f t="shared" si="178"/>
        <v>6</v>
      </c>
      <c r="U2308" s="22">
        <f t="shared" si="179"/>
        <v>2021</v>
      </c>
      <c r="V2308" s="22" t="str">
        <f t="shared" si="180"/>
        <v>METROPOLITANA</v>
      </c>
    </row>
    <row r="2309" spans="1:22" x14ac:dyDescent="0.2">
      <c r="A2309" s="23" t="s">
        <v>2896</v>
      </c>
      <c r="B2309" s="22" t="s">
        <v>33</v>
      </c>
      <c r="C2309" s="22" t="s">
        <v>57</v>
      </c>
      <c r="D2309" s="22" t="s">
        <v>45</v>
      </c>
      <c r="E2309" s="24" t="s">
        <v>1576</v>
      </c>
      <c r="F2309" s="22" t="s">
        <v>120</v>
      </c>
      <c r="G2309" s="25">
        <v>4149.6499999999996</v>
      </c>
      <c r="H2309" s="22" t="s">
        <v>22</v>
      </c>
      <c r="I2309" s="22">
        <v>0</v>
      </c>
      <c r="J2309" s="22" t="s">
        <v>120</v>
      </c>
      <c r="K2309" s="22" t="s">
        <v>23</v>
      </c>
      <c r="L2309" s="22">
        <v>5</v>
      </c>
      <c r="M2309" s="26">
        <v>70000</v>
      </c>
      <c r="N2309" s="26">
        <v>0</v>
      </c>
      <c r="O2309" s="15">
        <f>SUM(M2309:N2309)</f>
        <v>70000</v>
      </c>
      <c r="P2309" s="15">
        <f t="shared" si="184"/>
        <v>16.868892557203623</v>
      </c>
      <c r="Q2309" s="25">
        <v>10000</v>
      </c>
      <c r="R2309" s="22">
        <v>41</v>
      </c>
      <c r="S2309" s="22" t="s">
        <v>2899</v>
      </c>
      <c r="T2309" s="22">
        <f t="shared" si="178"/>
        <v>6</v>
      </c>
      <c r="U2309" s="22">
        <f t="shared" si="179"/>
        <v>2021</v>
      </c>
      <c r="V2309" s="22" t="str">
        <f t="shared" si="180"/>
        <v>METROPOLITANA</v>
      </c>
    </row>
    <row r="2310" spans="1:22" x14ac:dyDescent="0.2">
      <c r="A2310" s="23" t="s">
        <v>2896</v>
      </c>
      <c r="B2310" s="22" t="s">
        <v>33</v>
      </c>
      <c r="C2310" s="22" t="s">
        <v>2507</v>
      </c>
      <c r="D2310" s="22" t="s">
        <v>41</v>
      </c>
      <c r="E2310" s="24" t="s">
        <v>25</v>
      </c>
      <c r="F2310" s="22" t="s">
        <v>2508</v>
      </c>
      <c r="G2310" s="25">
        <v>10967.53</v>
      </c>
      <c r="H2310" s="22" t="s">
        <v>43</v>
      </c>
      <c r="I2310" s="22">
        <v>0</v>
      </c>
      <c r="J2310" s="22" t="s">
        <v>2508</v>
      </c>
      <c r="K2310" s="22" t="s">
        <v>171</v>
      </c>
      <c r="L2310" s="22">
        <v>0</v>
      </c>
      <c r="M2310" s="26">
        <v>180000</v>
      </c>
      <c r="N2310" s="26">
        <v>0</v>
      </c>
      <c r="O2310" s="15">
        <f>SUM(M2310:N2310)</f>
        <v>180000</v>
      </c>
      <c r="P2310" s="15">
        <f t="shared" si="184"/>
        <v>16.412081845228595</v>
      </c>
      <c r="Q2310" s="25">
        <v>25000</v>
      </c>
      <c r="R2310" s="22">
        <v>44</v>
      </c>
      <c r="S2310" s="22" t="s">
        <v>2900</v>
      </c>
      <c r="T2310" s="22">
        <f t="shared" si="178"/>
        <v>6</v>
      </c>
      <c r="U2310" s="22">
        <f t="shared" si="179"/>
        <v>2021</v>
      </c>
      <c r="V2310" s="22" t="str">
        <f t="shared" si="180"/>
        <v>REGIONES</v>
      </c>
    </row>
    <row r="2311" spans="1:22" x14ac:dyDescent="0.2">
      <c r="A2311" s="23" t="s">
        <v>2896</v>
      </c>
      <c r="B2311" s="22" t="s">
        <v>33</v>
      </c>
      <c r="C2311" s="22" t="s">
        <v>223</v>
      </c>
      <c r="D2311" s="22" t="s">
        <v>30</v>
      </c>
      <c r="E2311" s="24" t="s">
        <v>31</v>
      </c>
      <c r="F2311" s="22" t="s">
        <v>39</v>
      </c>
      <c r="G2311" s="25">
        <v>9579.6</v>
      </c>
      <c r="H2311" s="22" t="s">
        <v>32</v>
      </c>
      <c r="I2311" s="22">
        <v>0</v>
      </c>
      <c r="J2311" s="22" t="s">
        <v>39</v>
      </c>
      <c r="K2311" s="22" t="s">
        <v>23</v>
      </c>
      <c r="L2311" s="22">
        <v>1</v>
      </c>
      <c r="M2311" s="26">
        <v>105376</v>
      </c>
      <c r="N2311" s="26">
        <v>0</v>
      </c>
      <c r="O2311" s="15">
        <f>SUM(M2311:N2311)</f>
        <v>105376</v>
      </c>
      <c r="P2311" s="15">
        <f t="shared" si="184"/>
        <v>11.000041755396884</v>
      </c>
      <c r="Q2311" s="25">
        <v>5000</v>
      </c>
      <c r="R2311" s="22">
        <v>100</v>
      </c>
      <c r="S2311" s="22" t="s">
        <v>2901</v>
      </c>
      <c r="T2311" s="22">
        <f t="shared" si="178"/>
        <v>6</v>
      </c>
      <c r="U2311" s="22">
        <f t="shared" si="179"/>
        <v>2021</v>
      </c>
      <c r="V2311" s="22" t="str">
        <f t="shared" si="180"/>
        <v>METROPOLITANA</v>
      </c>
    </row>
    <row r="2312" spans="1:22" x14ac:dyDescent="0.2">
      <c r="A2312" s="23" t="s">
        <v>2896</v>
      </c>
      <c r="B2312" s="22" t="s">
        <v>33</v>
      </c>
      <c r="C2312" s="22" t="s">
        <v>2862</v>
      </c>
      <c r="D2312" s="22" t="s">
        <v>63</v>
      </c>
      <c r="E2312" s="24" t="s">
        <v>64</v>
      </c>
      <c r="F2312" s="22" t="s">
        <v>129</v>
      </c>
      <c r="G2312" s="25">
        <v>9755.1999999999971</v>
      </c>
      <c r="H2312" s="22" t="s">
        <v>65</v>
      </c>
      <c r="I2312" s="22">
        <v>0</v>
      </c>
      <c r="J2312" s="22" t="s">
        <v>129</v>
      </c>
      <c r="K2312" s="22" t="s">
        <v>23</v>
      </c>
      <c r="L2312" s="22">
        <v>1</v>
      </c>
      <c r="M2312" s="26">
        <v>107307</v>
      </c>
      <c r="N2312" s="26">
        <v>0</v>
      </c>
      <c r="O2312" s="15">
        <f>SUM(M2312:N2312)</f>
        <v>107307</v>
      </c>
      <c r="P2312" s="15">
        <f t="shared" si="184"/>
        <v>10.999979498113829</v>
      </c>
      <c r="Q2312" s="25">
        <v>5000</v>
      </c>
      <c r="R2312" s="22">
        <v>100</v>
      </c>
      <c r="S2312" s="22" t="s">
        <v>2902</v>
      </c>
      <c r="T2312" s="22">
        <f t="shared" ref="T2312:T2375" si="185">MONTH(A2312)</f>
        <v>6</v>
      </c>
      <c r="U2312" s="22">
        <f t="shared" ref="U2312:U2375" si="186">YEAR(A2312)</f>
        <v>2021</v>
      </c>
      <c r="V2312" s="22" t="str">
        <f t="shared" ref="V2312:V2375" si="187">IF(K2312="METROPOLITANA DE SANTIAGO","METROPOLITANA","REGIONES")</f>
        <v>METROPOLITANA</v>
      </c>
    </row>
    <row r="2313" spans="1:22" x14ac:dyDescent="0.2">
      <c r="A2313" s="23" t="s">
        <v>2896</v>
      </c>
      <c r="B2313" s="22" t="s">
        <v>33</v>
      </c>
      <c r="C2313" s="22" t="s">
        <v>29</v>
      </c>
      <c r="D2313" s="22" t="s">
        <v>37</v>
      </c>
      <c r="E2313" s="24" t="s">
        <v>40</v>
      </c>
      <c r="F2313" s="22" t="s">
        <v>39</v>
      </c>
      <c r="G2313" s="25">
        <f>8114.41+3726</f>
        <v>11840.41</v>
      </c>
      <c r="H2313" s="22" t="s">
        <v>22</v>
      </c>
      <c r="I2313" s="22">
        <v>0</v>
      </c>
      <c r="J2313" s="22" t="s">
        <v>39</v>
      </c>
      <c r="K2313" s="22" t="s">
        <v>23</v>
      </c>
      <c r="L2313" s="22">
        <v>1</v>
      </c>
      <c r="M2313" s="26">
        <v>89259</v>
      </c>
      <c r="N2313" s="26">
        <v>0</v>
      </c>
      <c r="O2313" s="15">
        <f>G2313*11</f>
        <v>130244.51</v>
      </c>
      <c r="P2313" s="15">
        <f t="shared" si="184"/>
        <v>11</v>
      </c>
      <c r="Q2313" s="25">
        <v>5000</v>
      </c>
      <c r="R2313" s="22">
        <v>100</v>
      </c>
      <c r="S2313" s="22" t="s">
        <v>2910</v>
      </c>
      <c r="T2313" s="22">
        <f t="shared" si="185"/>
        <v>6</v>
      </c>
      <c r="U2313" s="22">
        <f t="shared" si="186"/>
        <v>2021</v>
      </c>
      <c r="V2313" s="22" t="str">
        <f t="shared" si="187"/>
        <v>METROPOLITANA</v>
      </c>
    </row>
    <row r="2314" spans="1:22" x14ac:dyDescent="0.2">
      <c r="A2314" s="23" t="s">
        <v>2896</v>
      </c>
      <c r="B2314" s="22" t="s">
        <v>33</v>
      </c>
      <c r="C2314" s="22" t="s">
        <v>29</v>
      </c>
      <c r="D2314" s="22" t="s">
        <v>786</v>
      </c>
      <c r="E2314" s="24" t="s">
        <v>787</v>
      </c>
      <c r="F2314" s="22" t="s">
        <v>132</v>
      </c>
      <c r="G2314" s="25">
        <v>13745.099999999989</v>
      </c>
      <c r="H2314" s="22" t="s">
        <v>788</v>
      </c>
      <c r="I2314" s="22">
        <v>1</v>
      </c>
      <c r="J2314" s="22" t="s">
        <v>132</v>
      </c>
      <c r="K2314" s="22" t="s">
        <v>124</v>
      </c>
      <c r="L2314" s="22">
        <v>0</v>
      </c>
      <c r="M2314" s="26">
        <v>350000</v>
      </c>
      <c r="N2314" s="26">
        <v>0</v>
      </c>
      <c r="O2314" s="15">
        <f>SUM(M2314:N2314)</f>
        <v>350000</v>
      </c>
      <c r="P2314" s="15">
        <f t="shared" si="184"/>
        <v>25.463619762679084</v>
      </c>
      <c r="Q2314" s="25">
        <v>25000</v>
      </c>
      <c r="R2314" s="22">
        <v>55</v>
      </c>
      <c r="S2314" s="22" t="s">
        <v>2903</v>
      </c>
      <c r="T2314" s="22">
        <f t="shared" si="185"/>
        <v>6</v>
      </c>
      <c r="U2314" s="22">
        <f t="shared" si="186"/>
        <v>2021</v>
      </c>
      <c r="V2314" s="22" t="str">
        <f t="shared" si="187"/>
        <v>REGIONES</v>
      </c>
    </row>
    <row r="2315" spans="1:22" x14ac:dyDescent="0.2">
      <c r="A2315" s="23" t="s">
        <v>2896</v>
      </c>
      <c r="B2315" s="22" t="s">
        <v>33</v>
      </c>
      <c r="C2315" s="22" t="s">
        <v>29</v>
      </c>
      <c r="D2315" s="22" t="s">
        <v>30</v>
      </c>
      <c r="E2315" s="24" t="s">
        <v>31</v>
      </c>
      <c r="F2315" s="22" t="s">
        <v>39</v>
      </c>
      <c r="G2315" s="25">
        <f>6655.2+334</f>
        <v>6989.2</v>
      </c>
      <c r="H2315" s="22" t="s">
        <v>32</v>
      </c>
      <c r="I2315" s="22">
        <v>0</v>
      </c>
      <c r="J2315" s="22" t="s">
        <v>39</v>
      </c>
      <c r="K2315" s="22" t="s">
        <v>23</v>
      </c>
      <c r="L2315" s="22">
        <v>1</v>
      </c>
      <c r="M2315" s="26">
        <v>73207</v>
      </c>
      <c r="N2315" s="26">
        <v>0</v>
      </c>
      <c r="O2315" s="15">
        <f>G2315*11</f>
        <v>76881.2</v>
      </c>
      <c r="P2315" s="15">
        <f t="shared" si="184"/>
        <v>11</v>
      </c>
      <c r="Q2315" s="25">
        <v>5000</v>
      </c>
      <c r="R2315" s="22">
        <v>100</v>
      </c>
      <c r="S2315" s="22" t="s">
        <v>2909</v>
      </c>
      <c r="T2315" s="22">
        <f t="shared" si="185"/>
        <v>6</v>
      </c>
      <c r="U2315" s="22">
        <f t="shared" si="186"/>
        <v>2021</v>
      </c>
      <c r="V2315" s="22" t="str">
        <f t="shared" si="187"/>
        <v>METROPOLITANA</v>
      </c>
    </row>
    <row r="2316" spans="1:22" x14ac:dyDescent="0.2">
      <c r="A2316" s="23" t="s">
        <v>2896</v>
      </c>
      <c r="B2316" s="22" t="s">
        <v>33</v>
      </c>
      <c r="C2316" s="22" t="s">
        <v>29</v>
      </c>
      <c r="D2316" s="22" t="s">
        <v>41</v>
      </c>
      <c r="E2316" s="24" t="s">
        <v>25</v>
      </c>
      <c r="F2316" s="22" t="s">
        <v>39</v>
      </c>
      <c r="G2316" s="25">
        <v>11232.6</v>
      </c>
      <c r="H2316" s="22" t="s">
        <v>43</v>
      </c>
      <c r="I2316" s="22">
        <v>0</v>
      </c>
      <c r="J2316" s="22" t="s">
        <v>39</v>
      </c>
      <c r="K2316" s="22" t="s">
        <v>23</v>
      </c>
      <c r="L2316" s="22">
        <v>1</v>
      </c>
      <c r="M2316" s="26">
        <v>123559</v>
      </c>
      <c r="N2316" s="26">
        <v>0</v>
      </c>
      <c r="O2316" s="15">
        <f>SUM(M2316:N2316)</f>
        <v>123559</v>
      </c>
      <c r="P2316" s="15">
        <f t="shared" si="184"/>
        <v>11.000035610633335</v>
      </c>
      <c r="Q2316" s="25">
        <v>5000</v>
      </c>
      <c r="R2316" s="22">
        <v>100</v>
      </c>
      <c r="S2316" s="22" t="s">
        <v>2904</v>
      </c>
      <c r="T2316" s="22">
        <f t="shared" si="185"/>
        <v>6</v>
      </c>
      <c r="U2316" s="22">
        <f t="shared" si="186"/>
        <v>2021</v>
      </c>
      <c r="V2316" s="22" t="str">
        <f t="shared" si="187"/>
        <v>METROPOLITANA</v>
      </c>
    </row>
    <row r="2317" spans="1:22" x14ac:dyDescent="0.2">
      <c r="A2317" s="23" t="s">
        <v>2896</v>
      </c>
      <c r="B2317" s="22" t="s">
        <v>33</v>
      </c>
      <c r="C2317" s="22" t="s">
        <v>29</v>
      </c>
      <c r="D2317" s="22" t="s">
        <v>20</v>
      </c>
      <c r="E2317" s="24" t="s">
        <v>21</v>
      </c>
      <c r="F2317" s="22" t="s">
        <v>134</v>
      </c>
      <c r="G2317" s="25">
        <v>8254.3999999999978</v>
      </c>
      <c r="H2317" s="22" t="s">
        <v>22</v>
      </c>
      <c r="I2317" s="22">
        <v>0</v>
      </c>
      <c r="J2317" s="22" t="s">
        <v>134</v>
      </c>
      <c r="K2317" s="22" t="s">
        <v>23</v>
      </c>
      <c r="L2317" s="22">
        <v>2</v>
      </c>
      <c r="M2317" s="26">
        <v>90798</v>
      </c>
      <c r="N2317" s="26">
        <v>0</v>
      </c>
      <c r="O2317" s="15">
        <f>SUM(M2317:N2317)</f>
        <v>90798</v>
      </c>
      <c r="P2317" s="15">
        <f t="shared" si="184"/>
        <v>10.999951540996321</v>
      </c>
      <c r="Q2317" s="25">
        <v>5000</v>
      </c>
      <c r="R2317" s="22">
        <v>100</v>
      </c>
      <c r="S2317" s="22" t="s">
        <v>2905</v>
      </c>
      <c r="T2317" s="22">
        <f t="shared" si="185"/>
        <v>6</v>
      </c>
      <c r="U2317" s="22">
        <f t="shared" si="186"/>
        <v>2021</v>
      </c>
      <c r="V2317" s="22" t="str">
        <f t="shared" si="187"/>
        <v>METROPOLITANA</v>
      </c>
    </row>
    <row r="2318" spans="1:22" x14ac:dyDescent="0.2">
      <c r="A2318" s="23" t="s">
        <v>2896</v>
      </c>
      <c r="B2318" s="22" t="s">
        <v>33</v>
      </c>
      <c r="C2318" s="22" t="s">
        <v>44</v>
      </c>
      <c r="D2318" s="22" t="s">
        <v>56</v>
      </c>
      <c r="E2318" s="24" t="s">
        <v>52</v>
      </c>
      <c r="F2318" s="22" t="s">
        <v>46</v>
      </c>
      <c r="G2318" s="25">
        <v>8267.4199999999983</v>
      </c>
      <c r="H2318" s="22" t="s">
        <v>22</v>
      </c>
      <c r="I2318" s="22">
        <v>0</v>
      </c>
      <c r="J2318" s="22" t="s">
        <v>46</v>
      </c>
      <c r="K2318" s="22" t="s">
        <v>23</v>
      </c>
      <c r="L2318" s="22">
        <v>2</v>
      </c>
      <c r="M2318" s="26">
        <v>90942</v>
      </c>
      <c r="N2318" s="26">
        <v>0</v>
      </c>
      <c r="O2318" s="15">
        <f>SUM(M2318:N2318)</f>
        <v>90942</v>
      </c>
      <c r="P2318" s="15">
        <f t="shared" si="184"/>
        <v>11.000045963553324</v>
      </c>
      <c r="Q2318" s="25">
        <v>5000</v>
      </c>
      <c r="R2318" s="22">
        <v>100</v>
      </c>
      <c r="S2318" s="22" t="s">
        <v>2906</v>
      </c>
      <c r="T2318" s="22">
        <f t="shared" si="185"/>
        <v>6</v>
      </c>
      <c r="U2318" s="22">
        <f t="shared" si="186"/>
        <v>2021</v>
      </c>
      <c r="V2318" s="22" t="str">
        <f t="shared" si="187"/>
        <v>METROPOLITANA</v>
      </c>
    </row>
    <row r="2319" spans="1:22" x14ac:dyDescent="0.2">
      <c r="A2319" s="23" t="s">
        <v>2896</v>
      </c>
      <c r="B2319" s="22" t="s">
        <v>33</v>
      </c>
      <c r="C2319" s="22" t="s">
        <v>44</v>
      </c>
      <c r="D2319" s="22" t="s">
        <v>191</v>
      </c>
      <c r="E2319" s="24" t="s">
        <v>192</v>
      </c>
      <c r="F2319" s="22" t="s">
        <v>114</v>
      </c>
      <c r="G2319" s="25">
        <f>12526.04+1683</f>
        <v>14209.04</v>
      </c>
      <c r="H2319" s="22" t="s">
        <v>85</v>
      </c>
      <c r="I2319" s="22">
        <v>1</v>
      </c>
      <c r="J2319" s="22" t="s">
        <v>114</v>
      </c>
      <c r="K2319" s="22" t="s">
        <v>75</v>
      </c>
      <c r="L2319" s="22">
        <v>0</v>
      </c>
      <c r="M2319" s="26">
        <v>380000</v>
      </c>
      <c r="N2319" s="26">
        <v>0</v>
      </c>
      <c r="O2319" s="15">
        <f>SUM(M2319:N2319)</f>
        <v>380000</v>
      </c>
      <c r="P2319" s="15">
        <f t="shared" si="184"/>
        <v>26.743537916706547</v>
      </c>
      <c r="Q2319" s="25">
        <v>25000</v>
      </c>
      <c r="R2319" s="22">
        <v>50</v>
      </c>
      <c r="S2319" s="22" t="s">
        <v>2907</v>
      </c>
      <c r="T2319" s="22">
        <f t="shared" si="185"/>
        <v>6</v>
      </c>
      <c r="U2319" s="22">
        <f t="shared" si="186"/>
        <v>2021</v>
      </c>
      <c r="V2319" s="22" t="str">
        <f t="shared" si="187"/>
        <v>REGIONES</v>
      </c>
    </row>
    <row r="2320" spans="1:22" x14ac:dyDescent="0.2">
      <c r="A2320" s="23" t="s">
        <v>2896</v>
      </c>
      <c r="B2320" s="22" t="s">
        <v>33</v>
      </c>
      <c r="C2320" s="22" t="s">
        <v>44</v>
      </c>
      <c r="D2320" s="22" t="s">
        <v>47</v>
      </c>
      <c r="E2320" s="24" t="s">
        <v>1576</v>
      </c>
      <c r="F2320" s="22" t="s">
        <v>48</v>
      </c>
      <c r="G2320" s="25">
        <f>3905.3+1501+344</f>
        <v>5750.3</v>
      </c>
      <c r="H2320" s="22" t="s">
        <v>22</v>
      </c>
      <c r="I2320" s="22">
        <v>0</v>
      </c>
      <c r="J2320" s="22" t="s">
        <v>48</v>
      </c>
      <c r="K2320" s="22" t="s">
        <v>23</v>
      </c>
      <c r="L2320" s="22">
        <v>1</v>
      </c>
      <c r="M2320" s="26">
        <v>55000</v>
      </c>
      <c r="N2320" s="26">
        <v>0</v>
      </c>
      <c r="O2320" s="15">
        <f>G2320*11</f>
        <v>63253.3</v>
      </c>
      <c r="P2320" s="15">
        <f t="shared" si="184"/>
        <v>11</v>
      </c>
      <c r="Q2320" s="25">
        <v>5000</v>
      </c>
      <c r="R2320" s="22">
        <v>78</v>
      </c>
      <c r="S2320" s="22" t="s">
        <v>2908</v>
      </c>
      <c r="T2320" s="22">
        <f t="shared" si="185"/>
        <v>6</v>
      </c>
      <c r="U2320" s="22">
        <f t="shared" si="186"/>
        <v>2021</v>
      </c>
      <c r="V2320" s="22" t="str">
        <f t="shared" si="187"/>
        <v>METROPOLITANA</v>
      </c>
    </row>
    <row r="2321" spans="1:22" x14ac:dyDescent="0.2">
      <c r="A2321" s="11" t="s">
        <v>2911</v>
      </c>
      <c r="B2321" s="12" t="s">
        <v>18</v>
      </c>
      <c r="C2321" s="12" t="s">
        <v>57</v>
      </c>
      <c r="D2321" s="12" t="s">
        <v>41</v>
      </c>
      <c r="E2321" s="13" t="s">
        <v>25</v>
      </c>
      <c r="F2321" s="12" t="s">
        <v>120</v>
      </c>
      <c r="G2321" s="14">
        <v>7930.9599999999973</v>
      </c>
      <c r="H2321" s="12" t="s">
        <v>43</v>
      </c>
      <c r="I2321" s="12">
        <v>0</v>
      </c>
      <c r="J2321" s="12" t="s">
        <v>120</v>
      </c>
      <c r="K2321" s="12" t="s">
        <v>23</v>
      </c>
      <c r="L2321" s="12">
        <v>5</v>
      </c>
      <c r="M2321" s="15">
        <v>70000</v>
      </c>
      <c r="N2321" s="15">
        <v>0</v>
      </c>
      <c r="O2321" s="15">
        <f>G2321*11</f>
        <v>87240.559999999969</v>
      </c>
      <c r="P2321" s="15">
        <f t="shared" si="184"/>
        <v>11</v>
      </c>
      <c r="Q2321" s="14">
        <v>10000</v>
      </c>
      <c r="R2321" s="12">
        <v>79</v>
      </c>
      <c r="S2321" s="12" t="s">
        <v>2912</v>
      </c>
      <c r="T2321" s="22">
        <f t="shared" si="185"/>
        <v>6</v>
      </c>
      <c r="U2321" s="22">
        <f t="shared" si="186"/>
        <v>2021</v>
      </c>
      <c r="V2321" s="22" t="str">
        <f t="shared" si="187"/>
        <v>METROPOLITANA</v>
      </c>
    </row>
    <row r="2322" spans="1:22" x14ac:dyDescent="0.2">
      <c r="A2322" s="11" t="s">
        <v>2911</v>
      </c>
      <c r="B2322" s="12" t="s">
        <v>18</v>
      </c>
      <c r="C2322" s="12" t="s">
        <v>163</v>
      </c>
      <c r="D2322" s="12" t="s">
        <v>164</v>
      </c>
      <c r="E2322" s="13" t="s">
        <v>28</v>
      </c>
      <c r="F2322" s="12" t="s">
        <v>165</v>
      </c>
      <c r="G2322" s="14">
        <v>23277.47</v>
      </c>
      <c r="H2322" s="12" t="s">
        <v>22</v>
      </c>
      <c r="I2322" s="12">
        <v>1</v>
      </c>
      <c r="J2322" s="12" t="s">
        <v>165</v>
      </c>
      <c r="K2322" s="12" t="s">
        <v>23</v>
      </c>
      <c r="L2322" s="12">
        <v>4</v>
      </c>
      <c r="M2322" s="15">
        <v>256052</v>
      </c>
      <c r="N2322" s="15">
        <v>0</v>
      </c>
      <c r="O2322" s="15">
        <f t="shared" ref="O2322:O2336" si="188">SUM(M2322:N2322)</f>
        <v>256052</v>
      </c>
      <c r="P2322" s="15">
        <f t="shared" si="184"/>
        <v>10.999992696800811</v>
      </c>
      <c r="Q2322" s="14">
        <v>5000</v>
      </c>
      <c r="R2322" s="12">
        <v>100</v>
      </c>
      <c r="S2322" s="12" t="s">
        <v>2913</v>
      </c>
      <c r="T2322" s="22">
        <f t="shared" si="185"/>
        <v>6</v>
      </c>
      <c r="U2322" s="22">
        <f t="shared" si="186"/>
        <v>2021</v>
      </c>
      <c r="V2322" s="22" t="str">
        <f t="shared" si="187"/>
        <v>METROPOLITANA</v>
      </c>
    </row>
    <row r="2323" spans="1:22" x14ac:dyDescent="0.2">
      <c r="A2323" s="11" t="s">
        <v>2911</v>
      </c>
      <c r="B2323" s="12" t="s">
        <v>18</v>
      </c>
      <c r="C2323" s="12" t="s">
        <v>193</v>
      </c>
      <c r="D2323" s="12" t="s">
        <v>37</v>
      </c>
      <c r="E2323" s="13" t="s">
        <v>40</v>
      </c>
      <c r="F2323" s="12" t="s">
        <v>194</v>
      </c>
      <c r="G2323" s="14">
        <v>11136</v>
      </c>
      <c r="H2323" s="12" t="s">
        <v>22</v>
      </c>
      <c r="I2323" s="12">
        <v>0</v>
      </c>
      <c r="J2323" s="12" t="s">
        <v>194</v>
      </c>
      <c r="K2323" s="12" t="s">
        <v>23</v>
      </c>
      <c r="L2323" s="12">
        <v>4</v>
      </c>
      <c r="M2323" s="15">
        <v>122496</v>
      </c>
      <c r="N2323" s="15">
        <v>0</v>
      </c>
      <c r="O2323" s="15">
        <f t="shared" si="188"/>
        <v>122496</v>
      </c>
      <c r="P2323" s="15">
        <f t="shared" si="184"/>
        <v>11</v>
      </c>
      <c r="Q2323" s="14">
        <v>5000</v>
      </c>
      <c r="R2323" s="12">
        <v>100</v>
      </c>
      <c r="S2323" s="12" t="s">
        <v>2914</v>
      </c>
      <c r="T2323" s="22">
        <f t="shared" si="185"/>
        <v>6</v>
      </c>
      <c r="U2323" s="22">
        <f t="shared" si="186"/>
        <v>2021</v>
      </c>
      <c r="V2323" s="22" t="str">
        <f t="shared" si="187"/>
        <v>METROPOLITANA</v>
      </c>
    </row>
    <row r="2324" spans="1:22" x14ac:dyDescent="0.2">
      <c r="A2324" s="11" t="s">
        <v>2911</v>
      </c>
      <c r="B2324" s="12" t="s">
        <v>18</v>
      </c>
      <c r="C2324" s="12" t="s">
        <v>193</v>
      </c>
      <c r="D2324" s="12" t="s">
        <v>63</v>
      </c>
      <c r="E2324" s="13" t="s">
        <v>64</v>
      </c>
      <c r="F2324" s="12" t="s">
        <v>194</v>
      </c>
      <c r="G2324" s="14">
        <v>7685.9999999999973</v>
      </c>
      <c r="H2324" s="12" t="s">
        <v>65</v>
      </c>
      <c r="I2324" s="12">
        <v>0</v>
      </c>
      <c r="J2324" s="12" t="s">
        <v>194</v>
      </c>
      <c r="K2324" s="12" t="s">
        <v>23</v>
      </c>
      <c r="L2324" s="12">
        <v>4</v>
      </c>
      <c r="M2324" s="15">
        <v>84546</v>
      </c>
      <c r="N2324" s="15">
        <v>0</v>
      </c>
      <c r="O2324" s="15">
        <f t="shared" si="188"/>
        <v>84546</v>
      </c>
      <c r="P2324" s="15">
        <f t="shared" si="184"/>
        <v>11.000000000000004</v>
      </c>
      <c r="Q2324" s="14">
        <v>5000</v>
      </c>
      <c r="R2324" s="12">
        <v>100</v>
      </c>
      <c r="S2324" s="12" t="s">
        <v>2915</v>
      </c>
      <c r="T2324" s="22">
        <f t="shared" si="185"/>
        <v>6</v>
      </c>
      <c r="U2324" s="22">
        <f t="shared" si="186"/>
        <v>2021</v>
      </c>
      <c r="V2324" s="22" t="str">
        <f t="shared" si="187"/>
        <v>METROPOLITANA</v>
      </c>
    </row>
    <row r="2325" spans="1:22" x14ac:dyDescent="0.2">
      <c r="A2325" s="11" t="s">
        <v>2911</v>
      </c>
      <c r="B2325" s="12" t="s">
        <v>18</v>
      </c>
      <c r="C2325" s="12" t="s">
        <v>87</v>
      </c>
      <c r="D2325" s="12" t="s">
        <v>20</v>
      </c>
      <c r="E2325" s="13" t="s">
        <v>21</v>
      </c>
      <c r="F2325" s="12" t="s">
        <v>51</v>
      </c>
      <c r="G2325" s="14">
        <v>8000.28</v>
      </c>
      <c r="H2325" s="12" t="s">
        <v>22</v>
      </c>
      <c r="I2325" s="12">
        <v>0</v>
      </c>
      <c r="J2325" s="12" t="s">
        <v>51</v>
      </c>
      <c r="K2325" s="12" t="s">
        <v>23</v>
      </c>
      <c r="L2325" s="12">
        <v>4</v>
      </c>
      <c r="M2325" s="15">
        <v>88003</v>
      </c>
      <c r="N2325" s="15">
        <v>0</v>
      </c>
      <c r="O2325" s="15">
        <f t="shared" si="188"/>
        <v>88003</v>
      </c>
      <c r="P2325" s="15">
        <f t="shared" si="184"/>
        <v>10.999990000349989</v>
      </c>
      <c r="Q2325" s="14">
        <v>5000</v>
      </c>
      <c r="R2325" s="12">
        <v>100</v>
      </c>
      <c r="S2325" s="12" t="s">
        <v>2916</v>
      </c>
      <c r="T2325" s="22">
        <f t="shared" si="185"/>
        <v>6</v>
      </c>
      <c r="U2325" s="22">
        <f t="shared" si="186"/>
        <v>2021</v>
      </c>
      <c r="V2325" s="22" t="str">
        <f t="shared" si="187"/>
        <v>METROPOLITANA</v>
      </c>
    </row>
    <row r="2326" spans="1:22" x14ac:dyDescent="0.2">
      <c r="A2326" s="11" t="s">
        <v>2911</v>
      </c>
      <c r="B2326" s="12" t="s">
        <v>33</v>
      </c>
      <c r="C2326" s="12" t="s">
        <v>36</v>
      </c>
      <c r="D2326" s="12" t="s">
        <v>2825</v>
      </c>
      <c r="E2326" s="13" t="s">
        <v>639</v>
      </c>
      <c r="F2326" s="12" t="s">
        <v>84</v>
      </c>
      <c r="G2326" s="14">
        <f>7322.6+6454</f>
        <v>13776.6</v>
      </c>
      <c r="H2326" s="12" t="s">
        <v>24</v>
      </c>
      <c r="I2326" s="12">
        <v>1</v>
      </c>
      <c r="J2326" s="12" t="s">
        <v>84</v>
      </c>
      <c r="K2326" s="12" t="s">
        <v>86</v>
      </c>
      <c r="L2326" s="12">
        <v>0</v>
      </c>
      <c r="M2326" s="15">
        <v>320000</v>
      </c>
      <c r="N2326" s="15">
        <v>0</v>
      </c>
      <c r="O2326" s="15">
        <f t="shared" si="188"/>
        <v>320000</v>
      </c>
      <c r="P2326" s="15">
        <f t="shared" si="184"/>
        <v>23.227792053191642</v>
      </c>
      <c r="Q2326" s="14">
        <v>25000</v>
      </c>
      <c r="R2326" s="12">
        <v>29</v>
      </c>
      <c r="S2326" s="12" t="s">
        <v>2928</v>
      </c>
      <c r="T2326" s="22">
        <f t="shared" si="185"/>
        <v>6</v>
      </c>
      <c r="U2326" s="22">
        <f t="shared" si="186"/>
        <v>2021</v>
      </c>
      <c r="V2326" s="22" t="str">
        <f t="shared" si="187"/>
        <v>REGIONES</v>
      </c>
    </row>
    <row r="2327" spans="1:22" x14ac:dyDescent="0.2">
      <c r="A2327" s="11" t="s">
        <v>2911</v>
      </c>
      <c r="B2327" s="12" t="s">
        <v>33</v>
      </c>
      <c r="C2327" s="12" t="s">
        <v>36</v>
      </c>
      <c r="D2327" s="12" t="s">
        <v>45</v>
      </c>
      <c r="E2327" s="13" t="s">
        <v>52</v>
      </c>
      <c r="F2327" s="12" t="s">
        <v>51</v>
      </c>
      <c r="G2327" s="14">
        <v>3815.6</v>
      </c>
      <c r="H2327" s="12" t="s">
        <v>22</v>
      </c>
      <c r="I2327" s="12">
        <v>0</v>
      </c>
      <c r="J2327" s="12" t="s">
        <v>51</v>
      </c>
      <c r="K2327" s="12" t="s">
        <v>23</v>
      </c>
      <c r="L2327" s="12">
        <v>4</v>
      </c>
      <c r="M2327" s="15">
        <v>55000</v>
      </c>
      <c r="N2327" s="15">
        <v>0</v>
      </c>
      <c r="O2327" s="15">
        <f t="shared" si="188"/>
        <v>55000</v>
      </c>
      <c r="P2327" s="15">
        <f t="shared" si="184"/>
        <v>14.414508858370899</v>
      </c>
      <c r="Q2327" s="14">
        <v>5000</v>
      </c>
      <c r="R2327" s="12">
        <v>76</v>
      </c>
      <c r="S2327" s="12" t="s">
        <v>2917</v>
      </c>
      <c r="T2327" s="22">
        <f t="shared" si="185"/>
        <v>6</v>
      </c>
      <c r="U2327" s="22">
        <f t="shared" si="186"/>
        <v>2021</v>
      </c>
      <c r="V2327" s="22" t="str">
        <f t="shared" si="187"/>
        <v>METROPOLITANA</v>
      </c>
    </row>
    <row r="2328" spans="1:22" x14ac:dyDescent="0.2">
      <c r="A2328" s="11" t="s">
        <v>2911</v>
      </c>
      <c r="B2328" s="12" t="s">
        <v>33</v>
      </c>
      <c r="C2328" s="12" t="s">
        <v>36</v>
      </c>
      <c r="D2328" s="12" t="s">
        <v>35</v>
      </c>
      <c r="E2328" s="13" t="s">
        <v>1576</v>
      </c>
      <c r="F2328" s="12" t="s">
        <v>376</v>
      </c>
      <c r="G2328" s="14">
        <v>3848.0000000000009</v>
      </c>
      <c r="H2328" s="12" t="s">
        <v>22</v>
      </c>
      <c r="I2328" s="12">
        <v>0</v>
      </c>
      <c r="J2328" s="12" t="s">
        <v>377</v>
      </c>
      <c r="K2328" s="12" t="s">
        <v>23</v>
      </c>
      <c r="L2328" s="12">
        <v>4</v>
      </c>
      <c r="M2328" s="15">
        <v>55000</v>
      </c>
      <c r="N2328" s="15">
        <v>0</v>
      </c>
      <c r="O2328" s="15">
        <f t="shared" si="188"/>
        <v>55000</v>
      </c>
      <c r="P2328" s="15">
        <f t="shared" si="184"/>
        <v>14.293139293139289</v>
      </c>
      <c r="Q2328" s="14">
        <v>5000</v>
      </c>
      <c r="R2328" s="12">
        <v>77</v>
      </c>
      <c r="S2328" s="12" t="s">
        <v>2918</v>
      </c>
      <c r="T2328" s="22">
        <f t="shared" si="185"/>
        <v>6</v>
      </c>
      <c r="U2328" s="22">
        <f t="shared" si="186"/>
        <v>2021</v>
      </c>
      <c r="V2328" s="22" t="str">
        <f t="shared" si="187"/>
        <v>METROPOLITANA</v>
      </c>
    </row>
    <row r="2329" spans="1:22" x14ac:dyDescent="0.2">
      <c r="A2329" s="11" t="s">
        <v>2911</v>
      </c>
      <c r="B2329" s="12" t="s">
        <v>33</v>
      </c>
      <c r="C2329" s="12" t="s">
        <v>909</v>
      </c>
      <c r="D2329" s="12" t="s">
        <v>164</v>
      </c>
      <c r="E2329" s="13" t="s">
        <v>28</v>
      </c>
      <c r="F2329" s="12" t="s">
        <v>2919</v>
      </c>
      <c r="G2329" s="14">
        <v>18009.599999999999</v>
      </c>
      <c r="H2329" s="12" t="s">
        <v>22</v>
      </c>
      <c r="I2329" s="12">
        <v>1</v>
      </c>
      <c r="J2329" s="12" t="s">
        <v>2919</v>
      </c>
      <c r="K2329" s="12" t="s">
        <v>23</v>
      </c>
      <c r="L2329" s="12">
        <v>3</v>
      </c>
      <c r="M2329" s="15">
        <v>198106</v>
      </c>
      <c r="N2329" s="15">
        <v>0</v>
      </c>
      <c r="O2329" s="15">
        <f t="shared" si="188"/>
        <v>198106</v>
      </c>
      <c r="P2329" s="15">
        <f t="shared" si="184"/>
        <v>11.000022210376688</v>
      </c>
      <c r="Q2329" s="14">
        <v>5000</v>
      </c>
      <c r="R2329" s="12">
        <v>100</v>
      </c>
      <c r="S2329" s="12" t="s">
        <v>2920</v>
      </c>
      <c r="T2329" s="22">
        <f t="shared" si="185"/>
        <v>6</v>
      </c>
      <c r="U2329" s="22">
        <f t="shared" si="186"/>
        <v>2021</v>
      </c>
      <c r="V2329" s="22" t="str">
        <f t="shared" si="187"/>
        <v>METROPOLITANA</v>
      </c>
    </row>
    <row r="2330" spans="1:22" x14ac:dyDescent="0.2">
      <c r="A2330" s="11" t="s">
        <v>2911</v>
      </c>
      <c r="B2330" s="12" t="s">
        <v>33</v>
      </c>
      <c r="C2330" s="12" t="s">
        <v>29</v>
      </c>
      <c r="D2330" s="12" t="s">
        <v>41</v>
      </c>
      <c r="E2330" s="13" t="s">
        <v>25</v>
      </c>
      <c r="F2330" s="12" t="s">
        <v>39</v>
      </c>
      <c r="G2330" s="14">
        <v>3001.6</v>
      </c>
      <c r="H2330" s="12" t="s">
        <v>43</v>
      </c>
      <c r="I2330" s="12">
        <v>0</v>
      </c>
      <c r="J2330" s="12" t="s">
        <v>39</v>
      </c>
      <c r="K2330" s="12" t="s">
        <v>23</v>
      </c>
      <c r="L2330" s="12">
        <v>1</v>
      </c>
      <c r="M2330" s="15">
        <v>55000</v>
      </c>
      <c r="N2330" s="15">
        <v>0</v>
      </c>
      <c r="O2330" s="15">
        <f t="shared" si="188"/>
        <v>55000</v>
      </c>
      <c r="P2330" s="15">
        <f t="shared" si="184"/>
        <v>18.323560767590617</v>
      </c>
      <c r="Q2330" s="14">
        <v>5000</v>
      </c>
      <c r="R2330" s="12">
        <v>60</v>
      </c>
      <c r="S2330" s="12" t="s">
        <v>2921</v>
      </c>
      <c r="T2330" s="22">
        <f t="shared" si="185"/>
        <v>6</v>
      </c>
      <c r="U2330" s="22">
        <f t="shared" si="186"/>
        <v>2021</v>
      </c>
      <c r="V2330" s="22" t="str">
        <f t="shared" si="187"/>
        <v>METROPOLITANA</v>
      </c>
    </row>
    <row r="2331" spans="1:22" x14ac:dyDescent="0.2">
      <c r="A2331" s="11" t="s">
        <v>2911</v>
      </c>
      <c r="B2331" s="12" t="s">
        <v>33</v>
      </c>
      <c r="C2331" s="12" t="s">
        <v>44</v>
      </c>
      <c r="D2331" s="12" t="s">
        <v>130</v>
      </c>
      <c r="E2331" s="13" t="s">
        <v>131</v>
      </c>
      <c r="F2331" s="12" t="s">
        <v>114</v>
      </c>
      <c r="G2331" s="14">
        <v>15937.3</v>
      </c>
      <c r="H2331" s="12" t="s">
        <v>85</v>
      </c>
      <c r="I2331" s="12">
        <v>1</v>
      </c>
      <c r="J2331" s="12" t="s">
        <v>114</v>
      </c>
      <c r="K2331" s="12" t="s">
        <v>75</v>
      </c>
      <c r="L2331" s="12">
        <v>0</v>
      </c>
      <c r="M2331" s="15">
        <v>380000</v>
      </c>
      <c r="N2331" s="15">
        <v>0</v>
      </c>
      <c r="O2331" s="15">
        <f t="shared" si="188"/>
        <v>380000</v>
      </c>
      <c r="P2331" s="15">
        <f t="shared" si="184"/>
        <v>23.843436466653699</v>
      </c>
      <c r="Q2331" s="14">
        <v>25000</v>
      </c>
      <c r="R2331" s="12">
        <v>64</v>
      </c>
      <c r="S2331" s="12" t="s">
        <v>2922</v>
      </c>
      <c r="T2331" s="22">
        <f t="shared" si="185"/>
        <v>6</v>
      </c>
      <c r="U2331" s="22">
        <f t="shared" si="186"/>
        <v>2021</v>
      </c>
      <c r="V2331" s="22" t="str">
        <f t="shared" si="187"/>
        <v>REGIONES</v>
      </c>
    </row>
    <row r="2332" spans="1:22" x14ac:dyDescent="0.2">
      <c r="A2332" s="11" t="s">
        <v>2911</v>
      </c>
      <c r="B2332" s="12" t="s">
        <v>33</v>
      </c>
      <c r="C2332" s="12" t="s">
        <v>44</v>
      </c>
      <c r="D2332" s="12" t="s">
        <v>38</v>
      </c>
      <c r="E2332" s="13" t="s">
        <v>42</v>
      </c>
      <c r="F2332" s="12" t="s">
        <v>95</v>
      </c>
      <c r="G2332" s="14">
        <v>5122.8399999999983</v>
      </c>
      <c r="H2332" s="12" t="s">
        <v>43</v>
      </c>
      <c r="I2332" s="12">
        <v>0</v>
      </c>
      <c r="J2332" s="12" t="s">
        <v>95</v>
      </c>
      <c r="K2332" s="12" t="s">
        <v>23</v>
      </c>
      <c r="L2332" s="12">
        <v>4</v>
      </c>
      <c r="M2332" s="15">
        <v>56351</v>
      </c>
      <c r="N2332" s="15">
        <v>0</v>
      </c>
      <c r="O2332" s="15">
        <f t="shared" si="188"/>
        <v>56351</v>
      </c>
      <c r="P2332" s="15">
        <f t="shared" si="184"/>
        <v>10.999953150986565</v>
      </c>
      <c r="Q2332" s="14">
        <v>5000</v>
      </c>
      <c r="R2332" s="12">
        <v>100</v>
      </c>
      <c r="S2332" s="12" t="s">
        <v>2923</v>
      </c>
      <c r="T2332" s="22">
        <f t="shared" si="185"/>
        <v>6</v>
      </c>
      <c r="U2332" s="22">
        <f t="shared" si="186"/>
        <v>2021</v>
      </c>
      <c r="V2332" s="22" t="str">
        <f t="shared" si="187"/>
        <v>METROPOLITANA</v>
      </c>
    </row>
    <row r="2333" spans="1:22" x14ac:dyDescent="0.2">
      <c r="A2333" s="11" t="s">
        <v>2911</v>
      </c>
      <c r="B2333" s="12" t="s">
        <v>33</v>
      </c>
      <c r="C2333" s="12" t="s">
        <v>44</v>
      </c>
      <c r="D2333" s="12" t="s">
        <v>188</v>
      </c>
      <c r="E2333" s="13" t="s">
        <v>189</v>
      </c>
      <c r="F2333" s="12" t="s">
        <v>26</v>
      </c>
      <c r="G2333" s="14">
        <v>5216.4199999999992</v>
      </c>
      <c r="H2333" s="12" t="s">
        <v>190</v>
      </c>
      <c r="I2333" s="12">
        <v>0</v>
      </c>
      <c r="J2333" s="12" t="s">
        <v>26</v>
      </c>
      <c r="K2333" s="12" t="s">
        <v>23</v>
      </c>
      <c r="L2333" s="12">
        <v>4</v>
      </c>
      <c r="M2333" s="15">
        <v>57381</v>
      </c>
      <c r="N2333" s="15">
        <v>0</v>
      </c>
      <c r="O2333" s="15">
        <f t="shared" si="188"/>
        <v>57381</v>
      </c>
      <c r="P2333" s="15">
        <f t="shared" si="184"/>
        <v>11.000072846894998</v>
      </c>
      <c r="Q2333" s="14">
        <v>5000</v>
      </c>
      <c r="R2333" s="12">
        <v>100</v>
      </c>
      <c r="S2333" s="12" t="s">
        <v>2924</v>
      </c>
      <c r="T2333" s="22">
        <f t="shared" si="185"/>
        <v>6</v>
      </c>
      <c r="U2333" s="22">
        <f t="shared" si="186"/>
        <v>2021</v>
      </c>
      <c r="V2333" s="22" t="str">
        <f t="shared" si="187"/>
        <v>METROPOLITANA</v>
      </c>
    </row>
    <row r="2334" spans="1:22" x14ac:dyDescent="0.2">
      <c r="A2334" s="11" t="s">
        <v>2911</v>
      </c>
      <c r="B2334" s="12" t="s">
        <v>33</v>
      </c>
      <c r="C2334" s="12" t="s">
        <v>44</v>
      </c>
      <c r="D2334" s="12" t="s">
        <v>45</v>
      </c>
      <c r="E2334" s="13" t="s">
        <v>1576</v>
      </c>
      <c r="F2334" s="12" t="s">
        <v>53</v>
      </c>
      <c r="G2334" s="14">
        <v>4348.3</v>
      </c>
      <c r="H2334" s="12" t="s">
        <v>22</v>
      </c>
      <c r="I2334" s="12">
        <v>0</v>
      </c>
      <c r="J2334" s="12" t="s">
        <v>53</v>
      </c>
      <c r="K2334" s="12" t="s">
        <v>23</v>
      </c>
      <c r="L2334" s="12">
        <v>3</v>
      </c>
      <c r="M2334" s="15">
        <v>55000</v>
      </c>
      <c r="N2334" s="15">
        <v>0</v>
      </c>
      <c r="O2334" s="15">
        <f t="shared" si="188"/>
        <v>55000</v>
      </c>
      <c r="P2334" s="15">
        <f t="shared" si="184"/>
        <v>12.648621300278268</v>
      </c>
      <c r="Q2334" s="14">
        <v>5000</v>
      </c>
      <c r="R2334" s="12">
        <v>87</v>
      </c>
      <c r="S2334" s="12" t="s">
        <v>2925</v>
      </c>
      <c r="T2334" s="22">
        <f t="shared" si="185"/>
        <v>6</v>
      </c>
      <c r="U2334" s="22">
        <f t="shared" si="186"/>
        <v>2021</v>
      </c>
      <c r="V2334" s="22" t="str">
        <f t="shared" si="187"/>
        <v>METROPOLITANA</v>
      </c>
    </row>
    <row r="2335" spans="1:22" x14ac:dyDescent="0.2">
      <c r="A2335" s="11" t="s">
        <v>2911</v>
      </c>
      <c r="B2335" s="12" t="s">
        <v>33</v>
      </c>
      <c r="C2335" s="12" t="s">
        <v>44</v>
      </c>
      <c r="D2335" s="12" t="s">
        <v>35</v>
      </c>
      <c r="E2335" s="13" t="s">
        <v>52</v>
      </c>
      <c r="F2335" s="12" t="s">
        <v>46</v>
      </c>
      <c r="G2335" s="14">
        <v>3598.2000000000012</v>
      </c>
      <c r="H2335" s="12" t="s">
        <v>22</v>
      </c>
      <c r="I2335" s="12">
        <v>0</v>
      </c>
      <c r="J2335" s="12" t="s">
        <v>46</v>
      </c>
      <c r="K2335" s="12" t="s">
        <v>23</v>
      </c>
      <c r="L2335" s="12">
        <v>2</v>
      </c>
      <c r="M2335" s="15">
        <v>55000</v>
      </c>
      <c r="N2335" s="15">
        <v>0</v>
      </c>
      <c r="O2335" s="15">
        <f t="shared" si="188"/>
        <v>55000</v>
      </c>
      <c r="P2335" s="15">
        <f t="shared" si="184"/>
        <v>15.285420488021783</v>
      </c>
      <c r="Q2335" s="14">
        <v>5000</v>
      </c>
      <c r="R2335" s="12">
        <v>72</v>
      </c>
      <c r="S2335" s="12" t="s">
        <v>2926</v>
      </c>
      <c r="T2335" s="22">
        <f t="shared" si="185"/>
        <v>6</v>
      </c>
      <c r="U2335" s="22">
        <f t="shared" si="186"/>
        <v>2021</v>
      </c>
      <c r="V2335" s="22" t="str">
        <f t="shared" si="187"/>
        <v>METROPOLITANA</v>
      </c>
    </row>
    <row r="2336" spans="1:22" x14ac:dyDescent="0.2">
      <c r="A2336" s="11" t="s">
        <v>2911</v>
      </c>
      <c r="B2336" s="12" t="s">
        <v>33</v>
      </c>
      <c r="C2336" s="12" t="s">
        <v>44</v>
      </c>
      <c r="D2336" s="12" t="s">
        <v>20</v>
      </c>
      <c r="E2336" s="13" t="s">
        <v>21</v>
      </c>
      <c r="F2336" s="12" t="s">
        <v>26</v>
      </c>
      <c r="G2336" s="14">
        <v>6581.1399999999994</v>
      </c>
      <c r="H2336" s="12" t="s">
        <v>22</v>
      </c>
      <c r="I2336" s="12">
        <v>0</v>
      </c>
      <c r="J2336" s="12" t="s">
        <v>26</v>
      </c>
      <c r="K2336" s="12" t="s">
        <v>23</v>
      </c>
      <c r="L2336" s="12">
        <v>4</v>
      </c>
      <c r="M2336" s="15">
        <v>72393</v>
      </c>
      <c r="N2336" s="15">
        <v>0</v>
      </c>
      <c r="O2336" s="15">
        <f t="shared" si="188"/>
        <v>72393</v>
      </c>
      <c r="P2336" s="15">
        <f t="shared" si="184"/>
        <v>11.000069896704828</v>
      </c>
      <c r="Q2336" s="14">
        <v>5000</v>
      </c>
      <c r="R2336" s="12">
        <v>100</v>
      </c>
      <c r="S2336" s="12" t="s">
        <v>2927</v>
      </c>
      <c r="T2336" s="22">
        <f t="shared" si="185"/>
        <v>6</v>
      </c>
      <c r="U2336" s="22">
        <f t="shared" si="186"/>
        <v>2021</v>
      </c>
      <c r="V2336" s="22" t="str">
        <f t="shared" si="187"/>
        <v>METROPOLITANA</v>
      </c>
    </row>
    <row r="2337" spans="1:22" x14ac:dyDescent="0.2">
      <c r="A2337" s="23" t="s">
        <v>2929</v>
      </c>
      <c r="B2337" s="22" t="s">
        <v>18</v>
      </c>
      <c r="C2337" s="22" t="s">
        <v>1997</v>
      </c>
      <c r="D2337" s="22" t="s">
        <v>38</v>
      </c>
      <c r="E2337" s="24" t="s">
        <v>42</v>
      </c>
      <c r="F2337" s="22" t="s">
        <v>58</v>
      </c>
      <c r="G2337" s="25">
        <v>4879.04</v>
      </c>
      <c r="H2337" s="22" t="s">
        <v>43</v>
      </c>
      <c r="I2337" s="22">
        <v>0</v>
      </c>
      <c r="J2337" s="22" t="s">
        <v>58</v>
      </c>
      <c r="K2337" s="22" t="s">
        <v>23</v>
      </c>
      <c r="L2337" s="22">
        <v>5</v>
      </c>
      <c r="M2337" s="26">
        <v>70000</v>
      </c>
      <c r="N2337" s="26">
        <v>0</v>
      </c>
      <c r="O2337" s="15">
        <f>G2337*11</f>
        <v>53669.440000000002</v>
      </c>
      <c r="P2337" s="15">
        <f t="shared" si="184"/>
        <v>11</v>
      </c>
      <c r="Q2337" s="25">
        <v>10000</v>
      </c>
      <c r="R2337" s="22">
        <v>49</v>
      </c>
      <c r="S2337" s="22" t="s">
        <v>2930</v>
      </c>
      <c r="T2337" s="22">
        <f t="shared" si="185"/>
        <v>6</v>
      </c>
      <c r="U2337" s="22">
        <f t="shared" si="186"/>
        <v>2021</v>
      </c>
      <c r="V2337" s="22" t="str">
        <f t="shared" si="187"/>
        <v>METROPOLITANA</v>
      </c>
    </row>
    <row r="2338" spans="1:22" x14ac:dyDescent="0.2">
      <c r="A2338" s="23" t="s">
        <v>2929</v>
      </c>
      <c r="B2338" s="22" t="s">
        <v>18</v>
      </c>
      <c r="C2338" s="22" t="s">
        <v>1997</v>
      </c>
      <c r="D2338" s="22" t="s">
        <v>30</v>
      </c>
      <c r="E2338" s="24" t="s">
        <v>31</v>
      </c>
      <c r="F2338" s="22" t="s">
        <v>58</v>
      </c>
      <c r="G2338" s="25">
        <v>11474.22</v>
      </c>
      <c r="H2338" s="22" t="s">
        <v>32</v>
      </c>
      <c r="I2338" s="22">
        <v>0</v>
      </c>
      <c r="J2338" s="22" t="s">
        <v>58</v>
      </c>
      <c r="K2338" s="22" t="s">
        <v>23</v>
      </c>
      <c r="L2338" s="22">
        <v>5</v>
      </c>
      <c r="M2338" s="26">
        <v>70000</v>
      </c>
      <c r="N2338" s="26">
        <v>0</v>
      </c>
      <c r="O2338" s="15">
        <f>G2338*11</f>
        <v>126216.42</v>
      </c>
      <c r="P2338" s="15">
        <f t="shared" si="184"/>
        <v>11</v>
      </c>
      <c r="Q2338" s="25">
        <v>10000</v>
      </c>
      <c r="R2338" s="22">
        <v>100</v>
      </c>
      <c r="S2338" s="22" t="s">
        <v>2931</v>
      </c>
      <c r="T2338" s="22">
        <f t="shared" si="185"/>
        <v>6</v>
      </c>
      <c r="U2338" s="22">
        <f t="shared" si="186"/>
        <v>2021</v>
      </c>
      <c r="V2338" s="22" t="str">
        <f t="shared" si="187"/>
        <v>METROPOLITANA</v>
      </c>
    </row>
    <row r="2339" spans="1:22" x14ac:dyDescent="0.2">
      <c r="A2339" s="23" t="s">
        <v>2929</v>
      </c>
      <c r="B2339" s="22" t="s">
        <v>18</v>
      </c>
      <c r="C2339" s="22" t="s">
        <v>163</v>
      </c>
      <c r="D2339" s="22" t="s">
        <v>164</v>
      </c>
      <c r="E2339" s="24" t="s">
        <v>28</v>
      </c>
      <c r="F2339" s="22" t="s">
        <v>165</v>
      </c>
      <c r="G2339" s="25">
        <v>22816.53</v>
      </c>
      <c r="H2339" s="22" t="s">
        <v>22</v>
      </c>
      <c r="I2339" s="22">
        <v>1</v>
      </c>
      <c r="J2339" s="22" t="s">
        <v>165</v>
      </c>
      <c r="K2339" s="22" t="s">
        <v>23</v>
      </c>
      <c r="L2339" s="22">
        <v>4</v>
      </c>
      <c r="M2339" s="26">
        <v>250982</v>
      </c>
      <c r="N2339" s="26">
        <v>0</v>
      </c>
      <c r="O2339" s="15">
        <f t="shared" ref="O2339:O2356" si="189">SUM(M2339:N2339)</f>
        <v>250982</v>
      </c>
      <c r="P2339" s="15">
        <f t="shared" si="184"/>
        <v>11.000007450738567</v>
      </c>
      <c r="Q2339" s="25">
        <v>5000</v>
      </c>
      <c r="R2339" s="22">
        <v>100</v>
      </c>
      <c r="S2339" s="22" t="s">
        <v>2932</v>
      </c>
      <c r="T2339" s="22">
        <f t="shared" si="185"/>
        <v>6</v>
      </c>
      <c r="U2339" s="22">
        <f t="shared" si="186"/>
        <v>2021</v>
      </c>
      <c r="V2339" s="22" t="str">
        <f t="shared" si="187"/>
        <v>METROPOLITANA</v>
      </c>
    </row>
    <row r="2340" spans="1:22" x14ac:dyDescent="0.2">
      <c r="A2340" s="23" t="s">
        <v>2929</v>
      </c>
      <c r="B2340" s="22" t="s">
        <v>18</v>
      </c>
      <c r="C2340" s="22" t="s">
        <v>994</v>
      </c>
      <c r="D2340" s="22" t="s">
        <v>37</v>
      </c>
      <c r="E2340" s="24" t="s">
        <v>40</v>
      </c>
      <c r="F2340" s="22" t="s">
        <v>995</v>
      </c>
      <c r="G2340" s="25">
        <v>5754.0000000000009</v>
      </c>
      <c r="H2340" s="22" t="s">
        <v>22</v>
      </c>
      <c r="I2340" s="22">
        <v>0</v>
      </c>
      <c r="J2340" s="22" t="s">
        <v>995</v>
      </c>
      <c r="K2340" s="22" t="s">
        <v>23</v>
      </c>
      <c r="L2340" s="22">
        <v>1</v>
      </c>
      <c r="M2340" s="26">
        <v>63294</v>
      </c>
      <c r="N2340" s="26">
        <v>0</v>
      </c>
      <c r="O2340" s="15">
        <f t="shared" si="189"/>
        <v>63294</v>
      </c>
      <c r="P2340" s="15">
        <f t="shared" si="184"/>
        <v>10.999999999999998</v>
      </c>
      <c r="Q2340" s="25">
        <v>5000</v>
      </c>
      <c r="R2340" s="22">
        <v>100</v>
      </c>
      <c r="S2340" s="22" t="s">
        <v>2933</v>
      </c>
      <c r="T2340" s="22">
        <f t="shared" si="185"/>
        <v>6</v>
      </c>
      <c r="U2340" s="22">
        <f t="shared" si="186"/>
        <v>2021</v>
      </c>
      <c r="V2340" s="22" t="str">
        <f t="shared" si="187"/>
        <v>METROPOLITANA</v>
      </c>
    </row>
    <row r="2341" spans="1:22" x14ac:dyDescent="0.2">
      <c r="A2341" s="23" t="s">
        <v>2929</v>
      </c>
      <c r="B2341" s="22" t="s">
        <v>18</v>
      </c>
      <c r="C2341" s="22" t="s">
        <v>994</v>
      </c>
      <c r="D2341" s="22" t="s">
        <v>63</v>
      </c>
      <c r="E2341" s="24" t="s">
        <v>64</v>
      </c>
      <c r="F2341" s="22" t="s">
        <v>995</v>
      </c>
      <c r="G2341" s="58">
        <v>3836</v>
      </c>
      <c r="H2341" s="22" t="s">
        <v>65</v>
      </c>
      <c r="I2341" s="22">
        <v>0</v>
      </c>
      <c r="J2341" s="22" t="s">
        <v>995</v>
      </c>
      <c r="K2341" s="22" t="s">
        <v>23</v>
      </c>
      <c r="L2341" s="22">
        <v>1</v>
      </c>
      <c r="M2341" s="26">
        <v>55000</v>
      </c>
      <c r="N2341" s="26">
        <v>0</v>
      </c>
      <c r="O2341" s="15">
        <f t="shared" si="189"/>
        <v>55000</v>
      </c>
      <c r="P2341" s="15">
        <f t="shared" si="184"/>
        <v>14.337851929092805</v>
      </c>
      <c r="Q2341" s="25">
        <v>5000</v>
      </c>
      <c r="R2341" s="22">
        <v>77</v>
      </c>
      <c r="S2341" s="22" t="s">
        <v>2934</v>
      </c>
      <c r="T2341" s="22">
        <f t="shared" si="185"/>
        <v>6</v>
      </c>
      <c r="U2341" s="22">
        <f t="shared" si="186"/>
        <v>2021</v>
      </c>
      <c r="V2341" s="22" t="str">
        <f t="shared" si="187"/>
        <v>METROPOLITANA</v>
      </c>
    </row>
    <row r="2342" spans="1:22" x14ac:dyDescent="0.2">
      <c r="A2342" s="23" t="s">
        <v>2929</v>
      </c>
      <c r="B2342" s="22" t="s">
        <v>18</v>
      </c>
      <c r="C2342" s="22" t="s">
        <v>508</v>
      </c>
      <c r="D2342" s="22" t="s">
        <v>41</v>
      </c>
      <c r="E2342" s="24" t="s">
        <v>25</v>
      </c>
      <c r="F2342" s="22" t="s">
        <v>2323</v>
      </c>
      <c r="G2342" s="58">
        <v>4421.32</v>
      </c>
      <c r="H2342" s="22" t="s">
        <v>43</v>
      </c>
      <c r="I2342" s="22">
        <v>0</v>
      </c>
      <c r="J2342" s="22" t="s">
        <v>182</v>
      </c>
      <c r="K2342" s="22" t="s">
        <v>23</v>
      </c>
      <c r="L2342" s="22">
        <v>4</v>
      </c>
      <c r="M2342" s="26">
        <v>55000</v>
      </c>
      <c r="N2342" s="26">
        <v>0</v>
      </c>
      <c r="O2342" s="15">
        <f t="shared" si="189"/>
        <v>55000</v>
      </c>
      <c r="P2342" s="15">
        <f t="shared" si="184"/>
        <v>12.439723883365149</v>
      </c>
      <c r="Q2342" s="25">
        <v>5000</v>
      </c>
      <c r="R2342" s="22">
        <v>88</v>
      </c>
      <c r="S2342" s="22" t="s">
        <v>2935</v>
      </c>
      <c r="T2342" s="22">
        <f t="shared" si="185"/>
        <v>6</v>
      </c>
      <c r="U2342" s="22">
        <f t="shared" si="186"/>
        <v>2021</v>
      </c>
      <c r="V2342" s="22" t="str">
        <f t="shared" si="187"/>
        <v>METROPOLITANA</v>
      </c>
    </row>
    <row r="2343" spans="1:22" x14ac:dyDescent="0.2">
      <c r="A2343" s="23" t="s">
        <v>2929</v>
      </c>
      <c r="B2343" s="22" t="s">
        <v>33</v>
      </c>
      <c r="C2343" s="22" t="s">
        <v>1233</v>
      </c>
      <c r="D2343" s="22" t="s">
        <v>35</v>
      </c>
      <c r="E2343" s="24" t="s">
        <v>1576</v>
      </c>
      <c r="F2343" s="22" t="s">
        <v>1234</v>
      </c>
      <c r="G2343" s="58">
        <v>3261.6000000000008</v>
      </c>
      <c r="H2343" s="22" t="s">
        <v>22</v>
      </c>
      <c r="I2343" s="22">
        <v>0</v>
      </c>
      <c r="J2343" s="22" t="s">
        <v>1234</v>
      </c>
      <c r="K2343" s="22" t="s">
        <v>23</v>
      </c>
      <c r="L2343" s="22">
        <v>3</v>
      </c>
      <c r="M2343" s="26">
        <v>55000</v>
      </c>
      <c r="N2343" s="26">
        <v>0</v>
      </c>
      <c r="O2343" s="15">
        <f t="shared" si="189"/>
        <v>55000</v>
      </c>
      <c r="P2343" s="15">
        <f t="shared" si="184"/>
        <v>16.862889379445665</v>
      </c>
      <c r="Q2343" s="25">
        <v>5000</v>
      </c>
      <c r="R2343" s="22">
        <v>65</v>
      </c>
      <c r="S2343" s="22" t="s">
        <v>2936</v>
      </c>
      <c r="T2343" s="22">
        <f t="shared" si="185"/>
        <v>6</v>
      </c>
      <c r="U2343" s="22">
        <f t="shared" si="186"/>
        <v>2021</v>
      </c>
      <c r="V2343" s="22" t="str">
        <f t="shared" si="187"/>
        <v>METROPOLITANA</v>
      </c>
    </row>
    <row r="2344" spans="1:22" x14ac:dyDescent="0.2">
      <c r="A2344" s="23" t="s">
        <v>2929</v>
      </c>
      <c r="B2344" s="22" t="s">
        <v>33</v>
      </c>
      <c r="C2344" s="22" t="s">
        <v>36</v>
      </c>
      <c r="D2344" s="22" t="s">
        <v>56</v>
      </c>
      <c r="E2344" s="24" t="s">
        <v>52</v>
      </c>
      <c r="F2344" s="22" t="s">
        <v>34</v>
      </c>
      <c r="G2344" s="58">
        <v>4323.2</v>
      </c>
      <c r="H2344" s="22" t="s">
        <v>22</v>
      </c>
      <c r="I2344" s="22">
        <v>0</v>
      </c>
      <c r="J2344" s="22" t="s">
        <v>34</v>
      </c>
      <c r="K2344" s="22" t="s">
        <v>23</v>
      </c>
      <c r="L2344" s="22">
        <v>1</v>
      </c>
      <c r="M2344" s="26">
        <v>55000</v>
      </c>
      <c r="N2344" s="26">
        <v>0</v>
      </c>
      <c r="O2344" s="15">
        <f t="shared" si="189"/>
        <v>55000</v>
      </c>
      <c r="P2344" s="15">
        <f t="shared" si="184"/>
        <v>12.722057735011104</v>
      </c>
      <c r="Q2344" s="25">
        <v>5000</v>
      </c>
      <c r="R2344" s="22">
        <v>86</v>
      </c>
      <c r="S2344" s="22" t="s">
        <v>2937</v>
      </c>
      <c r="T2344" s="22">
        <f t="shared" si="185"/>
        <v>6</v>
      </c>
      <c r="U2344" s="22">
        <f t="shared" si="186"/>
        <v>2021</v>
      </c>
      <c r="V2344" s="22" t="str">
        <f t="shared" si="187"/>
        <v>METROPOLITANA</v>
      </c>
    </row>
    <row r="2345" spans="1:22" x14ac:dyDescent="0.2">
      <c r="A2345" s="23" t="s">
        <v>2929</v>
      </c>
      <c r="B2345" s="22" t="s">
        <v>33</v>
      </c>
      <c r="C2345" s="22" t="s">
        <v>36</v>
      </c>
      <c r="D2345" s="22" t="s">
        <v>1869</v>
      </c>
      <c r="E2345" s="24" t="s">
        <v>1870</v>
      </c>
      <c r="F2345" s="22" t="s">
        <v>92</v>
      </c>
      <c r="G2345" s="25">
        <f>15289.2+3110</f>
        <v>18399.2</v>
      </c>
      <c r="H2345" s="22" t="s">
        <v>24</v>
      </c>
      <c r="I2345" s="22">
        <v>1</v>
      </c>
      <c r="J2345" s="22" t="s">
        <v>92</v>
      </c>
      <c r="K2345" s="22" t="s">
        <v>93</v>
      </c>
      <c r="L2345" s="22">
        <v>0</v>
      </c>
      <c r="M2345" s="26">
        <v>620000</v>
      </c>
      <c r="N2345" s="26">
        <v>0</v>
      </c>
      <c r="O2345" s="15">
        <f t="shared" si="189"/>
        <v>620000</v>
      </c>
      <c r="P2345" s="15">
        <f t="shared" si="184"/>
        <v>33.697117265968082</v>
      </c>
      <c r="Q2345" s="25">
        <v>25000</v>
      </c>
      <c r="R2345" s="22">
        <v>61</v>
      </c>
      <c r="S2345" s="22" t="s">
        <v>2938</v>
      </c>
      <c r="T2345" s="22">
        <f t="shared" si="185"/>
        <v>6</v>
      </c>
      <c r="U2345" s="22">
        <f t="shared" si="186"/>
        <v>2021</v>
      </c>
      <c r="V2345" s="22" t="str">
        <f t="shared" si="187"/>
        <v>REGIONES</v>
      </c>
    </row>
    <row r="2346" spans="1:22" x14ac:dyDescent="0.2">
      <c r="A2346" s="23" t="s">
        <v>2929</v>
      </c>
      <c r="B2346" s="22" t="s">
        <v>33</v>
      </c>
      <c r="C2346" s="22" t="s">
        <v>29</v>
      </c>
      <c r="D2346" s="22" t="s">
        <v>38</v>
      </c>
      <c r="E2346" s="24" t="s">
        <v>42</v>
      </c>
      <c r="F2346" s="22" t="s">
        <v>134</v>
      </c>
      <c r="G2346" s="25">
        <v>5024.0999999999995</v>
      </c>
      <c r="H2346" s="22" t="s">
        <v>43</v>
      </c>
      <c r="I2346" s="22">
        <v>0</v>
      </c>
      <c r="J2346" s="22" t="s">
        <v>134</v>
      </c>
      <c r="K2346" s="22" t="s">
        <v>23</v>
      </c>
      <c r="L2346" s="22">
        <v>2</v>
      </c>
      <c r="M2346" s="26">
        <v>55265</v>
      </c>
      <c r="N2346" s="26">
        <v>0</v>
      </c>
      <c r="O2346" s="15">
        <f t="shared" si="189"/>
        <v>55265</v>
      </c>
      <c r="P2346" s="15">
        <f t="shared" si="184"/>
        <v>10.999980095937582</v>
      </c>
      <c r="Q2346" s="25">
        <v>5000</v>
      </c>
      <c r="R2346" s="22">
        <v>100</v>
      </c>
      <c r="S2346" s="22" t="s">
        <v>2939</v>
      </c>
      <c r="T2346" s="22">
        <f t="shared" si="185"/>
        <v>6</v>
      </c>
      <c r="U2346" s="22">
        <f t="shared" si="186"/>
        <v>2021</v>
      </c>
      <c r="V2346" s="22" t="str">
        <f t="shared" si="187"/>
        <v>METROPOLITANA</v>
      </c>
    </row>
    <row r="2347" spans="1:22" x14ac:dyDescent="0.2">
      <c r="A2347" s="23" t="s">
        <v>2929</v>
      </c>
      <c r="B2347" s="22" t="s">
        <v>33</v>
      </c>
      <c r="C2347" s="22" t="s">
        <v>29</v>
      </c>
      <c r="D2347" s="22" t="s">
        <v>30</v>
      </c>
      <c r="E2347" s="24" t="s">
        <v>31</v>
      </c>
      <c r="F2347" s="22" t="s">
        <v>39</v>
      </c>
      <c r="G2347" s="25">
        <v>6771.2799999999988</v>
      </c>
      <c r="H2347" s="22" t="s">
        <v>32</v>
      </c>
      <c r="I2347" s="22">
        <v>0</v>
      </c>
      <c r="J2347" s="22" t="s">
        <v>39</v>
      </c>
      <c r="K2347" s="22" t="s">
        <v>23</v>
      </c>
      <c r="L2347" s="22">
        <v>1</v>
      </c>
      <c r="M2347" s="26">
        <v>74484</v>
      </c>
      <c r="N2347" s="26">
        <v>0</v>
      </c>
      <c r="O2347" s="15">
        <f t="shared" si="189"/>
        <v>74484</v>
      </c>
      <c r="P2347" s="15">
        <f t="shared" si="184"/>
        <v>10.999988185394788</v>
      </c>
      <c r="Q2347" s="25">
        <v>5000</v>
      </c>
      <c r="R2347" s="22">
        <v>100</v>
      </c>
      <c r="S2347" s="22" t="s">
        <v>2940</v>
      </c>
      <c r="T2347" s="22">
        <f t="shared" si="185"/>
        <v>6</v>
      </c>
      <c r="U2347" s="22">
        <f t="shared" si="186"/>
        <v>2021</v>
      </c>
      <c r="V2347" s="22" t="str">
        <f t="shared" si="187"/>
        <v>METROPOLITANA</v>
      </c>
    </row>
    <row r="2348" spans="1:22" x14ac:dyDescent="0.2">
      <c r="A2348" s="23" t="s">
        <v>2929</v>
      </c>
      <c r="B2348" s="22" t="s">
        <v>33</v>
      </c>
      <c r="C2348" s="22" t="s">
        <v>29</v>
      </c>
      <c r="D2348" s="22" t="s">
        <v>2028</v>
      </c>
      <c r="E2348" s="24" t="s">
        <v>697</v>
      </c>
      <c r="F2348" s="22" t="s">
        <v>170</v>
      </c>
      <c r="G2348" s="25">
        <v>19440.09999999998</v>
      </c>
      <c r="H2348" s="22" t="s">
        <v>22</v>
      </c>
      <c r="I2348" s="22">
        <v>1</v>
      </c>
      <c r="J2348" s="22" t="s">
        <v>170</v>
      </c>
      <c r="K2348" s="22" t="s">
        <v>171</v>
      </c>
      <c r="L2348" s="22">
        <v>0</v>
      </c>
      <c r="M2348" s="26">
        <v>230000</v>
      </c>
      <c r="N2348" s="26">
        <v>0</v>
      </c>
      <c r="O2348" s="15">
        <f t="shared" si="189"/>
        <v>230000</v>
      </c>
      <c r="P2348" s="15">
        <f t="shared" si="184"/>
        <v>11.831214860005876</v>
      </c>
      <c r="Q2348" s="25">
        <v>25000</v>
      </c>
      <c r="R2348" s="22">
        <v>78</v>
      </c>
      <c r="S2348" s="22" t="s">
        <v>2941</v>
      </c>
      <c r="T2348" s="22">
        <f t="shared" si="185"/>
        <v>6</v>
      </c>
      <c r="U2348" s="22">
        <f t="shared" si="186"/>
        <v>2021</v>
      </c>
      <c r="V2348" s="22" t="str">
        <f t="shared" si="187"/>
        <v>REGIONES</v>
      </c>
    </row>
    <row r="2349" spans="1:22" x14ac:dyDescent="0.2">
      <c r="A2349" s="23" t="s">
        <v>2929</v>
      </c>
      <c r="B2349" s="22" t="s">
        <v>33</v>
      </c>
      <c r="C2349" s="22" t="s">
        <v>44</v>
      </c>
      <c r="D2349" s="22" t="s">
        <v>56</v>
      </c>
      <c r="E2349" s="24" t="s">
        <v>52</v>
      </c>
      <c r="F2349" s="22" t="s">
        <v>67</v>
      </c>
      <c r="G2349" s="58">
        <v>3604.42</v>
      </c>
      <c r="H2349" s="22" t="s">
        <v>22</v>
      </c>
      <c r="I2349" s="22">
        <v>0</v>
      </c>
      <c r="J2349" s="22" t="s">
        <v>67</v>
      </c>
      <c r="K2349" s="22" t="s">
        <v>23</v>
      </c>
      <c r="L2349" s="22">
        <v>2</v>
      </c>
      <c r="M2349" s="26">
        <v>55000</v>
      </c>
      <c r="N2349" s="26">
        <v>0</v>
      </c>
      <c r="O2349" s="15">
        <f t="shared" si="189"/>
        <v>55000</v>
      </c>
      <c r="P2349" s="15">
        <f t="shared" si="184"/>
        <v>15.259043063793897</v>
      </c>
      <c r="Q2349" s="25">
        <v>5000</v>
      </c>
      <c r="R2349" s="22">
        <v>72</v>
      </c>
      <c r="S2349" s="22" t="s">
        <v>2942</v>
      </c>
      <c r="T2349" s="22">
        <f t="shared" si="185"/>
        <v>6</v>
      </c>
      <c r="U2349" s="22">
        <f t="shared" si="186"/>
        <v>2021</v>
      </c>
      <c r="V2349" s="22" t="str">
        <f t="shared" si="187"/>
        <v>METROPOLITANA</v>
      </c>
    </row>
    <row r="2350" spans="1:22" x14ac:dyDescent="0.2">
      <c r="A2350" s="23" t="s">
        <v>2929</v>
      </c>
      <c r="B2350" s="22" t="s">
        <v>33</v>
      </c>
      <c r="C2350" s="22" t="s">
        <v>44</v>
      </c>
      <c r="D2350" s="22" t="s">
        <v>61</v>
      </c>
      <c r="E2350" s="24" t="s">
        <v>62</v>
      </c>
      <c r="F2350" s="22" t="s">
        <v>114</v>
      </c>
      <c r="G2350" s="25">
        <v>13563.98</v>
      </c>
      <c r="H2350" s="22" t="s">
        <v>85</v>
      </c>
      <c r="I2350" s="22">
        <v>1</v>
      </c>
      <c r="J2350" s="22" t="s">
        <v>114</v>
      </c>
      <c r="K2350" s="22" t="s">
        <v>75</v>
      </c>
      <c r="L2350" s="22">
        <v>0</v>
      </c>
      <c r="M2350" s="26">
        <v>380000</v>
      </c>
      <c r="N2350" s="26">
        <v>0</v>
      </c>
      <c r="O2350" s="15">
        <f t="shared" si="189"/>
        <v>380000</v>
      </c>
      <c r="P2350" s="15">
        <f t="shared" si="184"/>
        <v>28.015376017953432</v>
      </c>
      <c r="Q2350" s="25">
        <v>25000</v>
      </c>
      <c r="R2350" s="22">
        <v>54</v>
      </c>
      <c r="S2350" s="22" t="s">
        <v>2943</v>
      </c>
      <c r="T2350" s="22">
        <f t="shared" si="185"/>
        <v>6</v>
      </c>
      <c r="U2350" s="22">
        <f t="shared" si="186"/>
        <v>2021</v>
      </c>
      <c r="V2350" s="22" t="str">
        <f t="shared" si="187"/>
        <v>REGIONES</v>
      </c>
    </row>
    <row r="2351" spans="1:22" x14ac:dyDescent="0.2">
      <c r="A2351" s="23" t="s">
        <v>2929</v>
      </c>
      <c r="B2351" s="22" t="s">
        <v>33</v>
      </c>
      <c r="C2351" s="22" t="s">
        <v>44</v>
      </c>
      <c r="D2351" s="22" t="s">
        <v>37</v>
      </c>
      <c r="E2351" s="24" t="s">
        <v>40</v>
      </c>
      <c r="F2351" s="22" t="s">
        <v>48</v>
      </c>
      <c r="G2351" s="25">
        <v>4548.4399999999996</v>
      </c>
      <c r="H2351" s="22" t="s">
        <v>22</v>
      </c>
      <c r="I2351" s="22">
        <v>0</v>
      </c>
      <c r="J2351" s="22" t="s">
        <v>48</v>
      </c>
      <c r="K2351" s="22" t="s">
        <v>23</v>
      </c>
      <c r="L2351" s="22">
        <v>1</v>
      </c>
      <c r="M2351" s="26">
        <v>55000</v>
      </c>
      <c r="N2351" s="26">
        <v>0</v>
      </c>
      <c r="O2351" s="15">
        <f t="shared" si="189"/>
        <v>55000</v>
      </c>
      <c r="P2351" s="15">
        <f t="shared" si="184"/>
        <v>12.092057936347407</v>
      </c>
      <c r="Q2351" s="25">
        <v>5000</v>
      </c>
      <c r="R2351" s="22">
        <v>91</v>
      </c>
      <c r="S2351" s="22" t="s">
        <v>2944</v>
      </c>
      <c r="T2351" s="22">
        <f t="shared" si="185"/>
        <v>6</v>
      </c>
      <c r="U2351" s="22">
        <f t="shared" si="186"/>
        <v>2021</v>
      </c>
      <c r="V2351" s="22" t="str">
        <f t="shared" si="187"/>
        <v>METROPOLITANA</v>
      </c>
    </row>
    <row r="2352" spans="1:22" x14ac:dyDescent="0.2">
      <c r="A2352" s="23" t="s">
        <v>2929</v>
      </c>
      <c r="B2352" s="22" t="s">
        <v>33</v>
      </c>
      <c r="C2352" s="22" t="s">
        <v>44</v>
      </c>
      <c r="D2352" s="22" t="s">
        <v>45</v>
      </c>
      <c r="E2352" s="24" t="s">
        <v>28</v>
      </c>
      <c r="F2352" s="22" t="s">
        <v>225</v>
      </c>
      <c r="G2352" s="25">
        <v>4392.42</v>
      </c>
      <c r="H2352" s="22" t="s">
        <v>22</v>
      </c>
      <c r="I2352" s="22">
        <v>0</v>
      </c>
      <c r="J2352" s="22" t="s">
        <v>225</v>
      </c>
      <c r="K2352" s="22" t="s">
        <v>23</v>
      </c>
      <c r="L2352" s="22">
        <v>3</v>
      </c>
      <c r="M2352" s="26">
        <v>55000</v>
      </c>
      <c r="N2352" s="26">
        <v>0</v>
      </c>
      <c r="O2352" s="15">
        <f t="shared" si="189"/>
        <v>55000</v>
      </c>
      <c r="P2352" s="15">
        <f t="shared" si="184"/>
        <v>12.521571252293723</v>
      </c>
      <c r="Q2352" s="25">
        <v>5000</v>
      </c>
      <c r="R2352" s="22">
        <v>88</v>
      </c>
      <c r="S2352" s="22" t="s">
        <v>2945</v>
      </c>
      <c r="T2352" s="22">
        <f t="shared" si="185"/>
        <v>6</v>
      </c>
      <c r="U2352" s="22">
        <f t="shared" si="186"/>
        <v>2021</v>
      </c>
      <c r="V2352" s="22" t="str">
        <f t="shared" si="187"/>
        <v>METROPOLITANA</v>
      </c>
    </row>
    <row r="2353" spans="1:22" x14ac:dyDescent="0.2">
      <c r="A2353" s="23" t="s">
        <v>2929</v>
      </c>
      <c r="B2353" s="22" t="s">
        <v>33</v>
      </c>
      <c r="C2353" s="22" t="s">
        <v>44</v>
      </c>
      <c r="D2353" s="22" t="s">
        <v>47</v>
      </c>
      <c r="E2353" s="24" t="s">
        <v>1576</v>
      </c>
      <c r="F2353" s="22" t="s">
        <v>229</v>
      </c>
      <c r="G2353" s="25">
        <v>9494.2999999999993</v>
      </c>
      <c r="H2353" s="22" t="s">
        <v>22</v>
      </c>
      <c r="I2353" s="22">
        <v>0</v>
      </c>
      <c r="J2353" s="22" t="s">
        <v>230</v>
      </c>
      <c r="K2353" s="22" t="s">
        <v>23</v>
      </c>
      <c r="L2353" s="22">
        <v>4</v>
      </c>
      <c r="M2353" s="26">
        <v>104437</v>
      </c>
      <c r="N2353" s="26">
        <v>0</v>
      </c>
      <c r="O2353" s="15">
        <f t="shared" si="189"/>
        <v>104437</v>
      </c>
      <c r="P2353" s="15">
        <f t="shared" si="184"/>
        <v>10.999968402093888</v>
      </c>
      <c r="Q2353" s="25">
        <v>5000</v>
      </c>
      <c r="R2353" s="22">
        <v>100</v>
      </c>
      <c r="S2353" s="22" t="s">
        <v>2946</v>
      </c>
      <c r="T2353" s="22">
        <f t="shared" si="185"/>
        <v>6</v>
      </c>
      <c r="U2353" s="22">
        <f t="shared" si="186"/>
        <v>2021</v>
      </c>
      <c r="V2353" s="22" t="str">
        <f t="shared" si="187"/>
        <v>METROPOLITANA</v>
      </c>
    </row>
    <row r="2354" spans="1:22" x14ac:dyDescent="0.2">
      <c r="A2354" s="23" t="s">
        <v>2929</v>
      </c>
      <c r="B2354" s="22" t="s">
        <v>33</v>
      </c>
      <c r="C2354" s="22" t="s">
        <v>44</v>
      </c>
      <c r="D2354" s="22" t="s">
        <v>35</v>
      </c>
      <c r="E2354" s="24" t="s">
        <v>21</v>
      </c>
      <c r="F2354" s="22" t="s">
        <v>51</v>
      </c>
      <c r="G2354" s="25">
        <v>5065.1399999999994</v>
      </c>
      <c r="H2354" s="22" t="s">
        <v>22</v>
      </c>
      <c r="I2354" s="22">
        <v>0</v>
      </c>
      <c r="J2354" s="22" t="s">
        <v>51</v>
      </c>
      <c r="K2354" s="22" t="s">
        <v>23</v>
      </c>
      <c r="L2354" s="22">
        <v>4</v>
      </c>
      <c r="M2354" s="26">
        <v>55717</v>
      </c>
      <c r="N2354" s="26">
        <v>0</v>
      </c>
      <c r="O2354" s="15">
        <f t="shared" si="189"/>
        <v>55717</v>
      </c>
      <c r="P2354" s="15">
        <f t="shared" si="184"/>
        <v>11.000090816838233</v>
      </c>
      <c r="Q2354" s="25">
        <v>5000</v>
      </c>
      <c r="R2354" s="22">
        <v>100</v>
      </c>
      <c r="S2354" s="22" t="s">
        <v>2947</v>
      </c>
      <c r="T2354" s="22">
        <f t="shared" si="185"/>
        <v>6</v>
      </c>
      <c r="U2354" s="22">
        <f t="shared" si="186"/>
        <v>2021</v>
      </c>
      <c r="V2354" s="22" t="str">
        <f t="shared" si="187"/>
        <v>METROPOLITANA</v>
      </c>
    </row>
    <row r="2355" spans="1:22" x14ac:dyDescent="0.2">
      <c r="A2355" s="23" t="s">
        <v>2929</v>
      </c>
      <c r="B2355" s="22" t="s">
        <v>33</v>
      </c>
      <c r="C2355" s="22" t="s">
        <v>44</v>
      </c>
      <c r="D2355" s="22" t="s">
        <v>41</v>
      </c>
      <c r="E2355" s="24" t="s">
        <v>25</v>
      </c>
      <c r="F2355" s="22" t="s">
        <v>138</v>
      </c>
      <c r="G2355" s="25">
        <v>5062.6000000000004</v>
      </c>
      <c r="H2355" s="22" t="s">
        <v>43</v>
      </c>
      <c r="I2355" s="22">
        <v>0</v>
      </c>
      <c r="J2355" s="22" t="s">
        <v>138</v>
      </c>
      <c r="K2355" s="22" t="s">
        <v>23</v>
      </c>
      <c r="L2355" s="22">
        <v>3</v>
      </c>
      <c r="M2355" s="26">
        <v>55689</v>
      </c>
      <c r="N2355" s="26">
        <v>0</v>
      </c>
      <c r="O2355" s="15">
        <f t="shared" si="189"/>
        <v>55689</v>
      </c>
      <c r="P2355" s="15">
        <f t="shared" si="184"/>
        <v>11.000079010784971</v>
      </c>
      <c r="Q2355" s="25">
        <v>5000</v>
      </c>
      <c r="R2355" s="22">
        <v>100</v>
      </c>
      <c r="S2355" s="22" t="s">
        <v>2948</v>
      </c>
      <c r="T2355" s="22">
        <f t="shared" si="185"/>
        <v>6</v>
      </c>
      <c r="U2355" s="22">
        <f t="shared" si="186"/>
        <v>2021</v>
      </c>
      <c r="V2355" s="22" t="str">
        <f t="shared" si="187"/>
        <v>METROPOLITANA</v>
      </c>
    </row>
    <row r="2356" spans="1:22" x14ac:dyDescent="0.2">
      <c r="A2356" s="11" t="s">
        <v>2949</v>
      </c>
      <c r="B2356" s="12" t="s">
        <v>18</v>
      </c>
      <c r="C2356" s="12" t="s">
        <v>163</v>
      </c>
      <c r="D2356" s="12" t="s">
        <v>164</v>
      </c>
      <c r="E2356" s="13" t="s">
        <v>28</v>
      </c>
      <c r="F2356" s="12" t="s">
        <v>165</v>
      </c>
      <c r="G2356" s="14">
        <v>23507.94</v>
      </c>
      <c r="H2356" s="12" t="s">
        <v>22</v>
      </c>
      <c r="I2356" s="12">
        <v>1</v>
      </c>
      <c r="J2356" s="12" t="s">
        <v>165</v>
      </c>
      <c r="K2356" s="12" t="s">
        <v>23</v>
      </c>
      <c r="L2356" s="12">
        <v>4</v>
      </c>
      <c r="M2356" s="15">
        <v>258587</v>
      </c>
      <c r="N2356" s="15">
        <v>0</v>
      </c>
      <c r="O2356" s="15">
        <f t="shared" si="189"/>
        <v>258587</v>
      </c>
      <c r="P2356" s="15">
        <f t="shared" si="184"/>
        <v>10.999985536801608</v>
      </c>
      <c r="Q2356" s="14">
        <v>5000</v>
      </c>
      <c r="R2356" s="12">
        <v>100</v>
      </c>
      <c r="S2356" s="12" t="s">
        <v>2950</v>
      </c>
      <c r="T2356" s="22">
        <f t="shared" si="185"/>
        <v>6</v>
      </c>
      <c r="U2356" s="22">
        <f t="shared" si="186"/>
        <v>2021</v>
      </c>
      <c r="V2356" s="22" t="str">
        <f t="shared" si="187"/>
        <v>METROPOLITANA</v>
      </c>
    </row>
    <row r="2357" spans="1:22" x14ac:dyDescent="0.2">
      <c r="A2357" s="11" t="s">
        <v>2949</v>
      </c>
      <c r="B2357" s="12" t="s">
        <v>18</v>
      </c>
      <c r="C2357" s="12" t="s">
        <v>508</v>
      </c>
      <c r="D2357" s="12" t="s">
        <v>38</v>
      </c>
      <c r="E2357" s="13" t="s">
        <v>42</v>
      </c>
      <c r="F2357" s="12" t="s">
        <v>58</v>
      </c>
      <c r="G2357" s="14">
        <v>7428.45</v>
      </c>
      <c r="H2357" s="12" t="s">
        <v>43</v>
      </c>
      <c r="I2357" s="12">
        <v>0</v>
      </c>
      <c r="J2357" s="12" t="s">
        <v>58</v>
      </c>
      <c r="K2357" s="12" t="s">
        <v>23</v>
      </c>
      <c r="L2357" s="12">
        <v>5</v>
      </c>
      <c r="M2357" s="15">
        <v>70000</v>
      </c>
      <c r="N2357" s="15">
        <v>0</v>
      </c>
      <c r="O2357" s="15">
        <f>G2357*11</f>
        <v>81712.95</v>
      </c>
      <c r="P2357" s="15">
        <f t="shared" si="184"/>
        <v>11</v>
      </c>
      <c r="Q2357" s="14">
        <v>10000</v>
      </c>
      <c r="R2357" s="12">
        <v>74</v>
      </c>
      <c r="S2357" s="12" t="s">
        <v>2951</v>
      </c>
      <c r="T2357" s="22">
        <f t="shared" si="185"/>
        <v>6</v>
      </c>
      <c r="U2357" s="22">
        <f t="shared" si="186"/>
        <v>2021</v>
      </c>
      <c r="V2357" s="22" t="str">
        <f t="shared" si="187"/>
        <v>METROPOLITANA</v>
      </c>
    </row>
    <row r="2358" spans="1:22" x14ac:dyDescent="0.2">
      <c r="A2358" s="11" t="s">
        <v>2949</v>
      </c>
      <c r="B2358" s="12" t="s">
        <v>33</v>
      </c>
      <c r="C2358" s="12" t="s">
        <v>128</v>
      </c>
      <c r="D2358" s="12" t="s">
        <v>786</v>
      </c>
      <c r="E2358" s="13" t="s">
        <v>1891</v>
      </c>
      <c r="F2358" s="12" t="s">
        <v>129</v>
      </c>
      <c r="G2358" s="14">
        <v>10778.84</v>
      </c>
      <c r="H2358" s="12" t="s">
        <v>788</v>
      </c>
      <c r="I2358" s="12">
        <v>1</v>
      </c>
      <c r="J2358" s="12" t="s">
        <v>129</v>
      </c>
      <c r="K2358" s="12" t="s">
        <v>23</v>
      </c>
      <c r="L2358" s="12">
        <v>1</v>
      </c>
      <c r="M2358" s="15">
        <v>118567</v>
      </c>
      <c r="N2358" s="15">
        <v>0</v>
      </c>
      <c r="O2358" s="15">
        <f>SUM(M2358:N2358)</f>
        <v>118567</v>
      </c>
      <c r="P2358" s="15">
        <f t="shared" si="184"/>
        <v>10.999977734153211</v>
      </c>
      <c r="Q2358" s="14">
        <v>5000</v>
      </c>
      <c r="R2358" s="12">
        <v>100</v>
      </c>
      <c r="S2358" s="12" t="s">
        <v>2952</v>
      </c>
      <c r="T2358" s="22">
        <f t="shared" si="185"/>
        <v>6</v>
      </c>
      <c r="U2358" s="22">
        <f t="shared" si="186"/>
        <v>2021</v>
      </c>
      <c r="V2358" s="22" t="str">
        <f t="shared" si="187"/>
        <v>METROPOLITANA</v>
      </c>
    </row>
    <row r="2359" spans="1:22" x14ac:dyDescent="0.2">
      <c r="A2359" s="11" t="s">
        <v>2949</v>
      </c>
      <c r="B2359" s="12" t="s">
        <v>33</v>
      </c>
      <c r="C2359" s="12" t="s">
        <v>2605</v>
      </c>
      <c r="D2359" s="12" t="s">
        <v>20</v>
      </c>
      <c r="E2359" s="13" t="s">
        <v>21</v>
      </c>
      <c r="F2359" s="12" t="s">
        <v>129</v>
      </c>
      <c r="G2359" s="14">
        <v>7806.0000000000027</v>
      </c>
      <c r="H2359" s="12" t="s">
        <v>22</v>
      </c>
      <c r="I2359" s="12">
        <v>0</v>
      </c>
      <c r="J2359" s="12" t="s">
        <v>129</v>
      </c>
      <c r="K2359" s="12" t="s">
        <v>23</v>
      </c>
      <c r="L2359" s="12">
        <v>1</v>
      </c>
      <c r="M2359" s="15">
        <v>85866</v>
      </c>
      <c r="N2359" s="15">
        <v>0</v>
      </c>
      <c r="O2359" s="15">
        <f>SUM(M2359:N2359)</f>
        <v>85866</v>
      </c>
      <c r="P2359" s="15">
        <f t="shared" si="184"/>
        <v>10.999999999999996</v>
      </c>
      <c r="Q2359" s="14">
        <v>5000</v>
      </c>
      <c r="R2359" s="12">
        <v>100</v>
      </c>
      <c r="S2359" s="12" t="s">
        <v>2953</v>
      </c>
      <c r="T2359" s="22">
        <f t="shared" si="185"/>
        <v>6</v>
      </c>
      <c r="U2359" s="22">
        <f t="shared" si="186"/>
        <v>2021</v>
      </c>
      <c r="V2359" s="22" t="str">
        <f t="shared" si="187"/>
        <v>METROPOLITANA</v>
      </c>
    </row>
    <row r="2360" spans="1:22" x14ac:dyDescent="0.2">
      <c r="A2360" s="11" t="s">
        <v>2949</v>
      </c>
      <c r="B2360" s="12" t="s">
        <v>33</v>
      </c>
      <c r="C2360" s="12" t="s">
        <v>29</v>
      </c>
      <c r="D2360" s="12" t="s">
        <v>37</v>
      </c>
      <c r="E2360" s="13" t="s">
        <v>40</v>
      </c>
      <c r="F2360" s="12" t="s">
        <v>134</v>
      </c>
      <c r="G2360" s="14">
        <v>6753.5999999999995</v>
      </c>
      <c r="H2360" s="12" t="s">
        <v>22</v>
      </c>
      <c r="I2360" s="12">
        <v>0</v>
      </c>
      <c r="J2360" s="12" t="s">
        <v>134</v>
      </c>
      <c r="K2360" s="12" t="s">
        <v>23</v>
      </c>
      <c r="L2360" s="12">
        <v>2</v>
      </c>
      <c r="M2360" s="15">
        <v>74290</v>
      </c>
      <c r="N2360" s="15">
        <v>0</v>
      </c>
      <c r="O2360" s="15">
        <f>SUM(M2360:N2360)</f>
        <v>74290</v>
      </c>
      <c r="P2360" s="15">
        <f t="shared" si="184"/>
        <v>11.000059227671169</v>
      </c>
      <c r="Q2360" s="14">
        <v>5000</v>
      </c>
      <c r="R2360" s="12">
        <v>100</v>
      </c>
      <c r="S2360" s="12" t="s">
        <v>2954</v>
      </c>
      <c r="T2360" s="22">
        <f t="shared" si="185"/>
        <v>6</v>
      </c>
      <c r="U2360" s="22">
        <f t="shared" si="186"/>
        <v>2021</v>
      </c>
      <c r="V2360" s="22" t="str">
        <f t="shared" si="187"/>
        <v>METROPOLITANA</v>
      </c>
    </row>
    <row r="2361" spans="1:22" x14ac:dyDescent="0.2">
      <c r="A2361" s="11" t="s">
        <v>2949</v>
      </c>
      <c r="B2361" s="12" t="s">
        <v>33</v>
      </c>
      <c r="C2361" s="12" t="s">
        <v>29</v>
      </c>
      <c r="D2361" s="12" t="s">
        <v>2955</v>
      </c>
      <c r="E2361" s="13" t="s">
        <v>2956</v>
      </c>
      <c r="F2361" s="12" t="s">
        <v>173</v>
      </c>
      <c r="G2361" s="14">
        <v>17383.999999999989</v>
      </c>
      <c r="H2361" s="12" t="s">
        <v>24</v>
      </c>
      <c r="I2361" s="12">
        <v>1</v>
      </c>
      <c r="J2361" s="12" t="s">
        <v>173</v>
      </c>
      <c r="K2361" s="12" t="s">
        <v>23</v>
      </c>
      <c r="L2361" s="12">
        <v>5</v>
      </c>
      <c r="M2361" s="15">
        <v>120000</v>
      </c>
      <c r="N2361" s="15">
        <v>0</v>
      </c>
      <c r="O2361" s="15">
        <f>G2361*11</f>
        <v>191223.99999999988</v>
      </c>
      <c r="P2361" s="15">
        <f t="shared" si="184"/>
        <v>11</v>
      </c>
      <c r="Q2361" s="14">
        <v>10000</v>
      </c>
      <c r="R2361" s="12">
        <v>100</v>
      </c>
      <c r="S2361" s="12" t="s">
        <v>2957</v>
      </c>
      <c r="T2361" s="22">
        <f t="shared" si="185"/>
        <v>6</v>
      </c>
      <c r="U2361" s="22">
        <f t="shared" si="186"/>
        <v>2021</v>
      </c>
      <c r="V2361" s="22" t="str">
        <f t="shared" si="187"/>
        <v>METROPOLITANA</v>
      </c>
    </row>
    <row r="2362" spans="1:22" x14ac:dyDescent="0.2">
      <c r="A2362" s="11" t="s">
        <v>2949</v>
      </c>
      <c r="B2362" s="12" t="s">
        <v>33</v>
      </c>
      <c r="C2362" s="12" t="s">
        <v>29</v>
      </c>
      <c r="D2362" s="12" t="s">
        <v>45</v>
      </c>
      <c r="E2362" s="13" t="s">
        <v>1576</v>
      </c>
      <c r="F2362" s="12" t="s">
        <v>134</v>
      </c>
      <c r="G2362" s="14">
        <v>6753.5999999999995</v>
      </c>
      <c r="H2362" s="12" t="s">
        <v>22</v>
      </c>
      <c r="I2362" s="12">
        <v>0</v>
      </c>
      <c r="J2362" s="12" t="s">
        <v>134</v>
      </c>
      <c r="K2362" s="12" t="s">
        <v>23</v>
      </c>
      <c r="L2362" s="12">
        <v>2</v>
      </c>
      <c r="M2362" s="15">
        <v>74290</v>
      </c>
      <c r="N2362" s="15">
        <v>0</v>
      </c>
      <c r="O2362" s="15">
        <f>SUM(M2362:N2362)</f>
        <v>74290</v>
      </c>
      <c r="P2362" s="15">
        <f t="shared" si="184"/>
        <v>11.000059227671169</v>
      </c>
      <c r="Q2362" s="14">
        <v>5000</v>
      </c>
      <c r="R2362" s="12">
        <v>100</v>
      </c>
      <c r="S2362" s="12" t="s">
        <v>2958</v>
      </c>
      <c r="T2362" s="22">
        <f t="shared" si="185"/>
        <v>6</v>
      </c>
      <c r="U2362" s="22">
        <f t="shared" si="186"/>
        <v>2021</v>
      </c>
      <c r="V2362" s="22" t="str">
        <f t="shared" si="187"/>
        <v>METROPOLITANA</v>
      </c>
    </row>
    <row r="2363" spans="1:22" x14ac:dyDescent="0.2">
      <c r="A2363" s="11" t="s">
        <v>2949</v>
      </c>
      <c r="B2363" s="12" t="s">
        <v>33</v>
      </c>
      <c r="C2363" s="12" t="s">
        <v>29</v>
      </c>
      <c r="D2363" s="12" t="s">
        <v>41</v>
      </c>
      <c r="E2363" s="13" t="s">
        <v>42</v>
      </c>
      <c r="F2363" s="12" t="s">
        <v>134</v>
      </c>
      <c r="G2363" s="14">
        <v>6753.5999999999995</v>
      </c>
      <c r="H2363" s="12" t="s">
        <v>43</v>
      </c>
      <c r="I2363" s="12">
        <v>0</v>
      </c>
      <c r="J2363" s="12" t="s">
        <v>134</v>
      </c>
      <c r="K2363" s="12" t="s">
        <v>23</v>
      </c>
      <c r="L2363" s="12">
        <v>2</v>
      </c>
      <c r="M2363" s="15">
        <v>74290</v>
      </c>
      <c r="N2363" s="15">
        <v>0</v>
      </c>
      <c r="O2363" s="15">
        <f>SUM(M2363:N2363)</f>
        <v>74290</v>
      </c>
      <c r="P2363" s="15">
        <f t="shared" si="184"/>
        <v>11.000059227671169</v>
      </c>
      <c r="Q2363" s="14">
        <v>5000</v>
      </c>
      <c r="R2363" s="12">
        <v>100</v>
      </c>
      <c r="S2363" s="12" t="s">
        <v>2959</v>
      </c>
      <c r="T2363" s="22">
        <f t="shared" si="185"/>
        <v>6</v>
      </c>
      <c r="U2363" s="22">
        <f t="shared" si="186"/>
        <v>2021</v>
      </c>
      <c r="V2363" s="22" t="str">
        <f t="shared" si="187"/>
        <v>METROPOLITANA</v>
      </c>
    </row>
    <row r="2364" spans="1:22" x14ac:dyDescent="0.2">
      <c r="A2364" s="11" t="s">
        <v>2949</v>
      </c>
      <c r="B2364" s="12" t="s">
        <v>33</v>
      </c>
      <c r="C2364" s="12" t="s">
        <v>44</v>
      </c>
      <c r="D2364" s="12" t="s">
        <v>56</v>
      </c>
      <c r="E2364" s="13" t="s">
        <v>28</v>
      </c>
      <c r="F2364" s="12" t="s">
        <v>53</v>
      </c>
      <c r="G2364" s="14">
        <v>4927.4599999999991</v>
      </c>
      <c r="H2364" s="12" t="s">
        <v>22</v>
      </c>
      <c r="I2364" s="12">
        <v>0</v>
      </c>
      <c r="J2364" s="12" t="s">
        <v>53</v>
      </c>
      <c r="K2364" s="12" t="s">
        <v>23</v>
      </c>
      <c r="L2364" s="12">
        <v>3</v>
      </c>
      <c r="M2364" s="15">
        <v>55000</v>
      </c>
      <c r="N2364" s="15">
        <v>0</v>
      </c>
      <c r="O2364" s="15">
        <f>SUM(M2364:N2364)</f>
        <v>55000</v>
      </c>
      <c r="P2364" s="15">
        <f t="shared" si="184"/>
        <v>11.161937387619586</v>
      </c>
      <c r="Q2364" s="14">
        <v>5000</v>
      </c>
      <c r="R2364" s="12">
        <v>99</v>
      </c>
      <c r="S2364" s="12" t="s">
        <v>2960</v>
      </c>
      <c r="T2364" s="22">
        <f t="shared" si="185"/>
        <v>6</v>
      </c>
      <c r="U2364" s="22">
        <f t="shared" si="186"/>
        <v>2021</v>
      </c>
      <c r="V2364" s="22" t="str">
        <f t="shared" si="187"/>
        <v>METROPOLITANA</v>
      </c>
    </row>
    <row r="2365" spans="1:22" x14ac:dyDescent="0.2">
      <c r="A2365" s="11" t="s">
        <v>2949</v>
      </c>
      <c r="B2365" s="12" t="s">
        <v>33</v>
      </c>
      <c r="C2365" s="12" t="s">
        <v>44</v>
      </c>
      <c r="D2365" s="12" t="s">
        <v>311</v>
      </c>
      <c r="E2365" s="13" t="s">
        <v>312</v>
      </c>
      <c r="F2365" s="12" t="s">
        <v>114</v>
      </c>
      <c r="G2365" s="59">
        <f>10949.7</f>
        <v>10949.7</v>
      </c>
      <c r="H2365" s="12" t="s">
        <v>85</v>
      </c>
      <c r="I2365" s="12">
        <v>1</v>
      </c>
      <c r="J2365" s="12" t="s">
        <v>114</v>
      </c>
      <c r="K2365" s="12" t="s">
        <v>75</v>
      </c>
      <c r="L2365" s="12">
        <v>0</v>
      </c>
      <c r="M2365" s="15">
        <v>380000</v>
      </c>
      <c r="N2365" s="15">
        <v>0</v>
      </c>
      <c r="O2365" s="15">
        <f>SUM(M2365:N2365)</f>
        <v>380000</v>
      </c>
      <c r="P2365" s="15">
        <f t="shared" si="184"/>
        <v>34.704147145583896</v>
      </c>
      <c r="Q2365" s="14">
        <v>25000</v>
      </c>
      <c r="R2365" s="12">
        <v>44</v>
      </c>
      <c r="S2365" s="12" t="s">
        <v>2961</v>
      </c>
      <c r="T2365" s="22">
        <f t="shared" si="185"/>
        <v>6</v>
      </c>
      <c r="U2365" s="22">
        <f t="shared" si="186"/>
        <v>2021</v>
      </c>
      <c r="V2365" s="22" t="str">
        <f t="shared" si="187"/>
        <v>REGIONES</v>
      </c>
    </row>
    <row r="2366" spans="1:22" x14ac:dyDescent="0.2">
      <c r="A2366" s="11" t="s">
        <v>2949</v>
      </c>
      <c r="B2366" s="12" t="s">
        <v>33</v>
      </c>
      <c r="C2366" s="12" t="s">
        <v>44</v>
      </c>
      <c r="D2366" s="12" t="s">
        <v>37</v>
      </c>
      <c r="E2366" s="13" t="s">
        <v>40</v>
      </c>
      <c r="F2366" s="12" t="s">
        <v>48</v>
      </c>
      <c r="G2366" s="14">
        <v>11151.5</v>
      </c>
      <c r="H2366" s="12" t="s">
        <v>22</v>
      </c>
      <c r="I2366" s="12">
        <v>0</v>
      </c>
      <c r="J2366" s="12" t="s">
        <v>48</v>
      </c>
      <c r="K2366" s="12" t="s">
        <v>23</v>
      </c>
      <c r="L2366" s="12">
        <v>1</v>
      </c>
      <c r="M2366" s="15">
        <v>122666</v>
      </c>
      <c r="N2366" s="15">
        <v>0</v>
      </c>
      <c r="O2366" s="15">
        <f>SUM(M2366:N2366)</f>
        <v>122666</v>
      </c>
      <c r="P2366" s="15">
        <f t="shared" si="184"/>
        <v>10.999955162982559</v>
      </c>
      <c r="Q2366" s="14">
        <v>5000</v>
      </c>
      <c r="R2366" s="12">
        <v>100</v>
      </c>
      <c r="S2366" s="12" t="s">
        <v>2962</v>
      </c>
      <c r="T2366" s="22">
        <f t="shared" si="185"/>
        <v>6</v>
      </c>
      <c r="U2366" s="22">
        <f t="shared" si="186"/>
        <v>2021</v>
      </c>
      <c r="V2366" s="22" t="str">
        <f t="shared" si="187"/>
        <v>METROPOLITANA</v>
      </c>
    </row>
    <row r="2367" spans="1:22" x14ac:dyDescent="0.2">
      <c r="A2367" s="11" t="s">
        <v>2949</v>
      </c>
      <c r="B2367" s="12" t="s">
        <v>33</v>
      </c>
      <c r="C2367" s="12" t="s">
        <v>44</v>
      </c>
      <c r="D2367" s="12" t="s">
        <v>45</v>
      </c>
      <c r="E2367" s="13" t="s">
        <v>52</v>
      </c>
      <c r="F2367" s="12" t="s">
        <v>95</v>
      </c>
      <c r="G2367" s="14">
        <f>1976+896+1488</f>
        <v>4360</v>
      </c>
      <c r="H2367" s="12" t="s">
        <v>22</v>
      </c>
      <c r="I2367" s="12">
        <v>0</v>
      </c>
      <c r="J2367" s="12" t="s">
        <v>95</v>
      </c>
      <c r="K2367" s="12" t="s">
        <v>23</v>
      </c>
      <c r="L2367" s="12">
        <v>4</v>
      </c>
      <c r="M2367" s="15">
        <v>55000</v>
      </c>
      <c r="N2367" s="15">
        <v>0</v>
      </c>
      <c r="O2367" s="15">
        <f>G2367*11</f>
        <v>47960</v>
      </c>
      <c r="P2367" s="15">
        <f t="shared" si="184"/>
        <v>11</v>
      </c>
      <c r="Q2367" s="14">
        <v>5000</v>
      </c>
      <c r="R2367" s="12">
        <v>40</v>
      </c>
      <c r="S2367" s="12" t="s">
        <v>2963</v>
      </c>
      <c r="T2367" s="22">
        <f t="shared" si="185"/>
        <v>6</v>
      </c>
      <c r="U2367" s="22">
        <f t="shared" si="186"/>
        <v>2021</v>
      </c>
      <c r="V2367" s="22" t="str">
        <f t="shared" si="187"/>
        <v>METROPOLITANA</v>
      </c>
    </row>
    <row r="2368" spans="1:22" x14ac:dyDescent="0.2">
      <c r="A2368" s="11" t="s">
        <v>2949</v>
      </c>
      <c r="B2368" s="12" t="s">
        <v>33</v>
      </c>
      <c r="C2368" s="12" t="s">
        <v>44</v>
      </c>
      <c r="D2368" s="12" t="s">
        <v>47</v>
      </c>
      <c r="E2368" s="13" t="s">
        <v>1576</v>
      </c>
      <c r="F2368" s="12" t="s">
        <v>94</v>
      </c>
      <c r="G2368" s="14">
        <v>9167.34</v>
      </c>
      <c r="H2368" s="12" t="s">
        <v>22</v>
      </c>
      <c r="I2368" s="12">
        <v>0</v>
      </c>
      <c r="J2368" s="12" t="s">
        <v>59</v>
      </c>
      <c r="K2368" s="12" t="s">
        <v>78</v>
      </c>
      <c r="L2368" s="12">
        <v>0</v>
      </c>
      <c r="M2368" s="15">
        <v>180000</v>
      </c>
      <c r="N2368" s="15">
        <v>0</v>
      </c>
      <c r="O2368" s="15">
        <f>SUM(M2368:N2368)</f>
        <v>180000</v>
      </c>
      <c r="P2368" s="15">
        <f t="shared" si="184"/>
        <v>19.634921362139945</v>
      </c>
      <c r="Q2368" s="14">
        <v>25000</v>
      </c>
      <c r="R2368" s="12">
        <v>37</v>
      </c>
      <c r="S2368" s="12" t="s">
        <v>2964</v>
      </c>
      <c r="T2368" s="22">
        <f t="shared" si="185"/>
        <v>6</v>
      </c>
      <c r="U2368" s="22">
        <f t="shared" si="186"/>
        <v>2021</v>
      </c>
      <c r="V2368" s="22" t="str">
        <f t="shared" si="187"/>
        <v>REGIONES</v>
      </c>
    </row>
    <row r="2369" spans="1:22" x14ac:dyDescent="0.2">
      <c r="A2369" s="11" t="s">
        <v>2949</v>
      </c>
      <c r="B2369" s="12" t="s">
        <v>33</v>
      </c>
      <c r="C2369" s="12" t="s">
        <v>44</v>
      </c>
      <c r="D2369" s="12" t="s">
        <v>35</v>
      </c>
      <c r="E2369" s="13" t="s">
        <v>21</v>
      </c>
      <c r="F2369" s="12" t="s">
        <v>34</v>
      </c>
      <c r="G2369" s="14">
        <v>6067.94</v>
      </c>
      <c r="H2369" s="12" t="s">
        <v>22</v>
      </c>
      <c r="I2369" s="12">
        <v>0</v>
      </c>
      <c r="J2369" s="12" t="s">
        <v>34</v>
      </c>
      <c r="K2369" s="12" t="s">
        <v>23</v>
      </c>
      <c r="L2369" s="12">
        <v>1</v>
      </c>
      <c r="M2369" s="15">
        <v>66747</v>
      </c>
      <c r="N2369" s="15">
        <v>0</v>
      </c>
      <c r="O2369" s="15">
        <f>SUM(M2369:N2369)</f>
        <v>66747</v>
      </c>
      <c r="P2369" s="15">
        <f t="shared" si="184"/>
        <v>10.99994396780456</v>
      </c>
      <c r="Q2369" s="14">
        <v>5000</v>
      </c>
      <c r="R2369" s="12">
        <v>100</v>
      </c>
      <c r="S2369" s="12" t="s">
        <v>2965</v>
      </c>
      <c r="T2369" s="22">
        <f t="shared" si="185"/>
        <v>6</v>
      </c>
      <c r="U2369" s="22">
        <f t="shared" si="186"/>
        <v>2021</v>
      </c>
      <c r="V2369" s="22" t="str">
        <f t="shared" si="187"/>
        <v>METROPOLITANA</v>
      </c>
    </row>
    <row r="2370" spans="1:22" x14ac:dyDescent="0.2">
      <c r="A2370" s="23" t="s">
        <v>2966</v>
      </c>
      <c r="B2370" s="22" t="s">
        <v>18</v>
      </c>
      <c r="C2370" s="22" t="s">
        <v>1997</v>
      </c>
      <c r="D2370" s="22" t="s">
        <v>41</v>
      </c>
      <c r="E2370" s="24" t="s">
        <v>25</v>
      </c>
      <c r="F2370" s="22" t="s">
        <v>58</v>
      </c>
      <c r="G2370" s="25">
        <v>12147.51</v>
      </c>
      <c r="H2370" s="22" t="s">
        <v>43</v>
      </c>
      <c r="I2370" s="22">
        <v>0</v>
      </c>
      <c r="J2370" s="22" t="s">
        <v>58</v>
      </c>
      <c r="K2370" s="22" t="s">
        <v>23</v>
      </c>
      <c r="L2370" s="22">
        <v>5</v>
      </c>
      <c r="M2370" s="26">
        <v>70000</v>
      </c>
      <c r="N2370" s="26">
        <v>0</v>
      </c>
      <c r="O2370" s="15">
        <f>G2370*11</f>
        <v>133622.61000000002</v>
      </c>
      <c r="P2370" s="15">
        <f t="shared" ref="P2370:P2433" si="190">O2370/G2370</f>
        <v>11.000000000000002</v>
      </c>
      <c r="Q2370" s="25">
        <v>10000</v>
      </c>
      <c r="R2370" s="22">
        <v>100</v>
      </c>
      <c r="S2370" s="22" t="s">
        <v>2967</v>
      </c>
      <c r="T2370" s="22">
        <f t="shared" si="185"/>
        <v>6</v>
      </c>
      <c r="U2370" s="22">
        <f t="shared" si="186"/>
        <v>2021</v>
      </c>
      <c r="V2370" s="22" t="str">
        <f t="shared" si="187"/>
        <v>METROPOLITANA</v>
      </c>
    </row>
    <row r="2371" spans="1:22" x14ac:dyDescent="0.2">
      <c r="A2371" s="23" t="s">
        <v>2966</v>
      </c>
      <c r="B2371" s="22" t="s">
        <v>18</v>
      </c>
      <c r="C2371" s="22" t="s">
        <v>193</v>
      </c>
      <c r="D2371" s="22" t="s">
        <v>20</v>
      </c>
      <c r="E2371" s="24" t="s">
        <v>21</v>
      </c>
      <c r="F2371" s="22" t="s">
        <v>194</v>
      </c>
      <c r="G2371" s="25">
        <v>4470.4000000000005</v>
      </c>
      <c r="H2371" s="22" t="s">
        <v>22</v>
      </c>
      <c r="I2371" s="22">
        <v>0</v>
      </c>
      <c r="J2371" s="22" t="s">
        <v>194</v>
      </c>
      <c r="K2371" s="22" t="s">
        <v>23</v>
      </c>
      <c r="L2371" s="22">
        <v>4</v>
      </c>
      <c r="M2371" s="26">
        <v>55000</v>
      </c>
      <c r="N2371" s="26">
        <v>0</v>
      </c>
      <c r="O2371" s="15">
        <f>G2371*11</f>
        <v>49174.400000000009</v>
      </c>
      <c r="P2371" s="15">
        <f t="shared" si="190"/>
        <v>11</v>
      </c>
      <c r="Q2371" s="25">
        <v>5000</v>
      </c>
      <c r="R2371" s="22">
        <v>89</v>
      </c>
      <c r="S2371" s="22" t="s">
        <v>2968</v>
      </c>
      <c r="T2371" s="22">
        <f t="shared" si="185"/>
        <v>6</v>
      </c>
      <c r="U2371" s="22">
        <f t="shared" si="186"/>
        <v>2021</v>
      </c>
      <c r="V2371" s="22" t="str">
        <f t="shared" si="187"/>
        <v>METROPOLITANA</v>
      </c>
    </row>
    <row r="2372" spans="1:22" x14ac:dyDescent="0.2">
      <c r="A2372" s="23" t="s">
        <v>2966</v>
      </c>
      <c r="B2372" s="22" t="s">
        <v>33</v>
      </c>
      <c r="C2372" s="22" t="s">
        <v>270</v>
      </c>
      <c r="D2372" s="22" t="s">
        <v>786</v>
      </c>
      <c r="E2372" s="24" t="s">
        <v>787</v>
      </c>
      <c r="F2372" s="22" t="s">
        <v>120</v>
      </c>
      <c r="G2372" s="25">
        <v>13134</v>
      </c>
      <c r="H2372" s="22" t="s">
        <v>788</v>
      </c>
      <c r="I2372" s="22">
        <v>1</v>
      </c>
      <c r="J2372" s="22" t="s">
        <v>120</v>
      </c>
      <c r="K2372" s="22" t="s">
        <v>23</v>
      </c>
      <c r="L2372" s="22">
        <v>5</v>
      </c>
      <c r="M2372" s="26">
        <v>120000</v>
      </c>
      <c r="N2372" s="26">
        <v>0</v>
      </c>
      <c r="O2372" s="15">
        <f>G2372*11</f>
        <v>144474</v>
      </c>
      <c r="P2372" s="15">
        <f t="shared" si="190"/>
        <v>11</v>
      </c>
      <c r="Q2372" s="25">
        <v>10000</v>
      </c>
      <c r="R2372" s="22">
        <v>100</v>
      </c>
      <c r="S2372" s="22" t="s">
        <v>2969</v>
      </c>
      <c r="T2372" s="22">
        <f t="shared" si="185"/>
        <v>6</v>
      </c>
      <c r="U2372" s="22">
        <f t="shared" si="186"/>
        <v>2021</v>
      </c>
      <c r="V2372" s="22" t="str">
        <f t="shared" si="187"/>
        <v>METROPOLITANA</v>
      </c>
    </row>
    <row r="2373" spans="1:22" x14ac:dyDescent="0.2">
      <c r="A2373" s="23" t="s">
        <v>2966</v>
      </c>
      <c r="B2373" s="22" t="s">
        <v>33</v>
      </c>
      <c r="C2373" s="22" t="s">
        <v>128</v>
      </c>
      <c r="D2373" s="22" t="s">
        <v>38</v>
      </c>
      <c r="E2373" s="24" t="s">
        <v>42</v>
      </c>
      <c r="F2373" s="22" t="s">
        <v>34</v>
      </c>
      <c r="G2373" s="25">
        <v>7628.800000000002</v>
      </c>
      <c r="H2373" s="22" t="s">
        <v>43</v>
      </c>
      <c r="I2373" s="22">
        <v>0</v>
      </c>
      <c r="J2373" s="22" t="s">
        <v>34</v>
      </c>
      <c r="K2373" s="22" t="s">
        <v>23</v>
      </c>
      <c r="L2373" s="22">
        <v>1</v>
      </c>
      <c r="M2373" s="26">
        <v>83917</v>
      </c>
      <c r="N2373" s="26">
        <v>0</v>
      </c>
      <c r="O2373" s="15">
        <f>SUM(M2373:N2373)</f>
        <v>83917</v>
      </c>
      <c r="P2373" s="15">
        <f t="shared" si="190"/>
        <v>11.000026216442951</v>
      </c>
      <c r="Q2373" s="25">
        <v>5000</v>
      </c>
      <c r="R2373" s="22">
        <v>100</v>
      </c>
      <c r="S2373" s="22" t="s">
        <v>2970</v>
      </c>
      <c r="T2373" s="22">
        <f t="shared" si="185"/>
        <v>6</v>
      </c>
      <c r="U2373" s="22">
        <f t="shared" si="186"/>
        <v>2021</v>
      </c>
      <c r="V2373" s="22" t="str">
        <f t="shared" si="187"/>
        <v>METROPOLITANA</v>
      </c>
    </row>
    <row r="2374" spans="1:22" x14ac:dyDescent="0.2">
      <c r="A2374" s="23" t="s">
        <v>2966</v>
      </c>
      <c r="B2374" s="22" t="s">
        <v>33</v>
      </c>
      <c r="C2374" s="22" t="s">
        <v>128</v>
      </c>
      <c r="D2374" s="22" t="s">
        <v>37</v>
      </c>
      <c r="E2374" s="24" t="s">
        <v>40</v>
      </c>
      <c r="F2374" s="22" t="s">
        <v>34</v>
      </c>
      <c r="G2374" s="25">
        <f>10155.2+475</f>
        <v>10630.2</v>
      </c>
      <c r="H2374" s="22" t="s">
        <v>22</v>
      </c>
      <c r="I2374" s="22">
        <v>0</v>
      </c>
      <c r="J2374" s="22" t="s">
        <v>34</v>
      </c>
      <c r="K2374" s="22" t="s">
        <v>23</v>
      </c>
      <c r="L2374" s="22">
        <v>1</v>
      </c>
      <c r="M2374" s="26">
        <v>111707</v>
      </c>
      <c r="N2374" s="26">
        <v>0</v>
      </c>
      <c r="O2374" s="15">
        <f>SUM(M2374:N2374)</f>
        <v>111707</v>
      </c>
      <c r="P2374" s="15">
        <f t="shared" si="190"/>
        <v>10.508457037496942</v>
      </c>
      <c r="Q2374" s="25">
        <v>5000</v>
      </c>
      <c r="R2374" s="22">
        <v>100</v>
      </c>
      <c r="S2374" s="22" t="s">
        <v>2971</v>
      </c>
      <c r="T2374" s="22">
        <f t="shared" si="185"/>
        <v>6</v>
      </c>
      <c r="U2374" s="22">
        <f t="shared" si="186"/>
        <v>2021</v>
      </c>
      <c r="V2374" s="22" t="str">
        <f t="shared" si="187"/>
        <v>METROPOLITANA</v>
      </c>
    </row>
    <row r="2375" spans="1:22" x14ac:dyDescent="0.2">
      <c r="A2375" s="23" t="s">
        <v>2966</v>
      </c>
      <c r="B2375" s="22" t="s">
        <v>33</v>
      </c>
      <c r="C2375" s="22" t="s">
        <v>128</v>
      </c>
      <c r="D2375" s="22" t="s">
        <v>41</v>
      </c>
      <c r="E2375" s="24" t="s">
        <v>25</v>
      </c>
      <c r="F2375" s="22" t="s">
        <v>34</v>
      </c>
      <c r="G2375" s="25">
        <v>7153.6000000000022</v>
      </c>
      <c r="H2375" s="22" t="s">
        <v>43</v>
      </c>
      <c r="I2375" s="22">
        <v>0</v>
      </c>
      <c r="J2375" s="22" t="s">
        <v>34</v>
      </c>
      <c r="K2375" s="22" t="s">
        <v>23</v>
      </c>
      <c r="L2375" s="22">
        <v>1</v>
      </c>
      <c r="M2375" s="26">
        <v>78690</v>
      </c>
      <c r="N2375" s="26">
        <v>0</v>
      </c>
      <c r="O2375" s="15">
        <f>SUM(M2375:N2375)</f>
        <v>78690</v>
      </c>
      <c r="P2375" s="15">
        <f t="shared" si="190"/>
        <v>11.000055915902479</v>
      </c>
      <c r="Q2375" s="25">
        <v>5000</v>
      </c>
      <c r="R2375" s="22">
        <v>100</v>
      </c>
      <c r="S2375" s="22" t="s">
        <v>2972</v>
      </c>
      <c r="T2375" s="22">
        <f t="shared" si="185"/>
        <v>6</v>
      </c>
      <c r="U2375" s="22">
        <f t="shared" si="186"/>
        <v>2021</v>
      </c>
      <c r="V2375" s="22" t="str">
        <f t="shared" si="187"/>
        <v>METROPOLITANA</v>
      </c>
    </row>
    <row r="2376" spans="1:22" x14ac:dyDescent="0.2">
      <c r="A2376" s="23" t="s">
        <v>2966</v>
      </c>
      <c r="B2376" s="22" t="s">
        <v>33</v>
      </c>
      <c r="C2376" s="22" t="s">
        <v>128</v>
      </c>
      <c r="D2376" s="22" t="s">
        <v>20</v>
      </c>
      <c r="E2376" s="24" t="s">
        <v>21</v>
      </c>
      <c r="F2376" s="22" t="s">
        <v>34</v>
      </c>
      <c r="G2376" s="25">
        <v>7923.0000000000027</v>
      </c>
      <c r="H2376" s="22" t="s">
        <v>22</v>
      </c>
      <c r="I2376" s="22">
        <v>0</v>
      </c>
      <c r="J2376" s="22" t="s">
        <v>34</v>
      </c>
      <c r="K2376" s="22" t="s">
        <v>23</v>
      </c>
      <c r="L2376" s="22">
        <v>1</v>
      </c>
      <c r="M2376" s="26">
        <v>87153</v>
      </c>
      <c r="N2376" s="26">
        <v>0</v>
      </c>
      <c r="O2376" s="15">
        <f>SUM(M2376:N2376)</f>
        <v>87153</v>
      </c>
      <c r="P2376" s="15">
        <f t="shared" si="190"/>
        <v>10.999999999999996</v>
      </c>
      <c r="Q2376" s="25">
        <v>5000</v>
      </c>
      <c r="R2376" s="22">
        <v>100</v>
      </c>
      <c r="S2376" s="22" t="s">
        <v>2973</v>
      </c>
      <c r="T2376" s="22">
        <f t="shared" ref="T2376:T2439" si="191">MONTH(A2376)</f>
        <v>6</v>
      </c>
      <c r="U2376" s="22">
        <f t="shared" ref="U2376:U2439" si="192">YEAR(A2376)</f>
        <v>2021</v>
      </c>
      <c r="V2376" s="22" t="str">
        <f t="shared" ref="V2376:V2439" si="193">IF(K2376="METROPOLITANA DE SANTIAGO","METROPOLITANA","REGIONES")</f>
        <v>METROPOLITANA</v>
      </c>
    </row>
    <row r="2377" spans="1:22" x14ac:dyDescent="0.2">
      <c r="A2377" s="23" t="s">
        <v>2966</v>
      </c>
      <c r="B2377" s="22" t="s">
        <v>33</v>
      </c>
      <c r="C2377" s="22" t="s">
        <v>29</v>
      </c>
      <c r="D2377" s="22" t="s">
        <v>38</v>
      </c>
      <c r="E2377" s="24" t="s">
        <v>25</v>
      </c>
      <c r="F2377" s="22" t="s">
        <v>39</v>
      </c>
      <c r="G2377" s="25">
        <f>6849.9+475</f>
        <v>7324.9</v>
      </c>
      <c r="H2377" s="22" t="s">
        <v>43</v>
      </c>
      <c r="I2377" s="22">
        <v>0</v>
      </c>
      <c r="J2377" s="22" t="s">
        <v>39</v>
      </c>
      <c r="K2377" s="22" t="s">
        <v>23</v>
      </c>
      <c r="L2377" s="22">
        <v>1</v>
      </c>
      <c r="M2377" s="26">
        <v>75349</v>
      </c>
      <c r="N2377" s="26">
        <v>0</v>
      </c>
      <c r="O2377" s="15">
        <f>G2377*11</f>
        <v>80573.899999999994</v>
      </c>
      <c r="P2377" s="15">
        <f t="shared" si="190"/>
        <v>11</v>
      </c>
      <c r="Q2377" s="25">
        <v>5000</v>
      </c>
      <c r="R2377" s="22">
        <v>100</v>
      </c>
      <c r="S2377" s="22" t="s">
        <v>2974</v>
      </c>
      <c r="T2377" s="22">
        <f t="shared" si="191"/>
        <v>6</v>
      </c>
      <c r="U2377" s="22">
        <f t="shared" si="192"/>
        <v>2021</v>
      </c>
      <c r="V2377" s="22" t="str">
        <f t="shared" si="193"/>
        <v>METROPOLITANA</v>
      </c>
    </row>
    <row r="2378" spans="1:22" x14ac:dyDescent="0.2">
      <c r="A2378" s="23" t="s">
        <v>2966</v>
      </c>
      <c r="B2378" s="22" t="s">
        <v>33</v>
      </c>
      <c r="C2378" s="22" t="s">
        <v>29</v>
      </c>
      <c r="D2378" s="22" t="s">
        <v>37</v>
      </c>
      <c r="E2378" s="24" t="s">
        <v>40</v>
      </c>
      <c r="F2378" s="22" t="s">
        <v>134</v>
      </c>
      <c r="G2378" s="25">
        <v>6753.5999999999995</v>
      </c>
      <c r="H2378" s="22" t="s">
        <v>22</v>
      </c>
      <c r="I2378" s="22">
        <v>0</v>
      </c>
      <c r="J2378" s="22" t="s">
        <v>134</v>
      </c>
      <c r="K2378" s="22" t="s">
        <v>23</v>
      </c>
      <c r="L2378" s="22">
        <v>2</v>
      </c>
      <c r="M2378" s="26">
        <v>74290</v>
      </c>
      <c r="N2378" s="26">
        <v>0</v>
      </c>
      <c r="O2378" s="15">
        <f>SUM(M2378:N2378)</f>
        <v>74290</v>
      </c>
      <c r="P2378" s="15">
        <f t="shared" si="190"/>
        <v>11.000059227671169</v>
      </c>
      <c r="Q2378" s="25">
        <v>5000</v>
      </c>
      <c r="R2378" s="22">
        <v>100</v>
      </c>
      <c r="S2378" s="22" t="s">
        <v>2975</v>
      </c>
      <c r="T2378" s="22">
        <f t="shared" si="191"/>
        <v>6</v>
      </c>
      <c r="U2378" s="22">
        <f t="shared" si="192"/>
        <v>2021</v>
      </c>
      <c r="V2378" s="22" t="str">
        <f t="shared" si="193"/>
        <v>METROPOLITANA</v>
      </c>
    </row>
    <row r="2379" spans="1:22" x14ac:dyDescent="0.2">
      <c r="A2379" s="23" t="s">
        <v>2966</v>
      </c>
      <c r="B2379" s="22" t="s">
        <v>33</v>
      </c>
      <c r="C2379" s="22" t="s">
        <v>29</v>
      </c>
      <c r="D2379" s="22" t="s">
        <v>63</v>
      </c>
      <c r="E2379" s="24" t="s">
        <v>64</v>
      </c>
      <c r="F2379" s="22" t="s">
        <v>173</v>
      </c>
      <c r="G2379" s="25">
        <v>10117.6</v>
      </c>
      <c r="H2379" s="22" t="s">
        <v>65</v>
      </c>
      <c r="I2379" s="22">
        <v>0</v>
      </c>
      <c r="J2379" s="22" t="s">
        <v>173</v>
      </c>
      <c r="K2379" s="22" t="s">
        <v>23</v>
      </c>
      <c r="L2379" s="22">
        <v>5</v>
      </c>
      <c r="M2379" s="26">
        <v>90000</v>
      </c>
      <c r="N2379" s="26">
        <v>0</v>
      </c>
      <c r="O2379" s="15">
        <f>G2379*11</f>
        <v>111293.6</v>
      </c>
      <c r="P2379" s="15">
        <f t="shared" si="190"/>
        <v>11</v>
      </c>
      <c r="Q2379" s="25">
        <v>10000</v>
      </c>
      <c r="R2379" s="22">
        <v>100</v>
      </c>
      <c r="S2379" s="22" t="s">
        <v>2976</v>
      </c>
      <c r="T2379" s="22">
        <f t="shared" si="191"/>
        <v>6</v>
      </c>
      <c r="U2379" s="22">
        <f t="shared" si="192"/>
        <v>2021</v>
      </c>
      <c r="V2379" s="22" t="str">
        <f t="shared" si="193"/>
        <v>METROPOLITANA</v>
      </c>
    </row>
    <row r="2380" spans="1:22" x14ac:dyDescent="0.2">
      <c r="A2380" s="23" t="s">
        <v>2966</v>
      </c>
      <c r="B2380" s="22" t="s">
        <v>33</v>
      </c>
      <c r="C2380" s="22" t="s">
        <v>29</v>
      </c>
      <c r="D2380" s="22" t="s">
        <v>30</v>
      </c>
      <c r="E2380" s="24" t="s">
        <v>31</v>
      </c>
      <c r="F2380" s="22" t="s">
        <v>39</v>
      </c>
      <c r="G2380" s="25">
        <v>8587.8000000000029</v>
      </c>
      <c r="H2380" s="22" t="s">
        <v>32</v>
      </c>
      <c r="I2380" s="22">
        <v>0</v>
      </c>
      <c r="J2380" s="22" t="s">
        <v>39</v>
      </c>
      <c r="K2380" s="22" t="s">
        <v>23</v>
      </c>
      <c r="L2380" s="22">
        <v>1</v>
      </c>
      <c r="M2380" s="26">
        <v>94466</v>
      </c>
      <c r="N2380" s="26">
        <v>0</v>
      </c>
      <c r="O2380" s="15">
        <f t="shared" ref="O2380:O2387" si="194">SUM(M2380:N2380)</f>
        <v>94466</v>
      </c>
      <c r="P2380" s="15">
        <f t="shared" si="190"/>
        <v>11.000023288851622</v>
      </c>
      <c r="Q2380" s="25">
        <v>5000</v>
      </c>
      <c r="R2380" s="22">
        <v>100</v>
      </c>
      <c r="S2380" s="22" t="s">
        <v>2977</v>
      </c>
      <c r="T2380" s="22">
        <f t="shared" si="191"/>
        <v>6</v>
      </c>
      <c r="U2380" s="22">
        <f t="shared" si="192"/>
        <v>2021</v>
      </c>
      <c r="V2380" s="22" t="str">
        <f t="shared" si="193"/>
        <v>METROPOLITANA</v>
      </c>
    </row>
    <row r="2381" spans="1:22" x14ac:dyDescent="0.2">
      <c r="A2381" s="23" t="s">
        <v>2966</v>
      </c>
      <c r="B2381" s="22" t="s">
        <v>33</v>
      </c>
      <c r="C2381" s="22" t="s">
        <v>29</v>
      </c>
      <c r="D2381" s="22" t="s">
        <v>30</v>
      </c>
      <c r="E2381" s="24" t="s">
        <v>31</v>
      </c>
      <c r="F2381" s="22" t="s">
        <v>134</v>
      </c>
      <c r="G2381" s="25">
        <v>5641.9999999999991</v>
      </c>
      <c r="H2381" s="22" t="s">
        <v>32</v>
      </c>
      <c r="I2381" s="22">
        <v>0</v>
      </c>
      <c r="J2381" s="22" t="s">
        <v>134</v>
      </c>
      <c r="K2381" s="22" t="s">
        <v>23</v>
      </c>
      <c r="L2381" s="22">
        <v>2</v>
      </c>
      <c r="M2381" s="26">
        <v>62062</v>
      </c>
      <c r="N2381" s="26">
        <v>0</v>
      </c>
      <c r="O2381" s="15">
        <f t="shared" si="194"/>
        <v>62062</v>
      </c>
      <c r="P2381" s="15">
        <f t="shared" si="190"/>
        <v>11.000000000000002</v>
      </c>
      <c r="Q2381" s="25">
        <v>5000</v>
      </c>
      <c r="R2381" s="22">
        <v>100</v>
      </c>
      <c r="S2381" s="22" t="s">
        <v>2978</v>
      </c>
      <c r="T2381" s="22">
        <f t="shared" si="191"/>
        <v>6</v>
      </c>
      <c r="U2381" s="22">
        <f t="shared" si="192"/>
        <v>2021</v>
      </c>
      <c r="V2381" s="22" t="str">
        <f t="shared" si="193"/>
        <v>METROPOLITANA</v>
      </c>
    </row>
    <row r="2382" spans="1:22" x14ac:dyDescent="0.2">
      <c r="A2382" s="23" t="s">
        <v>2966</v>
      </c>
      <c r="B2382" s="22" t="s">
        <v>33</v>
      </c>
      <c r="C2382" s="22" t="s">
        <v>29</v>
      </c>
      <c r="D2382" s="22" t="s">
        <v>2028</v>
      </c>
      <c r="E2382" s="24" t="s">
        <v>126</v>
      </c>
      <c r="F2382" s="22" t="s">
        <v>170</v>
      </c>
      <c r="G2382" s="25">
        <v>17939.299999999988</v>
      </c>
      <c r="H2382" s="22" t="s">
        <v>22</v>
      </c>
      <c r="I2382" s="22">
        <v>1</v>
      </c>
      <c r="J2382" s="22" t="s">
        <v>170</v>
      </c>
      <c r="K2382" s="22" t="s">
        <v>171</v>
      </c>
      <c r="L2382" s="22">
        <v>0</v>
      </c>
      <c r="M2382" s="26">
        <v>230000</v>
      </c>
      <c r="N2382" s="26">
        <v>0</v>
      </c>
      <c r="O2382" s="15">
        <f t="shared" si="194"/>
        <v>230000</v>
      </c>
      <c r="P2382" s="15">
        <f t="shared" si="190"/>
        <v>12.821013083007706</v>
      </c>
      <c r="Q2382" s="25">
        <v>25000</v>
      </c>
      <c r="R2382" s="22">
        <v>72</v>
      </c>
      <c r="S2382" s="22" t="s">
        <v>2979</v>
      </c>
      <c r="T2382" s="22">
        <f t="shared" si="191"/>
        <v>6</v>
      </c>
      <c r="U2382" s="22">
        <f t="shared" si="192"/>
        <v>2021</v>
      </c>
      <c r="V2382" s="22" t="str">
        <f t="shared" si="193"/>
        <v>REGIONES</v>
      </c>
    </row>
    <row r="2383" spans="1:22" x14ac:dyDescent="0.2">
      <c r="A2383" s="23" t="s">
        <v>2966</v>
      </c>
      <c r="B2383" s="22" t="s">
        <v>33</v>
      </c>
      <c r="C2383" s="22" t="s">
        <v>29</v>
      </c>
      <c r="D2383" s="22" t="s">
        <v>41</v>
      </c>
      <c r="E2383" s="24" t="s">
        <v>42</v>
      </c>
      <c r="F2383" s="22" t="s">
        <v>39</v>
      </c>
      <c r="G2383" s="25">
        <v>9106.3999999999978</v>
      </c>
      <c r="H2383" s="22" t="s">
        <v>43</v>
      </c>
      <c r="I2383" s="22">
        <v>0</v>
      </c>
      <c r="J2383" s="22" t="s">
        <v>39</v>
      </c>
      <c r="K2383" s="22" t="s">
        <v>23</v>
      </c>
      <c r="L2383" s="22">
        <v>1</v>
      </c>
      <c r="M2383" s="26">
        <v>100170</v>
      </c>
      <c r="N2383" s="26">
        <v>0</v>
      </c>
      <c r="O2383" s="15">
        <f t="shared" si="194"/>
        <v>100170</v>
      </c>
      <c r="P2383" s="15">
        <f t="shared" si="190"/>
        <v>10.999956074848461</v>
      </c>
      <c r="Q2383" s="25">
        <v>5000</v>
      </c>
      <c r="R2383" s="22">
        <v>100</v>
      </c>
      <c r="S2383" s="22" t="s">
        <v>2980</v>
      </c>
      <c r="T2383" s="22">
        <f t="shared" si="191"/>
        <v>6</v>
      </c>
      <c r="U2383" s="22">
        <f t="shared" si="192"/>
        <v>2021</v>
      </c>
      <c r="V2383" s="22" t="str">
        <f t="shared" si="193"/>
        <v>METROPOLITANA</v>
      </c>
    </row>
    <row r="2384" spans="1:22" x14ac:dyDescent="0.2">
      <c r="A2384" s="23" t="s">
        <v>2966</v>
      </c>
      <c r="B2384" s="22" t="s">
        <v>33</v>
      </c>
      <c r="C2384" s="22" t="s">
        <v>29</v>
      </c>
      <c r="D2384" s="22" t="s">
        <v>41</v>
      </c>
      <c r="E2384" s="24" t="s">
        <v>42</v>
      </c>
      <c r="F2384" s="22" t="s">
        <v>134</v>
      </c>
      <c r="G2384" s="25">
        <v>6753.5999999999995</v>
      </c>
      <c r="H2384" s="22" t="s">
        <v>43</v>
      </c>
      <c r="I2384" s="22">
        <v>0</v>
      </c>
      <c r="J2384" s="22" t="s">
        <v>134</v>
      </c>
      <c r="K2384" s="22" t="s">
        <v>23</v>
      </c>
      <c r="L2384" s="22">
        <v>2</v>
      </c>
      <c r="M2384" s="26">
        <v>74290</v>
      </c>
      <c r="N2384" s="26">
        <v>0</v>
      </c>
      <c r="O2384" s="15">
        <f t="shared" si="194"/>
        <v>74290</v>
      </c>
      <c r="P2384" s="15">
        <f t="shared" si="190"/>
        <v>11.000059227671169</v>
      </c>
      <c r="Q2384" s="25">
        <v>5000</v>
      </c>
      <c r="R2384" s="22">
        <v>100</v>
      </c>
      <c r="S2384" s="22" t="s">
        <v>2981</v>
      </c>
      <c r="T2384" s="22">
        <f t="shared" si="191"/>
        <v>6</v>
      </c>
      <c r="U2384" s="22">
        <f t="shared" si="192"/>
        <v>2021</v>
      </c>
      <c r="V2384" s="22" t="str">
        <f t="shared" si="193"/>
        <v>METROPOLITANA</v>
      </c>
    </row>
    <row r="2385" spans="1:22" x14ac:dyDescent="0.2">
      <c r="A2385" s="23" t="s">
        <v>2966</v>
      </c>
      <c r="B2385" s="22" t="s">
        <v>33</v>
      </c>
      <c r="C2385" s="22" t="s">
        <v>44</v>
      </c>
      <c r="D2385" s="22" t="s">
        <v>56</v>
      </c>
      <c r="E2385" s="24" t="s">
        <v>52</v>
      </c>
      <c r="F2385" s="22" t="s">
        <v>48</v>
      </c>
      <c r="G2385" s="25">
        <f>7428.8+1426</f>
        <v>8854.7999999999993</v>
      </c>
      <c r="H2385" s="22" t="s">
        <v>22</v>
      </c>
      <c r="I2385" s="22">
        <v>0</v>
      </c>
      <c r="J2385" s="22" t="s">
        <v>48</v>
      </c>
      <c r="K2385" s="22" t="s">
        <v>23</v>
      </c>
      <c r="L2385" s="22">
        <v>1</v>
      </c>
      <c r="M2385" s="26">
        <v>81717</v>
      </c>
      <c r="N2385" s="26">
        <v>0</v>
      </c>
      <c r="O2385" s="15">
        <f t="shared" si="194"/>
        <v>81717</v>
      </c>
      <c r="P2385" s="15">
        <f t="shared" si="190"/>
        <v>9.2285540046076715</v>
      </c>
      <c r="Q2385" s="25">
        <v>5000</v>
      </c>
      <c r="R2385" s="22">
        <v>100</v>
      </c>
      <c r="S2385" s="22" t="s">
        <v>2982</v>
      </c>
      <c r="T2385" s="22">
        <f t="shared" si="191"/>
        <v>6</v>
      </c>
      <c r="U2385" s="22">
        <f t="shared" si="192"/>
        <v>2021</v>
      </c>
      <c r="V2385" s="22" t="str">
        <f t="shared" si="193"/>
        <v>METROPOLITANA</v>
      </c>
    </row>
    <row r="2386" spans="1:22" x14ac:dyDescent="0.2">
      <c r="A2386" s="23" t="s">
        <v>2966</v>
      </c>
      <c r="B2386" s="22" t="s">
        <v>33</v>
      </c>
      <c r="C2386" s="22" t="s">
        <v>44</v>
      </c>
      <c r="D2386" s="22" t="s">
        <v>45</v>
      </c>
      <c r="E2386" s="24" t="s">
        <v>1576</v>
      </c>
      <c r="F2386" s="22" t="s">
        <v>26</v>
      </c>
      <c r="G2386" s="25">
        <v>4354.9399999999996</v>
      </c>
      <c r="H2386" s="22" t="s">
        <v>22</v>
      </c>
      <c r="I2386" s="22">
        <v>0</v>
      </c>
      <c r="J2386" s="22" t="s">
        <v>26</v>
      </c>
      <c r="K2386" s="22" t="s">
        <v>23</v>
      </c>
      <c r="L2386" s="22">
        <v>4</v>
      </c>
      <c r="M2386" s="26">
        <v>55000</v>
      </c>
      <c r="N2386" s="26">
        <v>0</v>
      </c>
      <c r="O2386" s="15">
        <f t="shared" si="194"/>
        <v>55000</v>
      </c>
      <c r="P2386" s="15">
        <f t="shared" si="190"/>
        <v>12.629335880632111</v>
      </c>
      <c r="Q2386" s="25">
        <v>5000</v>
      </c>
      <c r="R2386" s="22">
        <v>87</v>
      </c>
      <c r="S2386" s="22" t="s">
        <v>2983</v>
      </c>
      <c r="T2386" s="22">
        <f t="shared" si="191"/>
        <v>6</v>
      </c>
      <c r="U2386" s="22">
        <f t="shared" si="192"/>
        <v>2021</v>
      </c>
      <c r="V2386" s="22" t="str">
        <f t="shared" si="193"/>
        <v>METROPOLITANA</v>
      </c>
    </row>
    <row r="2387" spans="1:22" x14ac:dyDescent="0.2">
      <c r="A2387" s="23" t="s">
        <v>2966</v>
      </c>
      <c r="B2387" s="22" t="s">
        <v>33</v>
      </c>
      <c r="C2387" s="22" t="s">
        <v>44</v>
      </c>
      <c r="D2387" s="22" t="s">
        <v>35</v>
      </c>
      <c r="E2387" s="24" t="s">
        <v>21</v>
      </c>
      <c r="F2387" s="22" t="s">
        <v>229</v>
      </c>
      <c r="G2387" s="25">
        <v>4977.6000000000004</v>
      </c>
      <c r="H2387" s="22" t="s">
        <v>22</v>
      </c>
      <c r="I2387" s="22">
        <v>0</v>
      </c>
      <c r="J2387" s="22" t="s">
        <v>230</v>
      </c>
      <c r="K2387" s="22" t="s">
        <v>23</v>
      </c>
      <c r="L2387" s="22">
        <v>4</v>
      </c>
      <c r="M2387" s="26">
        <v>55000</v>
      </c>
      <c r="N2387" s="26">
        <v>0</v>
      </c>
      <c r="O2387" s="15">
        <f t="shared" si="194"/>
        <v>55000</v>
      </c>
      <c r="P2387" s="15">
        <f t="shared" si="190"/>
        <v>11.049501767920281</v>
      </c>
      <c r="Q2387" s="25">
        <v>5000</v>
      </c>
      <c r="R2387" s="22">
        <v>100</v>
      </c>
      <c r="S2387" s="22" t="s">
        <v>2984</v>
      </c>
      <c r="T2387" s="22">
        <f t="shared" si="191"/>
        <v>6</v>
      </c>
      <c r="U2387" s="22">
        <f t="shared" si="192"/>
        <v>2021</v>
      </c>
      <c r="V2387" s="22" t="str">
        <f t="shared" si="193"/>
        <v>METROPOLITANA</v>
      </c>
    </row>
    <row r="2388" spans="1:22" x14ac:dyDescent="0.2">
      <c r="A2388" s="11" t="s">
        <v>2985</v>
      </c>
      <c r="B2388" s="12" t="s">
        <v>18</v>
      </c>
      <c r="C2388" s="12" t="s">
        <v>270</v>
      </c>
      <c r="D2388" s="12" t="s">
        <v>786</v>
      </c>
      <c r="E2388" s="13" t="s">
        <v>787</v>
      </c>
      <c r="F2388" s="12" t="s">
        <v>120</v>
      </c>
      <c r="G2388" s="14">
        <v>13756.8</v>
      </c>
      <c r="H2388" s="12" t="s">
        <v>788</v>
      </c>
      <c r="I2388" s="12">
        <v>1</v>
      </c>
      <c r="J2388" s="12" t="s">
        <v>120</v>
      </c>
      <c r="K2388" s="12" t="s">
        <v>23</v>
      </c>
      <c r="L2388" s="12">
        <v>5</v>
      </c>
      <c r="M2388" s="15">
        <v>120000</v>
      </c>
      <c r="N2388" s="15">
        <v>0</v>
      </c>
      <c r="O2388" s="15">
        <f>G2388*11</f>
        <v>151324.79999999999</v>
      </c>
      <c r="P2388" s="15">
        <f t="shared" si="190"/>
        <v>11</v>
      </c>
      <c r="Q2388" s="14">
        <v>10000</v>
      </c>
      <c r="R2388" s="12">
        <v>100</v>
      </c>
      <c r="S2388" s="12" t="s">
        <v>2986</v>
      </c>
      <c r="T2388" s="22">
        <f t="shared" si="191"/>
        <v>6</v>
      </c>
      <c r="U2388" s="22">
        <f t="shared" si="192"/>
        <v>2021</v>
      </c>
      <c r="V2388" s="22" t="str">
        <f t="shared" si="193"/>
        <v>METROPOLITANA</v>
      </c>
    </row>
    <row r="2389" spans="1:22" x14ac:dyDescent="0.2">
      <c r="A2389" s="11" t="s">
        <v>2985</v>
      </c>
      <c r="B2389" s="12" t="s">
        <v>33</v>
      </c>
      <c r="C2389" s="12" t="s">
        <v>540</v>
      </c>
      <c r="D2389" s="12" t="s">
        <v>20</v>
      </c>
      <c r="E2389" s="13" t="s">
        <v>21</v>
      </c>
      <c r="F2389" s="12" t="s">
        <v>995</v>
      </c>
      <c r="G2389" s="14">
        <v>4804.8</v>
      </c>
      <c r="H2389" s="12" t="s">
        <v>22</v>
      </c>
      <c r="I2389" s="12">
        <v>0</v>
      </c>
      <c r="J2389" s="12" t="s">
        <v>995</v>
      </c>
      <c r="K2389" s="12" t="s">
        <v>23</v>
      </c>
      <c r="L2389" s="12">
        <v>1</v>
      </c>
      <c r="M2389" s="15">
        <v>55000</v>
      </c>
      <c r="N2389" s="15">
        <v>0</v>
      </c>
      <c r="O2389" s="15">
        <f>SUM(M2389:N2389)</f>
        <v>55000</v>
      </c>
      <c r="P2389" s="15">
        <f t="shared" si="190"/>
        <v>11.446886446886447</v>
      </c>
      <c r="Q2389" s="14">
        <v>5000</v>
      </c>
      <c r="R2389" s="12">
        <v>96</v>
      </c>
      <c r="S2389" s="12" t="s">
        <v>2987</v>
      </c>
      <c r="T2389" s="22">
        <f t="shared" si="191"/>
        <v>6</v>
      </c>
      <c r="U2389" s="22">
        <f t="shared" si="192"/>
        <v>2021</v>
      </c>
      <c r="V2389" s="22" t="str">
        <f t="shared" si="193"/>
        <v>METROPOLITANA</v>
      </c>
    </row>
    <row r="2390" spans="1:22" x14ac:dyDescent="0.2">
      <c r="A2390" s="11" t="s">
        <v>2985</v>
      </c>
      <c r="B2390" s="12" t="s">
        <v>33</v>
      </c>
      <c r="C2390" s="12" t="s">
        <v>128</v>
      </c>
      <c r="D2390" s="12" t="s">
        <v>38</v>
      </c>
      <c r="E2390" s="13" t="s">
        <v>42</v>
      </c>
      <c r="F2390" s="12" t="s">
        <v>34</v>
      </c>
      <c r="G2390" s="14">
        <f>7391.2+238</f>
        <v>7629.2</v>
      </c>
      <c r="H2390" s="12" t="s">
        <v>43</v>
      </c>
      <c r="I2390" s="12">
        <v>0</v>
      </c>
      <c r="J2390" s="12" t="s">
        <v>34</v>
      </c>
      <c r="K2390" s="12" t="s">
        <v>23</v>
      </c>
      <c r="L2390" s="12">
        <v>1</v>
      </c>
      <c r="M2390" s="15">
        <v>81303</v>
      </c>
      <c r="N2390" s="15">
        <v>0</v>
      </c>
      <c r="O2390" s="15">
        <f>SUM(M2390:N2390)</f>
        <v>81303</v>
      </c>
      <c r="P2390" s="15">
        <f t="shared" si="190"/>
        <v>10.656818539296388</v>
      </c>
      <c r="Q2390" s="14">
        <v>5000</v>
      </c>
      <c r="R2390" s="12">
        <v>100</v>
      </c>
      <c r="S2390" s="12" t="s">
        <v>2988</v>
      </c>
      <c r="T2390" s="22">
        <f t="shared" si="191"/>
        <v>6</v>
      </c>
      <c r="U2390" s="22">
        <f t="shared" si="192"/>
        <v>2021</v>
      </c>
      <c r="V2390" s="22" t="str">
        <f t="shared" si="193"/>
        <v>METROPOLITANA</v>
      </c>
    </row>
    <row r="2391" spans="1:22" x14ac:dyDescent="0.2">
      <c r="A2391" s="11" t="s">
        <v>2985</v>
      </c>
      <c r="B2391" s="12" t="s">
        <v>33</v>
      </c>
      <c r="C2391" s="12" t="s">
        <v>128</v>
      </c>
      <c r="D2391" s="12" t="s">
        <v>164</v>
      </c>
      <c r="E2391" s="13" t="s">
        <v>28</v>
      </c>
      <c r="F2391" s="12" t="s">
        <v>129</v>
      </c>
      <c r="G2391" s="14">
        <v>9504.0000000000091</v>
      </c>
      <c r="H2391" s="12" t="s">
        <v>22</v>
      </c>
      <c r="I2391" s="12">
        <v>1</v>
      </c>
      <c r="J2391" s="12" t="s">
        <v>129</v>
      </c>
      <c r="K2391" s="12" t="s">
        <v>23</v>
      </c>
      <c r="L2391" s="12">
        <v>1</v>
      </c>
      <c r="M2391" s="15">
        <v>104544</v>
      </c>
      <c r="N2391" s="15">
        <v>0</v>
      </c>
      <c r="O2391" s="15">
        <f>SUM(M2391:N2391)</f>
        <v>104544</v>
      </c>
      <c r="P2391" s="15">
        <f t="shared" si="190"/>
        <v>10.999999999999989</v>
      </c>
      <c r="Q2391" s="14">
        <v>5000</v>
      </c>
      <c r="R2391" s="12">
        <v>100</v>
      </c>
      <c r="S2391" s="12" t="s">
        <v>2989</v>
      </c>
      <c r="T2391" s="22">
        <f t="shared" si="191"/>
        <v>6</v>
      </c>
      <c r="U2391" s="22">
        <f t="shared" si="192"/>
        <v>2021</v>
      </c>
      <c r="V2391" s="22" t="str">
        <f t="shared" si="193"/>
        <v>METROPOLITANA</v>
      </c>
    </row>
    <row r="2392" spans="1:22" x14ac:dyDescent="0.2">
      <c r="A2392" s="11" t="s">
        <v>2985</v>
      </c>
      <c r="B2392" s="12" t="s">
        <v>33</v>
      </c>
      <c r="C2392" s="12" t="s">
        <v>29</v>
      </c>
      <c r="D2392" s="12" t="s">
        <v>45</v>
      </c>
      <c r="E2392" s="13" t="s">
        <v>52</v>
      </c>
      <c r="F2392" s="12" t="s">
        <v>39</v>
      </c>
      <c r="G2392" s="14">
        <f>6816.4+1338</f>
        <v>8154.4</v>
      </c>
      <c r="H2392" s="12" t="s">
        <v>22</v>
      </c>
      <c r="I2392" s="12">
        <v>0</v>
      </c>
      <c r="J2392" s="12" t="s">
        <v>39</v>
      </c>
      <c r="K2392" s="12" t="s">
        <v>23</v>
      </c>
      <c r="L2392" s="12">
        <v>1</v>
      </c>
      <c r="M2392" s="15">
        <v>74980</v>
      </c>
      <c r="N2392" s="15">
        <v>0</v>
      </c>
      <c r="O2392" s="15">
        <f>G2392*11</f>
        <v>89698.4</v>
      </c>
      <c r="P2392" s="15">
        <f t="shared" si="190"/>
        <v>11</v>
      </c>
      <c r="Q2392" s="14">
        <v>5000</v>
      </c>
      <c r="R2392" s="12">
        <v>100</v>
      </c>
      <c r="S2392" s="12" t="s">
        <v>2990</v>
      </c>
      <c r="T2392" s="22">
        <f t="shared" si="191"/>
        <v>6</v>
      </c>
      <c r="U2392" s="22">
        <f t="shared" si="192"/>
        <v>2021</v>
      </c>
      <c r="V2392" s="22" t="str">
        <f t="shared" si="193"/>
        <v>METROPOLITANA</v>
      </c>
    </row>
    <row r="2393" spans="1:22" x14ac:dyDescent="0.2">
      <c r="A2393" s="11" t="s">
        <v>2985</v>
      </c>
      <c r="B2393" s="12" t="s">
        <v>33</v>
      </c>
      <c r="C2393" s="12" t="s">
        <v>29</v>
      </c>
      <c r="D2393" s="12" t="s">
        <v>41</v>
      </c>
      <c r="E2393" s="13" t="s">
        <v>25</v>
      </c>
      <c r="F2393" s="12" t="s">
        <v>134</v>
      </c>
      <c r="G2393" s="14">
        <v>6003.1999999999989</v>
      </c>
      <c r="H2393" s="12" t="s">
        <v>43</v>
      </c>
      <c r="I2393" s="12">
        <v>0</v>
      </c>
      <c r="J2393" s="12" t="s">
        <v>134</v>
      </c>
      <c r="K2393" s="12" t="s">
        <v>23</v>
      </c>
      <c r="L2393" s="12">
        <v>2</v>
      </c>
      <c r="M2393" s="15">
        <v>66035</v>
      </c>
      <c r="N2393" s="15">
        <v>0</v>
      </c>
      <c r="O2393" s="15">
        <f>SUM(M2393:N2393)</f>
        <v>66035</v>
      </c>
      <c r="P2393" s="15">
        <f t="shared" si="190"/>
        <v>10.99996668443497</v>
      </c>
      <c r="Q2393" s="14">
        <v>5000</v>
      </c>
      <c r="R2393" s="12">
        <v>100</v>
      </c>
      <c r="S2393" s="12" t="s">
        <v>2991</v>
      </c>
      <c r="T2393" s="22">
        <f t="shared" si="191"/>
        <v>6</v>
      </c>
      <c r="U2393" s="22">
        <f t="shared" si="192"/>
        <v>2021</v>
      </c>
      <c r="V2393" s="22" t="str">
        <f t="shared" si="193"/>
        <v>METROPOLITANA</v>
      </c>
    </row>
    <row r="2394" spans="1:22" x14ac:dyDescent="0.2">
      <c r="A2394" s="11" t="s">
        <v>2985</v>
      </c>
      <c r="B2394" s="12" t="s">
        <v>33</v>
      </c>
      <c r="C2394" s="12" t="s">
        <v>29</v>
      </c>
      <c r="D2394" s="12" t="s">
        <v>20</v>
      </c>
      <c r="E2394" s="13" t="s">
        <v>21</v>
      </c>
      <c r="F2394" s="12" t="s">
        <v>39</v>
      </c>
      <c r="G2394" s="14">
        <v>8305.8000000000011</v>
      </c>
      <c r="H2394" s="12" t="s">
        <v>22</v>
      </c>
      <c r="I2394" s="12">
        <v>0</v>
      </c>
      <c r="J2394" s="12" t="s">
        <v>39</v>
      </c>
      <c r="K2394" s="12" t="s">
        <v>23</v>
      </c>
      <c r="L2394" s="12">
        <v>1</v>
      </c>
      <c r="M2394" s="15">
        <v>91364</v>
      </c>
      <c r="N2394" s="15">
        <v>0</v>
      </c>
      <c r="O2394" s="15">
        <f>SUM(M2394:N2394)</f>
        <v>91364</v>
      </c>
      <c r="P2394" s="15">
        <f t="shared" si="190"/>
        <v>11.000024079558861</v>
      </c>
      <c r="Q2394" s="14">
        <v>5000</v>
      </c>
      <c r="R2394" s="12">
        <v>100</v>
      </c>
      <c r="S2394" s="12" t="s">
        <v>2992</v>
      </c>
      <c r="T2394" s="22">
        <f t="shared" si="191"/>
        <v>6</v>
      </c>
      <c r="U2394" s="22">
        <f t="shared" si="192"/>
        <v>2021</v>
      </c>
      <c r="V2394" s="22" t="str">
        <f t="shared" si="193"/>
        <v>METROPOLITANA</v>
      </c>
    </row>
    <row r="2395" spans="1:22" x14ac:dyDescent="0.2">
      <c r="A2395" s="11" t="s">
        <v>2985</v>
      </c>
      <c r="B2395" s="12" t="s">
        <v>33</v>
      </c>
      <c r="C2395" s="12" t="s">
        <v>44</v>
      </c>
      <c r="D2395" s="12" t="s">
        <v>1869</v>
      </c>
      <c r="E2395" s="13" t="s">
        <v>2993</v>
      </c>
      <c r="F2395" s="12" t="s">
        <v>1026</v>
      </c>
      <c r="G2395" s="14">
        <v>21051</v>
      </c>
      <c r="H2395" s="12" t="s">
        <v>24</v>
      </c>
      <c r="I2395" s="12">
        <v>1</v>
      </c>
      <c r="J2395" s="12" t="s">
        <v>1026</v>
      </c>
      <c r="K2395" s="12" t="s">
        <v>408</v>
      </c>
      <c r="L2395" s="12">
        <v>0</v>
      </c>
      <c r="M2395" s="15">
        <v>600000</v>
      </c>
      <c r="N2395" s="15">
        <v>0</v>
      </c>
      <c r="O2395" s="15">
        <v>600000</v>
      </c>
      <c r="P2395" s="15">
        <f t="shared" si="190"/>
        <v>28.502208921191393</v>
      </c>
      <c r="Q2395" s="14">
        <v>25000</v>
      </c>
      <c r="R2395" s="12">
        <v>84</v>
      </c>
      <c r="S2395" s="12" t="s">
        <v>2994</v>
      </c>
      <c r="T2395" s="22">
        <f t="shared" si="191"/>
        <v>6</v>
      </c>
      <c r="U2395" s="22">
        <f t="shared" si="192"/>
        <v>2021</v>
      </c>
      <c r="V2395" s="22" t="str">
        <f t="shared" si="193"/>
        <v>REGIONES</v>
      </c>
    </row>
    <row r="2396" spans="1:22" x14ac:dyDescent="0.2">
      <c r="A2396" s="11" t="s">
        <v>2985</v>
      </c>
      <c r="B2396" s="12" t="s">
        <v>33</v>
      </c>
      <c r="C2396" s="12" t="s">
        <v>44</v>
      </c>
      <c r="D2396" s="12" t="s">
        <v>37</v>
      </c>
      <c r="E2396" s="13" t="s">
        <v>40</v>
      </c>
      <c r="F2396" s="12" t="s">
        <v>48</v>
      </c>
      <c r="G2396" s="14">
        <v>6368.1600000000017</v>
      </c>
      <c r="H2396" s="12" t="s">
        <v>22</v>
      </c>
      <c r="I2396" s="12">
        <v>0</v>
      </c>
      <c r="J2396" s="12" t="s">
        <v>48</v>
      </c>
      <c r="K2396" s="12" t="s">
        <v>23</v>
      </c>
      <c r="L2396" s="12">
        <v>1</v>
      </c>
      <c r="M2396" s="15">
        <v>70050</v>
      </c>
      <c r="N2396" s="15">
        <v>0</v>
      </c>
      <c r="O2396" s="15">
        <f>SUM(M2396:N2396)</f>
        <v>70050</v>
      </c>
      <c r="P2396" s="15">
        <f t="shared" si="190"/>
        <v>11.000037687495286</v>
      </c>
      <c r="Q2396" s="14">
        <v>5000</v>
      </c>
      <c r="R2396" s="12">
        <v>100</v>
      </c>
      <c r="S2396" s="12" t="s">
        <v>2995</v>
      </c>
      <c r="T2396" s="22">
        <f t="shared" si="191"/>
        <v>6</v>
      </c>
      <c r="U2396" s="22">
        <f t="shared" si="192"/>
        <v>2021</v>
      </c>
      <c r="V2396" s="22" t="str">
        <f t="shared" si="193"/>
        <v>METROPOLITANA</v>
      </c>
    </row>
    <row r="2397" spans="1:22" x14ac:dyDescent="0.2">
      <c r="A2397" s="11" t="s">
        <v>2985</v>
      </c>
      <c r="B2397" s="12" t="s">
        <v>33</v>
      </c>
      <c r="C2397" s="12" t="s">
        <v>1163</v>
      </c>
      <c r="D2397" s="12" t="s">
        <v>30</v>
      </c>
      <c r="E2397" s="13" t="s">
        <v>31</v>
      </c>
      <c r="F2397" s="12" t="s">
        <v>165</v>
      </c>
      <c r="G2397" s="14">
        <v>13214.88</v>
      </c>
      <c r="H2397" s="12" t="s">
        <v>32</v>
      </c>
      <c r="I2397" s="12">
        <v>0</v>
      </c>
      <c r="J2397" s="12" t="s">
        <v>165</v>
      </c>
      <c r="K2397" s="12" t="s">
        <v>23</v>
      </c>
      <c r="L2397" s="12">
        <v>4</v>
      </c>
      <c r="M2397" s="15">
        <v>145364</v>
      </c>
      <c r="N2397" s="15">
        <v>0</v>
      </c>
      <c r="O2397" s="15">
        <f>SUM(M2397:N2397)</f>
        <v>145364</v>
      </c>
      <c r="P2397" s="15">
        <f t="shared" si="190"/>
        <v>11.000024215127191</v>
      </c>
      <c r="Q2397" s="14">
        <v>5000</v>
      </c>
      <c r="R2397" s="12">
        <v>100</v>
      </c>
      <c r="S2397" s="12" t="s">
        <v>2996</v>
      </c>
      <c r="T2397" s="22">
        <f t="shared" si="191"/>
        <v>6</v>
      </c>
      <c r="U2397" s="22">
        <f t="shared" si="192"/>
        <v>2021</v>
      </c>
      <c r="V2397" s="22" t="str">
        <f t="shared" si="193"/>
        <v>METROPOLITANA</v>
      </c>
    </row>
    <row r="2398" spans="1:22" x14ac:dyDescent="0.2">
      <c r="A2398" s="23" t="s">
        <v>2997</v>
      </c>
      <c r="B2398" s="22" t="s">
        <v>18</v>
      </c>
      <c r="C2398" s="22" t="s">
        <v>270</v>
      </c>
      <c r="D2398" s="22" t="s">
        <v>2998</v>
      </c>
      <c r="E2398" s="24" t="s">
        <v>64</v>
      </c>
      <c r="F2398" s="22" t="s">
        <v>120</v>
      </c>
      <c r="G2398" s="25">
        <v>8188.949999999998</v>
      </c>
      <c r="H2398" s="22" t="s">
        <v>24</v>
      </c>
      <c r="I2398" s="22">
        <v>1</v>
      </c>
      <c r="J2398" s="22" t="s">
        <v>120</v>
      </c>
      <c r="K2398" s="22" t="s">
        <v>23</v>
      </c>
      <c r="L2398" s="22">
        <v>5</v>
      </c>
      <c r="M2398" s="26">
        <v>120000</v>
      </c>
      <c r="N2398" s="26">
        <v>0</v>
      </c>
      <c r="O2398" s="15">
        <f>G2398*11</f>
        <v>90078.449999999983</v>
      </c>
      <c r="P2398" s="15">
        <f t="shared" si="190"/>
        <v>11</v>
      </c>
      <c r="Q2398" s="25">
        <v>10000</v>
      </c>
      <c r="R2398" s="22">
        <v>82</v>
      </c>
      <c r="S2398" s="22" t="s">
        <v>2999</v>
      </c>
      <c r="T2398" s="22">
        <f t="shared" si="191"/>
        <v>6</v>
      </c>
      <c r="U2398" s="22">
        <f t="shared" si="192"/>
        <v>2021</v>
      </c>
      <c r="V2398" s="22" t="str">
        <f t="shared" si="193"/>
        <v>METROPOLITANA</v>
      </c>
    </row>
    <row r="2399" spans="1:22" x14ac:dyDescent="0.2">
      <c r="A2399" s="23" t="s">
        <v>2997</v>
      </c>
      <c r="B2399" s="22" t="s">
        <v>18</v>
      </c>
      <c r="C2399" s="22" t="s">
        <v>579</v>
      </c>
      <c r="D2399" s="22" t="s">
        <v>37</v>
      </c>
      <c r="E2399" s="24" t="s">
        <v>40</v>
      </c>
      <c r="F2399" s="22" t="s">
        <v>161</v>
      </c>
      <c r="G2399" s="25">
        <v>6996.78</v>
      </c>
      <c r="H2399" s="22" t="s">
        <v>22</v>
      </c>
      <c r="I2399" s="22">
        <v>0</v>
      </c>
      <c r="J2399" s="22" t="s">
        <v>161</v>
      </c>
      <c r="K2399" s="22" t="s">
        <v>23</v>
      </c>
      <c r="L2399" s="22">
        <v>5</v>
      </c>
      <c r="M2399" s="26">
        <v>70000</v>
      </c>
      <c r="N2399" s="26">
        <v>0</v>
      </c>
      <c r="O2399" s="15">
        <f>G2399*11</f>
        <v>76964.58</v>
      </c>
      <c r="P2399" s="15">
        <f t="shared" si="190"/>
        <v>11</v>
      </c>
      <c r="Q2399" s="25">
        <v>10000</v>
      </c>
      <c r="R2399" s="22">
        <v>70</v>
      </c>
      <c r="S2399" s="22" t="s">
        <v>3000</v>
      </c>
      <c r="T2399" s="22">
        <f t="shared" si="191"/>
        <v>6</v>
      </c>
      <c r="U2399" s="22">
        <f t="shared" si="192"/>
        <v>2021</v>
      </c>
      <c r="V2399" s="22" t="str">
        <f t="shared" si="193"/>
        <v>METROPOLITANA</v>
      </c>
    </row>
    <row r="2400" spans="1:22" x14ac:dyDescent="0.2">
      <c r="A2400" s="23" t="s">
        <v>2997</v>
      </c>
      <c r="B2400" s="22" t="s">
        <v>18</v>
      </c>
      <c r="C2400" s="22" t="s">
        <v>579</v>
      </c>
      <c r="D2400" s="22" t="s">
        <v>20</v>
      </c>
      <c r="E2400" s="24" t="s">
        <v>21</v>
      </c>
      <c r="F2400" s="22" t="s">
        <v>161</v>
      </c>
      <c r="G2400" s="25">
        <v>7185.56</v>
      </c>
      <c r="H2400" s="22" t="s">
        <v>22</v>
      </c>
      <c r="I2400" s="22">
        <v>0</v>
      </c>
      <c r="J2400" s="22" t="s">
        <v>161</v>
      </c>
      <c r="K2400" s="22" t="s">
        <v>23</v>
      </c>
      <c r="L2400" s="22">
        <v>5</v>
      </c>
      <c r="M2400" s="26">
        <f>G2400*11</f>
        <v>79041.16</v>
      </c>
      <c r="N2400" s="26">
        <v>0</v>
      </c>
      <c r="O2400" s="15">
        <f>SUM(M2400:N2400)</f>
        <v>79041.16</v>
      </c>
      <c r="P2400" s="15">
        <f t="shared" si="190"/>
        <v>11</v>
      </c>
      <c r="Q2400" s="25">
        <v>10000</v>
      </c>
      <c r="R2400" s="22">
        <v>72</v>
      </c>
      <c r="S2400" s="22" t="s">
        <v>3001</v>
      </c>
      <c r="T2400" s="22">
        <f t="shared" si="191"/>
        <v>6</v>
      </c>
      <c r="U2400" s="22">
        <f t="shared" si="192"/>
        <v>2021</v>
      </c>
      <c r="V2400" s="22" t="str">
        <f t="shared" si="193"/>
        <v>METROPOLITANA</v>
      </c>
    </row>
    <row r="2401" spans="1:22" x14ac:dyDescent="0.2">
      <c r="A2401" s="23" t="s">
        <v>2997</v>
      </c>
      <c r="B2401" s="22" t="s">
        <v>33</v>
      </c>
      <c r="C2401" s="22" t="s">
        <v>2507</v>
      </c>
      <c r="D2401" s="22" t="s">
        <v>41</v>
      </c>
      <c r="E2401" s="24" t="s">
        <v>25</v>
      </c>
      <c r="F2401" s="22" t="s">
        <v>2508</v>
      </c>
      <c r="G2401" s="25">
        <v>7404.8000000000011</v>
      </c>
      <c r="H2401" s="22" t="s">
        <v>43</v>
      </c>
      <c r="I2401" s="22">
        <v>0</v>
      </c>
      <c r="J2401" s="22" t="s">
        <v>2508</v>
      </c>
      <c r="K2401" s="22" t="s">
        <v>171</v>
      </c>
      <c r="L2401" s="22">
        <v>0</v>
      </c>
      <c r="M2401" s="26">
        <v>80000</v>
      </c>
      <c r="N2401" s="26">
        <v>0</v>
      </c>
      <c r="O2401" s="15">
        <f>SUM(M2401:N2401)</f>
        <v>80000</v>
      </c>
      <c r="P2401" s="15">
        <f t="shared" si="190"/>
        <v>10.803802938634398</v>
      </c>
      <c r="Q2401" s="25">
        <v>25000</v>
      </c>
      <c r="R2401" s="22">
        <v>30</v>
      </c>
      <c r="S2401" s="22" t="s">
        <v>3002</v>
      </c>
      <c r="T2401" s="22">
        <f t="shared" si="191"/>
        <v>6</v>
      </c>
      <c r="U2401" s="22">
        <f t="shared" si="192"/>
        <v>2021</v>
      </c>
      <c r="V2401" s="22" t="str">
        <f t="shared" si="193"/>
        <v>REGIONES</v>
      </c>
    </row>
    <row r="2402" spans="1:22" x14ac:dyDescent="0.2">
      <c r="A2402" s="23" t="s">
        <v>2997</v>
      </c>
      <c r="B2402" s="22" t="s">
        <v>33</v>
      </c>
      <c r="C2402" s="22" t="s">
        <v>128</v>
      </c>
      <c r="D2402" s="22" t="s">
        <v>2955</v>
      </c>
      <c r="E2402" s="24" t="s">
        <v>2956</v>
      </c>
      <c r="F2402" s="22" t="s">
        <v>129</v>
      </c>
      <c r="G2402" s="25">
        <v>17429.100000000009</v>
      </c>
      <c r="H2402" s="22" t="s">
        <v>24</v>
      </c>
      <c r="I2402" s="22">
        <v>1</v>
      </c>
      <c r="J2402" s="22" t="s">
        <v>129</v>
      </c>
      <c r="K2402" s="22" t="s">
        <v>23</v>
      </c>
      <c r="L2402" s="22">
        <v>1</v>
      </c>
      <c r="M2402" s="26">
        <v>191720</v>
      </c>
      <c r="N2402" s="26">
        <v>0</v>
      </c>
      <c r="O2402" s="15">
        <f>SUM(M2402:N2402)</f>
        <v>191720</v>
      </c>
      <c r="P2402" s="15">
        <f t="shared" si="190"/>
        <v>10.999994262469084</v>
      </c>
      <c r="Q2402" s="25">
        <v>5000</v>
      </c>
      <c r="R2402" s="22">
        <v>100</v>
      </c>
      <c r="S2402" s="22" t="s">
        <v>3003</v>
      </c>
      <c r="T2402" s="22">
        <f t="shared" si="191"/>
        <v>6</v>
      </c>
      <c r="U2402" s="22">
        <f t="shared" si="192"/>
        <v>2021</v>
      </c>
      <c r="V2402" s="22" t="str">
        <f t="shared" si="193"/>
        <v>METROPOLITANA</v>
      </c>
    </row>
    <row r="2403" spans="1:22" x14ac:dyDescent="0.2">
      <c r="A2403" s="23" t="s">
        <v>2997</v>
      </c>
      <c r="B2403" s="22" t="s">
        <v>33</v>
      </c>
      <c r="C2403" s="22" t="s">
        <v>128</v>
      </c>
      <c r="D2403" s="22" t="s">
        <v>164</v>
      </c>
      <c r="E2403" s="24" t="s">
        <v>28</v>
      </c>
      <c r="F2403" s="22" t="s">
        <v>129</v>
      </c>
      <c r="G2403" s="25">
        <v>17004.000000000011</v>
      </c>
      <c r="H2403" s="22" t="s">
        <v>22</v>
      </c>
      <c r="I2403" s="22">
        <v>1</v>
      </c>
      <c r="J2403" s="22" t="s">
        <v>129</v>
      </c>
      <c r="K2403" s="22" t="s">
        <v>23</v>
      </c>
      <c r="L2403" s="22">
        <v>1</v>
      </c>
      <c r="M2403" s="26">
        <v>187044</v>
      </c>
      <c r="N2403" s="26">
        <v>0</v>
      </c>
      <c r="O2403" s="15">
        <f>SUM(M2403:N2403)</f>
        <v>187044</v>
      </c>
      <c r="P2403" s="15">
        <f t="shared" si="190"/>
        <v>10.999999999999993</v>
      </c>
      <c r="Q2403" s="25">
        <v>5000</v>
      </c>
      <c r="R2403" s="22">
        <v>100</v>
      </c>
      <c r="S2403" s="22" t="s">
        <v>3004</v>
      </c>
      <c r="T2403" s="22">
        <f t="shared" si="191"/>
        <v>6</v>
      </c>
      <c r="U2403" s="22">
        <f t="shared" si="192"/>
        <v>2021</v>
      </c>
      <c r="V2403" s="22" t="str">
        <f t="shared" si="193"/>
        <v>METROPOLITANA</v>
      </c>
    </row>
    <row r="2404" spans="1:22" x14ac:dyDescent="0.2">
      <c r="A2404" s="23" t="s">
        <v>2997</v>
      </c>
      <c r="B2404" s="22" t="s">
        <v>33</v>
      </c>
      <c r="C2404" s="22" t="s">
        <v>29</v>
      </c>
      <c r="D2404" s="22" t="s">
        <v>56</v>
      </c>
      <c r="E2404" s="24" t="s">
        <v>3005</v>
      </c>
      <c r="F2404" s="22" t="s">
        <v>134</v>
      </c>
      <c r="G2404" s="25">
        <f>4251+3513</f>
        <v>7764</v>
      </c>
      <c r="H2404" s="22" t="s">
        <v>22</v>
      </c>
      <c r="I2404" s="22">
        <v>0</v>
      </c>
      <c r="J2404" s="22" t="s">
        <v>134</v>
      </c>
      <c r="K2404" s="22" t="s">
        <v>23</v>
      </c>
      <c r="L2404" s="22">
        <v>2</v>
      </c>
      <c r="M2404" s="26">
        <v>55000</v>
      </c>
      <c r="N2404" s="26">
        <v>0</v>
      </c>
      <c r="O2404" s="15">
        <f>G2404*11</f>
        <v>85404</v>
      </c>
      <c r="P2404" s="15">
        <f t="shared" si="190"/>
        <v>11</v>
      </c>
      <c r="Q2404" s="25">
        <v>5000</v>
      </c>
      <c r="R2404" s="22">
        <v>85</v>
      </c>
      <c r="S2404" s="22" t="s">
        <v>3006</v>
      </c>
      <c r="T2404" s="22">
        <f t="shared" si="191"/>
        <v>6</v>
      </c>
      <c r="U2404" s="22">
        <f t="shared" si="192"/>
        <v>2021</v>
      </c>
      <c r="V2404" s="22" t="str">
        <f t="shared" si="193"/>
        <v>METROPOLITANA</v>
      </c>
    </row>
    <row r="2405" spans="1:22" x14ac:dyDescent="0.2">
      <c r="A2405" s="23" t="s">
        <v>2997</v>
      </c>
      <c r="B2405" s="22" t="s">
        <v>33</v>
      </c>
      <c r="C2405" s="22" t="s">
        <v>29</v>
      </c>
      <c r="D2405" s="22" t="s">
        <v>38</v>
      </c>
      <c r="E2405" s="24" t="s">
        <v>42</v>
      </c>
      <c r="F2405" s="22" t="s">
        <v>39</v>
      </c>
      <c r="G2405" s="25">
        <v>9247.9999999999982</v>
      </c>
      <c r="H2405" s="22" t="s">
        <v>43</v>
      </c>
      <c r="I2405" s="22">
        <v>0</v>
      </c>
      <c r="J2405" s="22" t="s">
        <v>39</v>
      </c>
      <c r="K2405" s="22" t="s">
        <v>23</v>
      </c>
      <c r="L2405" s="22">
        <v>1</v>
      </c>
      <c r="M2405" s="26">
        <v>101728</v>
      </c>
      <c r="N2405" s="26">
        <v>0</v>
      </c>
      <c r="O2405" s="15">
        <f>SUM(M2405:N2405)</f>
        <v>101728</v>
      </c>
      <c r="P2405" s="15">
        <f t="shared" si="190"/>
        <v>11.000000000000002</v>
      </c>
      <c r="Q2405" s="25">
        <v>5000</v>
      </c>
      <c r="R2405" s="22">
        <v>100</v>
      </c>
      <c r="S2405" s="22" t="s">
        <v>3007</v>
      </c>
      <c r="T2405" s="22">
        <f t="shared" si="191"/>
        <v>6</v>
      </c>
      <c r="U2405" s="22">
        <f t="shared" si="192"/>
        <v>2021</v>
      </c>
      <c r="V2405" s="22" t="str">
        <f t="shared" si="193"/>
        <v>METROPOLITANA</v>
      </c>
    </row>
    <row r="2406" spans="1:22" x14ac:dyDescent="0.2">
      <c r="A2406" s="23" t="s">
        <v>2997</v>
      </c>
      <c r="B2406" s="22" t="s">
        <v>33</v>
      </c>
      <c r="C2406" s="22" t="s">
        <v>29</v>
      </c>
      <c r="D2406" s="22" t="s">
        <v>786</v>
      </c>
      <c r="E2406" s="24" t="s">
        <v>3008</v>
      </c>
      <c r="F2406" s="22" t="s">
        <v>132</v>
      </c>
      <c r="G2406" s="25">
        <f>12632.46+9000</f>
        <v>21632.46</v>
      </c>
      <c r="H2406" s="22" t="s">
        <v>788</v>
      </c>
      <c r="I2406" s="22">
        <v>1</v>
      </c>
      <c r="J2406" s="22" t="s">
        <v>132</v>
      </c>
      <c r="K2406" s="22" t="s">
        <v>124</v>
      </c>
      <c r="L2406" s="22">
        <v>0</v>
      </c>
      <c r="M2406" s="26">
        <v>350000</v>
      </c>
      <c r="N2406" s="26">
        <v>0</v>
      </c>
      <c r="O2406" s="15">
        <f>SUM(M2406:N2406)</f>
        <v>350000</v>
      </c>
      <c r="P2406" s="15">
        <f t="shared" si="190"/>
        <v>16.179389676439943</v>
      </c>
      <c r="Q2406" s="25">
        <v>25000</v>
      </c>
      <c r="R2406" s="22">
        <v>51</v>
      </c>
      <c r="S2406" s="22" t="s">
        <v>3009</v>
      </c>
      <c r="T2406" s="22">
        <f t="shared" si="191"/>
        <v>6</v>
      </c>
      <c r="U2406" s="22">
        <f t="shared" si="192"/>
        <v>2021</v>
      </c>
      <c r="V2406" s="22" t="str">
        <f t="shared" si="193"/>
        <v>REGIONES</v>
      </c>
    </row>
    <row r="2407" spans="1:22" x14ac:dyDescent="0.2">
      <c r="A2407" s="23" t="s">
        <v>2997</v>
      </c>
      <c r="B2407" s="22" t="s">
        <v>33</v>
      </c>
      <c r="C2407" s="22" t="s">
        <v>29</v>
      </c>
      <c r="D2407" s="22" t="s">
        <v>45</v>
      </c>
      <c r="E2407" s="24" t="s">
        <v>1576</v>
      </c>
      <c r="F2407" s="22" t="s">
        <v>134</v>
      </c>
      <c r="G2407" s="25">
        <f>6581.5+650</f>
        <v>7231.5</v>
      </c>
      <c r="H2407" s="22" t="s">
        <v>22</v>
      </c>
      <c r="I2407" s="22">
        <v>0</v>
      </c>
      <c r="J2407" s="22" t="s">
        <v>134</v>
      </c>
      <c r="K2407" s="22" t="s">
        <v>23</v>
      </c>
      <c r="L2407" s="22">
        <v>2</v>
      </c>
      <c r="M2407" s="26">
        <v>72396</v>
      </c>
      <c r="N2407" s="26">
        <v>0</v>
      </c>
      <c r="O2407" s="15">
        <f>G2407*11</f>
        <v>79546.5</v>
      </c>
      <c r="P2407" s="15">
        <f t="shared" si="190"/>
        <v>11</v>
      </c>
      <c r="Q2407" s="25">
        <v>5000</v>
      </c>
      <c r="R2407" s="22">
        <v>100</v>
      </c>
      <c r="S2407" s="22" t="s">
        <v>3010</v>
      </c>
      <c r="T2407" s="22">
        <f t="shared" si="191"/>
        <v>6</v>
      </c>
      <c r="U2407" s="22">
        <f t="shared" si="192"/>
        <v>2021</v>
      </c>
      <c r="V2407" s="22" t="str">
        <f t="shared" si="193"/>
        <v>METROPOLITANA</v>
      </c>
    </row>
    <row r="2408" spans="1:22" x14ac:dyDescent="0.2">
      <c r="A2408" s="23" t="s">
        <v>2997</v>
      </c>
      <c r="B2408" s="22" t="s">
        <v>33</v>
      </c>
      <c r="C2408" s="22" t="s">
        <v>29</v>
      </c>
      <c r="D2408" s="22" t="s">
        <v>35</v>
      </c>
      <c r="E2408" s="24" t="s">
        <v>21</v>
      </c>
      <c r="F2408" s="22" t="s">
        <v>134</v>
      </c>
      <c r="G2408" s="25">
        <v>6259.8</v>
      </c>
      <c r="H2408" s="22" t="s">
        <v>22</v>
      </c>
      <c r="I2408" s="22">
        <v>0</v>
      </c>
      <c r="J2408" s="22" t="s">
        <v>134</v>
      </c>
      <c r="K2408" s="22" t="s">
        <v>23</v>
      </c>
      <c r="L2408" s="22">
        <v>2</v>
      </c>
      <c r="M2408" s="26">
        <v>68858</v>
      </c>
      <c r="N2408" s="26">
        <v>0</v>
      </c>
      <c r="O2408" s="15">
        <f>SUM(M2408:N2408)</f>
        <v>68858</v>
      </c>
      <c r="P2408" s="15">
        <f t="shared" si="190"/>
        <v>11.000031949902553</v>
      </c>
      <c r="Q2408" s="25">
        <v>5000</v>
      </c>
      <c r="R2408" s="22">
        <v>100</v>
      </c>
      <c r="S2408" s="22" t="s">
        <v>3011</v>
      </c>
      <c r="T2408" s="22">
        <f t="shared" si="191"/>
        <v>6</v>
      </c>
      <c r="U2408" s="22">
        <f t="shared" si="192"/>
        <v>2021</v>
      </c>
      <c r="V2408" s="22" t="str">
        <f t="shared" si="193"/>
        <v>METROPOLITANA</v>
      </c>
    </row>
    <row r="2409" spans="1:22" x14ac:dyDescent="0.2">
      <c r="A2409" s="23" t="s">
        <v>2997</v>
      </c>
      <c r="B2409" s="22" t="s">
        <v>33</v>
      </c>
      <c r="C2409" s="22" t="s">
        <v>29</v>
      </c>
      <c r="D2409" s="22" t="s">
        <v>41</v>
      </c>
      <c r="E2409" s="24" t="s">
        <v>25</v>
      </c>
      <c r="F2409" s="22" t="s">
        <v>39</v>
      </c>
      <c r="G2409" s="25">
        <v>8966.1999999999989</v>
      </c>
      <c r="H2409" s="22" t="s">
        <v>43</v>
      </c>
      <c r="I2409" s="22">
        <v>0</v>
      </c>
      <c r="J2409" s="22" t="s">
        <v>39</v>
      </c>
      <c r="K2409" s="22" t="s">
        <v>23</v>
      </c>
      <c r="L2409" s="22">
        <v>1</v>
      </c>
      <c r="M2409" s="26">
        <v>98628</v>
      </c>
      <c r="N2409" s="26">
        <v>0</v>
      </c>
      <c r="O2409" s="15">
        <f>SUM(M2409:N2409)</f>
        <v>98628</v>
      </c>
      <c r="P2409" s="15">
        <f t="shared" si="190"/>
        <v>10.999977694006381</v>
      </c>
      <c r="Q2409" s="25">
        <v>5000</v>
      </c>
      <c r="R2409" s="22">
        <v>100</v>
      </c>
      <c r="S2409" s="22" t="s">
        <v>3012</v>
      </c>
      <c r="T2409" s="22">
        <f t="shared" si="191"/>
        <v>6</v>
      </c>
      <c r="U2409" s="22">
        <f t="shared" si="192"/>
        <v>2021</v>
      </c>
      <c r="V2409" s="22" t="str">
        <f t="shared" si="193"/>
        <v>METROPOLITANA</v>
      </c>
    </row>
    <row r="2410" spans="1:22" x14ac:dyDescent="0.2">
      <c r="A2410" s="23" t="s">
        <v>2997</v>
      </c>
      <c r="B2410" s="22" t="s">
        <v>33</v>
      </c>
      <c r="C2410" s="22" t="s">
        <v>44</v>
      </c>
      <c r="D2410" s="22" t="s">
        <v>56</v>
      </c>
      <c r="E2410" s="24" t="s">
        <v>52</v>
      </c>
      <c r="F2410" s="22" t="s">
        <v>134</v>
      </c>
      <c r="G2410" s="25">
        <v>4473.34</v>
      </c>
      <c r="H2410" s="22" t="s">
        <v>22</v>
      </c>
      <c r="I2410" s="22">
        <v>0</v>
      </c>
      <c r="J2410" s="22" t="s">
        <v>134</v>
      </c>
      <c r="K2410" s="22" t="s">
        <v>23</v>
      </c>
      <c r="L2410" s="22">
        <v>2</v>
      </c>
      <c r="M2410" s="26">
        <v>55000</v>
      </c>
      <c r="N2410" s="26">
        <v>0</v>
      </c>
      <c r="O2410" s="15">
        <f>SUM(M2410:N2410)</f>
        <v>55000</v>
      </c>
      <c r="P2410" s="15">
        <f t="shared" si="190"/>
        <v>12.295063643720352</v>
      </c>
      <c r="Q2410" s="25">
        <v>5000</v>
      </c>
      <c r="R2410" s="22">
        <v>89</v>
      </c>
      <c r="S2410" s="22" t="s">
        <v>3013</v>
      </c>
      <c r="T2410" s="22">
        <f t="shared" si="191"/>
        <v>6</v>
      </c>
      <c r="U2410" s="22">
        <f t="shared" si="192"/>
        <v>2021</v>
      </c>
      <c r="V2410" s="22" t="str">
        <f t="shared" si="193"/>
        <v>METROPOLITANA</v>
      </c>
    </row>
    <row r="2411" spans="1:22" x14ac:dyDescent="0.2">
      <c r="A2411" s="23" t="s">
        <v>2997</v>
      </c>
      <c r="B2411" s="22" t="s">
        <v>33</v>
      </c>
      <c r="C2411" s="22" t="s">
        <v>1163</v>
      </c>
      <c r="D2411" s="22" t="s">
        <v>30</v>
      </c>
      <c r="E2411" s="24" t="s">
        <v>31</v>
      </c>
      <c r="F2411" s="22" t="s">
        <v>165</v>
      </c>
      <c r="G2411" s="25">
        <v>12083.12</v>
      </c>
      <c r="H2411" s="22" t="s">
        <v>32</v>
      </c>
      <c r="I2411" s="22">
        <v>0</v>
      </c>
      <c r="J2411" s="22" t="s">
        <v>165</v>
      </c>
      <c r="K2411" s="22" t="s">
        <v>23</v>
      </c>
      <c r="L2411" s="22">
        <v>4</v>
      </c>
      <c r="M2411" s="26">
        <v>132914</v>
      </c>
      <c r="N2411" s="26">
        <v>0</v>
      </c>
      <c r="O2411" s="15">
        <f>SUM(M2411:N2411)</f>
        <v>132914</v>
      </c>
      <c r="P2411" s="15">
        <f t="shared" si="190"/>
        <v>10.999973516773812</v>
      </c>
      <c r="Q2411" s="25">
        <v>5000</v>
      </c>
      <c r="R2411" s="22">
        <v>100</v>
      </c>
      <c r="S2411" s="22" t="s">
        <v>3014</v>
      </c>
      <c r="T2411" s="22">
        <f t="shared" si="191"/>
        <v>6</v>
      </c>
      <c r="U2411" s="22">
        <f t="shared" si="192"/>
        <v>2021</v>
      </c>
      <c r="V2411" s="22" t="str">
        <f t="shared" si="193"/>
        <v>METROPOLITANA</v>
      </c>
    </row>
    <row r="2412" spans="1:22" x14ac:dyDescent="0.2">
      <c r="A2412" s="11" t="s">
        <v>3015</v>
      </c>
      <c r="B2412" s="12" t="s">
        <v>18</v>
      </c>
      <c r="C2412" s="12" t="s">
        <v>579</v>
      </c>
      <c r="D2412" s="12" t="s">
        <v>38</v>
      </c>
      <c r="E2412" s="13" t="s">
        <v>25</v>
      </c>
      <c r="F2412" s="12" t="s">
        <v>161</v>
      </c>
      <c r="G2412" s="14">
        <v>5257.8600000000006</v>
      </c>
      <c r="H2412" s="12" t="s">
        <v>43</v>
      </c>
      <c r="I2412" s="12">
        <v>0</v>
      </c>
      <c r="J2412" s="12" t="s">
        <v>161</v>
      </c>
      <c r="K2412" s="12" t="s">
        <v>23</v>
      </c>
      <c r="L2412" s="12">
        <v>5</v>
      </c>
      <c r="M2412" s="15">
        <v>70000</v>
      </c>
      <c r="N2412" s="15">
        <v>0</v>
      </c>
      <c r="O2412" s="15">
        <f>G2412*11</f>
        <v>57836.460000000006</v>
      </c>
      <c r="P2412" s="15">
        <f t="shared" si="190"/>
        <v>11</v>
      </c>
      <c r="Q2412" s="14">
        <v>10000</v>
      </c>
      <c r="R2412" s="12">
        <v>53</v>
      </c>
      <c r="S2412" s="12" t="s">
        <v>3016</v>
      </c>
      <c r="T2412" s="22">
        <f t="shared" si="191"/>
        <v>6</v>
      </c>
      <c r="U2412" s="22">
        <f t="shared" si="192"/>
        <v>2021</v>
      </c>
      <c r="V2412" s="22" t="str">
        <f t="shared" si="193"/>
        <v>METROPOLITANA</v>
      </c>
    </row>
    <row r="2413" spans="1:22" x14ac:dyDescent="0.2">
      <c r="A2413" s="11" t="s">
        <v>3015</v>
      </c>
      <c r="B2413" s="12" t="s">
        <v>18</v>
      </c>
      <c r="C2413" s="12" t="s">
        <v>579</v>
      </c>
      <c r="D2413" s="12" t="s">
        <v>63</v>
      </c>
      <c r="E2413" s="13" t="s">
        <v>64</v>
      </c>
      <c r="F2413" s="12" t="s">
        <v>161</v>
      </c>
      <c r="G2413" s="14">
        <v>3581.55</v>
      </c>
      <c r="H2413" s="12" t="s">
        <v>65</v>
      </c>
      <c r="I2413" s="12">
        <v>0</v>
      </c>
      <c r="J2413" s="12" t="s">
        <v>161</v>
      </c>
      <c r="K2413" s="12" t="s">
        <v>23</v>
      </c>
      <c r="L2413" s="12">
        <v>5</v>
      </c>
      <c r="M2413" s="15">
        <v>70000</v>
      </c>
      <c r="N2413" s="15">
        <v>0</v>
      </c>
      <c r="O2413" s="15">
        <f>G2413*11</f>
        <v>39397.050000000003</v>
      </c>
      <c r="P2413" s="15">
        <f t="shared" si="190"/>
        <v>11</v>
      </c>
      <c r="Q2413" s="14">
        <v>10000</v>
      </c>
      <c r="R2413" s="12">
        <v>36</v>
      </c>
      <c r="S2413" s="12" t="s">
        <v>3017</v>
      </c>
      <c r="T2413" s="22">
        <f t="shared" si="191"/>
        <v>6</v>
      </c>
      <c r="U2413" s="22">
        <f t="shared" si="192"/>
        <v>2021</v>
      </c>
      <c r="V2413" s="22" t="str">
        <f t="shared" si="193"/>
        <v>METROPOLITANA</v>
      </c>
    </row>
    <row r="2414" spans="1:22" x14ac:dyDescent="0.2">
      <c r="A2414" s="11" t="s">
        <v>3015</v>
      </c>
      <c r="B2414" s="12" t="s">
        <v>18</v>
      </c>
      <c r="C2414" s="12" t="s">
        <v>163</v>
      </c>
      <c r="D2414" s="12" t="s">
        <v>164</v>
      </c>
      <c r="E2414" s="13" t="s">
        <v>28</v>
      </c>
      <c r="F2414" s="12" t="s">
        <v>165</v>
      </c>
      <c r="G2414" s="14">
        <v>22586.06</v>
      </c>
      <c r="H2414" s="12" t="s">
        <v>22</v>
      </c>
      <c r="I2414" s="12">
        <v>1</v>
      </c>
      <c r="J2414" s="12" t="s">
        <v>165</v>
      </c>
      <c r="K2414" s="12" t="s">
        <v>23</v>
      </c>
      <c r="L2414" s="12">
        <v>4</v>
      </c>
      <c r="M2414" s="15">
        <v>248447</v>
      </c>
      <c r="N2414" s="15">
        <v>0</v>
      </c>
      <c r="O2414" s="15">
        <f>SUM(M2414:N2414)</f>
        <v>248447</v>
      </c>
      <c r="P2414" s="15">
        <f t="shared" si="190"/>
        <v>11.000015053533019</v>
      </c>
      <c r="Q2414" s="14">
        <v>5000</v>
      </c>
      <c r="R2414" s="12">
        <v>100</v>
      </c>
      <c r="S2414" s="12" t="s">
        <v>3018</v>
      </c>
      <c r="T2414" s="22">
        <f t="shared" si="191"/>
        <v>6</v>
      </c>
      <c r="U2414" s="22">
        <f t="shared" si="192"/>
        <v>2021</v>
      </c>
      <c r="V2414" s="22" t="str">
        <f t="shared" si="193"/>
        <v>METROPOLITANA</v>
      </c>
    </row>
    <row r="2415" spans="1:22" x14ac:dyDescent="0.2">
      <c r="A2415" s="11" t="s">
        <v>3015</v>
      </c>
      <c r="B2415" s="12" t="s">
        <v>18</v>
      </c>
      <c r="C2415" s="12" t="s">
        <v>508</v>
      </c>
      <c r="D2415" s="12" t="s">
        <v>20</v>
      </c>
      <c r="E2415" s="13" t="s">
        <v>21</v>
      </c>
      <c r="F2415" s="12" t="s">
        <v>2323</v>
      </c>
      <c r="G2415" s="14">
        <v>4506.93</v>
      </c>
      <c r="H2415" s="12" t="s">
        <v>22</v>
      </c>
      <c r="I2415" s="12">
        <v>0</v>
      </c>
      <c r="J2415" s="12" t="s">
        <v>182</v>
      </c>
      <c r="K2415" s="12" t="s">
        <v>23</v>
      </c>
      <c r="L2415" s="12">
        <v>4</v>
      </c>
      <c r="M2415" s="15">
        <v>55000</v>
      </c>
      <c r="N2415" s="15">
        <v>0</v>
      </c>
      <c r="O2415" s="15">
        <f>SUM(M2415:N2415)</f>
        <v>55000</v>
      </c>
      <c r="P2415" s="15">
        <f t="shared" si="190"/>
        <v>12.203428941652078</v>
      </c>
      <c r="Q2415" s="14">
        <v>5000</v>
      </c>
      <c r="R2415" s="12">
        <v>90</v>
      </c>
      <c r="S2415" s="12" t="s">
        <v>3019</v>
      </c>
      <c r="T2415" s="22">
        <f t="shared" si="191"/>
        <v>6</v>
      </c>
      <c r="U2415" s="22">
        <f t="shared" si="192"/>
        <v>2021</v>
      </c>
      <c r="V2415" s="22" t="str">
        <f t="shared" si="193"/>
        <v>METROPOLITANA</v>
      </c>
    </row>
    <row r="2416" spans="1:22" x14ac:dyDescent="0.2">
      <c r="A2416" s="11" t="s">
        <v>3015</v>
      </c>
      <c r="B2416" s="12" t="s">
        <v>33</v>
      </c>
      <c r="C2416" s="12" t="s">
        <v>57</v>
      </c>
      <c r="D2416" s="12" t="s">
        <v>20</v>
      </c>
      <c r="E2416" s="13" t="s">
        <v>21</v>
      </c>
      <c r="F2416" s="12" t="s">
        <v>58</v>
      </c>
      <c r="G2416" s="14">
        <v>8456.4</v>
      </c>
      <c r="H2416" s="12" t="s">
        <v>22</v>
      </c>
      <c r="I2416" s="12">
        <v>0</v>
      </c>
      <c r="J2416" s="12" t="s">
        <v>58</v>
      </c>
      <c r="K2416" s="12" t="s">
        <v>23</v>
      </c>
      <c r="L2416" s="12">
        <v>5</v>
      </c>
      <c r="M2416" s="15">
        <v>70000</v>
      </c>
      <c r="N2416" s="15">
        <v>0</v>
      </c>
      <c r="O2416" s="15">
        <f>G2416*11</f>
        <v>93020.4</v>
      </c>
      <c r="P2416" s="15">
        <f t="shared" si="190"/>
        <v>11</v>
      </c>
      <c r="Q2416" s="14">
        <v>10000</v>
      </c>
      <c r="R2416" s="12">
        <v>85</v>
      </c>
      <c r="S2416" s="12" t="s">
        <v>3020</v>
      </c>
      <c r="T2416" s="22">
        <f t="shared" si="191"/>
        <v>6</v>
      </c>
      <c r="U2416" s="22">
        <f t="shared" si="192"/>
        <v>2021</v>
      </c>
      <c r="V2416" s="22" t="str">
        <f t="shared" si="193"/>
        <v>METROPOLITANA</v>
      </c>
    </row>
    <row r="2417" spans="1:22" x14ac:dyDescent="0.2">
      <c r="A2417" s="11" t="s">
        <v>3015</v>
      </c>
      <c r="B2417" s="12" t="s">
        <v>33</v>
      </c>
      <c r="C2417" s="12" t="s">
        <v>128</v>
      </c>
      <c r="D2417" s="12" t="s">
        <v>80</v>
      </c>
      <c r="E2417" s="13" t="s">
        <v>81</v>
      </c>
      <c r="F2417" s="12" t="s">
        <v>66</v>
      </c>
      <c r="G2417" s="14">
        <v>16179.29999999999</v>
      </c>
      <c r="H2417" s="12" t="s">
        <v>85</v>
      </c>
      <c r="I2417" s="12">
        <v>1</v>
      </c>
      <c r="J2417" s="12" t="s">
        <v>66</v>
      </c>
      <c r="K2417" s="12" t="s">
        <v>75</v>
      </c>
      <c r="L2417" s="12">
        <v>0</v>
      </c>
      <c r="M2417" s="15">
        <v>380000</v>
      </c>
      <c r="N2417" s="15">
        <v>0</v>
      </c>
      <c r="O2417" s="15">
        <f t="shared" ref="O2417:O2425" si="195">SUM(M2417:N2417)</f>
        <v>380000</v>
      </c>
      <c r="P2417" s="15">
        <f t="shared" si="190"/>
        <v>23.486801035891556</v>
      </c>
      <c r="Q2417" s="14">
        <v>25000</v>
      </c>
      <c r="R2417" s="12">
        <v>65</v>
      </c>
      <c r="S2417" s="12" t="s">
        <v>3021</v>
      </c>
      <c r="T2417" s="22">
        <f t="shared" si="191"/>
        <v>6</v>
      </c>
      <c r="U2417" s="22">
        <f t="shared" si="192"/>
        <v>2021</v>
      </c>
      <c r="V2417" s="22" t="str">
        <f t="shared" si="193"/>
        <v>REGIONES</v>
      </c>
    </row>
    <row r="2418" spans="1:22" x14ac:dyDescent="0.2">
      <c r="A2418" s="11" t="s">
        <v>3015</v>
      </c>
      <c r="B2418" s="12" t="s">
        <v>33</v>
      </c>
      <c r="C2418" s="12" t="s">
        <v>128</v>
      </c>
      <c r="D2418" s="12" t="s">
        <v>2955</v>
      </c>
      <c r="E2418" s="13" t="s">
        <v>2956</v>
      </c>
      <c r="F2418" s="12" t="s">
        <v>129</v>
      </c>
      <c r="G2418" s="14">
        <v>9192.0000000000018</v>
      </c>
      <c r="H2418" s="12" t="s">
        <v>24</v>
      </c>
      <c r="I2418" s="12">
        <v>1</v>
      </c>
      <c r="J2418" s="12" t="s">
        <v>129</v>
      </c>
      <c r="K2418" s="12" t="s">
        <v>23</v>
      </c>
      <c r="L2418" s="12">
        <v>1</v>
      </c>
      <c r="M2418" s="15">
        <v>101112</v>
      </c>
      <c r="N2418" s="15">
        <v>0</v>
      </c>
      <c r="O2418" s="15">
        <f t="shared" si="195"/>
        <v>101112</v>
      </c>
      <c r="P2418" s="15">
        <f t="shared" si="190"/>
        <v>10.999999999999998</v>
      </c>
      <c r="Q2418" s="14">
        <v>5000</v>
      </c>
      <c r="R2418" s="12">
        <v>100</v>
      </c>
      <c r="S2418" s="12" t="s">
        <v>3022</v>
      </c>
      <c r="T2418" s="22">
        <f t="shared" si="191"/>
        <v>6</v>
      </c>
      <c r="U2418" s="22">
        <f t="shared" si="192"/>
        <v>2021</v>
      </c>
      <c r="V2418" s="22" t="str">
        <f t="shared" si="193"/>
        <v>METROPOLITANA</v>
      </c>
    </row>
    <row r="2419" spans="1:22" x14ac:dyDescent="0.2">
      <c r="A2419" s="11" t="s">
        <v>3015</v>
      </c>
      <c r="B2419" s="12" t="s">
        <v>33</v>
      </c>
      <c r="C2419" s="12" t="s">
        <v>223</v>
      </c>
      <c r="D2419" s="12" t="s">
        <v>35</v>
      </c>
      <c r="E2419" s="13" t="s">
        <v>1576</v>
      </c>
      <c r="F2419" s="12" t="s">
        <v>39</v>
      </c>
      <c r="G2419" s="14">
        <v>8502</v>
      </c>
      <c r="H2419" s="12" t="s">
        <v>22</v>
      </c>
      <c r="I2419" s="12">
        <v>0</v>
      </c>
      <c r="J2419" s="12" t="s">
        <v>39</v>
      </c>
      <c r="K2419" s="12" t="s">
        <v>23</v>
      </c>
      <c r="L2419" s="12">
        <v>1</v>
      </c>
      <c r="M2419" s="15">
        <v>93522</v>
      </c>
      <c r="N2419" s="15">
        <v>0</v>
      </c>
      <c r="O2419" s="15">
        <f t="shared" si="195"/>
        <v>93522</v>
      </c>
      <c r="P2419" s="15">
        <f t="shared" si="190"/>
        <v>11</v>
      </c>
      <c r="Q2419" s="14">
        <v>5000</v>
      </c>
      <c r="R2419" s="12">
        <v>100</v>
      </c>
      <c r="S2419" s="12" t="s">
        <v>3023</v>
      </c>
      <c r="T2419" s="22">
        <f t="shared" si="191"/>
        <v>6</v>
      </c>
      <c r="U2419" s="22">
        <f t="shared" si="192"/>
        <v>2021</v>
      </c>
      <c r="V2419" s="22" t="str">
        <f t="shared" si="193"/>
        <v>METROPOLITANA</v>
      </c>
    </row>
    <row r="2420" spans="1:22" x14ac:dyDescent="0.2">
      <c r="A2420" s="11" t="s">
        <v>3015</v>
      </c>
      <c r="B2420" s="12" t="s">
        <v>33</v>
      </c>
      <c r="C2420" s="12" t="s">
        <v>29</v>
      </c>
      <c r="D2420" s="12" t="s">
        <v>61</v>
      </c>
      <c r="E2420" s="13" t="s">
        <v>62</v>
      </c>
      <c r="F2420" s="12" t="s">
        <v>132</v>
      </c>
      <c r="G2420" s="14">
        <v>22212.799999999988</v>
      </c>
      <c r="H2420" s="12" t="s">
        <v>85</v>
      </c>
      <c r="I2420" s="12">
        <v>1</v>
      </c>
      <c r="J2420" s="12" t="s">
        <v>132</v>
      </c>
      <c r="K2420" s="12" t="s">
        <v>124</v>
      </c>
      <c r="L2420" s="12">
        <v>0</v>
      </c>
      <c r="M2420" s="15">
        <v>350000</v>
      </c>
      <c r="N2420" s="15">
        <v>0</v>
      </c>
      <c r="O2420" s="15">
        <f t="shared" si="195"/>
        <v>350000</v>
      </c>
      <c r="P2420" s="15">
        <f t="shared" si="190"/>
        <v>15.756680832673062</v>
      </c>
      <c r="Q2420" s="14">
        <v>25000</v>
      </c>
      <c r="R2420" s="12">
        <v>89</v>
      </c>
      <c r="S2420" s="12" t="s">
        <v>3024</v>
      </c>
      <c r="T2420" s="22">
        <f t="shared" si="191"/>
        <v>6</v>
      </c>
      <c r="U2420" s="22">
        <f t="shared" si="192"/>
        <v>2021</v>
      </c>
      <c r="V2420" s="22" t="str">
        <f t="shared" si="193"/>
        <v>REGIONES</v>
      </c>
    </row>
    <row r="2421" spans="1:22" x14ac:dyDescent="0.2">
      <c r="A2421" s="11" t="s">
        <v>3015</v>
      </c>
      <c r="B2421" s="12" t="s">
        <v>33</v>
      </c>
      <c r="C2421" s="12" t="s">
        <v>29</v>
      </c>
      <c r="D2421" s="12" t="s">
        <v>30</v>
      </c>
      <c r="E2421" s="13" t="s">
        <v>31</v>
      </c>
      <c r="F2421" s="12" t="s">
        <v>39</v>
      </c>
      <c r="G2421" s="14">
        <v>10402.799999999999</v>
      </c>
      <c r="H2421" s="12" t="s">
        <v>32</v>
      </c>
      <c r="I2421" s="12">
        <v>0</v>
      </c>
      <c r="J2421" s="12" t="s">
        <v>39</v>
      </c>
      <c r="K2421" s="12" t="s">
        <v>23</v>
      </c>
      <c r="L2421" s="12">
        <v>1</v>
      </c>
      <c r="M2421" s="15">
        <v>114431</v>
      </c>
      <c r="N2421" s="15">
        <v>0</v>
      </c>
      <c r="O2421" s="15">
        <f t="shared" si="195"/>
        <v>114431</v>
      </c>
      <c r="P2421" s="15">
        <f t="shared" si="190"/>
        <v>11.00001922559311</v>
      </c>
      <c r="Q2421" s="14">
        <v>5000</v>
      </c>
      <c r="R2421" s="12">
        <v>100</v>
      </c>
      <c r="S2421" s="12" t="s">
        <v>3025</v>
      </c>
      <c r="T2421" s="22">
        <f t="shared" si="191"/>
        <v>6</v>
      </c>
      <c r="U2421" s="22">
        <f t="shared" si="192"/>
        <v>2021</v>
      </c>
      <c r="V2421" s="22" t="str">
        <f t="shared" si="193"/>
        <v>METROPOLITANA</v>
      </c>
    </row>
    <row r="2422" spans="1:22" x14ac:dyDescent="0.2">
      <c r="A2422" s="11" t="s">
        <v>3015</v>
      </c>
      <c r="B2422" s="12" t="s">
        <v>33</v>
      </c>
      <c r="C2422" s="12" t="s">
        <v>29</v>
      </c>
      <c r="D2422" s="12" t="s">
        <v>41</v>
      </c>
      <c r="E2422" s="13" t="s">
        <v>42</v>
      </c>
      <c r="F2422" s="12" t="s">
        <v>39</v>
      </c>
      <c r="G2422" s="14">
        <v>7637.8</v>
      </c>
      <c r="H2422" s="12" t="s">
        <v>43</v>
      </c>
      <c r="I2422" s="12">
        <v>0</v>
      </c>
      <c r="J2422" s="12" t="s">
        <v>39</v>
      </c>
      <c r="K2422" s="12" t="s">
        <v>23</v>
      </c>
      <c r="L2422" s="12">
        <v>1</v>
      </c>
      <c r="M2422" s="15">
        <v>84016</v>
      </c>
      <c r="N2422" s="15">
        <v>0</v>
      </c>
      <c r="O2422" s="15">
        <f t="shared" si="195"/>
        <v>84016</v>
      </c>
      <c r="P2422" s="15">
        <f t="shared" si="190"/>
        <v>11.000026185550812</v>
      </c>
      <c r="Q2422" s="14">
        <v>5000</v>
      </c>
      <c r="R2422" s="12">
        <v>100</v>
      </c>
      <c r="S2422" s="12" t="s">
        <v>3026</v>
      </c>
      <c r="T2422" s="22">
        <f t="shared" si="191"/>
        <v>6</v>
      </c>
      <c r="U2422" s="22">
        <f t="shared" si="192"/>
        <v>2021</v>
      </c>
      <c r="V2422" s="22" t="str">
        <f t="shared" si="193"/>
        <v>METROPOLITANA</v>
      </c>
    </row>
    <row r="2423" spans="1:22" x14ac:dyDescent="0.2">
      <c r="A2423" s="11" t="s">
        <v>3015</v>
      </c>
      <c r="B2423" s="12" t="s">
        <v>33</v>
      </c>
      <c r="C2423" s="12" t="s">
        <v>44</v>
      </c>
      <c r="D2423" s="12" t="s">
        <v>56</v>
      </c>
      <c r="E2423" s="13" t="s">
        <v>52</v>
      </c>
      <c r="F2423" s="12" t="s">
        <v>48</v>
      </c>
      <c r="G2423" s="14">
        <f>2570.12+1822</f>
        <v>4392.12</v>
      </c>
      <c r="H2423" s="12" t="s">
        <v>22</v>
      </c>
      <c r="I2423" s="12">
        <v>0</v>
      </c>
      <c r="J2423" s="12" t="s">
        <v>48</v>
      </c>
      <c r="K2423" s="12" t="s">
        <v>23</v>
      </c>
      <c r="L2423" s="12">
        <v>1</v>
      </c>
      <c r="M2423" s="15">
        <v>55000</v>
      </c>
      <c r="N2423" s="15">
        <v>0</v>
      </c>
      <c r="O2423" s="15">
        <f t="shared" si="195"/>
        <v>55000</v>
      </c>
      <c r="P2423" s="15">
        <f t="shared" si="190"/>
        <v>12.522426527508356</v>
      </c>
      <c r="Q2423" s="14">
        <v>5000</v>
      </c>
      <c r="R2423" s="12">
        <v>51</v>
      </c>
      <c r="S2423" s="12" t="s">
        <v>3027</v>
      </c>
      <c r="T2423" s="22">
        <f t="shared" si="191"/>
        <v>6</v>
      </c>
      <c r="U2423" s="22">
        <f t="shared" si="192"/>
        <v>2021</v>
      </c>
      <c r="V2423" s="22" t="str">
        <f t="shared" si="193"/>
        <v>METROPOLITANA</v>
      </c>
    </row>
    <row r="2424" spans="1:22" x14ac:dyDescent="0.2">
      <c r="A2424" s="23" t="s">
        <v>3028</v>
      </c>
      <c r="B2424" s="22" t="s">
        <v>18</v>
      </c>
      <c r="C2424" s="22" t="s">
        <v>579</v>
      </c>
      <c r="D2424" s="22" t="s">
        <v>2955</v>
      </c>
      <c r="E2424" s="24" t="s">
        <v>2956</v>
      </c>
      <c r="F2424" s="22" t="s">
        <v>161</v>
      </c>
      <c r="G2424" s="25">
        <v>10363.98</v>
      </c>
      <c r="H2424" s="22" t="s">
        <v>24</v>
      </c>
      <c r="I2424" s="22">
        <v>1</v>
      </c>
      <c r="J2424" s="22" t="s">
        <v>161</v>
      </c>
      <c r="K2424" s="22" t="s">
        <v>23</v>
      </c>
      <c r="L2424" s="22">
        <v>5</v>
      </c>
      <c r="M2424" s="26">
        <v>120000</v>
      </c>
      <c r="N2424" s="26">
        <v>0</v>
      </c>
      <c r="O2424" s="15">
        <f t="shared" si="195"/>
        <v>120000</v>
      </c>
      <c r="P2424" s="15">
        <f t="shared" si="190"/>
        <v>11.578563447633053</v>
      </c>
      <c r="Q2424" s="25">
        <v>10000</v>
      </c>
      <c r="R2424" s="22">
        <v>100</v>
      </c>
      <c r="S2424" s="22" t="s">
        <v>3029</v>
      </c>
      <c r="T2424" s="22">
        <f t="shared" si="191"/>
        <v>6</v>
      </c>
      <c r="U2424" s="22">
        <f t="shared" si="192"/>
        <v>2021</v>
      </c>
      <c r="V2424" s="22" t="str">
        <f t="shared" si="193"/>
        <v>METROPOLITANA</v>
      </c>
    </row>
    <row r="2425" spans="1:22" x14ac:dyDescent="0.2">
      <c r="A2425" s="23" t="s">
        <v>3028</v>
      </c>
      <c r="B2425" s="22" t="s">
        <v>18</v>
      </c>
      <c r="C2425" s="22" t="s">
        <v>579</v>
      </c>
      <c r="D2425" s="22" t="s">
        <v>63</v>
      </c>
      <c r="E2425" s="24" t="s">
        <v>64</v>
      </c>
      <c r="F2425" s="22" t="s">
        <v>161</v>
      </c>
      <c r="G2425" s="25">
        <v>4995.3799999999992</v>
      </c>
      <c r="H2425" s="22" t="s">
        <v>65</v>
      </c>
      <c r="I2425" s="22">
        <v>0</v>
      </c>
      <c r="J2425" s="22" t="s">
        <v>161</v>
      </c>
      <c r="K2425" s="22" t="s">
        <v>23</v>
      </c>
      <c r="L2425" s="22">
        <v>5</v>
      </c>
      <c r="M2425" s="26">
        <v>70000</v>
      </c>
      <c r="N2425" s="26">
        <v>0</v>
      </c>
      <c r="O2425" s="15">
        <f t="shared" si="195"/>
        <v>70000</v>
      </c>
      <c r="P2425" s="15">
        <f t="shared" si="190"/>
        <v>14.012947963918663</v>
      </c>
      <c r="Q2425" s="25">
        <v>10000</v>
      </c>
      <c r="R2425" s="22">
        <v>50</v>
      </c>
      <c r="S2425" s="22" t="s">
        <v>3030</v>
      </c>
      <c r="T2425" s="22">
        <f t="shared" si="191"/>
        <v>6</v>
      </c>
      <c r="U2425" s="22">
        <f t="shared" si="192"/>
        <v>2021</v>
      </c>
      <c r="V2425" s="22" t="str">
        <f t="shared" si="193"/>
        <v>METROPOLITANA</v>
      </c>
    </row>
    <row r="2426" spans="1:22" x14ac:dyDescent="0.2">
      <c r="A2426" s="23" t="s">
        <v>3028</v>
      </c>
      <c r="B2426" s="22" t="s">
        <v>33</v>
      </c>
      <c r="C2426" s="22" t="s">
        <v>270</v>
      </c>
      <c r="D2426" s="22" t="s">
        <v>30</v>
      </c>
      <c r="E2426" s="24" t="s">
        <v>31</v>
      </c>
      <c r="F2426" s="22" t="s">
        <v>120</v>
      </c>
      <c r="G2426" s="25">
        <v>13887.999999999991</v>
      </c>
      <c r="H2426" s="22" t="s">
        <v>32</v>
      </c>
      <c r="I2426" s="22">
        <v>0</v>
      </c>
      <c r="J2426" s="22" t="s">
        <v>120</v>
      </c>
      <c r="K2426" s="22" t="s">
        <v>23</v>
      </c>
      <c r="L2426" s="22">
        <v>5</v>
      </c>
      <c r="M2426" s="26">
        <v>70000</v>
      </c>
      <c r="N2426" s="26">
        <v>0</v>
      </c>
      <c r="O2426" s="15">
        <f>G2426*11</f>
        <v>152767.99999999991</v>
      </c>
      <c r="P2426" s="15">
        <f t="shared" si="190"/>
        <v>11.000000000000002</v>
      </c>
      <c r="Q2426" s="25">
        <v>10000</v>
      </c>
      <c r="R2426" s="22">
        <v>100</v>
      </c>
      <c r="S2426" s="22" t="s">
        <v>3031</v>
      </c>
      <c r="T2426" s="22">
        <f t="shared" si="191"/>
        <v>6</v>
      </c>
      <c r="U2426" s="22">
        <f t="shared" si="192"/>
        <v>2021</v>
      </c>
      <c r="V2426" s="22" t="str">
        <f t="shared" si="193"/>
        <v>METROPOLITANA</v>
      </c>
    </row>
    <row r="2427" spans="1:22" x14ac:dyDescent="0.2">
      <c r="A2427" s="23" t="s">
        <v>3028</v>
      </c>
      <c r="B2427" s="22" t="s">
        <v>33</v>
      </c>
      <c r="C2427" s="22" t="s">
        <v>36</v>
      </c>
      <c r="D2427" s="22" t="s">
        <v>2262</v>
      </c>
      <c r="E2427" s="24" t="s">
        <v>83</v>
      </c>
      <c r="F2427" s="22" t="s">
        <v>691</v>
      </c>
      <c r="G2427" s="25">
        <f>7697.2+2918+5000</f>
        <v>15615.2</v>
      </c>
      <c r="H2427" s="22" t="s">
        <v>24</v>
      </c>
      <c r="I2427" s="22">
        <v>1</v>
      </c>
      <c r="J2427" s="22" t="s">
        <v>691</v>
      </c>
      <c r="K2427" s="22" t="s">
        <v>873</v>
      </c>
      <c r="L2427" s="22">
        <v>0</v>
      </c>
      <c r="M2427" s="26">
        <v>1020000</v>
      </c>
      <c r="N2427" s="26">
        <v>0</v>
      </c>
      <c r="O2427" s="15">
        <f t="shared" ref="O2427:O2434" si="196">SUM(M2427:N2427)</f>
        <v>1020000</v>
      </c>
      <c r="P2427" s="15">
        <f t="shared" si="190"/>
        <v>65.320969311952453</v>
      </c>
      <c r="Q2427" s="25">
        <v>25000</v>
      </c>
      <c r="R2427" s="22">
        <v>31</v>
      </c>
      <c r="S2427" s="22" t="s">
        <v>3039</v>
      </c>
      <c r="T2427" s="22">
        <f t="shared" si="191"/>
        <v>6</v>
      </c>
      <c r="U2427" s="22">
        <f t="shared" si="192"/>
        <v>2021</v>
      </c>
      <c r="V2427" s="22" t="str">
        <f t="shared" si="193"/>
        <v>REGIONES</v>
      </c>
    </row>
    <row r="2428" spans="1:22" x14ac:dyDescent="0.2">
      <c r="A2428" s="23" t="s">
        <v>3028</v>
      </c>
      <c r="B2428" s="22" t="s">
        <v>33</v>
      </c>
      <c r="C2428" s="22" t="s">
        <v>29</v>
      </c>
      <c r="D2428" s="22" t="s">
        <v>130</v>
      </c>
      <c r="E2428" s="24" t="s">
        <v>131</v>
      </c>
      <c r="F2428" s="22" t="s">
        <v>132</v>
      </c>
      <c r="G2428" s="25">
        <v>20404.80000000001</v>
      </c>
      <c r="H2428" s="22" t="s">
        <v>85</v>
      </c>
      <c r="I2428" s="22">
        <v>1</v>
      </c>
      <c r="J2428" s="22" t="s">
        <v>132</v>
      </c>
      <c r="K2428" s="22" t="s">
        <v>124</v>
      </c>
      <c r="L2428" s="22">
        <v>0</v>
      </c>
      <c r="M2428" s="26">
        <v>350000</v>
      </c>
      <c r="N2428" s="26">
        <v>0</v>
      </c>
      <c r="O2428" s="15">
        <f t="shared" si="196"/>
        <v>350000</v>
      </c>
      <c r="P2428" s="15">
        <f t="shared" si="190"/>
        <v>17.152826785854302</v>
      </c>
      <c r="Q2428" s="25">
        <v>25000</v>
      </c>
      <c r="R2428" s="22">
        <v>82</v>
      </c>
      <c r="S2428" s="22" t="s">
        <v>3032</v>
      </c>
      <c r="T2428" s="22">
        <f t="shared" si="191"/>
        <v>6</v>
      </c>
      <c r="U2428" s="22">
        <f t="shared" si="192"/>
        <v>2021</v>
      </c>
      <c r="V2428" s="22" t="str">
        <f t="shared" si="193"/>
        <v>REGIONES</v>
      </c>
    </row>
    <row r="2429" spans="1:22" x14ac:dyDescent="0.2">
      <c r="A2429" s="23" t="s">
        <v>3028</v>
      </c>
      <c r="B2429" s="22" t="s">
        <v>33</v>
      </c>
      <c r="C2429" s="22" t="s">
        <v>29</v>
      </c>
      <c r="D2429" s="22" t="s">
        <v>41</v>
      </c>
      <c r="E2429" s="24" t="s">
        <v>42</v>
      </c>
      <c r="F2429" s="22" t="s">
        <v>39</v>
      </c>
      <c r="G2429" s="25">
        <v>8263.7999999999956</v>
      </c>
      <c r="H2429" s="22" t="s">
        <v>43</v>
      </c>
      <c r="I2429" s="22">
        <v>0</v>
      </c>
      <c r="J2429" s="22" t="s">
        <v>39</v>
      </c>
      <c r="K2429" s="22" t="s">
        <v>23</v>
      </c>
      <c r="L2429" s="22">
        <v>1</v>
      </c>
      <c r="M2429" s="26">
        <v>90902</v>
      </c>
      <c r="N2429" s="26">
        <v>0</v>
      </c>
      <c r="O2429" s="15">
        <f t="shared" si="196"/>
        <v>90902</v>
      </c>
      <c r="P2429" s="15">
        <f t="shared" si="190"/>
        <v>11.000024201941001</v>
      </c>
      <c r="Q2429" s="25">
        <v>5000</v>
      </c>
      <c r="R2429" s="22">
        <v>100</v>
      </c>
      <c r="S2429" s="22" t="s">
        <v>3033</v>
      </c>
      <c r="T2429" s="22">
        <f t="shared" si="191"/>
        <v>6</v>
      </c>
      <c r="U2429" s="22">
        <f t="shared" si="192"/>
        <v>2021</v>
      </c>
      <c r="V2429" s="22" t="str">
        <f t="shared" si="193"/>
        <v>METROPOLITANA</v>
      </c>
    </row>
    <row r="2430" spans="1:22" x14ac:dyDescent="0.2">
      <c r="A2430" s="23" t="s">
        <v>3028</v>
      </c>
      <c r="B2430" s="22" t="s">
        <v>33</v>
      </c>
      <c r="C2430" s="22" t="s">
        <v>29</v>
      </c>
      <c r="D2430" s="22" t="s">
        <v>20</v>
      </c>
      <c r="E2430" s="24" t="s">
        <v>21</v>
      </c>
      <c r="F2430" s="22" t="s">
        <v>39</v>
      </c>
      <c r="G2430" s="25">
        <v>7102.2000000000025</v>
      </c>
      <c r="H2430" s="22" t="s">
        <v>22</v>
      </c>
      <c r="I2430" s="22">
        <v>0</v>
      </c>
      <c r="J2430" s="22" t="s">
        <v>39</v>
      </c>
      <c r="K2430" s="22" t="s">
        <v>23</v>
      </c>
      <c r="L2430" s="22">
        <v>1</v>
      </c>
      <c r="M2430" s="26">
        <v>78124</v>
      </c>
      <c r="N2430" s="26">
        <v>0</v>
      </c>
      <c r="O2430" s="15">
        <f t="shared" si="196"/>
        <v>78124</v>
      </c>
      <c r="P2430" s="15">
        <f t="shared" si="190"/>
        <v>10.999971839711634</v>
      </c>
      <c r="Q2430" s="25">
        <v>5000</v>
      </c>
      <c r="R2430" s="22">
        <v>100</v>
      </c>
      <c r="S2430" s="22" t="s">
        <v>3034</v>
      </c>
      <c r="T2430" s="22">
        <f t="shared" si="191"/>
        <v>6</v>
      </c>
      <c r="U2430" s="22">
        <f t="shared" si="192"/>
        <v>2021</v>
      </c>
      <c r="V2430" s="22" t="str">
        <f t="shared" si="193"/>
        <v>METROPOLITANA</v>
      </c>
    </row>
    <row r="2431" spans="1:22" x14ac:dyDescent="0.2">
      <c r="A2431" s="23" t="s">
        <v>3028</v>
      </c>
      <c r="B2431" s="22" t="s">
        <v>33</v>
      </c>
      <c r="C2431" s="22" t="s">
        <v>44</v>
      </c>
      <c r="D2431" s="22" t="s">
        <v>191</v>
      </c>
      <c r="E2431" s="24" t="s">
        <v>192</v>
      </c>
      <c r="F2431" s="22" t="s">
        <v>114</v>
      </c>
      <c r="G2431" s="25">
        <v>11562.400000000011</v>
      </c>
      <c r="H2431" s="22" t="s">
        <v>85</v>
      </c>
      <c r="I2431" s="22">
        <v>1</v>
      </c>
      <c r="J2431" s="22" t="s">
        <v>114</v>
      </c>
      <c r="K2431" s="22" t="s">
        <v>75</v>
      </c>
      <c r="L2431" s="22">
        <v>0</v>
      </c>
      <c r="M2431" s="26">
        <v>380000</v>
      </c>
      <c r="N2431" s="26">
        <v>0</v>
      </c>
      <c r="O2431" s="15">
        <f t="shared" si="196"/>
        <v>380000</v>
      </c>
      <c r="P2431" s="15">
        <f t="shared" si="190"/>
        <v>32.865149103992223</v>
      </c>
      <c r="Q2431" s="25">
        <v>25000</v>
      </c>
      <c r="R2431" s="22">
        <v>46</v>
      </c>
      <c r="S2431" s="22" t="s">
        <v>3035</v>
      </c>
      <c r="T2431" s="22">
        <f t="shared" si="191"/>
        <v>6</v>
      </c>
      <c r="U2431" s="22">
        <f t="shared" si="192"/>
        <v>2021</v>
      </c>
      <c r="V2431" s="22" t="str">
        <f t="shared" si="193"/>
        <v>REGIONES</v>
      </c>
    </row>
    <row r="2432" spans="1:22" x14ac:dyDescent="0.2">
      <c r="A2432" s="23" t="s">
        <v>3028</v>
      </c>
      <c r="B2432" s="22" t="s">
        <v>33</v>
      </c>
      <c r="C2432" s="22" t="s">
        <v>44</v>
      </c>
      <c r="D2432" s="22" t="s">
        <v>37</v>
      </c>
      <c r="E2432" s="24" t="s">
        <v>40</v>
      </c>
      <c r="F2432" s="22" t="s">
        <v>94</v>
      </c>
      <c r="G2432" s="25">
        <v>5941.2200000000039</v>
      </c>
      <c r="H2432" s="22" t="s">
        <v>22</v>
      </c>
      <c r="I2432" s="22">
        <v>0</v>
      </c>
      <c r="J2432" s="22" t="s">
        <v>59</v>
      </c>
      <c r="K2432" s="22" t="s">
        <v>78</v>
      </c>
      <c r="L2432" s="22">
        <v>0</v>
      </c>
      <c r="M2432" s="26">
        <v>180000</v>
      </c>
      <c r="N2432" s="26">
        <v>0</v>
      </c>
      <c r="O2432" s="15">
        <f t="shared" si="196"/>
        <v>180000</v>
      </c>
      <c r="P2432" s="15">
        <f t="shared" si="190"/>
        <v>30.296807726359212</v>
      </c>
      <c r="Q2432" s="25">
        <v>25000</v>
      </c>
      <c r="R2432" s="22">
        <v>24</v>
      </c>
      <c r="S2432" s="22" t="s">
        <v>3036</v>
      </c>
      <c r="T2432" s="22">
        <f t="shared" si="191"/>
        <v>6</v>
      </c>
      <c r="U2432" s="22">
        <f t="shared" si="192"/>
        <v>2021</v>
      </c>
      <c r="V2432" s="22" t="str">
        <f t="shared" si="193"/>
        <v>REGIONES</v>
      </c>
    </row>
    <row r="2433" spans="1:22" x14ac:dyDescent="0.2">
      <c r="A2433" s="23" t="s">
        <v>3028</v>
      </c>
      <c r="B2433" s="22" t="s">
        <v>33</v>
      </c>
      <c r="C2433" s="22" t="s">
        <v>44</v>
      </c>
      <c r="D2433" s="22" t="s">
        <v>45</v>
      </c>
      <c r="E2433" s="24" t="s">
        <v>52</v>
      </c>
      <c r="F2433" s="22" t="s">
        <v>46</v>
      </c>
      <c r="G2433" s="25">
        <f>4428.92+1068</f>
        <v>5496.92</v>
      </c>
      <c r="H2433" s="22" t="s">
        <v>22</v>
      </c>
      <c r="I2433" s="22">
        <v>0</v>
      </c>
      <c r="J2433" s="22" t="s">
        <v>46</v>
      </c>
      <c r="K2433" s="22" t="s">
        <v>23</v>
      </c>
      <c r="L2433" s="22">
        <v>2</v>
      </c>
      <c r="M2433" s="26">
        <v>55000</v>
      </c>
      <c r="N2433" s="26">
        <v>0</v>
      </c>
      <c r="O2433" s="15">
        <f t="shared" si="196"/>
        <v>55000</v>
      </c>
      <c r="P2433" s="15">
        <f t="shared" si="190"/>
        <v>10.005603137757143</v>
      </c>
      <c r="Q2433" s="25">
        <v>5000</v>
      </c>
      <c r="R2433" s="22">
        <v>89</v>
      </c>
      <c r="S2433" s="22" t="s">
        <v>3037</v>
      </c>
      <c r="T2433" s="22">
        <f t="shared" si="191"/>
        <v>6</v>
      </c>
      <c r="U2433" s="22">
        <f t="shared" si="192"/>
        <v>2021</v>
      </c>
      <c r="V2433" s="22" t="str">
        <f t="shared" si="193"/>
        <v>METROPOLITANA</v>
      </c>
    </row>
    <row r="2434" spans="1:22" x14ac:dyDescent="0.2">
      <c r="A2434" s="23" t="s">
        <v>3028</v>
      </c>
      <c r="B2434" s="22" t="s">
        <v>33</v>
      </c>
      <c r="C2434" s="22" t="s">
        <v>44</v>
      </c>
      <c r="D2434" s="22" t="s">
        <v>35</v>
      </c>
      <c r="E2434" s="24" t="s">
        <v>21</v>
      </c>
      <c r="F2434" s="22" t="s">
        <v>34</v>
      </c>
      <c r="G2434" s="25">
        <v>5636.2399999999989</v>
      </c>
      <c r="H2434" s="22" t="s">
        <v>22</v>
      </c>
      <c r="I2434" s="22">
        <v>0</v>
      </c>
      <c r="J2434" s="22" t="s">
        <v>34</v>
      </c>
      <c r="K2434" s="22" t="s">
        <v>23</v>
      </c>
      <c r="L2434" s="22">
        <v>1</v>
      </c>
      <c r="M2434" s="26">
        <v>61999</v>
      </c>
      <c r="N2434" s="26">
        <v>0</v>
      </c>
      <c r="O2434" s="15">
        <f t="shared" si="196"/>
        <v>61999</v>
      </c>
      <c r="P2434" s="15">
        <f t="shared" ref="P2434:P2497" si="197">O2434/G2434</f>
        <v>11.000063872368816</v>
      </c>
      <c r="Q2434" s="25">
        <v>5000</v>
      </c>
      <c r="R2434" s="22">
        <v>100</v>
      </c>
      <c r="S2434" s="22" t="s">
        <v>3038</v>
      </c>
      <c r="T2434" s="22">
        <f t="shared" si="191"/>
        <v>6</v>
      </c>
      <c r="U2434" s="22">
        <f t="shared" si="192"/>
        <v>2021</v>
      </c>
      <c r="V2434" s="22" t="str">
        <f t="shared" si="193"/>
        <v>METROPOLITANA</v>
      </c>
    </row>
    <row r="2435" spans="1:22" x14ac:dyDescent="0.2">
      <c r="A2435" s="11" t="s">
        <v>3040</v>
      </c>
      <c r="B2435" s="12" t="s">
        <v>18</v>
      </c>
      <c r="C2435" s="12" t="s">
        <v>1997</v>
      </c>
      <c r="D2435" s="12" t="s">
        <v>37</v>
      </c>
      <c r="E2435" s="13" t="s">
        <v>40</v>
      </c>
      <c r="F2435" s="12" t="s">
        <v>58</v>
      </c>
      <c r="G2435" s="14">
        <v>13739.819999999991</v>
      </c>
      <c r="H2435" s="12" t="s">
        <v>22</v>
      </c>
      <c r="I2435" s="12">
        <v>0</v>
      </c>
      <c r="J2435" s="12" t="s">
        <v>58</v>
      </c>
      <c r="K2435" s="12" t="s">
        <v>23</v>
      </c>
      <c r="L2435" s="12">
        <v>5</v>
      </c>
      <c r="M2435" s="15">
        <v>70000</v>
      </c>
      <c r="N2435" s="15">
        <v>0</v>
      </c>
      <c r="O2435" s="15">
        <f>G2435*11</f>
        <v>151138.0199999999</v>
      </c>
      <c r="P2435" s="15">
        <f t="shared" si="197"/>
        <v>11</v>
      </c>
      <c r="Q2435" s="14">
        <v>10000</v>
      </c>
      <c r="R2435" s="12">
        <v>100</v>
      </c>
      <c r="S2435" s="12" t="s">
        <v>3041</v>
      </c>
      <c r="T2435" s="22">
        <f t="shared" si="191"/>
        <v>6</v>
      </c>
      <c r="U2435" s="22">
        <f t="shared" si="192"/>
        <v>2021</v>
      </c>
      <c r="V2435" s="22" t="str">
        <f t="shared" si="193"/>
        <v>METROPOLITANA</v>
      </c>
    </row>
    <row r="2436" spans="1:22" x14ac:dyDescent="0.2">
      <c r="A2436" s="11" t="s">
        <v>3040</v>
      </c>
      <c r="B2436" s="12" t="s">
        <v>18</v>
      </c>
      <c r="C2436" s="12" t="s">
        <v>57</v>
      </c>
      <c r="D2436" s="12" t="s">
        <v>164</v>
      </c>
      <c r="E2436" s="13" t="s">
        <v>28</v>
      </c>
      <c r="F2436" s="12" t="s">
        <v>120</v>
      </c>
      <c r="G2436" s="14">
        <v>8514.2500000000018</v>
      </c>
      <c r="H2436" s="12" t="s">
        <v>22</v>
      </c>
      <c r="I2436" s="12">
        <v>1</v>
      </c>
      <c r="J2436" s="12" t="s">
        <v>120</v>
      </c>
      <c r="K2436" s="12" t="s">
        <v>23</v>
      </c>
      <c r="L2436" s="12">
        <v>5</v>
      </c>
      <c r="M2436" s="15">
        <v>120000</v>
      </c>
      <c r="N2436" s="15">
        <v>0</v>
      </c>
      <c r="O2436" s="15">
        <f t="shared" ref="O2436:O2451" si="198">SUM(M2436:N2436)</f>
        <v>120000</v>
      </c>
      <c r="P2436" s="15">
        <f t="shared" si="197"/>
        <v>14.09401885075021</v>
      </c>
      <c r="Q2436" s="14">
        <v>10000</v>
      </c>
      <c r="R2436" s="12">
        <v>85</v>
      </c>
      <c r="S2436" s="12" t="s">
        <v>3042</v>
      </c>
      <c r="T2436" s="22">
        <f t="shared" si="191"/>
        <v>6</v>
      </c>
      <c r="U2436" s="22">
        <f t="shared" si="192"/>
        <v>2021</v>
      </c>
      <c r="V2436" s="22" t="str">
        <f t="shared" si="193"/>
        <v>METROPOLITANA</v>
      </c>
    </row>
    <row r="2437" spans="1:22" x14ac:dyDescent="0.2">
      <c r="A2437" s="11" t="s">
        <v>3040</v>
      </c>
      <c r="B2437" s="12" t="s">
        <v>18</v>
      </c>
      <c r="C2437" s="12" t="s">
        <v>163</v>
      </c>
      <c r="D2437" s="12" t="s">
        <v>164</v>
      </c>
      <c r="E2437" s="13" t="s">
        <v>28</v>
      </c>
      <c r="F2437" s="12" t="s">
        <v>165</v>
      </c>
      <c r="G2437" s="14">
        <v>23507.94</v>
      </c>
      <c r="H2437" s="12" t="s">
        <v>22</v>
      </c>
      <c r="I2437" s="12">
        <v>1</v>
      </c>
      <c r="J2437" s="12" t="s">
        <v>165</v>
      </c>
      <c r="K2437" s="12" t="s">
        <v>23</v>
      </c>
      <c r="L2437" s="12">
        <v>4</v>
      </c>
      <c r="M2437" s="15">
        <v>258587</v>
      </c>
      <c r="N2437" s="15">
        <v>0</v>
      </c>
      <c r="O2437" s="15">
        <f t="shared" si="198"/>
        <v>258587</v>
      </c>
      <c r="P2437" s="15">
        <f t="shared" si="197"/>
        <v>10.999985536801608</v>
      </c>
      <c r="Q2437" s="14">
        <v>5000</v>
      </c>
      <c r="R2437" s="12">
        <v>100</v>
      </c>
      <c r="S2437" s="12" t="s">
        <v>3043</v>
      </c>
      <c r="T2437" s="22">
        <f t="shared" si="191"/>
        <v>6</v>
      </c>
      <c r="U2437" s="22">
        <f t="shared" si="192"/>
        <v>2021</v>
      </c>
      <c r="V2437" s="22" t="str">
        <f t="shared" si="193"/>
        <v>METROPOLITANA</v>
      </c>
    </row>
    <row r="2438" spans="1:22" x14ac:dyDescent="0.2">
      <c r="A2438" s="11" t="s">
        <v>3040</v>
      </c>
      <c r="B2438" s="12" t="s">
        <v>18</v>
      </c>
      <c r="C2438" s="12" t="s">
        <v>3044</v>
      </c>
      <c r="D2438" s="12" t="s">
        <v>38</v>
      </c>
      <c r="E2438" s="13" t="s">
        <v>42</v>
      </c>
      <c r="F2438" s="12" t="s">
        <v>67</v>
      </c>
      <c r="G2438" s="14">
        <v>10059.33</v>
      </c>
      <c r="H2438" s="12" t="s">
        <v>43</v>
      </c>
      <c r="I2438" s="12">
        <v>0</v>
      </c>
      <c r="J2438" s="12" t="s">
        <v>67</v>
      </c>
      <c r="K2438" s="12" t="s">
        <v>23</v>
      </c>
      <c r="L2438" s="12">
        <v>2</v>
      </c>
      <c r="M2438" s="15">
        <v>110653</v>
      </c>
      <c r="N2438" s="15">
        <v>0</v>
      </c>
      <c r="O2438" s="15">
        <f t="shared" si="198"/>
        <v>110653</v>
      </c>
      <c r="P2438" s="15">
        <f t="shared" si="197"/>
        <v>11.000036781773737</v>
      </c>
      <c r="Q2438" s="14">
        <v>5000</v>
      </c>
      <c r="R2438" s="12">
        <v>100</v>
      </c>
      <c r="S2438" s="12" t="s">
        <v>3045</v>
      </c>
      <c r="T2438" s="22">
        <f t="shared" si="191"/>
        <v>6</v>
      </c>
      <c r="U2438" s="22">
        <f t="shared" si="192"/>
        <v>2021</v>
      </c>
      <c r="V2438" s="22" t="str">
        <f t="shared" si="193"/>
        <v>METROPOLITANA</v>
      </c>
    </row>
    <row r="2439" spans="1:22" x14ac:dyDescent="0.2">
      <c r="A2439" s="11" t="s">
        <v>3040</v>
      </c>
      <c r="B2439" s="12" t="s">
        <v>18</v>
      </c>
      <c r="C2439" s="12" t="s">
        <v>508</v>
      </c>
      <c r="D2439" s="12" t="s">
        <v>20</v>
      </c>
      <c r="E2439" s="13" t="s">
        <v>21</v>
      </c>
      <c r="F2439" s="12" t="s">
        <v>58</v>
      </c>
      <c r="G2439" s="14">
        <v>5905.06</v>
      </c>
      <c r="H2439" s="12" t="s">
        <v>22</v>
      </c>
      <c r="I2439" s="12">
        <v>0</v>
      </c>
      <c r="J2439" s="12" t="s">
        <v>58</v>
      </c>
      <c r="K2439" s="12" t="s">
        <v>23</v>
      </c>
      <c r="L2439" s="12">
        <v>5</v>
      </c>
      <c r="M2439" s="15">
        <v>70000</v>
      </c>
      <c r="N2439" s="15">
        <v>0</v>
      </c>
      <c r="O2439" s="15">
        <f t="shared" si="198"/>
        <v>70000</v>
      </c>
      <c r="P2439" s="15">
        <f t="shared" si="197"/>
        <v>11.854240261741625</v>
      </c>
      <c r="Q2439" s="14">
        <v>10000</v>
      </c>
      <c r="R2439" s="12">
        <v>59</v>
      </c>
      <c r="S2439" s="12" t="s">
        <v>3046</v>
      </c>
      <c r="T2439" s="22">
        <f t="shared" si="191"/>
        <v>6</v>
      </c>
      <c r="U2439" s="22">
        <f t="shared" si="192"/>
        <v>2021</v>
      </c>
      <c r="V2439" s="22" t="str">
        <f t="shared" si="193"/>
        <v>METROPOLITANA</v>
      </c>
    </row>
    <row r="2440" spans="1:22" x14ac:dyDescent="0.2">
      <c r="A2440" s="11" t="s">
        <v>3040</v>
      </c>
      <c r="B2440" s="12" t="s">
        <v>33</v>
      </c>
      <c r="C2440" s="12" t="s">
        <v>36</v>
      </c>
      <c r="D2440" s="12" t="s">
        <v>1869</v>
      </c>
      <c r="E2440" s="13" t="s">
        <v>1870</v>
      </c>
      <c r="F2440" s="12" t="s">
        <v>876</v>
      </c>
      <c r="G2440" s="14">
        <f>5010.8+5701</f>
        <v>10711.8</v>
      </c>
      <c r="H2440" s="12" t="s">
        <v>24</v>
      </c>
      <c r="I2440" s="12">
        <v>1</v>
      </c>
      <c r="J2440" s="12" t="s">
        <v>876</v>
      </c>
      <c r="K2440" s="12" t="s">
        <v>86</v>
      </c>
      <c r="L2440" s="12">
        <v>0</v>
      </c>
      <c r="M2440" s="15">
        <v>330000</v>
      </c>
      <c r="N2440" s="15">
        <v>0</v>
      </c>
      <c r="O2440" s="15">
        <f t="shared" si="198"/>
        <v>330000</v>
      </c>
      <c r="P2440" s="15">
        <f t="shared" si="197"/>
        <v>30.807147258163898</v>
      </c>
      <c r="Q2440" s="14">
        <v>25000</v>
      </c>
      <c r="R2440" s="12">
        <v>20</v>
      </c>
      <c r="S2440" s="12" t="s">
        <v>3057</v>
      </c>
      <c r="T2440" s="22">
        <f t="shared" ref="T2440:T2503" si="199">MONTH(A2440)</f>
        <v>6</v>
      </c>
      <c r="U2440" s="22">
        <f t="shared" ref="U2440:U2503" si="200">YEAR(A2440)</f>
        <v>2021</v>
      </c>
      <c r="V2440" s="22" t="str">
        <f t="shared" ref="V2440:V2503" si="201">IF(K2440="METROPOLITANA DE SANTIAGO","METROPOLITANA","REGIONES")</f>
        <v>REGIONES</v>
      </c>
    </row>
    <row r="2441" spans="1:22" x14ac:dyDescent="0.2">
      <c r="A2441" s="11" t="s">
        <v>3040</v>
      </c>
      <c r="B2441" s="12" t="s">
        <v>33</v>
      </c>
      <c r="C2441" s="12" t="s">
        <v>36</v>
      </c>
      <c r="D2441" s="12" t="s">
        <v>80</v>
      </c>
      <c r="E2441" s="13" t="s">
        <v>81</v>
      </c>
      <c r="F2441" s="12" t="s">
        <v>1026</v>
      </c>
      <c r="G2441" s="14">
        <f>7535.6+5000</f>
        <v>12535.6</v>
      </c>
      <c r="H2441" s="12" t="s">
        <v>85</v>
      </c>
      <c r="I2441" s="12">
        <v>1</v>
      </c>
      <c r="J2441" s="12" t="s">
        <v>1026</v>
      </c>
      <c r="K2441" s="12" t="s">
        <v>408</v>
      </c>
      <c r="L2441" s="12">
        <v>0</v>
      </c>
      <c r="M2441" s="15">
        <v>600000</v>
      </c>
      <c r="N2441" s="15">
        <v>0</v>
      </c>
      <c r="O2441" s="15">
        <f t="shared" si="198"/>
        <v>600000</v>
      </c>
      <c r="P2441" s="15">
        <f t="shared" si="197"/>
        <v>47.86368422732059</v>
      </c>
      <c r="Q2441" s="14">
        <v>25000</v>
      </c>
      <c r="R2441" s="12">
        <v>30</v>
      </c>
      <c r="S2441" s="12" t="s">
        <v>3047</v>
      </c>
      <c r="T2441" s="22">
        <f t="shared" si="199"/>
        <v>6</v>
      </c>
      <c r="U2441" s="22">
        <f t="shared" si="200"/>
        <v>2021</v>
      </c>
      <c r="V2441" s="22" t="str">
        <f t="shared" si="201"/>
        <v>REGIONES</v>
      </c>
    </row>
    <row r="2442" spans="1:22" x14ac:dyDescent="0.2">
      <c r="A2442" s="11" t="s">
        <v>3040</v>
      </c>
      <c r="B2442" s="12" t="s">
        <v>33</v>
      </c>
      <c r="C2442" s="12" t="s">
        <v>36</v>
      </c>
      <c r="D2442" s="12" t="s">
        <v>786</v>
      </c>
      <c r="E2442" s="13" t="s">
        <v>1891</v>
      </c>
      <c r="F2442" s="12" t="s">
        <v>170</v>
      </c>
      <c r="G2442" s="14">
        <v>8321.1999999999989</v>
      </c>
      <c r="H2442" s="12" t="s">
        <v>788</v>
      </c>
      <c r="I2442" s="12">
        <v>1</v>
      </c>
      <c r="J2442" s="12" t="s">
        <v>170</v>
      </c>
      <c r="K2442" s="12" t="s">
        <v>171</v>
      </c>
      <c r="L2442" s="12">
        <v>0</v>
      </c>
      <c r="M2442" s="15">
        <v>230000</v>
      </c>
      <c r="N2442" s="15">
        <v>0</v>
      </c>
      <c r="O2442" s="15">
        <f t="shared" si="198"/>
        <v>230000</v>
      </c>
      <c r="P2442" s="15">
        <f t="shared" si="197"/>
        <v>27.640244195548721</v>
      </c>
      <c r="Q2442" s="14">
        <v>25000</v>
      </c>
      <c r="R2442" s="12">
        <v>33</v>
      </c>
      <c r="S2442" s="12" t="s">
        <v>3048</v>
      </c>
      <c r="T2442" s="22">
        <f t="shared" si="199"/>
        <v>6</v>
      </c>
      <c r="U2442" s="22">
        <f t="shared" si="200"/>
        <v>2021</v>
      </c>
      <c r="V2442" s="22" t="str">
        <f t="shared" si="201"/>
        <v>REGIONES</v>
      </c>
    </row>
    <row r="2443" spans="1:22" x14ac:dyDescent="0.2">
      <c r="A2443" s="11" t="s">
        <v>3040</v>
      </c>
      <c r="B2443" s="12" t="s">
        <v>33</v>
      </c>
      <c r="C2443" s="12" t="s">
        <v>29</v>
      </c>
      <c r="D2443" s="12" t="s">
        <v>38</v>
      </c>
      <c r="E2443" s="13" t="s">
        <v>42</v>
      </c>
      <c r="F2443" s="12" t="s">
        <v>39</v>
      </c>
      <c r="G2443" s="14">
        <v>5899.8000000000011</v>
      </c>
      <c r="H2443" s="12" t="s">
        <v>43</v>
      </c>
      <c r="I2443" s="12">
        <v>0</v>
      </c>
      <c r="J2443" s="12" t="s">
        <v>39</v>
      </c>
      <c r="K2443" s="12" t="s">
        <v>23</v>
      </c>
      <c r="L2443" s="12">
        <v>1</v>
      </c>
      <c r="M2443" s="15">
        <v>64898</v>
      </c>
      <c r="N2443" s="15">
        <v>0</v>
      </c>
      <c r="O2443" s="15">
        <f t="shared" si="198"/>
        <v>64898</v>
      </c>
      <c r="P2443" s="15">
        <f t="shared" si="197"/>
        <v>11.000033899454216</v>
      </c>
      <c r="Q2443" s="14">
        <v>5000</v>
      </c>
      <c r="R2443" s="12">
        <v>100</v>
      </c>
      <c r="S2443" s="12" t="s">
        <v>3049</v>
      </c>
      <c r="T2443" s="22">
        <f t="shared" si="199"/>
        <v>6</v>
      </c>
      <c r="U2443" s="22">
        <f t="shared" si="200"/>
        <v>2021</v>
      </c>
      <c r="V2443" s="22" t="str">
        <f t="shared" si="201"/>
        <v>METROPOLITANA</v>
      </c>
    </row>
    <row r="2444" spans="1:22" x14ac:dyDescent="0.2">
      <c r="A2444" s="11" t="s">
        <v>3040</v>
      </c>
      <c r="B2444" s="12" t="s">
        <v>33</v>
      </c>
      <c r="C2444" s="12" t="s">
        <v>29</v>
      </c>
      <c r="D2444" s="12" t="s">
        <v>41</v>
      </c>
      <c r="E2444" s="13" t="s">
        <v>25</v>
      </c>
      <c r="F2444" s="12" t="s">
        <v>39</v>
      </c>
      <c r="G2444" s="14">
        <v>5899.8000000000011</v>
      </c>
      <c r="H2444" s="12" t="s">
        <v>43</v>
      </c>
      <c r="I2444" s="12">
        <v>0</v>
      </c>
      <c r="J2444" s="12" t="s">
        <v>39</v>
      </c>
      <c r="K2444" s="12" t="s">
        <v>23</v>
      </c>
      <c r="L2444" s="12">
        <v>1</v>
      </c>
      <c r="M2444" s="15">
        <v>64898</v>
      </c>
      <c r="N2444" s="15">
        <v>0</v>
      </c>
      <c r="O2444" s="15">
        <f t="shared" si="198"/>
        <v>64898</v>
      </c>
      <c r="P2444" s="15">
        <f t="shared" si="197"/>
        <v>11.000033899454216</v>
      </c>
      <c r="Q2444" s="14">
        <v>5000</v>
      </c>
      <c r="R2444" s="12">
        <v>100</v>
      </c>
      <c r="S2444" s="12" t="s">
        <v>3050</v>
      </c>
      <c r="T2444" s="22">
        <f t="shared" si="199"/>
        <v>6</v>
      </c>
      <c r="U2444" s="22">
        <f t="shared" si="200"/>
        <v>2021</v>
      </c>
      <c r="V2444" s="22" t="str">
        <f t="shared" si="201"/>
        <v>METROPOLITANA</v>
      </c>
    </row>
    <row r="2445" spans="1:22" x14ac:dyDescent="0.2">
      <c r="A2445" s="11" t="s">
        <v>3040</v>
      </c>
      <c r="B2445" s="12" t="s">
        <v>33</v>
      </c>
      <c r="C2445" s="12" t="s">
        <v>44</v>
      </c>
      <c r="D2445" s="12" t="s">
        <v>56</v>
      </c>
      <c r="E2445" s="13" t="s">
        <v>52</v>
      </c>
      <c r="F2445" s="12" t="s">
        <v>129</v>
      </c>
      <c r="G2445" s="14">
        <v>7050.6000000000022</v>
      </c>
      <c r="H2445" s="12" t="s">
        <v>22</v>
      </c>
      <c r="I2445" s="12">
        <v>0</v>
      </c>
      <c r="J2445" s="12" t="s">
        <v>129</v>
      </c>
      <c r="K2445" s="12" t="s">
        <v>23</v>
      </c>
      <c r="L2445" s="12">
        <v>1</v>
      </c>
      <c r="M2445" s="15">
        <v>77557</v>
      </c>
      <c r="N2445" s="15">
        <v>0</v>
      </c>
      <c r="O2445" s="15">
        <f t="shared" si="198"/>
        <v>77557</v>
      </c>
      <c r="P2445" s="15">
        <f t="shared" si="197"/>
        <v>11.00005673276033</v>
      </c>
      <c r="Q2445" s="14">
        <v>5000</v>
      </c>
      <c r="R2445" s="12">
        <v>100</v>
      </c>
      <c r="S2445" s="12" t="s">
        <v>3051</v>
      </c>
      <c r="T2445" s="22">
        <f t="shared" si="199"/>
        <v>6</v>
      </c>
      <c r="U2445" s="22">
        <f t="shared" si="200"/>
        <v>2021</v>
      </c>
      <c r="V2445" s="22" t="str">
        <f t="shared" si="201"/>
        <v>METROPOLITANA</v>
      </c>
    </row>
    <row r="2446" spans="1:22" x14ac:dyDescent="0.2">
      <c r="A2446" s="11" t="s">
        <v>3040</v>
      </c>
      <c r="B2446" s="12" t="s">
        <v>33</v>
      </c>
      <c r="C2446" s="12" t="s">
        <v>44</v>
      </c>
      <c r="D2446" s="12" t="s">
        <v>61</v>
      </c>
      <c r="E2446" s="13" t="s">
        <v>62</v>
      </c>
      <c r="F2446" s="12" t="s">
        <v>114</v>
      </c>
      <c r="G2446" s="14">
        <v>15132.500000000009</v>
      </c>
      <c r="H2446" s="12" t="s">
        <v>85</v>
      </c>
      <c r="I2446" s="12">
        <v>1</v>
      </c>
      <c r="J2446" s="12" t="s">
        <v>114</v>
      </c>
      <c r="K2446" s="12" t="s">
        <v>75</v>
      </c>
      <c r="L2446" s="12">
        <v>0</v>
      </c>
      <c r="M2446" s="15">
        <v>380000</v>
      </c>
      <c r="N2446" s="15">
        <v>0</v>
      </c>
      <c r="O2446" s="15">
        <f t="shared" si="198"/>
        <v>380000</v>
      </c>
      <c r="P2446" s="15">
        <f t="shared" si="197"/>
        <v>25.111514951263821</v>
      </c>
      <c r="Q2446" s="14">
        <v>25000</v>
      </c>
      <c r="R2446" s="12">
        <v>61</v>
      </c>
      <c r="S2446" s="12" t="s">
        <v>3052</v>
      </c>
      <c r="T2446" s="22">
        <f t="shared" si="199"/>
        <v>6</v>
      </c>
      <c r="U2446" s="22">
        <f t="shared" si="200"/>
        <v>2021</v>
      </c>
      <c r="V2446" s="22" t="str">
        <f t="shared" si="201"/>
        <v>REGIONES</v>
      </c>
    </row>
    <row r="2447" spans="1:22" x14ac:dyDescent="0.2">
      <c r="A2447" s="11" t="s">
        <v>3040</v>
      </c>
      <c r="B2447" s="12" t="s">
        <v>33</v>
      </c>
      <c r="C2447" s="12" t="s">
        <v>44</v>
      </c>
      <c r="D2447" s="12" t="s">
        <v>45</v>
      </c>
      <c r="E2447" s="13" t="s">
        <v>28</v>
      </c>
      <c r="F2447" s="12" t="s">
        <v>95</v>
      </c>
      <c r="G2447" s="14">
        <v>5547.1999999999989</v>
      </c>
      <c r="H2447" s="12" t="s">
        <v>22</v>
      </c>
      <c r="I2447" s="12">
        <v>0</v>
      </c>
      <c r="J2447" s="12" t="s">
        <v>95</v>
      </c>
      <c r="K2447" s="12" t="s">
        <v>23</v>
      </c>
      <c r="L2447" s="12">
        <v>4</v>
      </c>
      <c r="M2447" s="15">
        <v>61019</v>
      </c>
      <c r="N2447" s="15">
        <v>0</v>
      </c>
      <c r="O2447" s="15">
        <f t="shared" si="198"/>
        <v>61019</v>
      </c>
      <c r="P2447" s="15">
        <f t="shared" si="197"/>
        <v>10.999963945774446</v>
      </c>
      <c r="Q2447" s="14">
        <v>5000</v>
      </c>
      <c r="R2447" s="12">
        <v>100</v>
      </c>
      <c r="S2447" s="12" t="s">
        <v>3053</v>
      </c>
      <c r="T2447" s="22">
        <f t="shared" si="199"/>
        <v>6</v>
      </c>
      <c r="U2447" s="22">
        <f t="shared" si="200"/>
        <v>2021</v>
      </c>
      <c r="V2447" s="22" t="str">
        <f t="shared" si="201"/>
        <v>METROPOLITANA</v>
      </c>
    </row>
    <row r="2448" spans="1:22" x14ac:dyDescent="0.2">
      <c r="A2448" s="11" t="s">
        <v>3040</v>
      </c>
      <c r="B2448" s="12" t="s">
        <v>33</v>
      </c>
      <c r="C2448" s="12" t="s">
        <v>44</v>
      </c>
      <c r="D2448" s="12" t="s">
        <v>47</v>
      </c>
      <c r="E2448" s="13" t="s">
        <v>1576</v>
      </c>
      <c r="F2448" s="12" t="s">
        <v>48</v>
      </c>
      <c r="G2448" s="14">
        <v>8744.2000000000025</v>
      </c>
      <c r="H2448" s="12" t="s">
        <v>22</v>
      </c>
      <c r="I2448" s="12">
        <v>0</v>
      </c>
      <c r="J2448" s="12" t="s">
        <v>48</v>
      </c>
      <c r="K2448" s="12" t="s">
        <v>23</v>
      </c>
      <c r="L2448" s="12">
        <v>1</v>
      </c>
      <c r="M2448" s="15">
        <v>96186</v>
      </c>
      <c r="N2448" s="15">
        <v>0</v>
      </c>
      <c r="O2448" s="15">
        <f t="shared" si="198"/>
        <v>96186</v>
      </c>
      <c r="P2448" s="15">
        <f t="shared" si="197"/>
        <v>10.99997712769607</v>
      </c>
      <c r="Q2448" s="14">
        <v>5000</v>
      </c>
      <c r="R2448" s="12">
        <v>100</v>
      </c>
      <c r="S2448" s="12" t="s">
        <v>3054</v>
      </c>
      <c r="T2448" s="22">
        <f t="shared" si="199"/>
        <v>6</v>
      </c>
      <c r="U2448" s="22">
        <f t="shared" si="200"/>
        <v>2021</v>
      </c>
      <c r="V2448" s="22" t="str">
        <f t="shared" si="201"/>
        <v>METROPOLITANA</v>
      </c>
    </row>
    <row r="2449" spans="1:22" x14ac:dyDescent="0.2">
      <c r="A2449" s="11" t="s">
        <v>3040</v>
      </c>
      <c r="B2449" s="12" t="s">
        <v>33</v>
      </c>
      <c r="C2449" s="12" t="s">
        <v>44</v>
      </c>
      <c r="D2449" s="12" t="s">
        <v>35</v>
      </c>
      <c r="E2449" s="13" t="s">
        <v>21</v>
      </c>
      <c r="F2449" s="12" t="s">
        <v>26</v>
      </c>
      <c r="G2449" s="14">
        <v>3512.4</v>
      </c>
      <c r="H2449" s="12" t="s">
        <v>22</v>
      </c>
      <c r="I2449" s="12">
        <v>0</v>
      </c>
      <c r="J2449" s="12" t="s">
        <v>26</v>
      </c>
      <c r="K2449" s="12" t="s">
        <v>23</v>
      </c>
      <c r="L2449" s="12">
        <v>4</v>
      </c>
      <c r="M2449" s="15">
        <v>55000</v>
      </c>
      <c r="N2449" s="15">
        <v>0</v>
      </c>
      <c r="O2449" s="15">
        <f t="shared" si="198"/>
        <v>55000</v>
      </c>
      <c r="P2449" s="15">
        <f t="shared" si="197"/>
        <v>15.658808791709372</v>
      </c>
      <c r="Q2449" s="14">
        <v>5000</v>
      </c>
      <c r="R2449" s="12">
        <v>70</v>
      </c>
      <c r="S2449" s="12" t="s">
        <v>3055</v>
      </c>
      <c r="T2449" s="22">
        <f t="shared" si="199"/>
        <v>6</v>
      </c>
      <c r="U2449" s="22">
        <f t="shared" si="200"/>
        <v>2021</v>
      </c>
      <c r="V2449" s="22" t="str">
        <f t="shared" si="201"/>
        <v>METROPOLITANA</v>
      </c>
    </row>
    <row r="2450" spans="1:22" x14ac:dyDescent="0.2">
      <c r="A2450" s="11" t="s">
        <v>3040</v>
      </c>
      <c r="B2450" s="12" t="s">
        <v>33</v>
      </c>
      <c r="C2450" s="12" t="s">
        <v>1163</v>
      </c>
      <c r="D2450" s="12" t="s">
        <v>30</v>
      </c>
      <c r="E2450" s="13" t="s">
        <v>31</v>
      </c>
      <c r="F2450" s="12" t="s">
        <v>1166</v>
      </c>
      <c r="G2450" s="14">
        <v>6943.9999999999973</v>
      </c>
      <c r="H2450" s="12" t="s">
        <v>32</v>
      </c>
      <c r="I2450" s="12">
        <v>0</v>
      </c>
      <c r="J2450" s="12" t="s">
        <v>1166</v>
      </c>
      <c r="K2450" s="12" t="s">
        <v>23</v>
      </c>
      <c r="L2450" s="12">
        <v>5</v>
      </c>
      <c r="M2450" s="15">
        <v>90000</v>
      </c>
      <c r="N2450" s="15">
        <v>0</v>
      </c>
      <c r="O2450" s="15">
        <f t="shared" si="198"/>
        <v>90000</v>
      </c>
      <c r="P2450" s="15">
        <f t="shared" si="197"/>
        <v>12.960829493087562</v>
      </c>
      <c r="Q2450" s="14">
        <v>10000</v>
      </c>
      <c r="R2450" s="12">
        <v>69</v>
      </c>
      <c r="S2450" s="12" t="s">
        <v>3056</v>
      </c>
      <c r="T2450" s="22">
        <f t="shared" si="199"/>
        <v>6</v>
      </c>
      <c r="U2450" s="22">
        <f t="shared" si="200"/>
        <v>2021</v>
      </c>
      <c r="V2450" s="22" t="str">
        <f t="shared" si="201"/>
        <v>METROPOLITANA</v>
      </c>
    </row>
    <row r="2451" spans="1:22" x14ac:dyDescent="0.2">
      <c r="A2451" s="23" t="s">
        <v>3058</v>
      </c>
      <c r="B2451" s="22" t="s">
        <v>18</v>
      </c>
      <c r="C2451" s="22" t="s">
        <v>1997</v>
      </c>
      <c r="D2451" s="22" t="s">
        <v>63</v>
      </c>
      <c r="E2451" s="24" t="s">
        <v>64</v>
      </c>
      <c r="F2451" s="22" t="s">
        <v>58</v>
      </c>
      <c r="G2451" s="25">
        <v>10597.09</v>
      </c>
      <c r="H2451" s="22" t="s">
        <v>65</v>
      </c>
      <c r="I2451" s="22">
        <v>0</v>
      </c>
      <c r="J2451" s="22" t="s">
        <v>58</v>
      </c>
      <c r="K2451" s="22" t="s">
        <v>23</v>
      </c>
      <c r="L2451" s="22">
        <v>5</v>
      </c>
      <c r="M2451" s="26">
        <f>G2451*11</f>
        <v>116567.99</v>
      </c>
      <c r="N2451" s="26">
        <v>0</v>
      </c>
      <c r="O2451" s="15">
        <f t="shared" si="198"/>
        <v>116567.99</v>
      </c>
      <c r="P2451" s="15">
        <f t="shared" si="197"/>
        <v>11</v>
      </c>
      <c r="Q2451" s="25">
        <v>10000</v>
      </c>
      <c r="R2451" s="22">
        <v>100</v>
      </c>
      <c r="S2451" s="22" t="s">
        <v>3059</v>
      </c>
      <c r="T2451" s="22">
        <f t="shared" si="199"/>
        <v>6</v>
      </c>
      <c r="U2451" s="22">
        <f t="shared" si="200"/>
        <v>2021</v>
      </c>
      <c r="V2451" s="22" t="str">
        <f t="shared" si="201"/>
        <v>METROPOLITANA</v>
      </c>
    </row>
    <row r="2452" spans="1:22" x14ac:dyDescent="0.2">
      <c r="A2452" s="23" t="s">
        <v>3058</v>
      </c>
      <c r="B2452" s="22" t="s">
        <v>18</v>
      </c>
      <c r="C2452" s="22" t="s">
        <v>3060</v>
      </c>
      <c r="D2452" s="22" t="s">
        <v>37</v>
      </c>
      <c r="E2452" s="24" t="s">
        <v>40</v>
      </c>
      <c r="F2452" s="22" t="s">
        <v>58</v>
      </c>
      <c r="G2452" s="25">
        <v>8964.4499999999971</v>
      </c>
      <c r="H2452" s="22" t="s">
        <v>22</v>
      </c>
      <c r="I2452" s="22">
        <v>0</v>
      </c>
      <c r="J2452" s="22" t="s">
        <v>58</v>
      </c>
      <c r="K2452" s="22" t="s">
        <v>23</v>
      </c>
      <c r="L2452" s="22">
        <v>5</v>
      </c>
      <c r="M2452" s="26">
        <v>70000</v>
      </c>
      <c r="N2452" s="26">
        <v>0</v>
      </c>
      <c r="O2452" s="15">
        <f>G2452*11</f>
        <v>98608.949999999968</v>
      </c>
      <c r="P2452" s="15">
        <f t="shared" si="197"/>
        <v>11</v>
      </c>
      <c r="Q2452" s="25">
        <v>10000</v>
      </c>
      <c r="R2452" s="22">
        <v>90</v>
      </c>
      <c r="S2452" s="22" t="s">
        <v>3061</v>
      </c>
      <c r="T2452" s="22">
        <f t="shared" si="199"/>
        <v>6</v>
      </c>
      <c r="U2452" s="22">
        <f t="shared" si="200"/>
        <v>2021</v>
      </c>
      <c r="V2452" s="22" t="str">
        <f t="shared" si="201"/>
        <v>METROPOLITANA</v>
      </c>
    </row>
    <row r="2453" spans="1:22" x14ac:dyDescent="0.2">
      <c r="A2453" s="23" t="s">
        <v>3058</v>
      </c>
      <c r="B2453" s="22" t="s">
        <v>18</v>
      </c>
      <c r="C2453" s="22" t="s">
        <v>163</v>
      </c>
      <c r="D2453" s="22" t="s">
        <v>38</v>
      </c>
      <c r="E2453" s="24" t="s">
        <v>25</v>
      </c>
      <c r="F2453" s="22" t="s">
        <v>165</v>
      </c>
      <c r="G2453" s="25">
        <v>9717.1200000000008</v>
      </c>
      <c r="H2453" s="22" t="s">
        <v>43</v>
      </c>
      <c r="I2453" s="22">
        <v>0</v>
      </c>
      <c r="J2453" s="22" t="s">
        <v>165</v>
      </c>
      <c r="K2453" s="22" t="s">
        <v>23</v>
      </c>
      <c r="L2453" s="22">
        <v>4</v>
      </c>
      <c r="M2453" s="26">
        <v>106888</v>
      </c>
      <c r="N2453" s="26">
        <v>0</v>
      </c>
      <c r="O2453" s="15">
        <f t="shared" ref="O2453:O2466" si="202">SUM(M2453:N2453)</f>
        <v>106888</v>
      </c>
      <c r="P2453" s="15">
        <f t="shared" si="197"/>
        <v>10.999967068431797</v>
      </c>
      <c r="Q2453" s="25">
        <v>5000</v>
      </c>
      <c r="R2453" s="22">
        <v>100</v>
      </c>
      <c r="S2453" s="22" t="s">
        <v>3062</v>
      </c>
      <c r="T2453" s="22">
        <f t="shared" si="199"/>
        <v>6</v>
      </c>
      <c r="U2453" s="22">
        <f t="shared" si="200"/>
        <v>2021</v>
      </c>
      <c r="V2453" s="22" t="str">
        <f t="shared" si="201"/>
        <v>METROPOLITANA</v>
      </c>
    </row>
    <row r="2454" spans="1:22" x14ac:dyDescent="0.2">
      <c r="A2454" s="23" t="s">
        <v>3058</v>
      </c>
      <c r="B2454" s="22" t="s">
        <v>18</v>
      </c>
      <c r="C2454" s="22" t="s">
        <v>163</v>
      </c>
      <c r="D2454" s="22" t="s">
        <v>41</v>
      </c>
      <c r="E2454" s="24" t="s">
        <v>25</v>
      </c>
      <c r="F2454" s="22" t="s">
        <v>165</v>
      </c>
      <c r="G2454" s="25">
        <f>5128.48+691</f>
        <v>5819.48</v>
      </c>
      <c r="H2454" s="22" t="s">
        <v>43</v>
      </c>
      <c r="I2454" s="22">
        <v>0</v>
      </c>
      <c r="J2454" s="22" t="s">
        <v>165</v>
      </c>
      <c r="K2454" s="22" t="s">
        <v>23</v>
      </c>
      <c r="L2454" s="22">
        <v>4</v>
      </c>
      <c r="M2454" s="26">
        <v>56413</v>
      </c>
      <c r="N2454" s="26">
        <v>0</v>
      </c>
      <c r="O2454" s="15">
        <f t="shared" si="202"/>
        <v>56413</v>
      </c>
      <c r="P2454" s="15">
        <f t="shared" si="197"/>
        <v>9.6938214410909573</v>
      </c>
      <c r="Q2454" s="25">
        <v>5000</v>
      </c>
      <c r="R2454" s="22">
        <v>100</v>
      </c>
      <c r="S2454" s="22" t="s">
        <v>3075</v>
      </c>
      <c r="T2454" s="22">
        <f t="shared" si="199"/>
        <v>6</v>
      </c>
      <c r="U2454" s="22">
        <f t="shared" si="200"/>
        <v>2021</v>
      </c>
      <c r="V2454" s="22" t="str">
        <f t="shared" si="201"/>
        <v>METROPOLITANA</v>
      </c>
    </row>
    <row r="2455" spans="1:22" x14ac:dyDescent="0.2">
      <c r="A2455" s="23" t="s">
        <v>3058</v>
      </c>
      <c r="B2455" s="22" t="s">
        <v>18</v>
      </c>
      <c r="C2455" s="22" t="s">
        <v>3044</v>
      </c>
      <c r="D2455" s="22" t="s">
        <v>41</v>
      </c>
      <c r="E2455" s="24" t="s">
        <v>25</v>
      </c>
      <c r="F2455" s="22" t="s">
        <v>67</v>
      </c>
      <c r="G2455" s="25">
        <v>7240.3200000000024</v>
      </c>
      <c r="H2455" s="22" t="s">
        <v>43</v>
      </c>
      <c r="I2455" s="22">
        <v>0</v>
      </c>
      <c r="J2455" s="22" t="s">
        <v>67</v>
      </c>
      <c r="K2455" s="22" t="s">
        <v>23</v>
      </c>
      <c r="L2455" s="22">
        <v>2</v>
      </c>
      <c r="M2455" s="26">
        <v>79644</v>
      </c>
      <c r="N2455" s="26">
        <v>0</v>
      </c>
      <c r="O2455" s="15">
        <f t="shared" si="202"/>
        <v>79644</v>
      </c>
      <c r="P2455" s="15">
        <f t="shared" si="197"/>
        <v>11.000066295412354</v>
      </c>
      <c r="Q2455" s="25">
        <v>5000</v>
      </c>
      <c r="R2455" s="22">
        <v>100</v>
      </c>
      <c r="S2455" s="22" t="s">
        <v>3063</v>
      </c>
      <c r="T2455" s="22">
        <f t="shared" si="199"/>
        <v>6</v>
      </c>
      <c r="U2455" s="22">
        <f t="shared" si="200"/>
        <v>2021</v>
      </c>
      <c r="V2455" s="22" t="str">
        <f t="shared" si="201"/>
        <v>METROPOLITANA</v>
      </c>
    </row>
    <row r="2456" spans="1:22" x14ac:dyDescent="0.2">
      <c r="A2456" s="23" t="s">
        <v>3058</v>
      </c>
      <c r="B2456" s="22" t="s">
        <v>18</v>
      </c>
      <c r="C2456" s="22" t="s">
        <v>87</v>
      </c>
      <c r="D2456" s="22" t="s">
        <v>47</v>
      </c>
      <c r="E2456" s="24" t="s">
        <v>1576</v>
      </c>
      <c r="F2456" s="22" t="s">
        <v>51</v>
      </c>
      <c r="G2456" s="25">
        <v>14807</v>
      </c>
      <c r="H2456" s="22" t="s">
        <v>22</v>
      </c>
      <c r="I2456" s="22">
        <v>0</v>
      </c>
      <c r="J2456" s="22" t="s">
        <v>51</v>
      </c>
      <c r="K2456" s="22" t="s">
        <v>23</v>
      </c>
      <c r="L2456" s="22">
        <v>4</v>
      </c>
      <c r="M2456" s="26">
        <v>162877</v>
      </c>
      <c r="N2456" s="26">
        <v>0</v>
      </c>
      <c r="O2456" s="15">
        <f t="shared" si="202"/>
        <v>162877</v>
      </c>
      <c r="P2456" s="15">
        <f t="shared" si="197"/>
        <v>11</v>
      </c>
      <c r="Q2456" s="25">
        <v>5000</v>
      </c>
      <c r="R2456" s="22">
        <v>100</v>
      </c>
      <c r="S2456" s="22" t="s">
        <v>3064</v>
      </c>
      <c r="T2456" s="22">
        <f t="shared" si="199"/>
        <v>6</v>
      </c>
      <c r="U2456" s="22">
        <f t="shared" si="200"/>
        <v>2021</v>
      </c>
      <c r="V2456" s="22" t="str">
        <f t="shared" si="201"/>
        <v>METROPOLITANA</v>
      </c>
    </row>
    <row r="2457" spans="1:22" x14ac:dyDescent="0.2">
      <c r="A2457" s="23" t="s">
        <v>3058</v>
      </c>
      <c r="B2457" s="22" t="s">
        <v>18</v>
      </c>
      <c r="C2457" s="22" t="s">
        <v>508</v>
      </c>
      <c r="D2457" s="22" t="s">
        <v>20</v>
      </c>
      <c r="E2457" s="24" t="s">
        <v>21</v>
      </c>
      <c r="F2457" s="22" t="s">
        <v>58</v>
      </c>
      <c r="G2457" s="25">
        <v>6612.9</v>
      </c>
      <c r="H2457" s="22" t="s">
        <v>22</v>
      </c>
      <c r="I2457" s="22">
        <v>0</v>
      </c>
      <c r="J2457" s="22" t="s">
        <v>58</v>
      </c>
      <c r="K2457" s="22" t="s">
        <v>23</v>
      </c>
      <c r="L2457" s="22">
        <v>5</v>
      </c>
      <c r="M2457" s="26">
        <v>70000</v>
      </c>
      <c r="N2457" s="26">
        <v>0</v>
      </c>
      <c r="O2457" s="15">
        <f t="shared" si="202"/>
        <v>70000</v>
      </c>
      <c r="P2457" s="15">
        <f t="shared" si="197"/>
        <v>10.585371017254156</v>
      </c>
      <c r="Q2457" s="25">
        <v>10000</v>
      </c>
      <c r="R2457" s="22">
        <v>66</v>
      </c>
      <c r="S2457" s="22" t="s">
        <v>3065</v>
      </c>
      <c r="T2457" s="22">
        <f t="shared" si="199"/>
        <v>6</v>
      </c>
      <c r="U2457" s="22">
        <f t="shared" si="200"/>
        <v>2021</v>
      </c>
      <c r="V2457" s="22" t="str">
        <f t="shared" si="201"/>
        <v>METROPOLITANA</v>
      </c>
    </row>
    <row r="2458" spans="1:22" x14ac:dyDescent="0.2">
      <c r="A2458" s="23" t="s">
        <v>3058</v>
      </c>
      <c r="B2458" s="22" t="s">
        <v>33</v>
      </c>
      <c r="C2458" s="22" t="s">
        <v>500</v>
      </c>
      <c r="D2458" s="22" t="s">
        <v>2955</v>
      </c>
      <c r="E2458" s="24" t="s">
        <v>2956</v>
      </c>
      <c r="F2458" s="22" t="s">
        <v>120</v>
      </c>
      <c r="G2458" s="25">
        <v>13999.05</v>
      </c>
      <c r="H2458" s="22" t="s">
        <v>24</v>
      </c>
      <c r="I2458" s="22">
        <v>1</v>
      </c>
      <c r="J2458" s="22" t="s">
        <v>120</v>
      </c>
      <c r="K2458" s="22" t="s">
        <v>23</v>
      </c>
      <c r="L2458" s="22">
        <v>5</v>
      </c>
      <c r="M2458" s="26">
        <v>120000</v>
      </c>
      <c r="N2458" s="26">
        <v>0</v>
      </c>
      <c r="O2458" s="15">
        <f t="shared" si="202"/>
        <v>120000</v>
      </c>
      <c r="P2458" s="15">
        <f t="shared" si="197"/>
        <v>8.5720102435522421</v>
      </c>
      <c r="Q2458" s="25">
        <v>10000</v>
      </c>
      <c r="R2458" s="22">
        <v>100</v>
      </c>
      <c r="S2458" s="22" t="s">
        <v>3066</v>
      </c>
      <c r="T2458" s="22">
        <f t="shared" si="199"/>
        <v>6</v>
      </c>
      <c r="U2458" s="22">
        <f t="shared" si="200"/>
        <v>2021</v>
      </c>
      <c r="V2458" s="22" t="str">
        <f t="shared" si="201"/>
        <v>METROPOLITANA</v>
      </c>
    </row>
    <row r="2459" spans="1:22" x14ac:dyDescent="0.2">
      <c r="A2459" s="23" t="s">
        <v>3058</v>
      </c>
      <c r="B2459" s="22" t="s">
        <v>33</v>
      </c>
      <c r="C2459" s="22" t="s">
        <v>128</v>
      </c>
      <c r="D2459" s="22" t="s">
        <v>30</v>
      </c>
      <c r="E2459" s="24" t="s">
        <v>31</v>
      </c>
      <c r="F2459" s="22" t="s">
        <v>34</v>
      </c>
      <c r="G2459" s="25">
        <v>10353</v>
      </c>
      <c r="H2459" s="22" t="s">
        <v>32</v>
      </c>
      <c r="I2459" s="22">
        <v>0</v>
      </c>
      <c r="J2459" s="22" t="s">
        <v>34</v>
      </c>
      <c r="K2459" s="22" t="s">
        <v>23</v>
      </c>
      <c r="L2459" s="22">
        <v>1</v>
      </c>
      <c r="M2459" s="26">
        <v>113883</v>
      </c>
      <c r="N2459" s="26">
        <v>0</v>
      </c>
      <c r="O2459" s="15">
        <f t="shared" si="202"/>
        <v>113883</v>
      </c>
      <c r="P2459" s="15">
        <f t="shared" si="197"/>
        <v>11</v>
      </c>
      <c r="Q2459" s="25">
        <v>5000</v>
      </c>
      <c r="R2459" s="22">
        <v>100</v>
      </c>
      <c r="S2459" s="22" t="s">
        <v>3067</v>
      </c>
      <c r="T2459" s="22">
        <f t="shared" si="199"/>
        <v>6</v>
      </c>
      <c r="U2459" s="22">
        <f t="shared" si="200"/>
        <v>2021</v>
      </c>
      <c r="V2459" s="22" t="str">
        <f t="shared" si="201"/>
        <v>METROPOLITANA</v>
      </c>
    </row>
    <row r="2460" spans="1:22" x14ac:dyDescent="0.2">
      <c r="A2460" s="23" t="s">
        <v>3058</v>
      </c>
      <c r="B2460" s="22" t="s">
        <v>33</v>
      </c>
      <c r="C2460" s="22" t="s">
        <v>29</v>
      </c>
      <c r="D2460" s="22" t="s">
        <v>38</v>
      </c>
      <c r="E2460" s="24" t="s">
        <v>42</v>
      </c>
      <c r="F2460" s="22" t="s">
        <v>39</v>
      </c>
      <c r="G2460" s="25">
        <v>5899.8000000000011</v>
      </c>
      <c r="H2460" s="22" t="s">
        <v>43</v>
      </c>
      <c r="I2460" s="22">
        <v>0</v>
      </c>
      <c r="J2460" s="22" t="s">
        <v>39</v>
      </c>
      <c r="K2460" s="22" t="s">
        <v>23</v>
      </c>
      <c r="L2460" s="22">
        <v>1</v>
      </c>
      <c r="M2460" s="26">
        <v>64898</v>
      </c>
      <c r="N2460" s="26">
        <v>0</v>
      </c>
      <c r="O2460" s="15">
        <f t="shared" si="202"/>
        <v>64898</v>
      </c>
      <c r="P2460" s="15">
        <f t="shared" si="197"/>
        <v>11.000033899454216</v>
      </c>
      <c r="Q2460" s="25">
        <v>5000</v>
      </c>
      <c r="R2460" s="22">
        <v>100</v>
      </c>
      <c r="S2460" s="22" t="s">
        <v>3068</v>
      </c>
      <c r="T2460" s="22">
        <f t="shared" si="199"/>
        <v>6</v>
      </c>
      <c r="U2460" s="22">
        <f t="shared" si="200"/>
        <v>2021</v>
      </c>
      <c r="V2460" s="22" t="str">
        <f t="shared" si="201"/>
        <v>METROPOLITANA</v>
      </c>
    </row>
    <row r="2461" spans="1:22" x14ac:dyDescent="0.2">
      <c r="A2461" s="23" t="s">
        <v>3058</v>
      </c>
      <c r="B2461" s="22" t="s">
        <v>33</v>
      </c>
      <c r="C2461" s="22" t="s">
        <v>29</v>
      </c>
      <c r="D2461" s="22" t="s">
        <v>867</v>
      </c>
      <c r="E2461" s="24" t="s">
        <v>868</v>
      </c>
      <c r="F2461" s="22" t="s">
        <v>132</v>
      </c>
      <c r="G2461" s="25">
        <v>15148.79999999999</v>
      </c>
      <c r="H2461" s="22" t="s">
        <v>85</v>
      </c>
      <c r="I2461" s="22">
        <v>1</v>
      </c>
      <c r="J2461" s="22" t="s">
        <v>132</v>
      </c>
      <c r="K2461" s="22" t="s">
        <v>124</v>
      </c>
      <c r="L2461" s="22">
        <v>0</v>
      </c>
      <c r="M2461" s="26">
        <v>350000</v>
      </c>
      <c r="N2461" s="26">
        <v>0</v>
      </c>
      <c r="O2461" s="15">
        <f t="shared" si="202"/>
        <v>350000</v>
      </c>
      <c r="P2461" s="15">
        <f t="shared" si="197"/>
        <v>23.104140261934955</v>
      </c>
      <c r="Q2461" s="25">
        <v>25000</v>
      </c>
      <c r="R2461" s="22">
        <v>61</v>
      </c>
      <c r="S2461" s="22" t="s">
        <v>3069</v>
      </c>
      <c r="T2461" s="22">
        <f t="shared" si="199"/>
        <v>6</v>
      </c>
      <c r="U2461" s="22">
        <f t="shared" si="200"/>
        <v>2021</v>
      </c>
      <c r="V2461" s="22" t="str">
        <f t="shared" si="201"/>
        <v>REGIONES</v>
      </c>
    </row>
    <row r="2462" spans="1:22" x14ac:dyDescent="0.2">
      <c r="A2462" s="23" t="s">
        <v>3058</v>
      </c>
      <c r="B2462" s="22" t="s">
        <v>33</v>
      </c>
      <c r="C2462" s="22" t="s">
        <v>29</v>
      </c>
      <c r="D2462" s="22" t="s">
        <v>41</v>
      </c>
      <c r="E2462" s="24" t="s">
        <v>25</v>
      </c>
      <c r="F2462" s="22" t="s">
        <v>39</v>
      </c>
      <c r="G2462" s="25">
        <v>5899.8000000000011</v>
      </c>
      <c r="H2462" s="22" t="s">
        <v>43</v>
      </c>
      <c r="I2462" s="22">
        <v>0</v>
      </c>
      <c r="J2462" s="22" t="s">
        <v>39</v>
      </c>
      <c r="K2462" s="22" t="s">
        <v>23</v>
      </c>
      <c r="L2462" s="22">
        <v>1</v>
      </c>
      <c r="M2462" s="26">
        <v>64898</v>
      </c>
      <c r="N2462" s="26">
        <v>0</v>
      </c>
      <c r="O2462" s="15">
        <f t="shared" si="202"/>
        <v>64898</v>
      </c>
      <c r="P2462" s="15">
        <f t="shared" si="197"/>
        <v>11.000033899454216</v>
      </c>
      <c r="Q2462" s="25">
        <v>5000</v>
      </c>
      <c r="R2462" s="22">
        <v>100</v>
      </c>
      <c r="S2462" s="22" t="s">
        <v>3070</v>
      </c>
      <c r="T2462" s="22">
        <f t="shared" si="199"/>
        <v>6</v>
      </c>
      <c r="U2462" s="22">
        <f t="shared" si="200"/>
        <v>2021</v>
      </c>
      <c r="V2462" s="22" t="str">
        <f t="shared" si="201"/>
        <v>METROPOLITANA</v>
      </c>
    </row>
    <row r="2463" spans="1:22" x14ac:dyDescent="0.2">
      <c r="A2463" s="23" t="s">
        <v>3058</v>
      </c>
      <c r="B2463" s="22" t="s">
        <v>33</v>
      </c>
      <c r="C2463" s="22" t="s">
        <v>44</v>
      </c>
      <c r="D2463" s="22" t="s">
        <v>56</v>
      </c>
      <c r="E2463" s="24" t="s">
        <v>28</v>
      </c>
      <c r="F2463" s="22" t="s">
        <v>51</v>
      </c>
      <c r="G2463" s="25">
        <v>4241.9000000000005</v>
      </c>
      <c r="H2463" s="22" t="s">
        <v>22</v>
      </c>
      <c r="I2463" s="22">
        <v>0</v>
      </c>
      <c r="J2463" s="22" t="s">
        <v>51</v>
      </c>
      <c r="K2463" s="22" t="s">
        <v>23</v>
      </c>
      <c r="L2463" s="22">
        <v>4</v>
      </c>
      <c r="M2463" s="26">
        <v>55000</v>
      </c>
      <c r="N2463" s="26">
        <v>0</v>
      </c>
      <c r="O2463" s="15">
        <f t="shared" si="202"/>
        <v>55000</v>
      </c>
      <c r="P2463" s="15">
        <f t="shared" si="197"/>
        <v>12.965887927579621</v>
      </c>
      <c r="Q2463" s="25">
        <v>5000</v>
      </c>
      <c r="R2463" s="22">
        <v>85</v>
      </c>
      <c r="S2463" s="22" t="s">
        <v>3071</v>
      </c>
      <c r="T2463" s="22">
        <f t="shared" si="199"/>
        <v>6</v>
      </c>
      <c r="U2463" s="22">
        <f t="shared" si="200"/>
        <v>2021</v>
      </c>
      <c r="V2463" s="22" t="str">
        <f t="shared" si="201"/>
        <v>METROPOLITANA</v>
      </c>
    </row>
    <row r="2464" spans="1:22" x14ac:dyDescent="0.2">
      <c r="A2464" s="23" t="s">
        <v>3058</v>
      </c>
      <c r="B2464" s="22" t="s">
        <v>33</v>
      </c>
      <c r="C2464" s="22" t="s">
        <v>44</v>
      </c>
      <c r="D2464" s="22" t="s">
        <v>786</v>
      </c>
      <c r="E2464" s="24" t="s">
        <v>787</v>
      </c>
      <c r="F2464" s="22" t="s">
        <v>114</v>
      </c>
      <c r="G2464" s="25">
        <f>10210.8+5000</f>
        <v>15210.8</v>
      </c>
      <c r="H2464" s="22" t="s">
        <v>788</v>
      </c>
      <c r="I2464" s="22">
        <v>1</v>
      </c>
      <c r="J2464" s="22" t="s">
        <v>114</v>
      </c>
      <c r="K2464" s="22" t="s">
        <v>75</v>
      </c>
      <c r="L2464" s="22">
        <v>0</v>
      </c>
      <c r="M2464" s="26">
        <v>380000</v>
      </c>
      <c r="N2464" s="26">
        <v>0</v>
      </c>
      <c r="O2464" s="15">
        <f t="shared" si="202"/>
        <v>380000</v>
      </c>
      <c r="P2464" s="15">
        <f t="shared" si="197"/>
        <v>24.982249454335079</v>
      </c>
      <c r="Q2464" s="25">
        <v>25000</v>
      </c>
      <c r="R2464" s="22">
        <v>41</v>
      </c>
      <c r="S2464" s="22" t="s">
        <v>3072</v>
      </c>
      <c r="T2464" s="22">
        <f t="shared" si="199"/>
        <v>6</v>
      </c>
      <c r="U2464" s="22">
        <f t="shared" si="200"/>
        <v>2021</v>
      </c>
      <c r="V2464" s="22" t="str">
        <f t="shared" si="201"/>
        <v>REGIONES</v>
      </c>
    </row>
    <row r="2465" spans="1:22" x14ac:dyDescent="0.2">
      <c r="A2465" s="23" t="s">
        <v>3058</v>
      </c>
      <c r="B2465" s="22" t="s">
        <v>33</v>
      </c>
      <c r="C2465" s="22" t="s">
        <v>44</v>
      </c>
      <c r="D2465" s="22" t="s">
        <v>45</v>
      </c>
      <c r="E2465" s="24" t="s">
        <v>52</v>
      </c>
      <c r="F2465" s="22" t="s">
        <v>48</v>
      </c>
      <c r="G2465" s="25">
        <v>5899.8</v>
      </c>
      <c r="H2465" s="22" t="s">
        <v>22</v>
      </c>
      <c r="I2465" s="22">
        <v>0</v>
      </c>
      <c r="J2465" s="22" t="s">
        <v>48</v>
      </c>
      <c r="K2465" s="22" t="s">
        <v>23</v>
      </c>
      <c r="L2465" s="22">
        <v>1</v>
      </c>
      <c r="M2465" s="26">
        <v>64898</v>
      </c>
      <c r="N2465" s="26">
        <v>0</v>
      </c>
      <c r="O2465" s="15">
        <f t="shared" si="202"/>
        <v>64898</v>
      </c>
      <c r="P2465" s="15">
        <f t="shared" si="197"/>
        <v>11.000033899454218</v>
      </c>
      <c r="Q2465" s="25">
        <v>5000</v>
      </c>
      <c r="R2465" s="22">
        <v>100</v>
      </c>
      <c r="S2465" s="22" t="s">
        <v>3073</v>
      </c>
      <c r="T2465" s="22">
        <f t="shared" si="199"/>
        <v>6</v>
      </c>
      <c r="U2465" s="22">
        <f t="shared" si="200"/>
        <v>2021</v>
      </c>
      <c r="V2465" s="22" t="str">
        <f t="shared" si="201"/>
        <v>METROPOLITANA</v>
      </c>
    </row>
    <row r="2466" spans="1:22" x14ac:dyDescent="0.2">
      <c r="A2466" s="23" t="s">
        <v>3058</v>
      </c>
      <c r="B2466" s="22" t="s">
        <v>33</v>
      </c>
      <c r="C2466" s="22" t="s">
        <v>44</v>
      </c>
      <c r="D2466" s="22" t="s">
        <v>35</v>
      </c>
      <c r="E2466" s="24" t="s">
        <v>21</v>
      </c>
      <c r="F2466" s="22" t="s">
        <v>138</v>
      </c>
      <c r="G2466" s="25">
        <v>3876</v>
      </c>
      <c r="H2466" s="22" t="s">
        <v>22</v>
      </c>
      <c r="I2466" s="22">
        <v>0</v>
      </c>
      <c r="J2466" s="22" t="s">
        <v>138</v>
      </c>
      <c r="K2466" s="22" t="s">
        <v>23</v>
      </c>
      <c r="L2466" s="22">
        <v>3</v>
      </c>
      <c r="M2466" s="26">
        <v>55000</v>
      </c>
      <c r="N2466" s="26">
        <v>0</v>
      </c>
      <c r="O2466" s="15">
        <f t="shared" si="202"/>
        <v>55000</v>
      </c>
      <c r="P2466" s="15">
        <f t="shared" si="197"/>
        <v>14.189886480908152</v>
      </c>
      <c r="Q2466" s="25">
        <v>5000</v>
      </c>
      <c r="R2466" s="22">
        <v>78</v>
      </c>
      <c r="S2466" s="22" t="s">
        <v>3074</v>
      </c>
      <c r="T2466" s="22">
        <f t="shared" si="199"/>
        <v>6</v>
      </c>
      <c r="U2466" s="22">
        <f t="shared" si="200"/>
        <v>2021</v>
      </c>
      <c r="V2466" s="22" t="str">
        <f t="shared" si="201"/>
        <v>METROPOLITANA</v>
      </c>
    </row>
    <row r="2467" spans="1:22" x14ac:dyDescent="0.2">
      <c r="A2467" s="11" t="s">
        <v>3076</v>
      </c>
      <c r="B2467" s="12" t="s">
        <v>18</v>
      </c>
      <c r="C2467" s="12" t="s">
        <v>579</v>
      </c>
      <c r="D2467" s="12" t="s">
        <v>2955</v>
      </c>
      <c r="E2467" s="13" t="s">
        <v>2956</v>
      </c>
      <c r="F2467" s="12" t="s">
        <v>161</v>
      </c>
      <c r="G2467" s="14">
        <v>6698.81</v>
      </c>
      <c r="H2467" s="12" t="s">
        <v>24</v>
      </c>
      <c r="I2467" s="12">
        <v>1</v>
      </c>
      <c r="J2467" s="12" t="s">
        <v>161</v>
      </c>
      <c r="K2467" s="12" t="s">
        <v>23</v>
      </c>
      <c r="L2467" s="12">
        <v>5</v>
      </c>
      <c r="M2467" s="15">
        <v>120000</v>
      </c>
      <c r="N2467" s="15">
        <v>0</v>
      </c>
      <c r="O2467" s="15">
        <f>G2467*11</f>
        <v>73686.91</v>
      </c>
      <c r="P2467" s="15">
        <f t="shared" si="197"/>
        <v>11</v>
      </c>
      <c r="Q2467" s="14">
        <v>10000</v>
      </c>
      <c r="R2467" s="12">
        <v>67</v>
      </c>
      <c r="S2467" s="12" t="s">
        <v>3077</v>
      </c>
      <c r="T2467" s="22">
        <f t="shared" si="199"/>
        <v>7</v>
      </c>
      <c r="U2467" s="22">
        <f t="shared" si="200"/>
        <v>2021</v>
      </c>
      <c r="V2467" s="22" t="str">
        <f t="shared" si="201"/>
        <v>METROPOLITANA</v>
      </c>
    </row>
    <row r="2468" spans="1:22" x14ac:dyDescent="0.2">
      <c r="A2468" s="11" t="s">
        <v>3076</v>
      </c>
      <c r="B2468" s="12" t="s">
        <v>18</v>
      </c>
      <c r="C2468" s="12" t="s">
        <v>579</v>
      </c>
      <c r="D2468" s="12" t="s">
        <v>63</v>
      </c>
      <c r="E2468" s="13" t="s">
        <v>64</v>
      </c>
      <c r="F2468" s="12" t="s">
        <v>161</v>
      </c>
      <c r="G2468" s="14">
        <f>6749.52+112</f>
        <v>6861.52</v>
      </c>
      <c r="H2468" s="12" t="s">
        <v>65</v>
      </c>
      <c r="I2468" s="12">
        <v>0</v>
      </c>
      <c r="J2468" s="12" t="s">
        <v>161</v>
      </c>
      <c r="K2468" s="12" t="s">
        <v>23</v>
      </c>
      <c r="L2468" s="12">
        <v>5</v>
      </c>
      <c r="M2468" s="15">
        <v>70000</v>
      </c>
      <c r="N2468" s="15">
        <v>0</v>
      </c>
      <c r="O2468" s="15">
        <f>G2468*11</f>
        <v>75476.72</v>
      </c>
      <c r="P2468" s="15">
        <f t="shared" si="197"/>
        <v>11</v>
      </c>
      <c r="Q2468" s="14">
        <v>10000</v>
      </c>
      <c r="R2468" s="12">
        <v>67</v>
      </c>
      <c r="S2468" s="12" t="s">
        <v>3090</v>
      </c>
      <c r="T2468" s="22">
        <f t="shared" si="199"/>
        <v>7</v>
      </c>
      <c r="U2468" s="22">
        <f t="shared" si="200"/>
        <v>2021</v>
      </c>
      <c r="V2468" s="22" t="str">
        <f t="shared" si="201"/>
        <v>METROPOLITANA</v>
      </c>
    </row>
    <row r="2469" spans="1:22" x14ac:dyDescent="0.2">
      <c r="A2469" s="11" t="s">
        <v>3076</v>
      </c>
      <c r="B2469" s="12" t="s">
        <v>18</v>
      </c>
      <c r="C2469" s="12" t="s">
        <v>1997</v>
      </c>
      <c r="D2469" s="12" t="s">
        <v>38</v>
      </c>
      <c r="E2469" s="13" t="s">
        <v>42</v>
      </c>
      <c r="F2469" s="12" t="s">
        <v>58</v>
      </c>
      <c r="G2469" s="14">
        <v>6722.5800000000008</v>
      </c>
      <c r="H2469" s="12" t="s">
        <v>43</v>
      </c>
      <c r="I2469" s="12">
        <v>0</v>
      </c>
      <c r="J2469" s="12" t="s">
        <v>58</v>
      </c>
      <c r="K2469" s="12" t="s">
        <v>23</v>
      </c>
      <c r="L2469" s="12">
        <v>5</v>
      </c>
      <c r="M2469" s="15">
        <v>70000</v>
      </c>
      <c r="N2469" s="15">
        <v>0</v>
      </c>
      <c r="O2469" s="15">
        <f>G2469*11</f>
        <v>73948.38</v>
      </c>
      <c r="P2469" s="15">
        <f t="shared" si="197"/>
        <v>11</v>
      </c>
      <c r="Q2469" s="14">
        <v>10000</v>
      </c>
      <c r="R2469" s="12">
        <v>67</v>
      </c>
      <c r="S2469" s="12" t="s">
        <v>3078</v>
      </c>
      <c r="T2469" s="22">
        <f t="shared" si="199"/>
        <v>7</v>
      </c>
      <c r="U2469" s="22">
        <f t="shared" si="200"/>
        <v>2021</v>
      </c>
      <c r="V2469" s="22" t="str">
        <f t="shared" si="201"/>
        <v>METROPOLITANA</v>
      </c>
    </row>
    <row r="2470" spans="1:22" x14ac:dyDescent="0.2">
      <c r="A2470" s="11" t="s">
        <v>3076</v>
      </c>
      <c r="B2470" s="12" t="s">
        <v>18</v>
      </c>
      <c r="C2470" s="12" t="s">
        <v>1997</v>
      </c>
      <c r="D2470" s="12" t="s">
        <v>37</v>
      </c>
      <c r="E2470" s="13" t="s">
        <v>40</v>
      </c>
      <c r="F2470" s="12" t="s">
        <v>58</v>
      </c>
      <c r="G2470" s="14">
        <v>9590.4900000000016</v>
      </c>
      <c r="H2470" s="12" t="s">
        <v>22</v>
      </c>
      <c r="I2470" s="12">
        <v>0</v>
      </c>
      <c r="J2470" s="12" t="s">
        <v>58</v>
      </c>
      <c r="K2470" s="12" t="s">
        <v>23</v>
      </c>
      <c r="L2470" s="12">
        <v>5</v>
      </c>
      <c r="M2470" s="15">
        <v>70000</v>
      </c>
      <c r="N2470" s="15">
        <v>0</v>
      </c>
      <c r="O2470" s="15">
        <f>G2470*11</f>
        <v>105495.39000000001</v>
      </c>
      <c r="P2470" s="15">
        <f t="shared" si="197"/>
        <v>11</v>
      </c>
      <c r="Q2470" s="14">
        <v>10000</v>
      </c>
      <c r="R2470" s="12">
        <v>96</v>
      </c>
      <c r="S2470" s="12" t="s">
        <v>3079</v>
      </c>
      <c r="T2470" s="22">
        <f t="shared" si="199"/>
        <v>7</v>
      </c>
      <c r="U2470" s="22">
        <f t="shared" si="200"/>
        <v>2021</v>
      </c>
      <c r="V2470" s="22" t="str">
        <f t="shared" si="201"/>
        <v>METROPOLITANA</v>
      </c>
    </row>
    <row r="2471" spans="1:22" x14ac:dyDescent="0.2">
      <c r="A2471" s="11" t="s">
        <v>3076</v>
      </c>
      <c r="B2471" s="12" t="s">
        <v>18</v>
      </c>
      <c r="C2471" s="12" t="s">
        <v>160</v>
      </c>
      <c r="D2471" s="12" t="s">
        <v>2262</v>
      </c>
      <c r="E2471" s="13" t="s">
        <v>83</v>
      </c>
      <c r="F2471" s="12" t="s">
        <v>2319</v>
      </c>
      <c r="G2471" s="14">
        <v>15691.91</v>
      </c>
      <c r="H2471" s="12" t="s">
        <v>24</v>
      </c>
      <c r="I2471" s="12">
        <v>1</v>
      </c>
      <c r="J2471" s="12" t="s">
        <v>2319</v>
      </c>
      <c r="K2471" s="12" t="s">
        <v>86</v>
      </c>
      <c r="L2471" s="12">
        <v>0</v>
      </c>
      <c r="M2471" s="15">
        <v>340000</v>
      </c>
      <c r="N2471" s="15">
        <v>0</v>
      </c>
      <c r="O2471" s="15">
        <f>SUM(M2471:N2471)</f>
        <v>340000</v>
      </c>
      <c r="P2471" s="15">
        <f t="shared" si="197"/>
        <v>21.66721578189016</v>
      </c>
      <c r="Q2471" s="14">
        <v>25000</v>
      </c>
      <c r="R2471" s="12">
        <v>63</v>
      </c>
      <c r="S2471" s="12" t="s">
        <v>3080</v>
      </c>
      <c r="T2471" s="22">
        <f t="shared" si="199"/>
        <v>7</v>
      </c>
      <c r="U2471" s="22">
        <f t="shared" si="200"/>
        <v>2021</v>
      </c>
      <c r="V2471" s="22" t="str">
        <f t="shared" si="201"/>
        <v>REGIONES</v>
      </c>
    </row>
    <row r="2472" spans="1:22" x14ac:dyDescent="0.2">
      <c r="A2472" s="11" t="s">
        <v>3076</v>
      </c>
      <c r="B2472" s="12" t="s">
        <v>18</v>
      </c>
      <c r="C2472" s="12" t="s">
        <v>3060</v>
      </c>
      <c r="D2472" s="12" t="s">
        <v>30</v>
      </c>
      <c r="E2472" s="13" t="s">
        <v>31</v>
      </c>
      <c r="F2472" s="12" t="s">
        <v>58</v>
      </c>
      <c r="G2472" s="14">
        <v>8417.7699999999986</v>
      </c>
      <c r="H2472" s="12" t="s">
        <v>32</v>
      </c>
      <c r="I2472" s="12">
        <v>0</v>
      </c>
      <c r="J2472" s="12" t="s">
        <v>58</v>
      </c>
      <c r="K2472" s="12" t="s">
        <v>23</v>
      </c>
      <c r="L2472" s="12">
        <v>5</v>
      </c>
      <c r="M2472" s="15">
        <v>70000</v>
      </c>
      <c r="N2472" s="15">
        <v>0</v>
      </c>
      <c r="O2472" s="15">
        <f>G2472*11</f>
        <v>92595.469999999987</v>
      </c>
      <c r="P2472" s="15">
        <f t="shared" si="197"/>
        <v>11</v>
      </c>
      <c r="Q2472" s="14">
        <v>10000</v>
      </c>
      <c r="R2472" s="12">
        <v>84</v>
      </c>
      <c r="S2472" s="12" t="s">
        <v>3081</v>
      </c>
      <c r="T2472" s="22">
        <f t="shared" si="199"/>
        <v>7</v>
      </c>
      <c r="U2472" s="22">
        <f t="shared" si="200"/>
        <v>2021</v>
      </c>
      <c r="V2472" s="22" t="str">
        <f t="shared" si="201"/>
        <v>METROPOLITANA</v>
      </c>
    </row>
    <row r="2473" spans="1:22" x14ac:dyDescent="0.2">
      <c r="A2473" s="11" t="s">
        <v>3076</v>
      </c>
      <c r="B2473" s="12" t="s">
        <v>18</v>
      </c>
      <c r="C2473" s="12" t="s">
        <v>163</v>
      </c>
      <c r="D2473" s="12" t="s">
        <v>164</v>
      </c>
      <c r="E2473" s="13" t="s">
        <v>28</v>
      </c>
      <c r="F2473" s="12" t="s">
        <v>165</v>
      </c>
      <c r="G2473" s="14">
        <v>21894.65</v>
      </c>
      <c r="H2473" s="12" t="s">
        <v>22</v>
      </c>
      <c r="I2473" s="12">
        <v>1</v>
      </c>
      <c r="J2473" s="12" t="s">
        <v>165</v>
      </c>
      <c r="K2473" s="12" t="s">
        <v>23</v>
      </c>
      <c r="L2473" s="12">
        <v>4</v>
      </c>
      <c r="M2473" s="15">
        <v>240841</v>
      </c>
      <c r="N2473" s="15">
        <v>0</v>
      </c>
      <c r="O2473" s="15">
        <f t="shared" ref="O2473:O2478" si="203">SUM(M2473:N2473)</f>
        <v>240841</v>
      </c>
      <c r="P2473" s="15">
        <f t="shared" si="197"/>
        <v>10.999993149011287</v>
      </c>
      <c r="Q2473" s="14">
        <v>5000</v>
      </c>
      <c r="R2473" s="12">
        <v>100</v>
      </c>
      <c r="S2473" s="12" t="s">
        <v>3082</v>
      </c>
      <c r="T2473" s="22">
        <f t="shared" si="199"/>
        <v>7</v>
      </c>
      <c r="U2473" s="22">
        <f t="shared" si="200"/>
        <v>2021</v>
      </c>
      <c r="V2473" s="22" t="str">
        <f t="shared" si="201"/>
        <v>METROPOLITANA</v>
      </c>
    </row>
    <row r="2474" spans="1:22" x14ac:dyDescent="0.2">
      <c r="A2474" s="11" t="s">
        <v>3076</v>
      </c>
      <c r="B2474" s="12" t="s">
        <v>18</v>
      </c>
      <c r="C2474" s="12" t="s">
        <v>87</v>
      </c>
      <c r="D2474" s="12" t="s">
        <v>20</v>
      </c>
      <c r="E2474" s="13" t="s">
        <v>21</v>
      </c>
      <c r="F2474" s="12" t="s">
        <v>51</v>
      </c>
      <c r="G2474" s="14">
        <v>5192.3000000000011</v>
      </c>
      <c r="H2474" s="12" t="s">
        <v>22</v>
      </c>
      <c r="I2474" s="12">
        <v>0</v>
      </c>
      <c r="J2474" s="12" t="s">
        <v>51</v>
      </c>
      <c r="K2474" s="12" t="s">
        <v>23</v>
      </c>
      <c r="L2474" s="12">
        <v>4</v>
      </c>
      <c r="M2474" s="15">
        <v>57115</v>
      </c>
      <c r="N2474" s="15">
        <v>0</v>
      </c>
      <c r="O2474" s="15">
        <f t="shared" si="203"/>
        <v>57115</v>
      </c>
      <c r="P2474" s="15">
        <f t="shared" si="197"/>
        <v>10.999942222136623</v>
      </c>
      <c r="Q2474" s="14">
        <v>5000</v>
      </c>
      <c r="R2474" s="12">
        <v>100</v>
      </c>
      <c r="S2474" s="12" t="s">
        <v>3083</v>
      </c>
      <c r="T2474" s="22">
        <f t="shared" si="199"/>
        <v>7</v>
      </c>
      <c r="U2474" s="22">
        <f t="shared" si="200"/>
        <v>2021</v>
      </c>
      <c r="V2474" s="22" t="str">
        <f t="shared" si="201"/>
        <v>METROPOLITANA</v>
      </c>
    </row>
    <row r="2475" spans="1:22" x14ac:dyDescent="0.2">
      <c r="A2475" s="11" t="s">
        <v>3076</v>
      </c>
      <c r="B2475" s="12" t="s">
        <v>18</v>
      </c>
      <c r="C2475" s="12" t="s">
        <v>29</v>
      </c>
      <c r="D2475" s="12" t="s">
        <v>45</v>
      </c>
      <c r="E2475" s="13" t="s">
        <v>1576</v>
      </c>
      <c r="F2475" s="12" t="s">
        <v>134</v>
      </c>
      <c r="G2475" s="14">
        <v>3008</v>
      </c>
      <c r="H2475" s="12" t="s">
        <v>22</v>
      </c>
      <c r="I2475" s="12">
        <v>0</v>
      </c>
      <c r="J2475" s="12" t="s">
        <v>134</v>
      </c>
      <c r="K2475" s="12" t="s">
        <v>23</v>
      </c>
      <c r="L2475" s="12">
        <v>2</v>
      </c>
      <c r="M2475" s="15">
        <v>55000</v>
      </c>
      <c r="N2475" s="15">
        <v>0</v>
      </c>
      <c r="O2475" s="15">
        <f t="shared" si="203"/>
        <v>55000</v>
      </c>
      <c r="P2475" s="15">
        <f t="shared" si="197"/>
        <v>18.284574468085108</v>
      </c>
      <c r="Q2475" s="14">
        <v>5000</v>
      </c>
      <c r="R2475" s="12">
        <v>60</v>
      </c>
      <c r="S2475" s="12" t="s">
        <v>3084</v>
      </c>
      <c r="T2475" s="22">
        <f t="shared" si="199"/>
        <v>7</v>
      </c>
      <c r="U2475" s="22">
        <f t="shared" si="200"/>
        <v>2021</v>
      </c>
      <c r="V2475" s="22" t="str">
        <f t="shared" si="201"/>
        <v>METROPOLITANA</v>
      </c>
    </row>
    <row r="2476" spans="1:22" x14ac:dyDescent="0.2">
      <c r="A2476" s="11" t="s">
        <v>3076</v>
      </c>
      <c r="B2476" s="12" t="s">
        <v>33</v>
      </c>
      <c r="C2476" s="12" t="s">
        <v>29</v>
      </c>
      <c r="D2476" s="12" t="s">
        <v>38</v>
      </c>
      <c r="E2476" s="13" t="s">
        <v>42</v>
      </c>
      <c r="F2476" s="12" t="s">
        <v>39</v>
      </c>
      <c r="G2476" s="14">
        <v>6750.0000000000009</v>
      </c>
      <c r="H2476" s="12" t="s">
        <v>43</v>
      </c>
      <c r="I2476" s="12">
        <v>0</v>
      </c>
      <c r="J2476" s="12" t="s">
        <v>39</v>
      </c>
      <c r="K2476" s="12" t="s">
        <v>23</v>
      </c>
      <c r="L2476" s="12">
        <v>1</v>
      </c>
      <c r="M2476" s="15">
        <v>74250</v>
      </c>
      <c r="N2476" s="15">
        <v>0</v>
      </c>
      <c r="O2476" s="15">
        <f t="shared" si="203"/>
        <v>74250</v>
      </c>
      <c r="P2476" s="15">
        <f t="shared" si="197"/>
        <v>10.999999999999998</v>
      </c>
      <c r="Q2476" s="14">
        <v>5000</v>
      </c>
      <c r="R2476" s="12">
        <v>100</v>
      </c>
      <c r="S2476" s="12" t="s">
        <v>3085</v>
      </c>
      <c r="T2476" s="22">
        <f t="shared" si="199"/>
        <v>7</v>
      </c>
      <c r="U2476" s="22">
        <f t="shared" si="200"/>
        <v>2021</v>
      </c>
      <c r="V2476" s="22" t="str">
        <f t="shared" si="201"/>
        <v>METROPOLITANA</v>
      </c>
    </row>
    <row r="2477" spans="1:22" x14ac:dyDescent="0.2">
      <c r="A2477" s="11" t="s">
        <v>3076</v>
      </c>
      <c r="B2477" s="12" t="s">
        <v>33</v>
      </c>
      <c r="C2477" s="12" t="s">
        <v>29</v>
      </c>
      <c r="D2477" s="12" t="s">
        <v>3086</v>
      </c>
      <c r="E2477" s="13" t="s">
        <v>81</v>
      </c>
      <c r="F2477" s="12" t="s">
        <v>132</v>
      </c>
      <c r="G2477" s="14">
        <v>19852.199999999979</v>
      </c>
      <c r="H2477" s="12" t="s">
        <v>24</v>
      </c>
      <c r="I2477" s="12">
        <v>1</v>
      </c>
      <c r="J2477" s="12" t="s">
        <v>132</v>
      </c>
      <c r="K2477" s="12" t="s">
        <v>124</v>
      </c>
      <c r="L2477" s="12">
        <v>0</v>
      </c>
      <c r="M2477" s="15">
        <v>350000</v>
      </c>
      <c r="N2477" s="15">
        <v>0</v>
      </c>
      <c r="O2477" s="15">
        <f t="shared" si="203"/>
        <v>350000</v>
      </c>
      <c r="P2477" s="15">
        <f t="shared" si="197"/>
        <v>17.630287827041858</v>
      </c>
      <c r="Q2477" s="14">
        <v>25000</v>
      </c>
      <c r="R2477" s="12">
        <v>79</v>
      </c>
      <c r="S2477" s="12" t="s">
        <v>3087</v>
      </c>
      <c r="T2477" s="22">
        <f t="shared" si="199"/>
        <v>7</v>
      </c>
      <c r="U2477" s="22">
        <f t="shared" si="200"/>
        <v>2021</v>
      </c>
      <c r="V2477" s="22" t="str">
        <f t="shared" si="201"/>
        <v>REGIONES</v>
      </c>
    </row>
    <row r="2478" spans="1:22" x14ac:dyDescent="0.2">
      <c r="A2478" s="11" t="s">
        <v>3076</v>
      </c>
      <c r="B2478" s="12" t="s">
        <v>33</v>
      </c>
      <c r="C2478" s="12" t="s">
        <v>29</v>
      </c>
      <c r="D2478" s="12" t="s">
        <v>20</v>
      </c>
      <c r="E2478" s="13" t="s">
        <v>21</v>
      </c>
      <c r="F2478" s="12" t="s">
        <v>39</v>
      </c>
      <c r="G2478" s="14">
        <v>6749.9999999999991</v>
      </c>
      <c r="H2478" s="12" t="s">
        <v>22</v>
      </c>
      <c r="I2478" s="12">
        <v>0</v>
      </c>
      <c r="J2478" s="12" t="s">
        <v>39</v>
      </c>
      <c r="K2478" s="12" t="s">
        <v>23</v>
      </c>
      <c r="L2478" s="12">
        <v>1</v>
      </c>
      <c r="M2478" s="15">
        <v>74250</v>
      </c>
      <c r="N2478" s="15">
        <v>0</v>
      </c>
      <c r="O2478" s="15">
        <f t="shared" si="203"/>
        <v>74250</v>
      </c>
      <c r="P2478" s="15">
        <f t="shared" si="197"/>
        <v>11.000000000000002</v>
      </c>
      <c r="Q2478" s="14">
        <v>5000</v>
      </c>
      <c r="R2478" s="12">
        <v>100</v>
      </c>
      <c r="S2478" s="12" t="s">
        <v>3088</v>
      </c>
      <c r="T2478" s="22">
        <f t="shared" si="199"/>
        <v>7</v>
      </c>
      <c r="U2478" s="22">
        <f t="shared" si="200"/>
        <v>2021</v>
      </c>
      <c r="V2478" s="22" t="str">
        <f t="shared" si="201"/>
        <v>METROPOLITANA</v>
      </c>
    </row>
    <row r="2479" spans="1:22" x14ac:dyDescent="0.2">
      <c r="A2479" s="11" t="s">
        <v>3076</v>
      </c>
      <c r="B2479" s="12" t="s">
        <v>33</v>
      </c>
      <c r="C2479" s="12" t="s">
        <v>44</v>
      </c>
      <c r="D2479" s="12" t="s">
        <v>47</v>
      </c>
      <c r="E2479" s="13" t="s">
        <v>3089</v>
      </c>
      <c r="F2479" s="12" t="s">
        <v>48</v>
      </c>
      <c r="G2479" s="14">
        <f>5313+1812</f>
        <v>7125</v>
      </c>
      <c r="H2479" s="12" t="s">
        <v>22</v>
      </c>
      <c r="I2479" s="12">
        <v>0</v>
      </c>
      <c r="J2479" s="12" t="s">
        <v>48</v>
      </c>
      <c r="K2479" s="12" t="s">
        <v>23</v>
      </c>
      <c r="L2479" s="12">
        <v>1</v>
      </c>
      <c r="M2479" s="15">
        <v>58443</v>
      </c>
      <c r="N2479" s="15">
        <v>0</v>
      </c>
      <c r="O2479" s="15">
        <f>G2479*11</f>
        <v>78375</v>
      </c>
      <c r="P2479" s="15">
        <f t="shared" si="197"/>
        <v>11</v>
      </c>
      <c r="Q2479" s="14">
        <v>5000</v>
      </c>
      <c r="R2479" s="12">
        <v>100</v>
      </c>
      <c r="S2479" s="12" t="s">
        <v>3091</v>
      </c>
      <c r="T2479" s="22">
        <f t="shared" si="199"/>
        <v>7</v>
      </c>
      <c r="U2479" s="22">
        <f t="shared" si="200"/>
        <v>2021</v>
      </c>
      <c r="V2479" s="22" t="str">
        <f t="shared" si="201"/>
        <v>METROPOLITANA</v>
      </c>
    </row>
    <row r="2480" spans="1:22" x14ac:dyDescent="0.2">
      <c r="A2480" s="23" t="s">
        <v>3092</v>
      </c>
      <c r="B2480" s="22" t="s">
        <v>18</v>
      </c>
      <c r="C2480" s="22" t="s">
        <v>270</v>
      </c>
      <c r="D2480" s="22" t="s">
        <v>2955</v>
      </c>
      <c r="E2480" s="24">
        <v>65941082</v>
      </c>
      <c r="F2480" s="22" t="s">
        <v>120</v>
      </c>
      <c r="G2480" s="25">
        <v>21945.75</v>
      </c>
      <c r="H2480" s="22" t="s">
        <v>24</v>
      </c>
      <c r="I2480" s="22">
        <v>1</v>
      </c>
      <c r="J2480" s="22" t="s">
        <v>120</v>
      </c>
      <c r="K2480" s="22" t="s">
        <v>23</v>
      </c>
      <c r="L2480" s="22">
        <v>5</v>
      </c>
      <c r="M2480" s="26">
        <v>120000</v>
      </c>
      <c r="N2480" s="26">
        <v>0</v>
      </c>
      <c r="O2480" s="15">
        <f>G2480*11</f>
        <v>241403.25</v>
      </c>
      <c r="P2480" s="15">
        <f t="shared" si="197"/>
        <v>11</v>
      </c>
      <c r="Q2480" s="25">
        <v>10000</v>
      </c>
      <c r="R2480" s="22">
        <v>100</v>
      </c>
      <c r="S2480" s="22" t="s">
        <v>3093</v>
      </c>
      <c r="T2480" s="22">
        <f t="shared" si="199"/>
        <v>7</v>
      </c>
      <c r="U2480" s="22">
        <f t="shared" si="200"/>
        <v>2021</v>
      </c>
      <c r="V2480" s="22" t="str">
        <f t="shared" si="201"/>
        <v>METROPOLITANA</v>
      </c>
    </row>
    <row r="2481" spans="1:22" x14ac:dyDescent="0.2">
      <c r="A2481" s="23" t="s">
        <v>3092</v>
      </c>
      <c r="B2481" s="22" t="s">
        <v>18</v>
      </c>
      <c r="C2481" s="22" t="s">
        <v>579</v>
      </c>
      <c r="D2481" s="22" t="s">
        <v>41</v>
      </c>
      <c r="E2481" s="24">
        <v>53173292</v>
      </c>
      <c r="F2481" s="22" t="s">
        <v>161</v>
      </c>
      <c r="G2481" s="25">
        <v>4205.5</v>
      </c>
      <c r="H2481" s="22" t="s">
        <v>43</v>
      </c>
      <c r="I2481" s="22">
        <v>0</v>
      </c>
      <c r="J2481" s="22" t="s">
        <v>161</v>
      </c>
      <c r="K2481" s="22" t="s">
        <v>23</v>
      </c>
      <c r="L2481" s="22">
        <v>5</v>
      </c>
      <c r="M2481" s="26">
        <v>70000</v>
      </c>
      <c r="N2481" s="26">
        <v>0</v>
      </c>
      <c r="O2481" s="15">
        <f>G2481*11</f>
        <v>46260.5</v>
      </c>
      <c r="P2481" s="15">
        <f t="shared" si="197"/>
        <v>11</v>
      </c>
      <c r="Q2481" s="25">
        <v>10000</v>
      </c>
      <c r="R2481" s="22">
        <v>42</v>
      </c>
      <c r="S2481" s="22" t="s">
        <v>3094</v>
      </c>
      <c r="T2481" s="22">
        <f t="shared" si="199"/>
        <v>7</v>
      </c>
      <c r="U2481" s="22">
        <f t="shared" si="200"/>
        <v>2021</v>
      </c>
      <c r="V2481" s="22" t="str">
        <f t="shared" si="201"/>
        <v>METROPOLITANA</v>
      </c>
    </row>
    <row r="2482" spans="1:22" x14ac:dyDescent="0.2">
      <c r="A2482" s="23" t="s">
        <v>3092</v>
      </c>
      <c r="B2482" s="22" t="s">
        <v>18</v>
      </c>
      <c r="C2482" s="22" t="s">
        <v>57</v>
      </c>
      <c r="D2482" s="22" t="s">
        <v>38</v>
      </c>
      <c r="E2482" s="24">
        <v>53173292</v>
      </c>
      <c r="F2482" s="22" t="s">
        <v>120</v>
      </c>
      <c r="G2482" s="25">
        <v>7000.2</v>
      </c>
      <c r="H2482" s="22" t="s">
        <v>43</v>
      </c>
      <c r="I2482" s="22">
        <v>0</v>
      </c>
      <c r="J2482" s="22" t="s">
        <v>120</v>
      </c>
      <c r="K2482" s="22" t="s">
        <v>23</v>
      </c>
      <c r="L2482" s="22">
        <v>5</v>
      </c>
      <c r="M2482" s="26">
        <v>70000</v>
      </c>
      <c r="N2482" s="26">
        <v>0</v>
      </c>
      <c r="O2482" s="15">
        <f>SUM(M2482:N2482)</f>
        <v>70000</v>
      </c>
      <c r="P2482" s="15">
        <f t="shared" si="197"/>
        <v>9.999714293877318</v>
      </c>
      <c r="Q2482" s="25">
        <v>10000</v>
      </c>
      <c r="R2482" s="22">
        <v>70</v>
      </c>
      <c r="S2482" s="22" t="s">
        <v>3095</v>
      </c>
      <c r="T2482" s="22">
        <f t="shared" si="199"/>
        <v>7</v>
      </c>
      <c r="U2482" s="22">
        <f t="shared" si="200"/>
        <v>2021</v>
      </c>
      <c r="V2482" s="22" t="str">
        <f t="shared" si="201"/>
        <v>METROPOLITANA</v>
      </c>
    </row>
    <row r="2483" spans="1:22" x14ac:dyDescent="0.2">
      <c r="A2483" s="23" t="s">
        <v>3092</v>
      </c>
      <c r="B2483" s="22" t="s">
        <v>18</v>
      </c>
      <c r="C2483" s="22" t="s">
        <v>3060</v>
      </c>
      <c r="D2483" s="22" t="s">
        <v>63</v>
      </c>
      <c r="E2483" s="24">
        <v>138841065</v>
      </c>
      <c r="F2483" s="22" t="s">
        <v>58</v>
      </c>
      <c r="G2483" s="25">
        <v>13423.429999999989</v>
      </c>
      <c r="H2483" s="22" t="s">
        <v>65</v>
      </c>
      <c r="I2483" s="22">
        <v>0</v>
      </c>
      <c r="J2483" s="22" t="s">
        <v>58</v>
      </c>
      <c r="K2483" s="22" t="s">
        <v>23</v>
      </c>
      <c r="L2483" s="22">
        <v>5</v>
      </c>
      <c r="M2483" s="26">
        <v>70000</v>
      </c>
      <c r="N2483" s="26">
        <v>0</v>
      </c>
      <c r="O2483" s="15">
        <f>G2483*11</f>
        <v>147657.72999999989</v>
      </c>
      <c r="P2483" s="15">
        <f t="shared" si="197"/>
        <v>11</v>
      </c>
      <c r="Q2483" s="25">
        <v>10000</v>
      </c>
      <c r="R2483" s="22">
        <v>100</v>
      </c>
      <c r="S2483" s="22" t="s">
        <v>3096</v>
      </c>
      <c r="T2483" s="22">
        <f t="shared" si="199"/>
        <v>7</v>
      </c>
      <c r="U2483" s="22">
        <f t="shared" si="200"/>
        <v>2021</v>
      </c>
      <c r="V2483" s="22" t="str">
        <f t="shared" si="201"/>
        <v>METROPOLITANA</v>
      </c>
    </row>
    <row r="2484" spans="1:22" x14ac:dyDescent="0.2">
      <c r="A2484" s="23" t="s">
        <v>3092</v>
      </c>
      <c r="B2484" s="22" t="s">
        <v>18</v>
      </c>
      <c r="C2484" s="22" t="s">
        <v>3060</v>
      </c>
      <c r="D2484" s="22" t="s">
        <v>30</v>
      </c>
      <c r="E2484" s="24">
        <v>72564391</v>
      </c>
      <c r="F2484" s="22" t="s">
        <v>58</v>
      </c>
      <c r="G2484" s="25">
        <v>10036.56</v>
      </c>
      <c r="H2484" s="22" t="s">
        <v>32</v>
      </c>
      <c r="I2484" s="22">
        <v>0</v>
      </c>
      <c r="J2484" s="22" t="s">
        <v>58</v>
      </c>
      <c r="K2484" s="22" t="s">
        <v>23</v>
      </c>
      <c r="L2484" s="22">
        <v>5</v>
      </c>
      <c r="M2484" s="26">
        <v>70000</v>
      </c>
      <c r="N2484" s="26">
        <v>0</v>
      </c>
      <c r="O2484" s="15">
        <f>G2484*11</f>
        <v>110402.15999999999</v>
      </c>
      <c r="P2484" s="15">
        <f t="shared" si="197"/>
        <v>11</v>
      </c>
      <c r="Q2484" s="25">
        <v>10000</v>
      </c>
      <c r="R2484" s="22">
        <v>100</v>
      </c>
      <c r="S2484" s="22" t="s">
        <v>3097</v>
      </c>
      <c r="T2484" s="22">
        <f t="shared" si="199"/>
        <v>7</v>
      </c>
      <c r="U2484" s="22">
        <f t="shared" si="200"/>
        <v>2021</v>
      </c>
      <c r="V2484" s="22" t="str">
        <f t="shared" si="201"/>
        <v>METROPOLITANA</v>
      </c>
    </row>
    <row r="2485" spans="1:22" x14ac:dyDescent="0.2">
      <c r="A2485" s="23" t="s">
        <v>3092</v>
      </c>
      <c r="B2485" s="22" t="s">
        <v>18</v>
      </c>
      <c r="C2485" s="22" t="s">
        <v>19</v>
      </c>
      <c r="D2485" s="22" t="s">
        <v>1869</v>
      </c>
      <c r="E2485" s="24">
        <v>125897258</v>
      </c>
      <c r="F2485" s="22" t="s">
        <v>691</v>
      </c>
      <c r="G2485" s="25">
        <v>23540.820000000011</v>
      </c>
      <c r="H2485" s="22" t="s">
        <v>24</v>
      </c>
      <c r="I2485" s="22">
        <v>1</v>
      </c>
      <c r="J2485" s="22" t="s">
        <v>691</v>
      </c>
      <c r="K2485" s="22" t="s">
        <v>873</v>
      </c>
      <c r="L2485" s="22">
        <v>0</v>
      </c>
      <c r="M2485" s="26">
        <v>1020000</v>
      </c>
      <c r="N2485" s="26">
        <v>0</v>
      </c>
      <c r="O2485" s="15">
        <f>SUM(M2485:N2485)</f>
        <v>1020000</v>
      </c>
      <c r="P2485" s="15">
        <f t="shared" si="197"/>
        <v>43.328991938258717</v>
      </c>
      <c r="Q2485" s="25">
        <v>25000</v>
      </c>
      <c r="R2485" s="22">
        <v>94</v>
      </c>
      <c r="S2485" s="22" t="s">
        <v>3098</v>
      </c>
      <c r="T2485" s="22">
        <f t="shared" si="199"/>
        <v>7</v>
      </c>
      <c r="U2485" s="22">
        <f t="shared" si="200"/>
        <v>2021</v>
      </c>
      <c r="V2485" s="22" t="str">
        <f t="shared" si="201"/>
        <v>REGIONES</v>
      </c>
    </row>
    <row r="2486" spans="1:22" x14ac:dyDescent="0.2">
      <c r="A2486" s="23" t="s">
        <v>3092</v>
      </c>
      <c r="B2486" s="22" t="s">
        <v>18</v>
      </c>
      <c r="C2486" s="22" t="s">
        <v>19</v>
      </c>
      <c r="D2486" s="22" t="s">
        <v>61</v>
      </c>
      <c r="E2486" s="24">
        <v>115812335</v>
      </c>
      <c r="F2486" s="22" t="s">
        <v>691</v>
      </c>
      <c r="G2486" s="25">
        <v>26345.47</v>
      </c>
      <c r="H2486" s="22" t="s">
        <v>85</v>
      </c>
      <c r="I2486" s="22">
        <v>1</v>
      </c>
      <c r="J2486" s="22" t="s">
        <v>691</v>
      </c>
      <c r="K2486" s="22" t="s">
        <v>873</v>
      </c>
      <c r="L2486" s="22">
        <v>0</v>
      </c>
      <c r="M2486" s="26">
        <v>1020000</v>
      </c>
      <c r="N2486" s="26">
        <v>0</v>
      </c>
      <c r="O2486" s="15">
        <f>SUM(M2486:N2486)</f>
        <v>1020000</v>
      </c>
      <c r="P2486" s="15">
        <f t="shared" si="197"/>
        <v>38.716333396215745</v>
      </c>
      <c r="Q2486" s="25">
        <v>25000</v>
      </c>
      <c r="R2486" s="22">
        <v>100</v>
      </c>
      <c r="S2486" s="22" t="s">
        <v>3099</v>
      </c>
      <c r="T2486" s="22">
        <f t="shared" si="199"/>
        <v>7</v>
      </c>
      <c r="U2486" s="22">
        <f t="shared" si="200"/>
        <v>2021</v>
      </c>
      <c r="V2486" s="22" t="str">
        <f t="shared" si="201"/>
        <v>REGIONES</v>
      </c>
    </row>
    <row r="2487" spans="1:22" x14ac:dyDescent="0.2">
      <c r="A2487" s="23" t="s">
        <v>3092</v>
      </c>
      <c r="B2487" s="22" t="s">
        <v>18</v>
      </c>
      <c r="C2487" s="22" t="s">
        <v>163</v>
      </c>
      <c r="D2487" s="22" t="s">
        <v>164</v>
      </c>
      <c r="E2487" s="24">
        <v>81417709</v>
      </c>
      <c r="F2487" s="22" t="s">
        <v>165</v>
      </c>
      <c r="G2487" s="25">
        <v>23047</v>
      </c>
      <c r="H2487" s="22" t="s">
        <v>22</v>
      </c>
      <c r="I2487" s="22">
        <v>1</v>
      </c>
      <c r="J2487" s="22" t="s">
        <v>165</v>
      </c>
      <c r="K2487" s="22" t="s">
        <v>23</v>
      </c>
      <c r="L2487" s="22">
        <v>4</v>
      </c>
      <c r="M2487" s="26">
        <v>253517</v>
      </c>
      <c r="N2487" s="26">
        <v>0</v>
      </c>
      <c r="O2487" s="15">
        <f>SUM(M2487:N2487)</f>
        <v>253517</v>
      </c>
      <c r="P2487" s="15">
        <f t="shared" si="197"/>
        <v>11</v>
      </c>
      <c r="Q2487" s="25">
        <v>5000</v>
      </c>
      <c r="R2487" s="22">
        <v>100</v>
      </c>
      <c r="S2487" s="22" t="s">
        <v>3100</v>
      </c>
      <c r="T2487" s="22">
        <f t="shared" si="199"/>
        <v>7</v>
      </c>
      <c r="U2487" s="22">
        <f t="shared" si="200"/>
        <v>2021</v>
      </c>
      <c r="V2487" s="22" t="str">
        <f t="shared" si="201"/>
        <v>METROPOLITANA</v>
      </c>
    </row>
    <row r="2488" spans="1:22" x14ac:dyDescent="0.2">
      <c r="A2488" s="23" t="s">
        <v>3092</v>
      </c>
      <c r="B2488" s="22" t="s">
        <v>33</v>
      </c>
      <c r="C2488" s="22" t="s">
        <v>29</v>
      </c>
      <c r="D2488" s="22" t="s">
        <v>37</v>
      </c>
      <c r="E2488" s="24">
        <v>154837738</v>
      </c>
      <c r="F2488" s="22" t="s">
        <v>134</v>
      </c>
      <c r="G2488" s="25">
        <f>4778.1+7167</f>
        <v>11945.1</v>
      </c>
      <c r="H2488" s="22" t="s">
        <v>22</v>
      </c>
      <c r="I2488" s="22">
        <v>0</v>
      </c>
      <c r="J2488" s="22" t="s">
        <v>134</v>
      </c>
      <c r="K2488" s="22" t="s">
        <v>23</v>
      </c>
      <c r="L2488" s="22">
        <v>2</v>
      </c>
      <c r="M2488" s="26">
        <v>55000</v>
      </c>
      <c r="N2488" s="26">
        <v>0</v>
      </c>
      <c r="O2488" s="15">
        <f>G2488*11</f>
        <v>131396.1</v>
      </c>
      <c r="P2488" s="15">
        <f t="shared" si="197"/>
        <v>11</v>
      </c>
      <c r="Q2488" s="25">
        <v>5000</v>
      </c>
      <c r="R2488" s="22">
        <v>96</v>
      </c>
      <c r="S2488" s="22" t="s">
        <v>3105</v>
      </c>
      <c r="T2488" s="22">
        <f t="shared" si="199"/>
        <v>7</v>
      </c>
      <c r="U2488" s="22">
        <f t="shared" si="200"/>
        <v>2021</v>
      </c>
      <c r="V2488" s="22" t="str">
        <f t="shared" si="201"/>
        <v>METROPOLITANA</v>
      </c>
    </row>
    <row r="2489" spans="1:22" x14ac:dyDescent="0.2">
      <c r="A2489" s="23" t="s">
        <v>3092</v>
      </c>
      <c r="B2489" s="22" t="s">
        <v>33</v>
      </c>
      <c r="C2489" s="22" t="s">
        <v>29</v>
      </c>
      <c r="D2489" s="22" t="s">
        <v>47</v>
      </c>
      <c r="E2489" s="24">
        <v>99626232</v>
      </c>
      <c r="F2489" s="22" t="s">
        <v>134</v>
      </c>
      <c r="G2489" s="25">
        <v>9874.7400000000034</v>
      </c>
      <c r="H2489" s="22" t="s">
        <v>22</v>
      </c>
      <c r="I2489" s="22">
        <v>0</v>
      </c>
      <c r="J2489" s="22" t="s">
        <v>134</v>
      </c>
      <c r="K2489" s="22" t="s">
        <v>23</v>
      </c>
      <c r="L2489" s="22">
        <v>2</v>
      </c>
      <c r="M2489" s="26">
        <v>108622</v>
      </c>
      <c r="N2489" s="26">
        <v>0</v>
      </c>
      <c r="O2489" s="15">
        <f>SUM(M2489:N2489)</f>
        <v>108622</v>
      </c>
      <c r="P2489" s="15">
        <f t="shared" si="197"/>
        <v>10.999985822411523</v>
      </c>
      <c r="Q2489" s="25">
        <v>5000</v>
      </c>
      <c r="R2489" s="22">
        <v>100</v>
      </c>
      <c r="S2489" s="22" t="s">
        <v>3101</v>
      </c>
      <c r="T2489" s="22">
        <f t="shared" si="199"/>
        <v>7</v>
      </c>
      <c r="U2489" s="22">
        <f t="shared" si="200"/>
        <v>2021</v>
      </c>
      <c r="V2489" s="22" t="str">
        <f t="shared" si="201"/>
        <v>METROPOLITANA</v>
      </c>
    </row>
    <row r="2490" spans="1:22" x14ac:dyDescent="0.2">
      <c r="A2490" s="23" t="s">
        <v>3092</v>
      </c>
      <c r="B2490" s="22" t="s">
        <v>33</v>
      </c>
      <c r="C2490" s="22" t="s">
        <v>44</v>
      </c>
      <c r="D2490" s="22" t="s">
        <v>45</v>
      </c>
      <c r="E2490" s="24">
        <v>99626232</v>
      </c>
      <c r="F2490" s="22" t="s">
        <v>34</v>
      </c>
      <c r="G2490" s="25">
        <v>4408.5</v>
      </c>
      <c r="H2490" s="22" t="s">
        <v>22</v>
      </c>
      <c r="I2490" s="22">
        <v>0</v>
      </c>
      <c r="J2490" s="22" t="s">
        <v>34</v>
      </c>
      <c r="K2490" s="22" t="s">
        <v>23</v>
      </c>
      <c r="L2490" s="22">
        <v>1</v>
      </c>
      <c r="M2490" s="26">
        <v>55000</v>
      </c>
      <c r="N2490" s="26">
        <v>0</v>
      </c>
      <c r="O2490" s="15">
        <f>SUM(M2490:N2490)</f>
        <v>55000</v>
      </c>
      <c r="P2490" s="15">
        <f t="shared" si="197"/>
        <v>12.475898831802199</v>
      </c>
      <c r="Q2490" s="25">
        <v>5000</v>
      </c>
      <c r="R2490" s="22">
        <v>88</v>
      </c>
      <c r="S2490" s="22" t="s">
        <v>3102</v>
      </c>
      <c r="T2490" s="22">
        <f t="shared" si="199"/>
        <v>7</v>
      </c>
      <c r="U2490" s="22">
        <f t="shared" si="200"/>
        <v>2021</v>
      </c>
      <c r="V2490" s="22" t="str">
        <f t="shared" si="201"/>
        <v>METROPOLITANA</v>
      </c>
    </row>
    <row r="2491" spans="1:22" x14ac:dyDescent="0.2">
      <c r="A2491" s="23" t="s">
        <v>3092</v>
      </c>
      <c r="B2491" s="22" t="s">
        <v>33</v>
      </c>
      <c r="C2491" s="22" t="s">
        <v>44</v>
      </c>
      <c r="D2491" s="22" t="s">
        <v>47</v>
      </c>
      <c r="E2491" s="24">
        <v>154837728</v>
      </c>
      <c r="F2491" s="22" t="s">
        <v>48</v>
      </c>
      <c r="G2491" s="25">
        <f>3632.94+2319</f>
        <v>5951.9400000000005</v>
      </c>
      <c r="H2491" s="22" t="s">
        <v>22</v>
      </c>
      <c r="I2491" s="22">
        <v>0</v>
      </c>
      <c r="J2491" s="22" t="s">
        <v>48</v>
      </c>
      <c r="K2491" s="22" t="s">
        <v>23</v>
      </c>
      <c r="L2491" s="22">
        <v>1</v>
      </c>
      <c r="M2491" s="26">
        <v>55000</v>
      </c>
      <c r="N2491" s="26">
        <v>0</v>
      </c>
      <c r="O2491" s="15">
        <f>G2491*11</f>
        <v>65471.340000000004</v>
      </c>
      <c r="P2491" s="15">
        <f t="shared" si="197"/>
        <v>11</v>
      </c>
      <c r="Q2491" s="25">
        <v>5000</v>
      </c>
      <c r="R2491" s="22">
        <v>73</v>
      </c>
      <c r="S2491" s="22" t="s">
        <v>3106</v>
      </c>
      <c r="T2491" s="22">
        <f t="shared" si="199"/>
        <v>7</v>
      </c>
      <c r="U2491" s="22">
        <f t="shared" si="200"/>
        <v>2021</v>
      </c>
      <c r="V2491" s="22" t="str">
        <f t="shared" si="201"/>
        <v>METROPOLITANA</v>
      </c>
    </row>
    <row r="2492" spans="1:22" x14ac:dyDescent="0.2">
      <c r="A2492" s="23" t="s">
        <v>3092</v>
      </c>
      <c r="B2492" s="22" t="s">
        <v>33</v>
      </c>
      <c r="C2492" s="22" t="s">
        <v>44</v>
      </c>
      <c r="D2492" s="22" t="s">
        <v>125</v>
      </c>
      <c r="E2492" s="24">
        <v>172861164</v>
      </c>
      <c r="F2492" s="22" t="s">
        <v>691</v>
      </c>
      <c r="G2492" s="25">
        <v>15378.000000000009</v>
      </c>
      <c r="H2492" s="22" t="s">
        <v>174</v>
      </c>
      <c r="I2492" s="22">
        <v>0</v>
      </c>
      <c r="J2492" s="22" t="s">
        <v>691</v>
      </c>
      <c r="K2492" s="22" t="s">
        <v>873</v>
      </c>
      <c r="L2492" s="22">
        <v>0</v>
      </c>
      <c r="M2492" s="26">
        <v>1020000</v>
      </c>
      <c r="N2492" s="26">
        <v>0</v>
      </c>
      <c r="O2492" s="15">
        <f>SUM(M2492:N2492)</f>
        <v>1020000</v>
      </c>
      <c r="P2492" s="15">
        <f t="shared" si="197"/>
        <v>66.328521264143546</v>
      </c>
      <c r="Q2492" s="25">
        <v>25000</v>
      </c>
      <c r="R2492" s="22">
        <v>62</v>
      </c>
      <c r="S2492" s="22" t="s">
        <v>3103</v>
      </c>
      <c r="T2492" s="22">
        <f t="shared" si="199"/>
        <v>7</v>
      </c>
      <c r="U2492" s="22">
        <f t="shared" si="200"/>
        <v>2021</v>
      </c>
      <c r="V2492" s="22" t="str">
        <f t="shared" si="201"/>
        <v>REGIONES</v>
      </c>
    </row>
    <row r="2493" spans="1:22" x14ac:dyDescent="0.2">
      <c r="A2493" s="23" t="s">
        <v>3092</v>
      </c>
      <c r="B2493" s="22" t="s">
        <v>33</v>
      </c>
      <c r="C2493" s="22" t="s">
        <v>44</v>
      </c>
      <c r="D2493" s="22" t="s">
        <v>35</v>
      </c>
      <c r="E2493" s="24">
        <v>78907355</v>
      </c>
      <c r="F2493" s="22" t="s">
        <v>95</v>
      </c>
      <c r="G2493" s="25">
        <v>3655.62</v>
      </c>
      <c r="H2493" s="22" t="s">
        <v>22</v>
      </c>
      <c r="I2493" s="22">
        <v>0</v>
      </c>
      <c r="J2493" s="22" t="s">
        <v>95</v>
      </c>
      <c r="K2493" s="22" t="s">
        <v>23</v>
      </c>
      <c r="L2493" s="22">
        <v>4</v>
      </c>
      <c r="M2493" s="26">
        <v>55000</v>
      </c>
      <c r="N2493" s="26">
        <v>0</v>
      </c>
      <c r="O2493" s="15">
        <f>G2493*11</f>
        <v>40211.82</v>
      </c>
      <c r="P2493" s="15">
        <f t="shared" si="197"/>
        <v>11</v>
      </c>
      <c r="Q2493" s="25">
        <v>5000</v>
      </c>
      <c r="R2493" s="22">
        <v>73</v>
      </c>
      <c r="S2493" s="22" t="s">
        <v>3104</v>
      </c>
      <c r="T2493" s="22">
        <f t="shared" si="199"/>
        <v>7</v>
      </c>
      <c r="U2493" s="22">
        <f t="shared" si="200"/>
        <v>2021</v>
      </c>
      <c r="V2493" s="22" t="str">
        <f t="shared" si="201"/>
        <v>METROPOLITANA</v>
      </c>
    </row>
    <row r="2494" spans="1:22" s="12" customFormat="1" x14ac:dyDescent="0.2">
      <c r="A2494" s="11" t="s">
        <v>3107</v>
      </c>
      <c r="B2494" s="12" t="s">
        <v>18</v>
      </c>
      <c r="C2494" s="12" t="s">
        <v>1997</v>
      </c>
      <c r="D2494" s="12" t="s">
        <v>41</v>
      </c>
      <c r="E2494" s="13" t="s">
        <v>3108</v>
      </c>
      <c r="F2494" s="12" t="s">
        <v>58</v>
      </c>
      <c r="G2494" s="14">
        <v>5602.7999999999984</v>
      </c>
      <c r="H2494" s="12" t="s">
        <v>43</v>
      </c>
      <c r="I2494" s="12">
        <v>0</v>
      </c>
      <c r="J2494" s="12" t="s">
        <v>58</v>
      </c>
      <c r="K2494" s="12" t="s">
        <v>23</v>
      </c>
      <c r="L2494" s="12">
        <v>5</v>
      </c>
      <c r="M2494" s="15">
        <v>70000</v>
      </c>
      <c r="N2494" s="15">
        <v>0</v>
      </c>
      <c r="O2494" s="15">
        <f>G2494*11</f>
        <v>61630.799999999981</v>
      </c>
      <c r="P2494" s="15">
        <f t="shared" si="197"/>
        <v>11</v>
      </c>
      <c r="Q2494" s="14">
        <v>10000</v>
      </c>
      <c r="R2494" s="12">
        <v>56</v>
      </c>
      <c r="S2494" s="12" t="s">
        <v>3109</v>
      </c>
      <c r="T2494" s="12">
        <f t="shared" si="199"/>
        <v>7</v>
      </c>
      <c r="U2494" s="12">
        <f t="shared" si="200"/>
        <v>2021</v>
      </c>
      <c r="V2494" s="12" t="str">
        <f t="shared" si="201"/>
        <v>METROPOLITANA</v>
      </c>
    </row>
    <row r="2495" spans="1:22" s="12" customFormat="1" x14ac:dyDescent="0.2">
      <c r="A2495" s="11" t="s">
        <v>3107</v>
      </c>
      <c r="B2495" s="12" t="s">
        <v>18</v>
      </c>
      <c r="C2495" s="12" t="s">
        <v>1997</v>
      </c>
      <c r="D2495" s="12" t="s">
        <v>41</v>
      </c>
      <c r="E2495" s="13" t="s">
        <v>25</v>
      </c>
      <c r="F2495" s="12" t="s">
        <v>58</v>
      </c>
      <c r="G2495" s="14">
        <v>11775.22</v>
      </c>
      <c r="H2495" s="12" t="s">
        <v>43</v>
      </c>
      <c r="I2495" s="12">
        <v>0</v>
      </c>
      <c r="J2495" s="12" t="s">
        <v>58</v>
      </c>
      <c r="K2495" s="12" t="s">
        <v>23</v>
      </c>
      <c r="L2495" s="12">
        <v>5</v>
      </c>
      <c r="M2495" s="15">
        <v>70000</v>
      </c>
      <c r="N2495" s="15">
        <v>0</v>
      </c>
      <c r="O2495" s="15">
        <f>G2495*11</f>
        <v>129527.42</v>
      </c>
      <c r="P2495" s="15">
        <f t="shared" si="197"/>
        <v>11</v>
      </c>
      <c r="Q2495" s="14">
        <v>10000</v>
      </c>
      <c r="R2495" s="12">
        <v>100</v>
      </c>
      <c r="S2495" s="12" t="s">
        <v>3110</v>
      </c>
      <c r="T2495" s="12">
        <f t="shared" si="199"/>
        <v>7</v>
      </c>
      <c r="U2495" s="12">
        <f t="shared" si="200"/>
        <v>2021</v>
      </c>
      <c r="V2495" s="12" t="str">
        <f t="shared" si="201"/>
        <v>METROPOLITANA</v>
      </c>
    </row>
    <row r="2496" spans="1:22" s="12" customFormat="1" x14ac:dyDescent="0.2">
      <c r="A2496" s="11" t="s">
        <v>3107</v>
      </c>
      <c r="B2496" s="12" t="s">
        <v>18</v>
      </c>
      <c r="C2496" s="12" t="s">
        <v>57</v>
      </c>
      <c r="D2496" s="12" t="s">
        <v>63</v>
      </c>
      <c r="E2496" s="13" t="s">
        <v>64</v>
      </c>
      <c r="F2496" s="12" t="s">
        <v>120</v>
      </c>
      <c r="G2496" s="14">
        <v>8024.47</v>
      </c>
      <c r="H2496" s="12" t="s">
        <v>65</v>
      </c>
      <c r="I2496" s="12">
        <v>0</v>
      </c>
      <c r="J2496" s="12" t="s">
        <v>120</v>
      </c>
      <c r="K2496" s="12" t="s">
        <v>23</v>
      </c>
      <c r="L2496" s="12">
        <v>5</v>
      </c>
      <c r="M2496" s="15">
        <v>70000</v>
      </c>
      <c r="N2496" s="15">
        <v>0</v>
      </c>
      <c r="O2496" s="15">
        <f>SUM(M2496:N2496)</f>
        <v>70000</v>
      </c>
      <c r="P2496" s="15">
        <f t="shared" si="197"/>
        <v>8.7233175524364839</v>
      </c>
      <c r="Q2496" s="14">
        <v>10000</v>
      </c>
      <c r="R2496" s="12">
        <v>80</v>
      </c>
      <c r="S2496" s="12" t="s">
        <v>3111</v>
      </c>
      <c r="T2496" s="12">
        <f t="shared" si="199"/>
        <v>7</v>
      </c>
      <c r="U2496" s="12">
        <f t="shared" si="200"/>
        <v>2021</v>
      </c>
      <c r="V2496" s="12" t="str">
        <f t="shared" si="201"/>
        <v>METROPOLITANA</v>
      </c>
    </row>
    <row r="2497" spans="1:22" s="12" customFormat="1" x14ac:dyDescent="0.2">
      <c r="A2497" s="11" t="s">
        <v>3107</v>
      </c>
      <c r="B2497" s="12" t="s">
        <v>18</v>
      </c>
      <c r="C2497" s="12" t="s">
        <v>3060</v>
      </c>
      <c r="D2497" s="12" t="s">
        <v>38</v>
      </c>
      <c r="E2497" s="13" t="s">
        <v>42</v>
      </c>
      <c r="F2497" s="12" t="s">
        <v>58</v>
      </c>
      <c r="G2497" s="14">
        <v>9538.56</v>
      </c>
      <c r="H2497" s="12" t="s">
        <v>43</v>
      </c>
      <c r="I2497" s="12">
        <v>0</v>
      </c>
      <c r="J2497" s="12" t="s">
        <v>58</v>
      </c>
      <c r="K2497" s="12" t="s">
        <v>23</v>
      </c>
      <c r="L2497" s="12">
        <v>5</v>
      </c>
      <c r="M2497" s="15">
        <v>70000</v>
      </c>
      <c r="N2497" s="15">
        <v>0</v>
      </c>
      <c r="O2497" s="15">
        <f>G2497*11</f>
        <v>104924.15999999999</v>
      </c>
      <c r="P2497" s="15">
        <f t="shared" si="197"/>
        <v>11</v>
      </c>
      <c r="Q2497" s="14">
        <v>10000</v>
      </c>
      <c r="R2497" s="12">
        <v>95</v>
      </c>
      <c r="S2497" s="12" t="s">
        <v>3112</v>
      </c>
      <c r="T2497" s="12">
        <f t="shared" si="199"/>
        <v>7</v>
      </c>
      <c r="U2497" s="12">
        <f t="shared" si="200"/>
        <v>2021</v>
      </c>
      <c r="V2497" s="12" t="str">
        <f t="shared" si="201"/>
        <v>METROPOLITANA</v>
      </c>
    </row>
    <row r="2498" spans="1:22" s="12" customFormat="1" x14ac:dyDescent="0.2">
      <c r="A2498" s="11" t="s">
        <v>3107</v>
      </c>
      <c r="B2498" s="12" t="s">
        <v>18</v>
      </c>
      <c r="C2498" s="12" t="s">
        <v>3060</v>
      </c>
      <c r="D2498" s="12" t="s">
        <v>37</v>
      </c>
      <c r="E2498" s="13" t="s">
        <v>1576</v>
      </c>
      <c r="F2498" s="12" t="s">
        <v>58</v>
      </c>
      <c r="G2498" s="14">
        <v>13550.97</v>
      </c>
      <c r="H2498" s="12" t="s">
        <v>22</v>
      </c>
      <c r="I2498" s="12">
        <v>0</v>
      </c>
      <c r="J2498" s="12" t="s">
        <v>58</v>
      </c>
      <c r="K2498" s="12" t="s">
        <v>23</v>
      </c>
      <c r="L2498" s="12">
        <v>5</v>
      </c>
      <c r="M2498" s="15">
        <v>70000</v>
      </c>
      <c r="N2498" s="15">
        <v>0</v>
      </c>
      <c r="O2498" s="15">
        <f>G2498*11</f>
        <v>149060.66999999998</v>
      </c>
      <c r="P2498" s="15">
        <f t="shared" ref="P2498:P2561" si="204">O2498/G2498</f>
        <v>11</v>
      </c>
      <c r="Q2498" s="14">
        <v>10000</v>
      </c>
      <c r="R2498" s="12">
        <v>100</v>
      </c>
      <c r="S2498" s="12" t="s">
        <v>3113</v>
      </c>
      <c r="T2498" s="12">
        <f t="shared" si="199"/>
        <v>7</v>
      </c>
      <c r="U2498" s="12">
        <f t="shared" si="200"/>
        <v>2021</v>
      </c>
      <c r="V2498" s="12" t="str">
        <f t="shared" si="201"/>
        <v>METROPOLITANA</v>
      </c>
    </row>
    <row r="2499" spans="1:22" s="12" customFormat="1" x14ac:dyDescent="0.2">
      <c r="A2499" s="11" t="s">
        <v>3107</v>
      </c>
      <c r="B2499" s="12" t="s">
        <v>18</v>
      </c>
      <c r="C2499" s="12" t="s">
        <v>3060</v>
      </c>
      <c r="D2499" s="12" t="s">
        <v>20</v>
      </c>
      <c r="E2499" s="13" t="s">
        <v>21</v>
      </c>
      <c r="F2499" s="12" t="s">
        <v>58</v>
      </c>
      <c r="G2499" s="14">
        <v>10780.02</v>
      </c>
      <c r="H2499" s="12" t="s">
        <v>22</v>
      </c>
      <c r="I2499" s="12">
        <v>0</v>
      </c>
      <c r="J2499" s="12" t="s">
        <v>58</v>
      </c>
      <c r="K2499" s="12" t="s">
        <v>23</v>
      </c>
      <c r="L2499" s="12">
        <v>5</v>
      </c>
      <c r="M2499" s="15">
        <v>70000</v>
      </c>
      <c r="N2499" s="15">
        <v>0</v>
      </c>
      <c r="O2499" s="15">
        <f>G2499*11</f>
        <v>118580.22</v>
      </c>
      <c r="P2499" s="15">
        <f t="shared" si="204"/>
        <v>11</v>
      </c>
      <c r="Q2499" s="14">
        <v>10000</v>
      </c>
      <c r="R2499" s="12">
        <v>100</v>
      </c>
      <c r="S2499" s="12" t="s">
        <v>3114</v>
      </c>
      <c r="T2499" s="12">
        <f t="shared" si="199"/>
        <v>7</v>
      </c>
      <c r="U2499" s="12">
        <f t="shared" si="200"/>
        <v>2021</v>
      </c>
      <c r="V2499" s="12" t="str">
        <f t="shared" si="201"/>
        <v>METROPOLITANA</v>
      </c>
    </row>
    <row r="2500" spans="1:22" s="12" customFormat="1" x14ac:dyDescent="0.2">
      <c r="A2500" s="11" t="s">
        <v>3107</v>
      </c>
      <c r="B2500" s="12" t="s">
        <v>18</v>
      </c>
      <c r="C2500" s="12" t="s">
        <v>163</v>
      </c>
      <c r="D2500" s="12" t="s">
        <v>164</v>
      </c>
      <c r="E2500" s="13" t="s">
        <v>28</v>
      </c>
      <c r="F2500" s="12" t="s">
        <v>165</v>
      </c>
      <c r="G2500" s="14">
        <v>23047</v>
      </c>
      <c r="H2500" s="12" t="s">
        <v>22</v>
      </c>
      <c r="I2500" s="12">
        <v>1</v>
      </c>
      <c r="J2500" s="12" t="s">
        <v>165</v>
      </c>
      <c r="K2500" s="12" t="s">
        <v>23</v>
      </c>
      <c r="L2500" s="12">
        <v>4</v>
      </c>
      <c r="M2500" s="15">
        <v>253517</v>
      </c>
      <c r="N2500" s="15">
        <v>0</v>
      </c>
      <c r="O2500" s="15">
        <f>SUM(M2500:N2500)</f>
        <v>253517</v>
      </c>
      <c r="P2500" s="15">
        <f t="shared" si="204"/>
        <v>11</v>
      </c>
      <c r="Q2500" s="14">
        <v>5000</v>
      </c>
      <c r="R2500" s="12">
        <v>100</v>
      </c>
      <c r="S2500" s="12" t="s">
        <v>3115</v>
      </c>
      <c r="T2500" s="12">
        <f t="shared" si="199"/>
        <v>7</v>
      </c>
      <c r="U2500" s="12">
        <f t="shared" si="200"/>
        <v>2021</v>
      </c>
      <c r="V2500" s="12" t="str">
        <f t="shared" si="201"/>
        <v>METROPOLITANA</v>
      </c>
    </row>
    <row r="2501" spans="1:22" s="51" customFormat="1" x14ac:dyDescent="0.2">
      <c r="A2501" s="50" t="s">
        <v>3107</v>
      </c>
      <c r="B2501" s="51" t="s">
        <v>18</v>
      </c>
      <c r="C2501" s="51" t="s">
        <v>87</v>
      </c>
      <c r="D2501" s="51" t="s">
        <v>45</v>
      </c>
      <c r="E2501" s="52" t="s">
        <v>52</v>
      </c>
      <c r="F2501" s="51" t="s">
        <v>51</v>
      </c>
      <c r="G2501" s="53">
        <v>6000.24</v>
      </c>
      <c r="H2501" s="51" t="s">
        <v>22</v>
      </c>
      <c r="I2501" s="51">
        <v>0</v>
      </c>
      <c r="J2501" s="51" t="s">
        <v>51</v>
      </c>
      <c r="K2501" s="51" t="s">
        <v>23</v>
      </c>
      <c r="L2501" s="51">
        <v>4</v>
      </c>
      <c r="M2501" s="54">
        <v>66003</v>
      </c>
      <c r="N2501" s="54">
        <v>0</v>
      </c>
      <c r="O2501" s="54">
        <f>SUM(M2501:N2501)</f>
        <v>66003</v>
      </c>
      <c r="P2501" s="54">
        <f t="shared" si="204"/>
        <v>11.000059997600097</v>
      </c>
      <c r="Q2501" s="53">
        <v>5000</v>
      </c>
      <c r="R2501" s="51">
        <v>100</v>
      </c>
      <c r="S2501" s="51" t="s">
        <v>3116</v>
      </c>
      <c r="T2501" s="51">
        <f t="shared" si="199"/>
        <v>7</v>
      </c>
      <c r="U2501" s="51">
        <f t="shared" si="200"/>
        <v>2021</v>
      </c>
      <c r="V2501" s="51" t="str">
        <f t="shared" si="201"/>
        <v>METROPOLITANA</v>
      </c>
    </row>
    <row r="2502" spans="1:22" s="12" customFormat="1" x14ac:dyDescent="0.2">
      <c r="A2502" s="11" t="s">
        <v>3107</v>
      </c>
      <c r="B2502" s="12" t="s">
        <v>33</v>
      </c>
      <c r="C2502" s="12" t="s">
        <v>2507</v>
      </c>
      <c r="D2502" s="12" t="s">
        <v>30</v>
      </c>
      <c r="E2502" s="13" t="s">
        <v>31</v>
      </c>
      <c r="F2502" s="12" t="s">
        <v>2508</v>
      </c>
      <c r="G2502" s="14">
        <v>11011</v>
      </c>
      <c r="H2502" s="12" t="s">
        <v>32</v>
      </c>
      <c r="I2502" s="12">
        <v>0</v>
      </c>
      <c r="J2502" s="12" t="s">
        <v>2508</v>
      </c>
      <c r="K2502" s="12" t="s">
        <v>171</v>
      </c>
      <c r="L2502" s="12">
        <v>0</v>
      </c>
      <c r="M2502" s="15">
        <v>180000</v>
      </c>
      <c r="N2502" s="15">
        <v>0</v>
      </c>
      <c r="O2502" s="15">
        <v>180000</v>
      </c>
      <c r="P2502" s="15">
        <f t="shared" si="204"/>
        <v>16.3472890745618</v>
      </c>
      <c r="Q2502" s="14">
        <v>25000</v>
      </c>
      <c r="R2502" s="12">
        <v>44</v>
      </c>
      <c r="S2502" s="12" t="s">
        <v>3117</v>
      </c>
      <c r="T2502" s="12">
        <f t="shared" si="199"/>
        <v>7</v>
      </c>
      <c r="U2502" s="12">
        <f t="shared" si="200"/>
        <v>2021</v>
      </c>
      <c r="V2502" s="12" t="str">
        <f t="shared" si="201"/>
        <v>REGIONES</v>
      </c>
    </row>
    <row r="2503" spans="1:22" s="12" customFormat="1" x14ac:dyDescent="0.2">
      <c r="A2503" s="11" t="s">
        <v>3107</v>
      </c>
      <c r="B2503" s="12" t="s">
        <v>33</v>
      </c>
      <c r="C2503" s="12" t="s">
        <v>29</v>
      </c>
      <c r="D2503" s="12" t="s">
        <v>38</v>
      </c>
      <c r="E2503" s="13" t="s">
        <v>42</v>
      </c>
      <c r="F2503" s="12" t="s">
        <v>129</v>
      </c>
      <c r="G2503" s="14">
        <v>9558.5000000000036</v>
      </c>
      <c r="H2503" s="12" t="s">
        <v>43</v>
      </c>
      <c r="I2503" s="12">
        <v>0</v>
      </c>
      <c r="J2503" s="12" t="s">
        <v>129</v>
      </c>
      <c r="K2503" s="12" t="s">
        <v>23</v>
      </c>
      <c r="L2503" s="12">
        <v>1</v>
      </c>
      <c r="M2503" s="15">
        <v>105144</v>
      </c>
      <c r="N2503" s="15">
        <v>0</v>
      </c>
      <c r="O2503" s="15">
        <f t="shared" ref="O2503:O2511" si="205">SUM(M2503:N2503)</f>
        <v>105144</v>
      </c>
      <c r="P2503" s="15">
        <f t="shared" si="204"/>
        <v>11.000052309462777</v>
      </c>
      <c r="Q2503" s="14">
        <v>5000</v>
      </c>
      <c r="R2503" s="12">
        <v>100</v>
      </c>
      <c r="S2503" s="12" t="s">
        <v>3118</v>
      </c>
      <c r="T2503" s="12">
        <f t="shared" si="199"/>
        <v>7</v>
      </c>
      <c r="U2503" s="12">
        <f t="shared" si="200"/>
        <v>2021</v>
      </c>
      <c r="V2503" s="12" t="str">
        <f t="shared" si="201"/>
        <v>METROPOLITANA</v>
      </c>
    </row>
    <row r="2504" spans="1:22" s="12" customFormat="1" x14ac:dyDescent="0.2">
      <c r="A2504" s="11" t="s">
        <v>3107</v>
      </c>
      <c r="B2504" s="12" t="s">
        <v>33</v>
      </c>
      <c r="C2504" s="12" t="s">
        <v>29</v>
      </c>
      <c r="D2504" s="12" t="s">
        <v>37</v>
      </c>
      <c r="E2504" s="13" t="s">
        <v>1576</v>
      </c>
      <c r="F2504" s="12" t="s">
        <v>39</v>
      </c>
      <c r="G2504" s="14">
        <v>4425.8</v>
      </c>
      <c r="H2504" s="12" t="s">
        <v>22</v>
      </c>
      <c r="I2504" s="12">
        <v>0</v>
      </c>
      <c r="J2504" s="12" t="s">
        <v>39</v>
      </c>
      <c r="K2504" s="12" t="s">
        <v>23</v>
      </c>
      <c r="L2504" s="12">
        <v>1</v>
      </c>
      <c r="M2504" s="15">
        <v>55000</v>
      </c>
      <c r="N2504" s="15">
        <v>0</v>
      </c>
      <c r="O2504" s="15">
        <f t="shared" si="205"/>
        <v>55000</v>
      </c>
      <c r="P2504" s="15">
        <f t="shared" si="204"/>
        <v>12.427131817976411</v>
      </c>
      <c r="Q2504" s="14">
        <v>5000</v>
      </c>
      <c r="R2504" s="12">
        <v>89</v>
      </c>
      <c r="S2504" s="12" t="s">
        <v>3119</v>
      </c>
      <c r="T2504" s="12">
        <f t="shared" ref="T2504:T2567" si="206">MONTH(A2504)</f>
        <v>7</v>
      </c>
      <c r="U2504" s="12">
        <f t="shared" ref="U2504:U2567" si="207">YEAR(A2504)</f>
        <v>2021</v>
      </c>
      <c r="V2504" s="12" t="str">
        <f t="shared" ref="V2504:V2567" si="208">IF(K2504="METROPOLITANA DE SANTIAGO","METROPOLITANA","REGIONES")</f>
        <v>METROPOLITANA</v>
      </c>
    </row>
    <row r="2505" spans="1:22" s="12" customFormat="1" x14ac:dyDescent="0.2">
      <c r="A2505" s="11" t="s">
        <v>3107</v>
      </c>
      <c r="B2505" s="12" t="s">
        <v>33</v>
      </c>
      <c r="C2505" s="12" t="s">
        <v>29</v>
      </c>
      <c r="D2505" s="12" t="s">
        <v>786</v>
      </c>
      <c r="E2505" s="13" t="s">
        <v>787</v>
      </c>
      <c r="F2505" s="12" t="s">
        <v>132</v>
      </c>
      <c r="G2505" s="14">
        <v>17531.19999999999</v>
      </c>
      <c r="H2505" s="12" t="s">
        <v>788</v>
      </c>
      <c r="I2505" s="12">
        <v>1</v>
      </c>
      <c r="J2505" s="12" t="s">
        <v>132</v>
      </c>
      <c r="K2505" s="12" t="s">
        <v>124</v>
      </c>
      <c r="L2505" s="12">
        <v>0</v>
      </c>
      <c r="M2505" s="15">
        <v>350000</v>
      </c>
      <c r="N2505" s="15">
        <v>0</v>
      </c>
      <c r="O2505" s="15">
        <f t="shared" si="205"/>
        <v>350000</v>
      </c>
      <c r="P2505" s="15">
        <f t="shared" si="204"/>
        <v>19.964406315597348</v>
      </c>
      <c r="Q2505" s="14">
        <v>25000</v>
      </c>
      <c r="R2505" s="12">
        <v>70</v>
      </c>
      <c r="S2505" s="12" t="s">
        <v>3120</v>
      </c>
      <c r="T2505" s="12">
        <f t="shared" si="206"/>
        <v>7</v>
      </c>
      <c r="U2505" s="12">
        <f t="shared" si="207"/>
        <v>2021</v>
      </c>
      <c r="V2505" s="12" t="str">
        <f t="shared" si="208"/>
        <v>REGIONES</v>
      </c>
    </row>
    <row r="2506" spans="1:22" s="12" customFormat="1" x14ac:dyDescent="0.2">
      <c r="A2506" s="11" t="s">
        <v>3107</v>
      </c>
      <c r="B2506" s="12" t="s">
        <v>33</v>
      </c>
      <c r="C2506" s="12" t="s">
        <v>29</v>
      </c>
      <c r="D2506" s="12" t="s">
        <v>41</v>
      </c>
      <c r="E2506" s="13" t="s">
        <v>25</v>
      </c>
      <c r="F2506" s="12" t="s">
        <v>39</v>
      </c>
      <c r="G2506" s="14">
        <v>8248.4000000000015</v>
      </c>
      <c r="H2506" s="12" t="s">
        <v>43</v>
      </c>
      <c r="I2506" s="12">
        <v>0</v>
      </c>
      <c r="J2506" s="12" t="s">
        <v>39</v>
      </c>
      <c r="K2506" s="12" t="s">
        <v>23</v>
      </c>
      <c r="L2506" s="12">
        <v>1</v>
      </c>
      <c r="M2506" s="15">
        <v>90732</v>
      </c>
      <c r="N2506" s="15">
        <v>0</v>
      </c>
      <c r="O2506" s="15">
        <f t="shared" si="205"/>
        <v>90732</v>
      </c>
      <c r="P2506" s="15">
        <f t="shared" si="204"/>
        <v>10.999951505746568</v>
      </c>
      <c r="Q2506" s="14">
        <v>5000</v>
      </c>
      <c r="R2506" s="12">
        <v>100</v>
      </c>
      <c r="S2506" s="12" t="s">
        <v>3121</v>
      </c>
      <c r="T2506" s="12">
        <f t="shared" si="206"/>
        <v>7</v>
      </c>
      <c r="U2506" s="12">
        <f t="shared" si="207"/>
        <v>2021</v>
      </c>
      <c r="V2506" s="12" t="str">
        <f t="shared" si="208"/>
        <v>METROPOLITANA</v>
      </c>
    </row>
    <row r="2507" spans="1:22" s="12" customFormat="1" x14ac:dyDescent="0.2">
      <c r="A2507" s="11" t="s">
        <v>3107</v>
      </c>
      <c r="B2507" s="12" t="s">
        <v>33</v>
      </c>
      <c r="C2507" s="12" t="s">
        <v>29</v>
      </c>
      <c r="D2507" s="12" t="s">
        <v>20</v>
      </c>
      <c r="E2507" s="13" t="s">
        <v>21</v>
      </c>
      <c r="F2507" s="12" t="s">
        <v>39</v>
      </c>
      <c r="G2507" s="14">
        <v>4731.0000000000009</v>
      </c>
      <c r="H2507" s="12" t="s">
        <v>22</v>
      </c>
      <c r="I2507" s="12">
        <v>0</v>
      </c>
      <c r="J2507" s="12" t="s">
        <v>39</v>
      </c>
      <c r="K2507" s="12" t="s">
        <v>23</v>
      </c>
      <c r="L2507" s="12">
        <v>1</v>
      </c>
      <c r="M2507" s="15">
        <v>55000</v>
      </c>
      <c r="N2507" s="15">
        <v>0</v>
      </c>
      <c r="O2507" s="15">
        <f t="shared" si="205"/>
        <v>55000</v>
      </c>
      <c r="P2507" s="15">
        <f t="shared" si="204"/>
        <v>11.625449165081376</v>
      </c>
      <c r="Q2507" s="14">
        <v>5000</v>
      </c>
      <c r="R2507" s="12">
        <v>95</v>
      </c>
      <c r="S2507" s="12" t="s">
        <v>3122</v>
      </c>
      <c r="T2507" s="12">
        <f t="shared" si="206"/>
        <v>7</v>
      </c>
      <c r="U2507" s="12">
        <f t="shared" si="207"/>
        <v>2021</v>
      </c>
      <c r="V2507" s="12" t="str">
        <f t="shared" si="208"/>
        <v>METROPOLITANA</v>
      </c>
    </row>
    <row r="2508" spans="1:22" s="12" customFormat="1" x14ac:dyDescent="0.2">
      <c r="A2508" s="11" t="s">
        <v>3107</v>
      </c>
      <c r="B2508" s="12" t="s">
        <v>33</v>
      </c>
      <c r="C2508" s="12" t="s">
        <v>44</v>
      </c>
      <c r="D2508" s="12" t="s">
        <v>56</v>
      </c>
      <c r="E2508" s="13" t="s">
        <v>52</v>
      </c>
      <c r="F2508" s="12" t="s">
        <v>48</v>
      </c>
      <c r="G2508" s="14">
        <v>5809.0999999999995</v>
      </c>
      <c r="H2508" s="12" t="s">
        <v>22</v>
      </c>
      <c r="I2508" s="12">
        <v>0</v>
      </c>
      <c r="J2508" s="12" t="s">
        <v>48</v>
      </c>
      <c r="K2508" s="12" t="s">
        <v>23</v>
      </c>
      <c r="L2508" s="12">
        <v>1</v>
      </c>
      <c r="M2508" s="15">
        <v>63900</v>
      </c>
      <c r="N2508" s="15">
        <v>0</v>
      </c>
      <c r="O2508" s="15">
        <f t="shared" si="205"/>
        <v>63900</v>
      </c>
      <c r="P2508" s="15">
        <f t="shared" si="204"/>
        <v>10.999982785629445</v>
      </c>
      <c r="Q2508" s="14">
        <v>5000</v>
      </c>
      <c r="R2508" s="12">
        <v>100</v>
      </c>
      <c r="S2508" s="12" t="s">
        <v>3123</v>
      </c>
      <c r="T2508" s="12">
        <f t="shared" si="206"/>
        <v>7</v>
      </c>
      <c r="U2508" s="12">
        <f t="shared" si="207"/>
        <v>2021</v>
      </c>
      <c r="V2508" s="12" t="str">
        <f t="shared" si="208"/>
        <v>METROPOLITANA</v>
      </c>
    </row>
    <row r="2509" spans="1:22" s="12" customFormat="1" x14ac:dyDescent="0.2">
      <c r="A2509" s="11" t="s">
        <v>3107</v>
      </c>
      <c r="B2509" s="12" t="s">
        <v>33</v>
      </c>
      <c r="C2509" s="12" t="s">
        <v>44</v>
      </c>
      <c r="D2509" s="12" t="s">
        <v>45</v>
      </c>
      <c r="E2509" s="13" t="s">
        <v>28</v>
      </c>
      <c r="F2509" s="12" t="s">
        <v>26</v>
      </c>
      <c r="G2509" s="14">
        <v>5195.7000000000016</v>
      </c>
      <c r="H2509" s="12" t="s">
        <v>22</v>
      </c>
      <c r="I2509" s="12">
        <v>0</v>
      </c>
      <c r="J2509" s="12" t="s">
        <v>26</v>
      </c>
      <c r="K2509" s="12" t="s">
        <v>23</v>
      </c>
      <c r="L2509" s="12">
        <v>4</v>
      </c>
      <c r="M2509" s="15">
        <v>57153</v>
      </c>
      <c r="N2509" s="15">
        <v>0</v>
      </c>
      <c r="O2509" s="15">
        <f t="shared" si="205"/>
        <v>57153</v>
      </c>
      <c r="P2509" s="15">
        <f t="shared" si="204"/>
        <v>11.000057740054272</v>
      </c>
      <c r="Q2509" s="14">
        <v>5000</v>
      </c>
      <c r="R2509" s="12">
        <v>100</v>
      </c>
      <c r="S2509" s="12" t="s">
        <v>3124</v>
      </c>
      <c r="T2509" s="12">
        <f t="shared" si="206"/>
        <v>7</v>
      </c>
      <c r="U2509" s="12">
        <f t="shared" si="207"/>
        <v>2021</v>
      </c>
      <c r="V2509" s="12" t="str">
        <f t="shared" si="208"/>
        <v>METROPOLITANA</v>
      </c>
    </row>
    <row r="2510" spans="1:22" s="12" customFormat="1" x14ac:dyDescent="0.2">
      <c r="A2510" s="11" t="s">
        <v>3107</v>
      </c>
      <c r="B2510" s="12" t="s">
        <v>33</v>
      </c>
      <c r="C2510" s="12" t="s">
        <v>44</v>
      </c>
      <c r="D2510" s="12" t="s">
        <v>47</v>
      </c>
      <c r="E2510" s="13" t="s">
        <v>1576</v>
      </c>
      <c r="F2510" s="12" t="s">
        <v>94</v>
      </c>
      <c r="G2510" s="14">
        <v>8177.9999999999991</v>
      </c>
      <c r="H2510" s="12" t="s">
        <v>22</v>
      </c>
      <c r="I2510" s="12">
        <v>0</v>
      </c>
      <c r="J2510" s="12" t="s">
        <v>59</v>
      </c>
      <c r="K2510" s="12" t="s">
        <v>78</v>
      </c>
      <c r="L2510" s="12">
        <v>0</v>
      </c>
      <c r="M2510" s="15">
        <v>180000</v>
      </c>
      <c r="N2510" s="15">
        <v>0</v>
      </c>
      <c r="O2510" s="15">
        <f t="shared" si="205"/>
        <v>180000</v>
      </c>
      <c r="P2510" s="15">
        <f t="shared" si="204"/>
        <v>22.010271460014675</v>
      </c>
      <c r="Q2510" s="14">
        <v>25000</v>
      </c>
      <c r="R2510" s="12">
        <v>33</v>
      </c>
      <c r="S2510" s="12" t="s">
        <v>3125</v>
      </c>
      <c r="T2510" s="12">
        <f t="shared" si="206"/>
        <v>7</v>
      </c>
      <c r="U2510" s="12">
        <f t="shared" si="207"/>
        <v>2021</v>
      </c>
      <c r="V2510" s="12" t="str">
        <f t="shared" si="208"/>
        <v>REGIONES</v>
      </c>
    </row>
    <row r="2511" spans="1:22" s="12" customFormat="1" x14ac:dyDescent="0.2">
      <c r="A2511" s="11" t="s">
        <v>3107</v>
      </c>
      <c r="B2511" s="12" t="s">
        <v>33</v>
      </c>
      <c r="C2511" s="12" t="s">
        <v>44</v>
      </c>
      <c r="D2511" s="12" t="s">
        <v>35</v>
      </c>
      <c r="E2511" s="13" t="s">
        <v>21</v>
      </c>
      <c r="F2511" s="12" t="s">
        <v>34</v>
      </c>
      <c r="G2511" s="14">
        <v>5101.7199999999984</v>
      </c>
      <c r="H2511" s="12" t="s">
        <v>22</v>
      </c>
      <c r="I2511" s="12">
        <v>0</v>
      </c>
      <c r="J2511" s="12" t="s">
        <v>34</v>
      </c>
      <c r="K2511" s="12" t="s">
        <v>23</v>
      </c>
      <c r="L2511" s="12">
        <v>1</v>
      </c>
      <c r="M2511" s="15">
        <v>56119</v>
      </c>
      <c r="N2511" s="15">
        <v>0</v>
      </c>
      <c r="O2511" s="15">
        <f t="shared" si="205"/>
        <v>56119</v>
      </c>
      <c r="P2511" s="15">
        <f t="shared" si="204"/>
        <v>11.000015680986024</v>
      </c>
      <c r="Q2511" s="14">
        <v>5000</v>
      </c>
      <c r="R2511" s="12">
        <v>100</v>
      </c>
      <c r="S2511" s="12" t="s">
        <v>3126</v>
      </c>
      <c r="T2511" s="12">
        <f t="shared" si="206"/>
        <v>7</v>
      </c>
      <c r="U2511" s="12">
        <f t="shared" si="207"/>
        <v>2021</v>
      </c>
      <c r="V2511" s="12" t="str">
        <f t="shared" si="208"/>
        <v>METROPOLITANA</v>
      </c>
    </row>
    <row r="2512" spans="1:22" x14ac:dyDescent="0.2">
      <c r="A2512" s="23" t="s">
        <v>3127</v>
      </c>
      <c r="B2512" s="22" t="s">
        <v>18</v>
      </c>
      <c r="C2512" s="22" t="s">
        <v>57</v>
      </c>
      <c r="D2512" s="22" t="s">
        <v>63</v>
      </c>
      <c r="E2512" s="24" t="s">
        <v>64</v>
      </c>
      <c r="F2512" s="22" t="s">
        <v>120</v>
      </c>
      <c r="G2512" s="25">
        <f>3750.48+3281</f>
        <v>7031.48</v>
      </c>
      <c r="H2512" s="22" t="s">
        <v>65</v>
      </c>
      <c r="I2512" s="22">
        <v>0</v>
      </c>
      <c r="J2512" s="22" t="s">
        <v>120</v>
      </c>
      <c r="K2512" s="22" t="s">
        <v>23</v>
      </c>
      <c r="L2512" s="22">
        <v>5</v>
      </c>
      <c r="M2512" s="26">
        <v>70000</v>
      </c>
      <c r="N2512" s="26">
        <v>0</v>
      </c>
      <c r="O2512" s="15">
        <f t="shared" ref="O2512:O2517" si="209">G2512*11</f>
        <v>77346.28</v>
      </c>
      <c r="P2512" s="15">
        <f t="shared" si="204"/>
        <v>11</v>
      </c>
      <c r="Q2512" s="25">
        <v>10000</v>
      </c>
      <c r="R2512" s="22">
        <v>100</v>
      </c>
      <c r="S2512" s="22" t="s">
        <v>3143</v>
      </c>
      <c r="T2512" s="22">
        <f t="shared" si="206"/>
        <v>7</v>
      </c>
      <c r="U2512" s="22">
        <f t="shared" si="207"/>
        <v>2021</v>
      </c>
      <c r="V2512" s="22" t="str">
        <f t="shared" si="208"/>
        <v>METROPOLITANA</v>
      </c>
    </row>
    <row r="2513" spans="1:22" x14ac:dyDescent="0.2">
      <c r="A2513" s="23" t="s">
        <v>3127</v>
      </c>
      <c r="B2513" s="22" t="s">
        <v>18</v>
      </c>
      <c r="C2513" s="22" t="s">
        <v>3060</v>
      </c>
      <c r="D2513" s="22" t="s">
        <v>38</v>
      </c>
      <c r="E2513" s="24" t="s">
        <v>42</v>
      </c>
      <c r="F2513" s="22" t="s">
        <v>58</v>
      </c>
      <c r="G2513" s="25">
        <v>6714.58</v>
      </c>
      <c r="H2513" s="22" t="s">
        <v>43</v>
      </c>
      <c r="I2513" s="22">
        <v>0</v>
      </c>
      <c r="J2513" s="22" t="s">
        <v>58</v>
      </c>
      <c r="K2513" s="22" t="s">
        <v>23</v>
      </c>
      <c r="L2513" s="22">
        <v>5</v>
      </c>
      <c r="M2513" s="26">
        <v>70000</v>
      </c>
      <c r="N2513" s="26">
        <v>0</v>
      </c>
      <c r="O2513" s="15">
        <f t="shared" si="209"/>
        <v>73860.38</v>
      </c>
      <c r="P2513" s="15">
        <f t="shared" si="204"/>
        <v>11</v>
      </c>
      <c r="Q2513" s="25">
        <v>10000</v>
      </c>
      <c r="R2513" s="22">
        <v>80</v>
      </c>
      <c r="S2513" s="22" t="s">
        <v>3128</v>
      </c>
      <c r="T2513" s="22">
        <f t="shared" si="206"/>
        <v>7</v>
      </c>
      <c r="U2513" s="22">
        <f t="shared" si="207"/>
        <v>2021</v>
      </c>
      <c r="V2513" s="22" t="str">
        <f t="shared" si="208"/>
        <v>METROPOLITANA</v>
      </c>
    </row>
    <row r="2514" spans="1:22" x14ac:dyDescent="0.2">
      <c r="A2514" s="23" t="s">
        <v>3127</v>
      </c>
      <c r="B2514" s="22" t="s">
        <v>18</v>
      </c>
      <c r="C2514" s="22" t="s">
        <v>3060</v>
      </c>
      <c r="D2514" s="22" t="s">
        <v>30</v>
      </c>
      <c r="E2514" s="24" t="s">
        <v>31</v>
      </c>
      <c r="F2514" s="22" t="s">
        <v>58</v>
      </c>
      <c r="G2514" s="25">
        <v>9199.56</v>
      </c>
      <c r="H2514" s="22" t="s">
        <v>32</v>
      </c>
      <c r="I2514" s="22">
        <v>0</v>
      </c>
      <c r="J2514" s="22" t="s">
        <v>58</v>
      </c>
      <c r="K2514" s="22" t="s">
        <v>23</v>
      </c>
      <c r="L2514" s="22">
        <v>5</v>
      </c>
      <c r="M2514" s="26">
        <v>70000</v>
      </c>
      <c r="N2514" s="26">
        <v>0</v>
      </c>
      <c r="O2514" s="15">
        <f t="shared" si="209"/>
        <v>101195.15999999999</v>
      </c>
      <c r="P2514" s="15">
        <f t="shared" si="204"/>
        <v>11</v>
      </c>
      <c r="Q2514" s="25">
        <v>10000</v>
      </c>
      <c r="R2514" s="22">
        <v>92</v>
      </c>
      <c r="S2514" s="22" t="s">
        <v>3129</v>
      </c>
      <c r="T2514" s="22">
        <f t="shared" si="206"/>
        <v>7</v>
      </c>
      <c r="U2514" s="22">
        <f t="shared" si="207"/>
        <v>2021</v>
      </c>
      <c r="V2514" s="22" t="str">
        <f t="shared" si="208"/>
        <v>METROPOLITANA</v>
      </c>
    </row>
    <row r="2515" spans="1:22" x14ac:dyDescent="0.2">
      <c r="A2515" s="23" t="s">
        <v>3127</v>
      </c>
      <c r="B2515" s="22" t="s">
        <v>18</v>
      </c>
      <c r="C2515" s="22" t="s">
        <v>163</v>
      </c>
      <c r="D2515" s="22" t="s">
        <v>63</v>
      </c>
      <c r="E2515" s="24" t="s">
        <v>64</v>
      </c>
      <c r="F2515" s="22" t="s">
        <v>165</v>
      </c>
      <c r="G2515" s="25">
        <v>8068.5000000000027</v>
      </c>
      <c r="H2515" s="22" t="s">
        <v>65</v>
      </c>
      <c r="I2515" s="22">
        <v>0</v>
      </c>
      <c r="J2515" s="22" t="s">
        <v>165</v>
      </c>
      <c r="K2515" s="22" t="s">
        <v>23</v>
      </c>
      <c r="L2515" s="22">
        <v>4</v>
      </c>
      <c r="M2515" s="26">
        <v>88754</v>
      </c>
      <c r="N2515" s="26">
        <v>0</v>
      </c>
      <c r="O2515" s="15">
        <f t="shared" si="209"/>
        <v>88753.500000000029</v>
      </c>
      <c r="P2515" s="15">
        <f t="shared" si="204"/>
        <v>11</v>
      </c>
      <c r="Q2515" s="25">
        <v>5000</v>
      </c>
      <c r="R2515" s="22">
        <v>100</v>
      </c>
      <c r="S2515" s="22" t="s">
        <v>3130</v>
      </c>
      <c r="T2515" s="22">
        <f t="shared" si="206"/>
        <v>7</v>
      </c>
      <c r="U2515" s="22">
        <f t="shared" si="207"/>
        <v>2021</v>
      </c>
      <c r="V2515" s="22" t="str">
        <f t="shared" si="208"/>
        <v>METROPOLITANA</v>
      </c>
    </row>
    <row r="2516" spans="1:22" x14ac:dyDescent="0.2">
      <c r="A2516" s="23" t="s">
        <v>3127</v>
      </c>
      <c r="B2516" s="22" t="s">
        <v>18</v>
      </c>
      <c r="C2516" s="22" t="s">
        <v>508</v>
      </c>
      <c r="D2516" s="22" t="s">
        <v>20</v>
      </c>
      <c r="E2516" s="24" t="s">
        <v>21</v>
      </c>
      <c r="F2516" s="22" t="s">
        <v>58</v>
      </c>
      <c r="G2516" s="25">
        <v>7153.94</v>
      </c>
      <c r="H2516" s="22" t="s">
        <v>22</v>
      </c>
      <c r="I2516" s="22">
        <v>0</v>
      </c>
      <c r="J2516" s="22" t="s">
        <v>58</v>
      </c>
      <c r="K2516" s="22" t="s">
        <v>23</v>
      </c>
      <c r="L2516" s="22">
        <v>5</v>
      </c>
      <c r="M2516" s="26">
        <v>70000</v>
      </c>
      <c r="N2516" s="26">
        <v>0</v>
      </c>
      <c r="O2516" s="15">
        <f t="shared" si="209"/>
        <v>78693.34</v>
      </c>
      <c r="P2516" s="15">
        <f t="shared" si="204"/>
        <v>11</v>
      </c>
      <c r="Q2516" s="25">
        <v>10000</v>
      </c>
      <c r="R2516" s="22">
        <v>72</v>
      </c>
      <c r="S2516" s="22" t="s">
        <v>3131</v>
      </c>
      <c r="T2516" s="22">
        <f t="shared" si="206"/>
        <v>7</v>
      </c>
      <c r="U2516" s="22">
        <f t="shared" si="207"/>
        <v>2021</v>
      </c>
      <c r="V2516" s="22" t="str">
        <f t="shared" si="208"/>
        <v>METROPOLITANA</v>
      </c>
    </row>
    <row r="2517" spans="1:22" x14ac:dyDescent="0.2">
      <c r="A2517" s="23" t="s">
        <v>3127</v>
      </c>
      <c r="B2517" s="22" t="s">
        <v>33</v>
      </c>
      <c r="C2517" s="22" t="s">
        <v>270</v>
      </c>
      <c r="D2517" s="22" t="s">
        <v>41</v>
      </c>
      <c r="E2517" s="24" t="s">
        <v>25</v>
      </c>
      <c r="F2517" s="22" t="s">
        <v>120</v>
      </c>
      <c r="G2517" s="25">
        <v>7190.0000000000009</v>
      </c>
      <c r="H2517" s="22" t="s">
        <v>43</v>
      </c>
      <c r="I2517" s="22">
        <v>0</v>
      </c>
      <c r="J2517" s="22" t="s">
        <v>120</v>
      </c>
      <c r="K2517" s="22" t="s">
        <v>23</v>
      </c>
      <c r="L2517" s="22">
        <v>5</v>
      </c>
      <c r="M2517" s="26">
        <v>70000</v>
      </c>
      <c r="N2517" s="26">
        <v>0</v>
      </c>
      <c r="O2517" s="15">
        <f t="shared" si="209"/>
        <v>79090.000000000015</v>
      </c>
      <c r="P2517" s="15">
        <f t="shared" si="204"/>
        <v>11</v>
      </c>
      <c r="Q2517" s="25">
        <v>10000</v>
      </c>
      <c r="R2517" s="22">
        <v>72</v>
      </c>
      <c r="S2517" s="22" t="s">
        <v>3132</v>
      </c>
      <c r="T2517" s="22">
        <f t="shared" si="206"/>
        <v>7</v>
      </c>
      <c r="U2517" s="22">
        <f t="shared" si="207"/>
        <v>2021</v>
      </c>
      <c r="V2517" s="22" t="str">
        <f t="shared" si="208"/>
        <v>METROPOLITANA</v>
      </c>
    </row>
    <row r="2518" spans="1:22" x14ac:dyDescent="0.2">
      <c r="A2518" s="23" t="s">
        <v>3127</v>
      </c>
      <c r="B2518" s="22" t="s">
        <v>33</v>
      </c>
      <c r="C2518" s="22" t="s">
        <v>29</v>
      </c>
      <c r="D2518" s="22" t="s">
        <v>2262</v>
      </c>
      <c r="E2518" s="24" t="s">
        <v>83</v>
      </c>
      <c r="F2518" s="22" t="s">
        <v>170</v>
      </c>
      <c r="G2518" s="25">
        <f>12131.2+3023</f>
        <v>15154.2</v>
      </c>
      <c r="H2518" s="22" t="s">
        <v>24</v>
      </c>
      <c r="I2518" s="22">
        <v>1</v>
      </c>
      <c r="J2518" s="22" t="s">
        <v>170</v>
      </c>
      <c r="K2518" s="22" t="s">
        <v>171</v>
      </c>
      <c r="L2518" s="22">
        <v>0</v>
      </c>
      <c r="M2518" s="26">
        <v>230000</v>
      </c>
      <c r="N2518" s="26">
        <v>0</v>
      </c>
      <c r="O2518" s="15">
        <f>SUM(M2518:N2518)</f>
        <v>230000</v>
      </c>
      <c r="P2518" s="15">
        <f t="shared" si="204"/>
        <v>15.177310580565123</v>
      </c>
      <c r="Q2518" s="25">
        <v>25000</v>
      </c>
      <c r="R2518" s="22">
        <v>95</v>
      </c>
      <c r="S2518" s="22" t="s">
        <v>3144</v>
      </c>
      <c r="T2518" s="22">
        <f t="shared" si="206"/>
        <v>7</v>
      </c>
      <c r="U2518" s="22">
        <f t="shared" si="207"/>
        <v>2021</v>
      </c>
      <c r="V2518" s="22" t="str">
        <f t="shared" si="208"/>
        <v>REGIONES</v>
      </c>
    </row>
    <row r="2519" spans="1:22" x14ac:dyDescent="0.2">
      <c r="A2519" s="23" t="s">
        <v>3127</v>
      </c>
      <c r="B2519" s="22" t="s">
        <v>33</v>
      </c>
      <c r="C2519" s="22" t="s">
        <v>29</v>
      </c>
      <c r="D2519" s="22" t="s">
        <v>30</v>
      </c>
      <c r="E2519" s="24" t="s">
        <v>31</v>
      </c>
      <c r="F2519" s="22" t="s">
        <v>39</v>
      </c>
      <c r="G2519" s="25">
        <v>7399.0000000000027</v>
      </c>
      <c r="H2519" s="22" t="s">
        <v>32</v>
      </c>
      <c r="I2519" s="22">
        <v>0</v>
      </c>
      <c r="J2519" s="22" t="s">
        <v>39</v>
      </c>
      <c r="K2519" s="22" t="s">
        <v>23</v>
      </c>
      <c r="L2519" s="22">
        <v>1</v>
      </c>
      <c r="M2519" s="26">
        <v>81389</v>
      </c>
      <c r="N2519" s="26">
        <v>0</v>
      </c>
      <c r="O2519" s="15">
        <f>SUM(M2519:N2519)</f>
        <v>81389</v>
      </c>
      <c r="P2519" s="15">
        <f t="shared" si="204"/>
        <v>10.999999999999996</v>
      </c>
      <c r="Q2519" s="25">
        <v>5000</v>
      </c>
      <c r="R2519" s="22">
        <v>100</v>
      </c>
      <c r="S2519" s="22" t="s">
        <v>3133</v>
      </c>
      <c r="T2519" s="22">
        <f t="shared" si="206"/>
        <v>7</v>
      </c>
      <c r="U2519" s="22">
        <f t="shared" si="207"/>
        <v>2021</v>
      </c>
      <c r="V2519" s="22" t="str">
        <f t="shared" si="208"/>
        <v>METROPOLITANA</v>
      </c>
    </row>
    <row r="2520" spans="1:22" x14ac:dyDescent="0.2">
      <c r="A2520" s="23" t="s">
        <v>3127</v>
      </c>
      <c r="B2520" s="22" t="s">
        <v>33</v>
      </c>
      <c r="C2520" s="22" t="s">
        <v>29</v>
      </c>
      <c r="D2520" s="22" t="s">
        <v>45</v>
      </c>
      <c r="E2520" s="24" t="s">
        <v>1576</v>
      </c>
      <c r="F2520" s="22" t="s">
        <v>134</v>
      </c>
      <c r="G2520" s="25">
        <v>6753.5999999999995</v>
      </c>
      <c r="H2520" s="22" t="s">
        <v>22</v>
      </c>
      <c r="I2520" s="22">
        <v>0</v>
      </c>
      <c r="J2520" s="22" t="s">
        <v>134</v>
      </c>
      <c r="K2520" s="22" t="s">
        <v>23</v>
      </c>
      <c r="L2520" s="22">
        <v>2</v>
      </c>
      <c r="M2520" s="26">
        <v>74290</v>
      </c>
      <c r="N2520" s="26">
        <v>0</v>
      </c>
      <c r="O2520" s="15">
        <f>SUM(M2520:N2520)</f>
        <v>74290</v>
      </c>
      <c r="P2520" s="15">
        <f t="shared" si="204"/>
        <v>11.000059227671169</v>
      </c>
      <c r="Q2520" s="25">
        <v>5000</v>
      </c>
      <c r="R2520" s="22">
        <v>100</v>
      </c>
      <c r="S2520" s="22" t="s">
        <v>3134</v>
      </c>
      <c r="T2520" s="22">
        <f t="shared" si="206"/>
        <v>7</v>
      </c>
      <c r="U2520" s="22">
        <f t="shared" si="207"/>
        <v>2021</v>
      </c>
      <c r="V2520" s="22" t="str">
        <f t="shared" si="208"/>
        <v>METROPOLITANA</v>
      </c>
    </row>
    <row r="2521" spans="1:22" x14ac:dyDescent="0.2">
      <c r="A2521" s="23" t="s">
        <v>3127</v>
      </c>
      <c r="B2521" s="22" t="s">
        <v>33</v>
      </c>
      <c r="C2521" s="22" t="s">
        <v>29</v>
      </c>
      <c r="D2521" s="22" t="s">
        <v>41</v>
      </c>
      <c r="E2521" s="24" t="s">
        <v>25</v>
      </c>
      <c r="F2521" s="22" t="s">
        <v>134</v>
      </c>
      <c r="G2521" s="25">
        <v>9004.7999999999975</v>
      </c>
      <c r="H2521" s="22" t="s">
        <v>43</v>
      </c>
      <c r="I2521" s="22">
        <v>0</v>
      </c>
      <c r="J2521" s="22" t="s">
        <v>134</v>
      </c>
      <c r="K2521" s="22" t="s">
        <v>23</v>
      </c>
      <c r="L2521" s="22">
        <v>2</v>
      </c>
      <c r="M2521" s="26">
        <v>99053</v>
      </c>
      <c r="N2521" s="26">
        <v>0</v>
      </c>
      <c r="O2521" s="15">
        <f>SUM(M2521:N2521)</f>
        <v>99053</v>
      </c>
      <c r="P2521" s="15">
        <f t="shared" si="204"/>
        <v>11.000022210376692</v>
      </c>
      <c r="Q2521" s="25">
        <v>5000</v>
      </c>
      <c r="R2521" s="22">
        <v>100</v>
      </c>
      <c r="S2521" s="22" t="s">
        <v>3135</v>
      </c>
      <c r="T2521" s="22">
        <f t="shared" si="206"/>
        <v>7</v>
      </c>
      <c r="U2521" s="22">
        <f t="shared" si="207"/>
        <v>2021</v>
      </c>
      <c r="V2521" s="22" t="str">
        <f t="shared" si="208"/>
        <v>METROPOLITANA</v>
      </c>
    </row>
    <row r="2522" spans="1:22" x14ac:dyDescent="0.2">
      <c r="A2522" s="23" t="s">
        <v>3127</v>
      </c>
      <c r="B2522" s="22" t="s">
        <v>33</v>
      </c>
      <c r="C2522" s="22" t="s">
        <v>29</v>
      </c>
      <c r="D2522" s="22" t="s">
        <v>164</v>
      </c>
      <c r="E2522" s="24" t="s">
        <v>28</v>
      </c>
      <c r="F2522" s="22" t="s">
        <v>173</v>
      </c>
      <c r="G2522" s="25">
        <v>18009.599999999999</v>
      </c>
      <c r="H2522" s="22" t="s">
        <v>22</v>
      </c>
      <c r="I2522" s="22">
        <v>1</v>
      </c>
      <c r="J2522" s="22" t="s">
        <v>173</v>
      </c>
      <c r="K2522" s="22" t="s">
        <v>23</v>
      </c>
      <c r="L2522" s="22">
        <v>5</v>
      </c>
      <c r="M2522" s="26">
        <v>120000</v>
      </c>
      <c r="N2522" s="26">
        <v>0</v>
      </c>
      <c r="O2522" s="15">
        <f>G2522*11</f>
        <v>198105.59999999998</v>
      </c>
      <c r="P2522" s="15">
        <f t="shared" si="204"/>
        <v>11</v>
      </c>
      <c r="Q2522" s="25">
        <v>10000</v>
      </c>
      <c r="R2522" s="22">
        <v>100</v>
      </c>
      <c r="S2522" s="22" t="s">
        <v>3136</v>
      </c>
      <c r="T2522" s="22">
        <f t="shared" si="206"/>
        <v>7</v>
      </c>
      <c r="U2522" s="22">
        <f t="shared" si="207"/>
        <v>2021</v>
      </c>
      <c r="V2522" s="22" t="str">
        <f t="shared" si="208"/>
        <v>METROPOLITANA</v>
      </c>
    </row>
    <row r="2523" spans="1:22" x14ac:dyDescent="0.2">
      <c r="A2523" s="23" t="s">
        <v>3127</v>
      </c>
      <c r="B2523" s="22" t="s">
        <v>33</v>
      </c>
      <c r="C2523" s="22" t="s">
        <v>29</v>
      </c>
      <c r="D2523" s="22" t="s">
        <v>20</v>
      </c>
      <c r="E2523" s="24" t="s">
        <v>21</v>
      </c>
      <c r="F2523" s="22" t="s">
        <v>39</v>
      </c>
      <c r="G2523" s="25">
        <v>7298</v>
      </c>
      <c r="H2523" s="22" t="s">
        <v>22</v>
      </c>
      <c r="I2523" s="22">
        <v>0</v>
      </c>
      <c r="J2523" s="22" t="s">
        <v>39</v>
      </c>
      <c r="K2523" s="22" t="s">
        <v>23</v>
      </c>
      <c r="L2523" s="22">
        <v>1</v>
      </c>
      <c r="M2523" s="26">
        <v>80278</v>
      </c>
      <c r="N2523" s="26">
        <v>0</v>
      </c>
      <c r="O2523" s="15">
        <f>SUM(M2523:N2523)</f>
        <v>80278</v>
      </c>
      <c r="P2523" s="15">
        <f t="shared" si="204"/>
        <v>11</v>
      </c>
      <c r="Q2523" s="25">
        <v>5000</v>
      </c>
      <c r="R2523" s="22">
        <v>100</v>
      </c>
      <c r="S2523" s="22" t="s">
        <v>3137</v>
      </c>
      <c r="T2523" s="22">
        <f t="shared" si="206"/>
        <v>7</v>
      </c>
      <c r="U2523" s="22">
        <f t="shared" si="207"/>
        <v>2021</v>
      </c>
      <c r="V2523" s="22" t="str">
        <f t="shared" si="208"/>
        <v>METROPOLITANA</v>
      </c>
    </row>
    <row r="2524" spans="1:22" x14ac:dyDescent="0.2">
      <c r="A2524" s="23" t="s">
        <v>3127</v>
      </c>
      <c r="B2524" s="22" t="s">
        <v>33</v>
      </c>
      <c r="C2524" s="22" t="s">
        <v>44</v>
      </c>
      <c r="D2524" s="22" t="s">
        <v>3086</v>
      </c>
      <c r="E2524" s="24" t="s">
        <v>81</v>
      </c>
      <c r="F2524" s="22" t="s">
        <v>114</v>
      </c>
      <c r="G2524" s="25">
        <v>12782.4</v>
      </c>
      <c r="H2524" s="22" t="s">
        <v>24</v>
      </c>
      <c r="I2524" s="22">
        <v>1</v>
      </c>
      <c r="J2524" s="22" t="s">
        <v>114</v>
      </c>
      <c r="K2524" s="22" t="s">
        <v>75</v>
      </c>
      <c r="L2524" s="22">
        <v>0</v>
      </c>
      <c r="M2524" s="26">
        <v>380000</v>
      </c>
      <c r="N2524" s="26">
        <v>0</v>
      </c>
      <c r="O2524" s="15">
        <f>SUM(M2524:N2524)</f>
        <v>380000</v>
      </c>
      <c r="P2524" s="15">
        <f t="shared" si="204"/>
        <v>29.728376517711855</v>
      </c>
      <c r="Q2524" s="25">
        <v>25000</v>
      </c>
      <c r="R2524" s="22">
        <v>95</v>
      </c>
      <c r="S2524" s="22" t="s">
        <v>3138</v>
      </c>
      <c r="T2524" s="22">
        <f t="shared" si="206"/>
        <v>7</v>
      </c>
      <c r="U2524" s="22">
        <f t="shared" si="207"/>
        <v>2021</v>
      </c>
      <c r="V2524" s="22" t="str">
        <f t="shared" si="208"/>
        <v>REGIONES</v>
      </c>
    </row>
    <row r="2525" spans="1:22" x14ac:dyDescent="0.2">
      <c r="A2525" s="23" t="s">
        <v>3127</v>
      </c>
      <c r="B2525" s="22" t="s">
        <v>33</v>
      </c>
      <c r="C2525" s="22" t="s">
        <v>44</v>
      </c>
      <c r="D2525" s="22" t="s">
        <v>956</v>
      </c>
      <c r="E2525" s="24" t="s">
        <v>957</v>
      </c>
      <c r="F2525" s="22" t="s">
        <v>3139</v>
      </c>
      <c r="G2525" s="25">
        <v>15805.099999999989</v>
      </c>
      <c r="H2525" s="22" t="s">
        <v>85</v>
      </c>
      <c r="I2525" s="22">
        <v>1</v>
      </c>
      <c r="J2525" s="22" t="s">
        <v>3139</v>
      </c>
      <c r="K2525" s="22" t="s">
        <v>93</v>
      </c>
      <c r="L2525" s="22">
        <v>0</v>
      </c>
      <c r="M2525" s="26">
        <v>620000</v>
      </c>
      <c r="N2525" s="26">
        <v>0</v>
      </c>
      <c r="O2525" s="15">
        <v>620000</v>
      </c>
      <c r="P2525" s="15">
        <f t="shared" si="204"/>
        <v>39.227844176879643</v>
      </c>
      <c r="Q2525" s="25">
        <v>25000</v>
      </c>
      <c r="R2525" s="22">
        <v>95</v>
      </c>
      <c r="S2525" s="22" t="s">
        <v>3140</v>
      </c>
      <c r="T2525" s="22">
        <f t="shared" si="206"/>
        <v>7</v>
      </c>
      <c r="U2525" s="22">
        <f t="shared" si="207"/>
        <v>2021</v>
      </c>
      <c r="V2525" s="22" t="str">
        <f t="shared" si="208"/>
        <v>REGIONES</v>
      </c>
    </row>
    <row r="2526" spans="1:22" x14ac:dyDescent="0.2">
      <c r="A2526" s="23" t="s">
        <v>3127</v>
      </c>
      <c r="B2526" s="22" t="s">
        <v>33</v>
      </c>
      <c r="C2526" s="22" t="s">
        <v>44</v>
      </c>
      <c r="D2526" s="22" t="s">
        <v>45</v>
      </c>
      <c r="E2526" s="24" t="s">
        <v>52</v>
      </c>
      <c r="F2526" s="22" t="s">
        <v>67</v>
      </c>
      <c r="G2526" s="25">
        <v>3476</v>
      </c>
      <c r="H2526" s="22" t="s">
        <v>22</v>
      </c>
      <c r="I2526" s="22">
        <v>0</v>
      </c>
      <c r="J2526" s="22" t="s">
        <v>67</v>
      </c>
      <c r="K2526" s="22" t="s">
        <v>23</v>
      </c>
      <c r="L2526" s="22">
        <v>2</v>
      </c>
      <c r="M2526" s="26">
        <v>55000</v>
      </c>
      <c r="N2526" s="26">
        <v>0</v>
      </c>
      <c r="O2526" s="15">
        <f>SUM(M2526:N2526)</f>
        <v>55000</v>
      </c>
      <c r="P2526" s="15">
        <f t="shared" si="204"/>
        <v>15.822784810126583</v>
      </c>
      <c r="Q2526" s="25">
        <v>5000</v>
      </c>
      <c r="R2526" s="22">
        <v>70</v>
      </c>
      <c r="S2526" s="22" t="s">
        <v>3141</v>
      </c>
      <c r="T2526" s="22">
        <f t="shared" si="206"/>
        <v>7</v>
      </c>
      <c r="U2526" s="22">
        <f t="shared" si="207"/>
        <v>2021</v>
      </c>
      <c r="V2526" s="22" t="str">
        <f t="shared" si="208"/>
        <v>METROPOLITANA</v>
      </c>
    </row>
    <row r="2527" spans="1:22" x14ac:dyDescent="0.2">
      <c r="A2527" s="23" t="s">
        <v>3127</v>
      </c>
      <c r="B2527" s="22" t="s">
        <v>33</v>
      </c>
      <c r="C2527" s="22" t="s">
        <v>44</v>
      </c>
      <c r="D2527" s="22" t="s">
        <v>47</v>
      </c>
      <c r="E2527" s="24" t="s">
        <v>1576</v>
      </c>
      <c r="F2527" s="22" t="s">
        <v>51</v>
      </c>
      <c r="G2527" s="25">
        <v>3201.6</v>
      </c>
      <c r="H2527" s="22" t="s">
        <v>22</v>
      </c>
      <c r="I2527" s="22">
        <v>0</v>
      </c>
      <c r="J2527" s="22" t="s">
        <v>51</v>
      </c>
      <c r="K2527" s="22" t="s">
        <v>23</v>
      </c>
      <c r="L2527" s="22">
        <v>4</v>
      </c>
      <c r="M2527" s="26">
        <v>55000</v>
      </c>
      <c r="N2527" s="26">
        <v>0</v>
      </c>
      <c r="O2527" s="15">
        <f>SUM(M2527:N2527)</f>
        <v>55000</v>
      </c>
      <c r="P2527" s="15">
        <f t="shared" si="204"/>
        <v>17.178910544727636</v>
      </c>
      <c r="Q2527" s="25">
        <v>5000</v>
      </c>
      <c r="R2527" s="22">
        <v>64</v>
      </c>
      <c r="S2527" s="22" t="s">
        <v>3142</v>
      </c>
      <c r="T2527" s="22">
        <f t="shared" si="206"/>
        <v>7</v>
      </c>
      <c r="U2527" s="22">
        <f t="shared" si="207"/>
        <v>2021</v>
      </c>
      <c r="V2527" s="22" t="str">
        <f t="shared" si="208"/>
        <v>METROPOLITANA</v>
      </c>
    </row>
    <row r="2528" spans="1:22" x14ac:dyDescent="0.2">
      <c r="A2528" s="11" t="s">
        <v>3145</v>
      </c>
      <c r="B2528" s="12" t="s">
        <v>18</v>
      </c>
      <c r="C2528" s="12" t="s">
        <v>57</v>
      </c>
      <c r="D2528" s="12" t="s">
        <v>38</v>
      </c>
      <c r="E2528" s="13">
        <v>53173292</v>
      </c>
      <c r="F2528" s="12" t="s">
        <v>120</v>
      </c>
      <c r="G2528" s="14">
        <v>4382.1499999999996</v>
      </c>
      <c r="H2528" s="12" t="s">
        <v>43</v>
      </c>
      <c r="I2528" s="12">
        <v>0</v>
      </c>
      <c r="J2528" s="12" t="s">
        <v>120</v>
      </c>
      <c r="K2528" s="12" t="s">
        <v>23</v>
      </c>
      <c r="L2528" s="12">
        <v>5</v>
      </c>
      <c r="M2528" s="15">
        <v>70000</v>
      </c>
      <c r="N2528" s="15">
        <v>0</v>
      </c>
      <c r="O2528" s="15">
        <f>SUM(M2528:N2528)</f>
        <v>70000</v>
      </c>
      <c r="P2528" s="15">
        <f t="shared" si="204"/>
        <v>15.973894093082164</v>
      </c>
      <c r="Q2528" s="14">
        <v>10000</v>
      </c>
      <c r="R2528" s="12">
        <v>44</v>
      </c>
      <c r="S2528" s="12" t="s">
        <v>3146</v>
      </c>
      <c r="T2528" s="22">
        <f t="shared" si="206"/>
        <v>7</v>
      </c>
      <c r="U2528" s="22">
        <f t="shared" si="207"/>
        <v>2021</v>
      </c>
      <c r="V2528" s="22" t="str">
        <f t="shared" si="208"/>
        <v>METROPOLITANA</v>
      </c>
    </row>
    <row r="2529" spans="1:22" x14ac:dyDescent="0.2">
      <c r="A2529" s="11" t="s">
        <v>3145</v>
      </c>
      <c r="B2529" s="12" t="s">
        <v>18</v>
      </c>
      <c r="C2529" s="12" t="s">
        <v>3060</v>
      </c>
      <c r="D2529" s="12" t="s">
        <v>164</v>
      </c>
      <c r="E2529" s="13">
        <v>81417709</v>
      </c>
      <c r="F2529" s="12" t="s">
        <v>58</v>
      </c>
      <c r="G2529" s="14">
        <v>21496.29</v>
      </c>
      <c r="H2529" s="12" t="s">
        <v>22</v>
      </c>
      <c r="I2529" s="12">
        <v>1</v>
      </c>
      <c r="J2529" s="12" t="s">
        <v>58</v>
      </c>
      <c r="K2529" s="12" t="s">
        <v>23</v>
      </c>
      <c r="L2529" s="12">
        <v>5</v>
      </c>
      <c r="M2529" s="15">
        <v>120000</v>
      </c>
      <c r="N2529" s="15">
        <v>0</v>
      </c>
      <c r="O2529" s="15">
        <f>G2529*11</f>
        <v>236459.19</v>
      </c>
      <c r="P2529" s="15">
        <f t="shared" si="204"/>
        <v>11</v>
      </c>
      <c r="Q2529" s="14">
        <v>10000</v>
      </c>
      <c r="R2529" s="12">
        <v>100</v>
      </c>
      <c r="S2529" s="12" t="s">
        <v>3147</v>
      </c>
      <c r="T2529" s="22">
        <f t="shared" si="206"/>
        <v>7</v>
      </c>
      <c r="U2529" s="22">
        <f t="shared" si="207"/>
        <v>2021</v>
      </c>
      <c r="V2529" s="22" t="str">
        <f t="shared" si="208"/>
        <v>METROPOLITANA</v>
      </c>
    </row>
    <row r="2530" spans="1:22" x14ac:dyDescent="0.2">
      <c r="A2530" s="11" t="s">
        <v>3145</v>
      </c>
      <c r="B2530" s="12" t="s">
        <v>18</v>
      </c>
      <c r="C2530" s="12" t="s">
        <v>508</v>
      </c>
      <c r="D2530" s="12" t="s">
        <v>41</v>
      </c>
      <c r="E2530" s="13">
        <v>125108660</v>
      </c>
      <c r="F2530" s="12" t="s">
        <v>58</v>
      </c>
      <c r="G2530" s="14">
        <v>3503.38</v>
      </c>
      <c r="H2530" s="12" t="s">
        <v>43</v>
      </c>
      <c r="I2530" s="12">
        <v>0</v>
      </c>
      <c r="J2530" s="12" t="s">
        <v>58</v>
      </c>
      <c r="K2530" s="12" t="s">
        <v>23</v>
      </c>
      <c r="L2530" s="12">
        <v>5</v>
      </c>
      <c r="M2530" s="15">
        <v>70000</v>
      </c>
      <c r="N2530" s="15">
        <v>0</v>
      </c>
      <c r="O2530" s="15">
        <f>G2530*11</f>
        <v>38537.18</v>
      </c>
      <c r="P2530" s="15">
        <f t="shared" si="204"/>
        <v>11</v>
      </c>
      <c r="Q2530" s="14">
        <v>10000</v>
      </c>
      <c r="R2530" s="12">
        <v>35</v>
      </c>
      <c r="S2530" s="12" t="s">
        <v>3148</v>
      </c>
      <c r="T2530" s="22">
        <f t="shared" si="206"/>
        <v>7</v>
      </c>
      <c r="U2530" s="22">
        <f t="shared" si="207"/>
        <v>2021</v>
      </c>
      <c r="V2530" s="22" t="str">
        <f t="shared" si="208"/>
        <v>METROPOLITANA</v>
      </c>
    </row>
    <row r="2531" spans="1:22" x14ac:dyDescent="0.2">
      <c r="A2531" s="11" t="s">
        <v>3145</v>
      </c>
      <c r="B2531" s="12" t="s">
        <v>33</v>
      </c>
      <c r="C2531" s="12" t="s">
        <v>128</v>
      </c>
      <c r="D2531" s="12" t="s">
        <v>63</v>
      </c>
      <c r="E2531" s="13">
        <v>138841065</v>
      </c>
      <c r="F2531" s="12" t="s">
        <v>34</v>
      </c>
      <c r="G2531" s="14">
        <v>7888.7999999999975</v>
      </c>
      <c r="H2531" s="12" t="s">
        <v>65</v>
      </c>
      <c r="I2531" s="12">
        <v>0</v>
      </c>
      <c r="J2531" s="12" t="s">
        <v>34</v>
      </c>
      <c r="K2531" s="12" t="s">
        <v>23</v>
      </c>
      <c r="L2531" s="12">
        <v>1</v>
      </c>
      <c r="M2531" s="15">
        <v>86777</v>
      </c>
      <c r="N2531" s="15">
        <v>0</v>
      </c>
      <c r="O2531" s="15">
        <f t="shared" ref="O2531:O2541" si="210">SUM(M2531:N2531)</f>
        <v>86777</v>
      </c>
      <c r="P2531" s="15">
        <f t="shared" si="204"/>
        <v>11.000025352398341</v>
      </c>
      <c r="Q2531" s="14">
        <v>5000</v>
      </c>
      <c r="R2531" s="12">
        <v>100</v>
      </c>
      <c r="S2531" s="12" t="s">
        <v>3149</v>
      </c>
      <c r="T2531" s="22">
        <f t="shared" si="206"/>
        <v>7</v>
      </c>
      <c r="U2531" s="22">
        <f t="shared" si="207"/>
        <v>2021</v>
      </c>
      <c r="V2531" s="22" t="str">
        <f t="shared" si="208"/>
        <v>METROPOLITANA</v>
      </c>
    </row>
    <row r="2532" spans="1:22" x14ac:dyDescent="0.2">
      <c r="A2532" s="11" t="s">
        <v>3145</v>
      </c>
      <c r="B2532" s="12" t="s">
        <v>33</v>
      </c>
      <c r="C2532" s="12" t="s">
        <v>128</v>
      </c>
      <c r="D2532" s="12" t="s">
        <v>41</v>
      </c>
      <c r="E2532" s="13">
        <v>125108660</v>
      </c>
      <c r="F2532" s="12" t="s">
        <v>34</v>
      </c>
      <c r="G2532" s="14">
        <v>7757.3199999999988</v>
      </c>
      <c r="H2532" s="12" t="s">
        <v>43</v>
      </c>
      <c r="I2532" s="12">
        <v>0</v>
      </c>
      <c r="J2532" s="12" t="s">
        <v>34</v>
      </c>
      <c r="K2532" s="12" t="s">
        <v>23</v>
      </c>
      <c r="L2532" s="12">
        <v>1</v>
      </c>
      <c r="M2532" s="15">
        <v>85331</v>
      </c>
      <c r="N2532" s="15">
        <v>0</v>
      </c>
      <c r="O2532" s="15">
        <f t="shared" si="210"/>
        <v>85331</v>
      </c>
      <c r="P2532" s="15">
        <f t="shared" si="204"/>
        <v>11.000061877040011</v>
      </c>
      <c r="Q2532" s="14">
        <v>5000</v>
      </c>
      <c r="R2532" s="12">
        <v>100</v>
      </c>
      <c r="S2532" s="12" t="s">
        <v>3150</v>
      </c>
      <c r="T2532" s="22">
        <f t="shared" si="206"/>
        <v>7</v>
      </c>
      <c r="U2532" s="22">
        <f t="shared" si="207"/>
        <v>2021</v>
      </c>
      <c r="V2532" s="22" t="str">
        <f t="shared" si="208"/>
        <v>METROPOLITANA</v>
      </c>
    </row>
    <row r="2533" spans="1:22" x14ac:dyDescent="0.2">
      <c r="A2533" s="11" t="s">
        <v>3145</v>
      </c>
      <c r="B2533" s="12" t="s">
        <v>33</v>
      </c>
      <c r="C2533" s="12" t="s">
        <v>128</v>
      </c>
      <c r="D2533" s="12" t="s">
        <v>164</v>
      </c>
      <c r="E2533" s="13">
        <v>81417709</v>
      </c>
      <c r="F2533" s="12" t="s">
        <v>129</v>
      </c>
      <c r="G2533" s="14">
        <v>21159.599999999999</v>
      </c>
      <c r="H2533" s="12" t="s">
        <v>22</v>
      </c>
      <c r="I2533" s="12">
        <v>1</v>
      </c>
      <c r="J2533" s="12" t="s">
        <v>129</v>
      </c>
      <c r="K2533" s="12" t="s">
        <v>23</v>
      </c>
      <c r="L2533" s="12">
        <v>1</v>
      </c>
      <c r="M2533" s="15">
        <v>232756</v>
      </c>
      <c r="N2533" s="15">
        <v>0</v>
      </c>
      <c r="O2533" s="15">
        <f t="shared" si="210"/>
        <v>232756</v>
      </c>
      <c r="P2533" s="15">
        <f t="shared" si="204"/>
        <v>11.000018903949035</v>
      </c>
      <c r="Q2533" s="14">
        <v>5000</v>
      </c>
      <c r="R2533" s="12">
        <v>100</v>
      </c>
      <c r="S2533" s="12" t="s">
        <v>3151</v>
      </c>
      <c r="T2533" s="22">
        <f t="shared" si="206"/>
        <v>7</v>
      </c>
      <c r="U2533" s="22">
        <f t="shared" si="207"/>
        <v>2021</v>
      </c>
      <c r="V2533" s="22" t="str">
        <f t="shared" si="208"/>
        <v>METROPOLITANA</v>
      </c>
    </row>
    <row r="2534" spans="1:22" x14ac:dyDescent="0.2">
      <c r="A2534" s="11" t="s">
        <v>3145</v>
      </c>
      <c r="B2534" s="12" t="s">
        <v>33</v>
      </c>
      <c r="C2534" s="12" t="s">
        <v>29</v>
      </c>
      <c r="D2534" s="12" t="s">
        <v>2262</v>
      </c>
      <c r="E2534" s="13">
        <v>122975819</v>
      </c>
      <c r="F2534" s="12" t="s">
        <v>132</v>
      </c>
      <c r="G2534" s="14">
        <v>15732.8</v>
      </c>
      <c r="H2534" s="12" t="s">
        <v>24</v>
      </c>
      <c r="I2534" s="12">
        <v>1</v>
      </c>
      <c r="J2534" s="12" t="s">
        <v>132</v>
      </c>
      <c r="K2534" s="12" t="s">
        <v>124</v>
      </c>
      <c r="L2534" s="12">
        <v>0</v>
      </c>
      <c r="M2534" s="15">
        <v>350000</v>
      </c>
      <c r="N2534" s="15">
        <v>0</v>
      </c>
      <c r="O2534" s="15">
        <f t="shared" si="210"/>
        <v>350000</v>
      </c>
      <c r="P2534" s="15">
        <f t="shared" si="204"/>
        <v>22.24651683107902</v>
      </c>
      <c r="Q2534" s="14">
        <v>25000</v>
      </c>
      <c r="R2534" s="12">
        <v>82</v>
      </c>
      <c r="S2534" s="12" t="s">
        <v>3152</v>
      </c>
      <c r="T2534" s="22">
        <f t="shared" si="206"/>
        <v>7</v>
      </c>
      <c r="U2534" s="22">
        <f t="shared" si="207"/>
        <v>2021</v>
      </c>
      <c r="V2534" s="22" t="str">
        <f t="shared" si="208"/>
        <v>REGIONES</v>
      </c>
    </row>
    <row r="2535" spans="1:22" x14ac:dyDescent="0.2">
      <c r="A2535" s="11" t="s">
        <v>3145</v>
      </c>
      <c r="B2535" s="12" t="s">
        <v>33</v>
      </c>
      <c r="C2535" s="12" t="s">
        <v>29</v>
      </c>
      <c r="D2535" s="12" t="s">
        <v>38</v>
      </c>
      <c r="E2535" s="13">
        <v>53173292</v>
      </c>
      <c r="F2535" s="12" t="s">
        <v>39</v>
      </c>
      <c r="G2535" s="14">
        <v>4662</v>
      </c>
      <c r="H2535" s="12" t="s">
        <v>43</v>
      </c>
      <c r="I2535" s="12">
        <v>0</v>
      </c>
      <c r="J2535" s="12" t="s">
        <v>39</v>
      </c>
      <c r="K2535" s="12" t="s">
        <v>23</v>
      </c>
      <c r="L2535" s="12">
        <v>1</v>
      </c>
      <c r="M2535" s="15">
        <v>55000</v>
      </c>
      <c r="N2535" s="15">
        <v>0</v>
      </c>
      <c r="O2535" s="15">
        <f t="shared" si="210"/>
        <v>55000</v>
      </c>
      <c r="P2535" s="15">
        <f t="shared" si="204"/>
        <v>11.797511797511797</v>
      </c>
      <c r="Q2535" s="14">
        <v>5000</v>
      </c>
      <c r="R2535" s="12">
        <v>93</v>
      </c>
      <c r="S2535" s="12" t="s">
        <v>3153</v>
      </c>
      <c r="T2535" s="22">
        <f t="shared" si="206"/>
        <v>7</v>
      </c>
      <c r="U2535" s="22">
        <f t="shared" si="207"/>
        <v>2021</v>
      </c>
      <c r="V2535" s="22" t="str">
        <f t="shared" si="208"/>
        <v>METROPOLITANA</v>
      </c>
    </row>
    <row r="2536" spans="1:22" x14ac:dyDescent="0.2">
      <c r="A2536" s="11" t="s">
        <v>3145</v>
      </c>
      <c r="B2536" s="12" t="s">
        <v>33</v>
      </c>
      <c r="C2536" s="12" t="s">
        <v>29</v>
      </c>
      <c r="D2536" s="12" t="s">
        <v>30</v>
      </c>
      <c r="E2536" s="13">
        <v>72564391</v>
      </c>
      <c r="F2536" s="12" t="s">
        <v>39</v>
      </c>
      <c r="G2536" s="14">
        <v>14050.8</v>
      </c>
      <c r="H2536" s="12" t="s">
        <v>32</v>
      </c>
      <c r="I2536" s="12">
        <v>0</v>
      </c>
      <c r="J2536" s="12" t="s">
        <v>39</v>
      </c>
      <c r="K2536" s="12" t="s">
        <v>23</v>
      </c>
      <c r="L2536" s="12">
        <v>1</v>
      </c>
      <c r="M2536" s="15">
        <v>154559</v>
      </c>
      <c r="N2536" s="15">
        <v>0</v>
      </c>
      <c r="O2536" s="15">
        <f t="shared" si="210"/>
        <v>154559</v>
      </c>
      <c r="P2536" s="15">
        <f t="shared" si="204"/>
        <v>11.000014234064965</v>
      </c>
      <c r="Q2536" s="14">
        <v>5000</v>
      </c>
      <c r="R2536" s="12">
        <v>100</v>
      </c>
      <c r="S2536" s="12" t="s">
        <v>3154</v>
      </c>
      <c r="T2536" s="22">
        <f t="shared" si="206"/>
        <v>7</v>
      </c>
      <c r="U2536" s="22">
        <f t="shared" si="207"/>
        <v>2021</v>
      </c>
      <c r="V2536" s="22" t="str">
        <f t="shared" si="208"/>
        <v>METROPOLITANA</v>
      </c>
    </row>
    <row r="2537" spans="1:22" x14ac:dyDescent="0.2">
      <c r="A2537" s="11" t="s">
        <v>3145</v>
      </c>
      <c r="B2537" s="12" t="s">
        <v>33</v>
      </c>
      <c r="C2537" s="12" t="s">
        <v>29</v>
      </c>
      <c r="D2537" s="12" t="s">
        <v>20</v>
      </c>
      <c r="E2537" s="13">
        <v>78907355</v>
      </c>
      <c r="F2537" s="12" t="s">
        <v>39</v>
      </c>
      <c r="G2537" s="14">
        <v>7298</v>
      </c>
      <c r="H2537" s="12" t="s">
        <v>22</v>
      </c>
      <c r="I2537" s="12">
        <v>0</v>
      </c>
      <c r="J2537" s="12" t="s">
        <v>39</v>
      </c>
      <c r="K2537" s="12" t="s">
        <v>23</v>
      </c>
      <c r="L2537" s="12">
        <v>1</v>
      </c>
      <c r="M2537" s="15">
        <v>80278</v>
      </c>
      <c r="N2537" s="15">
        <v>0</v>
      </c>
      <c r="O2537" s="15">
        <f t="shared" si="210"/>
        <v>80278</v>
      </c>
      <c r="P2537" s="15">
        <f t="shared" si="204"/>
        <v>11</v>
      </c>
      <c r="Q2537" s="14">
        <v>5000</v>
      </c>
      <c r="R2537" s="12">
        <v>100</v>
      </c>
      <c r="S2537" s="12" t="s">
        <v>3155</v>
      </c>
      <c r="T2537" s="22">
        <f t="shared" si="206"/>
        <v>7</v>
      </c>
      <c r="U2537" s="22">
        <f t="shared" si="207"/>
        <v>2021</v>
      </c>
      <c r="V2537" s="22" t="str">
        <f t="shared" si="208"/>
        <v>METROPOLITANA</v>
      </c>
    </row>
    <row r="2538" spans="1:22" x14ac:dyDescent="0.2">
      <c r="A2538" s="11" t="s">
        <v>3145</v>
      </c>
      <c r="B2538" s="12" t="s">
        <v>33</v>
      </c>
      <c r="C2538" s="12" t="s">
        <v>44</v>
      </c>
      <c r="D2538" s="12" t="s">
        <v>130</v>
      </c>
      <c r="E2538" s="13">
        <v>167832741</v>
      </c>
      <c r="F2538" s="12" t="s">
        <v>66</v>
      </c>
      <c r="G2538" s="14">
        <v>13625.999999999991</v>
      </c>
      <c r="H2538" s="12" t="s">
        <v>85</v>
      </c>
      <c r="I2538" s="12">
        <v>1</v>
      </c>
      <c r="J2538" s="12" t="s">
        <v>66</v>
      </c>
      <c r="K2538" s="12" t="s">
        <v>75</v>
      </c>
      <c r="L2538" s="12">
        <v>0</v>
      </c>
      <c r="M2538" s="15">
        <v>380000</v>
      </c>
      <c r="N2538" s="15">
        <v>0</v>
      </c>
      <c r="O2538" s="15">
        <f t="shared" si="210"/>
        <v>380000</v>
      </c>
      <c r="P2538" s="15">
        <f t="shared" si="204"/>
        <v>27.887861441362119</v>
      </c>
      <c r="Q2538" s="14">
        <v>25000</v>
      </c>
      <c r="R2538" s="12">
        <v>85</v>
      </c>
      <c r="S2538" s="12" t="s">
        <v>3156</v>
      </c>
      <c r="T2538" s="22">
        <f t="shared" si="206"/>
        <v>7</v>
      </c>
      <c r="U2538" s="22">
        <f t="shared" si="207"/>
        <v>2021</v>
      </c>
      <c r="V2538" s="22" t="str">
        <f t="shared" si="208"/>
        <v>REGIONES</v>
      </c>
    </row>
    <row r="2539" spans="1:22" x14ac:dyDescent="0.2">
      <c r="A2539" s="11" t="s">
        <v>3145</v>
      </c>
      <c r="B2539" s="12" t="s">
        <v>33</v>
      </c>
      <c r="C2539" s="12" t="s">
        <v>44</v>
      </c>
      <c r="D2539" s="12" t="s">
        <v>45</v>
      </c>
      <c r="E2539" s="13">
        <v>99626232</v>
      </c>
      <c r="F2539" s="12" t="s">
        <v>225</v>
      </c>
      <c r="G2539" s="14">
        <v>4208.8999999999996</v>
      </c>
      <c r="H2539" s="12" t="s">
        <v>22</v>
      </c>
      <c r="I2539" s="12">
        <v>0</v>
      </c>
      <c r="J2539" s="12" t="s">
        <v>225</v>
      </c>
      <c r="K2539" s="12" t="s">
        <v>23</v>
      </c>
      <c r="L2539" s="12">
        <v>3</v>
      </c>
      <c r="M2539" s="15">
        <v>55000</v>
      </c>
      <c r="N2539" s="15">
        <v>0</v>
      </c>
      <c r="O2539" s="15">
        <f t="shared" si="210"/>
        <v>55000</v>
      </c>
      <c r="P2539" s="15">
        <f t="shared" si="204"/>
        <v>13.067547340160138</v>
      </c>
      <c r="Q2539" s="14">
        <v>5000</v>
      </c>
      <c r="R2539" s="12">
        <v>84</v>
      </c>
      <c r="S2539" s="12" t="s">
        <v>3157</v>
      </c>
      <c r="T2539" s="22">
        <f t="shared" si="206"/>
        <v>7</v>
      </c>
      <c r="U2539" s="22">
        <f t="shared" si="207"/>
        <v>2021</v>
      </c>
      <c r="V2539" s="22" t="str">
        <f t="shared" si="208"/>
        <v>METROPOLITANA</v>
      </c>
    </row>
    <row r="2540" spans="1:22" x14ac:dyDescent="0.2">
      <c r="A2540" s="11" t="s">
        <v>3145</v>
      </c>
      <c r="B2540" s="12" t="s">
        <v>33</v>
      </c>
      <c r="C2540" s="12" t="s">
        <v>44</v>
      </c>
      <c r="D2540" s="12" t="s">
        <v>47</v>
      </c>
      <c r="E2540" s="13">
        <v>154837728</v>
      </c>
      <c r="F2540" s="12" t="s">
        <v>95</v>
      </c>
      <c r="G2540" s="14">
        <v>6167.3999999999987</v>
      </c>
      <c r="H2540" s="12" t="s">
        <v>22</v>
      </c>
      <c r="I2540" s="12">
        <v>0</v>
      </c>
      <c r="J2540" s="12" t="s">
        <v>95</v>
      </c>
      <c r="K2540" s="12" t="s">
        <v>23</v>
      </c>
      <c r="L2540" s="12">
        <v>4</v>
      </c>
      <c r="M2540" s="15">
        <v>67841</v>
      </c>
      <c r="N2540" s="15">
        <v>0</v>
      </c>
      <c r="O2540" s="15">
        <f t="shared" si="210"/>
        <v>67841</v>
      </c>
      <c r="P2540" s="15">
        <f t="shared" si="204"/>
        <v>10.99993514284788</v>
      </c>
      <c r="Q2540" s="14">
        <v>5000</v>
      </c>
      <c r="R2540" s="12">
        <v>100</v>
      </c>
      <c r="S2540" s="12" t="s">
        <v>3158</v>
      </c>
      <c r="T2540" s="22">
        <f t="shared" si="206"/>
        <v>7</v>
      </c>
      <c r="U2540" s="22">
        <f t="shared" si="207"/>
        <v>2021</v>
      </c>
      <c r="V2540" s="22" t="str">
        <f t="shared" si="208"/>
        <v>METROPOLITANA</v>
      </c>
    </row>
    <row r="2541" spans="1:22" x14ac:dyDescent="0.2">
      <c r="A2541" s="11" t="s">
        <v>3145</v>
      </c>
      <c r="B2541" s="12" t="s">
        <v>33</v>
      </c>
      <c r="C2541" s="12" t="s">
        <v>44</v>
      </c>
      <c r="D2541" s="12" t="s">
        <v>125</v>
      </c>
      <c r="E2541" s="13">
        <v>172861164</v>
      </c>
      <c r="F2541" s="12" t="s">
        <v>59</v>
      </c>
      <c r="G2541" s="14">
        <v>15780.6</v>
      </c>
      <c r="H2541" s="12" t="s">
        <v>174</v>
      </c>
      <c r="I2541" s="12">
        <v>0</v>
      </c>
      <c r="J2541" s="12" t="s">
        <v>59</v>
      </c>
      <c r="K2541" s="12" t="s">
        <v>78</v>
      </c>
      <c r="L2541" s="12">
        <v>0</v>
      </c>
      <c r="M2541" s="15">
        <v>180000</v>
      </c>
      <c r="N2541" s="15">
        <v>0</v>
      </c>
      <c r="O2541" s="15">
        <f t="shared" si="210"/>
        <v>180000</v>
      </c>
      <c r="P2541" s="15">
        <f t="shared" si="204"/>
        <v>11.406410402646287</v>
      </c>
      <c r="Q2541" s="14">
        <v>25000</v>
      </c>
      <c r="R2541" s="12">
        <v>63</v>
      </c>
      <c r="S2541" s="12" t="s">
        <v>3159</v>
      </c>
      <c r="T2541" s="22">
        <f t="shared" si="206"/>
        <v>7</v>
      </c>
      <c r="U2541" s="22">
        <f t="shared" si="207"/>
        <v>2021</v>
      </c>
      <c r="V2541" s="22" t="str">
        <f t="shared" si="208"/>
        <v>REGIONES</v>
      </c>
    </row>
    <row r="2542" spans="1:22" x14ac:dyDescent="0.2">
      <c r="A2542" s="23" t="s">
        <v>3160</v>
      </c>
      <c r="B2542" s="22" t="s">
        <v>18</v>
      </c>
      <c r="C2542" s="22" t="s">
        <v>57</v>
      </c>
      <c r="D2542" s="22" t="s">
        <v>63</v>
      </c>
      <c r="E2542" s="24">
        <v>138841065</v>
      </c>
      <c r="F2542" s="22" t="s">
        <v>120</v>
      </c>
      <c r="G2542" s="25">
        <v>4929.4900000000016</v>
      </c>
      <c r="H2542" s="22" t="s">
        <v>65</v>
      </c>
      <c r="I2542" s="22">
        <v>0</v>
      </c>
      <c r="J2542" s="22" t="s">
        <v>120</v>
      </c>
      <c r="K2542" s="22" t="s">
        <v>23</v>
      </c>
      <c r="L2542" s="22">
        <v>5</v>
      </c>
      <c r="M2542" s="26">
        <v>70000</v>
      </c>
      <c r="N2542" s="26">
        <v>0</v>
      </c>
      <c r="O2542" s="15">
        <f>G2542*11</f>
        <v>54224.390000000014</v>
      </c>
      <c r="P2542" s="15">
        <f t="shared" si="204"/>
        <v>11</v>
      </c>
      <c r="Q2542" s="25">
        <v>10000</v>
      </c>
      <c r="R2542" s="22">
        <v>49</v>
      </c>
      <c r="S2542" s="22" t="s">
        <v>3161</v>
      </c>
      <c r="T2542" s="22">
        <f t="shared" si="206"/>
        <v>7</v>
      </c>
      <c r="U2542" s="22">
        <f t="shared" si="207"/>
        <v>2021</v>
      </c>
      <c r="V2542" s="22" t="str">
        <f t="shared" si="208"/>
        <v>METROPOLITANA</v>
      </c>
    </row>
    <row r="2543" spans="1:22" x14ac:dyDescent="0.2">
      <c r="A2543" s="23" t="s">
        <v>3160</v>
      </c>
      <c r="B2543" s="22" t="s">
        <v>18</v>
      </c>
      <c r="C2543" s="22" t="s">
        <v>163</v>
      </c>
      <c r="D2543" s="22" t="s">
        <v>63</v>
      </c>
      <c r="E2543" s="24">
        <v>138841065</v>
      </c>
      <c r="F2543" s="22" t="s">
        <v>165</v>
      </c>
      <c r="G2543" s="25">
        <v>5214</v>
      </c>
      <c r="H2543" s="22" t="s">
        <v>65</v>
      </c>
      <c r="I2543" s="22">
        <v>0</v>
      </c>
      <c r="J2543" s="22" t="s">
        <v>165</v>
      </c>
      <c r="K2543" s="22" t="s">
        <v>23</v>
      </c>
      <c r="L2543" s="22">
        <v>4</v>
      </c>
      <c r="M2543" s="26">
        <v>57354</v>
      </c>
      <c r="N2543" s="26">
        <v>0</v>
      </c>
      <c r="O2543" s="15">
        <f t="shared" ref="O2543:O2560" si="211">SUM(M2543:N2543)</f>
        <v>57354</v>
      </c>
      <c r="P2543" s="15">
        <f t="shared" si="204"/>
        <v>11</v>
      </c>
      <c r="Q2543" s="25">
        <v>5000</v>
      </c>
      <c r="R2543" s="22">
        <v>100</v>
      </c>
      <c r="S2543" s="22" t="s">
        <v>3162</v>
      </c>
      <c r="T2543" s="22">
        <f t="shared" si="206"/>
        <v>7</v>
      </c>
      <c r="U2543" s="22">
        <f t="shared" si="207"/>
        <v>2021</v>
      </c>
      <c r="V2543" s="22" t="str">
        <f t="shared" si="208"/>
        <v>METROPOLITANA</v>
      </c>
    </row>
    <row r="2544" spans="1:22" x14ac:dyDescent="0.2">
      <c r="A2544" s="23" t="s">
        <v>3160</v>
      </c>
      <c r="B2544" s="22" t="s">
        <v>33</v>
      </c>
      <c r="C2544" s="22" t="s">
        <v>270</v>
      </c>
      <c r="D2544" s="22" t="s">
        <v>164</v>
      </c>
      <c r="E2544" s="24">
        <v>154837728</v>
      </c>
      <c r="F2544" s="22" t="s">
        <v>120</v>
      </c>
      <c r="G2544" s="25">
        <v>21570</v>
      </c>
      <c r="H2544" s="22" t="s">
        <v>22</v>
      </c>
      <c r="I2544" s="22">
        <v>1</v>
      </c>
      <c r="J2544" s="22" t="s">
        <v>120</v>
      </c>
      <c r="K2544" s="22" t="s">
        <v>23</v>
      </c>
      <c r="L2544" s="22">
        <v>5</v>
      </c>
      <c r="M2544" s="26">
        <v>120000</v>
      </c>
      <c r="N2544" s="26">
        <v>0</v>
      </c>
      <c r="O2544" s="15">
        <f t="shared" si="211"/>
        <v>120000</v>
      </c>
      <c r="P2544" s="15">
        <f t="shared" si="204"/>
        <v>5.5632823365785811</v>
      </c>
      <c r="Q2544" s="25">
        <v>10000</v>
      </c>
      <c r="R2544" s="22">
        <v>100</v>
      </c>
      <c r="S2544" s="22" t="s">
        <v>3163</v>
      </c>
      <c r="T2544" s="22">
        <f t="shared" si="206"/>
        <v>7</v>
      </c>
      <c r="U2544" s="22">
        <f t="shared" si="207"/>
        <v>2021</v>
      </c>
      <c r="V2544" s="22" t="str">
        <f t="shared" si="208"/>
        <v>METROPOLITANA</v>
      </c>
    </row>
    <row r="2545" spans="1:22" x14ac:dyDescent="0.2">
      <c r="A2545" s="23" t="s">
        <v>3160</v>
      </c>
      <c r="B2545" s="22" t="s">
        <v>33</v>
      </c>
      <c r="C2545" s="22" t="s">
        <v>60</v>
      </c>
      <c r="D2545" s="22" t="s">
        <v>38</v>
      </c>
      <c r="E2545" s="24">
        <v>53173292</v>
      </c>
      <c r="F2545" s="22" t="s">
        <v>51</v>
      </c>
      <c r="G2545" s="25">
        <v>7503.9999999999973</v>
      </c>
      <c r="H2545" s="22" t="s">
        <v>43</v>
      </c>
      <c r="I2545" s="22">
        <v>0</v>
      </c>
      <c r="J2545" s="22" t="s">
        <v>51</v>
      </c>
      <c r="K2545" s="22" t="s">
        <v>23</v>
      </c>
      <c r="L2545" s="22">
        <v>4</v>
      </c>
      <c r="M2545" s="26">
        <v>82544</v>
      </c>
      <c r="N2545" s="26">
        <v>0</v>
      </c>
      <c r="O2545" s="15">
        <f t="shared" si="211"/>
        <v>82544</v>
      </c>
      <c r="P2545" s="15">
        <f t="shared" si="204"/>
        <v>11.000000000000004</v>
      </c>
      <c r="Q2545" s="25">
        <v>5000</v>
      </c>
      <c r="R2545" s="22">
        <v>100</v>
      </c>
      <c r="S2545" s="22" t="s">
        <v>3164</v>
      </c>
      <c r="T2545" s="22">
        <f t="shared" si="206"/>
        <v>7</v>
      </c>
      <c r="U2545" s="22">
        <f t="shared" si="207"/>
        <v>2021</v>
      </c>
      <c r="V2545" s="22" t="str">
        <f t="shared" si="208"/>
        <v>METROPOLITANA</v>
      </c>
    </row>
    <row r="2546" spans="1:22" x14ac:dyDescent="0.2">
      <c r="A2546" s="23" t="s">
        <v>3160</v>
      </c>
      <c r="B2546" s="22" t="s">
        <v>33</v>
      </c>
      <c r="C2546" s="22" t="s">
        <v>60</v>
      </c>
      <c r="D2546" s="22" t="s">
        <v>35</v>
      </c>
      <c r="E2546" s="24">
        <v>99626232</v>
      </c>
      <c r="F2546" s="22" t="s">
        <v>51</v>
      </c>
      <c r="G2546" s="25">
        <v>7503.9999999999973</v>
      </c>
      <c r="H2546" s="22" t="s">
        <v>22</v>
      </c>
      <c r="I2546" s="22">
        <v>0</v>
      </c>
      <c r="J2546" s="22" t="s">
        <v>51</v>
      </c>
      <c r="K2546" s="22" t="s">
        <v>23</v>
      </c>
      <c r="L2546" s="22">
        <v>4</v>
      </c>
      <c r="M2546" s="26">
        <v>82544</v>
      </c>
      <c r="N2546" s="26">
        <v>0</v>
      </c>
      <c r="O2546" s="15">
        <f t="shared" si="211"/>
        <v>82544</v>
      </c>
      <c r="P2546" s="15">
        <f t="shared" si="204"/>
        <v>11.000000000000004</v>
      </c>
      <c r="Q2546" s="25">
        <v>5000</v>
      </c>
      <c r="R2546" s="22">
        <v>100</v>
      </c>
      <c r="S2546" s="22" t="s">
        <v>3165</v>
      </c>
      <c r="T2546" s="22">
        <f t="shared" si="206"/>
        <v>7</v>
      </c>
      <c r="U2546" s="22">
        <f t="shared" si="207"/>
        <v>2021</v>
      </c>
      <c r="V2546" s="22" t="str">
        <f t="shared" si="208"/>
        <v>METROPOLITANA</v>
      </c>
    </row>
    <row r="2547" spans="1:22" x14ac:dyDescent="0.2">
      <c r="A2547" s="23" t="s">
        <v>3160</v>
      </c>
      <c r="B2547" s="22" t="s">
        <v>33</v>
      </c>
      <c r="C2547" s="22" t="s">
        <v>128</v>
      </c>
      <c r="D2547" s="22" t="s">
        <v>164</v>
      </c>
      <c r="E2547" s="24">
        <v>81417709</v>
      </c>
      <c r="F2547" s="22" t="s">
        <v>129</v>
      </c>
      <c r="G2547" s="25">
        <v>18291</v>
      </c>
      <c r="H2547" s="22" t="s">
        <v>22</v>
      </c>
      <c r="I2547" s="22">
        <v>1</v>
      </c>
      <c r="J2547" s="22" t="s">
        <v>129</v>
      </c>
      <c r="K2547" s="22" t="s">
        <v>23</v>
      </c>
      <c r="L2547" s="22">
        <v>1</v>
      </c>
      <c r="M2547" s="26">
        <v>201201</v>
      </c>
      <c r="N2547" s="26">
        <v>0</v>
      </c>
      <c r="O2547" s="15">
        <f t="shared" si="211"/>
        <v>201201</v>
      </c>
      <c r="P2547" s="15">
        <f t="shared" si="204"/>
        <v>11</v>
      </c>
      <c r="Q2547" s="25">
        <v>5000</v>
      </c>
      <c r="R2547" s="22">
        <v>100</v>
      </c>
      <c r="S2547" s="22" t="s">
        <v>3166</v>
      </c>
      <c r="T2547" s="22">
        <f t="shared" si="206"/>
        <v>7</v>
      </c>
      <c r="U2547" s="22">
        <f t="shared" si="207"/>
        <v>2021</v>
      </c>
      <c r="V2547" s="22" t="str">
        <f t="shared" si="208"/>
        <v>METROPOLITANA</v>
      </c>
    </row>
    <row r="2548" spans="1:22" x14ac:dyDescent="0.2">
      <c r="A2548" s="23" t="s">
        <v>3160</v>
      </c>
      <c r="B2548" s="22" t="s">
        <v>33</v>
      </c>
      <c r="C2548" s="22" t="s">
        <v>36</v>
      </c>
      <c r="D2548" s="22" t="s">
        <v>1869</v>
      </c>
      <c r="E2548" s="24">
        <v>125897258</v>
      </c>
      <c r="F2548" s="22" t="s">
        <v>127</v>
      </c>
      <c r="G2548" s="25">
        <v>4976.4000000000005</v>
      </c>
      <c r="H2548" s="22" t="s">
        <v>24</v>
      </c>
      <c r="I2548" s="22">
        <v>1</v>
      </c>
      <c r="J2548" s="22" t="s">
        <v>127</v>
      </c>
      <c r="K2548" s="22" t="s">
        <v>78</v>
      </c>
      <c r="L2548" s="22">
        <v>0</v>
      </c>
      <c r="M2548" s="26">
        <v>230000</v>
      </c>
      <c r="N2548" s="26">
        <v>0</v>
      </c>
      <c r="O2548" s="15">
        <f t="shared" si="211"/>
        <v>230000</v>
      </c>
      <c r="P2548" s="15">
        <f t="shared" si="204"/>
        <v>46.218149666425525</v>
      </c>
      <c r="Q2548" s="25">
        <v>25000</v>
      </c>
      <c r="R2548" s="22">
        <v>40</v>
      </c>
      <c r="S2548" s="22" t="s">
        <v>3167</v>
      </c>
      <c r="T2548" s="22">
        <f t="shared" si="206"/>
        <v>7</v>
      </c>
      <c r="U2548" s="22">
        <f t="shared" si="207"/>
        <v>2021</v>
      </c>
      <c r="V2548" s="22" t="str">
        <f t="shared" si="208"/>
        <v>REGIONES</v>
      </c>
    </row>
    <row r="2549" spans="1:22" x14ac:dyDescent="0.2">
      <c r="A2549" s="23" t="s">
        <v>3160</v>
      </c>
      <c r="B2549" s="22" t="s">
        <v>33</v>
      </c>
      <c r="C2549" s="22" t="s">
        <v>36</v>
      </c>
      <c r="D2549" s="22" t="s">
        <v>786</v>
      </c>
      <c r="E2549" s="24">
        <v>95707734</v>
      </c>
      <c r="F2549" s="22" t="s">
        <v>855</v>
      </c>
      <c r="G2549" s="25">
        <v>8035</v>
      </c>
      <c r="H2549" s="22" t="s">
        <v>788</v>
      </c>
      <c r="I2549" s="22">
        <v>1</v>
      </c>
      <c r="J2549" s="22" t="s">
        <v>855</v>
      </c>
      <c r="K2549" s="22" t="s">
        <v>78</v>
      </c>
      <c r="L2549" s="22">
        <v>0</v>
      </c>
      <c r="M2549" s="26">
        <v>230000</v>
      </c>
      <c r="N2549" s="26">
        <v>0</v>
      </c>
      <c r="O2549" s="15">
        <f t="shared" si="211"/>
        <v>230000</v>
      </c>
      <c r="P2549" s="15">
        <f t="shared" si="204"/>
        <v>28.624766645924083</v>
      </c>
      <c r="Q2549" s="25">
        <v>25000</v>
      </c>
      <c r="R2549" s="22">
        <v>32</v>
      </c>
      <c r="S2549" s="22" t="s">
        <v>3168</v>
      </c>
      <c r="T2549" s="22">
        <f t="shared" si="206"/>
        <v>7</v>
      </c>
      <c r="U2549" s="22">
        <f t="shared" si="207"/>
        <v>2021</v>
      </c>
      <c r="V2549" s="22" t="str">
        <f t="shared" si="208"/>
        <v>REGIONES</v>
      </c>
    </row>
    <row r="2550" spans="1:22" x14ac:dyDescent="0.2">
      <c r="A2550" s="23" t="s">
        <v>3160</v>
      </c>
      <c r="B2550" s="22" t="s">
        <v>33</v>
      </c>
      <c r="C2550" s="22" t="s">
        <v>36</v>
      </c>
      <c r="D2550" s="22" t="s">
        <v>35</v>
      </c>
      <c r="E2550" s="24">
        <v>99626232</v>
      </c>
      <c r="F2550" s="22" t="s">
        <v>67</v>
      </c>
      <c r="G2550" s="25">
        <v>2963.2000000000012</v>
      </c>
      <c r="H2550" s="22" t="s">
        <v>22</v>
      </c>
      <c r="I2550" s="22">
        <v>0</v>
      </c>
      <c r="J2550" s="22" t="s">
        <v>67</v>
      </c>
      <c r="K2550" s="22" t="s">
        <v>23</v>
      </c>
      <c r="L2550" s="22">
        <v>2</v>
      </c>
      <c r="M2550" s="26">
        <v>55000</v>
      </c>
      <c r="N2550" s="26">
        <v>0</v>
      </c>
      <c r="O2550" s="15">
        <f t="shared" si="211"/>
        <v>55000</v>
      </c>
      <c r="P2550" s="15">
        <f t="shared" si="204"/>
        <v>18.56101511879049</v>
      </c>
      <c r="Q2550" s="25">
        <v>5000</v>
      </c>
      <c r="R2550" s="22">
        <v>59</v>
      </c>
      <c r="S2550" s="22" t="s">
        <v>3169</v>
      </c>
      <c r="T2550" s="22">
        <f t="shared" si="206"/>
        <v>7</v>
      </c>
      <c r="U2550" s="22">
        <f t="shared" si="207"/>
        <v>2021</v>
      </c>
      <c r="V2550" s="22" t="str">
        <f t="shared" si="208"/>
        <v>METROPOLITANA</v>
      </c>
    </row>
    <row r="2551" spans="1:22" x14ac:dyDescent="0.2">
      <c r="A2551" s="23" t="s">
        <v>3160</v>
      </c>
      <c r="B2551" s="22" t="s">
        <v>33</v>
      </c>
      <c r="C2551" s="22" t="s">
        <v>29</v>
      </c>
      <c r="D2551" s="22" t="s">
        <v>38</v>
      </c>
      <c r="E2551" s="24">
        <v>53173292</v>
      </c>
      <c r="F2551" s="22" t="s">
        <v>39</v>
      </c>
      <c r="G2551" s="25">
        <v>1998</v>
      </c>
      <c r="H2551" s="22" t="s">
        <v>43</v>
      </c>
      <c r="I2551" s="22">
        <v>0</v>
      </c>
      <c r="J2551" s="22" t="s">
        <v>39</v>
      </c>
      <c r="K2551" s="22" t="s">
        <v>23</v>
      </c>
      <c r="L2551" s="22">
        <v>1</v>
      </c>
      <c r="M2551" s="26">
        <v>55000</v>
      </c>
      <c r="N2551" s="26">
        <v>0</v>
      </c>
      <c r="O2551" s="15">
        <f t="shared" si="211"/>
        <v>55000</v>
      </c>
      <c r="P2551" s="15">
        <f t="shared" si="204"/>
        <v>27.527527527527528</v>
      </c>
      <c r="Q2551" s="25">
        <v>5000</v>
      </c>
      <c r="R2551" s="22">
        <v>40</v>
      </c>
      <c r="S2551" s="22" t="s">
        <v>3170</v>
      </c>
      <c r="T2551" s="22">
        <f t="shared" si="206"/>
        <v>7</v>
      </c>
      <c r="U2551" s="22">
        <f t="shared" si="207"/>
        <v>2021</v>
      </c>
      <c r="V2551" s="22" t="str">
        <f t="shared" si="208"/>
        <v>METROPOLITANA</v>
      </c>
    </row>
    <row r="2552" spans="1:22" x14ac:dyDescent="0.2">
      <c r="A2552" s="23" t="s">
        <v>3160</v>
      </c>
      <c r="B2552" s="22" t="s">
        <v>33</v>
      </c>
      <c r="C2552" s="22" t="s">
        <v>29</v>
      </c>
      <c r="D2552" s="22" t="s">
        <v>30</v>
      </c>
      <c r="E2552" s="24">
        <v>72564391</v>
      </c>
      <c r="F2552" s="22" t="s">
        <v>39</v>
      </c>
      <c r="G2552" s="25">
        <v>8326</v>
      </c>
      <c r="H2552" s="22" t="s">
        <v>32</v>
      </c>
      <c r="I2552" s="22">
        <v>0</v>
      </c>
      <c r="J2552" s="22" t="s">
        <v>39</v>
      </c>
      <c r="K2552" s="22" t="s">
        <v>23</v>
      </c>
      <c r="L2552" s="22">
        <v>1</v>
      </c>
      <c r="M2552" s="26">
        <v>91586</v>
      </c>
      <c r="N2552" s="26">
        <v>0</v>
      </c>
      <c r="O2552" s="15">
        <f t="shared" si="211"/>
        <v>91586</v>
      </c>
      <c r="P2552" s="15">
        <f t="shared" si="204"/>
        <v>11</v>
      </c>
      <c r="Q2552" s="25">
        <v>5000</v>
      </c>
      <c r="R2552" s="22">
        <v>100</v>
      </c>
      <c r="S2552" s="22" t="s">
        <v>3171</v>
      </c>
      <c r="T2552" s="22">
        <f t="shared" si="206"/>
        <v>7</v>
      </c>
      <c r="U2552" s="22">
        <f t="shared" si="207"/>
        <v>2021</v>
      </c>
      <c r="V2552" s="22" t="str">
        <f t="shared" si="208"/>
        <v>METROPOLITANA</v>
      </c>
    </row>
    <row r="2553" spans="1:22" x14ac:dyDescent="0.2">
      <c r="A2553" s="23" t="s">
        <v>3160</v>
      </c>
      <c r="B2553" s="22" t="s">
        <v>33</v>
      </c>
      <c r="C2553" s="22" t="s">
        <v>44</v>
      </c>
      <c r="D2553" s="22" t="s">
        <v>30</v>
      </c>
      <c r="E2553" s="24">
        <v>72564391</v>
      </c>
      <c r="F2553" s="22" t="s">
        <v>182</v>
      </c>
      <c r="G2553" s="25">
        <f>2288+949</f>
        <v>3237</v>
      </c>
      <c r="H2553" s="22" t="s">
        <v>32</v>
      </c>
      <c r="I2553" s="22">
        <v>0</v>
      </c>
      <c r="J2553" s="22" t="s">
        <v>182</v>
      </c>
      <c r="K2553" s="22" t="s">
        <v>23</v>
      </c>
      <c r="L2553" s="22">
        <v>4</v>
      </c>
      <c r="M2553" s="26">
        <v>55000</v>
      </c>
      <c r="N2553" s="26">
        <v>0</v>
      </c>
      <c r="O2553" s="15">
        <f t="shared" si="211"/>
        <v>55000</v>
      </c>
      <c r="P2553" s="15">
        <f t="shared" si="204"/>
        <v>16.99104108742663</v>
      </c>
      <c r="Q2553" s="25">
        <v>5000</v>
      </c>
      <c r="R2553" s="22">
        <v>46</v>
      </c>
      <c r="S2553" s="22" t="s">
        <v>3176</v>
      </c>
      <c r="T2553" s="22">
        <f t="shared" si="206"/>
        <v>7</v>
      </c>
      <c r="U2553" s="22">
        <f t="shared" si="207"/>
        <v>2021</v>
      </c>
      <c r="V2553" s="22" t="str">
        <f t="shared" si="208"/>
        <v>METROPOLITANA</v>
      </c>
    </row>
    <row r="2554" spans="1:22" x14ac:dyDescent="0.2">
      <c r="A2554" s="23" t="s">
        <v>3160</v>
      </c>
      <c r="B2554" s="22" t="s">
        <v>33</v>
      </c>
      <c r="C2554" s="22" t="s">
        <v>44</v>
      </c>
      <c r="D2554" s="22" t="s">
        <v>45</v>
      </c>
      <c r="E2554" s="24">
        <v>99626232</v>
      </c>
      <c r="F2554" s="22" t="s">
        <v>34</v>
      </c>
      <c r="G2554" s="25">
        <v>3714.4</v>
      </c>
      <c r="H2554" s="22" t="s">
        <v>22</v>
      </c>
      <c r="I2554" s="22">
        <v>0</v>
      </c>
      <c r="J2554" s="22" t="s">
        <v>34</v>
      </c>
      <c r="K2554" s="22" t="s">
        <v>23</v>
      </c>
      <c r="L2554" s="22">
        <v>1</v>
      </c>
      <c r="M2554" s="26">
        <v>55000</v>
      </c>
      <c r="N2554" s="26">
        <v>0</v>
      </c>
      <c r="O2554" s="15">
        <f t="shared" si="211"/>
        <v>55000</v>
      </c>
      <c r="P2554" s="15">
        <f t="shared" si="204"/>
        <v>14.807236700409218</v>
      </c>
      <c r="Q2554" s="25">
        <v>5000</v>
      </c>
      <c r="R2554" s="22">
        <v>74</v>
      </c>
      <c r="S2554" s="22" t="s">
        <v>3172</v>
      </c>
      <c r="T2554" s="22">
        <f t="shared" si="206"/>
        <v>7</v>
      </c>
      <c r="U2554" s="22">
        <f t="shared" si="207"/>
        <v>2021</v>
      </c>
      <c r="V2554" s="22" t="str">
        <f t="shared" si="208"/>
        <v>METROPOLITANA</v>
      </c>
    </row>
    <row r="2555" spans="1:22" x14ac:dyDescent="0.2">
      <c r="A2555" s="23" t="s">
        <v>3160</v>
      </c>
      <c r="B2555" s="22" t="s">
        <v>33</v>
      </c>
      <c r="C2555" s="22" t="s">
        <v>44</v>
      </c>
      <c r="D2555" s="22" t="s">
        <v>47</v>
      </c>
      <c r="E2555" s="24">
        <v>154837728</v>
      </c>
      <c r="F2555" s="22" t="s">
        <v>46</v>
      </c>
      <c r="G2555" s="25">
        <v>3836.8</v>
      </c>
      <c r="H2555" s="22" t="s">
        <v>22</v>
      </c>
      <c r="I2555" s="22">
        <v>0</v>
      </c>
      <c r="J2555" s="22" t="s">
        <v>46</v>
      </c>
      <c r="K2555" s="22" t="s">
        <v>23</v>
      </c>
      <c r="L2555" s="22">
        <v>2</v>
      </c>
      <c r="M2555" s="26">
        <v>55000</v>
      </c>
      <c r="N2555" s="26">
        <v>0</v>
      </c>
      <c r="O2555" s="15">
        <f t="shared" si="211"/>
        <v>55000</v>
      </c>
      <c r="P2555" s="15">
        <f t="shared" si="204"/>
        <v>14.334862385321101</v>
      </c>
      <c r="Q2555" s="25">
        <v>5000</v>
      </c>
      <c r="R2555" s="22">
        <v>77</v>
      </c>
      <c r="S2555" s="22" t="s">
        <v>3173</v>
      </c>
      <c r="T2555" s="22">
        <f t="shared" si="206"/>
        <v>7</v>
      </c>
      <c r="U2555" s="22">
        <f t="shared" si="207"/>
        <v>2021</v>
      </c>
      <c r="V2555" s="22" t="str">
        <f t="shared" si="208"/>
        <v>METROPOLITANA</v>
      </c>
    </row>
    <row r="2556" spans="1:22" x14ac:dyDescent="0.2">
      <c r="A2556" s="23" t="s">
        <v>3160</v>
      </c>
      <c r="B2556" s="22" t="s">
        <v>33</v>
      </c>
      <c r="C2556" s="22" t="s">
        <v>44</v>
      </c>
      <c r="D2556" s="22" t="s">
        <v>35</v>
      </c>
      <c r="E2556" s="24">
        <v>78907355</v>
      </c>
      <c r="F2556" s="22" t="s">
        <v>129</v>
      </c>
      <c r="G2556" s="25">
        <v>3826.0000000000009</v>
      </c>
      <c r="H2556" s="22" t="s">
        <v>22</v>
      </c>
      <c r="I2556" s="22">
        <v>0</v>
      </c>
      <c r="J2556" s="22" t="s">
        <v>129</v>
      </c>
      <c r="K2556" s="22" t="s">
        <v>23</v>
      </c>
      <c r="L2556" s="22">
        <v>1</v>
      </c>
      <c r="M2556" s="26">
        <v>55000</v>
      </c>
      <c r="N2556" s="26">
        <v>0</v>
      </c>
      <c r="O2556" s="15">
        <f t="shared" si="211"/>
        <v>55000</v>
      </c>
      <c r="P2556" s="15">
        <f t="shared" si="204"/>
        <v>14.375326711970724</v>
      </c>
      <c r="Q2556" s="25">
        <v>5000</v>
      </c>
      <c r="R2556" s="22">
        <v>77</v>
      </c>
      <c r="S2556" s="22" t="s">
        <v>3174</v>
      </c>
      <c r="T2556" s="22">
        <f t="shared" si="206"/>
        <v>7</v>
      </c>
      <c r="U2556" s="22">
        <f t="shared" si="207"/>
        <v>2021</v>
      </c>
      <c r="V2556" s="22" t="str">
        <f t="shared" si="208"/>
        <v>METROPOLITANA</v>
      </c>
    </row>
    <row r="2557" spans="1:22" x14ac:dyDescent="0.2">
      <c r="A2557" s="23" t="s">
        <v>3160</v>
      </c>
      <c r="B2557" s="22" t="s">
        <v>33</v>
      </c>
      <c r="C2557" s="22" t="s">
        <v>44</v>
      </c>
      <c r="D2557" s="22" t="s">
        <v>164</v>
      </c>
      <c r="E2557" s="24">
        <v>81417709</v>
      </c>
      <c r="F2557" s="22" t="s">
        <v>48</v>
      </c>
      <c r="G2557" s="25">
        <v>15139.1</v>
      </c>
      <c r="H2557" s="22" t="s">
        <v>22</v>
      </c>
      <c r="I2557" s="22">
        <v>1</v>
      </c>
      <c r="J2557" s="22" t="s">
        <v>48</v>
      </c>
      <c r="K2557" s="22" t="s">
        <v>23</v>
      </c>
      <c r="L2557" s="22">
        <v>1</v>
      </c>
      <c r="M2557" s="26">
        <v>166530</v>
      </c>
      <c r="N2557" s="26">
        <v>0</v>
      </c>
      <c r="O2557" s="15">
        <f t="shared" si="211"/>
        <v>166530</v>
      </c>
      <c r="P2557" s="15">
        <f t="shared" si="204"/>
        <v>10.999993394587525</v>
      </c>
      <c r="Q2557" s="25">
        <v>5000</v>
      </c>
      <c r="R2557" s="22">
        <v>100</v>
      </c>
      <c r="S2557" s="22" t="s">
        <v>3175</v>
      </c>
      <c r="T2557" s="22">
        <f t="shared" si="206"/>
        <v>7</v>
      </c>
      <c r="U2557" s="22">
        <f t="shared" si="207"/>
        <v>2021</v>
      </c>
      <c r="V2557" s="22" t="str">
        <f t="shared" si="208"/>
        <v>METROPOLITANA</v>
      </c>
    </row>
    <row r="2558" spans="1:22" x14ac:dyDescent="0.2">
      <c r="A2558" s="11" t="s">
        <v>3177</v>
      </c>
      <c r="B2558" s="12" t="s">
        <v>18</v>
      </c>
      <c r="C2558" s="12" t="s">
        <v>57</v>
      </c>
      <c r="D2558" s="12" t="s">
        <v>37</v>
      </c>
      <c r="E2558" s="13">
        <v>154837728</v>
      </c>
      <c r="F2558" s="12" t="s">
        <v>120</v>
      </c>
      <c r="G2558" s="14">
        <v>5118.04</v>
      </c>
      <c r="H2558" s="12" t="s">
        <v>22</v>
      </c>
      <c r="I2558" s="12">
        <v>0</v>
      </c>
      <c r="J2558" s="12" t="s">
        <v>120</v>
      </c>
      <c r="K2558" s="12" t="s">
        <v>23</v>
      </c>
      <c r="L2558" s="12">
        <v>5</v>
      </c>
      <c r="M2558" s="15">
        <v>70000</v>
      </c>
      <c r="N2558" s="15">
        <v>0</v>
      </c>
      <c r="O2558" s="15">
        <f t="shared" si="211"/>
        <v>70000</v>
      </c>
      <c r="P2558" s="15">
        <f t="shared" si="204"/>
        <v>13.677110768966244</v>
      </c>
      <c r="Q2558" s="14">
        <v>10000</v>
      </c>
      <c r="R2558" s="12">
        <v>65</v>
      </c>
      <c r="S2558" s="12" t="s">
        <v>3178</v>
      </c>
      <c r="T2558" s="22">
        <f t="shared" si="206"/>
        <v>7</v>
      </c>
      <c r="U2558" s="22">
        <f t="shared" si="207"/>
        <v>2021</v>
      </c>
      <c r="V2558" s="22" t="str">
        <f t="shared" si="208"/>
        <v>METROPOLITANA</v>
      </c>
    </row>
    <row r="2559" spans="1:22" x14ac:dyDescent="0.2">
      <c r="A2559" s="11" t="s">
        <v>3177</v>
      </c>
      <c r="B2559" s="12" t="s">
        <v>18</v>
      </c>
      <c r="C2559" s="12" t="s">
        <v>2049</v>
      </c>
      <c r="D2559" s="12" t="s">
        <v>2262</v>
      </c>
      <c r="E2559" s="13">
        <v>122975819</v>
      </c>
      <c r="F2559" s="12" t="s">
        <v>84</v>
      </c>
      <c r="G2559" s="14">
        <v>7239</v>
      </c>
      <c r="H2559" s="12" t="s">
        <v>24</v>
      </c>
      <c r="I2559" s="12">
        <v>1</v>
      </c>
      <c r="J2559" s="12" t="s">
        <v>84</v>
      </c>
      <c r="K2559" s="12" t="s">
        <v>86</v>
      </c>
      <c r="L2559" s="12">
        <v>0</v>
      </c>
      <c r="M2559" s="15">
        <v>320000</v>
      </c>
      <c r="N2559" s="15">
        <v>0</v>
      </c>
      <c r="O2559" s="15">
        <f t="shared" si="211"/>
        <v>320000</v>
      </c>
      <c r="P2559" s="15">
        <f t="shared" si="204"/>
        <v>44.205000690703137</v>
      </c>
      <c r="Q2559" s="14">
        <v>25000</v>
      </c>
      <c r="R2559" s="12">
        <v>45</v>
      </c>
      <c r="S2559" s="12" t="s">
        <v>3179</v>
      </c>
      <c r="T2559" s="22">
        <f t="shared" si="206"/>
        <v>7</v>
      </c>
      <c r="U2559" s="22">
        <f t="shared" si="207"/>
        <v>2021</v>
      </c>
      <c r="V2559" s="22" t="str">
        <f t="shared" si="208"/>
        <v>REGIONES</v>
      </c>
    </row>
    <row r="2560" spans="1:22" x14ac:dyDescent="0.2">
      <c r="A2560" s="11" t="s">
        <v>3177</v>
      </c>
      <c r="B2560" s="12" t="s">
        <v>18</v>
      </c>
      <c r="C2560" s="12" t="s">
        <v>457</v>
      </c>
      <c r="D2560" s="12" t="s">
        <v>130</v>
      </c>
      <c r="E2560" s="13">
        <v>167832741</v>
      </c>
      <c r="F2560" s="12" t="s">
        <v>815</v>
      </c>
      <c r="G2560" s="14">
        <v>16670.2</v>
      </c>
      <c r="H2560" s="12" t="s">
        <v>85</v>
      </c>
      <c r="I2560" s="12">
        <v>1</v>
      </c>
      <c r="J2560" s="12" t="s">
        <v>815</v>
      </c>
      <c r="K2560" s="12" t="s">
        <v>75</v>
      </c>
      <c r="L2560" s="12">
        <v>0</v>
      </c>
      <c r="M2560" s="15">
        <v>420000</v>
      </c>
      <c r="N2560" s="15">
        <v>0</v>
      </c>
      <c r="O2560" s="15">
        <f t="shared" si="211"/>
        <v>420000</v>
      </c>
      <c r="P2560" s="15">
        <f t="shared" si="204"/>
        <v>25.194658732348742</v>
      </c>
      <c r="Q2560" s="14">
        <v>25000</v>
      </c>
      <c r="R2560" s="12">
        <v>67</v>
      </c>
      <c r="S2560" s="12" t="s">
        <v>3180</v>
      </c>
      <c r="T2560" s="22">
        <f t="shared" si="206"/>
        <v>7</v>
      </c>
      <c r="U2560" s="22">
        <f t="shared" si="207"/>
        <v>2021</v>
      </c>
      <c r="V2560" s="22" t="str">
        <f t="shared" si="208"/>
        <v>REGIONES</v>
      </c>
    </row>
    <row r="2561" spans="1:22" x14ac:dyDescent="0.2">
      <c r="A2561" s="11" t="s">
        <v>3177</v>
      </c>
      <c r="B2561" s="12" t="s">
        <v>18</v>
      </c>
      <c r="C2561" s="12" t="s">
        <v>3060</v>
      </c>
      <c r="D2561" s="12" t="s">
        <v>38</v>
      </c>
      <c r="E2561" s="13">
        <v>53173292</v>
      </c>
      <c r="F2561" s="12" t="s">
        <v>58</v>
      </c>
      <c r="G2561" s="14">
        <v>10160.64</v>
      </c>
      <c r="H2561" s="12" t="s">
        <v>43</v>
      </c>
      <c r="I2561" s="12">
        <v>0</v>
      </c>
      <c r="J2561" s="12" t="s">
        <v>58</v>
      </c>
      <c r="K2561" s="12" t="s">
        <v>23</v>
      </c>
      <c r="L2561" s="12">
        <v>5</v>
      </c>
      <c r="M2561" s="15">
        <v>70000</v>
      </c>
      <c r="N2561" s="15">
        <v>0</v>
      </c>
      <c r="O2561" s="15">
        <f>G2561*11</f>
        <v>111767.03999999999</v>
      </c>
      <c r="P2561" s="15">
        <f t="shared" si="204"/>
        <v>11</v>
      </c>
      <c r="Q2561" s="14">
        <v>10000</v>
      </c>
      <c r="R2561" s="12">
        <v>100</v>
      </c>
      <c r="S2561" s="12" t="s">
        <v>3181</v>
      </c>
      <c r="T2561" s="22">
        <f t="shared" si="206"/>
        <v>7</v>
      </c>
      <c r="U2561" s="22">
        <f t="shared" si="207"/>
        <v>2021</v>
      </c>
      <c r="V2561" s="22" t="str">
        <f t="shared" si="208"/>
        <v>METROPOLITANA</v>
      </c>
    </row>
    <row r="2562" spans="1:22" x14ac:dyDescent="0.2">
      <c r="A2562" s="11" t="s">
        <v>3177</v>
      </c>
      <c r="B2562" s="12" t="s">
        <v>18</v>
      </c>
      <c r="C2562" s="12" t="s">
        <v>3060</v>
      </c>
      <c r="D2562" s="12" t="s">
        <v>41</v>
      </c>
      <c r="E2562" s="13">
        <v>125108660</v>
      </c>
      <c r="F2562" s="12" t="s">
        <v>58</v>
      </c>
      <c r="G2562" s="14">
        <v>10091.52</v>
      </c>
      <c r="H2562" s="12" t="s">
        <v>43</v>
      </c>
      <c r="I2562" s="12">
        <v>0</v>
      </c>
      <c r="J2562" s="12" t="s">
        <v>58</v>
      </c>
      <c r="K2562" s="12" t="s">
        <v>23</v>
      </c>
      <c r="L2562" s="12">
        <v>5</v>
      </c>
      <c r="M2562" s="15">
        <v>70000</v>
      </c>
      <c r="N2562" s="15">
        <v>0</v>
      </c>
      <c r="O2562" s="15">
        <f>G2562*11</f>
        <v>111006.72</v>
      </c>
      <c r="P2562" s="15">
        <f t="shared" ref="P2562:P2625" si="212">O2562/G2562</f>
        <v>11</v>
      </c>
      <c r="Q2562" s="14">
        <v>10000</v>
      </c>
      <c r="R2562" s="12">
        <v>100</v>
      </c>
      <c r="S2562" s="12" t="s">
        <v>3182</v>
      </c>
      <c r="T2562" s="22">
        <f t="shared" si="206"/>
        <v>7</v>
      </c>
      <c r="U2562" s="22">
        <f t="shared" si="207"/>
        <v>2021</v>
      </c>
      <c r="V2562" s="22" t="str">
        <f t="shared" si="208"/>
        <v>METROPOLITANA</v>
      </c>
    </row>
    <row r="2563" spans="1:22" x14ac:dyDescent="0.2">
      <c r="A2563" s="11" t="s">
        <v>3177</v>
      </c>
      <c r="B2563" s="12" t="s">
        <v>33</v>
      </c>
      <c r="C2563" s="12" t="s">
        <v>60</v>
      </c>
      <c r="D2563" s="12" t="s">
        <v>2028</v>
      </c>
      <c r="E2563" s="13">
        <v>172861164</v>
      </c>
      <c r="F2563" s="12" t="s">
        <v>51</v>
      </c>
      <c r="G2563" s="14">
        <v>14249.39999999998</v>
      </c>
      <c r="H2563" s="12" t="s">
        <v>22</v>
      </c>
      <c r="I2563" s="12">
        <v>1</v>
      </c>
      <c r="J2563" s="12" t="s">
        <v>51</v>
      </c>
      <c r="K2563" s="12" t="s">
        <v>23</v>
      </c>
      <c r="L2563" s="12">
        <v>4</v>
      </c>
      <c r="M2563" s="15">
        <v>156743</v>
      </c>
      <c r="N2563" s="15">
        <v>0</v>
      </c>
      <c r="O2563" s="15">
        <f t="shared" ref="O2563:O2568" si="213">SUM(M2563:N2563)</f>
        <v>156743</v>
      </c>
      <c r="P2563" s="15">
        <f t="shared" si="212"/>
        <v>10.999971928642625</v>
      </c>
      <c r="Q2563" s="14">
        <v>5000</v>
      </c>
      <c r="R2563" s="12">
        <v>100</v>
      </c>
      <c r="S2563" s="12" t="s">
        <v>3183</v>
      </c>
      <c r="T2563" s="22">
        <f t="shared" si="206"/>
        <v>7</v>
      </c>
      <c r="U2563" s="22">
        <f t="shared" si="207"/>
        <v>2021</v>
      </c>
      <c r="V2563" s="22" t="str">
        <f t="shared" si="208"/>
        <v>METROPOLITANA</v>
      </c>
    </row>
    <row r="2564" spans="1:22" x14ac:dyDescent="0.2">
      <c r="A2564" s="11" t="s">
        <v>3177</v>
      </c>
      <c r="B2564" s="12" t="s">
        <v>33</v>
      </c>
      <c r="C2564" s="12" t="s">
        <v>128</v>
      </c>
      <c r="D2564" s="12" t="s">
        <v>164</v>
      </c>
      <c r="E2564" s="13">
        <v>78907355</v>
      </c>
      <c r="F2564" s="12" t="s">
        <v>129</v>
      </c>
      <c r="G2564" s="14">
        <v>7128.0000000000036</v>
      </c>
      <c r="H2564" s="12" t="s">
        <v>22</v>
      </c>
      <c r="I2564" s="12">
        <v>1</v>
      </c>
      <c r="J2564" s="12" t="s">
        <v>129</v>
      </c>
      <c r="K2564" s="12" t="s">
        <v>23</v>
      </c>
      <c r="L2564" s="12">
        <v>1</v>
      </c>
      <c r="M2564" s="15">
        <v>78408</v>
      </c>
      <c r="N2564" s="15">
        <v>0</v>
      </c>
      <c r="O2564" s="15">
        <f t="shared" si="213"/>
        <v>78408</v>
      </c>
      <c r="P2564" s="15">
        <f t="shared" si="212"/>
        <v>10.999999999999995</v>
      </c>
      <c r="Q2564" s="14">
        <v>5000</v>
      </c>
      <c r="R2564" s="12">
        <v>100</v>
      </c>
      <c r="S2564" s="12" t="s">
        <v>3184</v>
      </c>
      <c r="T2564" s="22">
        <f t="shared" si="206"/>
        <v>7</v>
      </c>
      <c r="U2564" s="22">
        <f t="shared" si="207"/>
        <v>2021</v>
      </c>
      <c r="V2564" s="22" t="str">
        <f t="shared" si="208"/>
        <v>METROPOLITANA</v>
      </c>
    </row>
    <row r="2565" spans="1:22" x14ac:dyDescent="0.2">
      <c r="A2565" s="11" t="s">
        <v>3177</v>
      </c>
      <c r="B2565" s="12" t="s">
        <v>33</v>
      </c>
      <c r="C2565" s="12" t="s">
        <v>29</v>
      </c>
      <c r="D2565" s="12" t="s">
        <v>63</v>
      </c>
      <c r="E2565" s="13">
        <v>138841065</v>
      </c>
      <c r="F2565" s="12" t="s">
        <v>134</v>
      </c>
      <c r="G2565" s="14">
        <v>9129.6</v>
      </c>
      <c r="H2565" s="12" t="s">
        <v>65</v>
      </c>
      <c r="I2565" s="12">
        <v>0</v>
      </c>
      <c r="J2565" s="12" t="s">
        <v>134</v>
      </c>
      <c r="K2565" s="12" t="s">
        <v>23</v>
      </c>
      <c r="L2565" s="12">
        <v>2</v>
      </c>
      <c r="M2565" s="15">
        <v>100426</v>
      </c>
      <c r="N2565" s="15">
        <v>0</v>
      </c>
      <c r="O2565" s="15">
        <f t="shared" si="213"/>
        <v>100426</v>
      </c>
      <c r="P2565" s="15">
        <f t="shared" si="212"/>
        <v>11.000043813529617</v>
      </c>
      <c r="Q2565" s="14">
        <v>5000</v>
      </c>
      <c r="R2565" s="12">
        <v>100</v>
      </c>
      <c r="S2565" s="12" t="s">
        <v>3185</v>
      </c>
      <c r="T2565" s="22">
        <f t="shared" si="206"/>
        <v>7</v>
      </c>
      <c r="U2565" s="22">
        <f t="shared" si="207"/>
        <v>2021</v>
      </c>
      <c r="V2565" s="22" t="str">
        <f t="shared" si="208"/>
        <v>METROPOLITANA</v>
      </c>
    </row>
    <row r="2566" spans="1:22" x14ac:dyDescent="0.2">
      <c r="A2566" s="11" t="s">
        <v>3177</v>
      </c>
      <c r="B2566" s="12" t="s">
        <v>33</v>
      </c>
      <c r="C2566" s="12" t="s">
        <v>29</v>
      </c>
      <c r="D2566" s="12" t="s">
        <v>45</v>
      </c>
      <c r="E2566" s="13">
        <v>99626232</v>
      </c>
      <c r="F2566" s="12" t="s">
        <v>134</v>
      </c>
      <c r="G2566" s="14">
        <v>7228.7999999999984</v>
      </c>
      <c r="H2566" s="12" t="s">
        <v>22</v>
      </c>
      <c r="I2566" s="12">
        <v>0</v>
      </c>
      <c r="J2566" s="12" t="s">
        <v>134</v>
      </c>
      <c r="K2566" s="12" t="s">
        <v>23</v>
      </c>
      <c r="L2566" s="12">
        <v>2</v>
      </c>
      <c r="M2566" s="15">
        <v>79517</v>
      </c>
      <c r="N2566" s="15">
        <v>0</v>
      </c>
      <c r="O2566" s="15">
        <f t="shared" si="213"/>
        <v>79517</v>
      </c>
      <c r="P2566" s="15">
        <f t="shared" si="212"/>
        <v>11.000027667109343</v>
      </c>
      <c r="Q2566" s="14">
        <v>5000</v>
      </c>
      <c r="R2566" s="12">
        <v>100</v>
      </c>
      <c r="S2566" s="12" t="s">
        <v>3186</v>
      </c>
      <c r="T2566" s="22">
        <f t="shared" si="206"/>
        <v>7</v>
      </c>
      <c r="U2566" s="22">
        <f t="shared" si="207"/>
        <v>2021</v>
      </c>
      <c r="V2566" s="22" t="str">
        <f t="shared" si="208"/>
        <v>METROPOLITANA</v>
      </c>
    </row>
    <row r="2567" spans="1:22" x14ac:dyDescent="0.2">
      <c r="A2567" s="11" t="s">
        <v>3177</v>
      </c>
      <c r="B2567" s="12" t="s">
        <v>33</v>
      </c>
      <c r="C2567" s="12" t="s">
        <v>44</v>
      </c>
      <c r="D2567" s="12" t="s">
        <v>164</v>
      </c>
      <c r="E2567" s="13">
        <v>81417709</v>
      </c>
      <c r="F2567" s="12" t="s">
        <v>48</v>
      </c>
      <c r="G2567" s="14">
        <v>11946.000000000009</v>
      </c>
      <c r="H2567" s="12" t="s">
        <v>22</v>
      </c>
      <c r="I2567" s="12">
        <v>1</v>
      </c>
      <c r="J2567" s="12" t="s">
        <v>48</v>
      </c>
      <c r="K2567" s="12" t="s">
        <v>23</v>
      </c>
      <c r="L2567" s="12">
        <v>1</v>
      </c>
      <c r="M2567" s="15">
        <v>131406</v>
      </c>
      <c r="N2567" s="15">
        <v>0</v>
      </c>
      <c r="O2567" s="15">
        <f t="shared" si="213"/>
        <v>131406</v>
      </c>
      <c r="P2567" s="15">
        <f t="shared" si="212"/>
        <v>10.999999999999991</v>
      </c>
      <c r="Q2567" s="14">
        <v>5000</v>
      </c>
      <c r="R2567" s="12">
        <v>100</v>
      </c>
      <c r="S2567" s="12" t="s">
        <v>3187</v>
      </c>
      <c r="T2567" s="22">
        <f t="shared" si="206"/>
        <v>7</v>
      </c>
      <c r="U2567" s="22">
        <f t="shared" si="207"/>
        <v>2021</v>
      </c>
      <c r="V2567" s="22" t="str">
        <f t="shared" si="208"/>
        <v>METROPOLITANA</v>
      </c>
    </row>
    <row r="2568" spans="1:22" x14ac:dyDescent="0.2">
      <c r="A2568" s="23" t="s">
        <v>3188</v>
      </c>
      <c r="B2568" s="22" t="s">
        <v>18</v>
      </c>
      <c r="C2568" s="22" t="s">
        <v>57</v>
      </c>
      <c r="D2568" s="22" t="s">
        <v>41</v>
      </c>
      <c r="E2568" s="24" t="s">
        <v>25</v>
      </c>
      <c r="F2568" s="22" t="s">
        <v>120</v>
      </c>
      <c r="G2568" s="25">
        <v>5296.5</v>
      </c>
      <c r="H2568" s="22" t="s">
        <v>43</v>
      </c>
      <c r="I2568" s="22">
        <v>0</v>
      </c>
      <c r="J2568" s="22" t="s">
        <v>120</v>
      </c>
      <c r="K2568" s="22" t="s">
        <v>23</v>
      </c>
      <c r="L2568" s="22">
        <v>5</v>
      </c>
      <c r="M2568" s="26">
        <v>70000</v>
      </c>
      <c r="N2568" s="26">
        <v>0</v>
      </c>
      <c r="O2568" s="15">
        <f t="shared" si="213"/>
        <v>70000</v>
      </c>
      <c r="P2568" s="15">
        <f t="shared" si="212"/>
        <v>13.21627489851789</v>
      </c>
      <c r="Q2568" s="25">
        <v>10000</v>
      </c>
      <c r="R2568" s="22">
        <v>53</v>
      </c>
      <c r="S2568" s="22" t="s">
        <v>3189</v>
      </c>
      <c r="T2568" s="22">
        <f t="shared" ref="T2568:T2631" si="214">MONTH(A2568)</f>
        <v>7</v>
      </c>
      <c r="U2568" s="22">
        <f t="shared" ref="U2568:U2631" si="215">YEAR(A2568)</f>
        <v>2021</v>
      </c>
      <c r="V2568" s="22" t="str">
        <f t="shared" ref="V2568:V2631" si="216">IF(K2568="METROPOLITANA DE SANTIAGO","METROPOLITANA","REGIONES")</f>
        <v>METROPOLITANA</v>
      </c>
    </row>
    <row r="2569" spans="1:22" x14ac:dyDescent="0.2">
      <c r="A2569" s="23" t="s">
        <v>3188</v>
      </c>
      <c r="B2569" s="22" t="s">
        <v>18</v>
      </c>
      <c r="C2569" s="22" t="s">
        <v>3060</v>
      </c>
      <c r="D2569" s="22" t="s">
        <v>37</v>
      </c>
      <c r="E2569" s="24" t="s">
        <v>40</v>
      </c>
      <c r="F2569" s="22" t="s">
        <v>58</v>
      </c>
      <c r="G2569" s="25">
        <v>13971.5</v>
      </c>
      <c r="H2569" s="22" t="s">
        <v>22</v>
      </c>
      <c r="I2569" s="22">
        <v>0</v>
      </c>
      <c r="J2569" s="22" t="s">
        <v>58</v>
      </c>
      <c r="K2569" s="22" t="s">
        <v>23</v>
      </c>
      <c r="L2569" s="22">
        <v>5</v>
      </c>
      <c r="M2569" s="26">
        <v>70000</v>
      </c>
      <c r="N2569" s="26">
        <v>0</v>
      </c>
      <c r="O2569" s="15">
        <f>G2569*11</f>
        <v>153686.5</v>
      </c>
      <c r="P2569" s="15">
        <f t="shared" si="212"/>
        <v>11</v>
      </c>
      <c r="Q2569" s="25">
        <v>10000</v>
      </c>
      <c r="R2569" s="22">
        <v>100</v>
      </c>
      <c r="S2569" s="22" t="s">
        <v>3190</v>
      </c>
      <c r="T2569" s="22">
        <f t="shared" si="214"/>
        <v>7</v>
      </c>
      <c r="U2569" s="22">
        <f t="shared" si="215"/>
        <v>2021</v>
      </c>
      <c r="V2569" s="22" t="str">
        <f t="shared" si="216"/>
        <v>METROPOLITANA</v>
      </c>
    </row>
    <row r="2570" spans="1:22" x14ac:dyDescent="0.2">
      <c r="A2570" s="23" t="s">
        <v>3188</v>
      </c>
      <c r="B2570" s="22" t="s">
        <v>18</v>
      </c>
      <c r="C2570" s="22" t="s">
        <v>3060</v>
      </c>
      <c r="D2570" s="22" t="s">
        <v>30</v>
      </c>
      <c r="E2570" s="24" t="s">
        <v>31</v>
      </c>
      <c r="F2570" s="22" t="s">
        <v>58</v>
      </c>
      <c r="G2570" s="25">
        <v>8852.68</v>
      </c>
      <c r="H2570" s="22" t="s">
        <v>32</v>
      </c>
      <c r="I2570" s="22">
        <v>0</v>
      </c>
      <c r="J2570" s="22" t="s">
        <v>58</v>
      </c>
      <c r="K2570" s="22" t="s">
        <v>23</v>
      </c>
      <c r="L2570" s="22">
        <v>5</v>
      </c>
      <c r="M2570" s="26">
        <v>70000</v>
      </c>
      <c r="N2570" s="26">
        <v>0</v>
      </c>
      <c r="O2570" s="15">
        <f>G2570*11</f>
        <v>97379.48000000001</v>
      </c>
      <c r="P2570" s="15">
        <f t="shared" si="212"/>
        <v>11</v>
      </c>
      <c r="Q2570" s="25">
        <v>10000</v>
      </c>
      <c r="R2570" s="22">
        <v>89</v>
      </c>
      <c r="S2570" s="22" t="s">
        <v>3191</v>
      </c>
      <c r="T2570" s="22">
        <f t="shared" si="214"/>
        <v>7</v>
      </c>
      <c r="U2570" s="22">
        <f t="shared" si="215"/>
        <v>2021</v>
      </c>
      <c r="V2570" s="22" t="str">
        <f t="shared" si="216"/>
        <v>METROPOLITANA</v>
      </c>
    </row>
    <row r="2571" spans="1:22" x14ac:dyDescent="0.2">
      <c r="A2571" s="23" t="s">
        <v>3188</v>
      </c>
      <c r="B2571" s="22" t="s">
        <v>18</v>
      </c>
      <c r="C2571" s="22" t="s">
        <v>508</v>
      </c>
      <c r="D2571" s="22" t="s">
        <v>63</v>
      </c>
      <c r="E2571" s="24" t="s">
        <v>64</v>
      </c>
      <c r="F2571" s="22" t="s">
        <v>58</v>
      </c>
      <c r="G2571" s="25">
        <v>6333.4099999999989</v>
      </c>
      <c r="H2571" s="22" t="s">
        <v>65</v>
      </c>
      <c r="I2571" s="22">
        <v>0</v>
      </c>
      <c r="J2571" s="22" t="s">
        <v>58</v>
      </c>
      <c r="K2571" s="22" t="s">
        <v>23</v>
      </c>
      <c r="L2571" s="22">
        <v>5</v>
      </c>
      <c r="M2571" s="26">
        <v>70000</v>
      </c>
      <c r="N2571" s="26">
        <v>0</v>
      </c>
      <c r="O2571" s="15">
        <f t="shared" ref="O2571:O2584" si="217">SUM(M2571:N2571)</f>
        <v>70000</v>
      </c>
      <c r="P2571" s="15">
        <f t="shared" si="212"/>
        <v>11.052497785553124</v>
      </c>
      <c r="Q2571" s="25">
        <v>10000</v>
      </c>
      <c r="R2571" s="22">
        <v>63</v>
      </c>
      <c r="S2571" s="22" t="s">
        <v>3192</v>
      </c>
      <c r="T2571" s="22">
        <f t="shared" si="214"/>
        <v>7</v>
      </c>
      <c r="U2571" s="22">
        <f t="shared" si="215"/>
        <v>2021</v>
      </c>
      <c r="V2571" s="22" t="str">
        <f t="shared" si="216"/>
        <v>METROPOLITANA</v>
      </c>
    </row>
    <row r="2572" spans="1:22" x14ac:dyDescent="0.2">
      <c r="A2572" s="23" t="s">
        <v>3188</v>
      </c>
      <c r="B2572" s="22" t="s">
        <v>33</v>
      </c>
      <c r="C2572" s="22" t="s">
        <v>60</v>
      </c>
      <c r="D2572" s="22" t="s">
        <v>47</v>
      </c>
      <c r="E2572" s="24" t="s">
        <v>52</v>
      </c>
      <c r="F2572" s="22" t="s">
        <v>51</v>
      </c>
      <c r="G2572" s="25">
        <v>8002.9999999999973</v>
      </c>
      <c r="H2572" s="22" t="s">
        <v>22</v>
      </c>
      <c r="I2572" s="22">
        <v>0</v>
      </c>
      <c r="J2572" s="22" t="s">
        <v>51</v>
      </c>
      <c r="K2572" s="22" t="s">
        <v>23</v>
      </c>
      <c r="L2572" s="22">
        <v>4</v>
      </c>
      <c r="M2572" s="26">
        <v>88033</v>
      </c>
      <c r="N2572" s="26">
        <v>0</v>
      </c>
      <c r="O2572" s="15">
        <f t="shared" si="217"/>
        <v>88033</v>
      </c>
      <c r="P2572" s="15">
        <f t="shared" si="212"/>
        <v>11.000000000000004</v>
      </c>
      <c r="Q2572" s="25">
        <v>5000</v>
      </c>
      <c r="R2572" s="22">
        <v>100</v>
      </c>
      <c r="S2572" s="22" t="s">
        <v>3193</v>
      </c>
      <c r="T2572" s="22">
        <f t="shared" si="214"/>
        <v>7</v>
      </c>
      <c r="U2572" s="22">
        <f t="shared" si="215"/>
        <v>2021</v>
      </c>
      <c r="V2572" s="22" t="str">
        <f t="shared" si="216"/>
        <v>METROPOLITANA</v>
      </c>
    </row>
    <row r="2573" spans="1:22" x14ac:dyDescent="0.2">
      <c r="A2573" s="23" t="s">
        <v>3188</v>
      </c>
      <c r="B2573" s="22" t="s">
        <v>33</v>
      </c>
      <c r="C2573" s="22" t="s">
        <v>128</v>
      </c>
      <c r="D2573" s="22" t="s">
        <v>1170</v>
      </c>
      <c r="E2573" s="24" t="s">
        <v>81</v>
      </c>
      <c r="F2573" s="22" t="s">
        <v>66</v>
      </c>
      <c r="G2573" s="25">
        <v>15678.8</v>
      </c>
      <c r="H2573" s="22" t="s">
        <v>24</v>
      </c>
      <c r="I2573" s="22">
        <v>1</v>
      </c>
      <c r="J2573" s="22" t="s">
        <v>66</v>
      </c>
      <c r="K2573" s="22" t="s">
        <v>75</v>
      </c>
      <c r="L2573" s="22">
        <v>0</v>
      </c>
      <c r="M2573" s="26">
        <v>380000</v>
      </c>
      <c r="N2573" s="26">
        <v>0</v>
      </c>
      <c r="O2573" s="15">
        <f t="shared" si="217"/>
        <v>380000</v>
      </c>
      <c r="P2573" s="15">
        <f t="shared" si="212"/>
        <v>24.23654871546292</v>
      </c>
      <c r="Q2573" s="25">
        <v>25000</v>
      </c>
      <c r="R2573" s="22">
        <v>85</v>
      </c>
      <c r="S2573" s="22" t="s">
        <v>3194</v>
      </c>
      <c r="T2573" s="22">
        <f t="shared" si="214"/>
        <v>7</v>
      </c>
      <c r="U2573" s="22">
        <f t="shared" si="215"/>
        <v>2021</v>
      </c>
      <c r="V2573" s="22" t="str">
        <f t="shared" si="216"/>
        <v>REGIONES</v>
      </c>
    </row>
    <row r="2574" spans="1:22" x14ac:dyDescent="0.2">
      <c r="A2574" s="23" t="s">
        <v>3188</v>
      </c>
      <c r="B2574" s="22" t="s">
        <v>33</v>
      </c>
      <c r="C2574" s="22" t="s">
        <v>128</v>
      </c>
      <c r="D2574" s="22" t="s">
        <v>63</v>
      </c>
      <c r="E2574" s="24" t="s">
        <v>64</v>
      </c>
      <c r="F2574" s="22" t="s">
        <v>34</v>
      </c>
      <c r="G2574" s="25">
        <v>9753.6000000000022</v>
      </c>
      <c r="H2574" s="22" t="s">
        <v>65</v>
      </c>
      <c r="I2574" s="22">
        <v>0</v>
      </c>
      <c r="J2574" s="22" t="s">
        <v>34</v>
      </c>
      <c r="K2574" s="22" t="s">
        <v>23</v>
      </c>
      <c r="L2574" s="22">
        <v>1</v>
      </c>
      <c r="M2574" s="26">
        <v>107290</v>
      </c>
      <c r="N2574" s="26">
        <v>0</v>
      </c>
      <c r="O2574" s="15">
        <f t="shared" si="217"/>
        <v>107290</v>
      </c>
      <c r="P2574" s="15">
        <f t="shared" si="212"/>
        <v>11.000041010498686</v>
      </c>
      <c r="Q2574" s="25">
        <v>5000</v>
      </c>
      <c r="R2574" s="22">
        <v>100</v>
      </c>
      <c r="S2574" s="22" t="s">
        <v>3195</v>
      </c>
      <c r="T2574" s="22">
        <f t="shared" si="214"/>
        <v>7</v>
      </c>
      <c r="U2574" s="22">
        <f t="shared" si="215"/>
        <v>2021</v>
      </c>
      <c r="V2574" s="22" t="str">
        <f t="shared" si="216"/>
        <v>METROPOLITANA</v>
      </c>
    </row>
    <row r="2575" spans="1:22" x14ac:dyDescent="0.2">
      <c r="A2575" s="23" t="s">
        <v>3188</v>
      </c>
      <c r="B2575" s="22" t="s">
        <v>33</v>
      </c>
      <c r="C2575" s="22" t="s">
        <v>128</v>
      </c>
      <c r="D2575" s="22" t="s">
        <v>30</v>
      </c>
      <c r="E2575" s="24" t="s">
        <v>31</v>
      </c>
      <c r="F2575" s="22" t="s">
        <v>34</v>
      </c>
      <c r="G2575" s="25">
        <v>9753.6</v>
      </c>
      <c r="H2575" s="22" t="s">
        <v>32</v>
      </c>
      <c r="I2575" s="22">
        <v>0</v>
      </c>
      <c r="J2575" s="22" t="s">
        <v>34</v>
      </c>
      <c r="K2575" s="22" t="s">
        <v>23</v>
      </c>
      <c r="L2575" s="22">
        <v>1</v>
      </c>
      <c r="M2575" s="26">
        <v>107290</v>
      </c>
      <c r="N2575" s="26">
        <v>0</v>
      </c>
      <c r="O2575" s="15">
        <f t="shared" si="217"/>
        <v>107290</v>
      </c>
      <c r="P2575" s="15">
        <f t="shared" si="212"/>
        <v>11.000041010498688</v>
      </c>
      <c r="Q2575" s="25">
        <v>5000</v>
      </c>
      <c r="R2575" s="22">
        <v>100</v>
      </c>
      <c r="S2575" s="22" t="s">
        <v>3196</v>
      </c>
      <c r="T2575" s="22">
        <f t="shared" si="214"/>
        <v>7</v>
      </c>
      <c r="U2575" s="22">
        <f t="shared" si="215"/>
        <v>2021</v>
      </c>
      <c r="V2575" s="22" t="str">
        <f t="shared" si="216"/>
        <v>METROPOLITANA</v>
      </c>
    </row>
    <row r="2576" spans="1:22" x14ac:dyDescent="0.2">
      <c r="A2576" s="23" t="s">
        <v>3188</v>
      </c>
      <c r="B2576" s="22" t="s">
        <v>33</v>
      </c>
      <c r="C2576" s="22" t="s">
        <v>223</v>
      </c>
      <c r="D2576" s="22" t="s">
        <v>41</v>
      </c>
      <c r="E2576" s="24" t="s">
        <v>25</v>
      </c>
      <c r="F2576" s="22" t="s">
        <v>39</v>
      </c>
      <c r="G2576" s="25">
        <v>7503.9999999999973</v>
      </c>
      <c r="H2576" s="22" t="s">
        <v>43</v>
      </c>
      <c r="I2576" s="22">
        <v>0</v>
      </c>
      <c r="J2576" s="22" t="s">
        <v>39</v>
      </c>
      <c r="K2576" s="22" t="s">
        <v>23</v>
      </c>
      <c r="L2576" s="22">
        <v>1</v>
      </c>
      <c r="M2576" s="26">
        <v>82544</v>
      </c>
      <c r="N2576" s="26">
        <v>0</v>
      </c>
      <c r="O2576" s="15">
        <f t="shared" si="217"/>
        <v>82544</v>
      </c>
      <c r="P2576" s="15">
        <f t="shared" si="212"/>
        <v>11.000000000000004</v>
      </c>
      <c r="Q2576" s="25">
        <v>5000</v>
      </c>
      <c r="R2576" s="22">
        <v>100</v>
      </c>
      <c r="S2576" s="22" t="s">
        <v>3197</v>
      </c>
      <c r="T2576" s="22">
        <f t="shared" si="214"/>
        <v>7</v>
      </c>
      <c r="U2576" s="22">
        <f t="shared" si="215"/>
        <v>2021</v>
      </c>
      <c r="V2576" s="22" t="str">
        <f t="shared" si="216"/>
        <v>METROPOLITANA</v>
      </c>
    </row>
    <row r="2577" spans="1:22" x14ac:dyDescent="0.2">
      <c r="A2577" s="23" t="s">
        <v>3188</v>
      </c>
      <c r="B2577" s="22" t="s">
        <v>33</v>
      </c>
      <c r="C2577" s="22" t="s">
        <v>223</v>
      </c>
      <c r="D2577" s="22" t="s">
        <v>20</v>
      </c>
      <c r="E2577" s="24" t="s">
        <v>21</v>
      </c>
      <c r="F2577" s="22" t="s">
        <v>39</v>
      </c>
      <c r="G2577" s="25">
        <v>9004.7999999999975</v>
      </c>
      <c r="H2577" s="22" t="s">
        <v>22</v>
      </c>
      <c r="I2577" s="22">
        <v>0</v>
      </c>
      <c r="J2577" s="22" t="s">
        <v>39</v>
      </c>
      <c r="K2577" s="22" t="s">
        <v>23</v>
      </c>
      <c r="L2577" s="22">
        <v>1</v>
      </c>
      <c r="M2577" s="26">
        <v>99053</v>
      </c>
      <c r="N2577" s="26">
        <v>0</v>
      </c>
      <c r="O2577" s="15">
        <f t="shared" si="217"/>
        <v>99053</v>
      </c>
      <c r="P2577" s="15">
        <f t="shared" si="212"/>
        <v>11.000022210376692</v>
      </c>
      <c r="Q2577" s="25">
        <v>5000</v>
      </c>
      <c r="R2577" s="22">
        <v>100</v>
      </c>
      <c r="S2577" s="22" t="s">
        <v>3198</v>
      </c>
      <c r="T2577" s="22">
        <f t="shared" si="214"/>
        <v>7</v>
      </c>
      <c r="U2577" s="22">
        <f t="shared" si="215"/>
        <v>2021</v>
      </c>
      <c r="V2577" s="22" t="str">
        <f t="shared" si="216"/>
        <v>METROPOLITANA</v>
      </c>
    </row>
    <row r="2578" spans="1:22" x14ac:dyDescent="0.2">
      <c r="A2578" s="23" t="s">
        <v>3188</v>
      </c>
      <c r="B2578" s="22" t="s">
        <v>33</v>
      </c>
      <c r="C2578" s="22" t="s">
        <v>2862</v>
      </c>
      <c r="D2578" s="22" t="s">
        <v>38</v>
      </c>
      <c r="E2578" s="24" t="s">
        <v>42</v>
      </c>
      <c r="F2578" s="22" t="s">
        <v>3199</v>
      </c>
      <c r="G2578" s="25">
        <v>7649.2999999999975</v>
      </c>
      <c r="H2578" s="22" t="s">
        <v>43</v>
      </c>
      <c r="I2578" s="22">
        <v>0</v>
      </c>
      <c r="J2578" s="22" t="s">
        <v>3199</v>
      </c>
      <c r="K2578" s="22" t="s">
        <v>408</v>
      </c>
      <c r="L2578" s="22">
        <v>0</v>
      </c>
      <c r="M2578" s="26">
        <v>400000</v>
      </c>
      <c r="N2578" s="26">
        <v>0</v>
      </c>
      <c r="O2578" s="15">
        <f t="shared" si="217"/>
        <v>400000</v>
      </c>
      <c r="P2578" s="15">
        <f t="shared" si="212"/>
        <v>52.292366621782399</v>
      </c>
      <c r="Q2578" s="25">
        <v>25000</v>
      </c>
      <c r="R2578" s="22">
        <v>50</v>
      </c>
      <c r="S2578" s="22" t="s">
        <v>3200</v>
      </c>
      <c r="T2578" s="22">
        <f t="shared" si="214"/>
        <v>7</v>
      </c>
      <c r="U2578" s="22">
        <f t="shared" si="215"/>
        <v>2021</v>
      </c>
      <c r="V2578" s="22" t="str">
        <f t="shared" si="216"/>
        <v>REGIONES</v>
      </c>
    </row>
    <row r="2579" spans="1:22" x14ac:dyDescent="0.2">
      <c r="A2579" s="23" t="s">
        <v>3188</v>
      </c>
      <c r="B2579" s="22" t="s">
        <v>33</v>
      </c>
      <c r="C2579" s="22" t="s">
        <v>44</v>
      </c>
      <c r="D2579" s="22" t="s">
        <v>786</v>
      </c>
      <c r="E2579" s="24" t="s">
        <v>1891</v>
      </c>
      <c r="F2579" s="22" t="s">
        <v>114</v>
      </c>
      <c r="G2579" s="25">
        <f>10184.8+3696</f>
        <v>13880.8</v>
      </c>
      <c r="H2579" s="22" t="s">
        <v>788</v>
      </c>
      <c r="I2579" s="22">
        <v>1</v>
      </c>
      <c r="J2579" s="22" t="s">
        <v>114</v>
      </c>
      <c r="K2579" s="22" t="s">
        <v>75</v>
      </c>
      <c r="L2579" s="22">
        <v>0</v>
      </c>
      <c r="M2579" s="26">
        <v>380000</v>
      </c>
      <c r="N2579" s="26">
        <v>0</v>
      </c>
      <c r="O2579" s="15">
        <f t="shared" si="217"/>
        <v>380000</v>
      </c>
      <c r="P2579" s="15">
        <f t="shared" si="212"/>
        <v>27.375943749639791</v>
      </c>
      <c r="Q2579" s="25">
        <v>25000</v>
      </c>
      <c r="R2579" s="22">
        <v>60</v>
      </c>
      <c r="S2579" s="22" t="s">
        <v>3205</v>
      </c>
      <c r="T2579" s="22">
        <f t="shared" si="214"/>
        <v>7</v>
      </c>
      <c r="U2579" s="22">
        <f t="shared" si="215"/>
        <v>2021</v>
      </c>
      <c r="V2579" s="22" t="str">
        <f t="shared" si="216"/>
        <v>REGIONES</v>
      </c>
    </row>
    <row r="2580" spans="1:22" x14ac:dyDescent="0.2">
      <c r="A2580" s="23" t="s">
        <v>3188</v>
      </c>
      <c r="B2580" s="22" t="s">
        <v>33</v>
      </c>
      <c r="C2580" s="22" t="s">
        <v>44</v>
      </c>
      <c r="D2580" s="22" t="s">
        <v>63</v>
      </c>
      <c r="E2580" s="24" t="s">
        <v>64</v>
      </c>
      <c r="F2580" s="22" t="s">
        <v>95</v>
      </c>
      <c r="G2580" s="25">
        <v>4215.8</v>
      </c>
      <c r="H2580" s="22" t="s">
        <v>65</v>
      </c>
      <c r="I2580" s="22">
        <v>0</v>
      </c>
      <c r="J2580" s="22" t="s">
        <v>95</v>
      </c>
      <c r="K2580" s="22" t="s">
        <v>23</v>
      </c>
      <c r="L2580" s="22">
        <v>4</v>
      </c>
      <c r="M2580" s="26">
        <v>55000</v>
      </c>
      <c r="N2580" s="26">
        <v>0</v>
      </c>
      <c r="O2580" s="15">
        <f t="shared" si="217"/>
        <v>55000</v>
      </c>
      <c r="P2580" s="15">
        <f t="shared" si="212"/>
        <v>13.046159684994544</v>
      </c>
      <c r="Q2580" s="25">
        <v>5000</v>
      </c>
      <c r="R2580" s="22">
        <v>84</v>
      </c>
      <c r="S2580" s="22" t="s">
        <v>3201</v>
      </c>
      <c r="T2580" s="22">
        <f t="shared" si="214"/>
        <v>7</v>
      </c>
      <c r="U2580" s="22">
        <f t="shared" si="215"/>
        <v>2021</v>
      </c>
      <c r="V2580" s="22" t="str">
        <f t="shared" si="216"/>
        <v>METROPOLITANA</v>
      </c>
    </row>
    <row r="2581" spans="1:22" x14ac:dyDescent="0.2">
      <c r="A2581" s="23" t="s">
        <v>3188</v>
      </c>
      <c r="B2581" s="22" t="s">
        <v>33</v>
      </c>
      <c r="C2581" s="22" t="s">
        <v>44</v>
      </c>
      <c r="D2581" s="22" t="s">
        <v>30</v>
      </c>
      <c r="E2581" s="24" t="s">
        <v>31</v>
      </c>
      <c r="F2581" s="22" t="s">
        <v>94</v>
      </c>
      <c r="G2581" s="25">
        <v>8118.6</v>
      </c>
      <c r="H2581" s="22" t="s">
        <v>32</v>
      </c>
      <c r="I2581" s="22">
        <v>0</v>
      </c>
      <c r="J2581" s="22" t="s">
        <v>59</v>
      </c>
      <c r="K2581" s="22" t="s">
        <v>78</v>
      </c>
      <c r="L2581" s="22">
        <v>0</v>
      </c>
      <c r="M2581" s="26">
        <v>180000</v>
      </c>
      <c r="N2581" s="26">
        <v>0</v>
      </c>
      <c r="O2581" s="15">
        <f t="shared" si="217"/>
        <v>180000</v>
      </c>
      <c r="P2581" s="15">
        <f t="shared" si="212"/>
        <v>22.171310324440174</v>
      </c>
      <c r="Q2581" s="25">
        <v>25000</v>
      </c>
      <c r="R2581" s="22">
        <v>80</v>
      </c>
      <c r="S2581" s="22" t="s">
        <v>3202</v>
      </c>
      <c r="T2581" s="22">
        <f t="shared" si="214"/>
        <v>7</v>
      </c>
      <c r="U2581" s="22">
        <f t="shared" si="215"/>
        <v>2021</v>
      </c>
      <c r="V2581" s="22" t="str">
        <f t="shared" si="216"/>
        <v>REGIONES</v>
      </c>
    </row>
    <row r="2582" spans="1:22" x14ac:dyDescent="0.2">
      <c r="A2582" s="23" t="s">
        <v>3188</v>
      </c>
      <c r="B2582" s="22" t="s">
        <v>33</v>
      </c>
      <c r="C2582" s="22" t="s">
        <v>44</v>
      </c>
      <c r="D2582" s="22" t="s">
        <v>45</v>
      </c>
      <c r="E2582" s="24" t="s">
        <v>52</v>
      </c>
      <c r="F2582" s="22" t="s">
        <v>26</v>
      </c>
      <c r="G2582" s="25">
        <v>3886.8</v>
      </c>
      <c r="H2582" s="22" t="s">
        <v>22</v>
      </c>
      <c r="I2582" s="22">
        <v>0</v>
      </c>
      <c r="J2582" s="22" t="s">
        <v>26</v>
      </c>
      <c r="K2582" s="22" t="s">
        <v>23</v>
      </c>
      <c r="L2582" s="22">
        <v>4</v>
      </c>
      <c r="M2582" s="26">
        <v>55000</v>
      </c>
      <c r="N2582" s="26">
        <v>0</v>
      </c>
      <c r="O2582" s="15">
        <f t="shared" si="217"/>
        <v>55000</v>
      </c>
      <c r="P2582" s="15">
        <f t="shared" si="212"/>
        <v>14.150457960275805</v>
      </c>
      <c r="Q2582" s="25">
        <v>5000</v>
      </c>
      <c r="R2582" s="22">
        <v>78</v>
      </c>
      <c r="S2582" s="22" t="s">
        <v>3203</v>
      </c>
      <c r="T2582" s="22">
        <f t="shared" si="214"/>
        <v>7</v>
      </c>
      <c r="U2582" s="22">
        <f t="shared" si="215"/>
        <v>2021</v>
      </c>
      <c r="V2582" s="22" t="str">
        <f t="shared" si="216"/>
        <v>METROPOLITANA</v>
      </c>
    </row>
    <row r="2583" spans="1:22" x14ac:dyDescent="0.2">
      <c r="A2583" s="23" t="s">
        <v>3188</v>
      </c>
      <c r="B2583" s="22" t="s">
        <v>33</v>
      </c>
      <c r="C2583" s="22" t="s">
        <v>44</v>
      </c>
      <c r="D2583" s="22" t="s">
        <v>47</v>
      </c>
      <c r="E2583" s="24" t="s">
        <v>1576</v>
      </c>
      <c r="F2583" s="22" t="s">
        <v>48</v>
      </c>
      <c r="G2583" s="25">
        <v>8990.1999999999989</v>
      </c>
      <c r="H2583" s="22" t="s">
        <v>22</v>
      </c>
      <c r="I2583" s="22">
        <v>0</v>
      </c>
      <c r="J2583" s="22" t="s">
        <v>48</v>
      </c>
      <c r="K2583" s="22" t="s">
        <v>23</v>
      </c>
      <c r="L2583" s="22">
        <v>1</v>
      </c>
      <c r="M2583" s="26">
        <v>98892</v>
      </c>
      <c r="N2583" s="26">
        <v>0</v>
      </c>
      <c r="O2583" s="15">
        <f t="shared" si="217"/>
        <v>98892</v>
      </c>
      <c r="P2583" s="15">
        <f t="shared" si="212"/>
        <v>10.999977753553871</v>
      </c>
      <c r="Q2583" s="25">
        <v>5000</v>
      </c>
      <c r="R2583" s="22">
        <v>100</v>
      </c>
      <c r="S2583" s="22" t="s">
        <v>3204</v>
      </c>
      <c r="T2583" s="22">
        <f t="shared" si="214"/>
        <v>7</v>
      </c>
      <c r="U2583" s="22">
        <f t="shared" si="215"/>
        <v>2021</v>
      </c>
      <c r="V2583" s="22" t="str">
        <f t="shared" si="216"/>
        <v>METROPOLITANA</v>
      </c>
    </row>
    <row r="2584" spans="1:22" x14ac:dyDescent="0.2">
      <c r="A2584" s="11" t="s">
        <v>3206</v>
      </c>
      <c r="B2584" s="12" t="s">
        <v>18</v>
      </c>
      <c r="C2584" s="12" t="s">
        <v>457</v>
      </c>
      <c r="D2584" s="12" t="s">
        <v>82</v>
      </c>
      <c r="E2584" s="13">
        <v>122975819</v>
      </c>
      <c r="F2584" s="12" t="s">
        <v>815</v>
      </c>
      <c r="G2584" s="14">
        <v>23399.78</v>
      </c>
      <c r="H2584" s="12" t="s">
        <v>85</v>
      </c>
      <c r="I2584" s="12">
        <v>1</v>
      </c>
      <c r="J2584" s="12" t="s">
        <v>815</v>
      </c>
      <c r="K2584" s="12" t="s">
        <v>75</v>
      </c>
      <c r="L2584" s="12">
        <v>0</v>
      </c>
      <c r="M2584" s="15">
        <v>420000</v>
      </c>
      <c r="N2584" s="15">
        <v>0</v>
      </c>
      <c r="O2584" s="15">
        <f t="shared" si="217"/>
        <v>420000</v>
      </c>
      <c r="P2584" s="15">
        <f t="shared" si="212"/>
        <v>17.948886698934778</v>
      </c>
      <c r="Q2584" s="14">
        <v>25000</v>
      </c>
      <c r="R2584" s="12">
        <v>94</v>
      </c>
      <c r="S2584" s="12" t="s">
        <v>3207</v>
      </c>
      <c r="T2584" s="22">
        <f t="shared" si="214"/>
        <v>7</v>
      </c>
      <c r="U2584" s="22">
        <f t="shared" si="215"/>
        <v>2021</v>
      </c>
      <c r="V2584" s="22" t="str">
        <f t="shared" si="216"/>
        <v>REGIONES</v>
      </c>
    </row>
    <row r="2585" spans="1:22" x14ac:dyDescent="0.2">
      <c r="A2585" s="11" t="s">
        <v>3206</v>
      </c>
      <c r="B2585" s="12" t="s">
        <v>18</v>
      </c>
      <c r="C2585" s="12" t="s">
        <v>3060</v>
      </c>
      <c r="D2585" s="12" t="s">
        <v>38</v>
      </c>
      <c r="E2585" s="13">
        <v>53173292</v>
      </c>
      <c r="F2585" s="12" t="s">
        <v>58</v>
      </c>
      <c r="G2585" s="14">
        <v>10425.6</v>
      </c>
      <c r="H2585" s="12" t="s">
        <v>43</v>
      </c>
      <c r="I2585" s="12">
        <v>0</v>
      </c>
      <c r="J2585" s="12" t="s">
        <v>58</v>
      </c>
      <c r="K2585" s="12" t="s">
        <v>23</v>
      </c>
      <c r="L2585" s="12">
        <v>5</v>
      </c>
      <c r="M2585" s="15">
        <v>70000</v>
      </c>
      <c r="N2585" s="15">
        <v>0</v>
      </c>
      <c r="O2585" s="15">
        <f>G2585*11</f>
        <v>114681.60000000001</v>
      </c>
      <c r="P2585" s="15">
        <f t="shared" si="212"/>
        <v>11</v>
      </c>
      <c r="Q2585" s="14">
        <v>10000</v>
      </c>
      <c r="R2585" s="12">
        <v>100</v>
      </c>
      <c r="S2585" s="12" t="s">
        <v>3208</v>
      </c>
      <c r="T2585" s="22">
        <f t="shared" si="214"/>
        <v>7</v>
      </c>
      <c r="U2585" s="22">
        <f t="shared" si="215"/>
        <v>2021</v>
      </c>
      <c r="V2585" s="22" t="str">
        <f t="shared" si="216"/>
        <v>METROPOLITANA</v>
      </c>
    </row>
    <row r="2586" spans="1:22" x14ac:dyDescent="0.2">
      <c r="A2586" s="11" t="s">
        <v>3206</v>
      </c>
      <c r="B2586" s="12" t="s">
        <v>18</v>
      </c>
      <c r="C2586" s="12" t="s">
        <v>3060</v>
      </c>
      <c r="D2586" s="12" t="s">
        <v>41</v>
      </c>
      <c r="E2586" s="13">
        <v>125108660</v>
      </c>
      <c r="F2586" s="12" t="s">
        <v>58</v>
      </c>
      <c r="G2586" s="14">
        <v>10333.44</v>
      </c>
      <c r="H2586" s="12" t="s">
        <v>43</v>
      </c>
      <c r="I2586" s="12">
        <v>0</v>
      </c>
      <c r="J2586" s="12" t="s">
        <v>58</v>
      </c>
      <c r="K2586" s="12" t="s">
        <v>23</v>
      </c>
      <c r="L2586" s="12">
        <v>5</v>
      </c>
      <c r="M2586" s="15">
        <v>70000</v>
      </c>
      <c r="N2586" s="15">
        <v>0</v>
      </c>
      <c r="O2586" s="15">
        <f>G2586*11</f>
        <v>113667.84000000001</v>
      </c>
      <c r="P2586" s="15">
        <f t="shared" si="212"/>
        <v>11</v>
      </c>
      <c r="Q2586" s="14">
        <v>10000</v>
      </c>
      <c r="R2586" s="12">
        <v>100</v>
      </c>
      <c r="S2586" s="12" t="s">
        <v>3209</v>
      </c>
      <c r="T2586" s="22">
        <f t="shared" si="214"/>
        <v>7</v>
      </c>
      <c r="U2586" s="22">
        <f t="shared" si="215"/>
        <v>2021</v>
      </c>
      <c r="V2586" s="22" t="str">
        <f t="shared" si="216"/>
        <v>METROPOLITANA</v>
      </c>
    </row>
    <row r="2587" spans="1:22" x14ac:dyDescent="0.2">
      <c r="A2587" s="11" t="s">
        <v>3206</v>
      </c>
      <c r="B2587" s="12" t="s">
        <v>18</v>
      </c>
      <c r="C2587" s="12" t="s">
        <v>19</v>
      </c>
      <c r="D2587" s="12" t="s">
        <v>121</v>
      </c>
      <c r="E2587" s="13">
        <v>137879050</v>
      </c>
      <c r="F2587" s="12" t="s">
        <v>691</v>
      </c>
      <c r="G2587" s="14">
        <f>14427.12+14522</f>
        <v>28949.120000000003</v>
      </c>
      <c r="H2587" s="12" t="s">
        <v>85</v>
      </c>
      <c r="I2587" s="12">
        <v>1</v>
      </c>
      <c r="J2587" s="12" t="s">
        <v>691</v>
      </c>
      <c r="K2587" s="12" t="s">
        <v>873</v>
      </c>
      <c r="L2587" s="12">
        <v>0</v>
      </c>
      <c r="M2587" s="15">
        <v>1020000</v>
      </c>
      <c r="N2587" s="15">
        <v>0</v>
      </c>
      <c r="O2587" s="15">
        <f t="shared" ref="O2587:O2608" si="218">SUM(M2587:N2587)</f>
        <v>1020000</v>
      </c>
      <c r="P2587" s="15">
        <f t="shared" si="212"/>
        <v>35.234231645037909</v>
      </c>
      <c r="Q2587" s="14">
        <v>25000</v>
      </c>
      <c r="R2587" s="12">
        <v>100</v>
      </c>
      <c r="S2587" s="12" t="s">
        <v>3219</v>
      </c>
      <c r="T2587" s="22">
        <f t="shared" si="214"/>
        <v>7</v>
      </c>
      <c r="U2587" s="22">
        <f t="shared" si="215"/>
        <v>2021</v>
      </c>
      <c r="V2587" s="22" t="str">
        <f t="shared" si="216"/>
        <v>REGIONES</v>
      </c>
    </row>
    <row r="2588" spans="1:22" x14ac:dyDescent="0.2">
      <c r="A2588" s="11" t="s">
        <v>3206</v>
      </c>
      <c r="B2588" s="12" t="s">
        <v>33</v>
      </c>
      <c r="C2588" s="12" t="s">
        <v>163</v>
      </c>
      <c r="D2588" s="12" t="s">
        <v>20</v>
      </c>
      <c r="E2588" s="13">
        <v>78907355</v>
      </c>
      <c r="F2588" s="12" t="s">
        <v>165</v>
      </c>
      <c r="G2588" s="14">
        <v>5408</v>
      </c>
      <c r="H2588" s="12" t="s">
        <v>22</v>
      </c>
      <c r="I2588" s="12">
        <v>0</v>
      </c>
      <c r="J2588" s="12" t="s">
        <v>165</v>
      </c>
      <c r="K2588" s="12" t="s">
        <v>23</v>
      </c>
      <c r="L2588" s="12">
        <v>4</v>
      </c>
      <c r="M2588" s="15">
        <v>59488</v>
      </c>
      <c r="N2588" s="15">
        <v>0</v>
      </c>
      <c r="O2588" s="15">
        <f t="shared" si="218"/>
        <v>59488</v>
      </c>
      <c r="P2588" s="15">
        <f t="shared" si="212"/>
        <v>11</v>
      </c>
      <c r="Q2588" s="14">
        <v>5000</v>
      </c>
      <c r="R2588" s="12">
        <v>100</v>
      </c>
      <c r="S2588" s="12" t="s">
        <v>3210</v>
      </c>
      <c r="T2588" s="22">
        <f t="shared" si="214"/>
        <v>7</v>
      </c>
      <c r="U2588" s="22">
        <f t="shared" si="215"/>
        <v>2021</v>
      </c>
      <c r="V2588" s="22" t="str">
        <f t="shared" si="216"/>
        <v>METROPOLITANA</v>
      </c>
    </row>
    <row r="2589" spans="1:22" x14ac:dyDescent="0.2">
      <c r="A2589" s="11" t="s">
        <v>3206</v>
      </c>
      <c r="B2589" s="12" t="s">
        <v>33</v>
      </c>
      <c r="C2589" s="12" t="s">
        <v>128</v>
      </c>
      <c r="D2589" s="12" t="s">
        <v>38</v>
      </c>
      <c r="E2589" s="13">
        <v>53173292</v>
      </c>
      <c r="F2589" s="12" t="s">
        <v>34</v>
      </c>
      <c r="G2589" s="14">
        <v>4100.8</v>
      </c>
      <c r="H2589" s="12" t="s">
        <v>43</v>
      </c>
      <c r="I2589" s="12">
        <v>0</v>
      </c>
      <c r="J2589" s="12" t="s">
        <v>34</v>
      </c>
      <c r="K2589" s="12" t="s">
        <v>23</v>
      </c>
      <c r="L2589" s="12">
        <v>1</v>
      </c>
      <c r="M2589" s="15">
        <v>55000</v>
      </c>
      <c r="N2589" s="15">
        <v>0</v>
      </c>
      <c r="O2589" s="15">
        <f t="shared" si="218"/>
        <v>55000</v>
      </c>
      <c r="P2589" s="15">
        <f t="shared" si="212"/>
        <v>13.412017167381974</v>
      </c>
      <c r="Q2589" s="14">
        <v>5000</v>
      </c>
      <c r="R2589" s="12">
        <v>82</v>
      </c>
      <c r="S2589" s="12" t="s">
        <v>3211</v>
      </c>
      <c r="T2589" s="22">
        <f t="shared" si="214"/>
        <v>7</v>
      </c>
      <c r="U2589" s="22">
        <f t="shared" si="215"/>
        <v>2021</v>
      </c>
      <c r="V2589" s="22" t="str">
        <f t="shared" si="216"/>
        <v>METROPOLITANA</v>
      </c>
    </row>
    <row r="2590" spans="1:22" x14ac:dyDescent="0.2">
      <c r="A2590" s="11" t="s">
        <v>3206</v>
      </c>
      <c r="B2590" s="12" t="s">
        <v>33</v>
      </c>
      <c r="C2590" s="12" t="s">
        <v>128</v>
      </c>
      <c r="D2590" s="12" t="s">
        <v>41</v>
      </c>
      <c r="E2590" s="13">
        <v>125108660</v>
      </c>
      <c r="F2590" s="12" t="s">
        <v>34</v>
      </c>
      <c r="G2590" s="14">
        <v>7852.7999999999984</v>
      </c>
      <c r="H2590" s="12" t="s">
        <v>43</v>
      </c>
      <c r="I2590" s="12">
        <v>0</v>
      </c>
      <c r="J2590" s="12" t="s">
        <v>34</v>
      </c>
      <c r="K2590" s="12" t="s">
        <v>23</v>
      </c>
      <c r="L2590" s="12">
        <v>1</v>
      </c>
      <c r="M2590" s="15">
        <v>86381</v>
      </c>
      <c r="N2590" s="15">
        <v>0</v>
      </c>
      <c r="O2590" s="15">
        <f t="shared" si="218"/>
        <v>86381</v>
      </c>
      <c r="P2590" s="15">
        <f t="shared" si="212"/>
        <v>11.00002546862266</v>
      </c>
      <c r="Q2590" s="14">
        <v>5000</v>
      </c>
      <c r="R2590" s="12">
        <v>100</v>
      </c>
      <c r="S2590" s="12" t="s">
        <v>3212</v>
      </c>
      <c r="T2590" s="22">
        <f t="shared" si="214"/>
        <v>7</v>
      </c>
      <c r="U2590" s="22">
        <f t="shared" si="215"/>
        <v>2021</v>
      </c>
      <c r="V2590" s="22" t="str">
        <f t="shared" si="216"/>
        <v>METROPOLITANA</v>
      </c>
    </row>
    <row r="2591" spans="1:22" x14ac:dyDescent="0.2">
      <c r="A2591" s="11" t="s">
        <v>3206</v>
      </c>
      <c r="B2591" s="12" t="s">
        <v>33</v>
      </c>
      <c r="C2591" s="12" t="s">
        <v>36</v>
      </c>
      <c r="D2591" s="12" t="s">
        <v>30</v>
      </c>
      <c r="E2591" s="13">
        <v>72564391</v>
      </c>
      <c r="F2591" s="12" t="s">
        <v>230</v>
      </c>
      <c r="G2591" s="14">
        <v>2963.2000000000012</v>
      </c>
      <c r="H2591" s="12" t="s">
        <v>32</v>
      </c>
      <c r="I2591" s="12">
        <v>0</v>
      </c>
      <c r="J2591" s="12" t="s">
        <v>230</v>
      </c>
      <c r="K2591" s="12" t="s">
        <v>23</v>
      </c>
      <c r="L2591" s="12">
        <v>4</v>
      </c>
      <c r="M2591" s="15">
        <v>55000</v>
      </c>
      <c r="N2591" s="15">
        <v>0</v>
      </c>
      <c r="O2591" s="15">
        <f t="shared" si="218"/>
        <v>55000</v>
      </c>
      <c r="P2591" s="15">
        <f t="shared" si="212"/>
        <v>18.56101511879049</v>
      </c>
      <c r="Q2591" s="14">
        <v>5000</v>
      </c>
      <c r="R2591" s="12">
        <v>59</v>
      </c>
      <c r="S2591" s="12" t="s">
        <v>3213</v>
      </c>
      <c r="T2591" s="22">
        <f t="shared" si="214"/>
        <v>7</v>
      </c>
      <c r="U2591" s="22">
        <f t="shared" si="215"/>
        <v>2021</v>
      </c>
      <c r="V2591" s="22" t="str">
        <f t="shared" si="216"/>
        <v>METROPOLITANA</v>
      </c>
    </row>
    <row r="2592" spans="1:22" x14ac:dyDescent="0.2">
      <c r="A2592" s="11" t="s">
        <v>3206</v>
      </c>
      <c r="B2592" s="12" t="s">
        <v>33</v>
      </c>
      <c r="C2592" s="12" t="s">
        <v>36</v>
      </c>
      <c r="D2592" s="12" t="s">
        <v>35</v>
      </c>
      <c r="E2592" s="13">
        <v>78907355</v>
      </c>
      <c r="F2592" s="12" t="s">
        <v>225</v>
      </c>
      <c r="G2592" s="14">
        <v>2525.6000000000008</v>
      </c>
      <c r="H2592" s="12" t="s">
        <v>22</v>
      </c>
      <c r="I2592" s="12">
        <v>0</v>
      </c>
      <c r="J2592" s="12" t="s">
        <v>225</v>
      </c>
      <c r="K2592" s="12" t="s">
        <v>23</v>
      </c>
      <c r="L2592" s="12">
        <v>3</v>
      </c>
      <c r="M2592" s="15">
        <v>55000</v>
      </c>
      <c r="N2592" s="15">
        <v>0</v>
      </c>
      <c r="O2592" s="15">
        <f t="shared" si="218"/>
        <v>55000</v>
      </c>
      <c r="P2592" s="15">
        <f t="shared" si="212"/>
        <v>21.777003484320549</v>
      </c>
      <c r="Q2592" s="14">
        <v>5000</v>
      </c>
      <c r="R2592" s="12">
        <v>51</v>
      </c>
      <c r="S2592" s="12" t="s">
        <v>3214</v>
      </c>
      <c r="T2592" s="22">
        <f t="shared" si="214"/>
        <v>7</v>
      </c>
      <c r="U2592" s="22">
        <f t="shared" si="215"/>
        <v>2021</v>
      </c>
      <c r="V2592" s="22" t="str">
        <f t="shared" si="216"/>
        <v>METROPOLITANA</v>
      </c>
    </row>
    <row r="2593" spans="1:22" x14ac:dyDescent="0.2">
      <c r="A2593" s="11" t="s">
        <v>3206</v>
      </c>
      <c r="B2593" s="12" t="s">
        <v>33</v>
      </c>
      <c r="C2593" s="12" t="s">
        <v>223</v>
      </c>
      <c r="D2593" s="12" t="s">
        <v>125</v>
      </c>
      <c r="E2593" s="13">
        <v>172861164</v>
      </c>
      <c r="F2593" s="12" t="s">
        <v>2639</v>
      </c>
      <c r="G2593" s="14">
        <v>15302.8</v>
      </c>
      <c r="H2593" s="12" t="s">
        <v>174</v>
      </c>
      <c r="I2593" s="12">
        <v>0</v>
      </c>
      <c r="J2593" s="12" t="s">
        <v>2639</v>
      </c>
      <c r="K2593" s="12" t="s">
        <v>75</v>
      </c>
      <c r="L2593" s="12">
        <v>0</v>
      </c>
      <c r="M2593" s="15">
        <v>380000</v>
      </c>
      <c r="N2593" s="15">
        <v>0</v>
      </c>
      <c r="O2593" s="15">
        <f t="shared" si="218"/>
        <v>380000</v>
      </c>
      <c r="P2593" s="15">
        <f t="shared" si="212"/>
        <v>24.832056878479758</v>
      </c>
      <c r="Q2593" s="14">
        <v>25000</v>
      </c>
      <c r="R2593" s="12">
        <v>61</v>
      </c>
      <c r="S2593" s="12" t="s">
        <v>3215</v>
      </c>
      <c r="T2593" s="22">
        <f t="shared" si="214"/>
        <v>7</v>
      </c>
      <c r="U2593" s="22">
        <f t="shared" si="215"/>
        <v>2021</v>
      </c>
      <c r="V2593" s="22" t="str">
        <f t="shared" si="216"/>
        <v>REGIONES</v>
      </c>
    </row>
    <row r="2594" spans="1:22" x14ac:dyDescent="0.2">
      <c r="A2594" s="11" t="s">
        <v>3206</v>
      </c>
      <c r="B2594" s="12" t="s">
        <v>33</v>
      </c>
      <c r="C2594" s="12" t="s">
        <v>44</v>
      </c>
      <c r="D2594" s="12" t="s">
        <v>370</v>
      </c>
      <c r="E2594" s="13">
        <v>94742285</v>
      </c>
      <c r="F2594" s="12" t="s">
        <v>114</v>
      </c>
      <c r="G2594" s="14">
        <v>14020.999999999991</v>
      </c>
      <c r="H2594" s="12" t="s">
        <v>85</v>
      </c>
      <c r="I2594" s="12">
        <v>1</v>
      </c>
      <c r="J2594" s="12" t="s">
        <v>114</v>
      </c>
      <c r="K2594" s="12" t="s">
        <v>75</v>
      </c>
      <c r="L2594" s="12">
        <v>0</v>
      </c>
      <c r="M2594" s="15">
        <v>380000</v>
      </c>
      <c r="N2594" s="15">
        <v>0</v>
      </c>
      <c r="O2594" s="15">
        <f t="shared" si="218"/>
        <v>380000</v>
      </c>
      <c r="P2594" s="15">
        <f t="shared" si="212"/>
        <v>27.102203837101509</v>
      </c>
      <c r="Q2594" s="14">
        <v>25000</v>
      </c>
      <c r="R2594" s="12">
        <v>56</v>
      </c>
      <c r="S2594" s="12" t="s">
        <v>3216</v>
      </c>
      <c r="T2594" s="22">
        <f t="shared" si="214"/>
        <v>7</v>
      </c>
      <c r="U2594" s="22">
        <f t="shared" si="215"/>
        <v>2021</v>
      </c>
      <c r="V2594" s="22" t="str">
        <f t="shared" si="216"/>
        <v>REGIONES</v>
      </c>
    </row>
    <row r="2595" spans="1:22" x14ac:dyDescent="0.2">
      <c r="A2595" s="11" t="s">
        <v>3206</v>
      </c>
      <c r="B2595" s="12" t="s">
        <v>33</v>
      </c>
      <c r="C2595" s="12" t="s">
        <v>44</v>
      </c>
      <c r="D2595" s="12" t="s">
        <v>45</v>
      </c>
      <c r="E2595" s="13">
        <v>99626232</v>
      </c>
      <c r="F2595" s="12" t="s">
        <v>67</v>
      </c>
      <c r="G2595" s="14">
        <v>5520.4</v>
      </c>
      <c r="H2595" s="12" t="s">
        <v>22</v>
      </c>
      <c r="I2595" s="12">
        <v>0</v>
      </c>
      <c r="J2595" s="12" t="s">
        <v>67</v>
      </c>
      <c r="K2595" s="12" t="s">
        <v>23</v>
      </c>
      <c r="L2595" s="12">
        <v>2</v>
      </c>
      <c r="M2595" s="15">
        <v>60724</v>
      </c>
      <c r="N2595" s="15">
        <v>0</v>
      </c>
      <c r="O2595" s="15">
        <f t="shared" si="218"/>
        <v>60724</v>
      </c>
      <c r="P2595" s="15">
        <f t="shared" si="212"/>
        <v>10.999927541482503</v>
      </c>
      <c r="Q2595" s="14">
        <v>5000</v>
      </c>
      <c r="R2595" s="12">
        <v>100</v>
      </c>
      <c r="S2595" s="12" t="s">
        <v>3217</v>
      </c>
      <c r="T2595" s="22">
        <f t="shared" si="214"/>
        <v>7</v>
      </c>
      <c r="U2595" s="22">
        <f t="shared" si="215"/>
        <v>2021</v>
      </c>
      <c r="V2595" s="22" t="str">
        <f t="shared" si="216"/>
        <v>METROPOLITANA</v>
      </c>
    </row>
    <row r="2596" spans="1:22" x14ac:dyDescent="0.2">
      <c r="A2596" s="11" t="s">
        <v>3206</v>
      </c>
      <c r="B2596" s="12" t="s">
        <v>33</v>
      </c>
      <c r="C2596" s="12" t="s">
        <v>44</v>
      </c>
      <c r="D2596" s="12" t="s">
        <v>47</v>
      </c>
      <c r="E2596" s="13">
        <v>154837728</v>
      </c>
      <c r="F2596" s="12" t="s">
        <v>53</v>
      </c>
      <c r="G2596" s="14">
        <v>6024.3999999999987</v>
      </c>
      <c r="H2596" s="12" t="s">
        <v>22</v>
      </c>
      <c r="I2596" s="12">
        <v>0</v>
      </c>
      <c r="J2596" s="12" t="s">
        <v>53</v>
      </c>
      <c r="K2596" s="12" t="s">
        <v>23</v>
      </c>
      <c r="L2596" s="12">
        <v>3</v>
      </c>
      <c r="M2596" s="15">
        <v>66268</v>
      </c>
      <c r="N2596" s="15">
        <v>0</v>
      </c>
      <c r="O2596" s="15">
        <f t="shared" si="218"/>
        <v>66268</v>
      </c>
      <c r="P2596" s="15">
        <f t="shared" si="212"/>
        <v>10.999933603346394</v>
      </c>
      <c r="Q2596" s="14">
        <v>5000</v>
      </c>
      <c r="R2596" s="12">
        <v>100</v>
      </c>
      <c r="S2596" s="12" t="s">
        <v>3218</v>
      </c>
      <c r="T2596" s="22">
        <f t="shared" si="214"/>
        <v>7</v>
      </c>
      <c r="U2596" s="22">
        <f t="shared" si="215"/>
        <v>2021</v>
      </c>
      <c r="V2596" s="22" t="str">
        <f t="shared" si="216"/>
        <v>METROPOLITANA</v>
      </c>
    </row>
    <row r="2597" spans="1:22" x14ac:dyDescent="0.2">
      <c r="A2597" s="23" t="s">
        <v>3220</v>
      </c>
      <c r="B2597" s="22" t="s">
        <v>18</v>
      </c>
      <c r="C2597" s="22" t="s">
        <v>57</v>
      </c>
      <c r="D2597" s="22" t="s">
        <v>63</v>
      </c>
      <c r="E2597" s="24">
        <v>138841065</v>
      </c>
      <c r="F2597" s="22" t="s">
        <v>120</v>
      </c>
      <c r="G2597" s="25">
        <v>4948.7299999999996</v>
      </c>
      <c r="H2597" s="22" t="s">
        <v>65</v>
      </c>
      <c r="I2597" s="22">
        <v>0</v>
      </c>
      <c r="J2597" s="22" t="s">
        <v>120</v>
      </c>
      <c r="K2597" s="22" t="s">
        <v>23</v>
      </c>
      <c r="L2597" s="22">
        <v>5</v>
      </c>
      <c r="M2597" s="26">
        <v>70000</v>
      </c>
      <c r="N2597" s="26">
        <v>0</v>
      </c>
      <c r="O2597" s="15">
        <f t="shared" si="218"/>
        <v>70000</v>
      </c>
      <c r="P2597" s="15">
        <f t="shared" si="212"/>
        <v>14.145043273728817</v>
      </c>
      <c r="Q2597" s="25">
        <v>10000</v>
      </c>
      <c r="R2597" s="22">
        <v>49</v>
      </c>
      <c r="S2597" s="22" t="s">
        <v>3221</v>
      </c>
      <c r="T2597" s="22">
        <f t="shared" si="214"/>
        <v>7</v>
      </c>
      <c r="U2597" s="22">
        <f t="shared" si="215"/>
        <v>2021</v>
      </c>
      <c r="V2597" s="22" t="str">
        <f t="shared" si="216"/>
        <v>METROPOLITANA</v>
      </c>
    </row>
    <row r="2598" spans="1:22" x14ac:dyDescent="0.2">
      <c r="A2598" s="23" t="s">
        <v>3220</v>
      </c>
      <c r="B2598" s="22" t="s">
        <v>18</v>
      </c>
      <c r="C2598" s="22" t="s">
        <v>57</v>
      </c>
      <c r="D2598" s="22" t="s">
        <v>20</v>
      </c>
      <c r="E2598" s="24">
        <v>78907355</v>
      </c>
      <c r="F2598" s="22" t="s">
        <v>800</v>
      </c>
      <c r="G2598" s="25">
        <v>8965.25</v>
      </c>
      <c r="H2598" s="22" t="s">
        <v>22</v>
      </c>
      <c r="I2598" s="22">
        <v>0</v>
      </c>
      <c r="J2598" s="22" t="s">
        <v>800</v>
      </c>
      <c r="K2598" s="22" t="s">
        <v>23</v>
      </c>
      <c r="L2598" s="22">
        <v>5</v>
      </c>
      <c r="M2598" s="26">
        <v>90000</v>
      </c>
      <c r="N2598" s="26">
        <v>0</v>
      </c>
      <c r="O2598" s="15">
        <f t="shared" si="218"/>
        <v>90000</v>
      </c>
      <c r="P2598" s="15">
        <f t="shared" si="212"/>
        <v>10.038760770753743</v>
      </c>
      <c r="Q2598" s="25">
        <v>10000</v>
      </c>
      <c r="R2598" s="22">
        <v>90</v>
      </c>
      <c r="S2598" s="22" t="s">
        <v>3222</v>
      </c>
      <c r="T2598" s="22">
        <f t="shared" si="214"/>
        <v>7</v>
      </c>
      <c r="U2598" s="22">
        <f t="shared" si="215"/>
        <v>2021</v>
      </c>
      <c r="V2598" s="22" t="str">
        <f t="shared" si="216"/>
        <v>METROPOLITANA</v>
      </c>
    </row>
    <row r="2599" spans="1:22" x14ac:dyDescent="0.2">
      <c r="A2599" s="23" t="s">
        <v>3220</v>
      </c>
      <c r="B2599" s="22" t="s">
        <v>18</v>
      </c>
      <c r="C2599" s="22" t="s">
        <v>457</v>
      </c>
      <c r="D2599" s="22" t="s">
        <v>956</v>
      </c>
      <c r="E2599" s="24">
        <v>93321006</v>
      </c>
      <c r="F2599" s="22" t="s">
        <v>3223</v>
      </c>
      <c r="G2599" s="25">
        <v>25228.749999999989</v>
      </c>
      <c r="H2599" s="22" t="s">
        <v>85</v>
      </c>
      <c r="I2599" s="22">
        <v>1</v>
      </c>
      <c r="J2599" s="22" t="s">
        <v>3223</v>
      </c>
      <c r="K2599" s="22" t="s">
        <v>75</v>
      </c>
      <c r="L2599" s="22">
        <v>0</v>
      </c>
      <c r="M2599" s="26">
        <v>420000</v>
      </c>
      <c r="N2599" s="26">
        <v>0</v>
      </c>
      <c r="O2599" s="15">
        <f t="shared" si="218"/>
        <v>420000</v>
      </c>
      <c r="P2599" s="15">
        <f t="shared" si="212"/>
        <v>16.647673784868459</v>
      </c>
      <c r="Q2599" s="25">
        <v>25000</v>
      </c>
      <c r="R2599" s="22">
        <v>100</v>
      </c>
      <c r="S2599" s="22" t="s">
        <v>3224</v>
      </c>
      <c r="T2599" s="22">
        <f t="shared" si="214"/>
        <v>7</v>
      </c>
      <c r="U2599" s="22">
        <f t="shared" si="215"/>
        <v>2021</v>
      </c>
      <c r="V2599" s="22" t="str">
        <f t="shared" si="216"/>
        <v>REGIONES</v>
      </c>
    </row>
    <row r="2600" spans="1:22" x14ac:dyDescent="0.2">
      <c r="A2600" s="23" t="s">
        <v>3220</v>
      </c>
      <c r="B2600" s="22" t="s">
        <v>18</v>
      </c>
      <c r="C2600" s="22" t="s">
        <v>457</v>
      </c>
      <c r="D2600" s="22" t="s">
        <v>867</v>
      </c>
      <c r="E2600" s="24">
        <v>98494073</v>
      </c>
      <c r="F2600" s="22" t="s">
        <v>815</v>
      </c>
      <c r="G2600" s="25">
        <v>26500.03999999999</v>
      </c>
      <c r="H2600" s="22" t="s">
        <v>85</v>
      </c>
      <c r="I2600" s="22">
        <v>1</v>
      </c>
      <c r="J2600" s="22" t="s">
        <v>815</v>
      </c>
      <c r="K2600" s="22" t="s">
        <v>75</v>
      </c>
      <c r="L2600" s="22">
        <v>0</v>
      </c>
      <c r="M2600" s="26">
        <v>420000</v>
      </c>
      <c r="N2600" s="26">
        <v>0</v>
      </c>
      <c r="O2600" s="15">
        <f t="shared" si="218"/>
        <v>420000</v>
      </c>
      <c r="P2600" s="15">
        <f t="shared" si="212"/>
        <v>15.849032680705394</v>
      </c>
      <c r="Q2600" s="25">
        <v>25000</v>
      </c>
      <c r="R2600" s="22">
        <v>100</v>
      </c>
      <c r="S2600" s="22" t="s">
        <v>3225</v>
      </c>
      <c r="T2600" s="22">
        <f t="shared" si="214"/>
        <v>7</v>
      </c>
      <c r="U2600" s="22">
        <f t="shared" si="215"/>
        <v>2021</v>
      </c>
      <c r="V2600" s="22" t="str">
        <f t="shared" si="216"/>
        <v>REGIONES</v>
      </c>
    </row>
    <row r="2601" spans="1:22" x14ac:dyDescent="0.2">
      <c r="A2601" s="23" t="s">
        <v>3220</v>
      </c>
      <c r="B2601" s="22" t="s">
        <v>18</v>
      </c>
      <c r="C2601" s="22" t="s">
        <v>3060</v>
      </c>
      <c r="D2601" s="22" t="s">
        <v>37</v>
      </c>
      <c r="E2601" s="24">
        <v>154837728</v>
      </c>
      <c r="F2601" s="22" t="s">
        <v>58</v>
      </c>
      <c r="G2601" s="25">
        <v>6246.78</v>
      </c>
      <c r="H2601" s="22" t="s">
        <v>22</v>
      </c>
      <c r="I2601" s="22">
        <v>0</v>
      </c>
      <c r="J2601" s="22" t="s">
        <v>58</v>
      </c>
      <c r="K2601" s="22" t="s">
        <v>23</v>
      </c>
      <c r="L2601" s="22">
        <v>5</v>
      </c>
      <c r="M2601" s="26">
        <v>70000</v>
      </c>
      <c r="N2601" s="26">
        <v>0</v>
      </c>
      <c r="O2601" s="15">
        <f t="shared" si="218"/>
        <v>70000</v>
      </c>
      <c r="P2601" s="15">
        <f t="shared" si="212"/>
        <v>11.205773214360038</v>
      </c>
      <c r="Q2601" s="25">
        <v>10000</v>
      </c>
      <c r="R2601" s="22">
        <v>62</v>
      </c>
      <c r="S2601" s="22" t="s">
        <v>3226</v>
      </c>
      <c r="T2601" s="22">
        <f t="shared" si="214"/>
        <v>7</v>
      </c>
      <c r="U2601" s="22">
        <f t="shared" si="215"/>
        <v>2021</v>
      </c>
      <c r="V2601" s="22" t="str">
        <f t="shared" si="216"/>
        <v>METROPOLITANA</v>
      </c>
    </row>
    <row r="2602" spans="1:22" x14ac:dyDescent="0.2">
      <c r="A2602" s="23" t="s">
        <v>3220</v>
      </c>
      <c r="B2602" s="22" t="s">
        <v>33</v>
      </c>
      <c r="C2602" s="22" t="s">
        <v>128</v>
      </c>
      <c r="D2602" s="22" t="s">
        <v>786</v>
      </c>
      <c r="E2602" s="24">
        <v>95707734</v>
      </c>
      <c r="F2602" s="22" t="s">
        <v>129</v>
      </c>
      <c r="G2602" s="25">
        <v>14793.8</v>
      </c>
      <c r="H2602" s="22" t="s">
        <v>788</v>
      </c>
      <c r="I2602" s="22">
        <v>1</v>
      </c>
      <c r="J2602" s="22" t="s">
        <v>129</v>
      </c>
      <c r="K2602" s="22" t="s">
        <v>23</v>
      </c>
      <c r="L2602" s="22">
        <v>1</v>
      </c>
      <c r="M2602" s="26">
        <v>162732</v>
      </c>
      <c r="N2602" s="26">
        <v>0</v>
      </c>
      <c r="O2602" s="15">
        <f t="shared" si="218"/>
        <v>162732</v>
      </c>
      <c r="P2602" s="15">
        <f t="shared" si="212"/>
        <v>11.000013519176953</v>
      </c>
      <c r="Q2602" s="25">
        <v>5000</v>
      </c>
      <c r="R2602" s="22">
        <v>100</v>
      </c>
      <c r="S2602" s="22" t="s">
        <v>3227</v>
      </c>
      <c r="T2602" s="22">
        <f t="shared" si="214"/>
        <v>7</v>
      </c>
      <c r="U2602" s="22">
        <f t="shared" si="215"/>
        <v>2021</v>
      </c>
      <c r="V2602" s="22" t="str">
        <f t="shared" si="216"/>
        <v>METROPOLITANA</v>
      </c>
    </row>
    <row r="2603" spans="1:22" x14ac:dyDescent="0.2">
      <c r="A2603" s="23" t="s">
        <v>3220</v>
      </c>
      <c r="B2603" s="22" t="s">
        <v>33</v>
      </c>
      <c r="C2603" s="22" t="s">
        <v>36</v>
      </c>
      <c r="D2603" s="22" t="s">
        <v>191</v>
      </c>
      <c r="E2603" s="24">
        <v>78551976</v>
      </c>
      <c r="F2603" s="22" t="s">
        <v>815</v>
      </c>
      <c r="G2603" s="25">
        <f>5039.4+6165</f>
        <v>11204.4</v>
      </c>
      <c r="H2603" s="22" t="s">
        <v>85</v>
      </c>
      <c r="I2603" s="22">
        <v>1</v>
      </c>
      <c r="J2603" s="22" t="s">
        <v>815</v>
      </c>
      <c r="K2603" s="22" t="s">
        <v>75</v>
      </c>
      <c r="L2603" s="22">
        <v>0</v>
      </c>
      <c r="M2603" s="26">
        <v>420000</v>
      </c>
      <c r="N2603" s="26">
        <v>0</v>
      </c>
      <c r="O2603" s="15">
        <f t="shared" si="218"/>
        <v>420000</v>
      </c>
      <c r="P2603" s="15">
        <f t="shared" si="212"/>
        <v>37.485273642497589</v>
      </c>
      <c r="Q2603" s="25">
        <v>25000</v>
      </c>
      <c r="R2603" s="22">
        <v>60</v>
      </c>
      <c r="S2603" s="22" t="s">
        <v>3233</v>
      </c>
      <c r="T2603" s="22">
        <f t="shared" si="214"/>
        <v>7</v>
      </c>
      <c r="U2603" s="22">
        <f t="shared" si="215"/>
        <v>2021</v>
      </c>
      <c r="V2603" s="22" t="str">
        <f t="shared" si="216"/>
        <v>REGIONES</v>
      </c>
    </row>
    <row r="2604" spans="1:22" x14ac:dyDescent="0.2">
      <c r="A2604" s="23" t="s">
        <v>3220</v>
      </c>
      <c r="B2604" s="22" t="s">
        <v>33</v>
      </c>
      <c r="C2604" s="22" t="s">
        <v>36</v>
      </c>
      <c r="D2604" s="22" t="s">
        <v>30</v>
      </c>
      <c r="E2604" s="24">
        <v>138841065</v>
      </c>
      <c r="F2604" s="22" t="s">
        <v>230</v>
      </c>
      <c r="G2604" s="25">
        <v>2963.2</v>
      </c>
      <c r="H2604" s="22" t="s">
        <v>32</v>
      </c>
      <c r="I2604" s="22">
        <v>0</v>
      </c>
      <c r="J2604" s="22" t="s">
        <v>230</v>
      </c>
      <c r="K2604" s="22" t="s">
        <v>23</v>
      </c>
      <c r="L2604" s="22">
        <v>4</v>
      </c>
      <c r="M2604" s="26">
        <v>55000</v>
      </c>
      <c r="N2604" s="26">
        <v>0</v>
      </c>
      <c r="O2604" s="15">
        <f t="shared" si="218"/>
        <v>55000</v>
      </c>
      <c r="P2604" s="15">
        <f t="shared" si="212"/>
        <v>18.561015118790497</v>
      </c>
      <c r="Q2604" s="25">
        <v>5000</v>
      </c>
      <c r="R2604" s="22">
        <v>59</v>
      </c>
      <c r="S2604" s="22" t="s">
        <v>3228</v>
      </c>
      <c r="T2604" s="22">
        <f t="shared" si="214"/>
        <v>7</v>
      </c>
      <c r="U2604" s="22">
        <f t="shared" si="215"/>
        <v>2021</v>
      </c>
      <c r="V2604" s="22" t="str">
        <f t="shared" si="216"/>
        <v>METROPOLITANA</v>
      </c>
    </row>
    <row r="2605" spans="1:22" x14ac:dyDescent="0.2">
      <c r="A2605" s="23" t="s">
        <v>3220</v>
      </c>
      <c r="B2605" s="22" t="s">
        <v>33</v>
      </c>
      <c r="C2605" s="22" t="s">
        <v>87</v>
      </c>
      <c r="D2605" s="22" t="s">
        <v>38</v>
      </c>
      <c r="E2605" s="24">
        <v>125108660</v>
      </c>
      <c r="F2605" s="22" t="s">
        <v>51</v>
      </c>
      <c r="G2605" s="25">
        <v>7999.95</v>
      </c>
      <c r="H2605" s="22" t="s">
        <v>43</v>
      </c>
      <c r="I2605" s="22">
        <v>0</v>
      </c>
      <c r="J2605" s="22" t="s">
        <v>51</v>
      </c>
      <c r="K2605" s="22" t="s">
        <v>23</v>
      </c>
      <c r="L2605" s="22">
        <v>4</v>
      </c>
      <c r="M2605" s="26">
        <v>87999</v>
      </c>
      <c r="N2605" s="26">
        <v>0</v>
      </c>
      <c r="O2605" s="15">
        <f t="shared" si="218"/>
        <v>87999</v>
      </c>
      <c r="P2605" s="15">
        <f t="shared" si="212"/>
        <v>10.999943749648436</v>
      </c>
      <c r="Q2605" s="25">
        <v>5000</v>
      </c>
      <c r="R2605" s="22">
        <v>100</v>
      </c>
      <c r="S2605" s="22" t="s">
        <v>3229</v>
      </c>
      <c r="T2605" s="22">
        <f t="shared" si="214"/>
        <v>7</v>
      </c>
      <c r="U2605" s="22">
        <f t="shared" si="215"/>
        <v>2021</v>
      </c>
      <c r="V2605" s="22" t="str">
        <f t="shared" si="216"/>
        <v>METROPOLITANA</v>
      </c>
    </row>
    <row r="2606" spans="1:22" x14ac:dyDescent="0.2">
      <c r="A2606" s="23" t="s">
        <v>3220</v>
      </c>
      <c r="B2606" s="22" t="s">
        <v>33</v>
      </c>
      <c r="C2606" s="22" t="s">
        <v>29</v>
      </c>
      <c r="D2606" s="22" t="s">
        <v>45</v>
      </c>
      <c r="E2606" s="24">
        <v>99626232</v>
      </c>
      <c r="F2606" s="22" t="s">
        <v>134</v>
      </c>
      <c r="G2606" s="25">
        <v>6801.5999999999995</v>
      </c>
      <c r="H2606" s="22" t="s">
        <v>22</v>
      </c>
      <c r="I2606" s="22">
        <v>0</v>
      </c>
      <c r="J2606" s="22" t="s">
        <v>134</v>
      </c>
      <c r="K2606" s="22" t="s">
        <v>23</v>
      </c>
      <c r="L2606" s="22">
        <v>2</v>
      </c>
      <c r="M2606" s="26">
        <v>74818</v>
      </c>
      <c r="N2606" s="26">
        <v>0</v>
      </c>
      <c r="O2606" s="15">
        <f t="shared" si="218"/>
        <v>74818</v>
      </c>
      <c r="P2606" s="15">
        <f t="shared" si="212"/>
        <v>11.000058809691838</v>
      </c>
      <c r="Q2606" s="25">
        <v>5000</v>
      </c>
      <c r="R2606" s="22">
        <v>100</v>
      </c>
      <c r="S2606" s="22" t="s">
        <v>3230</v>
      </c>
      <c r="T2606" s="22">
        <f t="shared" si="214"/>
        <v>7</v>
      </c>
      <c r="U2606" s="22">
        <f t="shared" si="215"/>
        <v>2021</v>
      </c>
      <c r="V2606" s="22" t="str">
        <f t="shared" si="216"/>
        <v>METROPOLITANA</v>
      </c>
    </row>
    <row r="2607" spans="1:22" x14ac:dyDescent="0.2">
      <c r="A2607" s="23" t="s">
        <v>3220</v>
      </c>
      <c r="B2607" s="22" t="s">
        <v>33</v>
      </c>
      <c r="C2607" s="22" t="s">
        <v>29</v>
      </c>
      <c r="D2607" s="22" t="s">
        <v>47</v>
      </c>
      <c r="E2607" s="24">
        <v>154837728</v>
      </c>
      <c r="F2607" s="22" t="s">
        <v>129</v>
      </c>
      <c r="G2607" s="25">
        <f>9235.68+466</f>
        <v>9701.68</v>
      </c>
      <c r="H2607" s="22" t="s">
        <v>22</v>
      </c>
      <c r="I2607" s="22">
        <v>0</v>
      </c>
      <c r="J2607" s="22" t="s">
        <v>129</v>
      </c>
      <c r="K2607" s="22" t="s">
        <v>23</v>
      </c>
      <c r="L2607" s="22">
        <v>1</v>
      </c>
      <c r="M2607" s="26">
        <v>101592</v>
      </c>
      <c r="N2607" s="26">
        <v>0</v>
      </c>
      <c r="O2607" s="15">
        <f t="shared" si="218"/>
        <v>101592</v>
      </c>
      <c r="P2607" s="15">
        <f t="shared" si="212"/>
        <v>10.471588425922109</v>
      </c>
      <c r="Q2607" s="25">
        <v>5000</v>
      </c>
      <c r="R2607" s="22">
        <v>100</v>
      </c>
      <c r="S2607" s="22" t="s">
        <v>3234</v>
      </c>
      <c r="T2607" s="22">
        <f t="shared" si="214"/>
        <v>7</v>
      </c>
      <c r="U2607" s="22">
        <f t="shared" si="215"/>
        <v>2021</v>
      </c>
      <c r="V2607" s="22" t="str">
        <f t="shared" si="216"/>
        <v>METROPOLITANA</v>
      </c>
    </row>
    <row r="2608" spans="1:22" x14ac:dyDescent="0.2">
      <c r="A2608" s="23" t="s">
        <v>3220</v>
      </c>
      <c r="B2608" s="22" t="s">
        <v>33</v>
      </c>
      <c r="C2608" s="22" t="s">
        <v>44</v>
      </c>
      <c r="D2608" s="22" t="s">
        <v>37</v>
      </c>
      <c r="E2608" s="24">
        <v>154837728</v>
      </c>
      <c r="F2608" s="22" t="s">
        <v>48</v>
      </c>
      <c r="G2608" s="25">
        <v>8479.6000000000022</v>
      </c>
      <c r="H2608" s="22" t="s">
        <v>22</v>
      </c>
      <c r="I2608" s="22">
        <v>0</v>
      </c>
      <c r="J2608" s="22" t="s">
        <v>48</v>
      </c>
      <c r="K2608" s="22" t="s">
        <v>23</v>
      </c>
      <c r="L2608" s="22">
        <v>1</v>
      </c>
      <c r="M2608" s="26">
        <v>93276</v>
      </c>
      <c r="N2608" s="26">
        <v>0</v>
      </c>
      <c r="O2608" s="15">
        <f t="shared" si="218"/>
        <v>93276</v>
      </c>
      <c r="P2608" s="15">
        <f t="shared" si="212"/>
        <v>11.000047172036414</v>
      </c>
      <c r="Q2608" s="25">
        <v>5000</v>
      </c>
      <c r="R2608" s="22">
        <v>100</v>
      </c>
      <c r="S2608" s="22" t="s">
        <v>3231</v>
      </c>
      <c r="T2608" s="22">
        <f t="shared" si="214"/>
        <v>7</v>
      </c>
      <c r="U2608" s="22">
        <f t="shared" si="215"/>
        <v>2021</v>
      </c>
      <c r="V2608" s="22" t="str">
        <f t="shared" si="216"/>
        <v>METROPOLITANA</v>
      </c>
    </row>
    <row r="2609" spans="1:22" x14ac:dyDescent="0.2">
      <c r="A2609" s="23" t="s">
        <v>3220</v>
      </c>
      <c r="B2609" s="22" t="s">
        <v>33</v>
      </c>
      <c r="C2609" s="22" t="s">
        <v>44</v>
      </c>
      <c r="D2609" s="22" t="s">
        <v>45</v>
      </c>
      <c r="E2609" s="24">
        <v>99626232</v>
      </c>
      <c r="F2609" s="22" t="s">
        <v>137</v>
      </c>
      <c r="G2609" s="25">
        <f>5506.6+2409</f>
        <v>7915.6</v>
      </c>
      <c r="H2609" s="22" t="s">
        <v>22</v>
      </c>
      <c r="I2609" s="22">
        <v>0</v>
      </c>
      <c r="J2609" s="22" t="s">
        <v>137</v>
      </c>
      <c r="K2609" s="22" t="s">
        <v>23</v>
      </c>
      <c r="L2609" s="22">
        <v>1</v>
      </c>
      <c r="M2609" s="26">
        <v>60573</v>
      </c>
      <c r="N2609" s="26">
        <v>0</v>
      </c>
      <c r="O2609" s="15">
        <f>G2609*11</f>
        <v>87071.6</v>
      </c>
      <c r="P2609" s="15">
        <f t="shared" si="212"/>
        <v>11</v>
      </c>
      <c r="Q2609" s="25">
        <v>5000</v>
      </c>
      <c r="R2609" s="22">
        <v>100</v>
      </c>
      <c r="S2609" s="22" t="s">
        <v>3235</v>
      </c>
      <c r="T2609" s="22">
        <f t="shared" si="214"/>
        <v>7</v>
      </c>
      <c r="U2609" s="22">
        <f t="shared" si="215"/>
        <v>2021</v>
      </c>
      <c r="V2609" s="22" t="str">
        <f t="shared" si="216"/>
        <v>METROPOLITANA</v>
      </c>
    </row>
    <row r="2610" spans="1:22" x14ac:dyDescent="0.2">
      <c r="A2610" s="23" t="s">
        <v>3220</v>
      </c>
      <c r="B2610" s="22" t="s">
        <v>33</v>
      </c>
      <c r="C2610" s="22" t="s">
        <v>44</v>
      </c>
      <c r="D2610" s="22" t="s">
        <v>47</v>
      </c>
      <c r="E2610" s="24">
        <v>78907355</v>
      </c>
      <c r="F2610" s="22" t="s">
        <v>891</v>
      </c>
      <c r="G2610" s="25">
        <v>10704.4</v>
      </c>
      <c r="H2610" s="22" t="s">
        <v>22</v>
      </c>
      <c r="I2610" s="22">
        <v>0</v>
      </c>
      <c r="J2610" s="22" t="s">
        <v>127</v>
      </c>
      <c r="K2610" s="22" t="s">
        <v>78</v>
      </c>
      <c r="L2610" s="22">
        <v>0</v>
      </c>
      <c r="M2610" s="26">
        <v>180000</v>
      </c>
      <c r="N2610" s="26">
        <v>0</v>
      </c>
      <c r="O2610" s="15">
        <f t="shared" ref="O2610:O2622" si="219">SUM(M2610:N2610)</f>
        <v>180000</v>
      </c>
      <c r="P2610" s="15">
        <f t="shared" si="212"/>
        <v>16.815515115279698</v>
      </c>
      <c r="Q2610" s="25">
        <v>25000</v>
      </c>
      <c r="R2610" s="22">
        <v>65</v>
      </c>
      <c r="S2610" s="22" t="s">
        <v>3232</v>
      </c>
      <c r="T2610" s="22">
        <f t="shared" si="214"/>
        <v>7</v>
      </c>
      <c r="U2610" s="22">
        <f t="shared" si="215"/>
        <v>2021</v>
      </c>
      <c r="V2610" s="22" t="str">
        <f t="shared" si="216"/>
        <v>REGIONES</v>
      </c>
    </row>
    <row r="2611" spans="1:22" x14ac:dyDescent="0.2">
      <c r="A2611" s="11" t="s">
        <v>3236</v>
      </c>
      <c r="B2611" s="12" t="s">
        <v>18</v>
      </c>
      <c r="C2611" s="12" t="s">
        <v>57</v>
      </c>
      <c r="D2611" s="12" t="s">
        <v>38</v>
      </c>
      <c r="E2611" s="13">
        <v>53173292</v>
      </c>
      <c r="F2611" s="12" t="s">
        <v>120</v>
      </c>
      <c r="G2611" s="14">
        <v>4185.2000000000016</v>
      </c>
      <c r="H2611" s="12" t="s">
        <v>43</v>
      </c>
      <c r="I2611" s="12">
        <v>0</v>
      </c>
      <c r="J2611" s="12" t="s">
        <v>120</v>
      </c>
      <c r="K2611" s="12" t="s">
        <v>23</v>
      </c>
      <c r="L2611" s="12">
        <v>5</v>
      </c>
      <c r="M2611" s="15">
        <v>70000</v>
      </c>
      <c r="N2611" s="15">
        <v>0</v>
      </c>
      <c r="O2611" s="15">
        <f t="shared" si="219"/>
        <v>70000</v>
      </c>
      <c r="P2611" s="15">
        <f t="shared" si="212"/>
        <v>16.725604511134467</v>
      </c>
      <c r="Q2611" s="14">
        <v>10000</v>
      </c>
      <c r="R2611" s="12">
        <v>42</v>
      </c>
      <c r="S2611" s="12" t="s">
        <v>3237</v>
      </c>
      <c r="T2611" s="22">
        <f t="shared" si="214"/>
        <v>7</v>
      </c>
      <c r="U2611" s="22">
        <f t="shared" si="215"/>
        <v>2021</v>
      </c>
      <c r="V2611" s="22" t="str">
        <f t="shared" si="216"/>
        <v>METROPOLITANA</v>
      </c>
    </row>
    <row r="2612" spans="1:22" x14ac:dyDescent="0.2">
      <c r="A2612" s="11" t="s">
        <v>3236</v>
      </c>
      <c r="B2612" s="12" t="s">
        <v>18</v>
      </c>
      <c r="C2612" s="12" t="s">
        <v>57</v>
      </c>
      <c r="D2612" s="12" t="s">
        <v>20</v>
      </c>
      <c r="E2612" s="13">
        <v>78907355</v>
      </c>
      <c r="F2612" s="12" t="s">
        <v>800</v>
      </c>
      <c r="G2612" s="14">
        <v>5362.29</v>
      </c>
      <c r="H2612" s="12" t="s">
        <v>22</v>
      </c>
      <c r="I2612" s="12">
        <v>0</v>
      </c>
      <c r="J2612" s="12" t="s">
        <v>800</v>
      </c>
      <c r="K2612" s="12" t="s">
        <v>23</v>
      </c>
      <c r="L2612" s="12">
        <v>5</v>
      </c>
      <c r="M2612" s="15">
        <v>90000</v>
      </c>
      <c r="N2612" s="15">
        <v>0</v>
      </c>
      <c r="O2612" s="15">
        <f t="shared" si="219"/>
        <v>90000</v>
      </c>
      <c r="P2612" s="15">
        <f t="shared" si="212"/>
        <v>16.7838740538091</v>
      </c>
      <c r="Q2612" s="14">
        <v>10000</v>
      </c>
      <c r="R2612" s="12">
        <v>54</v>
      </c>
      <c r="S2612" s="12" t="s">
        <v>3238</v>
      </c>
      <c r="T2612" s="22">
        <f t="shared" si="214"/>
        <v>7</v>
      </c>
      <c r="U2612" s="22">
        <f t="shared" si="215"/>
        <v>2021</v>
      </c>
      <c r="V2612" s="22" t="str">
        <f t="shared" si="216"/>
        <v>METROPOLITANA</v>
      </c>
    </row>
    <row r="2613" spans="1:22" x14ac:dyDescent="0.2">
      <c r="A2613" s="11" t="s">
        <v>3236</v>
      </c>
      <c r="B2613" s="12" t="s">
        <v>18</v>
      </c>
      <c r="C2613" s="12" t="s">
        <v>457</v>
      </c>
      <c r="D2613" s="12" t="s">
        <v>130</v>
      </c>
      <c r="E2613" s="13">
        <v>167832741</v>
      </c>
      <c r="F2613" s="12" t="s">
        <v>815</v>
      </c>
      <c r="G2613" s="14">
        <v>18105.93</v>
      </c>
      <c r="H2613" s="12" t="s">
        <v>85</v>
      </c>
      <c r="I2613" s="12">
        <v>1</v>
      </c>
      <c r="J2613" s="12" t="s">
        <v>815</v>
      </c>
      <c r="K2613" s="12" t="s">
        <v>75</v>
      </c>
      <c r="L2613" s="12">
        <v>0</v>
      </c>
      <c r="M2613" s="15">
        <v>420000</v>
      </c>
      <c r="N2613" s="15">
        <v>0</v>
      </c>
      <c r="O2613" s="15">
        <f t="shared" si="219"/>
        <v>420000</v>
      </c>
      <c r="P2613" s="15">
        <f t="shared" si="212"/>
        <v>23.196820047354652</v>
      </c>
      <c r="Q2613" s="14">
        <v>25000</v>
      </c>
      <c r="R2613" s="12">
        <v>72</v>
      </c>
      <c r="S2613" s="12" t="s">
        <v>3239</v>
      </c>
      <c r="T2613" s="22">
        <f t="shared" si="214"/>
        <v>7</v>
      </c>
      <c r="U2613" s="22">
        <f t="shared" si="215"/>
        <v>2021</v>
      </c>
      <c r="V2613" s="22" t="str">
        <f t="shared" si="216"/>
        <v>REGIONES</v>
      </c>
    </row>
    <row r="2614" spans="1:22" x14ac:dyDescent="0.2">
      <c r="A2614" s="11" t="s">
        <v>3236</v>
      </c>
      <c r="B2614" s="12" t="s">
        <v>33</v>
      </c>
      <c r="C2614" s="12" t="s">
        <v>60</v>
      </c>
      <c r="D2614" s="12" t="s">
        <v>41</v>
      </c>
      <c r="E2614" s="13">
        <v>125108660</v>
      </c>
      <c r="F2614" s="12" t="s">
        <v>51</v>
      </c>
      <c r="G2614" s="14">
        <f>4251+3752</f>
        <v>8003</v>
      </c>
      <c r="H2614" s="12" t="s">
        <v>43</v>
      </c>
      <c r="I2614" s="12">
        <v>0</v>
      </c>
      <c r="J2614" s="12" t="s">
        <v>51</v>
      </c>
      <c r="K2614" s="12" t="s">
        <v>23</v>
      </c>
      <c r="L2614" s="12">
        <v>4</v>
      </c>
      <c r="M2614" s="15">
        <v>55000</v>
      </c>
      <c r="N2614" s="15">
        <v>0</v>
      </c>
      <c r="O2614" s="15">
        <f t="shared" si="219"/>
        <v>55000</v>
      </c>
      <c r="P2614" s="15">
        <f t="shared" si="212"/>
        <v>6.8724228414344619</v>
      </c>
      <c r="Q2614" s="14">
        <v>5000</v>
      </c>
      <c r="R2614" s="12">
        <v>100</v>
      </c>
      <c r="S2614" s="12" t="s">
        <v>3249</v>
      </c>
      <c r="T2614" s="22">
        <f t="shared" si="214"/>
        <v>7</v>
      </c>
      <c r="U2614" s="22">
        <f t="shared" si="215"/>
        <v>2021</v>
      </c>
      <c r="V2614" s="22" t="str">
        <f t="shared" si="216"/>
        <v>METROPOLITANA</v>
      </c>
    </row>
    <row r="2615" spans="1:22" x14ac:dyDescent="0.2">
      <c r="A2615" s="11" t="s">
        <v>3236</v>
      </c>
      <c r="B2615" s="12" t="s">
        <v>33</v>
      </c>
      <c r="C2615" s="12" t="s">
        <v>3240</v>
      </c>
      <c r="D2615" s="12" t="s">
        <v>63</v>
      </c>
      <c r="E2615" s="13">
        <v>138841065</v>
      </c>
      <c r="F2615" s="12" t="s">
        <v>129</v>
      </c>
      <c r="G2615" s="14">
        <v>6258.4000000000005</v>
      </c>
      <c r="H2615" s="12" t="s">
        <v>65</v>
      </c>
      <c r="I2615" s="12">
        <v>0</v>
      </c>
      <c r="J2615" s="12" t="s">
        <v>129</v>
      </c>
      <c r="K2615" s="12" t="s">
        <v>23</v>
      </c>
      <c r="L2615" s="12">
        <v>1</v>
      </c>
      <c r="M2615" s="15">
        <v>68842</v>
      </c>
      <c r="N2615" s="15">
        <v>0</v>
      </c>
      <c r="O2615" s="15">
        <f t="shared" si="219"/>
        <v>68842</v>
      </c>
      <c r="P2615" s="15">
        <f t="shared" si="212"/>
        <v>10.999936085900549</v>
      </c>
      <c r="Q2615" s="14">
        <v>5000</v>
      </c>
      <c r="R2615" s="12">
        <v>100</v>
      </c>
      <c r="S2615" s="12" t="s">
        <v>3241</v>
      </c>
      <c r="T2615" s="22">
        <f t="shared" si="214"/>
        <v>7</v>
      </c>
      <c r="U2615" s="22">
        <f t="shared" si="215"/>
        <v>2021</v>
      </c>
      <c r="V2615" s="22" t="str">
        <f t="shared" si="216"/>
        <v>METROPOLITANA</v>
      </c>
    </row>
    <row r="2616" spans="1:22" x14ac:dyDescent="0.2">
      <c r="A2616" s="11" t="s">
        <v>3236</v>
      </c>
      <c r="B2616" s="12" t="s">
        <v>33</v>
      </c>
      <c r="C2616" s="12" t="s">
        <v>29</v>
      </c>
      <c r="D2616" s="12" t="s">
        <v>45</v>
      </c>
      <c r="E2616" s="13">
        <v>99626232</v>
      </c>
      <c r="F2616" s="12" t="s">
        <v>134</v>
      </c>
      <c r="G2616" s="14">
        <v>6753.5999999999995</v>
      </c>
      <c r="H2616" s="12" t="s">
        <v>22</v>
      </c>
      <c r="I2616" s="12">
        <v>0</v>
      </c>
      <c r="J2616" s="12" t="s">
        <v>134</v>
      </c>
      <c r="K2616" s="12" t="s">
        <v>23</v>
      </c>
      <c r="L2616" s="12">
        <v>2</v>
      </c>
      <c r="M2616" s="15">
        <v>74290</v>
      </c>
      <c r="N2616" s="15">
        <v>0</v>
      </c>
      <c r="O2616" s="15">
        <f t="shared" si="219"/>
        <v>74290</v>
      </c>
      <c r="P2616" s="15">
        <f t="shared" si="212"/>
        <v>11.000059227671169</v>
      </c>
      <c r="Q2616" s="14">
        <v>5000</v>
      </c>
      <c r="R2616" s="12">
        <v>100</v>
      </c>
      <c r="S2616" s="12" t="s">
        <v>3242</v>
      </c>
      <c r="T2616" s="22">
        <f t="shared" si="214"/>
        <v>7</v>
      </c>
      <c r="U2616" s="22">
        <f t="shared" si="215"/>
        <v>2021</v>
      </c>
      <c r="V2616" s="22" t="str">
        <f t="shared" si="216"/>
        <v>METROPOLITANA</v>
      </c>
    </row>
    <row r="2617" spans="1:22" x14ac:dyDescent="0.2">
      <c r="A2617" s="11" t="s">
        <v>3236</v>
      </c>
      <c r="B2617" s="12" t="s">
        <v>33</v>
      </c>
      <c r="C2617" s="12" t="s">
        <v>29</v>
      </c>
      <c r="D2617" s="12" t="s">
        <v>47</v>
      </c>
      <c r="E2617" s="13">
        <v>154837728</v>
      </c>
      <c r="F2617" s="12" t="s">
        <v>129</v>
      </c>
      <c r="G2617" s="14">
        <v>5607.9999999999973</v>
      </c>
      <c r="H2617" s="12" t="s">
        <v>22</v>
      </c>
      <c r="I2617" s="12">
        <v>0</v>
      </c>
      <c r="J2617" s="12" t="s">
        <v>129</v>
      </c>
      <c r="K2617" s="12" t="s">
        <v>23</v>
      </c>
      <c r="L2617" s="12">
        <v>1</v>
      </c>
      <c r="M2617" s="15">
        <v>61688</v>
      </c>
      <c r="N2617" s="15">
        <v>0</v>
      </c>
      <c r="O2617" s="15">
        <f t="shared" si="219"/>
        <v>61688</v>
      </c>
      <c r="P2617" s="15">
        <f t="shared" si="212"/>
        <v>11.000000000000005</v>
      </c>
      <c r="Q2617" s="14">
        <v>5000</v>
      </c>
      <c r="R2617" s="12">
        <v>100</v>
      </c>
      <c r="S2617" s="12" t="s">
        <v>3243</v>
      </c>
      <c r="T2617" s="22">
        <f t="shared" si="214"/>
        <v>7</v>
      </c>
      <c r="U2617" s="22">
        <f t="shared" si="215"/>
        <v>2021</v>
      </c>
      <c r="V2617" s="22" t="str">
        <f t="shared" si="216"/>
        <v>METROPOLITANA</v>
      </c>
    </row>
    <row r="2618" spans="1:22" x14ac:dyDescent="0.2">
      <c r="A2618" s="11" t="s">
        <v>3236</v>
      </c>
      <c r="B2618" s="12" t="s">
        <v>33</v>
      </c>
      <c r="C2618" s="12" t="s">
        <v>44</v>
      </c>
      <c r="D2618" s="12" t="s">
        <v>38</v>
      </c>
      <c r="E2618" s="13">
        <v>99626232</v>
      </c>
      <c r="F2618" s="12" t="s">
        <v>229</v>
      </c>
      <c r="G2618" s="14">
        <v>9003.9999999999982</v>
      </c>
      <c r="H2618" s="12" t="s">
        <v>43</v>
      </c>
      <c r="I2618" s="12">
        <v>0</v>
      </c>
      <c r="J2618" s="12" t="s">
        <v>230</v>
      </c>
      <c r="K2618" s="12" t="s">
        <v>23</v>
      </c>
      <c r="L2618" s="12">
        <v>4</v>
      </c>
      <c r="M2618" s="15">
        <v>99044</v>
      </c>
      <c r="N2618" s="15">
        <v>0</v>
      </c>
      <c r="O2618" s="15">
        <f t="shared" si="219"/>
        <v>99044</v>
      </c>
      <c r="P2618" s="15">
        <f t="shared" si="212"/>
        <v>11.000000000000002</v>
      </c>
      <c r="Q2618" s="14">
        <v>5000</v>
      </c>
      <c r="R2618" s="12">
        <v>100</v>
      </c>
      <c r="S2618" s="12" t="s">
        <v>3244</v>
      </c>
      <c r="T2618" s="22">
        <f t="shared" si="214"/>
        <v>7</v>
      </c>
      <c r="U2618" s="22">
        <f t="shared" si="215"/>
        <v>2021</v>
      </c>
      <c r="V2618" s="22" t="str">
        <f t="shared" si="216"/>
        <v>METROPOLITANA</v>
      </c>
    </row>
    <row r="2619" spans="1:22" x14ac:dyDescent="0.2">
      <c r="A2619" s="11" t="s">
        <v>3236</v>
      </c>
      <c r="B2619" s="12" t="s">
        <v>33</v>
      </c>
      <c r="C2619" s="12" t="s">
        <v>44</v>
      </c>
      <c r="D2619" s="12" t="s">
        <v>2825</v>
      </c>
      <c r="E2619" s="13">
        <v>113693568</v>
      </c>
      <c r="F2619" s="12" t="s">
        <v>114</v>
      </c>
      <c r="G2619" s="14">
        <v>12174.4</v>
      </c>
      <c r="H2619" s="12" t="s">
        <v>24</v>
      </c>
      <c r="I2619" s="12">
        <v>1</v>
      </c>
      <c r="J2619" s="12" t="s">
        <v>114</v>
      </c>
      <c r="K2619" s="12" t="s">
        <v>75</v>
      </c>
      <c r="L2619" s="12">
        <v>0</v>
      </c>
      <c r="M2619" s="15">
        <v>380000</v>
      </c>
      <c r="N2619" s="15">
        <v>0</v>
      </c>
      <c r="O2619" s="15">
        <f t="shared" si="219"/>
        <v>380000</v>
      </c>
      <c r="P2619" s="15">
        <f t="shared" si="212"/>
        <v>31.213037192798005</v>
      </c>
      <c r="Q2619" s="14">
        <v>25000</v>
      </c>
      <c r="R2619" s="12">
        <v>49</v>
      </c>
      <c r="S2619" s="12" t="s">
        <v>3245</v>
      </c>
      <c r="T2619" s="22">
        <f t="shared" si="214"/>
        <v>7</v>
      </c>
      <c r="U2619" s="22">
        <f t="shared" si="215"/>
        <v>2021</v>
      </c>
      <c r="V2619" s="22" t="str">
        <f t="shared" si="216"/>
        <v>REGIONES</v>
      </c>
    </row>
    <row r="2620" spans="1:22" x14ac:dyDescent="0.2">
      <c r="A2620" s="11" t="s">
        <v>3236</v>
      </c>
      <c r="B2620" s="12" t="s">
        <v>33</v>
      </c>
      <c r="C2620" s="12" t="s">
        <v>44</v>
      </c>
      <c r="D2620" s="12" t="s">
        <v>63</v>
      </c>
      <c r="E2620" s="13">
        <v>138841065</v>
      </c>
      <c r="F2620" s="12" t="s">
        <v>26</v>
      </c>
      <c r="G2620" s="14">
        <v>6003.1999999999989</v>
      </c>
      <c r="H2620" s="12" t="s">
        <v>65</v>
      </c>
      <c r="I2620" s="12">
        <v>0</v>
      </c>
      <c r="J2620" s="12" t="s">
        <v>26</v>
      </c>
      <c r="K2620" s="12" t="s">
        <v>23</v>
      </c>
      <c r="L2620" s="12">
        <v>4</v>
      </c>
      <c r="M2620" s="15">
        <v>66035</v>
      </c>
      <c r="N2620" s="15">
        <v>0</v>
      </c>
      <c r="O2620" s="15">
        <f t="shared" si="219"/>
        <v>66035</v>
      </c>
      <c r="P2620" s="15">
        <f t="shared" si="212"/>
        <v>10.99996668443497</v>
      </c>
      <c r="Q2620" s="14">
        <v>5000</v>
      </c>
      <c r="R2620" s="12">
        <v>100</v>
      </c>
      <c r="S2620" s="12" t="s">
        <v>3246</v>
      </c>
      <c r="T2620" s="22">
        <f t="shared" si="214"/>
        <v>7</v>
      </c>
      <c r="U2620" s="22">
        <f t="shared" si="215"/>
        <v>2021</v>
      </c>
      <c r="V2620" s="22" t="str">
        <f t="shared" si="216"/>
        <v>METROPOLITANA</v>
      </c>
    </row>
    <row r="2621" spans="1:22" x14ac:dyDescent="0.2">
      <c r="A2621" s="11" t="s">
        <v>3236</v>
      </c>
      <c r="B2621" s="12" t="s">
        <v>33</v>
      </c>
      <c r="C2621" s="12" t="s">
        <v>44</v>
      </c>
      <c r="D2621" s="12" t="s">
        <v>45</v>
      </c>
      <c r="E2621" s="13">
        <v>99626232</v>
      </c>
      <c r="F2621" s="12" t="s">
        <v>48</v>
      </c>
      <c r="G2621" s="14">
        <v>6174.9000000000005</v>
      </c>
      <c r="H2621" s="12" t="s">
        <v>22</v>
      </c>
      <c r="I2621" s="12">
        <v>0</v>
      </c>
      <c r="J2621" s="12" t="s">
        <v>48</v>
      </c>
      <c r="K2621" s="12" t="s">
        <v>23</v>
      </c>
      <c r="L2621" s="12">
        <v>1</v>
      </c>
      <c r="M2621" s="15">
        <v>67924</v>
      </c>
      <c r="N2621" s="15">
        <v>0</v>
      </c>
      <c r="O2621" s="15">
        <f t="shared" si="219"/>
        <v>67924</v>
      </c>
      <c r="P2621" s="15">
        <f t="shared" si="212"/>
        <v>11.000016194594243</v>
      </c>
      <c r="Q2621" s="14">
        <v>5000</v>
      </c>
      <c r="R2621" s="12">
        <v>100</v>
      </c>
      <c r="S2621" s="12" t="s">
        <v>3247</v>
      </c>
      <c r="T2621" s="22">
        <f t="shared" si="214"/>
        <v>7</v>
      </c>
      <c r="U2621" s="22">
        <f t="shared" si="215"/>
        <v>2021</v>
      </c>
      <c r="V2621" s="22" t="str">
        <f t="shared" si="216"/>
        <v>METROPOLITANA</v>
      </c>
    </row>
    <row r="2622" spans="1:22" x14ac:dyDescent="0.2">
      <c r="A2622" s="11" t="s">
        <v>3236</v>
      </c>
      <c r="B2622" s="12" t="s">
        <v>33</v>
      </c>
      <c r="C2622" s="12" t="s">
        <v>44</v>
      </c>
      <c r="D2622" s="12" t="s">
        <v>47</v>
      </c>
      <c r="E2622" s="13">
        <v>154837728</v>
      </c>
      <c r="F2622" s="12" t="s">
        <v>46</v>
      </c>
      <c r="G2622" s="14">
        <v>9790.7999999999993</v>
      </c>
      <c r="H2622" s="12" t="s">
        <v>22</v>
      </c>
      <c r="I2622" s="12">
        <v>0</v>
      </c>
      <c r="J2622" s="12" t="s">
        <v>46</v>
      </c>
      <c r="K2622" s="12" t="s">
        <v>23</v>
      </c>
      <c r="L2622" s="12">
        <v>2</v>
      </c>
      <c r="M2622" s="15">
        <v>107699</v>
      </c>
      <c r="N2622" s="15">
        <v>0</v>
      </c>
      <c r="O2622" s="15">
        <f t="shared" si="219"/>
        <v>107699</v>
      </c>
      <c r="P2622" s="15">
        <f t="shared" si="212"/>
        <v>11.000020427339953</v>
      </c>
      <c r="Q2622" s="14">
        <v>5000</v>
      </c>
      <c r="R2622" s="12">
        <v>100</v>
      </c>
      <c r="S2622" s="12" t="s">
        <v>3248</v>
      </c>
      <c r="T2622" s="22">
        <f t="shared" si="214"/>
        <v>7</v>
      </c>
      <c r="U2622" s="22">
        <f t="shared" si="215"/>
        <v>2021</v>
      </c>
      <c r="V2622" s="22" t="str">
        <f t="shared" si="216"/>
        <v>METROPOLITANA</v>
      </c>
    </row>
    <row r="2623" spans="1:22" x14ac:dyDescent="0.2">
      <c r="A2623" s="23" t="s">
        <v>3250</v>
      </c>
      <c r="B2623" s="22" t="s">
        <v>18</v>
      </c>
      <c r="C2623" s="22" t="s">
        <v>57</v>
      </c>
      <c r="D2623" s="22" t="s">
        <v>37</v>
      </c>
      <c r="E2623" s="24" t="s">
        <v>40</v>
      </c>
      <c r="F2623" s="22" t="s">
        <v>120</v>
      </c>
      <c r="G2623" s="25">
        <v>4553.8599999999997</v>
      </c>
      <c r="H2623" s="22" t="s">
        <v>22</v>
      </c>
      <c r="I2623" s="22">
        <v>0</v>
      </c>
      <c r="J2623" s="22" t="s">
        <v>120</v>
      </c>
      <c r="K2623" s="22" t="s">
        <v>23</v>
      </c>
      <c r="L2623" s="22">
        <v>5</v>
      </c>
      <c r="M2623" s="26">
        <v>70000</v>
      </c>
      <c r="N2623" s="26">
        <v>0</v>
      </c>
      <c r="O2623" s="15">
        <f>G2623*11</f>
        <v>50092.46</v>
      </c>
      <c r="P2623" s="15">
        <f t="shared" si="212"/>
        <v>11</v>
      </c>
      <c r="Q2623" s="25">
        <v>10000</v>
      </c>
      <c r="R2623" s="22">
        <v>62</v>
      </c>
      <c r="S2623" s="22" t="s">
        <v>3251</v>
      </c>
      <c r="T2623" s="22">
        <f t="shared" si="214"/>
        <v>7</v>
      </c>
      <c r="U2623" s="22">
        <f t="shared" si="215"/>
        <v>2021</v>
      </c>
      <c r="V2623" s="22" t="str">
        <f t="shared" si="216"/>
        <v>METROPOLITANA</v>
      </c>
    </row>
    <row r="2624" spans="1:22" s="34" customFormat="1" x14ac:dyDescent="0.2">
      <c r="A2624" s="61" t="s">
        <v>3250</v>
      </c>
      <c r="B2624" s="34" t="s">
        <v>18</v>
      </c>
      <c r="C2624" s="34" t="s">
        <v>57</v>
      </c>
      <c r="D2624" s="34" t="s">
        <v>63</v>
      </c>
      <c r="E2624" s="62" t="s">
        <v>64</v>
      </c>
      <c r="F2624" s="34" t="s">
        <v>120</v>
      </c>
      <c r="G2624" s="58">
        <f>4797.5+870</f>
        <v>5667.5</v>
      </c>
      <c r="H2624" s="34" t="s">
        <v>65</v>
      </c>
      <c r="I2624" s="34">
        <v>0</v>
      </c>
      <c r="J2624" s="34" t="s">
        <v>120</v>
      </c>
      <c r="K2624" s="34" t="s">
        <v>23</v>
      </c>
      <c r="L2624" s="34">
        <v>5</v>
      </c>
      <c r="M2624" s="63">
        <v>70000</v>
      </c>
      <c r="N2624" s="63">
        <v>0</v>
      </c>
      <c r="O2624" s="63">
        <f>SUM(M2624:N2624)</f>
        <v>70000</v>
      </c>
      <c r="P2624" s="63">
        <f t="shared" si="212"/>
        <v>12.35112483458315</v>
      </c>
      <c r="Q2624" s="58">
        <v>10000</v>
      </c>
      <c r="R2624" s="34">
        <v>68</v>
      </c>
      <c r="S2624" s="34" t="s">
        <v>3265</v>
      </c>
      <c r="T2624" s="34">
        <f t="shared" si="214"/>
        <v>7</v>
      </c>
      <c r="U2624" s="34">
        <f t="shared" si="215"/>
        <v>2021</v>
      </c>
      <c r="V2624" s="34" t="str">
        <f t="shared" si="216"/>
        <v>METROPOLITANA</v>
      </c>
    </row>
    <row r="2625" spans="1:22" x14ac:dyDescent="0.2">
      <c r="A2625" s="23" t="s">
        <v>3250</v>
      </c>
      <c r="B2625" s="22" t="s">
        <v>18</v>
      </c>
      <c r="C2625" s="22" t="s">
        <v>57</v>
      </c>
      <c r="D2625" s="22" t="s">
        <v>30</v>
      </c>
      <c r="E2625" s="24" t="s">
        <v>31</v>
      </c>
      <c r="F2625" s="22" t="s">
        <v>800</v>
      </c>
      <c r="G2625" s="25">
        <v>11427.42</v>
      </c>
      <c r="H2625" s="22" t="s">
        <v>32</v>
      </c>
      <c r="I2625" s="22">
        <v>0</v>
      </c>
      <c r="J2625" s="22" t="s">
        <v>800</v>
      </c>
      <c r="K2625" s="22" t="s">
        <v>23</v>
      </c>
      <c r="L2625" s="22">
        <v>5</v>
      </c>
      <c r="M2625" s="26">
        <v>90000</v>
      </c>
      <c r="N2625" s="26">
        <v>0</v>
      </c>
      <c r="O2625" s="15">
        <f>G2625*11</f>
        <v>125701.62</v>
      </c>
      <c r="P2625" s="15">
        <f t="shared" si="212"/>
        <v>11</v>
      </c>
      <c r="Q2625" s="25">
        <v>10000</v>
      </c>
      <c r="R2625" s="22">
        <v>100</v>
      </c>
      <c r="S2625" s="22" t="s">
        <v>3252</v>
      </c>
      <c r="T2625" s="22">
        <f t="shared" si="214"/>
        <v>7</v>
      </c>
      <c r="U2625" s="22">
        <f t="shared" si="215"/>
        <v>2021</v>
      </c>
      <c r="V2625" s="22" t="str">
        <f t="shared" si="216"/>
        <v>METROPOLITANA</v>
      </c>
    </row>
    <row r="2626" spans="1:22" x14ac:dyDescent="0.2">
      <c r="A2626" s="23" t="s">
        <v>3250</v>
      </c>
      <c r="B2626" s="22" t="s">
        <v>18</v>
      </c>
      <c r="C2626" s="22" t="s">
        <v>57</v>
      </c>
      <c r="D2626" s="22" t="s">
        <v>20</v>
      </c>
      <c r="E2626" s="24" t="s">
        <v>21</v>
      </c>
      <c r="F2626" s="22" t="s">
        <v>120</v>
      </c>
      <c r="G2626" s="25">
        <v>5287.24</v>
      </c>
      <c r="H2626" s="22" t="s">
        <v>22</v>
      </c>
      <c r="I2626" s="22">
        <v>0</v>
      </c>
      <c r="J2626" s="22" t="s">
        <v>120</v>
      </c>
      <c r="K2626" s="22" t="s">
        <v>23</v>
      </c>
      <c r="L2626" s="22">
        <v>5</v>
      </c>
      <c r="M2626" s="26">
        <v>70000</v>
      </c>
      <c r="N2626" s="26">
        <v>0</v>
      </c>
      <c r="O2626" s="15">
        <f t="shared" ref="O2626:O2638" si="220">SUM(M2626:N2626)</f>
        <v>70000</v>
      </c>
      <c r="P2626" s="15">
        <f t="shared" ref="P2626:P2628" si="221">O2626/G2626</f>
        <v>13.239421702060055</v>
      </c>
      <c r="Q2626" s="25">
        <v>10000</v>
      </c>
      <c r="R2626" s="22">
        <v>53</v>
      </c>
      <c r="S2626" s="22" t="s">
        <v>3253</v>
      </c>
      <c r="T2626" s="22">
        <f t="shared" si="214"/>
        <v>7</v>
      </c>
      <c r="U2626" s="22">
        <f t="shared" si="215"/>
        <v>2021</v>
      </c>
      <c r="V2626" s="22" t="str">
        <f t="shared" si="216"/>
        <v>METROPOLITANA</v>
      </c>
    </row>
    <row r="2627" spans="1:22" x14ac:dyDescent="0.2">
      <c r="A2627" s="23" t="s">
        <v>3250</v>
      </c>
      <c r="B2627" s="22" t="s">
        <v>18</v>
      </c>
      <c r="C2627" s="22" t="s">
        <v>457</v>
      </c>
      <c r="D2627" s="22" t="s">
        <v>867</v>
      </c>
      <c r="E2627" s="24" t="s">
        <v>3254</v>
      </c>
      <c r="F2627" s="22" t="s">
        <v>815</v>
      </c>
      <c r="G2627" s="25">
        <v>17943.220000000008</v>
      </c>
      <c r="H2627" s="22" t="s">
        <v>85</v>
      </c>
      <c r="I2627" s="22">
        <v>1</v>
      </c>
      <c r="J2627" s="22" t="s">
        <v>815</v>
      </c>
      <c r="K2627" s="22" t="s">
        <v>75</v>
      </c>
      <c r="L2627" s="22">
        <v>0</v>
      </c>
      <c r="M2627" s="26">
        <v>420000</v>
      </c>
      <c r="N2627" s="26">
        <v>0</v>
      </c>
      <c r="O2627" s="15">
        <f t="shared" si="220"/>
        <v>420000</v>
      </c>
      <c r="P2627" s="15">
        <f t="shared" si="221"/>
        <v>23.407169950543985</v>
      </c>
      <c r="Q2627" s="25">
        <v>25000</v>
      </c>
      <c r="R2627" s="22">
        <v>72</v>
      </c>
      <c r="S2627" s="22" t="s">
        <v>3255</v>
      </c>
      <c r="T2627" s="22">
        <f t="shared" si="214"/>
        <v>7</v>
      </c>
      <c r="U2627" s="22">
        <f t="shared" si="215"/>
        <v>2021</v>
      </c>
      <c r="V2627" s="22" t="str">
        <f t="shared" si="216"/>
        <v>REGIONES</v>
      </c>
    </row>
    <row r="2628" spans="1:22" x14ac:dyDescent="0.2">
      <c r="A2628" s="23" t="s">
        <v>3250</v>
      </c>
      <c r="B2628" s="22" t="s">
        <v>33</v>
      </c>
      <c r="C2628" s="22" t="s">
        <v>60</v>
      </c>
      <c r="D2628" s="22" t="s">
        <v>786</v>
      </c>
      <c r="E2628" s="24" t="s">
        <v>787</v>
      </c>
      <c r="F2628" s="22" t="s">
        <v>173</v>
      </c>
      <c r="G2628" s="25">
        <v>19510.400000000001</v>
      </c>
      <c r="H2628" s="22" t="s">
        <v>788</v>
      </c>
      <c r="I2628" s="22">
        <v>1</v>
      </c>
      <c r="J2628" s="22" t="s">
        <v>173</v>
      </c>
      <c r="K2628" s="22" t="s">
        <v>23</v>
      </c>
      <c r="L2628" s="22">
        <v>5</v>
      </c>
      <c r="M2628" s="26">
        <v>120000</v>
      </c>
      <c r="N2628" s="26">
        <v>0</v>
      </c>
      <c r="O2628" s="15">
        <f t="shared" si="220"/>
        <v>120000</v>
      </c>
      <c r="P2628" s="15">
        <f t="shared" si="221"/>
        <v>6.1505658520583886</v>
      </c>
      <c r="Q2628" s="25">
        <v>10000</v>
      </c>
      <c r="R2628" s="22">
        <v>100</v>
      </c>
      <c r="S2628" s="22" t="s">
        <v>3256</v>
      </c>
      <c r="T2628" s="22">
        <f t="shared" si="214"/>
        <v>7</v>
      </c>
      <c r="U2628" s="22">
        <f t="shared" si="215"/>
        <v>2021</v>
      </c>
      <c r="V2628" s="22" t="str">
        <f t="shared" si="216"/>
        <v>METROPOLITANA</v>
      </c>
    </row>
    <row r="2629" spans="1:22" x14ac:dyDescent="0.2">
      <c r="A2629" s="23" t="s">
        <v>3250</v>
      </c>
      <c r="B2629" s="22" t="s">
        <v>33</v>
      </c>
      <c r="C2629" s="22" t="s">
        <v>36</v>
      </c>
      <c r="D2629" s="22" t="s">
        <v>61</v>
      </c>
      <c r="E2629" s="24" t="s">
        <v>62</v>
      </c>
      <c r="F2629" s="22" t="s">
        <v>893</v>
      </c>
      <c r="G2629" s="25">
        <v>12954.4</v>
      </c>
      <c r="H2629" s="22" t="s">
        <v>85</v>
      </c>
      <c r="I2629" s="22">
        <v>1</v>
      </c>
      <c r="J2629" s="22" t="s">
        <v>893</v>
      </c>
      <c r="K2629" s="22" t="s">
        <v>437</v>
      </c>
      <c r="L2629" s="22">
        <v>0</v>
      </c>
      <c r="M2629" s="26">
        <v>900000</v>
      </c>
      <c r="N2629" s="26">
        <v>0</v>
      </c>
      <c r="O2629" s="15">
        <f t="shared" si="220"/>
        <v>900000</v>
      </c>
      <c r="P2629" s="15">
        <v>48</v>
      </c>
      <c r="Q2629" s="25">
        <v>25000</v>
      </c>
      <c r="R2629" s="22">
        <v>68</v>
      </c>
      <c r="S2629" s="22" t="s">
        <v>3257</v>
      </c>
      <c r="T2629" s="22">
        <f t="shared" si="214"/>
        <v>7</v>
      </c>
      <c r="U2629" s="22">
        <f t="shared" si="215"/>
        <v>2021</v>
      </c>
      <c r="V2629" s="22" t="str">
        <f t="shared" si="216"/>
        <v>REGIONES</v>
      </c>
    </row>
    <row r="2630" spans="1:22" x14ac:dyDescent="0.2">
      <c r="A2630" s="23" t="s">
        <v>3250</v>
      </c>
      <c r="B2630" s="22" t="s">
        <v>33</v>
      </c>
      <c r="C2630" s="22" t="s">
        <v>36</v>
      </c>
      <c r="D2630" s="22" t="s">
        <v>45</v>
      </c>
      <c r="E2630" s="24" t="s">
        <v>52</v>
      </c>
      <c r="F2630" s="22" t="s">
        <v>67</v>
      </c>
      <c r="G2630" s="25">
        <v>3038</v>
      </c>
      <c r="H2630" s="22" t="s">
        <v>22</v>
      </c>
      <c r="I2630" s="22">
        <v>0</v>
      </c>
      <c r="J2630" s="22" t="s">
        <v>67</v>
      </c>
      <c r="K2630" s="22" t="s">
        <v>23</v>
      </c>
      <c r="L2630" s="22">
        <v>2</v>
      </c>
      <c r="M2630" s="26">
        <v>55000</v>
      </c>
      <c r="N2630" s="26">
        <v>0</v>
      </c>
      <c r="O2630" s="15">
        <f t="shared" si="220"/>
        <v>55000</v>
      </c>
      <c r="P2630" s="15">
        <f t="shared" ref="P2630:P2655" si="222">O2630/G2630</f>
        <v>18.104015799868336</v>
      </c>
      <c r="Q2630" s="25">
        <v>5000</v>
      </c>
      <c r="R2630" s="22">
        <v>61</v>
      </c>
      <c r="S2630" s="22" t="s">
        <v>3258</v>
      </c>
      <c r="T2630" s="22">
        <f t="shared" si="214"/>
        <v>7</v>
      </c>
      <c r="U2630" s="22">
        <f t="shared" si="215"/>
        <v>2021</v>
      </c>
      <c r="V2630" s="22" t="str">
        <f t="shared" si="216"/>
        <v>METROPOLITANA</v>
      </c>
    </row>
    <row r="2631" spans="1:22" x14ac:dyDescent="0.2">
      <c r="A2631" s="23" t="s">
        <v>3250</v>
      </c>
      <c r="B2631" s="22" t="s">
        <v>33</v>
      </c>
      <c r="C2631" s="22" t="s">
        <v>36</v>
      </c>
      <c r="D2631" s="22" t="s">
        <v>47</v>
      </c>
      <c r="E2631" s="24" t="s">
        <v>1576</v>
      </c>
      <c r="F2631" s="22" t="s">
        <v>46</v>
      </c>
      <c r="G2631" s="25">
        <v>2525.6</v>
      </c>
      <c r="H2631" s="22" t="s">
        <v>22</v>
      </c>
      <c r="I2631" s="22">
        <v>0</v>
      </c>
      <c r="J2631" s="22" t="s">
        <v>46</v>
      </c>
      <c r="K2631" s="22" t="s">
        <v>23</v>
      </c>
      <c r="L2631" s="22">
        <v>2</v>
      </c>
      <c r="M2631" s="26">
        <v>55000</v>
      </c>
      <c r="N2631" s="26">
        <v>0</v>
      </c>
      <c r="O2631" s="15">
        <f t="shared" si="220"/>
        <v>55000</v>
      </c>
      <c r="P2631" s="15">
        <f t="shared" si="222"/>
        <v>21.777003484320559</v>
      </c>
      <c r="Q2631" s="25">
        <v>5000</v>
      </c>
      <c r="R2631" s="22">
        <v>51</v>
      </c>
      <c r="S2631" s="22" t="s">
        <v>3259</v>
      </c>
      <c r="T2631" s="22">
        <f t="shared" si="214"/>
        <v>7</v>
      </c>
      <c r="U2631" s="22">
        <f t="shared" si="215"/>
        <v>2021</v>
      </c>
      <c r="V2631" s="22" t="str">
        <f t="shared" si="216"/>
        <v>METROPOLITANA</v>
      </c>
    </row>
    <row r="2632" spans="1:22" x14ac:dyDescent="0.2">
      <c r="A2632" s="23" t="s">
        <v>3250</v>
      </c>
      <c r="B2632" s="22" t="s">
        <v>33</v>
      </c>
      <c r="C2632" s="22" t="s">
        <v>223</v>
      </c>
      <c r="D2632" s="22" t="s">
        <v>303</v>
      </c>
      <c r="E2632" s="24" t="s">
        <v>304</v>
      </c>
      <c r="F2632" s="22" t="s">
        <v>2639</v>
      </c>
      <c r="G2632" s="25">
        <v>19854.799999999988</v>
      </c>
      <c r="H2632" s="22" t="s">
        <v>24</v>
      </c>
      <c r="I2632" s="22">
        <v>1</v>
      </c>
      <c r="J2632" s="22" t="s">
        <v>2639</v>
      </c>
      <c r="K2632" s="22" t="s">
        <v>75</v>
      </c>
      <c r="L2632" s="22">
        <v>0</v>
      </c>
      <c r="M2632" s="26">
        <v>380000</v>
      </c>
      <c r="N2632" s="26">
        <v>0</v>
      </c>
      <c r="O2632" s="15">
        <f t="shared" si="220"/>
        <v>380000</v>
      </c>
      <c r="P2632" s="15">
        <f t="shared" si="222"/>
        <v>19.1389487680561</v>
      </c>
      <c r="Q2632" s="25">
        <v>25000</v>
      </c>
      <c r="R2632" s="22">
        <v>79</v>
      </c>
      <c r="S2632" s="22" t="s">
        <v>3260</v>
      </c>
      <c r="T2632" s="22">
        <f t="shared" ref="T2632:T2695" si="223">MONTH(A2632)</f>
        <v>7</v>
      </c>
      <c r="U2632" s="22">
        <f t="shared" ref="U2632:U2695" si="224">YEAR(A2632)</f>
        <v>2021</v>
      </c>
      <c r="V2632" s="22" t="str">
        <f t="shared" ref="V2632:V2695" si="225">IF(K2632="METROPOLITANA DE SANTIAGO","METROPOLITANA","REGIONES")</f>
        <v>REGIONES</v>
      </c>
    </row>
    <row r="2633" spans="1:22" s="34" customFormat="1" x14ac:dyDescent="0.2">
      <c r="A2633" s="61" t="s">
        <v>3250</v>
      </c>
      <c r="B2633" s="34" t="s">
        <v>33</v>
      </c>
      <c r="C2633" s="34" t="s">
        <v>29</v>
      </c>
      <c r="D2633" s="34" t="s">
        <v>191</v>
      </c>
      <c r="E2633" s="62" t="s">
        <v>192</v>
      </c>
      <c r="F2633" s="34" t="s">
        <v>132</v>
      </c>
      <c r="G2633" s="58">
        <f>12269.2+1572</f>
        <v>13841.2</v>
      </c>
      <c r="H2633" s="34" t="s">
        <v>85</v>
      </c>
      <c r="I2633" s="34">
        <v>1</v>
      </c>
      <c r="J2633" s="34" t="s">
        <v>132</v>
      </c>
      <c r="K2633" s="34" t="s">
        <v>124</v>
      </c>
      <c r="L2633" s="34">
        <v>0</v>
      </c>
      <c r="M2633" s="63">
        <v>350000</v>
      </c>
      <c r="N2633" s="63">
        <v>0</v>
      </c>
      <c r="O2633" s="63">
        <f t="shared" si="220"/>
        <v>350000</v>
      </c>
      <c r="P2633" s="63">
        <f t="shared" si="222"/>
        <v>25.286824841776724</v>
      </c>
      <c r="Q2633" s="58">
        <v>25000</v>
      </c>
      <c r="R2633" s="34">
        <v>62</v>
      </c>
      <c r="S2633" s="34" t="s">
        <v>3264</v>
      </c>
      <c r="T2633" s="34">
        <f t="shared" si="223"/>
        <v>7</v>
      </c>
      <c r="U2633" s="34">
        <f t="shared" si="224"/>
        <v>2021</v>
      </c>
      <c r="V2633" s="34" t="str">
        <f t="shared" si="225"/>
        <v>REGIONES</v>
      </c>
    </row>
    <row r="2634" spans="1:22" x14ac:dyDescent="0.2">
      <c r="A2634" s="23" t="s">
        <v>3250</v>
      </c>
      <c r="B2634" s="22" t="s">
        <v>33</v>
      </c>
      <c r="C2634" s="22" t="s">
        <v>2698</v>
      </c>
      <c r="D2634" s="22" t="s">
        <v>30</v>
      </c>
      <c r="E2634" s="24" t="s">
        <v>31</v>
      </c>
      <c r="F2634" s="22" t="s">
        <v>34</v>
      </c>
      <c r="G2634" s="25">
        <v>15658.9</v>
      </c>
      <c r="H2634" s="22" t="s">
        <v>32</v>
      </c>
      <c r="I2634" s="22">
        <v>0</v>
      </c>
      <c r="J2634" s="22" t="s">
        <v>34</v>
      </c>
      <c r="K2634" s="22" t="s">
        <v>23</v>
      </c>
      <c r="L2634" s="22">
        <v>1</v>
      </c>
      <c r="M2634" s="26">
        <v>172248</v>
      </c>
      <c r="N2634" s="26">
        <v>0</v>
      </c>
      <c r="O2634" s="15">
        <f t="shared" si="220"/>
        <v>172248</v>
      </c>
      <c r="P2634" s="15">
        <f t="shared" si="222"/>
        <v>11.000006386144621</v>
      </c>
      <c r="Q2634" s="25">
        <v>5000</v>
      </c>
      <c r="R2634" s="22">
        <v>100</v>
      </c>
      <c r="S2634" s="22" t="s">
        <v>3261</v>
      </c>
      <c r="T2634" s="22">
        <f t="shared" si="223"/>
        <v>7</v>
      </c>
      <c r="U2634" s="22">
        <f t="shared" si="224"/>
        <v>2021</v>
      </c>
      <c r="V2634" s="22" t="str">
        <f t="shared" si="225"/>
        <v>METROPOLITANA</v>
      </c>
    </row>
    <row r="2635" spans="1:22" x14ac:dyDescent="0.2">
      <c r="A2635" s="23" t="s">
        <v>3250</v>
      </c>
      <c r="B2635" s="22" t="s">
        <v>33</v>
      </c>
      <c r="C2635" s="22" t="s">
        <v>44</v>
      </c>
      <c r="D2635" s="22" t="s">
        <v>37</v>
      </c>
      <c r="E2635" s="24" t="s">
        <v>40</v>
      </c>
      <c r="F2635" s="22" t="s">
        <v>48</v>
      </c>
      <c r="G2635" s="25">
        <v>6948.5999999999995</v>
      </c>
      <c r="H2635" s="22" t="s">
        <v>22</v>
      </c>
      <c r="I2635" s="22">
        <v>0</v>
      </c>
      <c r="J2635" s="22" t="s">
        <v>48</v>
      </c>
      <c r="K2635" s="22" t="s">
        <v>23</v>
      </c>
      <c r="L2635" s="22">
        <v>1</v>
      </c>
      <c r="M2635" s="26">
        <v>76435</v>
      </c>
      <c r="N2635" s="26">
        <v>0</v>
      </c>
      <c r="O2635" s="15">
        <f t="shared" si="220"/>
        <v>76435</v>
      </c>
      <c r="P2635" s="15">
        <f t="shared" si="222"/>
        <v>11.000057565552774</v>
      </c>
      <c r="Q2635" s="25">
        <v>5000</v>
      </c>
      <c r="R2635" s="22">
        <v>100</v>
      </c>
      <c r="S2635" s="22" t="s">
        <v>3262</v>
      </c>
      <c r="T2635" s="22">
        <f t="shared" si="223"/>
        <v>7</v>
      </c>
      <c r="U2635" s="22">
        <f t="shared" si="224"/>
        <v>2021</v>
      </c>
      <c r="V2635" s="22" t="str">
        <f t="shared" si="225"/>
        <v>METROPOLITANA</v>
      </c>
    </row>
    <row r="2636" spans="1:22" x14ac:dyDescent="0.2">
      <c r="A2636" s="23" t="s">
        <v>3250</v>
      </c>
      <c r="B2636" s="22" t="s">
        <v>33</v>
      </c>
      <c r="C2636" s="22" t="s">
        <v>44</v>
      </c>
      <c r="D2636" s="22" t="s">
        <v>3263</v>
      </c>
      <c r="E2636" s="24" t="s">
        <v>28</v>
      </c>
      <c r="F2636" s="22" t="s">
        <v>891</v>
      </c>
      <c r="G2636" s="25">
        <f>6999+3594</f>
        <v>10593</v>
      </c>
      <c r="H2636" s="22" t="s">
        <v>24</v>
      </c>
      <c r="I2636" s="22">
        <v>1</v>
      </c>
      <c r="J2636" s="22" t="s">
        <v>127</v>
      </c>
      <c r="K2636" s="22" t="s">
        <v>78</v>
      </c>
      <c r="L2636" s="22">
        <v>0</v>
      </c>
      <c r="M2636" s="26">
        <v>230000</v>
      </c>
      <c r="N2636" s="26">
        <v>0</v>
      </c>
      <c r="O2636" s="15">
        <f t="shared" si="220"/>
        <v>230000</v>
      </c>
      <c r="P2636" s="15">
        <f t="shared" si="222"/>
        <v>21.712451618993676</v>
      </c>
      <c r="Q2636" s="25">
        <v>25000</v>
      </c>
      <c r="R2636" s="22">
        <v>58</v>
      </c>
      <c r="S2636" s="22" t="s">
        <v>3266</v>
      </c>
      <c r="T2636" s="22">
        <f t="shared" si="223"/>
        <v>7</v>
      </c>
      <c r="U2636" s="22">
        <f t="shared" si="224"/>
        <v>2021</v>
      </c>
      <c r="V2636" s="22" t="str">
        <f t="shared" si="225"/>
        <v>REGIONES</v>
      </c>
    </row>
    <row r="2637" spans="1:22" x14ac:dyDescent="0.2">
      <c r="A2637" s="11" t="s">
        <v>3267</v>
      </c>
      <c r="B2637" s="12" t="s">
        <v>18</v>
      </c>
      <c r="C2637" s="12" t="s">
        <v>457</v>
      </c>
      <c r="D2637" s="12" t="s">
        <v>730</v>
      </c>
      <c r="E2637" s="13" t="s">
        <v>731</v>
      </c>
      <c r="F2637" s="12" t="s">
        <v>815</v>
      </c>
      <c r="G2637" s="14">
        <v>14264.94</v>
      </c>
      <c r="H2637" s="12" t="s">
        <v>24</v>
      </c>
      <c r="I2637" s="12">
        <v>1</v>
      </c>
      <c r="J2637" s="12" t="s">
        <v>815</v>
      </c>
      <c r="K2637" s="12" t="s">
        <v>75</v>
      </c>
      <c r="L2637" s="12">
        <v>0</v>
      </c>
      <c r="M2637" s="15">
        <v>420000</v>
      </c>
      <c r="N2637" s="15">
        <v>0</v>
      </c>
      <c r="O2637" s="15">
        <f t="shared" si="220"/>
        <v>420000</v>
      </c>
      <c r="P2637" s="15">
        <f t="shared" si="222"/>
        <v>29.442815742652964</v>
      </c>
      <c r="Q2637" s="14">
        <v>25000</v>
      </c>
      <c r="R2637" s="12">
        <v>57</v>
      </c>
      <c r="S2637" s="12" t="s">
        <v>3268</v>
      </c>
      <c r="T2637" s="22">
        <f t="shared" si="223"/>
        <v>7</v>
      </c>
      <c r="U2637" s="22">
        <f t="shared" si="224"/>
        <v>2021</v>
      </c>
      <c r="V2637" s="22" t="str">
        <f t="shared" si="225"/>
        <v>REGIONES</v>
      </c>
    </row>
    <row r="2638" spans="1:22" x14ac:dyDescent="0.2">
      <c r="A2638" s="11" t="s">
        <v>3267</v>
      </c>
      <c r="B2638" s="12" t="s">
        <v>18</v>
      </c>
      <c r="C2638" s="12" t="s">
        <v>29</v>
      </c>
      <c r="D2638" s="12" t="s">
        <v>636</v>
      </c>
      <c r="E2638" s="13" t="s">
        <v>639</v>
      </c>
      <c r="F2638" s="12" t="s">
        <v>39</v>
      </c>
      <c r="G2638" s="14">
        <v>3192</v>
      </c>
      <c r="H2638" s="12" t="s">
        <v>85</v>
      </c>
      <c r="I2638" s="12">
        <v>1</v>
      </c>
      <c r="J2638" s="12" t="s">
        <v>39</v>
      </c>
      <c r="K2638" s="12" t="s">
        <v>23</v>
      </c>
      <c r="L2638" s="12">
        <v>1</v>
      </c>
      <c r="M2638" s="15">
        <v>55000</v>
      </c>
      <c r="N2638" s="15">
        <v>0</v>
      </c>
      <c r="O2638" s="15">
        <f t="shared" si="220"/>
        <v>55000</v>
      </c>
      <c r="P2638" s="15">
        <f t="shared" si="222"/>
        <v>17.230576441102755</v>
      </c>
      <c r="Q2638" s="14">
        <v>5000</v>
      </c>
      <c r="R2638" s="12">
        <v>64</v>
      </c>
      <c r="S2638" s="12" t="s">
        <v>3269</v>
      </c>
      <c r="T2638" s="22">
        <f t="shared" si="223"/>
        <v>7</v>
      </c>
      <c r="U2638" s="22">
        <f t="shared" si="224"/>
        <v>2021</v>
      </c>
      <c r="V2638" s="22" t="str">
        <f t="shared" si="225"/>
        <v>METROPOLITANA</v>
      </c>
    </row>
    <row r="2639" spans="1:22" x14ac:dyDescent="0.2">
      <c r="A2639" s="11" t="s">
        <v>3267</v>
      </c>
      <c r="B2639" s="12" t="s">
        <v>33</v>
      </c>
      <c r="C2639" s="12" t="s">
        <v>270</v>
      </c>
      <c r="D2639" s="12" t="s">
        <v>164</v>
      </c>
      <c r="E2639" s="13" t="s">
        <v>28</v>
      </c>
      <c r="F2639" s="12" t="s">
        <v>120</v>
      </c>
      <c r="G2639" s="14">
        <v>22027.000000000011</v>
      </c>
      <c r="H2639" s="12" t="s">
        <v>22</v>
      </c>
      <c r="I2639" s="12">
        <v>1</v>
      </c>
      <c r="J2639" s="12" t="s">
        <v>120</v>
      </c>
      <c r="K2639" s="12" t="s">
        <v>23</v>
      </c>
      <c r="L2639" s="12">
        <v>5</v>
      </c>
      <c r="M2639" s="15">
        <v>120000</v>
      </c>
      <c r="N2639" s="15">
        <v>0</v>
      </c>
      <c r="O2639" s="15">
        <f>G2639*11</f>
        <v>242297.00000000012</v>
      </c>
      <c r="P2639" s="15">
        <f t="shared" si="222"/>
        <v>11</v>
      </c>
      <c r="Q2639" s="14">
        <v>10000</v>
      </c>
      <c r="R2639" s="12">
        <v>100</v>
      </c>
      <c r="S2639" s="12" t="s">
        <v>3270</v>
      </c>
      <c r="T2639" s="22">
        <f t="shared" si="223"/>
        <v>7</v>
      </c>
      <c r="U2639" s="22">
        <f t="shared" si="224"/>
        <v>2021</v>
      </c>
      <c r="V2639" s="22" t="str">
        <f t="shared" si="225"/>
        <v>METROPOLITANA</v>
      </c>
    </row>
    <row r="2640" spans="1:22" x14ac:dyDescent="0.2">
      <c r="A2640" s="11" t="s">
        <v>3267</v>
      </c>
      <c r="B2640" s="12" t="s">
        <v>33</v>
      </c>
      <c r="C2640" s="12" t="s">
        <v>36</v>
      </c>
      <c r="D2640" s="12" t="s">
        <v>786</v>
      </c>
      <c r="E2640" s="13" t="s">
        <v>787</v>
      </c>
      <c r="F2640" s="12" t="s">
        <v>59</v>
      </c>
      <c r="G2640" s="14">
        <f>7227.6+4976</f>
        <v>12203.6</v>
      </c>
      <c r="H2640" s="12" t="s">
        <v>788</v>
      </c>
      <c r="I2640" s="12">
        <v>1</v>
      </c>
      <c r="J2640" s="12" t="s">
        <v>59</v>
      </c>
      <c r="K2640" s="12" t="s">
        <v>78</v>
      </c>
      <c r="L2640" s="12">
        <v>0</v>
      </c>
      <c r="M2640" s="15">
        <v>230000</v>
      </c>
      <c r="N2640" s="15">
        <v>0</v>
      </c>
      <c r="O2640" s="15">
        <f t="shared" ref="O2640:O2666" si="226">SUM(M2640:N2640)</f>
        <v>230000</v>
      </c>
      <c r="P2640" s="15">
        <f t="shared" si="222"/>
        <v>18.846897636762922</v>
      </c>
      <c r="Q2640" s="14">
        <v>25000</v>
      </c>
      <c r="R2640" s="12">
        <v>78</v>
      </c>
      <c r="S2640" s="12" t="s">
        <v>3280</v>
      </c>
      <c r="T2640" s="22">
        <f t="shared" si="223"/>
        <v>7</v>
      </c>
      <c r="U2640" s="22">
        <f t="shared" si="224"/>
        <v>2021</v>
      </c>
      <c r="V2640" s="22" t="str">
        <f t="shared" si="225"/>
        <v>REGIONES</v>
      </c>
    </row>
    <row r="2641" spans="1:22" x14ac:dyDescent="0.2">
      <c r="A2641" s="11" t="s">
        <v>3267</v>
      </c>
      <c r="B2641" s="12" t="s">
        <v>33</v>
      </c>
      <c r="C2641" s="12" t="s">
        <v>36</v>
      </c>
      <c r="D2641" s="12" t="s">
        <v>45</v>
      </c>
      <c r="E2641" s="13" t="s">
        <v>52</v>
      </c>
      <c r="F2641" s="12" t="s">
        <v>376</v>
      </c>
      <c r="G2641" s="14">
        <v>3375.8</v>
      </c>
      <c r="H2641" s="12" t="s">
        <v>22</v>
      </c>
      <c r="I2641" s="12">
        <v>0</v>
      </c>
      <c r="J2641" s="12" t="s">
        <v>377</v>
      </c>
      <c r="K2641" s="12" t="s">
        <v>23</v>
      </c>
      <c r="L2641" s="12">
        <v>4</v>
      </c>
      <c r="M2641" s="15">
        <v>55000</v>
      </c>
      <c r="N2641" s="15">
        <v>0</v>
      </c>
      <c r="O2641" s="15">
        <f t="shared" si="226"/>
        <v>55000</v>
      </c>
      <c r="P2641" s="15">
        <f t="shared" si="222"/>
        <v>16.292434385923336</v>
      </c>
      <c r="Q2641" s="14">
        <v>5000</v>
      </c>
      <c r="R2641" s="12">
        <v>68</v>
      </c>
      <c r="S2641" s="12" t="s">
        <v>3271</v>
      </c>
      <c r="T2641" s="22">
        <f t="shared" si="223"/>
        <v>7</v>
      </c>
      <c r="U2641" s="22">
        <f t="shared" si="224"/>
        <v>2021</v>
      </c>
      <c r="V2641" s="22" t="str">
        <f t="shared" si="225"/>
        <v>METROPOLITANA</v>
      </c>
    </row>
    <row r="2642" spans="1:22" x14ac:dyDescent="0.2">
      <c r="A2642" s="11" t="s">
        <v>3267</v>
      </c>
      <c r="B2642" s="12" t="s">
        <v>33</v>
      </c>
      <c r="C2642" s="12" t="s">
        <v>36</v>
      </c>
      <c r="D2642" s="12" t="s">
        <v>20</v>
      </c>
      <c r="E2642" s="13" t="s">
        <v>21</v>
      </c>
      <c r="F2642" s="12" t="s">
        <v>34</v>
      </c>
      <c r="G2642" s="14">
        <v>3375.8</v>
      </c>
      <c r="H2642" s="12" t="s">
        <v>22</v>
      </c>
      <c r="I2642" s="12">
        <v>0</v>
      </c>
      <c r="J2642" s="12" t="s">
        <v>34</v>
      </c>
      <c r="K2642" s="12" t="s">
        <v>23</v>
      </c>
      <c r="L2642" s="12">
        <v>1</v>
      </c>
      <c r="M2642" s="15">
        <v>55000</v>
      </c>
      <c r="N2642" s="15">
        <v>0</v>
      </c>
      <c r="O2642" s="15">
        <f t="shared" si="226"/>
        <v>55000</v>
      </c>
      <c r="P2642" s="15">
        <f t="shared" si="222"/>
        <v>16.292434385923336</v>
      </c>
      <c r="Q2642" s="14">
        <v>5000</v>
      </c>
      <c r="R2642" s="12">
        <v>68</v>
      </c>
      <c r="S2642" s="12" t="s">
        <v>3272</v>
      </c>
      <c r="T2642" s="22">
        <f t="shared" si="223"/>
        <v>7</v>
      </c>
      <c r="U2642" s="22">
        <f t="shared" si="224"/>
        <v>2021</v>
      </c>
      <c r="V2642" s="22" t="str">
        <f t="shared" si="225"/>
        <v>METROPOLITANA</v>
      </c>
    </row>
    <row r="2643" spans="1:22" x14ac:dyDescent="0.2">
      <c r="A2643" s="11" t="s">
        <v>3267</v>
      </c>
      <c r="B2643" s="12" t="s">
        <v>33</v>
      </c>
      <c r="C2643" s="12" t="s">
        <v>29</v>
      </c>
      <c r="D2643" s="12" t="s">
        <v>636</v>
      </c>
      <c r="E2643" s="13" t="s">
        <v>639</v>
      </c>
      <c r="F2643" s="12" t="s">
        <v>132</v>
      </c>
      <c r="G2643" s="14">
        <v>13597.099999999989</v>
      </c>
      <c r="H2643" s="12" t="s">
        <v>85</v>
      </c>
      <c r="I2643" s="12">
        <v>1</v>
      </c>
      <c r="J2643" s="12" t="s">
        <v>132</v>
      </c>
      <c r="K2643" s="12" t="s">
        <v>124</v>
      </c>
      <c r="L2643" s="12">
        <v>0</v>
      </c>
      <c r="M2643" s="15">
        <v>350000</v>
      </c>
      <c r="N2643" s="15">
        <v>0</v>
      </c>
      <c r="O2643" s="15">
        <f t="shared" si="226"/>
        <v>350000</v>
      </c>
      <c r="P2643" s="15">
        <f t="shared" si="222"/>
        <v>25.7407829610726</v>
      </c>
      <c r="Q2643" s="14">
        <v>25000</v>
      </c>
      <c r="R2643" s="12">
        <v>54</v>
      </c>
      <c r="S2643" s="12" t="s">
        <v>3273</v>
      </c>
      <c r="T2643" s="22">
        <f t="shared" si="223"/>
        <v>7</v>
      </c>
      <c r="U2643" s="22">
        <f t="shared" si="224"/>
        <v>2021</v>
      </c>
      <c r="V2643" s="22" t="str">
        <f t="shared" si="225"/>
        <v>REGIONES</v>
      </c>
    </row>
    <row r="2644" spans="1:22" x14ac:dyDescent="0.2">
      <c r="A2644" s="11" t="s">
        <v>3267</v>
      </c>
      <c r="B2644" s="12" t="s">
        <v>33</v>
      </c>
      <c r="C2644" s="12" t="s">
        <v>29</v>
      </c>
      <c r="D2644" s="12" t="s">
        <v>37</v>
      </c>
      <c r="E2644" s="13" t="s">
        <v>40</v>
      </c>
      <c r="F2644" s="12" t="s">
        <v>134</v>
      </c>
      <c r="G2644" s="14">
        <v>7075.5000000000009</v>
      </c>
      <c r="H2644" s="12" t="s">
        <v>22</v>
      </c>
      <c r="I2644" s="12">
        <v>0</v>
      </c>
      <c r="J2644" s="12" t="s">
        <v>134</v>
      </c>
      <c r="K2644" s="12" t="s">
        <v>23</v>
      </c>
      <c r="L2644" s="12">
        <v>2</v>
      </c>
      <c r="M2644" s="15">
        <v>77831</v>
      </c>
      <c r="N2644" s="15">
        <v>0</v>
      </c>
      <c r="O2644" s="15">
        <f t="shared" si="226"/>
        <v>77831</v>
      </c>
      <c r="P2644" s="15">
        <f t="shared" si="222"/>
        <v>11.000070666384</v>
      </c>
      <c r="Q2644" s="14">
        <v>5000</v>
      </c>
      <c r="R2644" s="12">
        <v>100</v>
      </c>
      <c r="S2644" s="12" t="s">
        <v>3274</v>
      </c>
      <c r="T2644" s="22">
        <f t="shared" si="223"/>
        <v>7</v>
      </c>
      <c r="U2644" s="22">
        <f t="shared" si="224"/>
        <v>2021</v>
      </c>
      <c r="V2644" s="22" t="str">
        <f t="shared" si="225"/>
        <v>METROPOLITANA</v>
      </c>
    </row>
    <row r="2645" spans="1:22" x14ac:dyDescent="0.2">
      <c r="A2645" s="11" t="s">
        <v>3267</v>
      </c>
      <c r="B2645" s="12" t="s">
        <v>33</v>
      </c>
      <c r="C2645" s="12" t="s">
        <v>29</v>
      </c>
      <c r="D2645" s="12" t="s">
        <v>63</v>
      </c>
      <c r="E2645" s="13" t="s">
        <v>64</v>
      </c>
      <c r="F2645" s="12" t="s">
        <v>173</v>
      </c>
      <c r="G2645" s="14">
        <v>8783.9999999999982</v>
      </c>
      <c r="H2645" s="12" t="s">
        <v>65</v>
      </c>
      <c r="I2645" s="12">
        <v>0</v>
      </c>
      <c r="J2645" s="12" t="s">
        <v>173</v>
      </c>
      <c r="K2645" s="12" t="s">
        <v>23</v>
      </c>
      <c r="L2645" s="12">
        <v>5</v>
      </c>
      <c r="M2645" s="15">
        <v>90000</v>
      </c>
      <c r="N2645" s="15">
        <v>0</v>
      </c>
      <c r="O2645" s="15">
        <f t="shared" si="226"/>
        <v>90000</v>
      </c>
      <c r="P2645" s="15">
        <f t="shared" si="222"/>
        <v>10.245901639344265</v>
      </c>
      <c r="Q2645" s="14">
        <v>10000</v>
      </c>
      <c r="R2645" s="12">
        <v>88</v>
      </c>
      <c r="S2645" s="12" t="s">
        <v>3275</v>
      </c>
      <c r="T2645" s="22">
        <f t="shared" si="223"/>
        <v>7</v>
      </c>
      <c r="U2645" s="22">
        <f t="shared" si="224"/>
        <v>2021</v>
      </c>
      <c r="V2645" s="22" t="str">
        <f t="shared" si="225"/>
        <v>METROPOLITANA</v>
      </c>
    </row>
    <row r="2646" spans="1:22" x14ac:dyDescent="0.2">
      <c r="A2646" s="11" t="s">
        <v>3267</v>
      </c>
      <c r="B2646" s="12" t="s">
        <v>33</v>
      </c>
      <c r="C2646" s="12" t="s">
        <v>2698</v>
      </c>
      <c r="D2646" s="12" t="s">
        <v>38</v>
      </c>
      <c r="E2646" s="13" t="s">
        <v>42</v>
      </c>
      <c r="F2646" s="12" t="s">
        <v>51</v>
      </c>
      <c r="G2646" s="14">
        <v>9155.7999999999993</v>
      </c>
      <c r="H2646" s="12" t="s">
        <v>43</v>
      </c>
      <c r="I2646" s="12">
        <v>0</v>
      </c>
      <c r="J2646" s="12" t="s">
        <v>51</v>
      </c>
      <c r="K2646" s="12" t="s">
        <v>23</v>
      </c>
      <c r="L2646" s="12">
        <v>4</v>
      </c>
      <c r="M2646" s="15">
        <v>100714</v>
      </c>
      <c r="N2646" s="15">
        <v>0</v>
      </c>
      <c r="O2646" s="15">
        <f t="shared" si="226"/>
        <v>100714</v>
      </c>
      <c r="P2646" s="15">
        <f t="shared" si="222"/>
        <v>11.000021844076979</v>
      </c>
      <c r="Q2646" s="14">
        <v>5000</v>
      </c>
      <c r="R2646" s="12">
        <v>100</v>
      </c>
      <c r="S2646" s="12" t="s">
        <v>3276</v>
      </c>
      <c r="T2646" s="22">
        <f t="shared" si="223"/>
        <v>7</v>
      </c>
      <c r="U2646" s="22">
        <f t="shared" si="224"/>
        <v>2021</v>
      </c>
      <c r="V2646" s="22" t="str">
        <f t="shared" si="225"/>
        <v>METROPOLITANA</v>
      </c>
    </row>
    <row r="2647" spans="1:22" x14ac:dyDescent="0.2">
      <c r="A2647" s="11" t="s">
        <v>3267</v>
      </c>
      <c r="B2647" s="12" t="s">
        <v>33</v>
      </c>
      <c r="C2647" s="12" t="s">
        <v>2698</v>
      </c>
      <c r="D2647" s="12" t="s">
        <v>30</v>
      </c>
      <c r="E2647" s="13" t="s">
        <v>31</v>
      </c>
      <c r="F2647" s="12" t="s">
        <v>51</v>
      </c>
      <c r="G2647" s="14">
        <v>7503.9999999999973</v>
      </c>
      <c r="H2647" s="12" t="s">
        <v>32</v>
      </c>
      <c r="I2647" s="12">
        <v>0</v>
      </c>
      <c r="J2647" s="12" t="s">
        <v>51</v>
      </c>
      <c r="K2647" s="12" t="s">
        <v>23</v>
      </c>
      <c r="L2647" s="12">
        <v>4</v>
      </c>
      <c r="M2647" s="15">
        <v>82544</v>
      </c>
      <c r="N2647" s="15">
        <v>0</v>
      </c>
      <c r="O2647" s="15">
        <f t="shared" si="226"/>
        <v>82544</v>
      </c>
      <c r="P2647" s="15">
        <f t="shared" si="222"/>
        <v>11.000000000000004</v>
      </c>
      <c r="Q2647" s="14">
        <v>5000</v>
      </c>
      <c r="R2647" s="12">
        <v>100</v>
      </c>
      <c r="S2647" s="12" t="s">
        <v>3277</v>
      </c>
      <c r="T2647" s="22">
        <f t="shared" si="223"/>
        <v>7</v>
      </c>
      <c r="U2647" s="22">
        <f t="shared" si="224"/>
        <v>2021</v>
      </c>
      <c r="V2647" s="22" t="str">
        <f t="shared" si="225"/>
        <v>METROPOLITANA</v>
      </c>
    </row>
    <row r="2648" spans="1:22" x14ac:dyDescent="0.2">
      <c r="A2648" s="11" t="s">
        <v>3267</v>
      </c>
      <c r="B2648" s="12" t="s">
        <v>33</v>
      </c>
      <c r="C2648" s="12" t="s">
        <v>44</v>
      </c>
      <c r="D2648" s="12" t="s">
        <v>30</v>
      </c>
      <c r="E2648" s="13" t="s">
        <v>31</v>
      </c>
      <c r="F2648" s="12" t="s">
        <v>94</v>
      </c>
      <c r="G2648" s="14">
        <v>5728.9000000000005</v>
      </c>
      <c r="H2648" s="12" t="s">
        <v>32</v>
      </c>
      <c r="I2648" s="12">
        <v>0</v>
      </c>
      <c r="J2648" s="12" t="s">
        <v>59</v>
      </c>
      <c r="K2648" s="12" t="s">
        <v>78</v>
      </c>
      <c r="L2648" s="12">
        <v>0</v>
      </c>
      <c r="M2648" s="15">
        <v>180000</v>
      </c>
      <c r="N2648" s="15">
        <v>0</v>
      </c>
      <c r="O2648" s="15">
        <f t="shared" si="226"/>
        <v>180000</v>
      </c>
      <c r="P2648" s="15">
        <f t="shared" si="222"/>
        <v>31.419644259805544</v>
      </c>
      <c r="Q2648" s="14">
        <v>25000</v>
      </c>
      <c r="R2648" s="12">
        <v>23</v>
      </c>
      <c r="S2648" s="12" t="s">
        <v>3278</v>
      </c>
      <c r="T2648" s="22">
        <f t="shared" si="223"/>
        <v>7</v>
      </c>
      <c r="U2648" s="22">
        <f t="shared" si="224"/>
        <v>2021</v>
      </c>
      <c r="V2648" s="22" t="str">
        <f t="shared" si="225"/>
        <v>REGIONES</v>
      </c>
    </row>
    <row r="2649" spans="1:22" x14ac:dyDescent="0.2">
      <c r="A2649" s="11" t="s">
        <v>3267</v>
      </c>
      <c r="B2649" s="12" t="s">
        <v>33</v>
      </c>
      <c r="C2649" s="12" t="s">
        <v>44</v>
      </c>
      <c r="D2649" s="12" t="s">
        <v>47</v>
      </c>
      <c r="E2649" s="13" t="s">
        <v>1576</v>
      </c>
      <c r="F2649" s="12" t="s">
        <v>48</v>
      </c>
      <c r="G2649" s="14">
        <v>8813.3000000000011</v>
      </c>
      <c r="H2649" s="12" t="s">
        <v>22</v>
      </c>
      <c r="I2649" s="12">
        <v>0</v>
      </c>
      <c r="J2649" s="12" t="s">
        <v>48</v>
      </c>
      <c r="K2649" s="12" t="s">
        <v>23</v>
      </c>
      <c r="L2649" s="12">
        <v>1</v>
      </c>
      <c r="M2649" s="15">
        <v>96946</v>
      </c>
      <c r="N2649" s="15">
        <v>0</v>
      </c>
      <c r="O2649" s="15">
        <f t="shared" si="226"/>
        <v>96946</v>
      </c>
      <c r="P2649" s="15">
        <f t="shared" si="222"/>
        <v>10.999965960536914</v>
      </c>
      <c r="Q2649" s="14">
        <v>5000</v>
      </c>
      <c r="R2649" s="12">
        <v>100</v>
      </c>
      <c r="S2649" s="12" t="s">
        <v>3279</v>
      </c>
      <c r="T2649" s="22">
        <f t="shared" si="223"/>
        <v>7</v>
      </c>
      <c r="U2649" s="22">
        <f t="shared" si="224"/>
        <v>2021</v>
      </c>
      <c r="V2649" s="22" t="str">
        <f t="shared" si="225"/>
        <v>METROPOLITANA</v>
      </c>
    </row>
    <row r="2650" spans="1:22" x14ac:dyDescent="0.2">
      <c r="A2650" s="23" t="s">
        <v>3281</v>
      </c>
      <c r="B2650" s="22" t="s">
        <v>18</v>
      </c>
      <c r="C2650" s="22" t="s">
        <v>57</v>
      </c>
      <c r="D2650" s="22" t="s">
        <v>38</v>
      </c>
      <c r="E2650" s="24">
        <v>125108660</v>
      </c>
      <c r="F2650" s="22" t="s">
        <v>800</v>
      </c>
      <c r="G2650" s="25">
        <v>7385.5</v>
      </c>
      <c r="H2650" s="22" t="s">
        <v>43</v>
      </c>
      <c r="I2650" s="22">
        <v>0</v>
      </c>
      <c r="J2650" s="22" t="s">
        <v>800</v>
      </c>
      <c r="K2650" s="22" t="s">
        <v>23</v>
      </c>
      <c r="L2650" s="22">
        <v>5</v>
      </c>
      <c r="M2650" s="26">
        <v>90000</v>
      </c>
      <c r="N2650" s="26">
        <v>0</v>
      </c>
      <c r="O2650" s="15">
        <f t="shared" si="226"/>
        <v>90000</v>
      </c>
      <c r="P2650" s="15">
        <f t="shared" si="222"/>
        <v>12.186040213932706</v>
      </c>
      <c r="Q2650" s="25">
        <v>10000</v>
      </c>
      <c r="R2650" s="22">
        <v>74</v>
      </c>
      <c r="S2650" s="22" t="s">
        <v>3282</v>
      </c>
      <c r="T2650" s="22">
        <f t="shared" si="223"/>
        <v>7</v>
      </c>
      <c r="U2650" s="22">
        <f t="shared" si="224"/>
        <v>2021</v>
      </c>
      <c r="V2650" s="22" t="str">
        <f t="shared" si="225"/>
        <v>METROPOLITANA</v>
      </c>
    </row>
    <row r="2651" spans="1:22" x14ac:dyDescent="0.2">
      <c r="A2651" s="23" t="s">
        <v>3281</v>
      </c>
      <c r="B2651" s="22" t="s">
        <v>18</v>
      </c>
      <c r="C2651" s="22" t="s">
        <v>19</v>
      </c>
      <c r="D2651" s="22" t="s">
        <v>191</v>
      </c>
      <c r="E2651" s="24">
        <v>78551976</v>
      </c>
      <c r="F2651" s="22" t="s">
        <v>815</v>
      </c>
      <c r="G2651" s="25">
        <v>26794.62999999999</v>
      </c>
      <c r="H2651" s="22" t="s">
        <v>85</v>
      </c>
      <c r="I2651" s="22">
        <v>1</v>
      </c>
      <c r="J2651" s="22" t="s">
        <v>815</v>
      </c>
      <c r="K2651" s="22" t="s">
        <v>75</v>
      </c>
      <c r="L2651" s="22">
        <v>0</v>
      </c>
      <c r="M2651" s="26">
        <v>420000</v>
      </c>
      <c r="N2651" s="26">
        <v>0</v>
      </c>
      <c r="O2651" s="15">
        <f t="shared" si="226"/>
        <v>420000</v>
      </c>
      <c r="P2651" s="15">
        <f t="shared" si="222"/>
        <v>15.674782596363531</v>
      </c>
      <c r="Q2651" s="25">
        <v>25000</v>
      </c>
      <c r="R2651" s="22">
        <v>100</v>
      </c>
      <c r="S2651" s="22" t="s">
        <v>3283</v>
      </c>
      <c r="T2651" s="22">
        <f t="shared" si="223"/>
        <v>7</v>
      </c>
      <c r="U2651" s="22">
        <f t="shared" si="224"/>
        <v>2021</v>
      </c>
      <c r="V2651" s="22" t="str">
        <f t="shared" si="225"/>
        <v>REGIONES</v>
      </c>
    </row>
    <row r="2652" spans="1:22" x14ac:dyDescent="0.2">
      <c r="A2652" s="23" t="s">
        <v>3281</v>
      </c>
      <c r="B2652" s="22" t="s">
        <v>18</v>
      </c>
      <c r="C2652" s="22" t="s">
        <v>508</v>
      </c>
      <c r="D2652" s="22" t="s">
        <v>164</v>
      </c>
      <c r="E2652" s="24">
        <v>81417709</v>
      </c>
      <c r="F2652" s="22" t="s">
        <v>58</v>
      </c>
      <c r="G2652" s="25">
        <v>10331.26</v>
      </c>
      <c r="H2652" s="22" t="s">
        <v>22</v>
      </c>
      <c r="I2652" s="22">
        <v>1</v>
      </c>
      <c r="J2652" s="22" t="s">
        <v>58</v>
      </c>
      <c r="K2652" s="22" t="s">
        <v>23</v>
      </c>
      <c r="L2652" s="22">
        <v>5</v>
      </c>
      <c r="M2652" s="26">
        <v>120000</v>
      </c>
      <c r="N2652" s="26">
        <v>0</v>
      </c>
      <c r="O2652" s="15">
        <f t="shared" si="226"/>
        <v>120000</v>
      </c>
      <c r="P2652" s="15">
        <f t="shared" si="222"/>
        <v>11.615233766258907</v>
      </c>
      <c r="Q2652" s="25">
        <v>10000</v>
      </c>
      <c r="R2652" s="22">
        <v>100</v>
      </c>
      <c r="S2652" s="22" t="s">
        <v>3284</v>
      </c>
      <c r="T2652" s="22">
        <f t="shared" si="223"/>
        <v>7</v>
      </c>
      <c r="U2652" s="22">
        <f t="shared" si="224"/>
        <v>2021</v>
      </c>
      <c r="V2652" s="22" t="str">
        <f t="shared" si="225"/>
        <v>METROPOLITANA</v>
      </c>
    </row>
    <row r="2653" spans="1:22" x14ac:dyDescent="0.2">
      <c r="A2653" s="23" t="s">
        <v>3281</v>
      </c>
      <c r="B2653" s="22" t="s">
        <v>33</v>
      </c>
      <c r="C2653" s="22" t="s">
        <v>270</v>
      </c>
      <c r="D2653" s="22" t="s">
        <v>41</v>
      </c>
      <c r="E2653" s="24">
        <v>125108660</v>
      </c>
      <c r="F2653" s="22" t="s">
        <v>120</v>
      </c>
      <c r="G2653" s="25">
        <v>6252</v>
      </c>
      <c r="H2653" s="22" t="s">
        <v>43</v>
      </c>
      <c r="I2653" s="22">
        <v>0</v>
      </c>
      <c r="J2653" s="22" t="s">
        <v>120</v>
      </c>
      <c r="K2653" s="22" t="s">
        <v>23</v>
      </c>
      <c r="L2653" s="22">
        <v>5</v>
      </c>
      <c r="M2653" s="26">
        <v>70000</v>
      </c>
      <c r="N2653" s="26">
        <v>0</v>
      </c>
      <c r="O2653" s="15">
        <f t="shared" si="226"/>
        <v>70000</v>
      </c>
      <c r="P2653" s="15">
        <f t="shared" si="222"/>
        <v>11.196417146513117</v>
      </c>
      <c r="Q2653" s="25">
        <v>10000</v>
      </c>
      <c r="R2653" s="22">
        <v>63</v>
      </c>
      <c r="S2653" s="22" t="s">
        <v>3285</v>
      </c>
      <c r="T2653" s="22">
        <f t="shared" si="223"/>
        <v>7</v>
      </c>
      <c r="U2653" s="22">
        <f t="shared" si="224"/>
        <v>2021</v>
      </c>
      <c r="V2653" s="22" t="str">
        <f t="shared" si="225"/>
        <v>METROPOLITANA</v>
      </c>
    </row>
    <row r="2654" spans="1:22" x14ac:dyDescent="0.2">
      <c r="A2654" s="23" t="s">
        <v>3281</v>
      </c>
      <c r="B2654" s="22" t="s">
        <v>33</v>
      </c>
      <c r="C2654" s="22" t="s">
        <v>1233</v>
      </c>
      <c r="D2654" s="22" t="s">
        <v>20</v>
      </c>
      <c r="E2654" s="24">
        <v>78907355</v>
      </c>
      <c r="F2654" s="22" t="s">
        <v>1234</v>
      </c>
      <c r="G2654" s="25">
        <v>5853</v>
      </c>
      <c r="H2654" s="22" t="s">
        <v>22</v>
      </c>
      <c r="I2654" s="22">
        <v>0</v>
      </c>
      <c r="J2654" s="22" t="s">
        <v>1234</v>
      </c>
      <c r="K2654" s="22" t="s">
        <v>23</v>
      </c>
      <c r="L2654" s="22">
        <v>3</v>
      </c>
      <c r="M2654" s="26">
        <v>64383</v>
      </c>
      <c r="N2654" s="26">
        <v>0</v>
      </c>
      <c r="O2654" s="15">
        <f t="shared" si="226"/>
        <v>64383</v>
      </c>
      <c r="P2654" s="15">
        <f t="shared" si="222"/>
        <v>11</v>
      </c>
      <c r="Q2654" s="25">
        <v>5000</v>
      </c>
      <c r="R2654" s="22">
        <v>100</v>
      </c>
      <c r="S2654" s="22" t="s">
        <v>3286</v>
      </c>
      <c r="T2654" s="22">
        <f t="shared" si="223"/>
        <v>7</v>
      </c>
      <c r="U2654" s="22">
        <f t="shared" si="224"/>
        <v>2021</v>
      </c>
      <c r="V2654" s="22" t="str">
        <f t="shared" si="225"/>
        <v>METROPOLITANA</v>
      </c>
    </row>
    <row r="2655" spans="1:22" x14ac:dyDescent="0.2">
      <c r="A2655" s="23" t="s">
        <v>3281</v>
      </c>
      <c r="B2655" s="22" t="s">
        <v>33</v>
      </c>
      <c r="C2655" s="22" t="s">
        <v>128</v>
      </c>
      <c r="D2655" s="22" t="s">
        <v>2955</v>
      </c>
      <c r="E2655" s="24">
        <v>65941082</v>
      </c>
      <c r="F2655" s="22" t="s">
        <v>129</v>
      </c>
      <c r="G2655" s="25">
        <v>8402.4</v>
      </c>
      <c r="H2655" s="22" t="s">
        <v>24</v>
      </c>
      <c r="I2655" s="22">
        <v>1</v>
      </c>
      <c r="J2655" s="22" t="s">
        <v>129</v>
      </c>
      <c r="K2655" s="22" t="s">
        <v>23</v>
      </c>
      <c r="L2655" s="22">
        <v>1</v>
      </c>
      <c r="M2655" s="26">
        <v>92426</v>
      </c>
      <c r="N2655" s="26">
        <v>0</v>
      </c>
      <c r="O2655" s="15">
        <f t="shared" si="226"/>
        <v>92426</v>
      </c>
      <c r="P2655" s="15">
        <f t="shared" si="222"/>
        <v>10.999952394553937</v>
      </c>
      <c r="Q2655" s="25">
        <v>5000</v>
      </c>
      <c r="R2655" s="22">
        <v>57</v>
      </c>
      <c r="S2655" s="22" t="s">
        <v>3287</v>
      </c>
      <c r="T2655" s="22">
        <f t="shared" si="223"/>
        <v>7</v>
      </c>
      <c r="U2655" s="22">
        <f t="shared" si="224"/>
        <v>2021</v>
      </c>
      <c r="V2655" s="22" t="str">
        <f t="shared" si="225"/>
        <v>METROPOLITANA</v>
      </c>
    </row>
    <row r="2656" spans="1:22" x14ac:dyDescent="0.2">
      <c r="A2656" s="23" t="s">
        <v>3281</v>
      </c>
      <c r="B2656" s="22" t="s">
        <v>33</v>
      </c>
      <c r="C2656" s="22" t="s">
        <v>36</v>
      </c>
      <c r="D2656" s="22" t="s">
        <v>130</v>
      </c>
      <c r="E2656" s="24">
        <v>167832741</v>
      </c>
      <c r="F2656" s="22" t="s">
        <v>691</v>
      </c>
      <c r="G2656" s="25">
        <f>9303.8+9404</f>
        <v>18707.8</v>
      </c>
      <c r="H2656" s="22" t="s">
        <v>85</v>
      </c>
      <c r="I2656" s="22">
        <v>1</v>
      </c>
      <c r="J2656" s="22" t="s">
        <v>691</v>
      </c>
      <c r="K2656" s="22" t="s">
        <v>873</v>
      </c>
      <c r="L2656" s="22">
        <v>0</v>
      </c>
      <c r="M2656" s="26">
        <v>1020000</v>
      </c>
      <c r="N2656" s="26">
        <v>0</v>
      </c>
      <c r="O2656" s="15">
        <f t="shared" si="226"/>
        <v>1020000</v>
      </c>
      <c r="P2656" s="15">
        <v>100</v>
      </c>
      <c r="Q2656" s="25">
        <v>25000</v>
      </c>
      <c r="R2656" s="22">
        <v>100</v>
      </c>
      <c r="S2656" s="22" t="s">
        <v>3294</v>
      </c>
      <c r="T2656" s="22">
        <f t="shared" si="223"/>
        <v>7</v>
      </c>
      <c r="U2656" s="22">
        <f t="shared" si="224"/>
        <v>2021</v>
      </c>
      <c r="V2656" s="22" t="str">
        <f t="shared" si="225"/>
        <v>REGIONES</v>
      </c>
    </row>
    <row r="2657" spans="1:22" x14ac:dyDescent="0.2">
      <c r="A2657" s="23" t="s">
        <v>3281</v>
      </c>
      <c r="B2657" s="22" t="s">
        <v>33</v>
      </c>
      <c r="C2657" s="22" t="s">
        <v>36</v>
      </c>
      <c r="D2657" s="22" t="s">
        <v>37</v>
      </c>
      <c r="E2657" s="24">
        <v>103018366</v>
      </c>
      <c r="F2657" s="22" t="s">
        <v>127</v>
      </c>
      <c r="G2657" s="25">
        <v>6101.8</v>
      </c>
      <c r="H2657" s="22" t="s">
        <v>22</v>
      </c>
      <c r="I2657" s="22">
        <v>0</v>
      </c>
      <c r="J2657" s="22" t="s">
        <v>127</v>
      </c>
      <c r="K2657" s="22" t="s">
        <v>78</v>
      </c>
      <c r="L2657" s="22">
        <v>0</v>
      </c>
      <c r="M2657" s="26">
        <v>180000</v>
      </c>
      <c r="N2657" s="26">
        <v>0</v>
      </c>
      <c r="O2657" s="15">
        <f t="shared" si="226"/>
        <v>180000</v>
      </c>
      <c r="P2657" s="15">
        <f t="shared" ref="P2657:P2720" si="227">O2657/G2657</f>
        <v>29.499491953194138</v>
      </c>
      <c r="Q2657" s="25">
        <v>25000</v>
      </c>
      <c r="R2657" s="22">
        <v>24</v>
      </c>
      <c r="S2657" s="22" t="s">
        <v>3288</v>
      </c>
      <c r="T2657" s="22">
        <f t="shared" si="223"/>
        <v>7</v>
      </c>
      <c r="U2657" s="22">
        <f t="shared" si="224"/>
        <v>2021</v>
      </c>
      <c r="V2657" s="22" t="str">
        <f t="shared" si="225"/>
        <v>REGIONES</v>
      </c>
    </row>
    <row r="2658" spans="1:22" x14ac:dyDescent="0.2">
      <c r="A2658" s="23" t="s">
        <v>3281</v>
      </c>
      <c r="B2658" s="22" t="s">
        <v>33</v>
      </c>
      <c r="C2658" s="22" t="s">
        <v>36</v>
      </c>
      <c r="D2658" s="22" t="s">
        <v>45</v>
      </c>
      <c r="E2658" s="24">
        <v>99626232</v>
      </c>
      <c r="F2658" s="22" t="s">
        <v>182</v>
      </c>
      <c r="G2658" s="25">
        <v>3438.8</v>
      </c>
      <c r="H2658" s="22" t="s">
        <v>22</v>
      </c>
      <c r="I2658" s="22">
        <v>0</v>
      </c>
      <c r="J2658" s="22" t="s">
        <v>182</v>
      </c>
      <c r="K2658" s="22" t="s">
        <v>23</v>
      </c>
      <c r="L2658" s="22">
        <v>4</v>
      </c>
      <c r="M2658" s="26">
        <v>55000</v>
      </c>
      <c r="N2658" s="26">
        <v>0</v>
      </c>
      <c r="O2658" s="15">
        <f t="shared" si="226"/>
        <v>55000</v>
      </c>
      <c r="P2658" s="15">
        <f t="shared" si="227"/>
        <v>15.993951378387809</v>
      </c>
      <c r="Q2658" s="25">
        <v>5000</v>
      </c>
      <c r="R2658" s="22">
        <v>69</v>
      </c>
      <c r="S2658" s="22" t="s">
        <v>3289</v>
      </c>
      <c r="T2658" s="22">
        <f t="shared" si="223"/>
        <v>7</v>
      </c>
      <c r="U2658" s="22">
        <f t="shared" si="224"/>
        <v>2021</v>
      </c>
      <c r="V2658" s="22" t="str">
        <f t="shared" si="225"/>
        <v>METROPOLITANA</v>
      </c>
    </row>
    <row r="2659" spans="1:22" x14ac:dyDescent="0.2">
      <c r="A2659" s="23" t="s">
        <v>3281</v>
      </c>
      <c r="B2659" s="22" t="s">
        <v>33</v>
      </c>
      <c r="C2659" s="22" t="s">
        <v>2698</v>
      </c>
      <c r="D2659" s="22" t="s">
        <v>37</v>
      </c>
      <c r="E2659" s="24">
        <v>154837728</v>
      </c>
      <c r="F2659" s="22" t="s">
        <v>34</v>
      </c>
      <c r="G2659" s="25">
        <v>8254.3999999999978</v>
      </c>
      <c r="H2659" s="22" t="s">
        <v>22</v>
      </c>
      <c r="I2659" s="22">
        <v>0</v>
      </c>
      <c r="J2659" s="22" t="s">
        <v>34</v>
      </c>
      <c r="K2659" s="22" t="s">
        <v>23</v>
      </c>
      <c r="L2659" s="22">
        <v>1</v>
      </c>
      <c r="M2659" s="26">
        <v>90798</v>
      </c>
      <c r="N2659" s="26">
        <v>0</v>
      </c>
      <c r="O2659" s="15">
        <f t="shared" si="226"/>
        <v>90798</v>
      </c>
      <c r="P2659" s="15">
        <f t="shared" si="227"/>
        <v>10.999951540996321</v>
      </c>
      <c r="Q2659" s="25">
        <v>5000</v>
      </c>
      <c r="R2659" s="22">
        <v>100</v>
      </c>
      <c r="S2659" s="22" t="s">
        <v>3290</v>
      </c>
      <c r="T2659" s="22">
        <f t="shared" si="223"/>
        <v>7</v>
      </c>
      <c r="U2659" s="22">
        <f t="shared" si="224"/>
        <v>2021</v>
      </c>
      <c r="V2659" s="22" t="str">
        <f t="shared" si="225"/>
        <v>METROPOLITANA</v>
      </c>
    </row>
    <row r="2660" spans="1:22" x14ac:dyDescent="0.2">
      <c r="A2660" s="23" t="s">
        <v>3281</v>
      </c>
      <c r="B2660" s="22" t="s">
        <v>33</v>
      </c>
      <c r="C2660" s="22" t="s">
        <v>44</v>
      </c>
      <c r="D2660" s="22" t="s">
        <v>2262</v>
      </c>
      <c r="E2660" s="24">
        <v>122975819</v>
      </c>
      <c r="F2660" s="22" t="s">
        <v>84</v>
      </c>
      <c r="G2660" s="25">
        <v>8811.7999999999975</v>
      </c>
      <c r="H2660" s="22" t="s">
        <v>24</v>
      </c>
      <c r="I2660" s="22">
        <v>1</v>
      </c>
      <c r="J2660" s="22" t="s">
        <v>84</v>
      </c>
      <c r="K2660" s="22" t="s">
        <v>86</v>
      </c>
      <c r="L2660" s="22">
        <v>0</v>
      </c>
      <c r="M2660" s="26">
        <v>320000</v>
      </c>
      <c r="N2660" s="26">
        <v>0</v>
      </c>
      <c r="O2660" s="15">
        <f t="shared" si="226"/>
        <v>320000</v>
      </c>
      <c r="P2660" s="15">
        <f t="shared" si="227"/>
        <v>36.31494132867293</v>
      </c>
      <c r="Q2660" s="25">
        <v>25000</v>
      </c>
      <c r="R2660" s="22">
        <v>55</v>
      </c>
      <c r="S2660" s="22" t="s">
        <v>3291</v>
      </c>
      <c r="T2660" s="22">
        <f t="shared" si="223"/>
        <v>7</v>
      </c>
      <c r="U2660" s="22">
        <f t="shared" si="224"/>
        <v>2021</v>
      </c>
      <c r="V2660" s="22" t="str">
        <f t="shared" si="225"/>
        <v>REGIONES</v>
      </c>
    </row>
    <row r="2661" spans="1:22" x14ac:dyDescent="0.2">
      <c r="A2661" s="23" t="s">
        <v>3281</v>
      </c>
      <c r="B2661" s="22" t="s">
        <v>33</v>
      </c>
      <c r="C2661" s="22" t="s">
        <v>44</v>
      </c>
      <c r="D2661" s="22" t="s">
        <v>38</v>
      </c>
      <c r="E2661" s="24">
        <v>53173292</v>
      </c>
      <c r="F2661" s="22" t="s">
        <v>95</v>
      </c>
      <c r="G2661" s="25">
        <v>4169.6000000000004</v>
      </c>
      <c r="H2661" s="22" t="s">
        <v>43</v>
      </c>
      <c r="I2661" s="22">
        <v>0</v>
      </c>
      <c r="J2661" s="22" t="s">
        <v>95</v>
      </c>
      <c r="K2661" s="22" t="s">
        <v>23</v>
      </c>
      <c r="L2661" s="22">
        <v>4</v>
      </c>
      <c r="M2661" s="26">
        <v>55000</v>
      </c>
      <c r="N2661" s="26">
        <v>0</v>
      </c>
      <c r="O2661" s="15">
        <f t="shared" si="226"/>
        <v>55000</v>
      </c>
      <c r="P2661" s="15">
        <f t="shared" si="227"/>
        <v>13.190713737528778</v>
      </c>
      <c r="Q2661" s="25">
        <v>5000</v>
      </c>
      <c r="R2661" s="22">
        <v>83</v>
      </c>
      <c r="S2661" s="22" t="s">
        <v>3292</v>
      </c>
      <c r="T2661" s="22">
        <f t="shared" si="223"/>
        <v>7</v>
      </c>
      <c r="U2661" s="22">
        <f t="shared" si="224"/>
        <v>2021</v>
      </c>
      <c r="V2661" s="22" t="str">
        <f t="shared" si="225"/>
        <v>METROPOLITANA</v>
      </c>
    </row>
    <row r="2662" spans="1:22" x14ac:dyDescent="0.2">
      <c r="A2662" s="23" t="s">
        <v>3281</v>
      </c>
      <c r="B2662" s="22" t="s">
        <v>33</v>
      </c>
      <c r="C2662" s="22" t="s">
        <v>44</v>
      </c>
      <c r="D2662" s="22" t="s">
        <v>47</v>
      </c>
      <c r="E2662" s="24">
        <v>154837728</v>
      </c>
      <c r="F2662" s="22" t="s">
        <v>48</v>
      </c>
      <c r="G2662" s="25">
        <v>6522.6999999999989</v>
      </c>
      <c r="H2662" s="22" t="s">
        <v>22</v>
      </c>
      <c r="I2662" s="22">
        <v>0</v>
      </c>
      <c r="J2662" s="22" t="s">
        <v>48</v>
      </c>
      <c r="K2662" s="22" t="s">
        <v>23</v>
      </c>
      <c r="L2662" s="22">
        <v>1</v>
      </c>
      <c r="M2662" s="26">
        <v>71750</v>
      </c>
      <c r="N2662" s="26">
        <v>0</v>
      </c>
      <c r="O2662" s="15">
        <f t="shared" si="226"/>
        <v>71750</v>
      </c>
      <c r="P2662" s="15">
        <f t="shared" si="227"/>
        <v>11.000045993223667</v>
      </c>
      <c r="Q2662" s="25">
        <v>5000</v>
      </c>
      <c r="R2662" s="22">
        <v>100</v>
      </c>
      <c r="S2662" s="22" t="s">
        <v>3293</v>
      </c>
      <c r="T2662" s="22">
        <f t="shared" si="223"/>
        <v>7</v>
      </c>
      <c r="U2662" s="22">
        <f t="shared" si="224"/>
        <v>2021</v>
      </c>
      <c r="V2662" s="22" t="str">
        <f t="shared" si="225"/>
        <v>METROPOLITANA</v>
      </c>
    </row>
    <row r="2663" spans="1:22" x14ac:dyDescent="0.2">
      <c r="A2663" s="11" t="s">
        <v>3295</v>
      </c>
      <c r="B2663" s="12" t="s">
        <v>18</v>
      </c>
      <c r="C2663" s="12" t="s">
        <v>457</v>
      </c>
      <c r="D2663" s="12" t="s">
        <v>3296</v>
      </c>
      <c r="E2663" s="13">
        <v>98494073</v>
      </c>
      <c r="F2663" s="12" t="s">
        <v>815</v>
      </c>
      <c r="G2663" s="14">
        <v>9356.35</v>
      </c>
      <c r="H2663" s="12" t="s">
        <v>24</v>
      </c>
      <c r="I2663" s="12">
        <v>1</v>
      </c>
      <c r="J2663" s="12" t="s">
        <v>815</v>
      </c>
      <c r="K2663" s="12" t="s">
        <v>75</v>
      </c>
      <c r="L2663" s="12">
        <v>0</v>
      </c>
      <c r="M2663" s="15">
        <v>420000</v>
      </c>
      <c r="N2663" s="15">
        <v>0</v>
      </c>
      <c r="O2663" s="15">
        <f t="shared" si="226"/>
        <v>420000</v>
      </c>
      <c r="P2663" s="15">
        <f t="shared" si="227"/>
        <v>44.889299780363068</v>
      </c>
      <c r="Q2663" s="14">
        <v>25000</v>
      </c>
      <c r="R2663" s="12">
        <v>45</v>
      </c>
      <c r="S2663" s="12" t="s">
        <v>3297</v>
      </c>
      <c r="T2663" s="22">
        <f t="shared" si="223"/>
        <v>7</v>
      </c>
      <c r="U2663" s="22">
        <f t="shared" si="224"/>
        <v>2021</v>
      </c>
      <c r="V2663" s="22" t="str">
        <f t="shared" si="225"/>
        <v>REGIONES</v>
      </c>
    </row>
    <row r="2664" spans="1:22" x14ac:dyDescent="0.2">
      <c r="A2664" s="11" t="s">
        <v>3295</v>
      </c>
      <c r="B2664" s="12" t="s">
        <v>18</v>
      </c>
      <c r="C2664" s="12" t="s">
        <v>457</v>
      </c>
      <c r="D2664" s="12" t="s">
        <v>61</v>
      </c>
      <c r="E2664" s="13">
        <v>115812335</v>
      </c>
      <c r="F2664" s="12" t="s">
        <v>3223</v>
      </c>
      <c r="G2664" s="14">
        <v>22978.62000000001</v>
      </c>
      <c r="H2664" s="12" t="s">
        <v>85</v>
      </c>
      <c r="I2664" s="12">
        <v>1</v>
      </c>
      <c r="J2664" s="12" t="s">
        <v>3223</v>
      </c>
      <c r="K2664" s="12" t="s">
        <v>75</v>
      </c>
      <c r="L2664" s="12">
        <v>0</v>
      </c>
      <c r="M2664" s="15">
        <v>420000</v>
      </c>
      <c r="N2664" s="15">
        <v>0</v>
      </c>
      <c r="O2664" s="15">
        <f t="shared" si="226"/>
        <v>420000</v>
      </c>
      <c r="P2664" s="15">
        <f t="shared" si="227"/>
        <v>18.277860028147895</v>
      </c>
      <c r="Q2664" s="14">
        <v>25000</v>
      </c>
      <c r="R2664" s="12">
        <v>92</v>
      </c>
      <c r="S2664" s="12" t="s">
        <v>3298</v>
      </c>
      <c r="T2664" s="22">
        <f t="shared" si="223"/>
        <v>7</v>
      </c>
      <c r="U2664" s="22">
        <f t="shared" si="224"/>
        <v>2021</v>
      </c>
      <c r="V2664" s="22" t="str">
        <f t="shared" si="225"/>
        <v>REGIONES</v>
      </c>
    </row>
    <row r="2665" spans="1:22" x14ac:dyDescent="0.2">
      <c r="A2665" s="11" t="s">
        <v>3295</v>
      </c>
      <c r="B2665" s="12" t="s">
        <v>18</v>
      </c>
      <c r="C2665" s="12" t="s">
        <v>457</v>
      </c>
      <c r="D2665" s="12" t="s">
        <v>786</v>
      </c>
      <c r="E2665" s="13">
        <v>95707734</v>
      </c>
      <c r="F2665" s="12" t="s">
        <v>3223</v>
      </c>
      <c r="G2665" s="14">
        <v>25687.64</v>
      </c>
      <c r="H2665" s="12" t="s">
        <v>788</v>
      </c>
      <c r="I2665" s="12">
        <v>1</v>
      </c>
      <c r="J2665" s="12" t="s">
        <v>3223</v>
      </c>
      <c r="K2665" s="12" t="s">
        <v>75</v>
      </c>
      <c r="L2665" s="12">
        <v>0</v>
      </c>
      <c r="M2665" s="15">
        <v>420000</v>
      </c>
      <c r="N2665" s="15">
        <v>0</v>
      </c>
      <c r="O2665" s="15">
        <f t="shared" si="226"/>
        <v>420000</v>
      </c>
      <c r="P2665" s="15">
        <f t="shared" si="227"/>
        <v>16.350275852511171</v>
      </c>
      <c r="Q2665" s="14">
        <v>25000</v>
      </c>
      <c r="R2665" s="12">
        <v>100</v>
      </c>
      <c r="S2665" s="12" t="s">
        <v>3299</v>
      </c>
      <c r="T2665" s="22">
        <f t="shared" si="223"/>
        <v>7</v>
      </c>
      <c r="U2665" s="22">
        <f t="shared" si="224"/>
        <v>2021</v>
      </c>
      <c r="V2665" s="22" t="str">
        <f t="shared" si="225"/>
        <v>REGIONES</v>
      </c>
    </row>
    <row r="2666" spans="1:22" x14ac:dyDescent="0.2">
      <c r="A2666" s="11" t="s">
        <v>3295</v>
      </c>
      <c r="B2666" s="12" t="s">
        <v>18</v>
      </c>
      <c r="C2666" s="12" t="s">
        <v>87</v>
      </c>
      <c r="D2666" s="12" t="s">
        <v>38</v>
      </c>
      <c r="E2666" s="13">
        <v>125108660</v>
      </c>
      <c r="F2666" s="12" t="s">
        <v>51</v>
      </c>
      <c r="G2666" s="14">
        <v>2994.6</v>
      </c>
      <c r="H2666" s="12" t="s">
        <v>43</v>
      </c>
      <c r="I2666" s="12">
        <v>0</v>
      </c>
      <c r="J2666" s="12" t="s">
        <v>51</v>
      </c>
      <c r="K2666" s="12" t="s">
        <v>23</v>
      </c>
      <c r="L2666" s="12">
        <v>4</v>
      </c>
      <c r="M2666" s="15">
        <v>55000</v>
      </c>
      <c r="N2666" s="15">
        <v>0</v>
      </c>
      <c r="O2666" s="15">
        <f t="shared" si="226"/>
        <v>55000</v>
      </c>
      <c r="P2666" s="15">
        <f t="shared" si="227"/>
        <v>18.366392840446135</v>
      </c>
      <c r="Q2666" s="14">
        <v>5000</v>
      </c>
      <c r="R2666" s="12">
        <v>60</v>
      </c>
      <c r="S2666" s="12" t="s">
        <v>3300</v>
      </c>
      <c r="T2666" s="22">
        <f t="shared" si="223"/>
        <v>7</v>
      </c>
      <c r="U2666" s="22">
        <f t="shared" si="224"/>
        <v>2021</v>
      </c>
      <c r="V2666" s="22" t="str">
        <f t="shared" si="225"/>
        <v>METROPOLITANA</v>
      </c>
    </row>
    <row r="2667" spans="1:22" x14ac:dyDescent="0.2">
      <c r="A2667" s="11" t="s">
        <v>3295</v>
      </c>
      <c r="B2667" s="12" t="s">
        <v>33</v>
      </c>
      <c r="C2667" s="12" t="s">
        <v>270</v>
      </c>
      <c r="D2667" s="12" t="s">
        <v>164</v>
      </c>
      <c r="E2667" s="13">
        <v>81417709</v>
      </c>
      <c r="F2667" s="12" t="s">
        <v>120</v>
      </c>
      <c r="G2667" s="14">
        <v>18161.599999999999</v>
      </c>
      <c r="H2667" s="12" t="s">
        <v>22</v>
      </c>
      <c r="I2667" s="12">
        <v>1</v>
      </c>
      <c r="J2667" s="12" t="s">
        <v>120</v>
      </c>
      <c r="K2667" s="12" t="s">
        <v>23</v>
      </c>
      <c r="L2667" s="12">
        <v>5</v>
      </c>
      <c r="M2667" s="15">
        <v>120000</v>
      </c>
      <c r="N2667" s="15">
        <v>0</v>
      </c>
      <c r="O2667" s="15">
        <f>G2667*11</f>
        <v>199777.59999999998</v>
      </c>
      <c r="P2667" s="15">
        <f t="shared" si="227"/>
        <v>11</v>
      </c>
      <c r="Q2667" s="14">
        <v>10000</v>
      </c>
      <c r="R2667" s="12">
        <v>100</v>
      </c>
      <c r="S2667" s="12" t="s">
        <v>3301</v>
      </c>
      <c r="T2667" s="22">
        <f t="shared" si="223"/>
        <v>7</v>
      </c>
      <c r="U2667" s="22">
        <f t="shared" si="224"/>
        <v>2021</v>
      </c>
      <c r="V2667" s="22" t="str">
        <f t="shared" si="225"/>
        <v>METROPOLITANA</v>
      </c>
    </row>
    <row r="2668" spans="1:22" x14ac:dyDescent="0.2">
      <c r="A2668" s="11" t="s">
        <v>3295</v>
      </c>
      <c r="B2668" s="12" t="s">
        <v>33</v>
      </c>
      <c r="C2668" s="12" t="s">
        <v>29</v>
      </c>
      <c r="D2668" s="12" t="s">
        <v>38</v>
      </c>
      <c r="E2668" s="13">
        <v>53173292</v>
      </c>
      <c r="F2668" s="12" t="s">
        <v>134</v>
      </c>
      <c r="G2668" s="14">
        <v>6901.2000000000016</v>
      </c>
      <c r="H2668" s="12" t="s">
        <v>43</v>
      </c>
      <c r="I2668" s="12">
        <v>0</v>
      </c>
      <c r="J2668" s="12" t="s">
        <v>134</v>
      </c>
      <c r="K2668" s="12" t="s">
        <v>23</v>
      </c>
      <c r="L2668" s="12">
        <v>2</v>
      </c>
      <c r="M2668" s="15">
        <v>75913</v>
      </c>
      <c r="N2668" s="15">
        <v>0</v>
      </c>
      <c r="O2668" s="15">
        <f t="shared" ref="O2668:O2674" si="228">SUM(M2668:N2668)</f>
        <v>75913</v>
      </c>
      <c r="P2668" s="15">
        <f t="shared" si="227"/>
        <v>10.999971019532833</v>
      </c>
      <c r="Q2668" s="14">
        <v>5000</v>
      </c>
      <c r="R2668" s="12">
        <v>100</v>
      </c>
      <c r="S2668" s="12" t="s">
        <v>3302</v>
      </c>
      <c r="T2668" s="22">
        <f t="shared" si="223"/>
        <v>7</v>
      </c>
      <c r="U2668" s="22">
        <f t="shared" si="224"/>
        <v>2021</v>
      </c>
      <c r="V2668" s="22" t="str">
        <f t="shared" si="225"/>
        <v>METROPOLITANA</v>
      </c>
    </row>
    <row r="2669" spans="1:22" x14ac:dyDescent="0.2">
      <c r="A2669" s="11" t="s">
        <v>3295</v>
      </c>
      <c r="B2669" s="12" t="s">
        <v>33</v>
      </c>
      <c r="C2669" s="12" t="s">
        <v>29</v>
      </c>
      <c r="D2669" s="12" t="s">
        <v>63</v>
      </c>
      <c r="E2669" s="13">
        <v>138841065</v>
      </c>
      <c r="F2669" s="12" t="s">
        <v>134</v>
      </c>
      <c r="G2669" s="14">
        <f>2592.4+1326</f>
        <v>3918.4</v>
      </c>
      <c r="H2669" s="12" t="s">
        <v>65</v>
      </c>
      <c r="I2669" s="12">
        <v>0</v>
      </c>
      <c r="J2669" s="12" t="s">
        <v>134</v>
      </c>
      <c r="K2669" s="12" t="s">
        <v>23</v>
      </c>
      <c r="L2669" s="12">
        <v>2</v>
      </c>
      <c r="M2669" s="15">
        <v>55000</v>
      </c>
      <c r="N2669" s="15">
        <v>0</v>
      </c>
      <c r="O2669" s="15">
        <f t="shared" si="228"/>
        <v>55000</v>
      </c>
      <c r="P2669" s="15">
        <f t="shared" si="227"/>
        <v>14.036341363821968</v>
      </c>
      <c r="Q2669" s="14">
        <v>5000</v>
      </c>
      <c r="R2669" s="12">
        <v>65</v>
      </c>
      <c r="S2669" s="12" t="s">
        <v>3307</v>
      </c>
      <c r="T2669" s="22">
        <f t="shared" si="223"/>
        <v>7</v>
      </c>
      <c r="U2669" s="22">
        <f t="shared" si="224"/>
        <v>2021</v>
      </c>
      <c r="V2669" s="22" t="str">
        <f t="shared" si="225"/>
        <v>METROPOLITANA</v>
      </c>
    </row>
    <row r="2670" spans="1:22" x14ac:dyDescent="0.2">
      <c r="A2670" s="11" t="s">
        <v>3295</v>
      </c>
      <c r="B2670" s="12" t="s">
        <v>33</v>
      </c>
      <c r="C2670" s="12" t="s">
        <v>29</v>
      </c>
      <c r="D2670" s="12" t="s">
        <v>30</v>
      </c>
      <c r="E2670" s="13">
        <v>72564391</v>
      </c>
      <c r="F2670" s="12" t="s">
        <v>134</v>
      </c>
      <c r="G2670" s="14">
        <v>4809.6000000000013</v>
      </c>
      <c r="H2670" s="12" t="s">
        <v>32</v>
      </c>
      <c r="I2670" s="12">
        <v>0</v>
      </c>
      <c r="J2670" s="12" t="s">
        <v>134</v>
      </c>
      <c r="K2670" s="12" t="s">
        <v>23</v>
      </c>
      <c r="L2670" s="12">
        <v>2</v>
      </c>
      <c r="M2670" s="15">
        <v>55000</v>
      </c>
      <c r="N2670" s="15">
        <v>0</v>
      </c>
      <c r="O2670" s="15">
        <f t="shared" si="228"/>
        <v>55000</v>
      </c>
      <c r="P2670" s="15">
        <f t="shared" si="227"/>
        <v>11.435462408516297</v>
      </c>
      <c r="Q2670" s="14">
        <v>5000</v>
      </c>
      <c r="R2670" s="12">
        <v>96</v>
      </c>
      <c r="S2670" s="12" t="s">
        <v>3303</v>
      </c>
      <c r="T2670" s="22">
        <f t="shared" si="223"/>
        <v>7</v>
      </c>
      <c r="U2670" s="22">
        <f t="shared" si="224"/>
        <v>2021</v>
      </c>
      <c r="V2670" s="22" t="str">
        <f t="shared" si="225"/>
        <v>METROPOLITANA</v>
      </c>
    </row>
    <row r="2671" spans="1:22" x14ac:dyDescent="0.2">
      <c r="A2671" s="11" t="s">
        <v>3295</v>
      </c>
      <c r="B2671" s="12" t="s">
        <v>33</v>
      </c>
      <c r="C2671" s="12" t="s">
        <v>29</v>
      </c>
      <c r="D2671" s="12" t="s">
        <v>20</v>
      </c>
      <c r="E2671" s="13">
        <v>78907355</v>
      </c>
      <c r="F2671" s="12" t="s">
        <v>134</v>
      </c>
      <c r="G2671" s="14">
        <v>6759.06</v>
      </c>
      <c r="H2671" s="12" t="s">
        <v>22</v>
      </c>
      <c r="I2671" s="12">
        <v>0</v>
      </c>
      <c r="J2671" s="12" t="s">
        <v>134</v>
      </c>
      <c r="K2671" s="12" t="s">
        <v>23</v>
      </c>
      <c r="L2671" s="12">
        <v>2</v>
      </c>
      <c r="M2671" s="15">
        <v>74350</v>
      </c>
      <c r="N2671" s="15">
        <v>0</v>
      </c>
      <c r="O2671" s="15">
        <f t="shared" si="228"/>
        <v>74350</v>
      </c>
      <c r="P2671" s="15">
        <f t="shared" si="227"/>
        <v>11.000050302852763</v>
      </c>
      <c r="Q2671" s="14">
        <v>5000</v>
      </c>
      <c r="R2671" s="12">
        <v>100</v>
      </c>
      <c r="S2671" s="12" t="s">
        <v>3304</v>
      </c>
      <c r="T2671" s="22">
        <f t="shared" si="223"/>
        <v>7</v>
      </c>
      <c r="U2671" s="22">
        <f t="shared" si="224"/>
        <v>2021</v>
      </c>
      <c r="V2671" s="22" t="str">
        <f t="shared" si="225"/>
        <v>METROPOLITANA</v>
      </c>
    </row>
    <row r="2672" spans="1:22" x14ac:dyDescent="0.2">
      <c r="A2672" s="11" t="s">
        <v>3295</v>
      </c>
      <c r="B2672" s="12" t="s">
        <v>33</v>
      </c>
      <c r="C2672" s="12" t="s">
        <v>44</v>
      </c>
      <c r="D2672" s="12" t="s">
        <v>37</v>
      </c>
      <c r="E2672" s="13">
        <v>154837728</v>
      </c>
      <c r="F2672" s="12" t="s">
        <v>48</v>
      </c>
      <c r="G2672" s="14">
        <v>3495.3000000000011</v>
      </c>
      <c r="H2672" s="12" t="s">
        <v>22</v>
      </c>
      <c r="I2672" s="12">
        <v>0</v>
      </c>
      <c r="J2672" s="12" t="s">
        <v>48</v>
      </c>
      <c r="K2672" s="12" t="s">
        <v>23</v>
      </c>
      <c r="L2672" s="12">
        <v>1</v>
      </c>
      <c r="M2672" s="15">
        <v>55000</v>
      </c>
      <c r="N2672" s="15">
        <v>0</v>
      </c>
      <c r="O2672" s="15">
        <f t="shared" si="228"/>
        <v>55000</v>
      </c>
      <c r="P2672" s="15">
        <f t="shared" si="227"/>
        <v>15.735416130232021</v>
      </c>
      <c r="Q2672" s="14">
        <v>5000</v>
      </c>
      <c r="R2672" s="12">
        <v>70</v>
      </c>
      <c r="S2672" s="12" t="s">
        <v>3305</v>
      </c>
      <c r="T2672" s="22">
        <f t="shared" si="223"/>
        <v>7</v>
      </c>
      <c r="U2672" s="22">
        <f t="shared" si="224"/>
        <v>2021</v>
      </c>
      <c r="V2672" s="22" t="str">
        <f t="shared" si="225"/>
        <v>METROPOLITANA</v>
      </c>
    </row>
    <row r="2673" spans="1:22" x14ac:dyDescent="0.2">
      <c r="A2673" s="11" t="s">
        <v>3295</v>
      </c>
      <c r="B2673" s="12" t="s">
        <v>33</v>
      </c>
      <c r="C2673" s="12" t="s">
        <v>44</v>
      </c>
      <c r="D2673" s="12" t="s">
        <v>47</v>
      </c>
      <c r="E2673" s="13">
        <v>81417709</v>
      </c>
      <c r="F2673" s="12" t="s">
        <v>134</v>
      </c>
      <c r="G2673" s="14">
        <v>4966.4000000000005</v>
      </c>
      <c r="H2673" s="12" t="s">
        <v>22</v>
      </c>
      <c r="I2673" s="12">
        <v>0</v>
      </c>
      <c r="J2673" s="12" t="s">
        <v>134</v>
      </c>
      <c r="K2673" s="12" t="s">
        <v>23</v>
      </c>
      <c r="L2673" s="12">
        <v>2</v>
      </c>
      <c r="M2673" s="15">
        <v>55000</v>
      </c>
      <c r="N2673" s="15">
        <v>0</v>
      </c>
      <c r="O2673" s="15">
        <f t="shared" si="228"/>
        <v>55000</v>
      </c>
      <c r="P2673" s="15">
        <f t="shared" si="227"/>
        <v>11.074420103092782</v>
      </c>
      <c r="Q2673" s="14">
        <v>5000</v>
      </c>
      <c r="R2673" s="12">
        <v>99</v>
      </c>
      <c r="S2673" s="12" t="s">
        <v>3306</v>
      </c>
      <c r="T2673" s="22">
        <f t="shared" si="223"/>
        <v>7</v>
      </c>
      <c r="U2673" s="22">
        <f t="shared" si="224"/>
        <v>2021</v>
      </c>
      <c r="V2673" s="22" t="str">
        <f t="shared" si="225"/>
        <v>METROPOLITANA</v>
      </c>
    </row>
    <row r="2674" spans="1:22" x14ac:dyDescent="0.2">
      <c r="A2674" s="23" t="s">
        <v>3308</v>
      </c>
      <c r="B2674" s="22" t="s">
        <v>18</v>
      </c>
      <c r="C2674" s="22" t="s">
        <v>457</v>
      </c>
      <c r="D2674" s="22" t="s">
        <v>2825</v>
      </c>
      <c r="E2674" s="24">
        <v>133693568</v>
      </c>
      <c r="F2674" s="22" t="s">
        <v>3223</v>
      </c>
      <c r="G2674" s="25">
        <v>26300.51</v>
      </c>
      <c r="H2674" s="22" t="s">
        <v>24</v>
      </c>
      <c r="I2674" s="22">
        <v>1</v>
      </c>
      <c r="J2674" s="22" t="s">
        <v>3223</v>
      </c>
      <c r="K2674" s="22" t="s">
        <v>75</v>
      </c>
      <c r="L2674" s="22">
        <v>0</v>
      </c>
      <c r="M2674" s="26">
        <v>420000</v>
      </c>
      <c r="N2674" s="26">
        <v>0</v>
      </c>
      <c r="O2674" s="15">
        <f t="shared" si="228"/>
        <v>420000</v>
      </c>
      <c r="P2674" s="15">
        <f t="shared" si="227"/>
        <v>15.969272078754367</v>
      </c>
      <c r="Q2674" s="25">
        <v>25000</v>
      </c>
      <c r="R2674" s="22">
        <v>100</v>
      </c>
      <c r="S2674" s="22" t="s">
        <v>3309</v>
      </c>
      <c r="T2674" s="22">
        <f t="shared" si="223"/>
        <v>7</v>
      </c>
      <c r="U2674" s="22">
        <f t="shared" si="224"/>
        <v>2021</v>
      </c>
      <c r="V2674" s="22" t="str">
        <f t="shared" si="225"/>
        <v>REGIONES</v>
      </c>
    </row>
    <row r="2675" spans="1:22" x14ac:dyDescent="0.2">
      <c r="A2675" s="23" t="s">
        <v>3308</v>
      </c>
      <c r="B2675" s="22" t="s">
        <v>33</v>
      </c>
      <c r="C2675" s="22" t="s">
        <v>128</v>
      </c>
      <c r="D2675" s="22" t="s">
        <v>38</v>
      </c>
      <c r="E2675" s="24">
        <v>553173294</v>
      </c>
      <c r="F2675" s="22" t="s">
        <v>34</v>
      </c>
      <c r="G2675" s="25">
        <v>2748</v>
      </c>
      <c r="H2675" s="22" t="s">
        <v>43</v>
      </c>
      <c r="I2675" s="22">
        <v>0</v>
      </c>
      <c r="J2675" s="22" t="s">
        <v>34</v>
      </c>
      <c r="K2675" s="22" t="s">
        <v>23</v>
      </c>
      <c r="L2675" s="22">
        <v>1</v>
      </c>
      <c r="M2675" s="26">
        <v>55000</v>
      </c>
      <c r="N2675" s="26">
        <v>0</v>
      </c>
      <c r="O2675" s="15">
        <f>G2675*13</f>
        <v>35724</v>
      </c>
      <c r="P2675" s="15">
        <f t="shared" si="227"/>
        <v>13</v>
      </c>
      <c r="Q2675" s="25">
        <v>5000</v>
      </c>
      <c r="R2675" s="22">
        <v>75</v>
      </c>
      <c r="S2675" s="22" t="s">
        <v>3310</v>
      </c>
      <c r="T2675" s="22">
        <f t="shared" si="223"/>
        <v>7</v>
      </c>
      <c r="U2675" s="22">
        <f t="shared" si="224"/>
        <v>2021</v>
      </c>
      <c r="V2675" s="22" t="str">
        <f t="shared" si="225"/>
        <v>METROPOLITANA</v>
      </c>
    </row>
    <row r="2676" spans="1:22" x14ac:dyDescent="0.2">
      <c r="A2676" s="23" t="s">
        <v>3308</v>
      </c>
      <c r="B2676" s="22" t="s">
        <v>33</v>
      </c>
      <c r="C2676" s="22" t="s">
        <v>128</v>
      </c>
      <c r="D2676" s="22" t="s">
        <v>37</v>
      </c>
      <c r="E2676" s="24">
        <v>154837728</v>
      </c>
      <c r="F2676" s="22" t="s">
        <v>34</v>
      </c>
      <c r="G2676" s="25">
        <v>2748</v>
      </c>
      <c r="H2676" s="22" t="s">
        <v>22</v>
      </c>
      <c r="I2676" s="22">
        <v>0</v>
      </c>
      <c r="J2676" s="22" t="s">
        <v>34</v>
      </c>
      <c r="K2676" s="22" t="s">
        <v>23</v>
      </c>
      <c r="L2676" s="22">
        <v>1</v>
      </c>
      <c r="M2676" s="26">
        <v>55000</v>
      </c>
      <c r="N2676" s="26">
        <v>0</v>
      </c>
      <c r="O2676" s="15">
        <f>G2676*13</f>
        <v>35724</v>
      </c>
      <c r="P2676" s="15">
        <f t="shared" si="227"/>
        <v>13</v>
      </c>
      <c r="Q2676" s="25">
        <v>5000</v>
      </c>
      <c r="R2676" s="22">
        <v>75</v>
      </c>
      <c r="S2676" s="22" t="s">
        <v>3311</v>
      </c>
      <c r="T2676" s="22">
        <f t="shared" si="223"/>
        <v>7</v>
      </c>
      <c r="U2676" s="22">
        <f t="shared" si="224"/>
        <v>2021</v>
      </c>
      <c r="V2676" s="22" t="str">
        <f t="shared" si="225"/>
        <v>METROPOLITANA</v>
      </c>
    </row>
    <row r="2677" spans="1:22" x14ac:dyDescent="0.2">
      <c r="A2677" s="23" t="s">
        <v>3308</v>
      </c>
      <c r="B2677" s="22" t="s">
        <v>33</v>
      </c>
      <c r="C2677" s="22" t="s">
        <v>128</v>
      </c>
      <c r="D2677" s="22" t="s">
        <v>41</v>
      </c>
      <c r="E2677" s="24">
        <v>125108660</v>
      </c>
      <c r="F2677" s="22" t="s">
        <v>34</v>
      </c>
      <c r="G2677" s="25">
        <v>2748</v>
      </c>
      <c r="H2677" s="22" t="s">
        <v>43</v>
      </c>
      <c r="I2677" s="22">
        <v>0</v>
      </c>
      <c r="J2677" s="22" t="s">
        <v>34</v>
      </c>
      <c r="K2677" s="22" t="s">
        <v>23</v>
      </c>
      <c r="L2677" s="22">
        <v>1</v>
      </c>
      <c r="M2677" s="26">
        <v>55000</v>
      </c>
      <c r="N2677" s="26">
        <v>0</v>
      </c>
      <c r="O2677" s="15">
        <f>G2677*13</f>
        <v>35724</v>
      </c>
      <c r="P2677" s="15">
        <f t="shared" si="227"/>
        <v>13</v>
      </c>
      <c r="Q2677" s="25">
        <v>5000</v>
      </c>
      <c r="R2677" s="22">
        <v>75</v>
      </c>
      <c r="S2677" s="22" t="s">
        <v>3312</v>
      </c>
      <c r="T2677" s="22">
        <f t="shared" si="223"/>
        <v>7</v>
      </c>
      <c r="U2677" s="22">
        <f t="shared" si="224"/>
        <v>2021</v>
      </c>
      <c r="V2677" s="22" t="str">
        <f t="shared" si="225"/>
        <v>METROPOLITANA</v>
      </c>
    </row>
    <row r="2678" spans="1:22" x14ac:dyDescent="0.2">
      <c r="A2678" s="23" t="s">
        <v>3308</v>
      </c>
      <c r="B2678" s="22" t="s">
        <v>33</v>
      </c>
      <c r="C2678" s="22" t="s">
        <v>29</v>
      </c>
      <c r="D2678" s="22" t="s">
        <v>2262</v>
      </c>
      <c r="E2678" s="24">
        <v>122975819</v>
      </c>
      <c r="F2678" s="22" t="s">
        <v>132</v>
      </c>
      <c r="G2678" s="25">
        <v>12487.5</v>
      </c>
      <c r="H2678" s="22" t="s">
        <v>24</v>
      </c>
      <c r="I2678" s="22">
        <v>1</v>
      </c>
      <c r="J2678" s="22" t="s">
        <v>132</v>
      </c>
      <c r="K2678" s="22" t="s">
        <v>124</v>
      </c>
      <c r="L2678" s="22">
        <v>0</v>
      </c>
      <c r="M2678" s="26">
        <v>350000</v>
      </c>
      <c r="N2678" s="26">
        <v>0</v>
      </c>
      <c r="O2678" s="15">
        <f t="shared" ref="O2678:O2709" si="229">SUM(M2678:N2678)</f>
        <v>350000</v>
      </c>
      <c r="P2678" s="15">
        <f t="shared" si="227"/>
        <v>28.028028028028029</v>
      </c>
      <c r="Q2678" s="25">
        <v>25000</v>
      </c>
      <c r="R2678" s="22">
        <v>50</v>
      </c>
      <c r="S2678" s="22" t="s">
        <v>3313</v>
      </c>
      <c r="T2678" s="22">
        <f t="shared" si="223"/>
        <v>7</v>
      </c>
      <c r="U2678" s="22">
        <f t="shared" si="224"/>
        <v>2021</v>
      </c>
      <c r="V2678" s="22" t="str">
        <f t="shared" si="225"/>
        <v>REGIONES</v>
      </c>
    </row>
    <row r="2679" spans="1:22" x14ac:dyDescent="0.2">
      <c r="A2679" s="23" t="s">
        <v>3308</v>
      </c>
      <c r="B2679" s="22" t="s">
        <v>33</v>
      </c>
      <c r="C2679" s="22" t="s">
        <v>29</v>
      </c>
      <c r="D2679" s="22" t="s">
        <v>63</v>
      </c>
      <c r="E2679" s="24">
        <v>138841065</v>
      </c>
      <c r="F2679" s="22" t="s">
        <v>129</v>
      </c>
      <c r="G2679" s="25">
        <v>4225.7999999999984</v>
      </c>
      <c r="H2679" s="22" t="s">
        <v>65</v>
      </c>
      <c r="I2679" s="22">
        <v>0</v>
      </c>
      <c r="J2679" s="22" t="s">
        <v>129</v>
      </c>
      <c r="K2679" s="22" t="s">
        <v>23</v>
      </c>
      <c r="L2679" s="22">
        <v>1</v>
      </c>
      <c r="M2679" s="26">
        <v>55000</v>
      </c>
      <c r="N2679" s="26">
        <v>0</v>
      </c>
      <c r="O2679" s="15">
        <f t="shared" si="229"/>
        <v>55000</v>
      </c>
      <c r="P2679" s="15">
        <f t="shared" si="227"/>
        <v>13.01528704623977</v>
      </c>
      <c r="Q2679" s="25">
        <v>5000</v>
      </c>
      <c r="R2679" s="22">
        <v>85</v>
      </c>
      <c r="S2679" s="22" t="s">
        <v>3314</v>
      </c>
      <c r="T2679" s="22">
        <f t="shared" si="223"/>
        <v>7</v>
      </c>
      <c r="U2679" s="22">
        <f t="shared" si="224"/>
        <v>2021</v>
      </c>
      <c r="V2679" s="22" t="str">
        <f t="shared" si="225"/>
        <v>METROPOLITANA</v>
      </c>
    </row>
    <row r="2680" spans="1:22" x14ac:dyDescent="0.2">
      <c r="A2680" s="23" t="s">
        <v>3308</v>
      </c>
      <c r="B2680" s="22" t="s">
        <v>33</v>
      </c>
      <c r="C2680" s="22" t="s">
        <v>29</v>
      </c>
      <c r="D2680" s="22" t="s">
        <v>41</v>
      </c>
      <c r="E2680" s="24">
        <v>53173292</v>
      </c>
      <c r="F2680" s="22" t="s">
        <v>129</v>
      </c>
      <c r="G2680" s="25">
        <v>4204.8</v>
      </c>
      <c r="H2680" s="22" t="s">
        <v>43</v>
      </c>
      <c r="I2680" s="22">
        <v>0</v>
      </c>
      <c r="J2680" s="22" t="s">
        <v>129</v>
      </c>
      <c r="K2680" s="22" t="s">
        <v>23</v>
      </c>
      <c r="L2680" s="22">
        <v>1</v>
      </c>
      <c r="M2680" s="26">
        <v>55000</v>
      </c>
      <c r="N2680" s="26">
        <v>0</v>
      </c>
      <c r="O2680" s="15">
        <f t="shared" si="229"/>
        <v>55000</v>
      </c>
      <c r="P2680" s="15">
        <f t="shared" si="227"/>
        <v>13.080289193302891</v>
      </c>
      <c r="Q2680" s="25">
        <v>5000</v>
      </c>
      <c r="R2680" s="22">
        <v>84</v>
      </c>
      <c r="S2680" s="22" t="s">
        <v>3315</v>
      </c>
      <c r="T2680" s="22">
        <f t="shared" si="223"/>
        <v>7</v>
      </c>
      <c r="U2680" s="22">
        <f t="shared" si="224"/>
        <v>2021</v>
      </c>
      <c r="V2680" s="22" t="str">
        <f t="shared" si="225"/>
        <v>METROPOLITANA</v>
      </c>
    </row>
    <row r="2681" spans="1:22" x14ac:dyDescent="0.2">
      <c r="A2681" s="23" t="s">
        <v>3308</v>
      </c>
      <c r="B2681" s="22" t="s">
        <v>33</v>
      </c>
      <c r="C2681" s="22" t="s">
        <v>44</v>
      </c>
      <c r="D2681" s="22" t="s">
        <v>47</v>
      </c>
      <c r="E2681" s="24">
        <v>154837728</v>
      </c>
      <c r="F2681" s="22" t="s">
        <v>48</v>
      </c>
      <c r="G2681" s="25">
        <v>5110.8999999999996</v>
      </c>
      <c r="H2681" s="22" t="s">
        <v>22</v>
      </c>
      <c r="I2681" s="22">
        <v>0</v>
      </c>
      <c r="J2681" s="22" t="s">
        <v>48</v>
      </c>
      <c r="K2681" s="22" t="s">
        <v>23</v>
      </c>
      <c r="L2681" s="22">
        <v>1</v>
      </c>
      <c r="M2681" s="26">
        <v>56220</v>
      </c>
      <c r="N2681" s="26">
        <v>0</v>
      </c>
      <c r="O2681" s="15">
        <f t="shared" si="229"/>
        <v>56220</v>
      </c>
      <c r="P2681" s="15">
        <f t="shared" si="227"/>
        <v>11.000019566025554</v>
      </c>
      <c r="Q2681" s="25">
        <v>5000</v>
      </c>
      <c r="R2681" s="22">
        <v>100</v>
      </c>
      <c r="S2681" s="22" t="s">
        <v>3316</v>
      </c>
      <c r="T2681" s="22">
        <f t="shared" si="223"/>
        <v>7</v>
      </c>
      <c r="U2681" s="22">
        <f t="shared" si="224"/>
        <v>2021</v>
      </c>
      <c r="V2681" s="22" t="str">
        <f t="shared" si="225"/>
        <v>METROPOLITANA</v>
      </c>
    </row>
    <row r="2682" spans="1:22" x14ac:dyDescent="0.2">
      <c r="A2682" s="11" t="s">
        <v>3317</v>
      </c>
      <c r="B2682" s="12" t="s">
        <v>18</v>
      </c>
      <c r="C2682" s="12" t="s">
        <v>457</v>
      </c>
      <c r="D2682" s="12" t="s">
        <v>125</v>
      </c>
      <c r="E2682" s="13">
        <v>172861164</v>
      </c>
      <c r="F2682" s="12" t="s">
        <v>815</v>
      </c>
      <c r="G2682" s="14">
        <f>19730.72+3942</f>
        <v>23672.720000000001</v>
      </c>
      <c r="H2682" s="12" t="s">
        <v>174</v>
      </c>
      <c r="I2682" s="12">
        <v>1</v>
      </c>
      <c r="J2682" s="12" t="s">
        <v>815</v>
      </c>
      <c r="K2682" s="12" t="s">
        <v>75</v>
      </c>
      <c r="L2682" s="12">
        <v>0</v>
      </c>
      <c r="M2682" s="15">
        <v>420000</v>
      </c>
      <c r="N2682" s="15">
        <v>0</v>
      </c>
      <c r="O2682" s="15">
        <f t="shared" si="229"/>
        <v>420000</v>
      </c>
      <c r="P2682" s="15">
        <f t="shared" si="227"/>
        <v>17.741940934544065</v>
      </c>
      <c r="Q2682" s="14">
        <v>25000</v>
      </c>
      <c r="R2682" s="12">
        <v>100</v>
      </c>
      <c r="S2682" s="12" t="s">
        <v>3324</v>
      </c>
      <c r="T2682" s="22">
        <f t="shared" si="223"/>
        <v>7</v>
      </c>
      <c r="U2682" s="22">
        <f t="shared" si="224"/>
        <v>2021</v>
      </c>
      <c r="V2682" s="22" t="str">
        <f t="shared" si="225"/>
        <v>REGIONES</v>
      </c>
    </row>
    <row r="2683" spans="1:22" x14ac:dyDescent="0.2">
      <c r="A2683" s="11" t="s">
        <v>3317</v>
      </c>
      <c r="B2683" s="12" t="s">
        <v>18</v>
      </c>
      <c r="C2683" s="12" t="s">
        <v>457</v>
      </c>
      <c r="D2683" s="12" t="s">
        <v>867</v>
      </c>
      <c r="E2683" s="13">
        <v>98494073</v>
      </c>
      <c r="F2683" s="12" t="s">
        <v>3223</v>
      </c>
      <c r="G2683" s="14">
        <v>16818.080000000002</v>
      </c>
      <c r="H2683" s="12" t="s">
        <v>85</v>
      </c>
      <c r="I2683" s="12">
        <v>1</v>
      </c>
      <c r="J2683" s="12" t="s">
        <v>3223</v>
      </c>
      <c r="K2683" s="12" t="s">
        <v>75</v>
      </c>
      <c r="L2683" s="12">
        <v>0</v>
      </c>
      <c r="M2683" s="15">
        <v>420000</v>
      </c>
      <c r="N2683" s="15">
        <v>0</v>
      </c>
      <c r="O2683" s="15">
        <f t="shared" si="229"/>
        <v>420000</v>
      </c>
      <c r="P2683" s="15">
        <f t="shared" si="227"/>
        <v>24.973124161616543</v>
      </c>
      <c r="Q2683" s="14">
        <v>25000</v>
      </c>
      <c r="R2683" s="12">
        <v>67</v>
      </c>
      <c r="S2683" s="12" t="s">
        <v>3318</v>
      </c>
      <c r="T2683" s="22">
        <f t="shared" si="223"/>
        <v>7</v>
      </c>
      <c r="U2683" s="22">
        <f t="shared" si="224"/>
        <v>2021</v>
      </c>
      <c r="V2683" s="22" t="str">
        <f t="shared" si="225"/>
        <v>REGIONES</v>
      </c>
    </row>
    <row r="2684" spans="1:22" x14ac:dyDescent="0.2">
      <c r="A2684" s="11" t="s">
        <v>3317</v>
      </c>
      <c r="B2684" s="12" t="s">
        <v>18</v>
      </c>
      <c r="C2684" s="12" t="s">
        <v>163</v>
      </c>
      <c r="D2684" s="12" t="s">
        <v>164</v>
      </c>
      <c r="E2684" s="13">
        <v>81417709</v>
      </c>
      <c r="F2684" s="12" t="s">
        <v>165</v>
      </c>
      <c r="G2684" s="14">
        <v>16384.599999999991</v>
      </c>
      <c r="H2684" s="12" t="s">
        <v>22</v>
      </c>
      <c r="I2684" s="12">
        <v>1</v>
      </c>
      <c r="J2684" s="12" t="s">
        <v>165</v>
      </c>
      <c r="K2684" s="12" t="s">
        <v>23</v>
      </c>
      <c r="L2684" s="12">
        <v>4</v>
      </c>
      <c r="M2684" s="15">
        <v>180231</v>
      </c>
      <c r="N2684" s="15">
        <v>0</v>
      </c>
      <c r="O2684" s="15">
        <f t="shared" si="229"/>
        <v>180231</v>
      </c>
      <c r="P2684" s="15">
        <f t="shared" si="227"/>
        <v>11.000024413168468</v>
      </c>
      <c r="Q2684" s="14">
        <v>5000</v>
      </c>
      <c r="R2684" s="12">
        <v>100</v>
      </c>
      <c r="S2684" s="12" t="s">
        <v>3319</v>
      </c>
      <c r="T2684" s="22">
        <f t="shared" si="223"/>
        <v>7</v>
      </c>
      <c r="U2684" s="22">
        <f t="shared" si="224"/>
        <v>2021</v>
      </c>
      <c r="V2684" s="22" t="str">
        <f t="shared" si="225"/>
        <v>METROPOLITANA</v>
      </c>
    </row>
    <row r="2685" spans="1:22" x14ac:dyDescent="0.2">
      <c r="A2685" s="11" t="s">
        <v>3317</v>
      </c>
      <c r="B2685" s="12" t="s">
        <v>33</v>
      </c>
      <c r="C2685" s="12" t="s">
        <v>579</v>
      </c>
      <c r="D2685" s="12" t="s">
        <v>20</v>
      </c>
      <c r="E2685" s="13">
        <v>78907355</v>
      </c>
      <c r="F2685" s="12" t="s">
        <v>161</v>
      </c>
      <c r="G2685" s="14">
        <v>5185.9999999999991</v>
      </c>
      <c r="H2685" s="12" t="s">
        <v>22</v>
      </c>
      <c r="I2685" s="12">
        <v>0</v>
      </c>
      <c r="J2685" s="12" t="s">
        <v>161</v>
      </c>
      <c r="K2685" s="12" t="s">
        <v>23</v>
      </c>
      <c r="L2685" s="12">
        <v>5</v>
      </c>
      <c r="M2685" s="15">
        <v>70000</v>
      </c>
      <c r="N2685" s="15">
        <v>0</v>
      </c>
      <c r="O2685" s="15">
        <f t="shared" si="229"/>
        <v>70000</v>
      </c>
      <c r="P2685" s="15">
        <f t="shared" si="227"/>
        <v>13.497878904743542</v>
      </c>
      <c r="Q2685" s="14">
        <v>10000</v>
      </c>
      <c r="R2685" s="12">
        <v>75</v>
      </c>
      <c r="S2685" s="12" t="s">
        <v>3320</v>
      </c>
      <c r="T2685" s="22">
        <f t="shared" si="223"/>
        <v>7</v>
      </c>
      <c r="U2685" s="22">
        <f t="shared" si="224"/>
        <v>2021</v>
      </c>
      <c r="V2685" s="22" t="str">
        <f t="shared" si="225"/>
        <v>METROPOLITANA</v>
      </c>
    </row>
    <row r="2686" spans="1:22" x14ac:dyDescent="0.2">
      <c r="A2686" s="11" t="s">
        <v>3317</v>
      </c>
      <c r="B2686" s="12" t="s">
        <v>33</v>
      </c>
      <c r="C2686" s="12" t="s">
        <v>29</v>
      </c>
      <c r="D2686" s="12" t="s">
        <v>30</v>
      </c>
      <c r="E2686" s="13">
        <v>72564391</v>
      </c>
      <c r="F2686" s="12" t="s">
        <v>129</v>
      </c>
      <c r="G2686" s="14">
        <v>3494.6</v>
      </c>
      <c r="H2686" s="12" t="s">
        <v>32</v>
      </c>
      <c r="I2686" s="12">
        <v>0</v>
      </c>
      <c r="J2686" s="12" t="s">
        <v>129</v>
      </c>
      <c r="K2686" s="12" t="s">
        <v>23</v>
      </c>
      <c r="L2686" s="12">
        <v>1</v>
      </c>
      <c r="M2686" s="15">
        <v>55000</v>
      </c>
      <c r="N2686" s="15">
        <v>0</v>
      </c>
      <c r="O2686" s="15">
        <f t="shared" si="229"/>
        <v>55000</v>
      </c>
      <c r="P2686" s="15">
        <f t="shared" si="227"/>
        <v>15.738568076460826</v>
      </c>
      <c r="Q2686" s="14">
        <v>5000</v>
      </c>
      <c r="R2686" s="12">
        <v>85</v>
      </c>
      <c r="S2686" s="12" t="s">
        <v>3321</v>
      </c>
      <c r="T2686" s="22">
        <f t="shared" si="223"/>
        <v>7</v>
      </c>
      <c r="U2686" s="22">
        <f t="shared" si="224"/>
        <v>2021</v>
      </c>
      <c r="V2686" s="22" t="str">
        <f t="shared" si="225"/>
        <v>METROPOLITANA</v>
      </c>
    </row>
    <row r="2687" spans="1:22" x14ac:dyDescent="0.2">
      <c r="A2687" s="11" t="s">
        <v>3317</v>
      </c>
      <c r="B2687" s="12" t="s">
        <v>33</v>
      </c>
      <c r="C2687" s="12" t="s">
        <v>44</v>
      </c>
      <c r="D2687" s="12" t="s">
        <v>63</v>
      </c>
      <c r="E2687" s="13">
        <v>138841065</v>
      </c>
      <c r="F2687" s="12" t="s">
        <v>229</v>
      </c>
      <c r="G2687" s="14">
        <v>3817.8000000000011</v>
      </c>
      <c r="H2687" s="12" t="s">
        <v>65</v>
      </c>
      <c r="I2687" s="12">
        <v>0</v>
      </c>
      <c r="J2687" s="12" t="s">
        <v>230</v>
      </c>
      <c r="K2687" s="12" t="s">
        <v>23</v>
      </c>
      <c r="L2687" s="12">
        <v>4</v>
      </c>
      <c r="M2687" s="15">
        <v>55000</v>
      </c>
      <c r="N2687" s="15">
        <v>0</v>
      </c>
      <c r="O2687" s="15">
        <f t="shared" si="229"/>
        <v>55000</v>
      </c>
      <c r="P2687" s="15">
        <f t="shared" si="227"/>
        <v>14.406202525014402</v>
      </c>
      <c r="Q2687" s="14">
        <v>5000</v>
      </c>
      <c r="R2687" s="12">
        <v>85</v>
      </c>
      <c r="S2687" s="12" t="s">
        <v>3322</v>
      </c>
      <c r="T2687" s="22">
        <f t="shared" si="223"/>
        <v>7</v>
      </c>
      <c r="U2687" s="22">
        <f t="shared" si="224"/>
        <v>2021</v>
      </c>
      <c r="V2687" s="22" t="str">
        <f t="shared" si="225"/>
        <v>METROPOLITANA</v>
      </c>
    </row>
    <row r="2688" spans="1:22" x14ac:dyDescent="0.2">
      <c r="A2688" s="11" t="s">
        <v>3317</v>
      </c>
      <c r="B2688" s="12" t="s">
        <v>33</v>
      </c>
      <c r="C2688" s="12" t="s">
        <v>44</v>
      </c>
      <c r="D2688" s="12" t="s">
        <v>45</v>
      </c>
      <c r="E2688" s="13">
        <v>99626232</v>
      </c>
      <c r="F2688" s="12" t="s">
        <v>51</v>
      </c>
      <c r="G2688" s="14">
        <v>3814.9</v>
      </c>
      <c r="H2688" s="12" t="s">
        <v>22</v>
      </c>
      <c r="I2688" s="12">
        <v>0</v>
      </c>
      <c r="J2688" s="12" t="s">
        <v>51</v>
      </c>
      <c r="K2688" s="12" t="s">
        <v>23</v>
      </c>
      <c r="L2688" s="12">
        <v>4</v>
      </c>
      <c r="M2688" s="15">
        <v>55000</v>
      </c>
      <c r="N2688" s="15">
        <v>0</v>
      </c>
      <c r="O2688" s="15">
        <f t="shared" si="229"/>
        <v>55000</v>
      </c>
      <c r="P2688" s="15">
        <f t="shared" si="227"/>
        <v>14.417153791711447</v>
      </c>
      <c r="Q2688" s="14">
        <v>5000</v>
      </c>
      <c r="R2688" s="12">
        <v>85</v>
      </c>
      <c r="S2688" s="12" t="s">
        <v>3323</v>
      </c>
      <c r="T2688" s="22">
        <f t="shared" si="223"/>
        <v>7</v>
      </c>
      <c r="U2688" s="22">
        <f t="shared" si="224"/>
        <v>2021</v>
      </c>
      <c r="V2688" s="22" t="str">
        <f t="shared" si="225"/>
        <v>METROPOLITANA</v>
      </c>
    </row>
    <row r="2689" spans="1:22" x14ac:dyDescent="0.2">
      <c r="A2689" s="11" t="s">
        <v>3317</v>
      </c>
      <c r="B2689" s="12" t="s">
        <v>33</v>
      </c>
      <c r="C2689" s="12" t="s">
        <v>44</v>
      </c>
      <c r="D2689" s="12" t="s">
        <v>47</v>
      </c>
      <c r="E2689" s="13">
        <v>154837729</v>
      </c>
      <c r="F2689" s="12" t="s">
        <v>26</v>
      </c>
      <c r="G2689" s="14">
        <f>4032.3+2852</f>
        <v>6884.3</v>
      </c>
      <c r="H2689" s="12" t="s">
        <v>22</v>
      </c>
      <c r="I2689" s="12">
        <v>0</v>
      </c>
      <c r="J2689" s="12" t="s">
        <v>26</v>
      </c>
      <c r="K2689" s="12" t="s">
        <v>23</v>
      </c>
      <c r="L2689" s="12">
        <v>4</v>
      </c>
      <c r="M2689" s="15">
        <v>55000</v>
      </c>
      <c r="N2689" s="15">
        <v>0</v>
      </c>
      <c r="O2689" s="15">
        <f t="shared" si="229"/>
        <v>55000</v>
      </c>
      <c r="P2689" s="15">
        <f t="shared" si="227"/>
        <v>7.9891928010109954</v>
      </c>
      <c r="Q2689" s="14">
        <v>5000</v>
      </c>
      <c r="R2689" s="12">
        <v>100</v>
      </c>
      <c r="S2689" s="12" t="s">
        <v>3325</v>
      </c>
      <c r="T2689" s="22">
        <f t="shared" si="223"/>
        <v>7</v>
      </c>
      <c r="U2689" s="22">
        <f t="shared" si="224"/>
        <v>2021</v>
      </c>
      <c r="V2689" s="22" t="str">
        <f t="shared" si="225"/>
        <v>METROPOLITANA</v>
      </c>
    </row>
    <row r="2690" spans="1:22" x14ac:dyDescent="0.2">
      <c r="A2690" s="23" t="s">
        <v>3326</v>
      </c>
      <c r="B2690" s="22" t="s">
        <v>18</v>
      </c>
      <c r="C2690" s="22" t="s">
        <v>57</v>
      </c>
      <c r="D2690" s="22" t="s">
        <v>38</v>
      </c>
      <c r="E2690" s="24">
        <v>53173292</v>
      </c>
      <c r="F2690" s="22" t="s">
        <v>308</v>
      </c>
      <c r="G2690" s="25">
        <v>10236.459999999999</v>
      </c>
      <c r="H2690" s="22" t="s">
        <v>43</v>
      </c>
      <c r="I2690" s="22">
        <v>0</v>
      </c>
      <c r="J2690" s="22" t="s">
        <v>308</v>
      </c>
      <c r="K2690" s="22" t="s">
        <v>78</v>
      </c>
      <c r="L2690" s="22">
        <v>0</v>
      </c>
      <c r="M2690" s="26">
        <v>180000</v>
      </c>
      <c r="N2690" s="26">
        <v>0</v>
      </c>
      <c r="O2690" s="15">
        <f t="shared" si="229"/>
        <v>180000</v>
      </c>
      <c r="P2690" s="15">
        <f t="shared" si="227"/>
        <v>17.584203914243794</v>
      </c>
      <c r="Q2690" s="25">
        <v>25000</v>
      </c>
      <c r="R2690" s="22">
        <v>75</v>
      </c>
      <c r="S2690" s="22" t="s">
        <v>3327</v>
      </c>
      <c r="T2690" s="22">
        <f t="shared" si="223"/>
        <v>7</v>
      </c>
      <c r="U2690" s="22">
        <f t="shared" si="224"/>
        <v>2021</v>
      </c>
      <c r="V2690" s="22" t="str">
        <f t="shared" si="225"/>
        <v>REGIONES</v>
      </c>
    </row>
    <row r="2691" spans="1:22" x14ac:dyDescent="0.2">
      <c r="A2691" s="23" t="s">
        <v>3326</v>
      </c>
      <c r="B2691" s="22" t="s">
        <v>18</v>
      </c>
      <c r="C2691" s="22" t="s">
        <v>457</v>
      </c>
      <c r="D2691" s="22" t="s">
        <v>730</v>
      </c>
      <c r="E2691" s="24">
        <v>124157498</v>
      </c>
      <c r="F2691" s="22" t="s">
        <v>815</v>
      </c>
      <c r="G2691" s="25">
        <v>15541.01</v>
      </c>
      <c r="H2691" s="22" t="s">
        <v>24</v>
      </c>
      <c r="I2691" s="22">
        <v>1</v>
      </c>
      <c r="J2691" s="22" t="s">
        <v>815</v>
      </c>
      <c r="K2691" s="22" t="s">
        <v>75</v>
      </c>
      <c r="L2691" s="22">
        <v>0</v>
      </c>
      <c r="M2691" s="26">
        <v>420000</v>
      </c>
      <c r="N2691" s="26">
        <v>0</v>
      </c>
      <c r="O2691" s="15">
        <f t="shared" si="229"/>
        <v>420000</v>
      </c>
      <c r="P2691" s="15">
        <f t="shared" si="227"/>
        <v>27.025270558348524</v>
      </c>
      <c r="Q2691" s="25">
        <v>25000</v>
      </c>
      <c r="R2691" s="22">
        <v>92</v>
      </c>
      <c r="S2691" s="22" t="s">
        <v>3328</v>
      </c>
      <c r="T2691" s="22">
        <f t="shared" si="223"/>
        <v>7</v>
      </c>
      <c r="U2691" s="22">
        <f t="shared" si="224"/>
        <v>2021</v>
      </c>
      <c r="V2691" s="22" t="str">
        <f t="shared" si="225"/>
        <v>REGIONES</v>
      </c>
    </row>
    <row r="2692" spans="1:22" x14ac:dyDescent="0.2">
      <c r="A2692" s="23" t="s">
        <v>3326</v>
      </c>
      <c r="B2692" s="22" t="s">
        <v>18</v>
      </c>
      <c r="C2692" s="22" t="s">
        <v>163</v>
      </c>
      <c r="D2692" s="22" t="s">
        <v>37</v>
      </c>
      <c r="E2692" s="24">
        <v>154837728</v>
      </c>
      <c r="F2692" s="22" t="s">
        <v>165</v>
      </c>
      <c r="G2692" s="25">
        <v>2417.4</v>
      </c>
      <c r="H2692" s="22" t="s">
        <v>22</v>
      </c>
      <c r="I2692" s="22">
        <v>0</v>
      </c>
      <c r="J2692" s="22" t="s">
        <v>165</v>
      </c>
      <c r="K2692" s="22" t="s">
        <v>23</v>
      </c>
      <c r="L2692" s="22">
        <v>4</v>
      </c>
      <c r="M2692" s="26">
        <v>55000</v>
      </c>
      <c r="N2692" s="26">
        <v>0</v>
      </c>
      <c r="O2692" s="15">
        <f t="shared" si="229"/>
        <v>55000</v>
      </c>
      <c r="P2692" s="15">
        <f t="shared" si="227"/>
        <v>22.751716720443451</v>
      </c>
      <c r="Q2692" s="25">
        <v>5000</v>
      </c>
      <c r="R2692" s="22">
        <v>48</v>
      </c>
      <c r="S2692" s="22" t="s">
        <v>3329</v>
      </c>
      <c r="T2692" s="22">
        <f t="shared" si="223"/>
        <v>7</v>
      </c>
      <c r="U2692" s="22">
        <f t="shared" si="224"/>
        <v>2021</v>
      </c>
      <c r="V2692" s="22" t="str">
        <f t="shared" si="225"/>
        <v>METROPOLITANA</v>
      </c>
    </row>
    <row r="2693" spans="1:22" x14ac:dyDescent="0.2">
      <c r="A2693" s="23" t="s">
        <v>3326</v>
      </c>
      <c r="B2693" s="22" t="s">
        <v>18</v>
      </c>
      <c r="C2693" s="22" t="s">
        <v>87</v>
      </c>
      <c r="D2693" s="22" t="s">
        <v>30</v>
      </c>
      <c r="E2693" s="24">
        <v>72564391</v>
      </c>
      <c r="F2693" s="22" t="s">
        <v>51</v>
      </c>
      <c r="G2693" s="25">
        <v>18997.3</v>
      </c>
      <c r="H2693" s="22" t="s">
        <v>32</v>
      </c>
      <c r="I2693" s="22">
        <v>0</v>
      </c>
      <c r="J2693" s="22" t="s">
        <v>51</v>
      </c>
      <c r="K2693" s="22" t="s">
        <v>23</v>
      </c>
      <c r="L2693" s="22">
        <v>4</v>
      </c>
      <c r="M2693" s="26">
        <v>208970</v>
      </c>
      <c r="N2693" s="26">
        <v>0</v>
      </c>
      <c r="O2693" s="15">
        <f t="shared" si="229"/>
        <v>208970</v>
      </c>
      <c r="P2693" s="15">
        <f t="shared" si="227"/>
        <v>10.99998420828223</v>
      </c>
      <c r="Q2693" s="25">
        <v>5000</v>
      </c>
      <c r="R2693" s="22">
        <v>100</v>
      </c>
      <c r="S2693" s="22" t="s">
        <v>3330</v>
      </c>
      <c r="T2693" s="22">
        <f t="shared" si="223"/>
        <v>7</v>
      </c>
      <c r="U2693" s="22">
        <f t="shared" si="224"/>
        <v>2021</v>
      </c>
      <c r="V2693" s="22" t="str">
        <f t="shared" si="225"/>
        <v>METROPOLITANA</v>
      </c>
    </row>
    <row r="2694" spans="1:22" x14ac:dyDescent="0.2">
      <c r="A2694" s="23" t="s">
        <v>3326</v>
      </c>
      <c r="B2694" s="22" t="s">
        <v>33</v>
      </c>
      <c r="C2694" s="22" t="s">
        <v>270</v>
      </c>
      <c r="D2694" s="22" t="s">
        <v>730</v>
      </c>
      <c r="E2694" s="24">
        <v>124157498</v>
      </c>
      <c r="F2694" s="22" t="s">
        <v>120</v>
      </c>
      <c r="G2694" s="25">
        <v>29221</v>
      </c>
      <c r="H2694" s="22" t="s">
        <v>24</v>
      </c>
      <c r="I2694" s="22">
        <v>1</v>
      </c>
      <c r="J2694" s="22" t="s">
        <v>120</v>
      </c>
      <c r="K2694" s="22" t="s">
        <v>23</v>
      </c>
      <c r="L2694" s="22">
        <v>5</v>
      </c>
      <c r="M2694" s="26">
        <v>120000</v>
      </c>
      <c r="N2694" s="26">
        <v>0</v>
      </c>
      <c r="O2694" s="15">
        <f t="shared" si="229"/>
        <v>120000</v>
      </c>
      <c r="P2694" s="15">
        <f t="shared" si="227"/>
        <v>4.1066356387529517</v>
      </c>
      <c r="Q2694" s="25">
        <v>10000</v>
      </c>
      <c r="R2694" s="22">
        <v>100</v>
      </c>
      <c r="S2694" s="22" t="s">
        <v>3331</v>
      </c>
      <c r="T2694" s="22">
        <f t="shared" si="223"/>
        <v>7</v>
      </c>
      <c r="U2694" s="22">
        <f t="shared" si="224"/>
        <v>2021</v>
      </c>
      <c r="V2694" s="22" t="str">
        <f t="shared" si="225"/>
        <v>METROPOLITANA</v>
      </c>
    </row>
    <row r="2695" spans="1:22" x14ac:dyDescent="0.2">
      <c r="A2695" s="23" t="s">
        <v>3326</v>
      </c>
      <c r="B2695" s="22" t="s">
        <v>33</v>
      </c>
      <c r="C2695" s="22" t="s">
        <v>1233</v>
      </c>
      <c r="D2695" s="22" t="s">
        <v>45</v>
      </c>
      <c r="E2695" s="24">
        <v>99626232</v>
      </c>
      <c r="F2695" s="22" t="s">
        <v>1234</v>
      </c>
      <c r="G2695" s="25">
        <v>2834</v>
      </c>
      <c r="H2695" s="22" t="s">
        <v>22</v>
      </c>
      <c r="I2695" s="22">
        <v>0</v>
      </c>
      <c r="J2695" s="22" t="s">
        <v>1234</v>
      </c>
      <c r="K2695" s="22" t="s">
        <v>23</v>
      </c>
      <c r="L2695" s="22">
        <v>3</v>
      </c>
      <c r="M2695" s="26">
        <v>55000</v>
      </c>
      <c r="N2695" s="26">
        <v>0</v>
      </c>
      <c r="O2695" s="15">
        <f t="shared" si="229"/>
        <v>55000</v>
      </c>
      <c r="P2695" s="15">
        <f t="shared" si="227"/>
        <v>19.407198306280875</v>
      </c>
      <c r="Q2695" s="25">
        <v>5000</v>
      </c>
      <c r="R2695" s="22">
        <v>57</v>
      </c>
      <c r="S2695" s="22" t="s">
        <v>3332</v>
      </c>
      <c r="T2695" s="22">
        <f t="shared" si="223"/>
        <v>7</v>
      </c>
      <c r="U2695" s="22">
        <f t="shared" si="224"/>
        <v>2021</v>
      </c>
      <c r="V2695" s="22" t="str">
        <f t="shared" si="225"/>
        <v>METROPOLITANA</v>
      </c>
    </row>
    <row r="2696" spans="1:22" x14ac:dyDescent="0.2">
      <c r="A2696" s="23" t="s">
        <v>3326</v>
      </c>
      <c r="B2696" s="22" t="s">
        <v>33</v>
      </c>
      <c r="C2696" s="22" t="s">
        <v>128</v>
      </c>
      <c r="D2696" s="22" t="s">
        <v>164</v>
      </c>
      <c r="E2696" s="24">
        <v>81417709</v>
      </c>
      <c r="F2696" s="22" t="s">
        <v>129</v>
      </c>
      <c r="G2696" s="25">
        <v>8244.0000000000036</v>
      </c>
      <c r="H2696" s="22" t="s">
        <v>22</v>
      </c>
      <c r="I2696" s="22">
        <v>1</v>
      </c>
      <c r="J2696" s="22" t="s">
        <v>129</v>
      </c>
      <c r="K2696" s="22" t="s">
        <v>23</v>
      </c>
      <c r="L2696" s="22">
        <v>1</v>
      </c>
      <c r="M2696" s="26">
        <v>90684</v>
      </c>
      <c r="N2696" s="26">
        <v>0</v>
      </c>
      <c r="O2696" s="15">
        <f t="shared" si="229"/>
        <v>90684</v>
      </c>
      <c r="P2696" s="15">
        <f t="shared" si="227"/>
        <v>10.999999999999995</v>
      </c>
      <c r="Q2696" s="25">
        <v>5000</v>
      </c>
      <c r="R2696" s="22">
        <v>100</v>
      </c>
      <c r="S2696" s="22" t="s">
        <v>3333</v>
      </c>
      <c r="T2696" s="22">
        <f t="shared" ref="T2696:T2759" si="230">MONTH(A2696)</f>
        <v>7</v>
      </c>
      <c r="U2696" s="22">
        <f t="shared" ref="U2696:U2759" si="231">YEAR(A2696)</f>
        <v>2021</v>
      </c>
      <c r="V2696" s="22" t="str">
        <f t="shared" ref="V2696:V2759" si="232">IF(K2696="METROPOLITANA DE SANTIAGO","METROPOLITANA","REGIONES")</f>
        <v>METROPOLITANA</v>
      </c>
    </row>
    <row r="2697" spans="1:22" x14ac:dyDescent="0.2">
      <c r="A2697" s="23" t="s">
        <v>3326</v>
      </c>
      <c r="B2697" s="22" t="s">
        <v>33</v>
      </c>
      <c r="C2697" s="22" t="s">
        <v>36</v>
      </c>
      <c r="D2697" s="22" t="s">
        <v>130</v>
      </c>
      <c r="E2697" s="24">
        <v>167832741</v>
      </c>
      <c r="F2697" s="22" t="s">
        <v>426</v>
      </c>
      <c r="G2697" s="25">
        <f>6753.6+5253+6754</f>
        <v>18760.599999999999</v>
      </c>
      <c r="H2697" s="22" t="s">
        <v>85</v>
      </c>
      <c r="I2697" s="22">
        <v>1</v>
      </c>
      <c r="J2697" s="22" t="s">
        <v>426</v>
      </c>
      <c r="K2697" s="22" t="s">
        <v>75</v>
      </c>
      <c r="L2697" s="22">
        <v>0</v>
      </c>
      <c r="M2697" s="26">
        <v>400000</v>
      </c>
      <c r="N2697" s="26">
        <v>0</v>
      </c>
      <c r="O2697" s="15">
        <f t="shared" si="229"/>
        <v>400000</v>
      </c>
      <c r="P2697" s="15">
        <f t="shared" si="227"/>
        <v>21.321279703207789</v>
      </c>
      <c r="Q2697" s="25">
        <v>25000</v>
      </c>
      <c r="R2697" s="22">
        <v>100</v>
      </c>
      <c r="S2697" s="22" t="s">
        <v>3342</v>
      </c>
      <c r="T2697" s="22">
        <f t="shared" si="230"/>
        <v>7</v>
      </c>
      <c r="U2697" s="22">
        <f t="shared" si="231"/>
        <v>2021</v>
      </c>
      <c r="V2697" s="22" t="str">
        <f t="shared" si="232"/>
        <v>REGIONES</v>
      </c>
    </row>
    <row r="2698" spans="1:22" x14ac:dyDescent="0.2">
      <c r="A2698" s="23" t="s">
        <v>3326</v>
      </c>
      <c r="B2698" s="22" t="s">
        <v>33</v>
      </c>
      <c r="C2698" s="22" t="s">
        <v>3334</v>
      </c>
      <c r="D2698" s="22" t="s">
        <v>63</v>
      </c>
      <c r="E2698" s="24">
        <v>138841065</v>
      </c>
      <c r="F2698" s="22" t="s">
        <v>129</v>
      </c>
      <c r="G2698" s="25">
        <v>5668</v>
      </c>
      <c r="H2698" s="22" t="s">
        <v>65</v>
      </c>
      <c r="I2698" s="22">
        <v>0</v>
      </c>
      <c r="J2698" s="22" t="s">
        <v>129</v>
      </c>
      <c r="K2698" s="22" t="s">
        <v>23</v>
      </c>
      <c r="L2698" s="22">
        <v>1</v>
      </c>
      <c r="M2698" s="26">
        <v>62348</v>
      </c>
      <c r="N2698" s="26">
        <v>0</v>
      </c>
      <c r="O2698" s="15">
        <f t="shared" si="229"/>
        <v>62348</v>
      </c>
      <c r="P2698" s="15">
        <f t="shared" si="227"/>
        <v>11</v>
      </c>
      <c r="Q2698" s="25">
        <v>5000</v>
      </c>
      <c r="R2698" s="22">
        <v>100</v>
      </c>
      <c r="S2698" s="22" t="s">
        <v>3335</v>
      </c>
      <c r="T2698" s="22">
        <f t="shared" si="230"/>
        <v>7</v>
      </c>
      <c r="U2698" s="22">
        <f t="shared" si="231"/>
        <v>2021</v>
      </c>
      <c r="V2698" s="22" t="str">
        <f t="shared" si="232"/>
        <v>METROPOLITANA</v>
      </c>
    </row>
    <row r="2699" spans="1:22" x14ac:dyDescent="0.2">
      <c r="A2699" s="23" t="s">
        <v>3326</v>
      </c>
      <c r="B2699" s="22" t="s">
        <v>33</v>
      </c>
      <c r="C2699" s="22" t="s">
        <v>2698</v>
      </c>
      <c r="D2699" s="22" t="s">
        <v>41</v>
      </c>
      <c r="E2699" s="24">
        <v>125108660</v>
      </c>
      <c r="F2699" s="22" t="s">
        <v>34</v>
      </c>
      <c r="G2699" s="25">
        <v>5423.5</v>
      </c>
      <c r="H2699" s="22" t="s">
        <v>43</v>
      </c>
      <c r="I2699" s="22">
        <v>0</v>
      </c>
      <c r="J2699" s="22" t="s">
        <v>34</v>
      </c>
      <c r="K2699" s="22" t="s">
        <v>23</v>
      </c>
      <c r="L2699" s="22">
        <v>1</v>
      </c>
      <c r="M2699" s="26">
        <v>59658</v>
      </c>
      <c r="N2699" s="26">
        <v>0</v>
      </c>
      <c r="O2699" s="15">
        <f t="shared" si="229"/>
        <v>59658</v>
      </c>
      <c r="P2699" s="15">
        <f t="shared" si="227"/>
        <v>10.999907808610676</v>
      </c>
      <c r="Q2699" s="25">
        <v>5000</v>
      </c>
      <c r="R2699" s="22">
        <v>100</v>
      </c>
      <c r="S2699" s="22" t="s">
        <v>3336</v>
      </c>
      <c r="T2699" s="22">
        <f t="shared" si="230"/>
        <v>7</v>
      </c>
      <c r="U2699" s="22">
        <f t="shared" si="231"/>
        <v>2021</v>
      </c>
      <c r="V2699" s="22" t="str">
        <f t="shared" si="232"/>
        <v>METROPOLITANA</v>
      </c>
    </row>
    <row r="2700" spans="1:22" x14ac:dyDescent="0.2">
      <c r="A2700" s="23" t="s">
        <v>3326</v>
      </c>
      <c r="B2700" s="22" t="s">
        <v>33</v>
      </c>
      <c r="C2700" s="22" t="s">
        <v>44</v>
      </c>
      <c r="D2700" s="22" t="s">
        <v>37</v>
      </c>
      <c r="E2700" s="24">
        <v>154837728</v>
      </c>
      <c r="F2700" s="22" t="s">
        <v>53</v>
      </c>
      <c r="G2700" s="25">
        <v>3995.9</v>
      </c>
      <c r="H2700" s="22" t="s">
        <v>22</v>
      </c>
      <c r="I2700" s="22">
        <v>0</v>
      </c>
      <c r="J2700" s="22" t="s">
        <v>53</v>
      </c>
      <c r="K2700" s="22" t="s">
        <v>23</v>
      </c>
      <c r="L2700" s="22">
        <v>3</v>
      </c>
      <c r="M2700" s="26">
        <v>55000</v>
      </c>
      <c r="N2700" s="26">
        <v>0</v>
      </c>
      <c r="O2700" s="15">
        <f t="shared" si="229"/>
        <v>55000</v>
      </c>
      <c r="P2700" s="15">
        <f t="shared" si="227"/>
        <v>13.76410821091619</v>
      </c>
      <c r="Q2700" s="25">
        <v>5000</v>
      </c>
      <c r="R2700" s="22">
        <v>80</v>
      </c>
      <c r="S2700" s="22" t="s">
        <v>3337</v>
      </c>
      <c r="T2700" s="22">
        <f t="shared" si="230"/>
        <v>7</v>
      </c>
      <c r="U2700" s="22">
        <f t="shared" si="231"/>
        <v>2021</v>
      </c>
      <c r="V2700" s="22" t="str">
        <f t="shared" si="232"/>
        <v>METROPOLITANA</v>
      </c>
    </row>
    <row r="2701" spans="1:22" x14ac:dyDescent="0.2">
      <c r="A2701" s="23" t="s">
        <v>3326</v>
      </c>
      <c r="B2701" s="22" t="s">
        <v>33</v>
      </c>
      <c r="C2701" s="22" t="s">
        <v>44</v>
      </c>
      <c r="D2701" s="22" t="s">
        <v>45</v>
      </c>
      <c r="E2701" s="24">
        <v>99626232</v>
      </c>
      <c r="F2701" s="22" t="s">
        <v>182</v>
      </c>
      <c r="G2701" s="25">
        <v>3593.5</v>
      </c>
      <c r="H2701" s="22" t="s">
        <v>22</v>
      </c>
      <c r="I2701" s="22">
        <v>0</v>
      </c>
      <c r="J2701" s="22" t="s">
        <v>182</v>
      </c>
      <c r="K2701" s="22" t="s">
        <v>23</v>
      </c>
      <c r="L2701" s="22">
        <v>4</v>
      </c>
      <c r="M2701" s="26">
        <v>55000</v>
      </c>
      <c r="N2701" s="26">
        <v>0</v>
      </c>
      <c r="O2701" s="15">
        <f t="shared" si="229"/>
        <v>55000</v>
      </c>
      <c r="P2701" s="15">
        <f t="shared" si="227"/>
        <v>15.305412550438291</v>
      </c>
      <c r="Q2701" s="25">
        <v>5000</v>
      </c>
      <c r="R2701" s="22">
        <v>72</v>
      </c>
      <c r="S2701" s="22" t="s">
        <v>3338</v>
      </c>
      <c r="T2701" s="22">
        <f t="shared" si="230"/>
        <v>7</v>
      </c>
      <c r="U2701" s="22">
        <f t="shared" si="231"/>
        <v>2021</v>
      </c>
      <c r="V2701" s="22" t="str">
        <f t="shared" si="232"/>
        <v>METROPOLITANA</v>
      </c>
    </row>
    <row r="2702" spans="1:22" x14ac:dyDescent="0.2">
      <c r="A2702" s="23" t="s">
        <v>3326</v>
      </c>
      <c r="B2702" s="22" t="s">
        <v>33</v>
      </c>
      <c r="C2702" s="22" t="s">
        <v>44</v>
      </c>
      <c r="D2702" s="22" t="s">
        <v>47</v>
      </c>
      <c r="E2702" s="24">
        <v>154837728</v>
      </c>
      <c r="F2702" s="22" t="s">
        <v>48</v>
      </c>
      <c r="G2702" s="25">
        <v>5188.2000000000016</v>
      </c>
      <c r="H2702" s="22" t="s">
        <v>22</v>
      </c>
      <c r="I2702" s="22">
        <v>0</v>
      </c>
      <c r="J2702" s="22" t="s">
        <v>48</v>
      </c>
      <c r="K2702" s="22" t="s">
        <v>23</v>
      </c>
      <c r="L2702" s="22">
        <v>1</v>
      </c>
      <c r="M2702" s="26">
        <v>57070</v>
      </c>
      <c r="N2702" s="26">
        <v>0</v>
      </c>
      <c r="O2702" s="15">
        <f t="shared" si="229"/>
        <v>57070</v>
      </c>
      <c r="P2702" s="15">
        <f t="shared" si="227"/>
        <v>10.999961450984923</v>
      </c>
      <c r="Q2702" s="25">
        <v>5000</v>
      </c>
      <c r="R2702" s="22">
        <v>100</v>
      </c>
      <c r="S2702" s="22" t="s">
        <v>3339</v>
      </c>
      <c r="T2702" s="22">
        <f t="shared" si="230"/>
        <v>7</v>
      </c>
      <c r="U2702" s="22">
        <f t="shared" si="231"/>
        <v>2021</v>
      </c>
      <c r="V2702" s="22" t="str">
        <f t="shared" si="232"/>
        <v>METROPOLITANA</v>
      </c>
    </row>
    <row r="2703" spans="1:22" x14ac:dyDescent="0.2">
      <c r="A2703" s="23" t="s">
        <v>3326</v>
      </c>
      <c r="B2703" s="22" t="s">
        <v>33</v>
      </c>
      <c r="C2703" s="22" t="s">
        <v>44</v>
      </c>
      <c r="D2703" s="22" t="s">
        <v>41</v>
      </c>
      <c r="E2703" s="24">
        <v>125108660</v>
      </c>
      <c r="F2703" s="22" t="s">
        <v>67</v>
      </c>
      <c r="G2703" s="25">
        <v>3100.8</v>
      </c>
      <c r="H2703" s="22" t="s">
        <v>43</v>
      </c>
      <c r="I2703" s="22">
        <v>0</v>
      </c>
      <c r="J2703" s="22" t="s">
        <v>67</v>
      </c>
      <c r="K2703" s="22" t="s">
        <v>23</v>
      </c>
      <c r="L2703" s="22">
        <v>2</v>
      </c>
      <c r="M2703" s="26">
        <v>55000</v>
      </c>
      <c r="N2703" s="26">
        <v>0</v>
      </c>
      <c r="O2703" s="15">
        <f t="shared" si="229"/>
        <v>55000</v>
      </c>
      <c r="P2703" s="15">
        <f t="shared" si="227"/>
        <v>17.73735810113519</v>
      </c>
      <c r="Q2703" s="25">
        <v>5000</v>
      </c>
      <c r="R2703" s="22">
        <v>62</v>
      </c>
      <c r="S2703" s="22" t="s">
        <v>3340</v>
      </c>
      <c r="T2703" s="22">
        <f t="shared" si="230"/>
        <v>7</v>
      </c>
      <c r="U2703" s="22">
        <f t="shared" si="231"/>
        <v>2021</v>
      </c>
      <c r="V2703" s="22" t="str">
        <f t="shared" si="232"/>
        <v>METROPOLITANA</v>
      </c>
    </row>
    <row r="2704" spans="1:22" x14ac:dyDescent="0.2">
      <c r="A2704" s="23" t="s">
        <v>3326</v>
      </c>
      <c r="B2704" s="22" t="s">
        <v>33</v>
      </c>
      <c r="C2704" s="22" t="s">
        <v>44</v>
      </c>
      <c r="D2704" s="22" t="s">
        <v>20</v>
      </c>
      <c r="E2704" s="24">
        <v>78907355</v>
      </c>
      <c r="F2704" s="22" t="s">
        <v>34</v>
      </c>
      <c r="G2704" s="25">
        <v>4989.3999999999996</v>
      </c>
      <c r="H2704" s="22" t="s">
        <v>22</v>
      </c>
      <c r="I2704" s="22">
        <v>0</v>
      </c>
      <c r="J2704" s="22" t="s">
        <v>34</v>
      </c>
      <c r="K2704" s="22" t="s">
        <v>23</v>
      </c>
      <c r="L2704" s="22">
        <v>1</v>
      </c>
      <c r="M2704" s="26">
        <v>55000</v>
      </c>
      <c r="N2704" s="26">
        <v>0</v>
      </c>
      <c r="O2704" s="15">
        <f t="shared" si="229"/>
        <v>55000</v>
      </c>
      <c r="P2704" s="15">
        <f t="shared" si="227"/>
        <v>11.023369543432077</v>
      </c>
      <c r="Q2704" s="25">
        <v>5000</v>
      </c>
      <c r="R2704" s="22">
        <v>100</v>
      </c>
      <c r="S2704" s="22" t="s">
        <v>3341</v>
      </c>
      <c r="T2704" s="22">
        <f t="shared" si="230"/>
        <v>7</v>
      </c>
      <c r="U2704" s="22">
        <f t="shared" si="231"/>
        <v>2021</v>
      </c>
      <c r="V2704" s="22" t="str">
        <f t="shared" si="232"/>
        <v>METROPOLITANA</v>
      </c>
    </row>
    <row r="2705" spans="1:22" x14ac:dyDescent="0.2">
      <c r="A2705" s="11" t="s">
        <v>3343</v>
      </c>
      <c r="B2705" s="12" t="s">
        <v>18</v>
      </c>
      <c r="C2705" s="12" t="s">
        <v>19</v>
      </c>
      <c r="D2705" s="12" t="s">
        <v>867</v>
      </c>
      <c r="E2705" s="13">
        <v>98494073</v>
      </c>
      <c r="F2705" s="12" t="s">
        <v>815</v>
      </c>
      <c r="G2705" s="14">
        <v>15181.35</v>
      </c>
      <c r="H2705" s="12" t="s">
        <v>85</v>
      </c>
      <c r="I2705" s="12">
        <v>1</v>
      </c>
      <c r="J2705" s="12" t="s">
        <v>815</v>
      </c>
      <c r="K2705" s="12" t="s">
        <v>75</v>
      </c>
      <c r="L2705" s="12">
        <v>0</v>
      </c>
      <c r="M2705" s="15">
        <v>420000</v>
      </c>
      <c r="N2705" s="15">
        <v>0</v>
      </c>
      <c r="O2705" s="15">
        <f t="shared" si="229"/>
        <v>420000</v>
      </c>
      <c r="P2705" s="15">
        <f t="shared" si="227"/>
        <v>27.665523817051842</v>
      </c>
      <c r="Q2705" s="14">
        <v>25000</v>
      </c>
      <c r="R2705" s="12">
        <v>75</v>
      </c>
      <c r="S2705" s="12" t="s">
        <v>3344</v>
      </c>
      <c r="T2705" s="22">
        <f t="shared" si="230"/>
        <v>7</v>
      </c>
      <c r="U2705" s="22">
        <f t="shared" si="231"/>
        <v>2021</v>
      </c>
      <c r="V2705" s="22" t="str">
        <f t="shared" si="232"/>
        <v>REGIONES</v>
      </c>
    </row>
    <row r="2706" spans="1:22" x14ac:dyDescent="0.2">
      <c r="A2706" s="11" t="s">
        <v>3343</v>
      </c>
      <c r="B2706" s="12" t="s">
        <v>33</v>
      </c>
      <c r="C2706" s="12" t="s">
        <v>128</v>
      </c>
      <c r="D2706" s="12" t="s">
        <v>164</v>
      </c>
      <c r="E2706" s="13">
        <v>154837728</v>
      </c>
      <c r="F2706" s="12" t="s">
        <v>129</v>
      </c>
      <c r="G2706" s="14">
        <v>7602.8000000000011</v>
      </c>
      <c r="H2706" s="12" t="s">
        <v>22</v>
      </c>
      <c r="I2706" s="12">
        <v>1</v>
      </c>
      <c r="J2706" s="12" t="s">
        <v>129</v>
      </c>
      <c r="K2706" s="12" t="s">
        <v>23</v>
      </c>
      <c r="L2706" s="12">
        <v>1</v>
      </c>
      <c r="M2706" s="15">
        <v>83631</v>
      </c>
      <c r="N2706" s="15">
        <v>0</v>
      </c>
      <c r="O2706" s="15">
        <f t="shared" si="229"/>
        <v>83631</v>
      </c>
      <c r="P2706" s="15">
        <f t="shared" si="227"/>
        <v>11.000026306097752</v>
      </c>
      <c r="Q2706" s="14">
        <v>5000</v>
      </c>
      <c r="R2706" s="12">
        <v>100</v>
      </c>
      <c r="S2706" s="12" t="s">
        <v>3345</v>
      </c>
      <c r="T2706" s="22">
        <f t="shared" si="230"/>
        <v>7</v>
      </c>
      <c r="U2706" s="22">
        <f t="shared" si="231"/>
        <v>2021</v>
      </c>
      <c r="V2706" s="22" t="str">
        <f t="shared" si="232"/>
        <v>METROPOLITANA</v>
      </c>
    </row>
    <row r="2707" spans="1:22" x14ac:dyDescent="0.2">
      <c r="A2707" s="11" t="s">
        <v>3343</v>
      </c>
      <c r="B2707" s="12" t="s">
        <v>33</v>
      </c>
      <c r="C2707" s="12" t="s">
        <v>128</v>
      </c>
      <c r="D2707" s="12" t="s">
        <v>164</v>
      </c>
      <c r="E2707" s="13">
        <v>81417709</v>
      </c>
      <c r="F2707" s="12" t="s">
        <v>34</v>
      </c>
      <c r="G2707" s="14">
        <v>11044.32</v>
      </c>
      <c r="H2707" s="12" t="s">
        <v>22</v>
      </c>
      <c r="I2707" s="12">
        <v>1</v>
      </c>
      <c r="J2707" s="12" t="s">
        <v>34</v>
      </c>
      <c r="K2707" s="12" t="s">
        <v>23</v>
      </c>
      <c r="L2707" s="12">
        <v>1</v>
      </c>
      <c r="M2707" s="15">
        <v>121488</v>
      </c>
      <c r="N2707" s="15">
        <v>0</v>
      </c>
      <c r="O2707" s="15">
        <f t="shared" si="229"/>
        <v>121488</v>
      </c>
      <c r="P2707" s="15">
        <f t="shared" si="227"/>
        <v>11.000043461254291</v>
      </c>
      <c r="Q2707" s="14">
        <v>5000</v>
      </c>
      <c r="R2707" s="12">
        <v>100</v>
      </c>
      <c r="S2707" s="12" t="s">
        <v>3346</v>
      </c>
      <c r="T2707" s="22">
        <f t="shared" si="230"/>
        <v>7</v>
      </c>
      <c r="U2707" s="22">
        <f t="shared" si="231"/>
        <v>2021</v>
      </c>
      <c r="V2707" s="22" t="str">
        <f t="shared" si="232"/>
        <v>METROPOLITANA</v>
      </c>
    </row>
    <row r="2708" spans="1:22" x14ac:dyDescent="0.2">
      <c r="A2708" s="11" t="s">
        <v>3343</v>
      </c>
      <c r="B2708" s="12" t="s">
        <v>33</v>
      </c>
      <c r="C2708" s="12" t="s">
        <v>29</v>
      </c>
      <c r="D2708" s="12" t="s">
        <v>786</v>
      </c>
      <c r="E2708" s="13">
        <v>95707334</v>
      </c>
      <c r="F2708" s="12" t="s">
        <v>170</v>
      </c>
      <c r="G2708" s="14">
        <v>9004.7999999999975</v>
      </c>
      <c r="H2708" s="12" t="s">
        <v>788</v>
      </c>
      <c r="I2708" s="12">
        <v>1</v>
      </c>
      <c r="J2708" s="12" t="s">
        <v>170</v>
      </c>
      <c r="K2708" s="12" t="s">
        <v>171</v>
      </c>
      <c r="L2708" s="12">
        <v>0</v>
      </c>
      <c r="M2708" s="15">
        <v>230000</v>
      </c>
      <c r="N2708" s="15">
        <v>0</v>
      </c>
      <c r="O2708" s="15">
        <f t="shared" si="229"/>
        <v>230000</v>
      </c>
      <c r="P2708" s="15">
        <f t="shared" si="227"/>
        <v>25.541933191186931</v>
      </c>
      <c r="Q2708" s="14">
        <v>25000</v>
      </c>
      <c r="R2708" s="12">
        <v>54</v>
      </c>
      <c r="S2708" s="12" t="s">
        <v>3347</v>
      </c>
      <c r="T2708" s="22">
        <f t="shared" si="230"/>
        <v>7</v>
      </c>
      <c r="U2708" s="22">
        <f t="shared" si="231"/>
        <v>2021</v>
      </c>
      <c r="V2708" s="22" t="str">
        <f t="shared" si="232"/>
        <v>REGIONES</v>
      </c>
    </row>
    <row r="2709" spans="1:22" x14ac:dyDescent="0.2">
      <c r="A2709" s="11" t="s">
        <v>3343</v>
      </c>
      <c r="B2709" s="12" t="s">
        <v>33</v>
      </c>
      <c r="C2709" s="12" t="s">
        <v>29</v>
      </c>
      <c r="D2709" s="12" t="s">
        <v>786</v>
      </c>
      <c r="E2709" s="13">
        <v>95707334</v>
      </c>
      <c r="F2709" s="12" t="s">
        <v>39</v>
      </c>
      <c r="G2709" s="14">
        <v>7488.3</v>
      </c>
      <c r="H2709" s="12" t="s">
        <v>788</v>
      </c>
      <c r="I2709" s="12">
        <v>1</v>
      </c>
      <c r="J2709" s="12" t="s">
        <v>39</v>
      </c>
      <c r="K2709" s="12" t="s">
        <v>23</v>
      </c>
      <c r="L2709" s="12">
        <v>1</v>
      </c>
      <c r="M2709" s="15">
        <v>82371</v>
      </c>
      <c r="N2709" s="15">
        <v>0</v>
      </c>
      <c r="O2709" s="15">
        <f t="shared" si="229"/>
        <v>82371</v>
      </c>
      <c r="P2709" s="15">
        <f t="shared" si="227"/>
        <v>10.999959937502503</v>
      </c>
      <c r="Q2709" s="14">
        <v>5000</v>
      </c>
      <c r="R2709" s="12">
        <v>100</v>
      </c>
      <c r="S2709" s="12" t="s">
        <v>3348</v>
      </c>
      <c r="T2709" s="22">
        <f t="shared" si="230"/>
        <v>7</v>
      </c>
      <c r="U2709" s="22">
        <f t="shared" si="231"/>
        <v>2021</v>
      </c>
      <c r="V2709" s="22" t="str">
        <f t="shared" si="232"/>
        <v>METROPOLITANA</v>
      </c>
    </row>
    <row r="2710" spans="1:22" x14ac:dyDescent="0.2">
      <c r="A2710" s="11" t="s">
        <v>3343</v>
      </c>
      <c r="B2710" s="12" t="s">
        <v>33</v>
      </c>
      <c r="C2710" s="12" t="s">
        <v>44</v>
      </c>
      <c r="D2710" s="12" t="s">
        <v>2262</v>
      </c>
      <c r="E2710" s="13">
        <v>122975819</v>
      </c>
      <c r="F2710" s="12" t="s">
        <v>1105</v>
      </c>
      <c r="G2710" s="14">
        <v>13346.3</v>
      </c>
      <c r="H2710" s="12" t="s">
        <v>24</v>
      </c>
      <c r="I2710" s="12">
        <v>1</v>
      </c>
      <c r="J2710" s="12" t="s">
        <v>1105</v>
      </c>
      <c r="K2710" s="12" t="s">
        <v>873</v>
      </c>
      <c r="L2710" s="12">
        <v>0</v>
      </c>
      <c r="M2710" s="15">
        <v>900000</v>
      </c>
      <c r="N2710" s="15">
        <v>0</v>
      </c>
      <c r="O2710" s="15">
        <f t="shared" ref="O2710:O2733" si="233">SUM(M2710:N2710)</f>
        <v>900000</v>
      </c>
      <c r="P2710" s="15">
        <f t="shared" si="227"/>
        <v>67.434420026524208</v>
      </c>
      <c r="Q2710" s="14">
        <v>25000</v>
      </c>
      <c r="R2710" s="12">
        <v>75</v>
      </c>
      <c r="S2710" s="12" t="s">
        <v>3349</v>
      </c>
      <c r="T2710" s="22">
        <f t="shared" si="230"/>
        <v>7</v>
      </c>
      <c r="U2710" s="22">
        <f t="shared" si="231"/>
        <v>2021</v>
      </c>
      <c r="V2710" s="22" t="str">
        <f t="shared" si="232"/>
        <v>REGIONES</v>
      </c>
    </row>
    <row r="2711" spans="1:22" x14ac:dyDescent="0.2">
      <c r="A2711" s="11" t="s">
        <v>3343</v>
      </c>
      <c r="B2711" s="12" t="s">
        <v>33</v>
      </c>
      <c r="C2711" s="12" t="s">
        <v>44</v>
      </c>
      <c r="D2711" s="12" t="s">
        <v>38</v>
      </c>
      <c r="E2711" s="13">
        <v>53173292</v>
      </c>
      <c r="F2711" s="12" t="s">
        <v>225</v>
      </c>
      <c r="G2711" s="14">
        <v>4419.9000000000005</v>
      </c>
      <c r="H2711" s="12" t="s">
        <v>43</v>
      </c>
      <c r="I2711" s="12">
        <v>0</v>
      </c>
      <c r="J2711" s="12" t="s">
        <v>225</v>
      </c>
      <c r="K2711" s="12" t="s">
        <v>23</v>
      </c>
      <c r="L2711" s="12">
        <v>3</v>
      </c>
      <c r="M2711" s="15">
        <v>55000</v>
      </c>
      <c r="N2711" s="15">
        <v>0</v>
      </c>
      <c r="O2711" s="15">
        <f t="shared" si="233"/>
        <v>55000</v>
      </c>
      <c r="P2711" s="15">
        <f t="shared" si="227"/>
        <v>12.443720446163939</v>
      </c>
      <c r="Q2711" s="14">
        <v>5000</v>
      </c>
      <c r="R2711" s="12">
        <v>88</v>
      </c>
      <c r="S2711" s="12" t="s">
        <v>3350</v>
      </c>
      <c r="T2711" s="22">
        <f t="shared" si="230"/>
        <v>7</v>
      </c>
      <c r="U2711" s="22">
        <f t="shared" si="231"/>
        <v>2021</v>
      </c>
      <c r="V2711" s="22" t="str">
        <f t="shared" si="232"/>
        <v>METROPOLITANA</v>
      </c>
    </row>
    <row r="2712" spans="1:22" x14ac:dyDescent="0.2">
      <c r="A2712" s="11" t="s">
        <v>3343</v>
      </c>
      <c r="B2712" s="12" t="s">
        <v>33</v>
      </c>
      <c r="C2712" s="12" t="s">
        <v>44</v>
      </c>
      <c r="D2712" s="12" t="s">
        <v>2612</v>
      </c>
      <c r="E2712" s="13">
        <v>103576032</v>
      </c>
      <c r="F2712" s="12" t="s">
        <v>66</v>
      </c>
      <c r="G2712" s="14">
        <v>14024.9</v>
      </c>
      <c r="H2712" s="12" t="s">
        <v>24</v>
      </c>
      <c r="I2712" s="12">
        <v>1</v>
      </c>
      <c r="J2712" s="12" t="s">
        <v>66</v>
      </c>
      <c r="K2712" s="12" t="s">
        <v>75</v>
      </c>
      <c r="L2712" s="12">
        <v>0</v>
      </c>
      <c r="M2712" s="15">
        <v>380000</v>
      </c>
      <c r="N2712" s="15">
        <v>0</v>
      </c>
      <c r="O2712" s="15">
        <f t="shared" si="233"/>
        <v>380000</v>
      </c>
      <c r="P2712" s="15">
        <f t="shared" si="227"/>
        <v>27.094667341656624</v>
      </c>
      <c r="Q2712" s="14">
        <v>25000</v>
      </c>
      <c r="R2712" s="12">
        <v>75</v>
      </c>
      <c r="S2712" s="12" t="s">
        <v>3351</v>
      </c>
      <c r="T2712" s="22">
        <f t="shared" si="230"/>
        <v>7</v>
      </c>
      <c r="U2712" s="22">
        <f t="shared" si="231"/>
        <v>2021</v>
      </c>
      <c r="V2712" s="22" t="str">
        <f t="shared" si="232"/>
        <v>REGIONES</v>
      </c>
    </row>
    <row r="2713" spans="1:22" s="46" customFormat="1" x14ac:dyDescent="0.2">
      <c r="A2713" s="45" t="s">
        <v>3343</v>
      </c>
      <c r="B2713" s="46" t="s">
        <v>33</v>
      </c>
      <c r="C2713" s="46" t="s">
        <v>44</v>
      </c>
      <c r="D2713" s="46" t="s">
        <v>37</v>
      </c>
      <c r="E2713" s="47">
        <v>103018366</v>
      </c>
      <c r="F2713" s="46" t="s">
        <v>94</v>
      </c>
      <c r="G2713" s="48">
        <v>4285.8</v>
      </c>
      <c r="H2713" s="46" t="s">
        <v>22</v>
      </c>
      <c r="I2713" s="46">
        <v>0</v>
      </c>
      <c r="J2713" s="46" t="s">
        <v>59</v>
      </c>
      <c r="K2713" s="46" t="s">
        <v>78</v>
      </c>
      <c r="L2713" s="46">
        <v>0</v>
      </c>
      <c r="M2713" s="49">
        <v>180000</v>
      </c>
      <c r="N2713" s="49">
        <v>0</v>
      </c>
      <c r="O2713" s="49">
        <f t="shared" si="233"/>
        <v>180000</v>
      </c>
      <c r="P2713" s="49">
        <f t="shared" si="227"/>
        <v>41.999160016799664</v>
      </c>
      <c r="Q2713" s="48">
        <v>25000</v>
      </c>
      <c r="R2713" s="46">
        <v>52</v>
      </c>
      <c r="S2713" s="46" t="s">
        <v>3352</v>
      </c>
      <c r="T2713" s="46">
        <f t="shared" si="230"/>
        <v>7</v>
      </c>
      <c r="U2713" s="46">
        <f t="shared" si="231"/>
        <v>2021</v>
      </c>
      <c r="V2713" s="46" t="str">
        <f t="shared" si="232"/>
        <v>REGIONES</v>
      </c>
    </row>
    <row r="2714" spans="1:22" s="46" customFormat="1" x14ac:dyDescent="0.2">
      <c r="A2714" s="45" t="s">
        <v>3343</v>
      </c>
      <c r="B2714" s="46" t="s">
        <v>33</v>
      </c>
      <c r="C2714" s="46" t="s">
        <v>44</v>
      </c>
      <c r="D2714" s="46" t="s">
        <v>30</v>
      </c>
      <c r="E2714" s="47">
        <v>72564391</v>
      </c>
      <c r="F2714" s="46" t="s">
        <v>59</v>
      </c>
      <c r="G2714" s="48">
        <v>4572.4000000000005</v>
      </c>
      <c r="H2714" s="46" t="s">
        <v>32</v>
      </c>
      <c r="I2714" s="46">
        <v>0</v>
      </c>
      <c r="J2714" s="46" t="s">
        <v>59</v>
      </c>
      <c r="K2714" s="46" t="s">
        <v>78</v>
      </c>
      <c r="L2714" s="46">
        <v>0</v>
      </c>
      <c r="M2714" s="49">
        <v>180000</v>
      </c>
      <c r="N2714" s="49">
        <v>0</v>
      </c>
      <c r="O2714" s="49">
        <f t="shared" si="233"/>
        <v>180000</v>
      </c>
      <c r="P2714" s="49">
        <f t="shared" si="227"/>
        <v>39.366634590149587</v>
      </c>
      <c r="Q2714" s="48">
        <v>25000</v>
      </c>
      <c r="R2714" s="46">
        <v>54</v>
      </c>
      <c r="S2714" s="46" t="s">
        <v>3353</v>
      </c>
      <c r="T2714" s="46">
        <f t="shared" si="230"/>
        <v>7</v>
      </c>
      <c r="U2714" s="46">
        <f t="shared" si="231"/>
        <v>2021</v>
      </c>
      <c r="V2714" s="46" t="str">
        <f t="shared" si="232"/>
        <v>REGIONES</v>
      </c>
    </row>
    <row r="2715" spans="1:22" s="46" customFormat="1" x14ac:dyDescent="0.2">
      <c r="A2715" s="45" t="s">
        <v>3343</v>
      </c>
      <c r="B2715" s="46" t="s">
        <v>33</v>
      </c>
      <c r="C2715" s="46" t="s">
        <v>44</v>
      </c>
      <c r="D2715" s="46" t="s">
        <v>45</v>
      </c>
      <c r="E2715" s="47">
        <v>99626232</v>
      </c>
      <c r="F2715" s="46" t="s">
        <v>48</v>
      </c>
      <c r="G2715" s="48">
        <v>3184.1</v>
      </c>
      <c r="H2715" s="46" t="s">
        <v>22</v>
      </c>
      <c r="I2715" s="46">
        <v>0</v>
      </c>
      <c r="J2715" s="46" t="s">
        <v>48</v>
      </c>
      <c r="K2715" s="46" t="s">
        <v>23</v>
      </c>
      <c r="L2715" s="46">
        <v>1</v>
      </c>
      <c r="M2715" s="49">
        <v>55000</v>
      </c>
      <c r="N2715" s="49">
        <v>0</v>
      </c>
      <c r="O2715" s="49">
        <f t="shared" si="233"/>
        <v>55000</v>
      </c>
      <c r="P2715" s="49">
        <f t="shared" si="227"/>
        <v>17.273326842749913</v>
      </c>
      <c r="Q2715" s="48">
        <v>5000</v>
      </c>
      <c r="R2715" s="46">
        <v>64</v>
      </c>
      <c r="S2715" s="46" t="s">
        <v>3354</v>
      </c>
      <c r="T2715" s="46">
        <f t="shared" si="230"/>
        <v>7</v>
      </c>
      <c r="U2715" s="46">
        <f t="shared" si="231"/>
        <v>2021</v>
      </c>
      <c r="V2715" s="46" t="str">
        <f t="shared" si="232"/>
        <v>METROPOLITANA</v>
      </c>
    </row>
    <row r="2716" spans="1:22" x14ac:dyDescent="0.2">
      <c r="A2716" s="11" t="s">
        <v>3343</v>
      </c>
      <c r="B2716" s="12" t="s">
        <v>33</v>
      </c>
      <c r="C2716" s="12" t="s">
        <v>44</v>
      </c>
      <c r="D2716" s="12" t="s">
        <v>125</v>
      </c>
      <c r="E2716" s="13">
        <v>172861164</v>
      </c>
      <c r="F2716" s="12" t="s">
        <v>127</v>
      </c>
      <c r="G2716" s="14">
        <v>11398.3</v>
      </c>
      <c r="H2716" s="12" t="s">
        <v>174</v>
      </c>
      <c r="I2716" s="12">
        <v>0</v>
      </c>
      <c r="J2716" s="12" t="s">
        <v>127</v>
      </c>
      <c r="K2716" s="12" t="s">
        <v>78</v>
      </c>
      <c r="L2716" s="12">
        <v>0</v>
      </c>
      <c r="M2716" s="15">
        <v>180000</v>
      </c>
      <c r="N2716" s="15">
        <v>0</v>
      </c>
      <c r="O2716" s="15">
        <f t="shared" si="233"/>
        <v>180000</v>
      </c>
      <c r="P2716" s="15">
        <f t="shared" si="227"/>
        <v>15.791828606020196</v>
      </c>
      <c r="Q2716" s="14">
        <v>25000</v>
      </c>
      <c r="R2716" s="12">
        <v>83</v>
      </c>
      <c r="S2716" s="12" t="s">
        <v>3355</v>
      </c>
      <c r="T2716" s="22">
        <f t="shared" si="230"/>
        <v>7</v>
      </c>
      <c r="U2716" s="22">
        <f t="shared" si="231"/>
        <v>2021</v>
      </c>
      <c r="V2716" s="22" t="str">
        <f t="shared" si="232"/>
        <v>REGIONES</v>
      </c>
    </row>
    <row r="2717" spans="1:22" x14ac:dyDescent="0.2">
      <c r="A2717" s="23" t="s">
        <v>3356</v>
      </c>
      <c r="B2717" s="22" t="s">
        <v>18</v>
      </c>
      <c r="C2717" s="22" t="s">
        <v>508</v>
      </c>
      <c r="D2717" s="22" t="s">
        <v>30</v>
      </c>
      <c r="E2717" s="24">
        <v>72564391</v>
      </c>
      <c r="F2717" s="22" t="s">
        <v>58</v>
      </c>
      <c r="G2717" s="25">
        <v>4602.83</v>
      </c>
      <c r="H2717" s="22" t="s">
        <v>32</v>
      </c>
      <c r="I2717" s="22">
        <v>0</v>
      </c>
      <c r="J2717" s="22" t="s">
        <v>58</v>
      </c>
      <c r="K2717" s="22" t="s">
        <v>23</v>
      </c>
      <c r="L2717" s="22">
        <v>5</v>
      </c>
      <c r="M2717" s="26">
        <v>70000</v>
      </c>
      <c r="N2717" s="26">
        <v>0</v>
      </c>
      <c r="O2717" s="15">
        <f t="shared" si="233"/>
        <v>70000</v>
      </c>
      <c r="P2717" s="15">
        <f t="shared" si="227"/>
        <v>15.208035056693383</v>
      </c>
      <c r="Q2717" s="25">
        <v>10000</v>
      </c>
      <c r="R2717" s="22">
        <v>55</v>
      </c>
      <c r="S2717" s="22" t="s">
        <v>3357</v>
      </c>
      <c r="T2717" s="22">
        <f t="shared" si="230"/>
        <v>7</v>
      </c>
      <c r="U2717" s="22">
        <f t="shared" si="231"/>
        <v>2021</v>
      </c>
      <c r="V2717" s="22" t="str">
        <f t="shared" si="232"/>
        <v>METROPOLITANA</v>
      </c>
    </row>
    <row r="2718" spans="1:22" x14ac:dyDescent="0.2">
      <c r="A2718" s="23" t="s">
        <v>3356</v>
      </c>
      <c r="B2718" s="22" t="s">
        <v>33</v>
      </c>
      <c r="C2718" s="22" t="s">
        <v>163</v>
      </c>
      <c r="D2718" s="22" t="s">
        <v>37</v>
      </c>
      <c r="E2718" s="24">
        <v>154837728</v>
      </c>
      <c r="F2718" s="22" t="s">
        <v>165</v>
      </c>
      <c r="G2718" s="25">
        <v>10179</v>
      </c>
      <c r="H2718" s="22" t="s">
        <v>22</v>
      </c>
      <c r="I2718" s="22">
        <v>0</v>
      </c>
      <c r="J2718" s="22" t="s">
        <v>165</v>
      </c>
      <c r="K2718" s="22" t="s">
        <v>23</v>
      </c>
      <c r="L2718" s="22">
        <v>4</v>
      </c>
      <c r="M2718" s="26">
        <v>111969</v>
      </c>
      <c r="N2718" s="26">
        <v>0</v>
      </c>
      <c r="O2718" s="15">
        <f t="shared" si="233"/>
        <v>111969</v>
      </c>
      <c r="P2718" s="15">
        <f t="shared" si="227"/>
        <v>11</v>
      </c>
      <c r="Q2718" s="25">
        <v>5000</v>
      </c>
      <c r="R2718" s="22">
        <v>100</v>
      </c>
      <c r="S2718" s="22" t="s">
        <v>3358</v>
      </c>
      <c r="T2718" s="22">
        <f t="shared" si="230"/>
        <v>7</v>
      </c>
      <c r="U2718" s="22">
        <f t="shared" si="231"/>
        <v>2021</v>
      </c>
      <c r="V2718" s="22" t="str">
        <f t="shared" si="232"/>
        <v>METROPOLITANA</v>
      </c>
    </row>
    <row r="2719" spans="1:22" x14ac:dyDescent="0.2">
      <c r="A2719" s="23" t="s">
        <v>3356</v>
      </c>
      <c r="B2719" s="22" t="s">
        <v>33</v>
      </c>
      <c r="C2719" s="22" t="s">
        <v>128</v>
      </c>
      <c r="D2719" s="22" t="s">
        <v>38</v>
      </c>
      <c r="E2719" s="24">
        <v>53173292</v>
      </c>
      <c r="F2719" s="22" t="s">
        <v>34</v>
      </c>
      <c r="G2719" s="25">
        <v>6211.7999999999984</v>
      </c>
      <c r="H2719" s="22" t="s">
        <v>43</v>
      </c>
      <c r="I2719" s="22">
        <v>0</v>
      </c>
      <c r="J2719" s="22" t="s">
        <v>34</v>
      </c>
      <c r="K2719" s="22" t="s">
        <v>23</v>
      </c>
      <c r="L2719" s="22">
        <v>1</v>
      </c>
      <c r="M2719" s="26">
        <v>68330</v>
      </c>
      <c r="N2719" s="26">
        <v>0</v>
      </c>
      <c r="O2719" s="15">
        <f t="shared" si="233"/>
        <v>68330</v>
      </c>
      <c r="P2719" s="15">
        <f t="shared" si="227"/>
        <v>11.000032196786764</v>
      </c>
      <c r="Q2719" s="25">
        <v>5000</v>
      </c>
      <c r="R2719" s="22">
        <v>100</v>
      </c>
      <c r="S2719" s="22" t="s">
        <v>3359</v>
      </c>
      <c r="T2719" s="22">
        <f t="shared" si="230"/>
        <v>7</v>
      </c>
      <c r="U2719" s="22">
        <f t="shared" si="231"/>
        <v>2021</v>
      </c>
      <c r="V2719" s="22" t="str">
        <f t="shared" si="232"/>
        <v>METROPOLITANA</v>
      </c>
    </row>
    <row r="2720" spans="1:22" x14ac:dyDescent="0.2">
      <c r="A2720" s="23" t="s">
        <v>3356</v>
      </c>
      <c r="B2720" s="22" t="s">
        <v>33</v>
      </c>
      <c r="C2720" s="22" t="s">
        <v>128</v>
      </c>
      <c r="D2720" s="22" t="s">
        <v>786</v>
      </c>
      <c r="E2720" s="24">
        <v>95707734</v>
      </c>
      <c r="F2720" s="22" t="s">
        <v>34</v>
      </c>
      <c r="G2720" s="25">
        <f>5770.8+2473</f>
        <v>8243.7999999999993</v>
      </c>
      <c r="H2720" s="22" t="s">
        <v>788</v>
      </c>
      <c r="I2720" s="22">
        <v>1</v>
      </c>
      <c r="J2720" s="22" t="s">
        <v>34</v>
      </c>
      <c r="K2720" s="22" t="s">
        <v>23</v>
      </c>
      <c r="L2720" s="22">
        <v>1</v>
      </c>
      <c r="M2720" s="26">
        <v>63479</v>
      </c>
      <c r="N2720" s="26">
        <v>0</v>
      </c>
      <c r="O2720" s="15">
        <f t="shared" si="233"/>
        <v>63479</v>
      </c>
      <c r="P2720" s="15">
        <f t="shared" si="227"/>
        <v>7.7002110677114928</v>
      </c>
      <c r="Q2720" s="25">
        <v>5000</v>
      </c>
      <c r="R2720" s="22">
        <v>100</v>
      </c>
      <c r="S2720" s="22" t="s">
        <v>3368</v>
      </c>
      <c r="T2720" s="22">
        <f t="shared" si="230"/>
        <v>7</v>
      </c>
      <c r="U2720" s="22">
        <f t="shared" si="231"/>
        <v>2021</v>
      </c>
      <c r="V2720" s="22" t="str">
        <f t="shared" si="232"/>
        <v>METROPOLITANA</v>
      </c>
    </row>
    <row r="2721" spans="1:22" x14ac:dyDescent="0.2">
      <c r="A2721" s="23" t="s">
        <v>3356</v>
      </c>
      <c r="B2721" s="22" t="s">
        <v>33</v>
      </c>
      <c r="C2721" s="22" t="s">
        <v>128</v>
      </c>
      <c r="D2721" s="22" t="s">
        <v>164</v>
      </c>
      <c r="E2721" s="24">
        <v>154837728</v>
      </c>
      <c r="F2721" s="22" t="s">
        <v>34</v>
      </c>
      <c r="G2721" s="25">
        <v>8518.8000000000029</v>
      </c>
      <c r="H2721" s="22" t="s">
        <v>22</v>
      </c>
      <c r="I2721" s="22">
        <v>1</v>
      </c>
      <c r="J2721" s="22" t="s">
        <v>34</v>
      </c>
      <c r="K2721" s="22" t="s">
        <v>23</v>
      </c>
      <c r="L2721" s="22">
        <v>1</v>
      </c>
      <c r="M2721" s="26">
        <v>93707</v>
      </c>
      <c r="N2721" s="26">
        <v>0</v>
      </c>
      <c r="O2721" s="15">
        <f t="shared" si="233"/>
        <v>93707</v>
      </c>
      <c r="P2721" s="15">
        <f t="shared" ref="P2721:P2784" si="234">O2721/G2721</f>
        <v>11.000023477485088</v>
      </c>
      <c r="Q2721" s="25">
        <v>5000</v>
      </c>
      <c r="R2721" s="22">
        <v>100</v>
      </c>
      <c r="S2721" s="22" t="s">
        <v>3360</v>
      </c>
      <c r="T2721" s="22">
        <f t="shared" si="230"/>
        <v>7</v>
      </c>
      <c r="U2721" s="22">
        <f t="shared" si="231"/>
        <v>2021</v>
      </c>
      <c r="V2721" s="22" t="str">
        <f t="shared" si="232"/>
        <v>METROPOLITANA</v>
      </c>
    </row>
    <row r="2722" spans="1:22" x14ac:dyDescent="0.2">
      <c r="A2722" s="23" t="s">
        <v>3356</v>
      </c>
      <c r="B2722" s="22" t="s">
        <v>33</v>
      </c>
      <c r="C2722" s="22" t="s">
        <v>3361</v>
      </c>
      <c r="D2722" s="22" t="s">
        <v>20</v>
      </c>
      <c r="E2722" s="24">
        <v>78907355</v>
      </c>
      <c r="F2722" s="22" t="s">
        <v>34</v>
      </c>
      <c r="G2722" s="25">
        <v>4017.6</v>
      </c>
      <c r="H2722" s="22" t="s">
        <v>22</v>
      </c>
      <c r="I2722" s="22">
        <v>0</v>
      </c>
      <c r="J2722" s="22" t="s">
        <v>34</v>
      </c>
      <c r="K2722" s="22" t="s">
        <v>23</v>
      </c>
      <c r="L2722" s="22">
        <v>1</v>
      </c>
      <c r="M2722" s="26">
        <v>55000</v>
      </c>
      <c r="N2722" s="26">
        <v>0</v>
      </c>
      <c r="O2722" s="15">
        <f t="shared" si="233"/>
        <v>55000</v>
      </c>
      <c r="P2722" s="15">
        <f t="shared" si="234"/>
        <v>13.689765033851055</v>
      </c>
      <c r="Q2722" s="25">
        <v>5000</v>
      </c>
      <c r="R2722" s="22">
        <v>80</v>
      </c>
      <c r="S2722" s="22" t="s">
        <v>3362</v>
      </c>
      <c r="T2722" s="22">
        <f t="shared" si="230"/>
        <v>7</v>
      </c>
      <c r="U2722" s="22">
        <f t="shared" si="231"/>
        <v>2021</v>
      </c>
      <c r="V2722" s="22" t="str">
        <f t="shared" si="232"/>
        <v>METROPOLITANA</v>
      </c>
    </row>
    <row r="2723" spans="1:22" x14ac:dyDescent="0.2">
      <c r="A2723" s="23" t="s">
        <v>3356</v>
      </c>
      <c r="B2723" s="22" t="s">
        <v>33</v>
      </c>
      <c r="C2723" s="22" t="s">
        <v>29</v>
      </c>
      <c r="D2723" s="22" t="s">
        <v>786</v>
      </c>
      <c r="E2723" s="24">
        <v>95707734</v>
      </c>
      <c r="F2723" s="22" t="s">
        <v>173</v>
      </c>
      <c r="G2723" s="25">
        <v>13531.099999999989</v>
      </c>
      <c r="H2723" s="22" t="s">
        <v>788</v>
      </c>
      <c r="I2723" s="22">
        <v>1</v>
      </c>
      <c r="J2723" s="22" t="s">
        <v>173</v>
      </c>
      <c r="K2723" s="22" t="s">
        <v>23</v>
      </c>
      <c r="L2723" s="22">
        <v>5</v>
      </c>
      <c r="M2723" s="26">
        <v>120000</v>
      </c>
      <c r="N2723" s="26">
        <v>0</v>
      </c>
      <c r="O2723" s="15">
        <f t="shared" si="233"/>
        <v>120000</v>
      </c>
      <c r="P2723" s="15">
        <f t="shared" si="234"/>
        <v>8.868458587993592</v>
      </c>
      <c r="Q2723" s="25">
        <v>10000</v>
      </c>
      <c r="R2723" s="22">
        <v>100</v>
      </c>
      <c r="S2723" s="22" t="s">
        <v>3363</v>
      </c>
      <c r="T2723" s="22">
        <f t="shared" si="230"/>
        <v>7</v>
      </c>
      <c r="U2723" s="22">
        <f t="shared" si="231"/>
        <v>2021</v>
      </c>
      <c r="V2723" s="22" t="str">
        <f t="shared" si="232"/>
        <v>METROPOLITANA</v>
      </c>
    </row>
    <row r="2724" spans="1:22" x14ac:dyDescent="0.2">
      <c r="A2724" s="23" t="s">
        <v>3356</v>
      </c>
      <c r="B2724" s="22" t="s">
        <v>33</v>
      </c>
      <c r="C2724" s="22" t="s">
        <v>29</v>
      </c>
      <c r="D2724" s="22" t="s">
        <v>27</v>
      </c>
      <c r="E2724" s="24">
        <v>81417709</v>
      </c>
      <c r="F2724" s="22" t="s">
        <v>39</v>
      </c>
      <c r="G2724" s="25">
        <v>24847.200000000012</v>
      </c>
      <c r="H2724" s="22" t="s">
        <v>22</v>
      </c>
      <c r="I2724" s="22">
        <v>1</v>
      </c>
      <c r="J2724" s="22" t="s">
        <v>39</v>
      </c>
      <c r="K2724" s="22" t="s">
        <v>23</v>
      </c>
      <c r="L2724" s="22">
        <v>1</v>
      </c>
      <c r="M2724" s="26">
        <v>273319</v>
      </c>
      <c r="N2724" s="26">
        <v>0</v>
      </c>
      <c r="O2724" s="15">
        <f t="shared" si="233"/>
        <v>273319</v>
      </c>
      <c r="P2724" s="15">
        <f t="shared" si="234"/>
        <v>10.999991950803304</v>
      </c>
      <c r="Q2724" s="25">
        <v>5000</v>
      </c>
      <c r="R2724" s="22">
        <v>100</v>
      </c>
      <c r="S2724" s="22" t="s">
        <v>3364</v>
      </c>
      <c r="T2724" s="22">
        <f t="shared" si="230"/>
        <v>7</v>
      </c>
      <c r="U2724" s="22">
        <f t="shared" si="231"/>
        <v>2021</v>
      </c>
      <c r="V2724" s="22" t="str">
        <f t="shared" si="232"/>
        <v>METROPOLITANA</v>
      </c>
    </row>
    <row r="2725" spans="1:22" x14ac:dyDescent="0.2">
      <c r="A2725" s="23" t="s">
        <v>3356</v>
      </c>
      <c r="B2725" s="22" t="s">
        <v>33</v>
      </c>
      <c r="C2725" s="22" t="s">
        <v>29</v>
      </c>
      <c r="D2725" s="22" t="s">
        <v>30</v>
      </c>
      <c r="E2725" s="24">
        <v>72564391</v>
      </c>
      <c r="F2725" s="22" t="s">
        <v>39</v>
      </c>
      <c r="G2725" s="25">
        <v>12423.6</v>
      </c>
      <c r="H2725" s="22" t="s">
        <v>32</v>
      </c>
      <c r="I2725" s="22">
        <v>0</v>
      </c>
      <c r="J2725" s="22" t="s">
        <v>39</v>
      </c>
      <c r="K2725" s="22" t="s">
        <v>23</v>
      </c>
      <c r="L2725" s="22">
        <v>1</v>
      </c>
      <c r="M2725" s="26">
        <v>136660</v>
      </c>
      <c r="N2725" s="26">
        <v>0</v>
      </c>
      <c r="O2725" s="15">
        <f t="shared" si="233"/>
        <v>136660</v>
      </c>
      <c r="P2725" s="15">
        <f t="shared" si="234"/>
        <v>11.00003219678676</v>
      </c>
      <c r="Q2725" s="25">
        <v>5000</v>
      </c>
      <c r="R2725" s="22">
        <v>100</v>
      </c>
      <c r="S2725" s="22" t="s">
        <v>3365</v>
      </c>
      <c r="T2725" s="22">
        <f t="shared" si="230"/>
        <v>7</v>
      </c>
      <c r="U2725" s="22">
        <f t="shared" si="231"/>
        <v>2021</v>
      </c>
      <c r="V2725" s="22" t="str">
        <f t="shared" si="232"/>
        <v>METROPOLITANA</v>
      </c>
    </row>
    <row r="2726" spans="1:22" s="34" customFormat="1" x14ac:dyDescent="0.2">
      <c r="A2726" s="61" t="s">
        <v>3356</v>
      </c>
      <c r="B2726" s="34" t="s">
        <v>33</v>
      </c>
      <c r="C2726" s="34" t="s">
        <v>29</v>
      </c>
      <c r="D2726" s="34" t="s">
        <v>41</v>
      </c>
      <c r="E2726" s="62">
        <v>53173292</v>
      </c>
      <c r="F2726" s="34" t="s">
        <v>39</v>
      </c>
      <c r="G2726" s="58">
        <f>6973+2748</f>
        <v>9721</v>
      </c>
      <c r="H2726" s="34" t="s">
        <v>43</v>
      </c>
      <c r="I2726" s="34">
        <v>0</v>
      </c>
      <c r="J2726" s="34" t="s">
        <v>39</v>
      </c>
      <c r="K2726" s="34" t="s">
        <v>23</v>
      </c>
      <c r="L2726" s="34">
        <v>1</v>
      </c>
      <c r="M2726" s="63">
        <v>76703</v>
      </c>
      <c r="N2726" s="63">
        <v>0</v>
      </c>
      <c r="O2726" s="63">
        <f t="shared" si="233"/>
        <v>76703</v>
      </c>
      <c r="P2726" s="63">
        <f t="shared" si="234"/>
        <v>7.89044337002366</v>
      </c>
      <c r="Q2726" s="58">
        <v>5000</v>
      </c>
      <c r="R2726" s="34">
        <v>100</v>
      </c>
      <c r="S2726" s="34" t="s">
        <v>3369</v>
      </c>
      <c r="T2726" s="34">
        <f t="shared" si="230"/>
        <v>7</v>
      </c>
      <c r="U2726" s="34">
        <f t="shared" si="231"/>
        <v>2021</v>
      </c>
      <c r="V2726" s="34" t="str">
        <f t="shared" si="232"/>
        <v>METROPOLITANA</v>
      </c>
    </row>
    <row r="2727" spans="1:22" x14ac:dyDescent="0.2">
      <c r="A2727" s="23" t="s">
        <v>3356</v>
      </c>
      <c r="B2727" s="22" t="s">
        <v>33</v>
      </c>
      <c r="C2727" s="22" t="s">
        <v>29</v>
      </c>
      <c r="D2727" s="22" t="s">
        <v>20</v>
      </c>
      <c r="E2727" s="24">
        <v>78907355</v>
      </c>
      <c r="F2727" s="22" t="s">
        <v>39</v>
      </c>
      <c r="G2727" s="25">
        <v>8698.4</v>
      </c>
      <c r="H2727" s="22" t="s">
        <v>22</v>
      </c>
      <c r="I2727" s="22">
        <v>0</v>
      </c>
      <c r="J2727" s="22" t="s">
        <v>39</v>
      </c>
      <c r="K2727" s="22" t="s">
        <v>23</v>
      </c>
      <c r="L2727" s="22">
        <v>1</v>
      </c>
      <c r="M2727" s="26">
        <v>95682</v>
      </c>
      <c r="N2727" s="26">
        <v>0</v>
      </c>
      <c r="O2727" s="15">
        <f t="shared" si="233"/>
        <v>95682</v>
      </c>
      <c r="P2727" s="15">
        <f t="shared" si="234"/>
        <v>10.999954014531408</v>
      </c>
      <c r="Q2727" s="25">
        <v>5000</v>
      </c>
      <c r="R2727" s="22">
        <v>100</v>
      </c>
      <c r="S2727" s="22" t="s">
        <v>3366</v>
      </c>
      <c r="T2727" s="22">
        <f t="shared" si="230"/>
        <v>7</v>
      </c>
      <c r="U2727" s="22">
        <f t="shared" si="231"/>
        <v>2021</v>
      </c>
      <c r="V2727" s="22" t="str">
        <f t="shared" si="232"/>
        <v>METROPOLITANA</v>
      </c>
    </row>
    <row r="2728" spans="1:22" x14ac:dyDescent="0.2">
      <c r="A2728" s="23" t="s">
        <v>3356</v>
      </c>
      <c r="B2728" s="22" t="s">
        <v>33</v>
      </c>
      <c r="C2728" s="22" t="s">
        <v>44</v>
      </c>
      <c r="D2728" s="22" t="s">
        <v>45</v>
      </c>
      <c r="E2728" s="24">
        <v>99626232</v>
      </c>
      <c r="F2728" s="22" t="s">
        <v>129</v>
      </c>
      <c r="G2728" s="25">
        <v>3001.6</v>
      </c>
      <c r="H2728" s="22" t="s">
        <v>22</v>
      </c>
      <c r="I2728" s="22">
        <v>0</v>
      </c>
      <c r="J2728" s="22" t="s">
        <v>129</v>
      </c>
      <c r="K2728" s="22" t="s">
        <v>23</v>
      </c>
      <c r="L2728" s="22">
        <v>1</v>
      </c>
      <c r="M2728" s="26">
        <v>55000</v>
      </c>
      <c r="N2728" s="26">
        <v>0</v>
      </c>
      <c r="O2728" s="15">
        <f t="shared" si="233"/>
        <v>55000</v>
      </c>
      <c r="P2728" s="15">
        <f t="shared" si="234"/>
        <v>18.323560767590617</v>
      </c>
      <c r="Q2728" s="25">
        <v>5000</v>
      </c>
      <c r="R2728" s="22">
        <v>60</v>
      </c>
      <c r="S2728" s="22" t="s">
        <v>3367</v>
      </c>
      <c r="T2728" s="22">
        <f t="shared" si="230"/>
        <v>7</v>
      </c>
      <c r="U2728" s="22">
        <f t="shared" si="231"/>
        <v>2021</v>
      </c>
      <c r="V2728" s="22" t="str">
        <f t="shared" si="232"/>
        <v>METROPOLITANA</v>
      </c>
    </row>
    <row r="2729" spans="1:22" x14ac:dyDescent="0.2">
      <c r="A2729" s="11" t="s">
        <v>3370</v>
      </c>
      <c r="B2729" s="12" t="s">
        <v>18</v>
      </c>
      <c r="C2729" s="12" t="s">
        <v>457</v>
      </c>
      <c r="D2729" s="12" t="s">
        <v>3371</v>
      </c>
      <c r="E2729" s="13">
        <v>172861164</v>
      </c>
      <c r="F2729" s="12" t="s">
        <v>815</v>
      </c>
      <c r="G2729" s="14">
        <v>13430.46</v>
      </c>
      <c r="H2729" s="12" t="s">
        <v>24</v>
      </c>
      <c r="I2729" s="12">
        <v>1</v>
      </c>
      <c r="J2729" s="12" t="s">
        <v>815</v>
      </c>
      <c r="K2729" s="12" t="s">
        <v>75</v>
      </c>
      <c r="L2729" s="12">
        <v>0</v>
      </c>
      <c r="M2729" s="15">
        <v>420000</v>
      </c>
      <c r="N2729" s="15">
        <v>0</v>
      </c>
      <c r="O2729" s="15">
        <f t="shared" si="233"/>
        <v>420000</v>
      </c>
      <c r="P2729" s="15">
        <f t="shared" si="234"/>
        <v>31.27219767602897</v>
      </c>
      <c r="Q2729" s="14">
        <v>25000</v>
      </c>
      <c r="R2729" s="12">
        <v>68</v>
      </c>
      <c r="S2729" s="12" t="s">
        <v>3372</v>
      </c>
      <c r="T2729" s="22">
        <f t="shared" si="230"/>
        <v>7</v>
      </c>
      <c r="U2729" s="22">
        <f t="shared" si="231"/>
        <v>2021</v>
      </c>
      <c r="V2729" s="22" t="str">
        <f t="shared" si="232"/>
        <v>REGIONES</v>
      </c>
    </row>
    <row r="2730" spans="1:22" x14ac:dyDescent="0.2">
      <c r="A2730" s="11" t="s">
        <v>3370</v>
      </c>
      <c r="B2730" s="12" t="s">
        <v>18</v>
      </c>
      <c r="C2730" s="12" t="s">
        <v>87</v>
      </c>
      <c r="D2730" s="12" t="s">
        <v>30</v>
      </c>
      <c r="E2730" s="13">
        <v>72564391</v>
      </c>
      <c r="F2730" s="12" t="s">
        <v>51</v>
      </c>
      <c r="G2730" s="14">
        <v>8999.52</v>
      </c>
      <c r="H2730" s="12" t="s">
        <v>32</v>
      </c>
      <c r="I2730" s="12">
        <v>0</v>
      </c>
      <c r="J2730" s="12" t="s">
        <v>51</v>
      </c>
      <c r="K2730" s="12" t="s">
        <v>23</v>
      </c>
      <c r="L2730" s="12">
        <v>4</v>
      </c>
      <c r="M2730" s="15">
        <v>98995</v>
      </c>
      <c r="N2730" s="15">
        <v>0</v>
      </c>
      <c r="O2730" s="15">
        <f t="shared" si="233"/>
        <v>98995</v>
      </c>
      <c r="P2730" s="15">
        <f t="shared" si="234"/>
        <v>11.000031112770458</v>
      </c>
      <c r="Q2730" s="14">
        <v>5000</v>
      </c>
      <c r="R2730" s="12">
        <v>100</v>
      </c>
      <c r="S2730" s="12" t="s">
        <v>3373</v>
      </c>
      <c r="T2730" s="22">
        <f t="shared" si="230"/>
        <v>7</v>
      </c>
      <c r="U2730" s="22">
        <f t="shared" si="231"/>
        <v>2021</v>
      </c>
      <c r="V2730" s="22" t="str">
        <f t="shared" si="232"/>
        <v>METROPOLITANA</v>
      </c>
    </row>
    <row r="2731" spans="1:22" x14ac:dyDescent="0.2">
      <c r="A2731" s="11" t="s">
        <v>3370</v>
      </c>
      <c r="B2731" s="12" t="s">
        <v>33</v>
      </c>
      <c r="C2731" s="12" t="s">
        <v>57</v>
      </c>
      <c r="D2731" s="12" t="s">
        <v>37</v>
      </c>
      <c r="E2731" s="13">
        <v>154837728</v>
      </c>
      <c r="F2731" s="12" t="s">
        <v>120</v>
      </c>
      <c r="G2731" s="14">
        <v>4860</v>
      </c>
      <c r="H2731" s="12" t="s">
        <v>22</v>
      </c>
      <c r="I2731" s="12">
        <v>0</v>
      </c>
      <c r="J2731" s="12" t="s">
        <v>120</v>
      </c>
      <c r="K2731" s="12" t="s">
        <v>23</v>
      </c>
      <c r="L2731" s="12">
        <v>5</v>
      </c>
      <c r="M2731" s="15">
        <v>70000</v>
      </c>
      <c r="N2731" s="15">
        <v>0</v>
      </c>
      <c r="O2731" s="15">
        <f t="shared" si="233"/>
        <v>70000</v>
      </c>
      <c r="P2731" s="15">
        <f t="shared" si="234"/>
        <v>14.403292181069959</v>
      </c>
      <c r="Q2731" s="14">
        <v>10000</v>
      </c>
      <c r="R2731" s="12">
        <v>49</v>
      </c>
      <c r="S2731" s="12" t="s">
        <v>3374</v>
      </c>
      <c r="T2731" s="22">
        <f t="shared" si="230"/>
        <v>7</v>
      </c>
      <c r="U2731" s="22">
        <f t="shared" si="231"/>
        <v>2021</v>
      </c>
      <c r="V2731" s="22" t="str">
        <f t="shared" si="232"/>
        <v>METROPOLITANA</v>
      </c>
    </row>
    <row r="2732" spans="1:22" x14ac:dyDescent="0.2">
      <c r="A2732" s="11" t="s">
        <v>3370</v>
      </c>
      <c r="B2732" s="12" t="s">
        <v>33</v>
      </c>
      <c r="C2732" s="12" t="s">
        <v>128</v>
      </c>
      <c r="D2732" s="12" t="s">
        <v>164</v>
      </c>
      <c r="E2732" s="13">
        <v>81417709</v>
      </c>
      <c r="F2732" s="12" t="s">
        <v>34</v>
      </c>
      <c r="G2732" s="14">
        <v>7969.2000000000025</v>
      </c>
      <c r="H2732" s="12" t="s">
        <v>22</v>
      </c>
      <c r="I2732" s="12">
        <v>1</v>
      </c>
      <c r="J2732" s="12" t="s">
        <v>34</v>
      </c>
      <c r="K2732" s="12" t="s">
        <v>23</v>
      </c>
      <c r="L2732" s="12">
        <v>1</v>
      </c>
      <c r="M2732" s="15">
        <v>87661</v>
      </c>
      <c r="N2732" s="15">
        <v>0</v>
      </c>
      <c r="O2732" s="15">
        <f t="shared" si="233"/>
        <v>87661</v>
      </c>
      <c r="P2732" s="15">
        <f t="shared" si="234"/>
        <v>10.999974903378002</v>
      </c>
      <c r="Q2732" s="14">
        <v>5000</v>
      </c>
      <c r="R2732" s="12">
        <v>100</v>
      </c>
      <c r="S2732" s="12" t="s">
        <v>3375</v>
      </c>
      <c r="T2732" s="22">
        <f t="shared" si="230"/>
        <v>7</v>
      </c>
      <c r="U2732" s="22">
        <f t="shared" si="231"/>
        <v>2021</v>
      </c>
      <c r="V2732" s="22" t="str">
        <f t="shared" si="232"/>
        <v>METROPOLITANA</v>
      </c>
    </row>
    <row r="2733" spans="1:22" x14ac:dyDescent="0.2">
      <c r="A2733" s="11" t="s">
        <v>3370</v>
      </c>
      <c r="B2733" s="12" t="s">
        <v>33</v>
      </c>
      <c r="C2733" s="12" t="s">
        <v>128</v>
      </c>
      <c r="D2733" s="12" t="s">
        <v>20</v>
      </c>
      <c r="E2733" s="13">
        <v>78907355</v>
      </c>
      <c r="F2733" s="12" t="s">
        <v>129</v>
      </c>
      <c r="G2733" s="14">
        <v>6480</v>
      </c>
      <c r="H2733" s="12" t="s">
        <v>22</v>
      </c>
      <c r="I2733" s="12">
        <v>0</v>
      </c>
      <c r="J2733" s="12" t="s">
        <v>129</v>
      </c>
      <c r="K2733" s="12" t="s">
        <v>23</v>
      </c>
      <c r="L2733" s="12">
        <v>1</v>
      </c>
      <c r="M2733" s="15">
        <v>71280</v>
      </c>
      <c r="N2733" s="15">
        <v>0</v>
      </c>
      <c r="O2733" s="15">
        <f t="shared" si="233"/>
        <v>71280</v>
      </c>
      <c r="P2733" s="15">
        <f t="shared" si="234"/>
        <v>11</v>
      </c>
      <c r="Q2733" s="14">
        <v>5000</v>
      </c>
      <c r="R2733" s="12">
        <v>100</v>
      </c>
      <c r="S2733" s="12" t="s">
        <v>3376</v>
      </c>
      <c r="T2733" s="22">
        <f t="shared" si="230"/>
        <v>7</v>
      </c>
      <c r="U2733" s="22">
        <f t="shared" si="231"/>
        <v>2021</v>
      </c>
      <c r="V2733" s="22" t="str">
        <f t="shared" si="232"/>
        <v>METROPOLITANA</v>
      </c>
    </row>
    <row r="2734" spans="1:22" x14ac:dyDescent="0.2">
      <c r="A2734" s="11" t="s">
        <v>3370</v>
      </c>
      <c r="B2734" s="12" t="s">
        <v>33</v>
      </c>
      <c r="C2734" s="12" t="s">
        <v>417</v>
      </c>
      <c r="D2734" s="12" t="s">
        <v>786</v>
      </c>
      <c r="E2734" s="13">
        <v>95707734</v>
      </c>
      <c r="F2734" s="12" t="s">
        <v>418</v>
      </c>
      <c r="G2734" s="14">
        <v>11499.2</v>
      </c>
      <c r="H2734" s="12" t="s">
        <v>788</v>
      </c>
      <c r="I2734" s="12">
        <v>1</v>
      </c>
      <c r="J2734" s="12" t="s">
        <v>418</v>
      </c>
      <c r="K2734" s="12" t="s">
        <v>171</v>
      </c>
      <c r="L2734" s="12">
        <v>0</v>
      </c>
      <c r="M2734" s="15">
        <v>230000</v>
      </c>
      <c r="N2734" s="15">
        <v>0</v>
      </c>
      <c r="O2734" s="15">
        <v>230000</v>
      </c>
      <c r="P2734" s="15">
        <f t="shared" si="234"/>
        <v>20.001391401140946</v>
      </c>
      <c r="Q2734" s="14">
        <v>25000</v>
      </c>
      <c r="R2734" s="12">
        <v>56</v>
      </c>
      <c r="S2734" s="12" t="s">
        <v>3377</v>
      </c>
      <c r="T2734" s="22">
        <f t="shared" si="230"/>
        <v>7</v>
      </c>
      <c r="U2734" s="22">
        <f t="shared" si="231"/>
        <v>2021</v>
      </c>
      <c r="V2734" s="22" t="str">
        <f t="shared" si="232"/>
        <v>REGIONES</v>
      </c>
    </row>
    <row r="2735" spans="1:22" x14ac:dyDescent="0.2">
      <c r="A2735" s="11" t="s">
        <v>3370</v>
      </c>
      <c r="B2735" s="12" t="s">
        <v>33</v>
      </c>
      <c r="C2735" s="12" t="s">
        <v>29</v>
      </c>
      <c r="D2735" s="12" t="s">
        <v>61</v>
      </c>
      <c r="E2735" s="13">
        <v>115812335</v>
      </c>
      <c r="F2735" s="12" t="s">
        <v>132</v>
      </c>
      <c r="G2735" s="14">
        <v>11499.2</v>
      </c>
      <c r="H2735" s="12" t="s">
        <v>85</v>
      </c>
      <c r="I2735" s="12">
        <v>1</v>
      </c>
      <c r="J2735" s="12" t="s">
        <v>132</v>
      </c>
      <c r="K2735" s="12" t="s">
        <v>124</v>
      </c>
      <c r="L2735" s="12">
        <v>0</v>
      </c>
      <c r="M2735" s="15">
        <v>350000</v>
      </c>
      <c r="N2735" s="15">
        <v>0</v>
      </c>
      <c r="O2735" s="15">
        <f t="shared" ref="O2735:O2742" si="235">SUM(M2735:N2735)</f>
        <v>350000</v>
      </c>
      <c r="P2735" s="15">
        <f t="shared" si="234"/>
        <v>30.436899958257964</v>
      </c>
      <c r="Q2735" s="14">
        <v>25000</v>
      </c>
      <c r="R2735" s="12">
        <v>62</v>
      </c>
      <c r="S2735" s="12" t="s">
        <v>3378</v>
      </c>
      <c r="T2735" s="22">
        <f t="shared" si="230"/>
        <v>7</v>
      </c>
      <c r="U2735" s="22">
        <f t="shared" si="231"/>
        <v>2021</v>
      </c>
      <c r="V2735" s="22" t="str">
        <f t="shared" si="232"/>
        <v>REGIONES</v>
      </c>
    </row>
    <row r="2736" spans="1:22" x14ac:dyDescent="0.2">
      <c r="A2736" s="11" t="s">
        <v>3370</v>
      </c>
      <c r="B2736" s="12" t="s">
        <v>33</v>
      </c>
      <c r="C2736" s="12" t="s">
        <v>29</v>
      </c>
      <c r="D2736" s="12" t="s">
        <v>63</v>
      </c>
      <c r="E2736" s="13">
        <v>138841065</v>
      </c>
      <c r="F2736" s="12" t="s">
        <v>39</v>
      </c>
      <c r="G2736" s="14">
        <v>10650.3</v>
      </c>
      <c r="H2736" s="12" t="s">
        <v>65</v>
      </c>
      <c r="I2736" s="12">
        <v>0</v>
      </c>
      <c r="J2736" s="12" t="s">
        <v>39</v>
      </c>
      <c r="K2736" s="12" t="s">
        <v>23</v>
      </c>
      <c r="L2736" s="12">
        <v>1</v>
      </c>
      <c r="M2736" s="15">
        <v>117153</v>
      </c>
      <c r="N2736" s="15">
        <v>0</v>
      </c>
      <c r="O2736" s="15">
        <f t="shared" si="235"/>
        <v>117153</v>
      </c>
      <c r="P2736" s="15">
        <f t="shared" si="234"/>
        <v>10.999971831779387</v>
      </c>
      <c r="Q2736" s="14">
        <v>5000</v>
      </c>
      <c r="R2736" s="12">
        <v>100</v>
      </c>
      <c r="S2736" s="12" t="s">
        <v>3379</v>
      </c>
      <c r="T2736" s="22">
        <f t="shared" si="230"/>
        <v>7</v>
      </c>
      <c r="U2736" s="22">
        <f t="shared" si="231"/>
        <v>2021</v>
      </c>
      <c r="V2736" s="22" t="str">
        <f t="shared" si="232"/>
        <v>METROPOLITANA</v>
      </c>
    </row>
    <row r="2737" spans="1:22" x14ac:dyDescent="0.2">
      <c r="A2737" s="11" t="s">
        <v>3370</v>
      </c>
      <c r="B2737" s="12" t="s">
        <v>33</v>
      </c>
      <c r="C2737" s="12" t="s">
        <v>29</v>
      </c>
      <c r="D2737" s="12" t="s">
        <v>30</v>
      </c>
      <c r="E2737" s="13">
        <v>72564391</v>
      </c>
      <c r="F2737" s="12" t="s">
        <v>39</v>
      </c>
      <c r="G2737" s="14">
        <v>11112.6</v>
      </c>
      <c r="H2737" s="12" t="s">
        <v>32</v>
      </c>
      <c r="I2737" s="12">
        <v>0</v>
      </c>
      <c r="J2737" s="12" t="s">
        <v>39</v>
      </c>
      <c r="K2737" s="12" t="s">
        <v>23</v>
      </c>
      <c r="L2737" s="12">
        <v>1</v>
      </c>
      <c r="M2737" s="15">
        <v>122239</v>
      </c>
      <c r="N2737" s="15">
        <v>0</v>
      </c>
      <c r="O2737" s="15">
        <f t="shared" si="235"/>
        <v>122239</v>
      </c>
      <c r="P2737" s="15">
        <f t="shared" si="234"/>
        <v>11.000035995176646</v>
      </c>
      <c r="Q2737" s="14">
        <v>5000</v>
      </c>
      <c r="R2737" s="12">
        <v>100</v>
      </c>
      <c r="S2737" s="12" t="s">
        <v>3380</v>
      </c>
      <c r="T2737" s="22">
        <f t="shared" si="230"/>
        <v>7</v>
      </c>
      <c r="U2737" s="22">
        <f t="shared" si="231"/>
        <v>2021</v>
      </c>
      <c r="V2737" s="22" t="str">
        <f t="shared" si="232"/>
        <v>METROPOLITANA</v>
      </c>
    </row>
    <row r="2738" spans="1:22" x14ac:dyDescent="0.2">
      <c r="A2738" s="23" t="s">
        <v>3381</v>
      </c>
      <c r="B2738" s="22" t="s">
        <v>18</v>
      </c>
      <c r="C2738" s="22" t="s">
        <v>270</v>
      </c>
      <c r="D2738" s="22" t="s">
        <v>164</v>
      </c>
      <c r="E2738" s="24">
        <v>81417709</v>
      </c>
      <c r="F2738" s="22" t="s">
        <v>120</v>
      </c>
      <c r="G2738" s="25">
        <v>24604.000000000011</v>
      </c>
      <c r="H2738" s="22" t="s">
        <v>22</v>
      </c>
      <c r="I2738" s="22">
        <v>1</v>
      </c>
      <c r="J2738" s="22" t="s">
        <v>120</v>
      </c>
      <c r="K2738" s="22" t="s">
        <v>23</v>
      </c>
      <c r="L2738" s="22">
        <v>5</v>
      </c>
      <c r="M2738" s="26">
        <f>G2738*11</f>
        <v>270644.00000000012</v>
      </c>
      <c r="N2738" s="26">
        <v>0</v>
      </c>
      <c r="O2738" s="15">
        <f t="shared" si="235"/>
        <v>270644.00000000012</v>
      </c>
      <c r="P2738" s="15">
        <f t="shared" si="234"/>
        <v>11</v>
      </c>
      <c r="Q2738" s="25">
        <v>10000</v>
      </c>
      <c r="R2738" s="22">
        <v>100</v>
      </c>
      <c r="S2738" s="22" t="s">
        <v>3382</v>
      </c>
      <c r="T2738" s="22">
        <f t="shared" si="230"/>
        <v>8</v>
      </c>
      <c r="U2738" s="22">
        <f t="shared" si="231"/>
        <v>2021</v>
      </c>
      <c r="V2738" s="22" t="str">
        <f t="shared" si="232"/>
        <v>METROPOLITANA</v>
      </c>
    </row>
    <row r="2739" spans="1:22" x14ac:dyDescent="0.2">
      <c r="A2739" s="23" t="s">
        <v>3381</v>
      </c>
      <c r="B2739" s="22" t="s">
        <v>18</v>
      </c>
      <c r="C2739" s="22" t="s">
        <v>19</v>
      </c>
      <c r="D2739" s="22" t="s">
        <v>1869</v>
      </c>
      <c r="E2739" s="24">
        <v>125897258</v>
      </c>
      <c r="F2739" s="22" t="s">
        <v>815</v>
      </c>
      <c r="G2739" s="25">
        <v>18865.399999999991</v>
      </c>
      <c r="H2739" s="22" t="s">
        <v>24</v>
      </c>
      <c r="I2739" s="22">
        <v>1</v>
      </c>
      <c r="J2739" s="22" t="s">
        <v>815</v>
      </c>
      <c r="K2739" s="22" t="s">
        <v>75</v>
      </c>
      <c r="L2739" s="22">
        <v>0</v>
      </c>
      <c r="M2739" s="26">
        <v>420000</v>
      </c>
      <c r="N2739" s="26">
        <v>0</v>
      </c>
      <c r="O2739" s="15">
        <f t="shared" si="235"/>
        <v>420000</v>
      </c>
      <c r="P2739" s="15">
        <f t="shared" si="234"/>
        <v>22.262978786561654</v>
      </c>
      <c r="Q2739" s="25">
        <v>25000</v>
      </c>
      <c r="R2739" s="22">
        <v>75</v>
      </c>
      <c r="S2739" s="22" t="s">
        <v>3383</v>
      </c>
      <c r="T2739" s="22">
        <f t="shared" si="230"/>
        <v>8</v>
      </c>
      <c r="U2739" s="22">
        <f t="shared" si="231"/>
        <v>2021</v>
      </c>
      <c r="V2739" s="22" t="str">
        <f t="shared" si="232"/>
        <v>REGIONES</v>
      </c>
    </row>
    <row r="2740" spans="1:22" x14ac:dyDescent="0.2">
      <c r="A2740" s="23" t="s">
        <v>3381</v>
      </c>
      <c r="B2740" s="22" t="s">
        <v>18</v>
      </c>
      <c r="C2740" s="22" t="s">
        <v>19</v>
      </c>
      <c r="D2740" s="22" t="s">
        <v>191</v>
      </c>
      <c r="E2740" s="24">
        <v>78551976</v>
      </c>
      <c r="F2740" s="22" t="s">
        <v>815</v>
      </c>
      <c r="G2740" s="25">
        <v>17387.47</v>
      </c>
      <c r="H2740" s="22" t="s">
        <v>85</v>
      </c>
      <c r="I2740" s="22">
        <v>1</v>
      </c>
      <c r="J2740" s="22" t="s">
        <v>815</v>
      </c>
      <c r="K2740" s="22" t="s">
        <v>75</v>
      </c>
      <c r="L2740" s="22">
        <v>0</v>
      </c>
      <c r="M2740" s="26">
        <v>420000</v>
      </c>
      <c r="N2740" s="26">
        <v>0</v>
      </c>
      <c r="O2740" s="15">
        <f t="shared" si="235"/>
        <v>420000</v>
      </c>
      <c r="P2740" s="15">
        <f t="shared" si="234"/>
        <v>24.155325645421673</v>
      </c>
      <c r="Q2740" s="25">
        <v>25000</v>
      </c>
      <c r="R2740" s="22">
        <v>70</v>
      </c>
      <c r="S2740" s="22" t="s">
        <v>3384</v>
      </c>
      <c r="T2740" s="22">
        <f t="shared" si="230"/>
        <v>8</v>
      </c>
      <c r="U2740" s="22">
        <f t="shared" si="231"/>
        <v>2021</v>
      </c>
      <c r="V2740" s="22" t="str">
        <f t="shared" si="232"/>
        <v>REGIONES</v>
      </c>
    </row>
    <row r="2741" spans="1:22" x14ac:dyDescent="0.2">
      <c r="A2741" s="23" t="s">
        <v>3381</v>
      </c>
      <c r="B2741" s="22" t="s">
        <v>33</v>
      </c>
      <c r="C2741" s="22" t="s">
        <v>44</v>
      </c>
      <c r="D2741" s="22" t="s">
        <v>130</v>
      </c>
      <c r="E2741" s="24">
        <v>167832741</v>
      </c>
      <c r="F2741" s="22" t="s">
        <v>132</v>
      </c>
      <c r="G2741" s="25">
        <v>12512.9</v>
      </c>
      <c r="H2741" s="22" t="s">
        <v>85</v>
      </c>
      <c r="I2741" s="22">
        <v>1</v>
      </c>
      <c r="J2741" s="22" t="s">
        <v>132</v>
      </c>
      <c r="K2741" s="22" t="s">
        <v>124</v>
      </c>
      <c r="L2741" s="22">
        <v>0</v>
      </c>
      <c r="M2741" s="26">
        <v>350000</v>
      </c>
      <c r="N2741" s="26">
        <v>0</v>
      </c>
      <c r="O2741" s="15">
        <f t="shared" si="235"/>
        <v>350000</v>
      </c>
      <c r="P2741" s="15">
        <f t="shared" si="234"/>
        <v>27.971133789928793</v>
      </c>
      <c r="Q2741" s="25">
        <v>25000</v>
      </c>
      <c r="R2741" s="22">
        <v>50</v>
      </c>
      <c r="S2741" s="22" t="s">
        <v>3385</v>
      </c>
      <c r="T2741" s="22">
        <f t="shared" si="230"/>
        <v>8</v>
      </c>
      <c r="U2741" s="22">
        <f t="shared" si="231"/>
        <v>2021</v>
      </c>
      <c r="V2741" s="22" t="str">
        <f t="shared" si="232"/>
        <v>REGIONES</v>
      </c>
    </row>
    <row r="2742" spans="1:22" x14ac:dyDescent="0.2">
      <c r="A2742" s="23" t="s">
        <v>3381</v>
      </c>
      <c r="B2742" s="22" t="s">
        <v>33</v>
      </c>
      <c r="C2742" s="22" t="s">
        <v>44</v>
      </c>
      <c r="D2742" s="22" t="s">
        <v>45</v>
      </c>
      <c r="E2742" s="24">
        <v>99626232</v>
      </c>
      <c r="F2742" s="22" t="s">
        <v>134</v>
      </c>
      <c r="G2742" s="25">
        <v>4699.4000000000005</v>
      </c>
      <c r="H2742" s="22" t="s">
        <v>22</v>
      </c>
      <c r="I2742" s="22">
        <v>0</v>
      </c>
      <c r="J2742" s="22" t="s">
        <v>134</v>
      </c>
      <c r="K2742" s="22" t="s">
        <v>23</v>
      </c>
      <c r="L2742" s="22">
        <v>2</v>
      </c>
      <c r="M2742" s="26">
        <v>55000</v>
      </c>
      <c r="N2742" s="26">
        <v>0</v>
      </c>
      <c r="O2742" s="15">
        <f t="shared" si="235"/>
        <v>55000</v>
      </c>
      <c r="P2742" s="15">
        <f t="shared" si="234"/>
        <v>11.703621738945396</v>
      </c>
      <c r="Q2742" s="25">
        <v>5000</v>
      </c>
      <c r="R2742" s="22">
        <v>94</v>
      </c>
      <c r="S2742" s="22" t="s">
        <v>3386</v>
      </c>
      <c r="T2742" s="22">
        <f t="shared" si="230"/>
        <v>8</v>
      </c>
      <c r="U2742" s="22">
        <f t="shared" si="231"/>
        <v>2021</v>
      </c>
      <c r="V2742" s="22" t="str">
        <f t="shared" si="232"/>
        <v>METROPOLITANA</v>
      </c>
    </row>
    <row r="2743" spans="1:22" x14ac:dyDescent="0.2">
      <c r="A2743" s="11" t="s">
        <v>3387</v>
      </c>
      <c r="B2743" s="12" t="s">
        <v>18</v>
      </c>
      <c r="C2743" s="12" t="s">
        <v>270</v>
      </c>
      <c r="D2743" s="12" t="s">
        <v>37</v>
      </c>
      <c r="E2743" s="13">
        <v>154837728</v>
      </c>
      <c r="F2743" s="12" t="s">
        <v>120</v>
      </c>
      <c r="G2743" s="14">
        <v>14016</v>
      </c>
      <c r="H2743" s="12" t="s">
        <v>22</v>
      </c>
      <c r="I2743" s="12">
        <v>0</v>
      </c>
      <c r="J2743" s="12" t="s">
        <v>120</v>
      </c>
      <c r="K2743" s="12" t="s">
        <v>23</v>
      </c>
      <c r="L2743" s="12">
        <v>5</v>
      </c>
      <c r="M2743" s="15">
        <v>70000</v>
      </c>
      <c r="N2743" s="15">
        <v>0</v>
      </c>
      <c r="O2743" s="15">
        <f>G2743*11</f>
        <v>154176</v>
      </c>
      <c r="P2743" s="15">
        <f t="shared" si="234"/>
        <v>11</v>
      </c>
      <c r="Q2743" s="14">
        <v>10000</v>
      </c>
      <c r="R2743" s="12">
        <v>100</v>
      </c>
      <c r="S2743" s="12" t="s">
        <v>3388</v>
      </c>
      <c r="T2743" s="22">
        <f t="shared" si="230"/>
        <v>8</v>
      </c>
      <c r="U2743" s="22">
        <f t="shared" si="231"/>
        <v>2021</v>
      </c>
      <c r="V2743" s="22" t="str">
        <f t="shared" si="232"/>
        <v>METROPOLITANA</v>
      </c>
    </row>
    <row r="2744" spans="1:22" x14ac:dyDescent="0.2">
      <c r="A2744" s="11" t="s">
        <v>3387</v>
      </c>
      <c r="B2744" s="12" t="s">
        <v>18</v>
      </c>
      <c r="C2744" s="12" t="s">
        <v>57</v>
      </c>
      <c r="D2744" s="12" t="s">
        <v>38</v>
      </c>
      <c r="E2744" s="13">
        <v>125108660</v>
      </c>
      <c r="F2744" s="12" t="s">
        <v>308</v>
      </c>
      <c r="G2744" s="14">
        <v>7096.4400000000023</v>
      </c>
      <c r="H2744" s="12" t="s">
        <v>43</v>
      </c>
      <c r="I2744" s="12">
        <v>0</v>
      </c>
      <c r="J2744" s="12" t="s">
        <v>308</v>
      </c>
      <c r="K2744" s="12" t="s">
        <v>78</v>
      </c>
      <c r="L2744" s="12">
        <v>0</v>
      </c>
      <c r="M2744" s="15">
        <v>180000</v>
      </c>
      <c r="N2744" s="15">
        <v>0</v>
      </c>
      <c r="O2744" s="15">
        <f t="shared" ref="O2744:O2783" si="236">SUM(M2744:N2744)</f>
        <v>180000</v>
      </c>
      <c r="P2744" s="15">
        <f t="shared" si="234"/>
        <v>25.364830816578444</v>
      </c>
      <c r="Q2744" s="14">
        <v>25000</v>
      </c>
      <c r="R2744" s="12">
        <v>58</v>
      </c>
      <c r="S2744" s="12" t="s">
        <v>3389</v>
      </c>
      <c r="T2744" s="22">
        <f t="shared" si="230"/>
        <v>8</v>
      </c>
      <c r="U2744" s="22">
        <f t="shared" si="231"/>
        <v>2021</v>
      </c>
      <c r="V2744" s="22" t="str">
        <f t="shared" si="232"/>
        <v>REGIONES</v>
      </c>
    </row>
    <row r="2745" spans="1:22" x14ac:dyDescent="0.2">
      <c r="A2745" s="11" t="s">
        <v>3387</v>
      </c>
      <c r="B2745" s="12" t="s">
        <v>18</v>
      </c>
      <c r="C2745" s="12" t="s">
        <v>457</v>
      </c>
      <c r="D2745" s="12" t="s">
        <v>867</v>
      </c>
      <c r="E2745" s="13">
        <v>98494073</v>
      </c>
      <c r="F2745" s="12" t="s">
        <v>815</v>
      </c>
      <c r="G2745" s="14">
        <v>10692.81</v>
      </c>
      <c r="H2745" s="12" t="s">
        <v>85</v>
      </c>
      <c r="I2745" s="12">
        <v>1</v>
      </c>
      <c r="J2745" s="12" t="s">
        <v>815</v>
      </c>
      <c r="K2745" s="12" t="s">
        <v>75</v>
      </c>
      <c r="L2745" s="12">
        <v>0</v>
      </c>
      <c r="M2745" s="15">
        <v>420000</v>
      </c>
      <c r="N2745" s="15">
        <v>0</v>
      </c>
      <c r="O2745" s="15">
        <f t="shared" si="236"/>
        <v>420000</v>
      </c>
      <c r="P2745" s="15">
        <f t="shared" si="234"/>
        <v>39.278730286987241</v>
      </c>
      <c r="Q2745" s="14">
        <v>25000</v>
      </c>
      <c r="R2745" s="12">
        <v>68</v>
      </c>
      <c r="S2745" s="12" t="s">
        <v>3390</v>
      </c>
      <c r="T2745" s="22">
        <f t="shared" si="230"/>
        <v>8</v>
      </c>
      <c r="U2745" s="22">
        <f t="shared" si="231"/>
        <v>2021</v>
      </c>
      <c r="V2745" s="22" t="str">
        <f t="shared" si="232"/>
        <v>REGIONES</v>
      </c>
    </row>
    <row r="2746" spans="1:22" x14ac:dyDescent="0.2">
      <c r="A2746" s="11" t="s">
        <v>3387</v>
      </c>
      <c r="B2746" s="12" t="s">
        <v>18</v>
      </c>
      <c r="C2746" s="12" t="s">
        <v>508</v>
      </c>
      <c r="D2746" s="12" t="s">
        <v>164</v>
      </c>
      <c r="E2746" s="13">
        <v>81417709</v>
      </c>
      <c r="F2746" s="12" t="s">
        <v>58</v>
      </c>
      <c r="G2746" s="14">
        <v>6505.78</v>
      </c>
      <c r="H2746" s="12" t="s">
        <v>22</v>
      </c>
      <c r="I2746" s="12">
        <v>1</v>
      </c>
      <c r="J2746" s="12" t="s">
        <v>58</v>
      </c>
      <c r="K2746" s="12" t="s">
        <v>23</v>
      </c>
      <c r="L2746" s="12">
        <v>5</v>
      </c>
      <c r="M2746" s="15">
        <v>120000</v>
      </c>
      <c r="N2746" s="15">
        <v>0</v>
      </c>
      <c r="O2746" s="15">
        <f t="shared" si="236"/>
        <v>120000</v>
      </c>
      <c r="P2746" s="15">
        <f t="shared" si="234"/>
        <v>18.445136478638997</v>
      </c>
      <c r="Q2746" s="14">
        <v>10000</v>
      </c>
      <c r="R2746" s="12">
        <v>65</v>
      </c>
      <c r="S2746" s="12" t="s">
        <v>3391</v>
      </c>
      <c r="T2746" s="22">
        <f t="shared" si="230"/>
        <v>8</v>
      </c>
      <c r="U2746" s="22">
        <f t="shared" si="231"/>
        <v>2021</v>
      </c>
      <c r="V2746" s="22" t="str">
        <f t="shared" si="232"/>
        <v>METROPOLITANA</v>
      </c>
    </row>
    <row r="2747" spans="1:22" x14ac:dyDescent="0.2">
      <c r="A2747" s="11" t="s">
        <v>3387</v>
      </c>
      <c r="B2747" s="12" t="s">
        <v>33</v>
      </c>
      <c r="C2747" s="12" t="s">
        <v>163</v>
      </c>
      <c r="D2747" s="12" t="s">
        <v>3392</v>
      </c>
      <c r="E2747" s="13">
        <v>78907355</v>
      </c>
      <c r="F2747" s="12" t="s">
        <v>165</v>
      </c>
      <c r="G2747" s="14">
        <v>9434</v>
      </c>
      <c r="H2747" s="12" t="s">
        <v>24</v>
      </c>
      <c r="I2747" s="12">
        <v>1</v>
      </c>
      <c r="J2747" s="12" t="s">
        <v>165</v>
      </c>
      <c r="K2747" s="12" t="s">
        <v>23</v>
      </c>
      <c r="L2747" s="12">
        <v>4</v>
      </c>
      <c r="M2747" s="15">
        <v>103774</v>
      </c>
      <c r="N2747" s="15">
        <v>0</v>
      </c>
      <c r="O2747" s="15">
        <f t="shared" si="236"/>
        <v>103774</v>
      </c>
      <c r="P2747" s="15">
        <f t="shared" si="234"/>
        <v>11</v>
      </c>
      <c r="Q2747" s="14">
        <v>5000</v>
      </c>
      <c r="R2747" s="12">
        <v>100</v>
      </c>
      <c r="S2747" s="12" t="s">
        <v>3393</v>
      </c>
      <c r="T2747" s="22">
        <f t="shared" si="230"/>
        <v>8</v>
      </c>
      <c r="U2747" s="22">
        <f t="shared" si="231"/>
        <v>2021</v>
      </c>
      <c r="V2747" s="22" t="str">
        <f t="shared" si="232"/>
        <v>METROPOLITANA</v>
      </c>
    </row>
    <row r="2748" spans="1:22" x14ac:dyDescent="0.2">
      <c r="A2748" s="11" t="s">
        <v>3387</v>
      </c>
      <c r="B2748" s="12" t="s">
        <v>33</v>
      </c>
      <c r="C2748" s="12" t="s">
        <v>128</v>
      </c>
      <c r="D2748" s="12" t="s">
        <v>2955</v>
      </c>
      <c r="E2748" s="13">
        <v>65941082</v>
      </c>
      <c r="F2748" s="12" t="s">
        <v>129</v>
      </c>
      <c r="G2748" s="14">
        <v>8553.6000000000058</v>
      </c>
      <c r="H2748" s="12" t="s">
        <v>24</v>
      </c>
      <c r="I2748" s="12">
        <v>1</v>
      </c>
      <c r="J2748" s="12" t="s">
        <v>129</v>
      </c>
      <c r="K2748" s="12" t="s">
        <v>23</v>
      </c>
      <c r="L2748" s="12">
        <v>1</v>
      </c>
      <c r="M2748" s="15">
        <v>94090</v>
      </c>
      <c r="N2748" s="15">
        <v>0</v>
      </c>
      <c r="O2748" s="15">
        <f t="shared" si="236"/>
        <v>94090</v>
      </c>
      <c r="P2748" s="15">
        <f t="shared" si="234"/>
        <v>11.000046763935645</v>
      </c>
      <c r="Q2748" s="14">
        <v>5000</v>
      </c>
      <c r="R2748" s="12">
        <v>100</v>
      </c>
      <c r="S2748" s="12" t="s">
        <v>3394</v>
      </c>
      <c r="T2748" s="22">
        <f t="shared" si="230"/>
        <v>8</v>
      </c>
      <c r="U2748" s="22">
        <f t="shared" si="231"/>
        <v>2021</v>
      </c>
      <c r="V2748" s="22" t="str">
        <f t="shared" si="232"/>
        <v>METROPOLITANA</v>
      </c>
    </row>
    <row r="2749" spans="1:22" x14ac:dyDescent="0.2">
      <c r="A2749" s="11" t="s">
        <v>3387</v>
      </c>
      <c r="B2749" s="12" t="s">
        <v>33</v>
      </c>
      <c r="C2749" s="12" t="s">
        <v>36</v>
      </c>
      <c r="D2749" s="12" t="s">
        <v>63</v>
      </c>
      <c r="E2749" s="13">
        <v>138841065</v>
      </c>
      <c r="F2749" s="12" t="s">
        <v>161</v>
      </c>
      <c r="G2749" s="14">
        <v>9590.4</v>
      </c>
      <c r="H2749" s="12" t="s">
        <v>65</v>
      </c>
      <c r="I2749" s="12">
        <v>0</v>
      </c>
      <c r="J2749" s="12" t="s">
        <v>161</v>
      </c>
      <c r="K2749" s="12" t="s">
        <v>23</v>
      </c>
      <c r="L2749" s="12">
        <v>5</v>
      </c>
      <c r="M2749" s="15">
        <v>70000</v>
      </c>
      <c r="N2749" s="15">
        <v>0</v>
      </c>
      <c r="O2749" s="15">
        <f t="shared" si="236"/>
        <v>70000</v>
      </c>
      <c r="P2749" s="15">
        <f t="shared" si="234"/>
        <v>7.298965632298966</v>
      </c>
      <c r="Q2749" s="14">
        <v>10000</v>
      </c>
      <c r="R2749" s="12">
        <v>96</v>
      </c>
      <c r="S2749" s="12" t="s">
        <v>3395</v>
      </c>
      <c r="T2749" s="22">
        <f t="shared" si="230"/>
        <v>8</v>
      </c>
      <c r="U2749" s="22">
        <f t="shared" si="231"/>
        <v>2021</v>
      </c>
      <c r="V2749" s="22" t="str">
        <f t="shared" si="232"/>
        <v>METROPOLITANA</v>
      </c>
    </row>
    <row r="2750" spans="1:22" x14ac:dyDescent="0.2">
      <c r="A2750" s="11" t="s">
        <v>3387</v>
      </c>
      <c r="B2750" s="12" t="s">
        <v>33</v>
      </c>
      <c r="C2750" s="12" t="s">
        <v>29</v>
      </c>
      <c r="D2750" s="12" t="s">
        <v>38</v>
      </c>
      <c r="E2750" s="13">
        <v>53173292</v>
      </c>
      <c r="F2750" s="12" t="s">
        <v>39</v>
      </c>
      <c r="G2750" s="14">
        <v>7802.9999999999991</v>
      </c>
      <c r="H2750" s="12" t="s">
        <v>43</v>
      </c>
      <c r="I2750" s="12">
        <v>0</v>
      </c>
      <c r="J2750" s="12" t="s">
        <v>39</v>
      </c>
      <c r="K2750" s="12" t="s">
        <v>23</v>
      </c>
      <c r="L2750" s="12">
        <v>1</v>
      </c>
      <c r="M2750" s="15">
        <v>85833</v>
      </c>
      <c r="N2750" s="15">
        <v>0</v>
      </c>
      <c r="O2750" s="15">
        <f t="shared" si="236"/>
        <v>85833</v>
      </c>
      <c r="P2750" s="15">
        <f t="shared" si="234"/>
        <v>11.000000000000002</v>
      </c>
      <c r="Q2750" s="14">
        <v>5000</v>
      </c>
      <c r="R2750" s="12">
        <v>100</v>
      </c>
      <c r="S2750" s="12" t="s">
        <v>3396</v>
      </c>
      <c r="T2750" s="22">
        <f t="shared" si="230"/>
        <v>8</v>
      </c>
      <c r="U2750" s="22">
        <f t="shared" si="231"/>
        <v>2021</v>
      </c>
      <c r="V2750" s="22" t="str">
        <f t="shared" si="232"/>
        <v>METROPOLITANA</v>
      </c>
    </row>
    <row r="2751" spans="1:22" x14ac:dyDescent="0.2">
      <c r="A2751" s="11" t="s">
        <v>3387</v>
      </c>
      <c r="B2751" s="12" t="s">
        <v>33</v>
      </c>
      <c r="C2751" s="12" t="s">
        <v>29</v>
      </c>
      <c r="D2751" s="12" t="s">
        <v>30</v>
      </c>
      <c r="E2751" s="13">
        <v>72564391</v>
      </c>
      <c r="F2751" s="12" t="s">
        <v>39</v>
      </c>
      <c r="G2751" s="14">
        <v>8463.1999999999989</v>
      </c>
      <c r="H2751" s="12" t="s">
        <v>32</v>
      </c>
      <c r="I2751" s="12">
        <v>0</v>
      </c>
      <c r="J2751" s="12" t="s">
        <v>39</v>
      </c>
      <c r="K2751" s="12" t="s">
        <v>23</v>
      </c>
      <c r="L2751" s="12">
        <v>1</v>
      </c>
      <c r="M2751" s="15">
        <v>93095</v>
      </c>
      <c r="N2751" s="15">
        <v>0</v>
      </c>
      <c r="O2751" s="15">
        <f t="shared" si="236"/>
        <v>93095</v>
      </c>
      <c r="P2751" s="15">
        <f t="shared" si="234"/>
        <v>10.999976368276776</v>
      </c>
      <c r="Q2751" s="14">
        <v>5000</v>
      </c>
      <c r="R2751" s="12">
        <v>100</v>
      </c>
      <c r="S2751" s="12" t="s">
        <v>3397</v>
      </c>
      <c r="T2751" s="22">
        <f t="shared" si="230"/>
        <v>8</v>
      </c>
      <c r="U2751" s="22">
        <f t="shared" si="231"/>
        <v>2021</v>
      </c>
      <c r="V2751" s="22" t="str">
        <f t="shared" si="232"/>
        <v>METROPOLITANA</v>
      </c>
    </row>
    <row r="2752" spans="1:22" x14ac:dyDescent="0.2">
      <c r="A2752" s="11" t="s">
        <v>3387</v>
      </c>
      <c r="B2752" s="12" t="s">
        <v>33</v>
      </c>
      <c r="C2752" s="12" t="s">
        <v>2698</v>
      </c>
      <c r="D2752" s="12" t="s">
        <v>41</v>
      </c>
      <c r="E2752" s="13">
        <v>53173292</v>
      </c>
      <c r="F2752" s="12" t="s">
        <v>34</v>
      </c>
      <c r="G2752" s="14">
        <v>6753.5999999999995</v>
      </c>
      <c r="H2752" s="12" t="s">
        <v>43</v>
      </c>
      <c r="I2752" s="12">
        <v>0</v>
      </c>
      <c r="J2752" s="12" t="s">
        <v>34</v>
      </c>
      <c r="K2752" s="12" t="s">
        <v>23</v>
      </c>
      <c r="L2752" s="12">
        <v>1</v>
      </c>
      <c r="M2752" s="15">
        <v>74290</v>
      </c>
      <c r="N2752" s="15">
        <v>0</v>
      </c>
      <c r="O2752" s="15">
        <f t="shared" si="236"/>
        <v>74290</v>
      </c>
      <c r="P2752" s="15">
        <f t="shared" si="234"/>
        <v>11.000059227671169</v>
      </c>
      <c r="Q2752" s="14">
        <v>5000</v>
      </c>
      <c r="R2752" s="12">
        <v>100</v>
      </c>
      <c r="S2752" s="12" t="s">
        <v>3398</v>
      </c>
      <c r="T2752" s="22">
        <f t="shared" si="230"/>
        <v>8</v>
      </c>
      <c r="U2752" s="22">
        <f t="shared" si="231"/>
        <v>2021</v>
      </c>
      <c r="V2752" s="22" t="str">
        <f t="shared" si="232"/>
        <v>METROPOLITANA</v>
      </c>
    </row>
    <row r="2753" spans="1:22" x14ac:dyDescent="0.2">
      <c r="A2753" s="11" t="s">
        <v>3387</v>
      </c>
      <c r="B2753" s="12" t="s">
        <v>33</v>
      </c>
      <c r="C2753" s="12" t="s">
        <v>44</v>
      </c>
      <c r="D2753" s="12" t="s">
        <v>45</v>
      </c>
      <c r="E2753" s="13">
        <v>99626232</v>
      </c>
      <c r="F2753" s="12" t="s">
        <v>34</v>
      </c>
      <c r="G2753" s="14">
        <v>3735.6</v>
      </c>
      <c r="H2753" s="12" t="s">
        <v>22</v>
      </c>
      <c r="I2753" s="12">
        <v>0</v>
      </c>
      <c r="J2753" s="12" t="s">
        <v>34</v>
      </c>
      <c r="K2753" s="12" t="s">
        <v>23</v>
      </c>
      <c r="L2753" s="12">
        <v>1</v>
      </c>
      <c r="M2753" s="15">
        <v>55000</v>
      </c>
      <c r="N2753" s="15">
        <v>0</v>
      </c>
      <c r="O2753" s="15">
        <f t="shared" si="236"/>
        <v>55000</v>
      </c>
      <c r="P2753" s="15">
        <f t="shared" si="234"/>
        <v>14.723203769140165</v>
      </c>
      <c r="Q2753" s="14">
        <v>5000</v>
      </c>
      <c r="R2753" s="12">
        <v>89</v>
      </c>
      <c r="S2753" s="12" t="s">
        <v>3399</v>
      </c>
      <c r="T2753" s="22">
        <f t="shared" si="230"/>
        <v>8</v>
      </c>
      <c r="U2753" s="22">
        <f t="shared" si="231"/>
        <v>2021</v>
      </c>
      <c r="V2753" s="22" t="str">
        <f t="shared" si="232"/>
        <v>METROPOLITANA</v>
      </c>
    </row>
    <row r="2754" spans="1:22" x14ac:dyDescent="0.2">
      <c r="A2754" s="11" t="s">
        <v>3387</v>
      </c>
      <c r="B2754" s="12" t="s">
        <v>33</v>
      </c>
      <c r="C2754" s="12" t="s">
        <v>44</v>
      </c>
      <c r="D2754" s="12" t="s">
        <v>47</v>
      </c>
      <c r="E2754" s="13">
        <v>154837728</v>
      </c>
      <c r="F2754" s="12" t="s">
        <v>48</v>
      </c>
      <c r="G2754" s="14">
        <v>6304.8</v>
      </c>
      <c r="H2754" s="12" t="s">
        <v>22</v>
      </c>
      <c r="I2754" s="12">
        <v>0</v>
      </c>
      <c r="J2754" s="12" t="s">
        <v>48</v>
      </c>
      <c r="K2754" s="12" t="s">
        <v>23</v>
      </c>
      <c r="L2754" s="12">
        <v>1</v>
      </c>
      <c r="M2754" s="15">
        <v>69353</v>
      </c>
      <c r="N2754" s="15">
        <v>0</v>
      </c>
      <c r="O2754" s="15">
        <f t="shared" si="236"/>
        <v>69353</v>
      </c>
      <c r="P2754" s="15">
        <f t="shared" si="234"/>
        <v>11.000031721862708</v>
      </c>
      <c r="Q2754" s="14">
        <v>5000</v>
      </c>
      <c r="R2754" s="12">
        <v>100</v>
      </c>
      <c r="S2754" s="12" t="s">
        <v>3400</v>
      </c>
      <c r="T2754" s="22">
        <f t="shared" si="230"/>
        <v>8</v>
      </c>
      <c r="U2754" s="22">
        <f t="shared" si="231"/>
        <v>2021</v>
      </c>
      <c r="V2754" s="22" t="str">
        <f t="shared" si="232"/>
        <v>METROPOLITANA</v>
      </c>
    </row>
    <row r="2755" spans="1:22" x14ac:dyDescent="0.2">
      <c r="A2755" s="11" t="s">
        <v>3387</v>
      </c>
      <c r="B2755" s="12" t="s">
        <v>33</v>
      </c>
      <c r="C2755" s="12" t="s">
        <v>44</v>
      </c>
      <c r="D2755" s="12" t="s">
        <v>125</v>
      </c>
      <c r="E2755" s="13">
        <v>172861164</v>
      </c>
      <c r="F2755" s="12" t="s">
        <v>59</v>
      </c>
      <c r="G2755" s="14">
        <v>13177.6</v>
      </c>
      <c r="H2755" s="12" t="s">
        <v>174</v>
      </c>
      <c r="I2755" s="12">
        <v>0</v>
      </c>
      <c r="J2755" s="12" t="s">
        <v>59</v>
      </c>
      <c r="K2755" s="12" t="s">
        <v>78</v>
      </c>
      <c r="L2755" s="12">
        <v>0</v>
      </c>
      <c r="M2755" s="15">
        <v>180000</v>
      </c>
      <c r="N2755" s="15">
        <v>0</v>
      </c>
      <c r="O2755" s="15">
        <f t="shared" si="236"/>
        <v>180000</v>
      </c>
      <c r="P2755" s="15">
        <f t="shared" si="234"/>
        <v>13.659543467702768</v>
      </c>
      <c r="Q2755" s="14">
        <v>25000</v>
      </c>
      <c r="R2755" s="12">
        <v>76</v>
      </c>
      <c r="S2755" s="12" t="s">
        <v>3401</v>
      </c>
      <c r="T2755" s="22">
        <f t="shared" si="230"/>
        <v>8</v>
      </c>
      <c r="U2755" s="22">
        <f t="shared" si="231"/>
        <v>2021</v>
      </c>
      <c r="V2755" s="22" t="str">
        <f t="shared" si="232"/>
        <v>REGIONES</v>
      </c>
    </row>
    <row r="2756" spans="1:22" x14ac:dyDescent="0.2">
      <c r="A2756" s="23" t="s">
        <v>3402</v>
      </c>
      <c r="B2756" s="22" t="s">
        <v>18</v>
      </c>
      <c r="C2756" s="22" t="s">
        <v>457</v>
      </c>
      <c r="D2756" s="22" t="s">
        <v>125</v>
      </c>
      <c r="E2756" s="24">
        <v>172861164</v>
      </c>
      <c r="F2756" s="22" t="s">
        <v>3223</v>
      </c>
      <c r="G2756" s="25">
        <v>12903.75</v>
      </c>
      <c r="H2756" s="22" t="s">
        <v>174</v>
      </c>
      <c r="I2756" s="22">
        <v>0</v>
      </c>
      <c r="J2756" s="22" t="s">
        <v>3223</v>
      </c>
      <c r="K2756" s="22" t="s">
        <v>75</v>
      </c>
      <c r="L2756" s="22">
        <v>0</v>
      </c>
      <c r="M2756" s="26">
        <v>420000</v>
      </c>
      <c r="N2756" s="26">
        <v>0</v>
      </c>
      <c r="O2756" s="15">
        <f t="shared" si="236"/>
        <v>420000</v>
      </c>
      <c r="P2756" s="15">
        <f t="shared" si="234"/>
        <v>32.548677709968032</v>
      </c>
      <c r="Q2756" s="25">
        <v>25000</v>
      </c>
      <c r="R2756" s="22">
        <v>52</v>
      </c>
      <c r="S2756" s="22" t="s">
        <v>3403</v>
      </c>
      <c r="T2756" s="22">
        <f t="shared" si="230"/>
        <v>8</v>
      </c>
      <c r="U2756" s="22">
        <f t="shared" si="231"/>
        <v>2021</v>
      </c>
      <c r="V2756" s="22" t="str">
        <f t="shared" si="232"/>
        <v>REGIONES</v>
      </c>
    </row>
    <row r="2757" spans="1:22" x14ac:dyDescent="0.2">
      <c r="A2757" s="23" t="s">
        <v>3402</v>
      </c>
      <c r="B2757" s="22" t="s">
        <v>18</v>
      </c>
      <c r="C2757" s="22" t="s">
        <v>87</v>
      </c>
      <c r="D2757" s="22" t="s">
        <v>164</v>
      </c>
      <c r="E2757" s="24">
        <v>81417709</v>
      </c>
      <c r="F2757" s="22" t="s">
        <v>51</v>
      </c>
      <c r="G2757" s="25">
        <v>20306.700000000012</v>
      </c>
      <c r="H2757" s="22" t="s">
        <v>22</v>
      </c>
      <c r="I2757" s="22">
        <v>1</v>
      </c>
      <c r="J2757" s="22" t="s">
        <v>51</v>
      </c>
      <c r="K2757" s="22" t="s">
        <v>23</v>
      </c>
      <c r="L2757" s="22">
        <v>4</v>
      </c>
      <c r="M2757" s="26">
        <v>223374</v>
      </c>
      <c r="N2757" s="26">
        <v>0</v>
      </c>
      <c r="O2757" s="15">
        <f t="shared" si="236"/>
        <v>223374</v>
      </c>
      <c r="P2757" s="15">
        <f t="shared" si="234"/>
        <v>11.00001477344915</v>
      </c>
      <c r="Q2757" s="25">
        <v>5000</v>
      </c>
      <c r="R2757" s="22">
        <v>100</v>
      </c>
      <c r="S2757" s="22" t="s">
        <v>3404</v>
      </c>
      <c r="T2757" s="22">
        <f t="shared" si="230"/>
        <v>8</v>
      </c>
      <c r="U2757" s="22">
        <f t="shared" si="231"/>
        <v>2021</v>
      </c>
      <c r="V2757" s="22" t="str">
        <f t="shared" si="232"/>
        <v>METROPOLITANA</v>
      </c>
    </row>
    <row r="2758" spans="1:22" x14ac:dyDescent="0.2">
      <c r="A2758" s="23" t="s">
        <v>3402</v>
      </c>
      <c r="B2758" s="22" t="s">
        <v>33</v>
      </c>
      <c r="C2758" s="22" t="s">
        <v>36</v>
      </c>
      <c r="D2758" s="22" t="s">
        <v>20</v>
      </c>
      <c r="E2758" s="24">
        <v>78907355</v>
      </c>
      <c r="F2758" s="22" t="s">
        <v>120</v>
      </c>
      <c r="G2758" s="25">
        <v>7095.6</v>
      </c>
      <c r="H2758" s="22" t="s">
        <v>22</v>
      </c>
      <c r="I2758" s="22">
        <v>0</v>
      </c>
      <c r="J2758" s="22" t="s">
        <v>120</v>
      </c>
      <c r="K2758" s="22" t="s">
        <v>23</v>
      </c>
      <c r="L2758" s="22">
        <v>5</v>
      </c>
      <c r="M2758" s="26">
        <v>70000</v>
      </c>
      <c r="N2758" s="26">
        <v>0</v>
      </c>
      <c r="O2758" s="15">
        <f t="shared" si="236"/>
        <v>70000</v>
      </c>
      <c r="P2758" s="15">
        <f t="shared" si="234"/>
        <v>9.8652686171712034</v>
      </c>
      <c r="Q2758" s="25">
        <v>10000</v>
      </c>
      <c r="R2758" s="22">
        <v>71</v>
      </c>
      <c r="S2758" s="22" t="s">
        <v>3405</v>
      </c>
      <c r="T2758" s="22">
        <f t="shared" si="230"/>
        <v>8</v>
      </c>
      <c r="U2758" s="22">
        <f t="shared" si="231"/>
        <v>2021</v>
      </c>
      <c r="V2758" s="22" t="str">
        <f t="shared" si="232"/>
        <v>METROPOLITANA</v>
      </c>
    </row>
    <row r="2759" spans="1:22" x14ac:dyDescent="0.2">
      <c r="A2759" s="23" t="s">
        <v>3402</v>
      </c>
      <c r="B2759" s="22" t="s">
        <v>33</v>
      </c>
      <c r="C2759" s="22" t="s">
        <v>29</v>
      </c>
      <c r="D2759" s="22" t="s">
        <v>61</v>
      </c>
      <c r="E2759" s="24">
        <v>115812335</v>
      </c>
      <c r="F2759" s="22" t="s">
        <v>132</v>
      </c>
      <c r="G2759" s="25">
        <v>14701.59999999998</v>
      </c>
      <c r="H2759" s="22" t="s">
        <v>85</v>
      </c>
      <c r="I2759" s="22">
        <v>1</v>
      </c>
      <c r="J2759" s="22" t="s">
        <v>132</v>
      </c>
      <c r="K2759" s="22" t="s">
        <v>124</v>
      </c>
      <c r="L2759" s="22">
        <v>0</v>
      </c>
      <c r="M2759" s="26">
        <v>350000</v>
      </c>
      <c r="N2759" s="26">
        <v>0</v>
      </c>
      <c r="O2759" s="15">
        <f t="shared" si="236"/>
        <v>350000</v>
      </c>
      <c r="P2759" s="15">
        <f t="shared" si="234"/>
        <v>23.806932578766968</v>
      </c>
      <c r="Q2759" s="25">
        <v>25000</v>
      </c>
      <c r="R2759" s="22">
        <v>78</v>
      </c>
      <c r="S2759" s="22" t="s">
        <v>3406</v>
      </c>
      <c r="T2759" s="22">
        <f t="shared" si="230"/>
        <v>8</v>
      </c>
      <c r="U2759" s="22">
        <f t="shared" si="231"/>
        <v>2021</v>
      </c>
      <c r="V2759" s="22" t="str">
        <f t="shared" si="232"/>
        <v>REGIONES</v>
      </c>
    </row>
    <row r="2760" spans="1:22" x14ac:dyDescent="0.2">
      <c r="A2760" s="23" t="s">
        <v>3402</v>
      </c>
      <c r="B2760" s="22" t="s">
        <v>33</v>
      </c>
      <c r="C2760" s="22" t="s">
        <v>29</v>
      </c>
      <c r="D2760" s="22" t="s">
        <v>786</v>
      </c>
      <c r="E2760" s="24">
        <v>95707734</v>
      </c>
      <c r="F2760" s="22" t="s">
        <v>170</v>
      </c>
      <c r="G2760" s="25">
        <v>15629.599999999989</v>
      </c>
      <c r="H2760" s="22" t="s">
        <v>788</v>
      </c>
      <c r="I2760" s="22">
        <v>1</v>
      </c>
      <c r="J2760" s="22" t="s">
        <v>170</v>
      </c>
      <c r="K2760" s="22" t="s">
        <v>171</v>
      </c>
      <c r="L2760" s="22">
        <v>0</v>
      </c>
      <c r="M2760" s="26">
        <v>230000</v>
      </c>
      <c r="N2760" s="26">
        <v>0</v>
      </c>
      <c r="O2760" s="15">
        <f t="shared" si="236"/>
        <v>230000</v>
      </c>
      <c r="P2760" s="15">
        <f t="shared" si="234"/>
        <v>14.715667707426944</v>
      </c>
      <c r="Q2760" s="25">
        <v>25000</v>
      </c>
      <c r="R2760" s="22">
        <v>85</v>
      </c>
      <c r="S2760" s="22" t="s">
        <v>3407</v>
      </c>
      <c r="T2760" s="22">
        <f t="shared" ref="T2760:T2823" si="237">MONTH(A2760)</f>
        <v>8</v>
      </c>
      <c r="U2760" s="22">
        <f t="shared" ref="U2760:U2823" si="238">YEAR(A2760)</f>
        <v>2021</v>
      </c>
      <c r="V2760" s="22" t="str">
        <f t="shared" ref="V2760:V2823" si="239">IF(K2760="METROPOLITANA DE SANTIAGO","METROPOLITANA","REGIONES")</f>
        <v>REGIONES</v>
      </c>
    </row>
    <row r="2761" spans="1:22" x14ac:dyDescent="0.2">
      <c r="A2761" s="23" t="s">
        <v>3402</v>
      </c>
      <c r="B2761" s="22" t="s">
        <v>33</v>
      </c>
      <c r="C2761" s="22" t="s">
        <v>29</v>
      </c>
      <c r="D2761" s="22" t="s">
        <v>63</v>
      </c>
      <c r="E2761" s="24">
        <v>138841065</v>
      </c>
      <c r="F2761" s="22" t="s">
        <v>39</v>
      </c>
      <c r="G2761" s="25">
        <v>7151.7000000000016</v>
      </c>
      <c r="H2761" s="22" t="s">
        <v>65</v>
      </c>
      <c r="I2761" s="22">
        <v>0</v>
      </c>
      <c r="J2761" s="22" t="s">
        <v>39</v>
      </c>
      <c r="K2761" s="22" t="s">
        <v>23</v>
      </c>
      <c r="L2761" s="22">
        <v>1</v>
      </c>
      <c r="M2761" s="26">
        <v>78669</v>
      </c>
      <c r="N2761" s="26">
        <v>0</v>
      </c>
      <c r="O2761" s="15">
        <f t="shared" si="236"/>
        <v>78669</v>
      </c>
      <c r="P2761" s="15">
        <f t="shared" si="234"/>
        <v>11.000041948068288</v>
      </c>
      <c r="Q2761" s="25">
        <v>5000</v>
      </c>
      <c r="R2761" s="22">
        <v>100</v>
      </c>
      <c r="S2761" s="22" t="s">
        <v>3408</v>
      </c>
      <c r="T2761" s="22">
        <f t="shared" si="237"/>
        <v>8</v>
      </c>
      <c r="U2761" s="22">
        <f t="shared" si="238"/>
        <v>2021</v>
      </c>
      <c r="V2761" s="22" t="str">
        <f t="shared" si="239"/>
        <v>METROPOLITANA</v>
      </c>
    </row>
    <row r="2762" spans="1:22" x14ac:dyDescent="0.2">
      <c r="A2762" s="23" t="s">
        <v>3402</v>
      </c>
      <c r="B2762" s="22" t="s">
        <v>33</v>
      </c>
      <c r="C2762" s="22" t="s">
        <v>29</v>
      </c>
      <c r="D2762" s="22" t="s">
        <v>45</v>
      </c>
      <c r="E2762" s="24">
        <v>99626232</v>
      </c>
      <c r="F2762" s="22" t="s">
        <v>134</v>
      </c>
      <c r="G2762" s="25">
        <v>4778.1000000000004</v>
      </c>
      <c r="H2762" s="22" t="s">
        <v>22</v>
      </c>
      <c r="I2762" s="22">
        <v>0</v>
      </c>
      <c r="J2762" s="22" t="s">
        <v>134</v>
      </c>
      <c r="K2762" s="22" t="s">
        <v>23</v>
      </c>
      <c r="L2762" s="22">
        <v>2</v>
      </c>
      <c r="M2762" s="26">
        <v>55000</v>
      </c>
      <c r="N2762" s="26">
        <v>0</v>
      </c>
      <c r="O2762" s="15">
        <f t="shared" si="236"/>
        <v>55000</v>
      </c>
      <c r="P2762" s="15">
        <f t="shared" si="234"/>
        <v>11.510851593729724</v>
      </c>
      <c r="Q2762" s="25">
        <v>5000</v>
      </c>
      <c r="R2762" s="22">
        <v>96</v>
      </c>
      <c r="S2762" s="22" t="s">
        <v>3409</v>
      </c>
      <c r="T2762" s="22">
        <f t="shared" si="237"/>
        <v>8</v>
      </c>
      <c r="U2762" s="22">
        <f t="shared" si="238"/>
        <v>2021</v>
      </c>
      <c r="V2762" s="22" t="str">
        <f t="shared" si="239"/>
        <v>METROPOLITANA</v>
      </c>
    </row>
    <row r="2763" spans="1:22" x14ac:dyDescent="0.2">
      <c r="A2763" s="23" t="s">
        <v>3402</v>
      </c>
      <c r="B2763" s="22" t="s">
        <v>33</v>
      </c>
      <c r="C2763" s="22" t="s">
        <v>29</v>
      </c>
      <c r="D2763" s="22" t="s">
        <v>41</v>
      </c>
      <c r="E2763" s="24">
        <v>125108660</v>
      </c>
      <c r="F2763" s="22" t="s">
        <v>173</v>
      </c>
      <c r="G2763" s="25">
        <v>8177.7999999999975</v>
      </c>
      <c r="H2763" s="22" t="s">
        <v>43</v>
      </c>
      <c r="I2763" s="22">
        <v>0</v>
      </c>
      <c r="J2763" s="22" t="s">
        <v>173</v>
      </c>
      <c r="K2763" s="22" t="s">
        <v>23</v>
      </c>
      <c r="L2763" s="22">
        <v>5</v>
      </c>
      <c r="M2763" s="26">
        <v>90000</v>
      </c>
      <c r="N2763" s="26">
        <v>0</v>
      </c>
      <c r="O2763" s="15">
        <f t="shared" si="236"/>
        <v>90000</v>
      </c>
      <c r="P2763" s="15">
        <f t="shared" si="234"/>
        <v>11.005404876617186</v>
      </c>
      <c r="Q2763" s="25">
        <v>10000</v>
      </c>
      <c r="R2763" s="22">
        <v>82</v>
      </c>
      <c r="S2763" s="22" t="s">
        <v>3410</v>
      </c>
      <c r="T2763" s="22">
        <f t="shared" si="237"/>
        <v>8</v>
      </c>
      <c r="U2763" s="22">
        <f t="shared" si="238"/>
        <v>2021</v>
      </c>
      <c r="V2763" s="22" t="str">
        <f t="shared" si="239"/>
        <v>METROPOLITANA</v>
      </c>
    </row>
    <row r="2764" spans="1:22" x14ac:dyDescent="0.2">
      <c r="A2764" s="23" t="s">
        <v>3402</v>
      </c>
      <c r="B2764" s="22" t="s">
        <v>33</v>
      </c>
      <c r="C2764" s="22" t="s">
        <v>44</v>
      </c>
      <c r="D2764" s="22" t="s">
        <v>38</v>
      </c>
      <c r="E2764" s="24">
        <v>53173292</v>
      </c>
      <c r="F2764" s="22" t="s">
        <v>26</v>
      </c>
      <c r="G2764" s="25">
        <v>3368</v>
      </c>
      <c r="H2764" s="22" t="s">
        <v>43</v>
      </c>
      <c r="I2764" s="22">
        <v>0</v>
      </c>
      <c r="J2764" s="22" t="s">
        <v>26</v>
      </c>
      <c r="K2764" s="22" t="s">
        <v>23</v>
      </c>
      <c r="L2764" s="22">
        <v>4</v>
      </c>
      <c r="M2764" s="26">
        <v>55000</v>
      </c>
      <c r="N2764" s="26">
        <v>0</v>
      </c>
      <c r="O2764" s="15">
        <f t="shared" si="236"/>
        <v>55000</v>
      </c>
      <c r="P2764" s="15">
        <f t="shared" si="234"/>
        <v>16.330166270783849</v>
      </c>
      <c r="Q2764" s="25">
        <v>5000</v>
      </c>
      <c r="R2764" s="22">
        <v>67</v>
      </c>
      <c r="S2764" s="22" t="s">
        <v>3411</v>
      </c>
      <c r="T2764" s="22">
        <f t="shared" si="237"/>
        <v>8</v>
      </c>
      <c r="U2764" s="22">
        <f t="shared" si="238"/>
        <v>2021</v>
      </c>
      <c r="V2764" s="22" t="str">
        <f t="shared" si="239"/>
        <v>METROPOLITANA</v>
      </c>
    </row>
    <row r="2765" spans="1:22" x14ac:dyDescent="0.2">
      <c r="A2765" s="23" t="s">
        <v>3402</v>
      </c>
      <c r="B2765" s="22" t="s">
        <v>33</v>
      </c>
      <c r="C2765" s="22" t="s">
        <v>44</v>
      </c>
      <c r="D2765" s="22" t="s">
        <v>63</v>
      </c>
      <c r="E2765" s="24">
        <v>138841065</v>
      </c>
      <c r="F2765" s="22" t="s">
        <v>67</v>
      </c>
      <c r="G2765" s="25">
        <v>3531.2</v>
      </c>
      <c r="H2765" s="22" t="s">
        <v>65</v>
      </c>
      <c r="I2765" s="22">
        <v>0</v>
      </c>
      <c r="J2765" s="22" t="s">
        <v>67</v>
      </c>
      <c r="K2765" s="22" t="s">
        <v>23</v>
      </c>
      <c r="L2765" s="22">
        <v>2</v>
      </c>
      <c r="M2765" s="26">
        <v>55000</v>
      </c>
      <c r="N2765" s="26">
        <v>0</v>
      </c>
      <c r="O2765" s="15">
        <f t="shared" si="236"/>
        <v>55000</v>
      </c>
      <c r="P2765" s="15">
        <f t="shared" si="234"/>
        <v>15.575441776166743</v>
      </c>
      <c r="Q2765" s="25">
        <v>5000</v>
      </c>
      <c r="R2765" s="22">
        <v>71</v>
      </c>
      <c r="S2765" s="22" t="s">
        <v>3412</v>
      </c>
      <c r="T2765" s="22">
        <f t="shared" si="237"/>
        <v>8</v>
      </c>
      <c r="U2765" s="22">
        <f t="shared" si="238"/>
        <v>2021</v>
      </c>
      <c r="V2765" s="22" t="str">
        <f t="shared" si="239"/>
        <v>METROPOLITANA</v>
      </c>
    </row>
    <row r="2766" spans="1:22" x14ac:dyDescent="0.2">
      <c r="A2766" s="23" t="s">
        <v>3402</v>
      </c>
      <c r="B2766" s="22" t="s">
        <v>33</v>
      </c>
      <c r="C2766" s="22" t="s">
        <v>44</v>
      </c>
      <c r="D2766" s="22" t="s">
        <v>30</v>
      </c>
      <c r="E2766" s="24">
        <v>72564391</v>
      </c>
      <c r="F2766" s="22" t="s">
        <v>94</v>
      </c>
      <c r="G2766" s="25">
        <v>6799.9999999999991</v>
      </c>
      <c r="H2766" s="22" t="s">
        <v>32</v>
      </c>
      <c r="I2766" s="22">
        <v>0</v>
      </c>
      <c r="J2766" s="22" t="s">
        <v>59</v>
      </c>
      <c r="K2766" s="22" t="s">
        <v>78</v>
      </c>
      <c r="L2766" s="22">
        <v>0</v>
      </c>
      <c r="M2766" s="26">
        <v>180000</v>
      </c>
      <c r="N2766" s="26">
        <v>0</v>
      </c>
      <c r="O2766" s="15">
        <f t="shared" si="236"/>
        <v>180000</v>
      </c>
      <c r="P2766" s="15">
        <f t="shared" si="234"/>
        <v>26.47058823529412</v>
      </c>
      <c r="Q2766" s="25">
        <v>25000</v>
      </c>
      <c r="R2766" s="22">
        <v>56</v>
      </c>
      <c r="S2766" s="22" t="s">
        <v>3413</v>
      </c>
      <c r="T2766" s="22">
        <f t="shared" si="237"/>
        <v>8</v>
      </c>
      <c r="U2766" s="22">
        <f t="shared" si="238"/>
        <v>2021</v>
      </c>
      <c r="V2766" s="22" t="str">
        <f t="shared" si="239"/>
        <v>REGIONES</v>
      </c>
    </row>
    <row r="2767" spans="1:22" x14ac:dyDescent="0.2">
      <c r="A2767" s="23" t="s">
        <v>3402</v>
      </c>
      <c r="B2767" s="22" t="s">
        <v>33</v>
      </c>
      <c r="C2767" s="22" t="s">
        <v>44</v>
      </c>
      <c r="D2767" s="22" t="s">
        <v>47</v>
      </c>
      <c r="E2767" s="24">
        <v>154837728</v>
      </c>
      <c r="F2767" s="22" t="s">
        <v>48</v>
      </c>
      <c r="G2767" s="25">
        <v>5874.4000000000024</v>
      </c>
      <c r="H2767" s="22" t="s">
        <v>22</v>
      </c>
      <c r="I2767" s="22">
        <v>0</v>
      </c>
      <c r="J2767" s="22" t="s">
        <v>48</v>
      </c>
      <c r="K2767" s="22" t="s">
        <v>23</v>
      </c>
      <c r="L2767" s="22">
        <v>1</v>
      </c>
      <c r="M2767" s="26">
        <v>64618</v>
      </c>
      <c r="N2767" s="26">
        <v>0</v>
      </c>
      <c r="O2767" s="15">
        <f t="shared" si="236"/>
        <v>64618</v>
      </c>
      <c r="P2767" s="15">
        <f t="shared" si="234"/>
        <v>10.99993190793953</v>
      </c>
      <c r="Q2767" s="25">
        <v>5000</v>
      </c>
      <c r="R2767" s="22">
        <v>100</v>
      </c>
      <c r="S2767" s="22" t="s">
        <v>3414</v>
      </c>
      <c r="T2767" s="22">
        <f t="shared" si="237"/>
        <v>8</v>
      </c>
      <c r="U2767" s="22">
        <f t="shared" si="238"/>
        <v>2021</v>
      </c>
      <c r="V2767" s="22" t="str">
        <f t="shared" si="239"/>
        <v>METROPOLITANA</v>
      </c>
    </row>
    <row r="2768" spans="1:22" x14ac:dyDescent="0.2">
      <c r="A2768" s="11" t="s">
        <v>3415</v>
      </c>
      <c r="B2768" s="12" t="s">
        <v>18</v>
      </c>
      <c r="C2768" s="12" t="s">
        <v>579</v>
      </c>
      <c r="D2768" s="12" t="s">
        <v>20</v>
      </c>
      <c r="E2768" s="13">
        <v>78907355</v>
      </c>
      <c r="F2768" s="12" t="s">
        <v>161</v>
      </c>
      <c r="G2768" s="14">
        <v>4120.3</v>
      </c>
      <c r="H2768" s="12" t="s">
        <v>22</v>
      </c>
      <c r="I2768" s="12">
        <v>0</v>
      </c>
      <c r="J2768" s="12" t="s">
        <v>161</v>
      </c>
      <c r="K2768" s="12" t="s">
        <v>23</v>
      </c>
      <c r="L2768" s="12">
        <v>5</v>
      </c>
      <c r="M2768" s="15">
        <v>70000</v>
      </c>
      <c r="N2768" s="15">
        <v>0</v>
      </c>
      <c r="O2768" s="15">
        <f t="shared" si="236"/>
        <v>70000</v>
      </c>
      <c r="P2768" s="15">
        <f t="shared" si="234"/>
        <v>16.989054195082883</v>
      </c>
      <c r="Q2768" s="14">
        <v>10000</v>
      </c>
      <c r="R2768" s="12">
        <v>65</v>
      </c>
      <c r="S2768" s="12" t="s">
        <v>3416</v>
      </c>
      <c r="T2768" s="22">
        <f t="shared" si="237"/>
        <v>8</v>
      </c>
      <c r="U2768" s="22">
        <f t="shared" si="238"/>
        <v>2021</v>
      </c>
      <c r="V2768" s="22" t="str">
        <f t="shared" si="239"/>
        <v>METROPOLITANA</v>
      </c>
    </row>
    <row r="2769" spans="1:22" x14ac:dyDescent="0.2">
      <c r="A2769" s="11" t="s">
        <v>3415</v>
      </c>
      <c r="B2769" s="12" t="s">
        <v>18</v>
      </c>
      <c r="C2769" s="12" t="s">
        <v>87</v>
      </c>
      <c r="D2769" s="12" t="s">
        <v>164</v>
      </c>
      <c r="E2769" s="13">
        <v>81417709</v>
      </c>
      <c r="F2769" s="12" t="s">
        <v>51</v>
      </c>
      <c r="G2769" s="14">
        <v>19177.63</v>
      </c>
      <c r="H2769" s="12" t="s">
        <v>22</v>
      </c>
      <c r="I2769" s="12">
        <v>1</v>
      </c>
      <c r="J2769" s="12" t="s">
        <v>51</v>
      </c>
      <c r="K2769" s="12" t="s">
        <v>23</v>
      </c>
      <c r="L2769" s="12">
        <v>4</v>
      </c>
      <c r="M2769" s="15">
        <v>210954</v>
      </c>
      <c r="N2769" s="15">
        <v>0</v>
      </c>
      <c r="O2769" s="15">
        <f t="shared" si="236"/>
        <v>210954</v>
      </c>
      <c r="P2769" s="15">
        <f t="shared" si="234"/>
        <v>11.000003650086063</v>
      </c>
      <c r="Q2769" s="14">
        <v>5000</v>
      </c>
      <c r="R2769" s="12">
        <v>100</v>
      </c>
      <c r="S2769" s="12" t="s">
        <v>3417</v>
      </c>
      <c r="T2769" s="22">
        <f t="shared" si="237"/>
        <v>8</v>
      </c>
      <c r="U2769" s="22">
        <f t="shared" si="238"/>
        <v>2021</v>
      </c>
      <c r="V2769" s="22" t="str">
        <f t="shared" si="239"/>
        <v>METROPOLITANA</v>
      </c>
    </row>
    <row r="2770" spans="1:22" x14ac:dyDescent="0.2">
      <c r="A2770" s="11" t="s">
        <v>3415</v>
      </c>
      <c r="B2770" s="12" t="s">
        <v>33</v>
      </c>
      <c r="C2770" s="12" t="s">
        <v>1416</v>
      </c>
      <c r="D2770" s="12" t="s">
        <v>20</v>
      </c>
      <c r="E2770" s="13">
        <v>78907355</v>
      </c>
      <c r="F2770" s="12" t="s">
        <v>134</v>
      </c>
      <c r="G2770" s="14">
        <f>3752+2814</f>
        <v>6566</v>
      </c>
      <c r="H2770" s="12" t="s">
        <v>22</v>
      </c>
      <c r="I2770" s="12">
        <v>0</v>
      </c>
      <c r="J2770" s="12" t="s">
        <v>134</v>
      </c>
      <c r="K2770" s="12" t="s">
        <v>23</v>
      </c>
      <c r="L2770" s="12">
        <v>2</v>
      </c>
      <c r="M2770" s="15">
        <v>55000</v>
      </c>
      <c r="N2770" s="15">
        <v>0</v>
      </c>
      <c r="O2770" s="15">
        <f t="shared" si="236"/>
        <v>55000</v>
      </c>
      <c r="P2770" s="15">
        <f t="shared" si="234"/>
        <v>8.3764849223271405</v>
      </c>
      <c r="Q2770" s="14">
        <v>5000</v>
      </c>
      <c r="R2770" s="12">
        <v>85</v>
      </c>
      <c r="S2770" s="12" t="s">
        <v>3428</v>
      </c>
      <c r="T2770" s="22">
        <f t="shared" si="237"/>
        <v>8</v>
      </c>
      <c r="U2770" s="22">
        <f t="shared" si="238"/>
        <v>2021</v>
      </c>
      <c r="V2770" s="22" t="str">
        <f t="shared" si="239"/>
        <v>METROPOLITANA</v>
      </c>
    </row>
    <row r="2771" spans="1:22" x14ac:dyDescent="0.2">
      <c r="A2771" s="11" t="s">
        <v>3415</v>
      </c>
      <c r="B2771" s="12" t="s">
        <v>33</v>
      </c>
      <c r="C2771" s="12" t="s">
        <v>3240</v>
      </c>
      <c r="D2771" s="12" t="s">
        <v>38</v>
      </c>
      <c r="E2771" s="13">
        <v>53173292</v>
      </c>
      <c r="F2771" s="12" t="s">
        <v>129</v>
      </c>
      <c r="G2771" s="14">
        <v>4693.8</v>
      </c>
      <c r="H2771" s="12" t="s">
        <v>43</v>
      </c>
      <c r="I2771" s="12">
        <v>0</v>
      </c>
      <c r="J2771" s="12" t="s">
        <v>129</v>
      </c>
      <c r="K2771" s="12" t="s">
        <v>23</v>
      </c>
      <c r="L2771" s="12">
        <v>1</v>
      </c>
      <c r="M2771" s="15">
        <v>55000</v>
      </c>
      <c r="N2771" s="15">
        <v>0</v>
      </c>
      <c r="O2771" s="15">
        <f t="shared" si="236"/>
        <v>55000</v>
      </c>
      <c r="P2771" s="15">
        <f t="shared" si="234"/>
        <v>11.71758489922877</v>
      </c>
      <c r="Q2771" s="14">
        <v>5000</v>
      </c>
      <c r="R2771" s="12">
        <v>94</v>
      </c>
      <c r="S2771" s="12" t="s">
        <v>3418</v>
      </c>
      <c r="T2771" s="22">
        <f t="shared" si="237"/>
        <v>8</v>
      </c>
      <c r="U2771" s="22">
        <f t="shared" si="238"/>
        <v>2021</v>
      </c>
      <c r="V2771" s="22" t="str">
        <f t="shared" si="239"/>
        <v>METROPOLITANA</v>
      </c>
    </row>
    <row r="2772" spans="1:22" x14ac:dyDescent="0.2">
      <c r="A2772" s="11" t="s">
        <v>3415</v>
      </c>
      <c r="B2772" s="12" t="s">
        <v>33</v>
      </c>
      <c r="C2772" s="12" t="s">
        <v>128</v>
      </c>
      <c r="D2772" s="12" t="s">
        <v>63</v>
      </c>
      <c r="E2772" s="13">
        <v>138841065</v>
      </c>
      <c r="F2772" s="12" t="s">
        <v>129</v>
      </c>
      <c r="G2772" s="14">
        <v>7488.7999999999984</v>
      </c>
      <c r="H2772" s="12" t="s">
        <v>65</v>
      </c>
      <c r="I2772" s="12">
        <v>0</v>
      </c>
      <c r="J2772" s="12" t="s">
        <v>129</v>
      </c>
      <c r="K2772" s="12" t="s">
        <v>23</v>
      </c>
      <c r="L2772" s="12">
        <v>1</v>
      </c>
      <c r="M2772" s="15">
        <v>82377</v>
      </c>
      <c r="N2772" s="15">
        <v>0</v>
      </c>
      <c r="O2772" s="15">
        <f t="shared" si="236"/>
        <v>82377</v>
      </c>
      <c r="P2772" s="15">
        <f t="shared" si="234"/>
        <v>11.000026706548448</v>
      </c>
      <c r="Q2772" s="14">
        <v>5000</v>
      </c>
      <c r="R2772" s="12">
        <v>100</v>
      </c>
      <c r="S2772" s="12" t="s">
        <v>3419</v>
      </c>
      <c r="T2772" s="22">
        <f t="shared" si="237"/>
        <v>8</v>
      </c>
      <c r="U2772" s="22">
        <f t="shared" si="238"/>
        <v>2021</v>
      </c>
      <c r="V2772" s="22" t="str">
        <f t="shared" si="239"/>
        <v>METROPOLITANA</v>
      </c>
    </row>
    <row r="2773" spans="1:22" x14ac:dyDescent="0.2">
      <c r="A2773" s="11" t="s">
        <v>3415</v>
      </c>
      <c r="B2773" s="12" t="s">
        <v>33</v>
      </c>
      <c r="C2773" s="12" t="s">
        <v>417</v>
      </c>
      <c r="D2773" s="12" t="s">
        <v>786</v>
      </c>
      <c r="E2773" s="13">
        <v>95707734</v>
      </c>
      <c r="F2773" s="12" t="s">
        <v>418</v>
      </c>
      <c r="G2773" s="14">
        <v>11286.999999999991</v>
      </c>
      <c r="H2773" s="12" t="s">
        <v>788</v>
      </c>
      <c r="I2773" s="12">
        <v>1</v>
      </c>
      <c r="J2773" s="12" t="s">
        <v>418</v>
      </c>
      <c r="K2773" s="12" t="s">
        <v>171</v>
      </c>
      <c r="L2773" s="12">
        <v>0</v>
      </c>
      <c r="M2773" s="15">
        <v>230000</v>
      </c>
      <c r="N2773" s="15">
        <v>0</v>
      </c>
      <c r="O2773" s="15">
        <f t="shared" si="236"/>
        <v>230000</v>
      </c>
      <c r="P2773" s="15">
        <f t="shared" si="234"/>
        <v>20.377425356604959</v>
      </c>
      <c r="Q2773" s="14">
        <v>25000</v>
      </c>
      <c r="R2773" s="12">
        <v>70</v>
      </c>
      <c r="S2773" s="12" t="s">
        <v>3420</v>
      </c>
      <c r="T2773" s="22">
        <f t="shared" si="237"/>
        <v>8</v>
      </c>
      <c r="U2773" s="22">
        <f t="shared" si="238"/>
        <v>2021</v>
      </c>
      <c r="V2773" s="22" t="str">
        <f t="shared" si="239"/>
        <v>REGIONES</v>
      </c>
    </row>
    <row r="2774" spans="1:22" x14ac:dyDescent="0.2">
      <c r="A2774" s="11" t="s">
        <v>3415</v>
      </c>
      <c r="B2774" s="12" t="s">
        <v>33</v>
      </c>
      <c r="C2774" s="12" t="s">
        <v>223</v>
      </c>
      <c r="D2774" s="12" t="s">
        <v>3421</v>
      </c>
      <c r="E2774" s="13">
        <v>139094328</v>
      </c>
      <c r="F2774" s="12" t="s">
        <v>2639</v>
      </c>
      <c r="G2774" s="14">
        <v>14017.000000000009</v>
      </c>
      <c r="H2774" s="12" t="s">
        <v>24</v>
      </c>
      <c r="I2774" s="12">
        <v>1</v>
      </c>
      <c r="J2774" s="12" t="s">
        <v>2639</v>
      </c>
      <c r="K2774" s="12" t="s">
        <v>75</v>
      </c>
      <c r="L2774" s="12">
        <v>0</v>
      </c>
      <c r="M2774" s="15">
        <v>380000</v>
      </c>
      <c r="N2774" s="15">
        <v>0</v>
      </c>
      <c r="O2774" s="15">
        <f t="shared" si="236"/>
        <v>380000</v>
      </c>
      <c r="P2774" s="15">
        <f t="shared" si="234"/>
        <v>27.109937932510505</v>
      </c>
      <c r="Q2774" s="14">
        <v>25000</v>
      </c>
      <c r="R2774" s="12">
        <v>56</v>
      </c>
      <c r="S2774" s="12" t="s">
        <v>3422</v>
      </c>
      <c r="T2774" s="22">
        <f t="shared" si="237"/>
        <v>8</v>
      </c>
      <c r="U2774" s="22">
        <f t="shared" si="238"/>
        <v>2021</v>
      </c>
      <c r="V2774" s="22" t="str">
        <f t="shared" si="239"/>
        <v>REGIONES</v>
      </c>
    </row>
    <row r="2775" spans="1:22" x14ac:dyDescent="0.2">
      <c r="A2775" s="11" t="s">
        <v>3415</v>
      </c>
      <c r="B2775" s="12" t="s">
        <v>33</v>
      </c>
      <c r="C2775" s="12" t="s">
        <v>2862</v>
      </c>
      <c r="D2775" s="12" t="s">
        <v>164</v>
      </c>
      <c r="E2775" s="13">
        <v>81417709</v>
      </c>
      <c r="F2775" s="12" t="s">
        <v>129</v>
      </c>
      <c r="G2775" s="14">
        <v>18760</v>
      </c>
      <c r="H2775" s="12" t="s">
        <v>22</v>
      </c>
      <c r="I2775" s="12">
        <v>1</v>
      </c>
      <c r="J2775" s="12" t="s">
        <v>129</v>
      </c>
      <c r="K2775" s="12" t="s">
        <v>23</v>
      </c>
      <c r="L2775" s="12">
        <v>1</v>
      </c>
      <c r="M2775" s="15">
        <v>206360</v>
      </c>
      <c r="N2775" s="15">
        <v>0</v>
      </c>
      <c r="O2775" s="15">
        <f t="shared" si="236"/>
        <v>206360</v>
      </c>
      <c r="P2775" s="15">
        <f t="shared" si="234"/>
        <v>11</v>
      </c>
      <c r="Q2775" s="14">
        <v>5000</v>
      </c>
      <c r="R2775" s="12">
        <v>100</v>
      </c>
      <c r="S2775" s="12" t="s">
        <v>3423</v>
      </c>
      <c r="T2775" s="22">
        <f t="shared" si="237"/>
        <v>8</v>
      </c>
      <c r="U2775" s="22">
        <f t="shared" si="238"/>
        <v>2021</v>
      </c>
      <c r="V2775" s="22" t="str">
        <f t="shared" si="239"/>
        <v>METROPOLITANA</v>
      </c>
    </row>
    <row r="2776" spans="1:22" x14ac:dyDescent="0.2">
      <c r="A2776" s="11" t="s">
        <v>3415</v>
      </c>
      <c r="B2776" s="12" t="s">
        <v>33</v>
      </c>
      <c r="C2776" s="12" t="s">
        <v>29</v>
      </c>
      <c r="D2776" s="12" t="s">
        <v>37</v>
      </c>
      <c r="E2776" s="13">
        <v>154837728</v>
      </c>
      <c r="F2776" s="12" t="s">
        <v>39</v>
      </c>
      <c r="G2776" s="14">
        <v>10548</v>
      </c>
      <c r="H2776" s="12" t="s">
        <v>22</v>
      </c>
      <c r="I2776" s="12">
        <v>0</v>
      </c>
      <c r="J2776" s="12" t="s">
        <v>39</v>
      </c>
      <c r="K2776" s="12" t="s">
        <v>23</v>
      </c>
      <c r="L2776" s="12">
        <v>1</v>
      </c>
      <c r="M2776" s="15">
        <v>116028</v>
      </c>
      <c r="N2776" s="15">
        <v>0</v>
      </c>
      <c r="O2776" s="15">
        <f t="shared" si="236"/>
        <v>116028</v>
      </c>
      <c r="P2776" s="15">
        <f t="shared" si="234"/>
        <v>11</v>
      </c>
      <c r="Q2776" s="14">
        <v>5000</v>
      </c>
      <c r="R2776" s="12">
        <v>100</v>
      </c>
      <c r="S2776" s="12" t="s">
        <v>3424</v>
      </c>
      <c r="T2776" s="22">
        <f t="shared" si="237"/>
        <v>8</v>
      </c>
      <c r="U2776" s="22">
        <f t="shared" si="238"/>
        <v>2021</v>
      </c>
      <c r="V2776" s="22" t="str">
        <f t="shared" si="239"/>
        <v>METROPOLITANA</v>
      </c>
    </row>
    <row r="2777" spans="1:22" x14ac:dyDescent="0.2">
      <c r="A2777" s="11" t="s">
        <v>3415</v>
      </c>
      <c r="B2777" s="12" t="s">
        <v>33</v>
      </c>
      <c r="C2777" s="12" t="s">
        <v>29</v>
      </c>
      <c r="D2777" s="12" t="s">
        <v>20</v>
      </c>
      <c r="E2777" s="13">
        <v>78907355</v>
      </c>
      <c r="F2777" s="12" t="s">
        <v>39</v>
      </c>
      <c r="G2777" s="14">
        <v>2748</v>
      </c>
      <c r="H2777" s="12" t="s">
        <v>22</v>
      </c>
      <c r="I2777" s="12">
        <v>0</v>
      </c>
      <c r="J2777" s="12" t="s">
        <v>39</v>
      </c>
      <c r="K2777" s="12" t="s">
        <v>23</v>
      </c>
      <c r="L2777" s="12">
        <v>1</v>
      </c>
      <c r="M2777" s="15">
        <v>55000</v>
      </c>
      <c r="N2777" s="15">
        <v>0</v>
      </c>
      <c r="O2777" s="15">
        <f t="shared" si="236"/>
        <v>55000</v>
      </c>
      <c r="P2777" s="15">
        <f t="shared" si="234"/>
        <v>20.014556040756915</v>
      </c>
      <c r="Q2777" s="14">
        <v>5000</v>
      </c>
      <c r="R2777" s="12">
        <v>80</v>
      </c>
      <c r="S2777" s="12" t="s">
        <v>3425</v>
      </c>
      <c r="T2777" s="22">
        <f t="shared" si="237"/>
        <v>8</v>
      </c>
      <c r="U2777" s="22">
        <f t="shared" si="238"/>
        <v>2021</v>
      </c>
      <c r="V2777" s="22" t="str">
        <f t="shared" si="239"/>
        <v>METROPOLITANA</v>
      </c>
    </row>
    <row r="2778" spans="1:22" x14ac:dyDescent="0.2">
      <c r="A2778" s="11" t="s">
        <v>3415</v>
      </c>
      <c r="B2778" s="12" t="s">
        <v>33</v>
      </c>
      <c r="C2778" s="12" t="s">
        <v>44</v>
      </c>
      <c r="D2778" s="12" t="s">
        <v>45</v>
      </c>
      <c r="E2778" s="13">
        <v>99626232</v>
      </c>
      <c r="F2778" s="12" t="s">
        <v>95</v>
      </c>
      <c r="G2778" s="14">
        <v>3034</v>
      </c>
      <c r="H2778" s="12" t="s">
        <v>22</v>
      </c>
      <c r="I2778" s="12">
        <v>0</v>
      </c>
      <c r="J2778" s="12" t="s">
        <v>95</v>
      </c>
      <c r="K2778" s="12" t="s">
        <v>23</v>
      </c>
      <c r="L2778" s="12">
        <v>4</v>
      </c>
      <c r="M2778" s="15">
        <v>55000</v>
      </c>
      <c r="N2778" s="15">
        <v>0</v>
      </c>
      <c r="O2778" s="15">
        <f t="shared" si="236"/>
        <v>55000</v>
      </c>
      <c r="P2778" s="15">
        <f t="shared" si="234"/>
        <v>18.127883981542517</v>
      </c>
      <c r="Q2778" s="14">
        <v>5000</v>
      </c>
      <c r="R2778" s="12">
        <v>85</v>
      </c>
      <c r="S2778" s="12" t="s">
        <v>3426</v>
      </c>
      <c r="T2778" s="22">
        <f t="shared" si="237"/>
        <v>8</v>
      </c>
      <c r="U2778" s="22">
        <f t="shared" si="238"/>
        <v>2021</v>
      </c>
      <c r="V2778" s="22" t="str">
        <f t="shared" si="239"/>
        <v>METROPOLITANA</v>
      </c>
    </row>
    <row r="2779" spans="1:22" x14ac:dyDescent="0.2">
      <c r="A2779" s="11" t="s">
        <v>3415</v>
      </c>
      <c r="B2779" s="12" t="s">
        <v>33</v>
      </c>
      <c r="C2779" s="12" t="s">
        <v>44</v>
      </c>
      <c r="D2779" s="12" t="s">
        <v>47</v>
      </c>
      <c r="E2779" s="13">
        <v>154837728</v>
      </c>
      <c r="F2779" s="12" t="s">
        <v>48</v>
      </c>
      <c r="G2779" s="14">
        <v>5780.3999999999987</v>
      </c>
      <c r="H2779" s="12" t="s">
        <v>22</v>
      </c>
      <c r="I2779" s="12">
        <v>0</v>
      </c>
      <c r="J2779" s="12" t="s">
        <v>48</v>
      </c>
      <c r="K2779" s="12" t="s">
        <v>23</v>
      </c>
      <c r="L2779" s="12">
        <v>1</v>
      </c>
      <c r="M2779" s="15">
        <v>63584</v>
      </c>
      <c r="N2779" s="15">
        <v>0</v>
      </c>
      <c r="O2779" s="15">
        <f t="shared" si="236"/>
        <v>63584</v>
      </c>
      <c r="P2779" s="15">
        <f t="shared" si="234"/>
        <v>10.999930800636637</v>
      </c>
      <c r="Q2779" s="14">
        <v>5000</v>
      </c>
      <c r="R2779" s="12">
        <v>100</v>
      </c>
      <c r="S2779" s="12" t="s">
        <v>3427</v>
      </c>
      <c r="T2779" s="22">
        <f t="shared" si="237"/>
        <v>8</v>
      </c>
      <c r="U2779" s="22">
        <f t="shared" si="238"/>
        <v>2021</v>
      </c>
      <c r="V2779" s="22" t="str">
        <f t="shared" si="239"/>
        <v>METROPOLITANA</v>
      </c>
    </row>
    <row r="2780" spans="1:22" x14ac:dyDescent="0.2">
      <c r="A2780" s="23" t="s">
        <v>3429</v>
      </c>
      <c r="B2780" s="22" t="s">
        <v>18</v>
      </c>
      <c r="C2780" s="22" t="s">
        <v>579</v>
      </c>
      <c r="D2780" s="22" t="s">
        <v>38</v>
      </c>
      <c r="E2780" s="24">
        <v>125108660</v>
      </c>
      <c r="F2780" s="22" t="s">
        <v>161</v>
      </c>
      <c r="G2780" s="25">
        <v>3240.8</v>
      </c>
      <c r="H2780" s="22" t="s">
        <v>43</v>
      </c>
      <c r="I2780" s="22">
        <v>0</v>
      </c>
      <c r="J2780" s="22" t="s">
        <v>161</v>
      </c>
      <c r="K2780" s="22" t="s">
        <v>23</v>
      </c>
      <c r="L2780" s="22">
        <v>5</v>
      </c>
      <c r="M2780" s="26">
        <v>70000</v>
      </c>
      <c r="N2780" s="26">
        <v>0</v>
      </c>
      <c r="O2780" s="15">
        <f t="shared" si="236"/>
        <v>70000</v>
      </c>
      <c r="P2780" s="15">
        <f t="shared" si="234"/>
        <v>21.59960503579363</v>
      </c>
      <c r="Q2780" s="25">
        <v>10000</v>
      </c>
      <c r="R2780" s="22">
        <v>32</v>
      </c>
      <c r="S2780" s="22" t="s">
        <v>3430</v>
      </c>
      <c r="T2780" s="22">
        <f t="shared" si="237"/>
        <v>8</v>
      </c>
      <c r="U2780" s="22">
        <f t="shared" si="238"/>
        <v>2021</v>
      </c>
      <c r="V2780" s="22" t="str">
        <f t="shared" si="239"/>
        <v>METROPOLITANA</v>
      </c>
    </row>
    <row r="2781" spans="1:22" x14ac:dyDescent="0.2">
      <c r="A2781" s="23" t="s">
        <v>3429</v>
      </c>
      <c r="B2781" s="22" t="s">
        <v>18</v>
      </c>
      <c r="C2781" s="22" t="s">
        <v>994</v>
      </c>
      <c r="D2781" s="22" t="s">
        <v>37</v>
      </c>
      <c r="E2781" s="24">
        <v>154837728</v>
      </c>
      <c r="F2781" s="22" t="s">
        <v>995</v>
      </c>
      <c r="G2781" s="25">
        <v>5754.0000000000009</v>
      </c>
      <c r="H2781" s="22" t="s">
        <v>22</v>
      </c>
      <c r="I2781" s="22">
        <v>0</v>
      </c>
      <c r="J2781" s="22" t="s">
        <v>995</v>
      </c>
      <c r="K2781" s="22" t="s">
        <v>23</v>
      </c>
      <c r="L2781" s="22">
        <v>1</v>
      </c>
      <c r="M2781" s="26">
        <v>63294</v>
      </c>
      <c r="N2781" s="26">
        <v>0</v>
      </c>
      <c r="O2781" s="15">
        <f t="shared" si="236"/>
        <v>63294</v>
      </c>
      <c r="P2781" s="15">
        <f t="shared" si="234"/>
        <v>10.999999999999998</v>
      </c>
      <c r="Q2781" s="25">
        <v>5000</v>
      </c>
      <c r="R2781" s="22">
        <v>100</v>
      </c>
      <c r="S2781" s="22" t="s">
        <v>3431</v>
      </c>
      <c r="T2781" s="22">
        <f t="shared" si="237"/>
        <v>8</v>
      </c>
      <c r="U2781" s="22">
        <f t="shared" si="238"/>
        <v>2021</v>
      </c>
      <c r="V2781" s="22" t="str">
        <f t="shared" si="239"/>
        <v>METROPOLITANA</v>
      </c>
    </row>
    <row r="2782" spans="1:22" x14ac:dyDescent="0.2">
      <c r="A2782" s="23" t="s">
        <v>3429</v>
      </c>
      <c r="B2782" s="22" t="s">
        <v>18</v>
      </c>
      <c r="C2782" s="22" t="s">
        <v>87</v>
      </c>
      <c r="D2782" s="22" t="s">
        <v>20</v>
      </c>
      <c r="E2782" s="24">
        <v>78907355</v>
      </c>
      <c r="F2782" s="22" t="s">
        <v>51</v>
      </c>
      <c r="G2782" s="25">
        <v>7189.2000000000025</v>
      </c>
      <c r="H2782" s="22" t="s">
        <v>22</v>
      </c>
      <c r="I2782" s="22">
        <v>0</v>
      </c>
      <c r="J2782" s="22" t="s">
        <v>51</v>
      </c>
      <c r="K2782" s="22" t="s">
        <v>23</v>
      </c>
      <c r="L2782" s="22">
        <v>4</v>
      </c>
      <c r="M2782" s="26">
        <v>79081</v>
      </c>
      <c r="N2782" s="26">
        <v>0</v>
      </c>
      <c r="O2782" s="15">
        <f t="shared" si="236"/>
        <v>79081</v>
      </c>
      <c r="P2782" s="15">
        <f t="shared" si="234"/>
        <v>10.999972180492957</v>
      </c>
      <c r="Q2782" s="25">
        <v>5000</v>
      </c>
      <c r="R2782" s="22">
        <v>100</v>
      </c>
      <c r="S2782" s="22" t="s">
        <v>3432</v>
      </c>
      <c r="T2782" s="22">
        <f t="shared" si="237"/>
        <v>8</v>
      </c>
      <c r="U2782" s="22">
        <f t="shared" si="238"/>
        <v>2021</v>
      </c>
      <c r="V2782" s="22" t="str">
        <f t="shared" si="239"/>
        <v>METROPOLITANA</v>
      </c>
    </row>
    <row r="2783" spans="1:22" x14ac:dyDescent="0.2">
      <c r="A2783" s="23" t="s">
        <v>3429</v>
      </c>
      <c r="B2783" s="22" t="s">
        <v>33</v>
      </c>
      <c r="C2783" s="22" t="s">
        <v>3433</v>
      </c>
      <c r="D2783" s="22" t="s">
        <v>2955</v>
      </c>
      <c r="E2783" s="24">
        <v>65941082</v>
      </c>
      <c r="F2783" s="22" t="s">
        <v>170</v>
      </c>
      <c r="G2783" s="25">
        <v>28768.400000000009</v>
      </c>
      <c r="H2783" s="22" t="s">
        <v>24</v>
      </c>
      <c r="I2783" s="22">
        <v>1</v>
      </c>
      <c r="J2783" s="22" t="s">
        <v>170</v>
      </c>
      <c r="K2783" s="22" t="s">
        <v>171</v>
      </c>
      <c r="L2783" s="22">
        <v>0</v>
      </c>
      <c r="M2783" s="26">
        <v>230000</v>
      </c>
      <c r="N2783" s="26">
        <v>0</v>
      </c>
      <c r="O2783" s="15">
        <f t="shared" si="236"/>
        <v>230000</v>
      </c>
      <c r="P2783" s="15">
        <f t="shared" si="234"/>
        <v>7.9948832747041871</v>
      </c>
      <c r="Q2783" s="25">
        <v>25000</v>
      </c>
      <c r="R2783" s="22">
        <v>100</v>
      </c>
      <c r="S2783" s="22" t="s">
        <v>3434</v>
      </c>
      <c r="T2783" s="22">
        <f t="shared" si="237"/>
        <v>8</v>
      </c>
      <c r="U2783" s="22">
        <f t="shared" si="238"/>
        <v>2021</v>
      </c>
      <c r="V2783" s="22" t="str">
        <f t="shared" si="239"/>
        <v>REGIONES</v>
      </c>
    </row>
    <row r="2784" spans="1:22" x14ac:dyDescent="0.2">
      <c r="A2784" s="23" t="s">
        <v>3429</v>
      </c>
      <c r="B2784" s="22" t="s">
        <v>33</v>
      </c>
      <c r="C2784" s="22" t="s">
        <v>36</v>
      </c>
      <c r="D2784" s="22" t="s">
        <v>311</v>
      </c>
      <c r="E2784" s="24">
        <v>92028607</v>
      </c>
      <c r="F2784" s="22" t="s">
        <v>606</v>
      </c>
      <c r="G2784" s="25">
        <f>13000.8+1099</f>
        <v>14099.8</v>
      </c>
      <c r="H2784" s="22" t="s">
        <v>85</v>
      </c>
      <c r="I2784" s="22">
        <v>1</v>
      </c>
      <c r="J2784" s="22" t="s">
        <v>606</v>
      </c>
      <c r="K2784" s="22" t="s">
        <v>3435</v>
      </c>
      <c r="L2784" s="22">
        <v>0</v>
      </c>
      <c r="M2784" s="26">
        <v>2200000</v>
      </c>
      <c r="N2784" s="26">
        <v>0</v>
      </c>
      <c r="O2784" s="15">
        <f>G2784*25</f>
        <v>352495</v>
      </c>
      <c r="P2784" s="15">
        <f t="shared" si="234"/>
        <v>25</v>
      </c>
      <c r="Q2784" s="25">
        <v>25000</v>
      </c>
      <c r="R2784" s="22">
        <v>68</v>
      </c>
      <c r="S2784" s="22" t="s">
        <v>3444</v>
      </c>
      <c r="T2784" s="22">
        <f t="shared" si="237"/>
        <v>8</v>
      </c>
      <c r="U2784" s="22">
        <f t="shared" si="238"/>
        <v>2021</v>
      </c>
      <c r="V2784" s="22" t="str">
        <f t="shared" si="239"/>
        <v>REGIONES</v>
      </c>
    </row>
    <row r="2785" spans="1:22" x14ac:dyDescent="0.2">
      <c r="A2785" s="23" t="s">
        <v>3429</v>
      </c>
      <c r="B2785" s="22" t="s">
        <v>33</v>
      </c>
      <c r="C2785" s="22" t="s">
        <v>29</v>
      </c>
      <c r="D2785" s="22" t="s">
        <v>2262</v>
      </c>
      <c r="E2785" s="24">
        <v>122975819</v>
      </c>
      <c r="F2785" s="22" t="s">
        <v>132</v>
      </c>
      <c r="G2785" s="25">
        <v>21697.200000000001</v>
      </c>
      <c r="H2785" s="22" t="s">
        <v>24</v>
      </c>
      <c r="I2785" s="22">
        <v>1</v>
      </c>
      <c r="J2785" s="22" t="s">
        <v>132</v>
      </c>
      <c r="K2785" s="22" t="s">
        <v>124</v>
      </c>
      <c r="L2785" s="22">
        <v>0</v>
      </c>
      <c r="M2785" s="26">
        <v>350000</v>
      </c>
      <c r="N2785" s="26">
        <v>0</v>
      </c>
      <c r="O2785" s="15">
        <f t="shared" ref="O2785:O2805" si="240">SUM(M2785:N2785)</f>
        <v>350000</v>
      </c>
      <c r="P2785" s="15">
        <f t="shared" ref="P2785:P2848" si="241">O2785/G2785</f>
        <v>16.131113692089301</v>
      </c>
      <c r="Q2785" s="25">
        <v>25000</v>
      </c>
      <c r="R2785" s="22">
        <v>87</v>
      </c>
      <c r="S2785" s="22" t="s">
        <v>3436</v>
      </c>
      <c r="T2785" s="22">
        <f t="shared" si="237"/>
        <v>8</v>
      </c>
      <c r="U2785" s="22">
        <f t="shared" si="238"/>
        <v>2021</v>
      </c>
      <c r="V2785" s="22" t="str">
        <f t="shared" si="239"/>
        <v>REGIONES</v>
      </c>
    </row>
    <row r="2786" spans="1:22" x14ac:dyDescent="0.2">
      <c r="A2786" s="23" t="s">
        <v>3429</v>
      </c>
      <c r="B2786" s="22" t="s">
        <v>33</v>
      </c>
      <c r="C2786" s="22" t="s">
        <v>2698</v>
      </c>
      <c r="D2786" s="22" t="s">
        <v>41</v>
      </c>
      <c r="E2786" s="24">
        <v>125108660</v>
      </c>
      <c r="F2786" s="22" t="s">
        <v>34</v>
      </c>
      <c r="G2786" s="25">
        <v>8977.56</v>
      </c>
      <c r="H2786" s="22" t="s">
        <v>43</v>
      </c>
      <c r="I2786" s="22">
        <v>0</v>
      </c>
      <c r="J2786" s="22" t="s">
        <v>34</v>
      </c>
      <c r="K2786" s="22" t="s">
        <v>23</v>
      </c>
      <c r="L2786" s="22">
        <v>1</v>
      </c>
      <c r="M2786" s="26">
        <v>98753</v>
      </c>
      <c r="N2786" s="26">
        <v>0</v>
      </c>
      <c r="O2786" s="15">
        <f t="shared" si="240"/>
        <v>98753</v>
      </c>
      <c r="P2786" s="15">
        <f t="shared" si="241"/>
        <v>10.999982177785501</v>
      </c>
      <c r="Q2786" s="25">
        <v>5000</v>
      </c>
      <c r="R2786" s="22">
        <v>100</v>
      </c>
      <c r="S2786" s="22" t="s">
        <v>3437</v>
      </c>
      <c r="T2786" s="22">
        <f t="shared" si="237"/>
        <v>8</v>
      </c>
      <c r="U2786" s="22">
        <f t="shared" si="238"/>
        <v>2021</v>
      </c>
      <c r="V2786" s="22" t="str">
        <f t="shared" si="239"/>
        <v>METROPOLITANA</v>
      </c>
    </row>
    <row r="2787" spans="1:22" x14ac:dyDescent="0.2">
      <c r="A2787" s="23" t="s">
        <v>3429</v>
      </c>
      <c r="B2787" s="22" t="s">
        <v>33</v>
      </c>
      <c r="C2787" s="22" t="s">
        <v>44</v>
      </c>
      <c r="D2787" s="22" t="s">
        <v>1869</v>
      </c>
      <c r="E2787" s="24">
        <v>125897258</v>
      </c>
      <c r="F2787" s="22" t="s">
        <v>3438</v>
      </c>
      <c r="G2787" s="25">
        <v>14002</v>
      </c>
      <c r="H2787" s="22" t="s">
        <v>24</v>
      </c>
      <c r="I2787" s="22">
        <v>1</v>
      </c>
      <c r="J2787" s="22" t="s">
        <v>3438</v>
      </c>
      <c r="K2787" s="22" t="s">
        <v>93</v>
      </c>
      <c r="L2787" s="22">
        <v>0</v>
      </c>
      <c r="M2787" s="26">
        <v>620000</v>
      </c>
      <c r="N2787" s="26">
        <v>0</v>
      </c>
      <c r="O2787" s="15">
        <f t="shared" si="240"/>
        <v>620000</v>
      </c>
      <c r="P2787" s="15">
        <f t="shared" si="241"/>
        <v>44.279388658763033</v>
      </c>
      <c r="Q2787" s="25">
        <v>25000</v>
      </c>
      <c r="R2787" s="22">
        <v>85</v>
      </c>
      <c r="S2787" s="22" t="s">
        <v>3439</v>
      </c>
      <c r="T2787" s="22">
        <f t="shared" si="237"/>
        <v>8</v>
      </c>
      <c r="U2787" s="22">
        <f t="shared" si="238"/>
        <v>2021</v>
      </c>
      <c r="V2787" s="22" t="str">
        <f t="shared" si="239"/>
        <v>REGIONES</v>
      </c>
    </row>
    <row r="2788" spans="1:22" x14ac:dyDescent="0.2">
      <c r="A2788" s="23" t="s">
        <v>3429</v>
      </c>
      <c r="B2788" s="22" t="s">
        <v>33</v>
      </c>
      <c r="C2788" s="22" t="s">
        <v>44</v>
      </c>
      <c r="D2788" s="22" t="s">
        <v>2825</v>
      </c>
      <c r="E2788" s="24">
        <v>113693568</v>
      </c>
      <c r="F2788" s="22" t="s">
        <v>39</v>
      </c>
      <c r="G2788" s="25">
        <v>14002</v>
      </c>
      <c r="H2788" s="22" t="s">
        <v>24</v>
      </c>
      <c r="I2788" s="22">
        <v>1</v>
      </c>
      <c r="J2788" s="22" t="s">
        <v>39</v>
      </c>
      <c r="K2788" s="22" t="s">
        <v>23</v>
      </c>
      <c r="L2788" s="22">
        <v>1</v>
      </c>
      <c r="M2788" s="26">
        <v>154022</v>
      </c>
      <c r="N2788" s="26">
        <v>0</v>
      </c>
      <c r="O2788" s="15">
        <f t="shared" si="240"/>
        <v>154022</v>
      </c>
      <c r="P2788" s="15">
        <f t="shared" si="241"/>
        <v>11</v>
      </c>
      <c r="Q2788" s="25">
        <v>5000</v>
      </c>
      <c r="R2788" s="22">
        <v>100</v>
      </c>
      <c r="S2788" s="22" t="s">
        <v>3440</v>
      </c>
      <c r="T2788" s="22">
        <f t="shared" si="237"/>
        <v>8</v>
      </c>
      <c r="U2788" s="22">
        <f t="shared" si="238"/>
        <v>2021</v>
      </c>
      <c r="V2788" s="22" t="str">
        <f t="shared" si="239"/>
        <v>METROPOLITANA</v>
      </c>
    </row>
    <row r="2789" spans="1:22" x14ac:dyDescent="0.2">
      <c r="A2789" s="23" t="s">
        <v>3429</v>
      </c>
      <c r="B2789" s="22" t="s">
        <v>33</v>
      </c>
      <c r="C2789" s="22" t="s">
        <v>44</v>
      </c>
      <c r="D2789" s="22" t="s">
        <v>63</v>
      </c>
      <c r="E2789" s="24">
        <v>138841065</v>
      </c>
      <c r="F2789" s="22" t="s">
        <v>46</v>
      </c>
      <c r="G2789" s="25">
        <v>4447.9999999999991</v>
      </c>
      <c r="H2789" s="22" t="s">
        <v>65</v>
      </c>
      <c r="I2789" s="22">
        <v>0</v>
      </c>
      <c r="J2789" s="22" t="s">
        <v>46</v>
      </c>
      <c r="K2789" s="22" t="s">
        <v>23</v>
      </c>
      <c r="L2789" s="22">
        <v>2</v>
      </c>
      <c r="M2789" s="26">
        <v>55000</v>
      </c>
      <c r="N2789" s="26">
        <v>0</v>
      </c>
      <c r="O2789" s="15">
        <f t="shared" si="240"/>
        <v>55000</v>
      </c>
      <c r="P2789" s="15">
        <f t="shared" si="241"/>
        <v>12.365107913669068</v>
      </c>
      <c r="Q2789" s="25">
        <v>5000</v>
      </c>
      <c r="R2789" s="22">
        <v>89</v>
      </c>
      <c r="S2789" s="22" t="s">
        <v>3441</v>
      </c>
      <c r="T2789" s="22">
        <f t="shared" si="237"/>
        <v>8</v>
      </c>
      <c r="U2789" s="22">
        <f t="shared" si="238"/>
        <v>2021</v>
      </c>
      <c r="V2789" s="22" t="str">
        <f t="shared" si="239"/>
        <v>METROPOLITANA</v>
      </c>
    </row>
    <row r="2790" spans="1:22" x14ac:dyDescent="0.2">
      <c r="A2790" s="23" t="s">
        <v>3429</v>
      </c>
      <c r="B2790" s="22" t="s">
        <v>33</v>
      </c>
      <c r="C2790" s="22" t="s">
        <v>44</v>
      </c>
      <c r="D2790" s="22" t="s">
        <v>45</v>
      </c>
      <c r="E2790" s="24">
        <v>99626232</v>
      </c>
      <c r="F2790" s="22" t="s">
        <v>26</v>
      </c>
      <c r="G2790" s="25">
        <v>3610.4</v>
      </c>
      <c r="H2790" s="22" t="s">
        <v>22</v>
      </c>
      <c r="I2790" s="22">
        <v>0</v>
      </c>
      <c r="J2790" s="22" t="s">
        <v>26</v>
      </c>
      <c r="K2790" s="22" t="s">
        <v>23</v>
      </c>
      <c r="L2790" s="22">
        <v>4</v>
      </c>
      <c r="M2790" s="26">
        <v>55000</v>
      </c>
      <c r="N2790" s="26">
        <v>0</v>
      </c>
      <c r="O2790" s="15">
        <f t="shared" si="240"/>
        <v>55000</v>
      </c>
      <c r="P2790" s="15">
        <f t="shared" si="241"/>
        <v>15.233769111455794</v>
      </c>
      <c r="Q2790" s="25">
        <v>5000</v>
      </c>
      <c r="R2790" s="22">
        <v>72</v>
      </c>
      <c r="S2790" s="22" t="s">
        <v>3442</v>
      </c>
      <c r="T2790" s="22">
        <f t="shared" si="237"/>
        <v>8</v>
      </c>
      <c r="U2790" s="22">
        <f t="shared" si="238"/>
        <v>2021</v>
      </c>
      <c r="V2790" s="22" t="str">
        <f t="shared" si="239"/>
        <v>METROPOLITANA</v>
      </c>
    </row>
    <row r="2791" spans="1:22" x14ac:dyDescent="0.2">
      <c r="A2791" s="23" t="s">
        <v>3429</v>
      </c>
      <c r="B2791" s="22" t="s">
        <v>33</v>
      </c>
      <c r="C2791" s="22" t="s">
        <v>44</v>
      </c>
      <c r="D2791" s="22" t="s">
        <v>47</v>
      </c>
      <c r="E2791" s="24">
        <v>154837728</v>
      </c>
      <c r="F2791" s="22" t="s">
        <v>51</v>
      </c>
      <c r="G2791" s="25">
        <v>6590.4000000000005</v>
      </c>
      <c r="H2791" s="22" t="s">
        <v>22</v>
      </c>
      <c r="I2791" s="22">
        <v>0</v>
      </c>
      <c r="J2791" s="22" t="s">
        <v>51</v>
      </c>
      <c r="K2791" s="22" t="s">
        <v>23</v>
      </c>
      <c r="L2791" s="22">
        <v>4</v>
      </c>
      <c r="M2791" s="26">
        <v>72494</v>
      </c>
      <c r="N2791" s="26">
        <v>0</v>
      </c>
      <c r="O2791" s="15">
        <f t="shared" si="240"/>
        <v>72494</v>
      </c>
      <c r="P2791" s="15">
        <f t="shared" si="241"/>
        <v>10.999939305656712</v>
      </c>
      <c r="Q2791" s="25">
        <v>5000</v>
      </c>
      <c r="R2791" s="22">
        <v>100</v>
      </c>
      <c r="S2791" s="22" t="s">
        <v>3443</v>
      </c>
      <c r="T2791" s="22">
        <f t="shared" si="237"/>
        <v>8</v>
      </c>
      <c r="U2791" s="22">
        <f t="shared" si="238"/>
        <v>2021</v>
      </c>
      <c r="V2791" s="22" t="str">
        <f t="shared" si="239"/>
        <v>METROPOLITANA</v>
      </c>
    </row>
    <row r="2792" spans="1:22" x14ac:dyDescent="0.2">
      <c r="A2792" s="11" t="s">
        <v>3445</v>
      </c>
      <c r="B2792" s="12" t="s">
        <v>18</v>
      </c>
      <c r="C2792" s="12" t="s">
        <v>994</v>
      </c>
      <c r="D2792" s="12" t="s">
        <v>37</v>
      </c>
      <c r="E2792" s="13">
        <v>154837728</v>
      </c>
      <c r="F2792" s="12" t="s">
        <v>995</v>
      </c>
      <c r="G2792" s="14">
        <v>5754.0000000000009</v>
      </c>
      <c r="H2792" s="12" t="s">
        <v>22</v>
      </c>
      <c r="I2792" s="12">
        <v>0</v>
      </c>
      <c r="J2792" s="12" t="s">
        <v>995</v>
      </c>
      <c r="K2792" s="12" t="s">
        <v>23</v>
      </c>
      <c r="L2792" s="12">
        <v>1</v>
      </c>
      <c r="M2792" s="15">
        <v>63294</v>
      </c>
      <c r="N2792" s="15">
        <v>0</v>
      </c>
      <c r="O2792" s="15">
        <f t="shared" si="240"/>
        <v>63294</v>
      </c>
      <c r="P2792" s="15">
        <f t="shared" si="241"/>
        <v>10.999999999999998</v>
      </c>
      <c r="Q2792" s="14">
        <v>5000</v>
      </c>
      <c r="R2792" s="12">
        <v>100</v>
      </c>
      <c r="S2792" s="12" t="s">
        <v>3446</v>
      </c>
      <c r="T2792" s="22">
        <f t="shared" si="237"/>
        <v>8</v>
      </c>
      <c r="U2792" s="22">
        <f t="shared" si="238"/>
        <v>2021</v>
      </c>
      <c r="V2792" s="22" t="str">
        <f t="shared" si="239"/>
        <v>METROPOLITANA</v>
      </c>
    </row>
    <row r="2793" spans="1:22" x14ac:dyDescent="0.2">
      <c r="A2793" s="11" t="s">
        <v>3445</v>
      </c>
      <c r="B2793" s="12" t="s">
        <v>18</v>
      </c>
      <c r="C2793" s="12" t="s">
        <v>994</v>
      </c>
      <c r="D2793" s="12" t="s">
        <v>30</v>
      </c>
      <c r="E2793" s="13">
        <v>72564391</v>
      </c>
      <c r="F2793" s="12" t="s">
        <v>995</v>
      </c>
      <c r="G2793" s="14">
        <v>5754.0000000000009</v>
      </c>
      <c r="H2793" s="12" t="s">
        <v>32</v>
      </c>
      <c r="I2793" s="12">
        <v>0</v>
      </c>
      <c r="J2793" s="12" t="s">
        <v>995</v>
      </c>
      <c r="K2793" s="12" t="s">
        <v>23</v>
      </c>
      <c r="L2793" s="12">
        <v>1</v>
      </c>
      <c r="M2793" s="15">
        <v>63294</v>
      </c>
      <c r="N2793" s="15">
        <v>0</v>
      </c>
      <c r="O2793" s="15">
        <f t="shared" si="240"/>
        <v>63294</v>
      </c>
      <c r="P2793" s="15">
        <f t="shared" si="241"/>
        <v>10.999999999999998</v>
      </c>
      <c r="Q2793" s="14">
        <v>5000</v>
      </c>
      <c r="R2793" s="12">
        <v>100</v>
      </c>
      <c r="S2793" s="12" t="s">
        <v>3447</v>
      </c>
      <c r="T2793" s="22">
        <f t="shared" si="237"/>
        <v>8</v>
      </c>
      <c r="U2793" s="22">
        <f t="shared" si="238"/>
        <v>2021</v>
      </c>
      <c r="V2793" s="22" t="str">
        <f t="shared" si="239"/>
        <v>METROPOLITANA</v>
      </c>
    </row>
    <row r="2794" spans="1:22" x14ac:dyDescent="0.2">
      <c r="A2794" s="11" t="s">
        <v>3445</v>
      </c>
      <c r="B2794" s="12" t="s">
        <v>33</v>
      </c>
      <c r="C2794" s="12" t="s">
        <v>270</v>
      </c>
      <c r="D2794" s="12" t="s">
        <v>38</v>
      </c>
      <c r="E2794" s="13">
        <v>53173292</v>
      </c>
      <c r="F2794" s="12" t="s">
        <v>120</v>
      </c>
      <c r="G2794" s="14">
        <v>13272.500000000009</v>
      </c>
      <c r="H2794" s="12" t="s">
        <v>43</v>
      </c>
      <c r="I2794" s="12">
        <v>0</v>
      </c>
      <c r="J2794" s="12" t="s">
        <v>120</v>
      </c>
      <c r="K2794" s="12" t="s">
        <v>23</v>
      </c>
      <c r="L2794" s="12">
        <v>5</v>
      </c>
      <c r="M2794" s="15">
        <v>70000</v>
      </c>
      <c r="N2794" s="15">
        <v>0</v>
      </c>
      <c r="O2794" s="15">
        <f t="shared" si="240"/>
        <v>70000</v>
      </c>
      <c r="P2794" s="15">
        <f t="shared" si="241"/>
        <v>5.2740629120361611</v>
      </c>
      <c r="Q2794" s="14">
        <v>10000</v>
      </c>
      <c r="R2794" s="12">
        <v>100</v>
      </c>
      <c r="S2794" s="12" t="s">
        <v>3448</v>
      </c>
      <c r="T2794" s="22">
        <f t="shared" si="237"/>
        <v>8</v>
      </c>
      <c r="U2794" s="22">
        <f t="shared" si="238"/>
        <v>2021</v>
      </c>
      <c r="V2794" s="22" t="str">
        <f t="shared" si="239"/>
        <v>METROPOLITANA</v>
      </c>
    </row>
    <row r="2795" spans="1:22" x14ac:dyDescent="0.2">
      <c r="A2795" s="11" t="s">
        <v>3445</v>
      </c>
      <c r="B2795" s="12" t="s">
        <v>33</v>
      </c>
      <c r="C2795" s="12" t="s">
        <v>60</v>
      </c>
      <c r="D2795" s="12" t="s">
        <v>41</v>
      </c>
      <c r="E2795" s="13">
        <v>125108660</v>
      </c>
      <c r="F2795" s="12" t="s">
        <v>51</v>
      </c>
      <c r="G2795" s="14">
        <v>7503.9999999999973</v>
      </c>
      <c r="H2795" s="12" t="s">
        <v>43</v>
      </c>
      <c r="I2795" s="12">
        <v>0</v>
      </c>
      <c r="J2795" s="12" t="s">
        <v>51</v>
      </c>
      <c r="K2795" s="12" t="s">
        <v>23</v>
      </c>
      <c r="L2795" s="12">
        <v>4</v>
      </c>
      <c r="M2795" s="15">
        <v>82544</v>
      </c>
      <c r="N2795" s="15">
        <v>0</v>
      </c>
      <c r="O2795" s="15">
        <f t="shared" si="240"/>
        <v>82544</v>
      </c>
      <c r="P2795" s="15">
        <f t="shared" si="241"/>
        <v>11.000000000000004</v>
      </c>
      <c r="Q2795" s="14">
        <v>5000</v>
      </c>
      <c r="R2795" s="12">
        <v>100</v>
      </c>
      <c r="S2795" s="12" t="s">
        <v>3449</v>
      </c>
      <c r="T2795" s="22">
        <f t="shared" si="237"/>
        <v>8</v>
      </c>
      <c r="U2795" s="22">
        <f t="shared" si="238"/>
        <v>2021</v>
      </c>
      <c r="V2795" s="22" t="str">
        <f t="shared" si="239"/>
        <v>METROPOLITANA</v>
      </c>
    </row>
    <row r="2796" spans="1:22" x14ac:dyDescent="0.2">
      <c r="A2796" s="11" t="s">
        <v>3445</v>
      </c>
      <c r="B2796" s="12" t="s">
        <v>33</v>
      </c>
      <c r="C2796" s="12" t="s">
        <v>160</v>
      </c>
      <c r="D2796" s="12" t="s">
        <v>20</v>
      </c>
      <c r="E2796" s="13">
        <v>78907355</v>
      </c>
      <c r="F2796" s="12" t="s">
        <v>58</v>
      </c>
      <c r="G2796" s="14">
        <v>5309.0000000000009</v>
      </c>
      <c r="H2796" s="12" t="s">
        <v>22</v>
      </c>
      <c r="I2796" s="12">
        <v>0</v>
      </c>
      <c r="J2796" s="12" t="s">
        <v>58</v>
      </c>
      <c r="K2796" s="12" t="s">
        <v>23</v>
      </c>
      <c r="L2796" s="12">
        <v>5</v>
      </c>
      <c r="M2796" s="15">
        <v>70000</v>
      </c>
      <c r="N2796" s="15">
        <v>0</v>
      </c>
      <c r="O2796" s="15">
        <f t="shared" si="240"/>
        <v>70000</v>
      </c>
      <c r="P2796" s="15">
        <f t="shared" si="241"/>
        <v>13.18515728009041</v>
      </c>
      <c r="Q2796" s="14">
        <v>10000</v>
      </c>
      <c r="R2796" s="12">
        <v>53</v>
      </c>
      <c r="S2796" s="12" t="s">
        <v>3450</v>
      </c>
      <c r="T2796" s="22">
        <f t="shared" si="237"/>
        <v>8</v>
      </c>
      <c r="U2796" s="22">
        <f t="shared" si="238"/>
        <v>2021</v>
      </c>
      <c r="V2796" s="22" t="str">
        <f t="shared" si="239"/>
        <v>METROPOLITANA</v>
      </c>
    </row>
    <row r="2797" spans="1:22" x14ac:dyDescent="0.2">
      <c r="A2797" s="11" t="s">
        <v>3445</v>
      </c>
      <c r="B2797" s="12" t="s">
        <v>33</v>
      </c>
      <c r="C2797" s="12" t="s">
        <v>29</v>
      </c>
      <c r="D2797" s="12" t="s">
        <v>3451</v>
      </c>
      <c r="E2797" s="13">
        <v>53173292</v>
      </c>
      <c r="F2797" s="12" t="s">
        <v>39</v>
      </c>
      <c r="G2797" s="14">
        <f>9425+2748</f>
        <v>12173</v>
      </c>
      <c r="H2797" s="12" t="s">
        <v>24</v>
      </c>
      <c r="I2797" s="12">
        <v>1</v>
      </c>
      <c r="J2797" s="12" t="s">
        <v>39</v>
      </c>
      <c r="K2797" s="12" t="s">
        <v>23</v>
      </c>
      <c r="L2797" s="12">
        <v>1</v>
      </c>
      <c r="M2797" s="15">
        <v>103675</v>
      </c>
      <c r="N2797" s="15">
        <v>0</v>
      </c>
      <c r="O2797" s="15">
        <f t="shared" si="240"/>
        <v>103675</v>
      </c>
      <c r="P2797" s="15">
        <f t="shared" si="241"/>
        <v>8.516799474246282</v>
      </c>
      <c r="Q2797" s="14">
        <v>5000</v>
      </c>
      <c r="R2797" s="12">
        <v>100</v>
      </c>
      <c r="S2797" s="12" t="s">
        <v>3457</v>
      </c>
      <c r="T2797" s="22">
        <f t="shared" si="237"/>
        <v>8</v>
      </c>
      <c r="U2797" s="22">
        <f t="shared" si="238"/>
        <v>2021</v>
      </c>
      <c r="V2797" s="22" t="str">
        <f t="shared" si="239"/>
        <v>METROPOLITANA</v>
      </c>
    </row>
    <row r="2798" spans="1:22" x14ac:dyDescent="0.2">
      <c r="A2798" s="11" t="s">
        <v>3445</v>
      </c>
      <c r="B2798" s="12" t="s">
        <v>33</v>
      </c>
      <c r="C2798" s="12" t="s">
        <v>29</v>
      </c>
      <c r="D2798" s="12" t="s">
        <v>20</v>
      </c>
      <c r="E2798" s="13">
        <v>78907355</v>
      </c>
      <c r="F2798" s="12" t="s">
        <v>39</v>
      </c>
      <c r="G2798" s="14">
        <v>9037.6</v>
      </c>
      <c r="H2798" s="12" t="s">
        <v>22</v>
      </c>
      <c r="I2798" s="12">
        <v>0</v>
      </c>
      <c r="J2798" s="12" t="s">
        <v>39</v>
      </c>
      <c r="K2798" s="12" t="s">
        <v>23</v>
      </c>
      <c r="L2798" s="12">
        <v>1</v>
      </c>
      <c r="M2798" s="15">
        <v>99414</v>
      </c>
      <c r="N2798" s="15">
        <v>0</v>
      </c>
      <c r="O2798" s="15">
        <f t="shared" si="240"/>
        <v>99414</v>
      </c>
      <c r="P2798" s="15">
        <f t="shared" si="241"/>
        <v>11.00004425953793</v>
      </c>
      <c r="Q2798" s="14">
        <v>5000</v>
      </c>
      <c r="R2798" s="12">
        <v>100</v>
      </c>
      <c r="S2798" s="12" t="s">
        <v>3452</v>
      </c>
      <c r="T2798" s="22">
        <f t="shared" si="237"/>
        <v>8</v>
      </c>
      <c r="U2798" s="22">
        <f t="shared" si="238"/>
        <v>2021</v>
      </c>
      <c r="V2798" s="22" t="str">
        <f t="shared" si="239"/>
        <v>METROPOLITANA</v>
      </c>
    </row>
    <row r="2799" spans="1:22" x14ac:dyDescent="0.2">
      <c r="A2799" s="11" t="s">
        <v>3445</v>
      </c>
      <c r="B2799" s="12" t="s">
        <v>33</v>
      </c>
      <c r="C2799" s="12" t="s">
        <v>2698</v>
      </c>
      <c r="D2799" s="12" t="s">
        <v>63</v>
      </c>
      <c r="E2799" s="13">
        <v>138841065</v>
      </c>
      <c r="F2799" s="12" t="s">
        <v>34</v>
      </c>
      <c r="G2799" s="14">
        <v>8254.3999999999978</v>
      </c>
      <c r="H2799" s="12" t="s">
        <v>65</v>
      </c>
      <c r="I2799" s="12">
        <v>0</v>
      </c>
      <c r="J2799" s="12" t="s">
        <v>34</v>
      </c>
      <c r="K2799" s="12" t="s">
        <v>23</v>
      </c>
      <c r="L2799" s="12">
        <v>1</v>
      </c>
      <c r="M2799" s="15">
        <v>90798</v>
      </c>
      <c r="N2799" s="15">
        <v>0</v>
      </c>
      <c r="O2799" s="15">
        <f t="shared" si="240"/>
        <v>90798</v>
      </c>
      <c r="P2799" s="15">
        <f t="shared" si="241"/>
        <v>10.999951540996321</v>
      </c>
      <c r="Q2799" s="14">
        <v>5000</v>
      </c>
      <c r="R2799" s="12">
        <v>100</v>
      </c>
      <c r="S2799" s="12" t="s">
        <v>3453</v>
      </c>
      <c r="T2799" s="22">
        <f t="shared" si="237"/>
        <v>8</v>
      </c>
      <c r="U2799" s="22">
        <f t="shared" si="238"/>
        <v>2021</v>
      </c>
      <c r="V2799" s="22" t="str">
        <f t="shared" si="239"/>
        <v>METROPOLITANA</v>
      </c>
    </row>
    <row r="2800" spans="1:22" x14ac:dyDescent="0.2">
      <c r="A2800" s="11" t="s">
        <v>3445</v>
      </c>
      <c r="B2800" s="12" t="s">
        <v>33</v>
      </c>
      <c r="C2800" s="12" t="s">
        <v>44</v>
      </c>
      <c r="D2800" s="12" t="s">
        <v>191</v>
      </c>
      <c r="E2800" s="13">
        <v>78551976</v>
      </c>
      <c r="F2800" s="12" t="s">
        <v>92</v>
      </c>
      <c r="G2800" s="14">
        <v>14002</v>
      </c>
      <c r="H2800" s="12" t="s">
        <v>85</v>
      </c>
      <c r="I2800" s="12">
        <v>1</v>
      </c>
      <c r="J2800" s="12" t="s">
        <v>92</v>
      </c>
      <c r="K2800" s="12" t="s">
        <v>93</v>
      </c>
      <c r="L2800" s="12">
        <v>0</v>
      </c>
      <c r="M2800" s="15">
        <v>620000</v>
      </c>
      <c r="N2800" s="15">
        <v>0</v>
      </c>
      <c r="O2800" s="15">
        <f t="shared" si="240"/>
        <v>620000</v>
      </c>
      <c r="P2800" s="15">
        <f t="shared" si="241"/>
        <v>44.279388658763033</v>
      </c>
      <c r="Q2800" s="14">
        <v>25000</v>
      </c>
      <c r="R2800" s="12">
        <v>75</v>
      </c>
      <c r="S2800" s="12" t="s">
        <v>3454</v>
      </c>
      <c r="T2800" s="22">
        <f t="shared" si="237"/>
        <v>8</v>
      </c>
      <c r="U2800" s="22">
        <f t="shared" si="238"/>
        <v>2021</v>
      </c>
      <c r="V2800" s="22" t="str">
        <f t="shared" si="239"/>
        <v>REGIONES</v>
      </c>
    </row>
    <row r="2801" spans="1:22" x14ac:dyDescent="0.2">
      <c r="A2801" s="11" t="s">
        <v>3445</v>
      </c>
      <c r="B2801" s="12" t="s">
        <v>33</v>
      </c>
      <c r="C2801" s="12" t="s">
        <v>44</v>
      </c>
      <c r="D2801" s="12" t="s">
        <v>38</v>
      </c>
      <c r="E2801" s="13">
        <v>125108660</v>
      </c>
      <c r="F2801" s="12" t="s">
        <v>53</v>
      </c>
      <c r="G2801" s="14">
        <v>4145.6000000000004</v>
      </c>
      <c r="H2801" s="12" t="s">
        <v>43</v>
      </c>
      <c r="I2801" s="12">
        <v>0</v>
      </c>
      <c r="J2801" s="12" t="s">
        <v>53</v>
      </c>
      <c r="K2801" s="12" t="s">
        <v>23</v>
      </c>
      <c r="L2801" s="12">
        <v>3</v>
      </c>
      <c r="M2801" s="15">
        <v>55000</v>
      </c>
      <c r="N2801" s="15">
        <v>0</v>
      </c>
      <c r="O2801" s="15">
        <f t="shared" si="240"/>
        <v>55000</v>
      </c>
      <c r="P2801" s="15">
        <f t="shared" si="241"/>
        <v>13.267078348128134</v>
      </c>
      <c r="Q2801" s="14">
        <v>5000</v>
      </c>
      <c r="R2801" s="12">
        <v>83</v>
      </c>
      <c r="S2801" s="12" t="s">
        <v>3455</v>
      </c>
      <c r="T2801" s="22">
        <f t="shared" si="237"/>
        <v>8</v>
      </c>
      <c r="U2801" s="22">
        <f t="shared" si="238"/>
        <v>2021</v>
      </c>
      <c r="V2801" s="22" t="str">
        <f t="shared" si="239"/>
        <v>METROPOLITANA</v>
      </c>
    </row>
    <row r="2802" spans="1:22" x14ac:dyDescent="0.2">
      <c r="A2802" s="11" t="s">
        <v>3445</v>
      </c>
      <c r="B2802" s="12" t="s">
        <v>33</v>
      </c>
      <c r="C2802" s="12" t="s">
        <v>44</v>
      </c>
      <c r="D2802" s="12" t="s">
        <v>45</v>
      </c>
      <c r="E2802" s="13">
        <v>99626232</v>
      </c>
      <c r="F2802" s="12" t="s">
        <v>48</v>
      </c>
      <c r="G2802" s="14">
        <v>3804.4</v>
      </c>
      <c r="H2802" s="12" t="s">
        <v>22</v>
      </c>
      <c r="I2802" s="12">
        <v>0</v>
      </c>
      <c r="J2802" s="12" t="s">
        <v>48</v>
      </c>
      <c r="K2802" s="12" t="s">
        <v>23</v>
      </c>
      <c r="L2802" s="12">
        <v>1</v>
      </c>
      <c r="M2802" s="15">
        <v>55000</v>
      </c>
      <c r="N2802" s="15">
        <v>0</v>
      </c>
      <c r="O2802" s="15">
        <f t="shared" si="240"/>
        <v>55000</v>
      </c>
      <c r="P2802" s="15">
        <f t="shared" si="241"/>
        <v>14.456944590474187</v>
      </c>
      <c r="Q2802" s="14">
        <v>5000</v>
      </c>
      <c r="R2802" s="12">
        <v>76</v>
      </c>
      <c r="S2802" s="12" t="s">
        <v>3456</v>
      </c>
      <c r="T2802" s="22">
        <f t="shared" si="237"/>
        <v>8</v>
      </c>
      <c r="U2802" s="22">
        <f t="shared" si="238"/>
        <v>2021</v>
      </c>
      <c r="V2802" s="22" t="str">
        <f t="shared" si="239"/>
        <v>METROPOLITANA</v>
      </c>
    </row>
    <row r="2803" spans="1:22" x14ac:dyDescent="0.2">
      <c r="A2803" s="23" t="s">
        <v>3458</v>
      </c>
      <c r="B2803" s="22" t="s">
        <v>18</v>
      </c>
      <c r="C2803" s="22" t="s">
        <v>994</v>
      </c>
      <c r="D2803" s="22" t="s">
        <v>37</v>
      </c>
      <c r="E2803" s="24">
        <v>154837728</v>
      </c>
      <c r="F2803" s="22" t="s">
        <v>995</v>
      </c>
      <c r="G2803" s="25">
        <f>5754+959</f>
        <v>6713</v>
      </c>
      <c r="H2803" s="22" t="s">
        <v>22</v>
      </c>
      <c r="I2803" s="22">
        <v>0</v>
      </c>
      <c r="J2803" s="22" t="s">
        <v>995</v>
      </c>
      <c r="K2803" s="22" t="s">
        <v>23</v>
      </c>
      <c r="L2803" s="22">
        <v>1</v>
      </c>
      <c r="M2803" s="26">
        <v>63294</v>
      </c>
      <c r="N2803" s="26">
        <v>0</v>
      </c>
      <c r="O2803" s="15">
        <f t="shared" si="240"/>
        <v>63294</v>
      </c>
      <c r="P2803" s="15">
        <f t="shared" si="241"/>
        <v>9.4285714285714288</v>
      </c>
      <c r="Q2803" s="25">
        <v>5000</v>
      </c>
      <c r="R2803" s="22">
        <v>100</v>
      </c>
      <c r="S2803" s="22" t="s">
        <v>3467</v>
      </c>
      <c r="T2803" s="22">
        <f t="shared" si="237"/>
        <v>8</v>
      </c>
      <c r="U2803" s="22">
        <f t="shared" si="238"/>
        <v>2021</v>
      </c>
      <c r="V2803" s="22" t="str">
        <f t="shared" si="239"/>
        <v>METROPOLITANA</v>
      </c>
    </row>
    <row r="2804" spans="1:22" x14ac:dyDescent="0.2">
      <c r="A2804" s="23" t="s">
        <v>3458</v>
      </c>
      <c r="B2804" s="22" t="s">
        <v>33</v>
      </c>
      <c r="C2804" s="22" t="s">
        <v>3433</v>
      </c>
      <c r="D2804" s="22" t="s">
        <v>2955</v>
      </c>
      <c r="E2804" s="24">
        <v>65941082</v>
      </c>
      <c r="F2804" s="22" t="s">
        <v>170</v>
      </c>
      <c r="G2804" s="25">
        <v>27536.600000000009</v>
      </c>
      <c r="H2804" s="22" t="s">
        <v>24</v>
      </c>
      <c r="I2804" s="22">
        <v>1</v>
      </c>
      <c r="J2804" s="22" t="s">
        <v>170</v>
      </c>
      <c r="K2804" s="22" t="s">
        <v>171</v>
      </c>
      <c r="L2804" s="22">
        <v>0</v>
      </c>
      <c r="M2804" s="26">
        <v>230000</v>
      </c>
      <c r="N2804" s="26">
        <v>0</v>
      </c>
      <c r="O2804" s="15">
        <f t="shared" si="240"/>
        <v>230000</v>
      </c>
      <c r="P2804" s="15">
        <f t="shared" si="241"/>
        <v>8.352519918944239</v>
      </c>
      <c r="Q2804" s="25">
        <v>25000</v>
      </c>
      <c r="R2804" s="22">
        <v>100</v>
      </c>
      <c r="S2804" s="22" t="s">
        <v>3459</v>
      </c>
      <c r="T2804" s="22">
        <f t="shared" si="237"/>
        <v>8</v>
      </c>
      <c r="U2804" s="22">
        <f t="shared" si="238"/>
        <v>2021</v>
      </c>
      <c r="V2804" s="22" t="str">
        <f t="shared" si="239"/>
        <v>REGIONES</v>
      </c>
    </row>
    <row r="2805" spans="1:22" x14ac:dyDescent="0.2">
      <c r="A2805" s="23" t="s">
        <v>3458</v>
      </c>
      <c r="B2805" s="22" t="s">
        <v>33</v>
      </c>
      <c r="C2805" s="22" t="s">
        <v>3460</v>
      </c>
      <c r="D2805" s="22" t="s">
        <v>63</v>
      </c>
      <c r="E2805" s="24">
        <v>138841065</v>
      </c>
      <c r="F2805" s="22" t="s">
        <v>170</v>
      </c>
      <c r="G2805" s="25">
        <v>8502</v>
      </c>
      <c r="H2805" s="22" t="s">
        <v>65</v>
      </c>
      <c r="I2805" s="22">
        <v>0</v>
      </c>
      <c r="J2805" s="22" t="s">
        <v>170</v>
      </c>
      <c r="K2805" s="22" t="s">
        <v>171</v>
      </c>
      <c r="L2805" s="22">
        <v>0</v>
      </c>
      <c r="M2805" s="26">
        <v>180000</v>
      </c>
      <c r="N2805" s="26">
        <v>0</v>
      </c>
      <c r="O2805" s="15">
        <f t="shared" si="240"/>
        <v>180000</v>
      </c>
      <c r="P2805" s="15">
        <f t="shared" si="241"/>
        <v>21.171489061397317</v>
      </c>
      <c r="Q2805" s="25">
        <v>25000</v>
      </c>
      <c r="R2805" s="22">
        <v>75</v>
      </c>
      <c r="S2805" s="22" t="s">
        <v>3461</v>
      </c>
      <c r="T2805" s="22">
        <f t="shared" si="237"/>
        <v>8</v>
      </c>
      <c r="U2805" s="22">
        <f t="shared" si="238"/>
        <v>2021</v>
      </c>
      <c r="V2805" s="22" t="str">
        <f t="shared" si="239"/>
        <v>REGIONES</v>
      </c>
    </row>
    <row r="2806" spans="1:22" x14ac:dyDescent="0.2">
      <c r="A2806" s="23" t="s">
        <v>3458</v>
      </c>
      <c r="B2806" s="22" t="s">
        <v>33</v>
      </c>
      <c r="C2806" s="22" t="s">
        <v>36</v>
      </c>
      <c r="D2806" s="22" t="s">
        <v>61</v>
      </c>
      <c r="E2806" s="24">
        <v>115812335</v>
      </c>
      <c r="F2806" s="22" t="s">
        <v>305</v>
      </c>
      <c r="G2806" s="25">
        <f>12016.56+2364</f>
        <v>14380.56</v>
      </c>
      <c r="H2806" s="22" t="s">
        <v>85</v>
      </c>
      <c r="I2806" s="22">
        <v>1</v>
      </c>
      <c r="J2806" s="22" t="s">
        <v>305</v>
      </c>
      <c r="K2806" s="22" t="s">
        <v>306</v>
      </c>
      <c r="L2806" s="22">
        <v>0</v>
      </c>
      <c r="M2806" s="26">
        <v>1400000</v>
      </c>
      <c r="N2806" s="26">
        <v>0</v>
      </c>
      <c r="O2806" s="15">
        <v>1400000</v>
      </c>
      <c r="P2806" s="15">
        <f t="shared" si="241"/>
        <v>97.353649649248709</v>
      </c>
      <c r="Q2806" s="25">
        <v>25000</v>
      </c>
      <c r="R2806" s="22">
        <v>78</v>
      </c>
      <c r="S2806" s="22" t="s">
        <v>3468</v>
      </c>
      <c r="T2806" s="22">
        <f t="shared" si="237"/>
        <v>8</v>
      </c>
      <c r="U2806" s="22">
        <f t="shared" si="238"/>
        <v>2021</v>
      </c>
      <c r="V2806" s="22" t="str">
        <f t="shared" si="239"/>
        <v>REGIONES</v>
      </c>
    </row>
    <row r="2807" spans="1:22" x14ac:dyDescent="0.2">
      <c r="A2807" s="23" t="s">
        <v>3458</v>
      </c>
      <c r="B2807" s="22" t="s">
        <v>33</v>
      </c>
      <c r="C2807" s="22" t="s">
        <v>29</v>
      </c>
      <c r="D2807" s="22" t="s">
        <v>956</v>
      </c>
      <c r="E2807" s="24">
        <v>99321006</v>
      </c>
      <c r="F2807" s="22" t="s">
        <v>132</v>
      </c>
      <c r="G2807" s="25">
        <v>9504.0000000000091</v>
      </c>
      <c r="H2807" s="22" t="s">
        <v>85</v>
      </c>
      <c r="I2807" s="22">
        <v>1</v>
      </c>
      <c r="J2807" s="22" t="s">
        <v>132</v>
      </c>
      <c r="K2807" s="22" t="s">
        <v>124</v>
      </c>
      <c r="L2807" s="22">
        <v>0</v>
      </c>
      <c r="M2807" s="26">
        <v>350000</v>
      </c>
      <c r="N2807" s="26">
        <v>0</v>
      </c>
      <c r="O2807" s="15">
        <f>SUM(M2807:N2807)</f>
        <v>350000</v>
      </c>
      <c r="P2807" s="15">
        <f t="shared" si="241"/>
        <v>36.826599326599293</v>
      </c>
      <c r="Q2807" s="25">
        <v>25000</v>
      </c>
      <c r="R2807" s="22">
        <v>38</v>
      </c>
      <c r="S2807" s="22" t="s">
        <v>3462</v>
      </c>
      <c r="T2807" s="22">
        <f t="shared" si="237"/>
        <v>8</v>
      </c>
      <c r="U2807" s="22">
        <f t="shared" si="238"/>
        <v>2021</v>
      </c>
      <c r="V2807" s="22" t="str">
        <f t="shared" si="239"/>
        <v>REGIONES</v>
      </c>
    </row>
    <row r="2808" spans="1:22" x14ac:dyDescent="0.2">
      <c r="A2808" s="23" t="s">
        <v>3458</v>
      </c>
      <c r="B2808" s="22" t="s">
        <v>33</v>
      </c>
      <c r="C2808" s="22" t="s">
        <v>29</v>
      </c>
      <c r="D2808" s="22" t="s">
        <v>164</v>
      </c>
      <c r="E2808" s="24">
        <v>81417709</v>
      </c>
      <c r="F2808" s="22" t="s">
        <v>170</v>
      </c>
      <c r="G2808" s="25">
        <v>10908.80000000001</v>
      </c>
      <c r="H2808" s="22" t="s">
        <v>22</v>
      </c>
      <c r="I2808" s="22">
        <v>1</v>
      </c>
      <c r="J2808" s="22" t="s">
        <v>170</v>
      </c>
      <c r="K2808" s="22" t="s">
        <v>171</v>
      </c>
      <c r="L2808" s="22">
        <v>0</v>
      </c>
      <c r="M2808" s="26">
        <v>230000</v>
      </c>
      <c r="N2808" s="26">
        <v>0</v>
      </c>
      <c r="O2808" s="15">
        <f>SUM(M2808:N2808)</f>
        <v>230000</v>
      </c>
      <c r="P2808" s="15">
        <f t="shared" si="241"/>
        <v>21.083895570548528</v>
      </c>
      <c r="Q2808" s="25">
        <v>25000</v>
      </c>
      <c r="R2808" s="22">
        <v>44</v>
      </c>
      <c r="S2808" s="22" t="s">
        <v>3463</v>
      </c>
      <c r="T2808" s="22">
        <f t="shared" si="237"/>
        <v>8</v>
      </c>
      <c r="U2808" s="22">
        <f t="shared" si="238"/>
        <v>2021</v>
      </c>
      <c r="V2808" s="22" t="str">
        <f t="shared" si="239"/>
        <v>REGIONES</v>
      </c>
    </row>
    <row r="2809" spans="1:22" x14ac:dyDescent="0.2">
      <c r="A2809" s="23" t="s">
        <v>3458</v>
      </c>
      <c r="B2809" s="22" t="s">
        <v>33</v>
      </c>
      <c r="C2809" s="22" t="s">
        <v>44</v>
      </c>
      <c r="D2809" s="22" t="s">
        <v>37</v>
      </c>
      <c r="E2809" s="24">
        <v>154837728</v>
      </c>
      <c r="F2809" s="22" t="s">
        <v>94</v>
      </c>
      <c r="G2809" s="25">
        <v>4048.4</v>
      </c>
      <c r="H2809" s="22" t="s">
        <v>22</v>
      </c>
      <c r="I2809" s="22">
        <v>0</v>
      </c>
      <c r="J2809" s="22" t="s">
        <v>59</v>
      </c>
      <c r="K2809" s="22" t="s">
        <v>78</v>
      </c>
      <c r="L2809" s="22">
        <v>0</v>
      </c>
      <c r="M2809" s="26">
        <v>180000</v>
      </c>
      <c r="N2809" s="26">
        <v>0</v>
      </c>
      <c r="O2809" s="15">
        <f>SUM(M2809:N2809)</f>
        <v>180000</v>
      </c>
      <c r="P2809" s="15">
        <f t="shared" si="241"/>
        <v>44.46200968283766</v>
      </c>
      <c r="Q2809" s="25">
        <v>25000</v>
      </c>
      <c r="R2809" s="22">
        <v>75</v>
      </c>
      <c r="S2809" s="22" t="s">
        <v>3464</v>
      </c>
      <c r="T2809" s="22">
        <f t="shared" si="237"/>
        <v>8</v>
      </c>
      <c r="U2809" s="22">
        <f t="shared" si="238"/>
        <v>2021</v>
      </c>
      <c r="V2809" s="22" t="str">
        <f t="shared" si="239"/>
        <v>REGIONES</v>
      </c>
    </row>
    <row r="2810" spans="1:22" x14ac:dyDescent="0.2">
      <c r="A2810" s="23" t="s">
        <v>3458</v>
      </c>
      <c r="B2810" s="22" t="s">
        <v>33</v>
      </c>
      <c r="C2810" s="22" t="s">
        <v>44</v>
      </c>
      <c r="D2810" s="22" t="s">
        <v>30</v>
      </c>
      <c r="E2810" s="24">
        <v>72564391</v>
      </c>
      <c r="F2810" s="22" t="s">
        <v>95</v>
      </c>
      <c r="G2810" s="25">
        <v>4151.2</v>
      </c>
      <c r="H2810" s="22" t="s">
        <v>32</v>
      </c>
      <c r="I2810" s="22">
        <v>0</v>
      </c>
      <c r="J2810" s="22" t="s">
        <v>95</v>
      </c>
      <c r="K2810" s="22" t="s">
        <v>23</v>
      </c>
      <c r="L2810" s="22">
        <v>4</v>
      </c>
      <c r="M2810" s="26">
        <v>55000</v>
      </c>
      <c r="N2810" s="26">
        <v>0</v>
      </c>
      <c r="O2810" s="15">
        <f>SUM(M2810:N2810)</f>
        <v>55000</v>
      </c>
      <c r="P2810" s="15">
        <f t="shared" si="241"/>
        <v>13.249180959722491</v>
      </c>
      <c r="Q2810" s="25">
        <v>5000</v>
      </c>
      <c r="R2810" s="22">
        <v>83</v>
      </c>
      <c r="S2810" s="22" t="s">
        <v>3465</v>
      </c>
      <c r="T2810" s="22">
        <f t="shared" si="237"/>
        <v>8</v>
      </c>
      <c r="U2810" s="22">
        <f t="shared" si="238"/>
        <v>2021</v>
      </c>
      <c r="V2810" s="22" t="str">
        <f t="shared" si="239"/>
        <v>METROPOLITANA</v>
      </c>
    </row>
    <row r="2811" spans="1:22" x14ac:dyDescent="0.2">
      <c r="A2811" s="23" t="s">
        <v>3458</v>
      </c>
      <c r="B2811" s="22" t="s">
        <v>33</v>
      </c>
      <c r="C2811" s="22" t="s">
        <v>44</v>
      </c>
      <c r="D2811" s="22" t="s">
        <v>47</v>
      </c>
      <c r="E2811" s="24">
        <v>154837728</v>
      </c>
      <c r="F2811" s="22" t="s">
        <v>48</v>
      </c>
      <c r="G2811" s="25">
        <v>6889.4</v>
      </c>
      <c r="H2811" s="22" t="s">
        <v>22</v>
      </c>
      <c r="I2811" s="22">
        <v>0</v>
      </c>
      <c r="J2811" s="22" t="s">
        <v>48</v>
      </c>
      <c r="K2811" s="22" t="s">
        <v>23</v>
      </c>
      <c r="L2811" s="22">
        <v>1</v>
      </c>
      <c r="M2811" s="26">
        <v>75783</v>
      </c>
      <c r="N2811" s="26">
        <v>0</v>
      </c>
      <c r="O2811" s="15">
        <f>SUM(M2811:N2811)</f>
        <v>75783</v>
      </c>
      <c r="P2811" s="15">
        <f t="shared" si="241"/>
        <v>10.999941939791565</v>
      </c>
      <c r="Q2811" s="25">
        <v>5000</v>
      </c>
      <c r="R2811" s="22">
        <v>100</v>
      </c>
      <c r="S2811" s="22" t="s">
        <v>3466</v>
      </c>
      <c r="T2811" s="22">
        <f t="shared" si="237"/>
        <v>8</v>
      </c>
      <c r="U2811" s="22">
        <f t="shared" si="238"/>
        <v>2021</v>
      </c>
      <c r="V2811" s="22" t="str">
        <f t="shared" si="239"/>
        <v>METROPOLITANA</v>
      </c>
    </row>
    <row r="2812" spans="1:22" x14ac:dyDescent="0.2">
      <c r="A2812" s="11" t="s">
        <v>3469</v>
      </c>
      <c r="B2812" s="12" t="s">
        <v>18</v>
      </c>
      <c r="C2812" s="12" t="s">
        <v>1997</v>
      </c>
      <c r="D2812" s="12" t="s">
        <v>63</v>
      </c>
      <c r="E2812" s="13">
        <v>138841065</v>
      </c>
      <c r="F2812" s="12" t="s">
        <v>58</v>
      </c>
      <c r="G2812" s="14">
        <f>12852.13+665</f>
        <v>13517.13</v>
      </c>
      <c r="H2812" s="12" t="s">
        <v>65</v>
      </c>
      <c r="I2812" s="12">
        <v>0</v>
      </c>
      <c r="J2812" s="12" t="s">
        <v>58</v>
      </c>
      <c r="K2812" s="12" t="s">
        <v>23</v>
      </c>
      <c r="L2812" s="12">
        <v>5</v>
      </c>
      <c r="M2812" s="15">
        <v>70000</v>
      </c>
      <c r="N2812" s="15">
        <v>0</v>
      </c>
      <c r="O2812" s="15">
        <f>G2812*11</f>
        <v>148688.43</v>
      </c>
      <c r="P2812" s="15">
        <f t="shared" si="241"/>
        <v>11</v>
      </c>
      <c r="Q2812" s="14">
        <v>10000</v>
      </c>
      <c r="R2812" s="12">
        <v>100</v>
      </c>
      <c r="S2812" s="12" t="s">
        <v>3479</v>
      </c>
      <c r="T2812" s="22">
        <f t="shared" si="237"/>
        <v>8</v>
      </c>
      <c r="U2812" s="22">
        <f t="shared" si="238"/>
        <v>2021</v>
      </c>
      <c r="V2812" s="22" t="str">
        <f t="shared" si="239"/>
        <v>METROPOLITANA</v>
      </c>
    </row>
    <row r="2813" spans="1:22" x14ac:dyDescent="0.2">
      <c r="A2813" s="11" t="s">
        <v>3469</v>
      </c>
      <c r="B2813" s="12" t="s">
        <v>33</v>
      </c>
      <c r="C2813" s="12" t="s">
        <v>60</v>
      </c>
      <c r="D2813" s="12" t="s">
        <v>38</v>
      </c>
      <c r="E2813" s="13">
        <v>125108660</v>
      </c>
      <c r="F2813" s="12" t="s">
        <v>51</v>
      </c>
      <c r="G2813" s="14">
        <v>8502</v>
      </c>
      <c r="H2813" s="12" t="s">
        <v>43</v>
      </c>
      <c r="I2813" s="12">
        <v>0</v>
      </c>
      <c r="J2813" s="12" t="s">
        <v>51</v>
      </c>
      <c r="K2813" s="12" t="s">
        <v>23</v>
      </c>
      <c r="L2813" s="12">
        <v>4</v>
      </c>
      <c r="M2813" s="15">
        <v>93522</v>
      </c>
      <c r="N2813" s="15">
        <v>0</v>
      </c>
      <c r="O2813" s="15">
        <f t="shared" ref="O2813:O2851" si="242">SUM(M2813:N2813)</f>
        <v>93522</v>
      </c>
      <c r="P2813" s="15">
        <f t="shared" si="241"/>
        <v>11</v>
      </c>
      <c r="Q2813" s="14">
        <v>5000</v>
      </c>
      <c r="R2813" s="12">
        <v>100</v>
      </c>
      <c r="S2813" s="12" t="s">
        <v>3471</v>
      </c>
      <c r="T2813" s="22">
        <f t="shared" si="237"/>
        <v>8</v>
      </c>
      <c r="U2813" s="22">
        <f t="shared" si="238"/>
        <v>2021</v>
      </c>
      <c r="V2813" s="22" t="str">
        <f t="shared" si="239"/>
        <v>METROPOLITANA</v>
      </c>
    </row>
    <row r="2814" spans="1:22" x14ac:dyDescent="0.2">
      <c r="A2814" s="11" t="s">
        <v>3469</v>
      </c>
      <c r="B2814" s="12" t="s">
        <v>33</v>
      </c>
      <c r="C2814" s="12" t="s">
        <v>60</v>
      </c>
      <c r="D2814" s="12" t="s">
        <v>20</v>
      </c>
      <c r="E2814" s="13">
        <v>78907355</v>
      </c>
      <c r="F2814" s="12" t="s">
        <v>51</v>
      </c>
      <c r="G2814" s="14">
        <v>7503.9999999999973</v>
      </c>
      <c r="H2814" s="12" t="s">
        <v>22</v>
      </c>
      <c r="I2814" s="12">
        <v>0</v>
      </c>
      <c r="J2814" s="12" t="s">
        <v>51</v>
      </c>
      <c r="K2814" s="12" t="s">
        <v>23</v>
      </c>
      <c r="L2814" s="12">
        <v>4</v>
      </c>
      <c r="M2814" s="15">
        <v>82544</v>
      </c>
      <c r="N2814" s="15">
        <v>0</v>
      </c>
      <c r="O2814" s="15">
        <f t="shared" si="242"/>
        <v>82544</v>
      </c>
      <c r="P2814" s="15">
        <f t="shared" si="241"/>
        <v>11.000000000000004</v>
      </c>
      <c r="Q2814" s="14">
        <v>5000</v>
      </c>
      <c r="R2814" s="12">
        <v>100</v>
      </c>
      <c r="S2814" s="12" t="s">
        <v>3472</v>
      </c>
      <c r="T2814" s="22">
        <f t="shared" si="237"/>
        <v>8</v>
      </c>
      <c r="U2814" s="22">
        <f t="shared" si="238"/>
        <v>2021</v>
      </c>
      <c r="V2814" s="22" t="str">
        <f t="shared" si="239"/>
        <v>METROPOLITANA</v>
      </c>
    </row>
    <row r="2815" spans="1:22" x14ac:dyDescent="0.2">
      <c r="A2815" s="11" t="s">
        <v>3469</v>
      </c>
      <c r="B2815" s="12" t="s">
        <v>33</v>
      </c>
      <c r="C2815" s="12" t="s">
        <v>3470</v>
      </c>
      <c r="D2815" s="12" t="s">
        <v>30</v>
      </c>
      <c r="E2815" s="13">
        <v>72564391</v>
      </c>
      <c r="F2815" s="12" t="s">
        <v>129</v>
      </c>
      <c r="G2815" s="14">
        <v>3752</v>
      </c>
      <c r="H2815" s="12" t="s">
        <v>32</v>
      </c>
      <c r="I2815" s="12">
        <v>0</v>
      </c>
      <c r="J2815" s="12" t="s">
        <v>129</v>
      </c>
      <c r="K2815" s="12" t="s">
        <v>23</v>
      </c>
      <c r="L2815" s="12">
        <v>1</v>
      </c>
      <c r="M2815" s="15">
        <v>55000</v>
      </c>
      <c r="N2815" s="15">
        <v>0</v>
      </c>
      <c r="O2815" s="15">
        <f t="shared" si="242"/>
        <v>55000</v>
      </c>
      <c r="P2815" s="15">
        <f t="shared" si="241"/>
        <v>14.658848614072495</v>
      </c>
      <c r="Q2815" s="14">
        <v>5000</v>
      </c>
      <c r="R2815" s="12">
        <v>75</v>
      </c>
      <c r="S2815" s="12" t="s">
        <v>3473</v>
      </c>
      <c r="T2815" s="22">
        <f t="shared" si="237"/>
        <v>8</v>
      </c>
      <c r="U2815" s="22">
        <f t="shared" si="238"/>
        <v>2021</v>
      </c>
      <c r="V2815" s="22" t="str">
        <f t="shared" si="239"/>
        <v>METROPOLITANA</v>
      </c>
    </row>
    <row r="2816" spans="1:22" x14ac:dyDescent="0.2">
      <c r="A2816" s="11" t="s">
        <v>3469</v>
      </c>
      <c r="B2816" s="12" t="s">
        <v>33</v>
      </c>
      <c r="C2816" s="12" t="s">
        <v>29</v>
      </c>
      <c r="D2816" s="12" t="s">
        <v>121</v>
      </c>
      <c r="E2816" s="13">
        <v>137879050</v>
      </c>
      <c r="F2816" s="12" t="s">
        <v>132</v>
      </c>
      <c r="G2816" s="14">
        <v>13651.000000000009</v>
      </c>
      <c r="H2816" s="12" t="s">
        <v>85</v>
      </c>
      <c r="I2816" s="12">
        <v>1</v>
      </c>
      <c r="J2816" s="12" t="s">
        <v>132</v>
      </c>
      <c r="K2816" s="12" t="s">
        <v>124</v>
      </c>
      <c r="L2816" s="12">
        <v>0</v>
      </c>
      <c r="M2816" s="15">
        <v>350000</v>
      </c>
      <c r="N2816" s="15">
        <v>0</v>
      </c>
      <c r="O2816" s="15">
        <f t="shared" si="242"/>
        <v>350000</v>
      </c>
      <c r="P2816" s="15">
        <f t="shared" si="241"/>
        <v>25.639147315214984</v>
      </c>
      <c r="Q2816" s="14">
        <v>25000</v>
      </c>
      <c r="R2816" s="12">
        <v>55</v>
      </c>
      <c r="S2816" s="12" t="s">
        <v>3474</v>
      </c>
      <c r="T2816" s="22">
        <f t="shared" si="237"/>
        <v>8</v>
      </c>
      <c r="U2816" s="22">
        <f t="shared" si="238"/>
        <v>2021</v>
      </c>
      <c r="V2816" s="22" t="str">
        <f t="shared" si="239"/>
        <v>REGIONES</v>
      </c>
    </row>
    <row r="2817" spans="1:22" x14ac:dyDescent="0.2">
      <c r="A2817" s="11" t="s">
        <v>3469</v>
      </c>
      <c r="B2817" s="12" t="s">
        <v>33</v>
      </c>
      <c r="C2817" s="12" t="s">
        <v>29</v>
      </c>
      <c r="D2817" s="12" t="s">
        <v>38</v>
      </c>
      <c r="E2817" s="13">
        <v>53173292</v>
      </c>
      <c r="F2817" s="12" t="s">
        <v>39</v>
      </c>
      <c r="G2817" s="14">
        <f>9755.2+1901</f>
        <v>11656.2</v>
      </c>
      <c r="H2817" s="12" t="s">
        <v>43</v>
      </c>
      <c r="I2817" s="12">
        <v>0</v>
      </c>
      <c r="J2817" s="12" t="s">
        <v>39</v>
      </c>
      <c r="K2817" s="12" t="s">
        <v>23</v>
      </c>
      <c r="L2817" s="12">
        <v>1</v>
      </c>
      <c r="M2817" s="15">
        <v>107307</v>
      </c>
      <c r="N2817" s="15">
        <v>0</v>
      </c>
      <c r="O2817" s="15">
        <f t="shared" si="242"/>
        <v>107307</v>
      </c>
      <c r="P2817" s="15">
        <f t="shared" si="241"/>
        <v>9.206001956040561</v>
      </c>
      <c r="Q2817" s="14">
        <v>5000</v>
      </c>
      <c r="R2817" s="12">
        <v>100</v>
      </c>
      <c r="S2817" s="12" t="s">
        <v>3480</v>
      </c>
      <c r="T2817" s="22">
        <f t="shared" si="237"/>
        <v>8</v>
      </c>
      <c r="U2817" s="22">
        <f t="shared" si="238"/>
        <v>2021</v>
      </c>
      <c r="V2817" s="22" t="str">
        <f t="shared" si="239"/>
        <v>METROPOLITANA</v>
      </c>
    </row>
    <row r="2818" spans="1:22" x14ac:dyDescent="0.2">
      <c r="A2818" s="11" t="s">
        <v>3469</v>
      </c>
      <c r="B2818" s="12" t="s">
        <v>33</v>
      </c>
      <c r="C2818" s="12" t="s">
        <v>29</v>
      </c>
      <c r="D2818" s="12" t="s">
        <v>37</v>
      </c>
      <c r="E2818" s="13">
        <v>154837728</v>
      </c>
      <c r="F2818" s="12" t="s">
        <v>39</v>
      </c>
      <c r="G2818" s="14">
        <v>12131.2</v>
      </c>
      <c r="H2818" s="12" t="s">
        <v>22</v>
      </c>
      <c r="I2818" s="12">
        <v>0</v>
      </c>
      <c r="J2818" s="12" t="s">
        <v>39</v>
      </c>
      <c r="K2818" s="12" t="s">
        <v>23</v>
      </c>
      <c r="L2818" s="12">
        <v>1</v>
      </c>
      <c r="M2818" s="15">
        <v>133443</v>
      </c>
      <c r="N2818" s="15">
        <v>0</v>
      </c>
      <c r="O2818" s="15">
        <f t="shared" si="242"/>
        <v>133443</v>
      </c>
      <c r="P2818" s="15">
        <f t="shared" si="241"/>
        <v>10.999983513584805</v>
      </c>
      <c r="Q2818" s="14">
        <v>5000</v>
      </c>
      <c r="R2818" s="12">
        <v>100</v>
      </c>
      <c r="S2818" s="12" t="s">
        <v>3475</v>
      </c>
      <c r="T2818" s="22">
        <f t="shared" si="237"/>
        <v>8</v>
      </c>
      <c r="U2818" s="22">
        <f t="shared" si="238"/>
        <v>2021</v>
      </c>
      <c r="V2818" s="22" t="str">
        <f t="shared" si="239"/>
        <v>METROPOLITANA</v>
      </c>
    </row>
    <row r="2819" spans="1:22" x14ac:dyDescent="0.2">
      <c r="A2819" s="11" t="s">
        <v>3469</v>
      </c>
      <c r="B2819" s="12" t="s">
        <v>33</v>
      </c>
      <c r="C2819" s="12" t="s">
        <v>29</v>
      </c>
      <c r="D2819" s="12" t="s">
        <v>37</v>
      </c>
      <c r="E2819" s="13">
        <v>154837728</v>
      </c>
      <c r="F2819" s="12" t="s">
        <v>134</v>
      </c>
      <c r="G2819" s="14">
        <v>9091.9999999999982</v>
      </c>
      <c r="H2819" s="12" t="s">
        <v>22</v>
      </c>
      <c r="I2819" s="12">
        <v>0</v>
      </c>
      <c r="J2819" s="12" t="s">
        <v>134</v>
      </c>
      <c r="K2819" s="12" t="s">
        <v>23</v>
      </c>
      <c r="L2819" s="12">
        <v>2</v>
      </c>
      <c r="M2819" s="15">
        <v>100012</v>
      </c>
      <c r="N2819" s="15">
        <v>0</v>
      </c>
      <c r="O2819" s="15">
        <f t="shared" si="242"/>
        <v>100012</v>
      </c>
      <c r="P2819" s="15">
        <f t="shared" si="241"/>
        <v>11.000000000000002</v>
      </c>
      <c r="Q2819" s="14">
        <v>5000</v>
      </c>
      <c r="R2819" s="12">
        <v>100</v>
      </c>
      <c r="S2819" s="12" t="s">
        <v>3476</v>
      </c>
      <c r="T2819" s="22">
        <f t="shared" si="237"/>
        <v>8</v>
      </c>
      <c r="U2819" s="22">
        <f t="shared" si="238"/>
        <v>2021</v>
      </c>
      <c r="V2819" s="22" t="str">
        <f t="shared" si="239"/>
        <v>METROPOLITANA</v>
      </c>
    </row>
    <row r="2820" spans="1:22" x14ac:dyDescent="0.2">
      <c r="A2820" s="11" t="s">
        <v>3469</v>
      </c>
      <c r="B2820" s="12" t="s">
        <v>33</v>
      </c>
      <c r="C2820" s="12" t="s">
        <v>29</v>
      </c>
      <c r="D2820" s="12" t="s">
        <v>786</v>
      </c>
      <c r="E2820" s="13">
        <v>95707734</v>
      </c>
      <c r="F2820" s="12" t="s">
        <v>170</v>
      </c>
      <c r="G2820" s="14">
        <f>13507.2+1901</f>
        <v>15408.2</v>
      </c>
      <c r="H2820" s="12" t="s">
        <v>788</v>
      </c>
      <c r="I2820" s="12">
        <v>1</v>
      </c>
      <c r="J2820" s="12" t="s">
        <v>170</v>
      </c>
      <c r="K2820" s="12" t="s">
        <v>171</v>
      </c>
      <c r="L2820" s="12">
        <v>0</v>
      </c>
      <c r="M2820" s="15">
        <v>230000</v>
      </c>
      <c r="N2820" s="15">
        <v>0</v>
      </c>
      <c r="O2820" s="15">
        <f t="shared" si="242"/>
        <v>230000</v>
      </c>
      <c r="P2820" s="15">
        <f t="shared" si="241"/>
        <v>14.927116730052829</v>
      </c>
      <c r="Q2820" s="14">
        <v>25000</v>
      </c>
      <c r="R2820" s="12">
        <v>85</v>
      </c>
      <c r="S2820" s="12" t="s">
        <v>3481</v>
      </c>
      <c r="T2820" s="22">
        <f t="shared" si="237"/>
        <v>8</v>
      </c>
      <c r="U2820" s="22">
        <f t="shared" si="238"/>
        <v>2021</v>
      </c>
      <c r="V2820" s="22" t="str">
        <f t="shared" si="239"/>
        <v>REGIONES</v>
      </c>
    </row>
    <row r="2821" spans="1:22" x14ac:dyDescent="0.2">
      <c r="A2821" s="11" t="s">
        <v>3469</v>
      </c>
      <c r="B2821" s="12" t="s">
        <v>33</v>
      </c>
      <c r="C2821" s="12" t="s">
        <v>29</v>
      </c>
      <c r="D2821" s="12" t="s">
        <v>164</v>
      </c>
      <c r="E2821" s="13">
        <v>81417709</v>
      </c>
      <c r="F2821" s="12" t="s">
        <v>173</v>
      </c>
      <c r="G2821" s="14">
        <v>14331.599999999989</v>
      </c>
      <c r="H2821" s="12" t="s">
        <v>22</v>
      </c>
      <c r="I2821" s="12">
        <v>1</v>
      </c>
      <c r="J2821" s="12" t="s">
        <v>173</v>
      </c>
      <c r="K2821" s="12" t="s">
        <v>23</v>
      </c>
      <c r="L2821" s="12">
        <v>5</v>
      </c>
      <c r="M2821" s="15">
        <v>120000</v>
      </c>
      <c r="N2821" s="15">
        <v>0</v>
      </c>
      <c r="O2821" s="15">
        <f t="shared" si="242"/>
        <v>120000</v>
      </c>
      <c r="P2821" s="15">
        <f t="shared" si="241"/>
        <v>8.3731055848614311</v>
      </c>
      <c r="Q2821" s="14">
        <v>10000</v>
      </c>
      <c r="R2821" s="12">
        <v>100</v>
      </c>
      <c r="S2821" s="12" t="s">
        <v>3477</v>
      </c>
      <c r="T2821" s="22">
        <f t="shared" si="237"/>
        <v>8</v>
      </c>
      <c r="U2821" s="22">
        <f t="shared" si="238"/>
        <v>2021</v>
      </c>
      <c r="V2821" s="22" t="str">
        <f t="shared" si="239"/>
        <v>METROPOLITANA</v>
      </c>
    </row>
    <row r="2822" spans="1:22" x14ac:dyDescent="0.2">
      <c r="A2822" s="11" t="s">
        <v>3469</v>
      </c>
      <c r="B2822" s="12" t="s">
        <v>33</v>
      </c>
      <c r="C2822" s="12" t="s">
        <v>29</v>
      </c>
      <c r="D2822" s="12" t="s">
        <v>20</v>
      </c>
      <c r="E2822" s="13">
        <v>78907355</v>
      </c>
      <c r="F2822" s="12" t="s">
        <v>134</v>
      </c>
      <c r="G2822" s="14">
        <v>9004.7999999999975</v>
      </c>
      <c r="H2822" s="12" t="s">
        <v>22</v>
      </c>
      <c r="I2822" s="12">
        <v>0</v>
      </c>
      <c r="J2822" s="12" t="s">
        <v>134</v>
      </c>
      <c r="K2822" s="12" t="s">
        <v>23</v>
      </c>
      <c r="L2822" s="12">
        <v>2</v>
      </c>
      <c r="M2822" s="15">
        <v>99053</v>
      </c>
      <c r="N2822" s="15">
        <v>0</v>
      </c>
      <c r="O2822" s="15">
        <f t="shared" si="242"/>
        <v>99053</v>
      </c>
      <c r="P2822" s="15">
        <f t="shared" si="241"/>
        <v>11.000022210376692</v>
      </c>
      <c r="Q2822" s="14">
        <v>5000</v>
      </c>
      <c r="R2822" s="12">
        <v>100</v>
      </c>
      <c r="S2822" s="12" t="s">
        <v>3478</v>
      </c>
      <c r="T2822" s="22">
        <f t="shared" si="237"/>
        <v>8</v>
      </c>
      <c r="U2822" s="22">
        <f t="shared" si="238"/>
        <v>2021</v>
      </c>
      <c r="V2822" s="22" t="str">
        <f t="shared" si="239"/>
        <v>METROPOLITANA</v>
      </c>
    </row>
    <row r="2823" spans="1:22" x14ac:dyDescent="0.2">
      <c r="A2823" s="11" t="s">
        <v>3469</v>
      </c>
      <c r="B2823" s="12" t="s">
        <v>33</v>
      </c>
      <c r="C2823" s="12" t="s">
        <v>44</v>
      </c>
      <c r="D2823" s="12" t="s">
        <v>47</v>
      </c>
      <c r="E2823" s="13">
        <v>154837728</v>
      </c>
      <c r="F2823" s="12" t="s">
        <v>48</v>
      </c>
      <c r="G2823" s="14">
        <f>3973.6+750</f>
        <v>4723.6000000000004</v>
      </c>
      <c r="H2823" s="12" t="s">
        <v>22</v>
      </c>
      <c r="I2823" s="12">
        <v>0</v>
      </c>
      <c r="J2823" s="12" t="s">
        <v>48</v>
      </c>
      <c r="K2823" s="12" t="s">
        <v>23</v>
      </c>
      <c r="L2823" s="12">
        <v>1</v>
      </c>
      <c r="M2823" s="15">
        <v>55000</v>
      </c>
      <c r="N2823" s="15">
        <v>0</v>
      </c>
      <c r="O2823" s="15">
        <f t="shared" si="242"/>
        <v>55000</v>
      </c>
      <c r="P2823" s="15">
        <f t="shared" si="241"/>
        <v>11.643661614023202</v>
      </c>
      <c r="Q2823" s="14">
        <v>5000</v>
      </c>
      <c r="R2823" s="12">
        <v>86</v>
      </c>
      <c r="S2823" s="12" t="s">
        <v>3482</v>
      </c>
      <c r="T2823" s="22">
        <f t="shared" si="237"/>
        <v>8</v>
      </c>
      <c r="U2823" s="22">
        <f t="shared" si="238"/>
        <v>2021</v>
      </c>
      <c r="V2823" s="22" t="str">
        <f t="shared" si="239"/>
        <v>METROPOLITANA</v>
      </c>
    </row>
    <row r="2824" spans="1:22" x14ac:dyDescent="0.2">
      <c r="A2824" s="11" t="s">
        <v>3469</v>
      </c>
      <c r="B2824" s="12" t="s">
        <v>33</v>
      </c>
      <c r="C2824" s="12" t="s">
        <v>44</v>
      </c>
      <c r="D2824" s="12" t="s">
        <v>125</v>
      </c>
      <c r="E2824" s="13">
        <v>172861164</v>
      </c>
      <c r="F2824" s="12" t="s">
        <v>114</v>
      </c>
      <c r="G2824" s="14">
        <f>9025.6+475</f>
        <v>9500.6</v>
      </c>
      <c r="H2824" s="12" t="s">
        <v>174</v>
      </c>
      <c r="I2824" s="12">
        <v>0</v>
      </c>
      <c r="J2824" s="12" t="s">
        <v>114</v>
      </c>
      <c r="K2824" s="12" t="s">
        <v>75</v>
      </c>
      <c r="L2824" s="12">
        <v>0</v>
      </c>
      <c r="M2824" s="15">
        <v>380000</v>
      </c>
      <c r="N2824" s="15">
        <v>0</v>
      </c>
      <c r="O2824" s="15">
        <f t="shared" si="242"/>
        <v>380000</v>
      </c>
      <c r="P2824" s="15">
        <f t="shared" si="241"/>
        <v>39.997473843757234</v>
      </c>
      <c r="Q2824" s="14">
        <v>25000</v>
      </c>
      <c r="R2824" s="12">
        <v>65</v>
      </c>
      <c r="S2824" s="12" t="s">
        <v>3483</v>
      </c>
      <c r="T2824" s="22">
        <f t="shared" ref="T2824:T2887" si="243">MONTH(A2824)</f>
        <v>8</v>
      </c>
      <c r="U2824" s="22">
        <f t="shared" ref="U2824:U2887" si="244">YEAR(A2824)</f>
        <v>2021</v>
      </c>
      <c r="V2824" s="22" t="str">
        <f t="shared" ref="V2824:V2887" si="245">IF(K2824="METROPOLITANA DE SANTIAGO","METROPOLITANA","REGIONES")</f>
        <v>REGIONES</v>
      </c>
    </row>
    <row r="2825" spans="1:22" x14ac:dyDescent="0.2">
      <c r="A2825" s="23" t="s">
        <v>3484</v>
      </c>
      <c r="B2825" s="22" t="s">
        <v>18</v>
      </c>
      <c r="C2825" s="22" t="s">
        <v>1997</v>
      </c>
      <c r="D2825" s="22" t="s">
        <v>37</v>
      </c>
      <c r="E2825" s="24">
        <v>154837728</v>
      </c>
      <c r="F2825" s="22" t="s">
        <v>58</v>
      </c>
      <c r="G2825" s="25">
        <v>11040</v>
      </c>
      <c r="H2825" s="22" t="s">
        <v>22</v>
      </c>
      <c r="I2825" s="22">
        <v>0</v>
      </c>
      <c r="J2825" s="22" t="s">
        <v>58</v>
      </c>
      <c r="K2825" s="22" t="s">
        <v>23</v>
      </c>
      <c r="L2825" s="22">
        <v>5</v>
      </c>
      <c r="M2825" s="26">
        <v>70000</v>
      </c>
      <c r="N2825" s="26">
        <v>0</v>
      </c>
      <c r="O2825" s="15">
        <f t="shared" si="242"/>
        <v>70000</v>
      </c>
      <c r="P2825" s="15">
        <f t="shared" si="241"/>
        <v>6.3405797101449277</v>
      </c>
      <c r="Q2825" s="25">
        <v>10000</v>
      </c>
      <c r="R2825" s="22">
        <v>100</v>
      </c>
      <c r="S2825" s="22" t="s">
        <v>3485</v>
      </c>
      <c r="T2825" s="22">
        <f t="shared" si="243"/>
        <v>8</v>
      </c>
      <c r="U2825" s="22">
        <f t="shared" si="244"/>
        <v>2021</v>
      </c>
      <c r="V2825" s="22" t="str">
        <f t="shared" si="245"/>
        <v>METROPOLITANA</v>
      </c>
    </row>
    <row r="2826" spans="1:22" x14ac:dyDescent="0.2">
      <c r="A2826" s="23" t="s">
        <v>3484</v>
      </c>
      <c r="B2826" s="22" t="s">
        <v>18</v>
      </c>
      <c r="C2826" s="22" t="s">
        <v>57</v>
      </c>
      <c r="D2826" s="22" t="s">
        <v>38</v>
      </c>
      <c r="E2826" s="24">
        <v>125108660</v>
      </c>
      <c r="F2826" s="22" t="s">
        <v>308</v>
      </c>
      <c r="G2826" s="25">
        <v>9833.52</v>
      </c>
      <c r="H2826" s="22" t="s">
        <v>43</v>
      </c>
      <c r="I2826" s="22">
        <v>0</v>
      </c>
      <c r="J2826" s="22" t="s">
        <v>308</v>
      </c>
      <c r="K2826" s="22" t="s">
        <v>78</v>
      </c>
      <c r="L2826" s="22">
        <v>0</v>
      </c>
      <c r="M2826" s="26">
        <v>180000</v>
      </c>
      <c r="N2826" s="26">
        <v>0</v>
      </c>
      <c r="O2826" s="15">
        <f t="shared" si="242"/>
        <v>180000</v>
      </c>
      <c r="P2826" s="15">
        <f t="shared" si="241"/>
        <v>18.304737266004441</v>
      </c>
      <c r="Q2826" s="25">
        <v>25000</v>
      </c>
      <c r="R2826" s="22">
        <v>78</v>
      </c>
      <c r="S2826" s="22" t="s">
        <v>3486</v>
      </c>
      <c r="T2826" s="22">
        <f t="shared" si="243"/>
        <v>8</v>
      </c>
      <c r="U2826" s="22">
        <f t="shared" si="244"/>
        <v>2021</v>
      </c>
      <c r="V2826" s="22" t="str">
        <f t="shared" si="245"/>
        <v>REGIONES</v>
      </c>
    </row>
    <row r="2827" spans="1:22" x14ac:dyDescent="0.2">
      <c r="A2827" s="23" t="s">
        <v>3484</v>
      </c>
      <c r="B2827" s="22" t="s">
        <v>18</v>
      </c>
      <c r="C2827" s="22" t="s">
        <v>457</v>
      </c>
      <c r="D2827" s="22" t="s">
        <v>786</v>
      </c>
      <c r="E2827" s="24">
        <v>95707734</v>
      </c>
      <c r="F2827" s="22" t="s">
        <v>815</v>
      </c>
      <c r="G2827" s="25">
        <f>7983.18+9510</f>
        <v>17493.18</v>
      </c>
      <c r="H2827" s="22" t="s">
        <v>788</v>
      </c>
      <c r="I2827" s="22">
        <v>1</v>
      </c>
      <c r="J2827" s="22" t="s">
        <v>815</v>
      </c>
      <c r="K2827" s="22" t="s">
        <v>75</v>
      </c>
      <c r="L2827" s="22">
        <v>0</v>
      </c>
      <c r="M2827" s="26">
        <v>420000</v>
      </c>
      <c r="N2827" s="26">
        <v>0</v>
      </c>
      <c r="O2827" s="15">
        <f t="shared" si="242"/>
        <v>420000</v>
      </c>
      <c r="P2827" s="15">
        <f t="shared" si="241"/>
        <v>24.009356789331612</v>
      </c>
      <c r="Q2827" s="25">
        <v>25000</v>
      </c>
      <c r="R2827" s="22">
        <v>88</v>
      </c>
      <c r="S2827" s="22" t="s">
        <v>3496</v>
      </c>
      <c r="T2827" s="22">
        <f t="shared" si="243"/>
        <v>8</v>
      </c>
      <c r="U2827" s="22">
        <f t="shared" si="244"/>
        <v>2021</v>
      </c>
      <c r="V2827" s="22" t="str">
        <f t="shared" si="245"/>
        <v>REGIONES</v>
      </c>
    </row>
    <row r="2828" spans="1:22" x14ac:dyDescent="0.2">
      <c r="A2828" s="23" t="s">
        <v>3484</v>
      </c>
      <c r="B2828" s="22" t="s">
        <v>33</v>
      </c>
      <c r="C2828" s="22" t="s">
        <v>3460</v>
      </c>
      <c r="D2828" s="22" t="s">
        <v>63</v>
      </c>
      <c r="E2828" s="24">
        <v>138841065</v>
      </c>
      <c r="F2828" s="22" t="s">
        <v>554</v>
      </c>
      <c r="G2828" s="25">
        <v>8502</v>
      </c>
      <c r="H2828" s="22" t="s">
        <v>65</v>
      </c>
      <c r="I2828" s="22">
        <v>0</v>
      </c>
      <c r="J2828" s="22" t="s">
        <v>554</v>
      </c>
      <c r="K2828" s="22" t="s">
        <v>23</v>
      </c>
      <c r="L2828" s="22">
        <v>4</v>
      </c>
      <c r="M2828" s="26">
        <v>93522</v>
      </c>
      <c r="N2828" s="26">
        <v>0</v>
      </c>
      <c r="O2828" s="15">
        <f t="shared" si="242"/>
        <v>93522</v>
      </c>
      <c r="P2828" s="15">
        <f t="shared" si="241"/>
        <v>11</v>
      </c>
      <c r="Q2828" s="25">
        <v>5000</v>
      </c>
      <c r="R2828" s="22">
        <v>100</v>
      </c>
      <c r="S2828" s="22" t="s">
        <v>3487</v>
      </c>
      <c r="T2828" s="22">
        <f t="shared" si="243"/>
        <v>8</v>
      </c>
      <c r="U2828" s="22">
        <f t="shared" si="244"/>
        <v>2021</v>
      </c>
      <c r="V2828" s="22" t="str">
        <f t="shared" si="245"/>
        <v>METROPOLITANA</v>
      </c>
    </row>
    <row r="2829" spans="1:22" x14ac:dyDescent="0.2">
      <c r="A2829" s="23" t="s">
        <v>3484</v>
      </c>
      <c r="B2829" s="22" t="s">
        <v>33</v>
      </c>
      <c r="C2829" s="22" t="s">
        <v>128</v>
      </c>
      <c r="D2829" s="22" t="s">
        <v>37</v>
      </c>
      <c r="E2829" s="24">
        <v>154837728</v>
      </c>
      <c r="F2829" s="22" t="s">
        <v>34</v>
      </c>
      <c r="G2829" s="25">
        <v>9753.2000000000007</v>
      </c>
      <c r="H2829" s="22" t="s">
        <v>22</v>
      </c>
      <c r="I2829" s="22">
        <v>0</v>
      </c>
      <c r="J2829" s="22" t="s">
        <v>34</v>
      </c>
      <c r="K2829" s="22" t="s">
        <v>23</v>
      </c>
      <c r="L2829" s="22">
        <v>1</v>
      </c>
      <c r="M2829" s="26">
        <v>107285</v>
      </c>
      <c r="N2829" s="26">
        <v>0</v>
      </c>
      <c r="O2829" s="15">
        <f t="shared" si="242"/>
        <v>107285</v>
      </c>
      <c r="P2829" s="15">
        <f t="shared" si="241"/>
        <v>10.99997949390969</v>
      </c>
      <c r="Q2829" s="25">
        <v>5000</v>
      </c>
      <c r="R2829" s="22">
        <v>100</v>
      </c>
      <c r="S2829" s="22" t="s">
        <v>3488</v>
      </c>
      <c r="T2829" s="22">
        <f t="shared" si="243"/>
        <v>8</v>
      </c>
      <c r="U2829" s="22">
        <f t="shared" si="244"/>
        <v>2021</v>
      </c>
      <c r="V2829" s="22" t="str">
        <f t="shared" si="245"/>
        <v>METROPOLITANA</v>
      </c>
    </row>
    <row r="2830" spans="1:22" x14ac:dyDescent="0.2">
      <c r="A2830" s="23" t="s">
        <v>3484</v>
      </c>
      <c r="B2830" s="22" t="s">
        <v>33</v>
      </c>
      <c r="C2830" s="22" t="s">
        <v>128</v>
      </c>
      <c r="D2830" s="22" t="s">
        <v>63</v>
      </c>
      <c r="E2830" s="24">
        <v>138841056</v>
      </c>
      <c r="F2830" s="22" t="s">
        <v>34</v>
      </c>
      <c r="G2830" s="25">
        <v>9753.2000000000044</v>
      </c>
      <c r="H2830" s="22" t="s">
        <v>65</v>
      </c>
      <c r="I2830" s="22">
        <v>0</v>
      </c>
      <c r="J2830" s="22" t="s">
        <v>34</v>
      </c>
      <c r="K2830" s="22" t="s">
        <v>23</v>
      </c>
      <c r="L2830" s="22">
        <v>1</v>
      </c>
      <c r="M2830" s="26">
        <v>107285</v>
      </c>
      <c r="N2830" s="26">
        <v>0</v>
      </c>
      <c r="O2830" s="15">
        <f t="shared" si="242"/>
        <v>107285</v>
      </c>
      <c r="P2830" s="15">
        <f t="shared" si="241"/>
        <v>10.999979493909686</v>
      </c>
      <c r="Q2830" s="25">
        <v>5000</v>
      </c>
      <c r="R2830" s="22">
        <v>100</v>
      </c>
      <c r="S2830" s="22" t="s">
        <v>3489</v>
      </c>
      <c r="T2830" s="22">
        <f t="shared" si="243"/>
        <v>8</v>
      </c>
      <c r="U2830" s="22">
        <f t="shared" si="244"/>
        <v>2021</v>
      </c>
      <c r="V2830" s="22" t="str">
        <f t="shared" si="245"/>
        <v>METROPOLITANA</v>
      </c>
    </row>
    <row r="2831" spans="1:22" x14ac:dyDescent="0.2">
      <c r="A2831" s="23" t="s">
        <v>3484</v>
      </c>
      <c r="B2831" s="22" t="s">
        <v>33</v>
      </c>
      <c r="C2831" s="22" t="s">
        <v>128</v>
      </c>
      <c r="D2831" s="22" t="s">
        <v>30</v>
      </c>
      <c r="E2831" s="24">
        <v>72564391</v>
      </c>
      <c r="F2831" s="22" t="s">
        <v>34</v>
      </c>
      <c r="G2831" s="25">
        <f>6751.6+3002</f>
        <v>9753.6</v>
      </c>
      <c r="H2831" s="22" t="s">
        <v>32</v>
      </c>
      <c r="I2831" s="22">
        <v>0</v>
      </c>
      <c r="J2831" s="22" t="s">
        <v>34</v>
      </c>
      <c r="K2831" s="22" t="s">
        <v>23</v>
      </c>
      <c r="L2831" s="22">
        <v>1</v>
      </c>
      <c r="M2831" s="26">
        <v>74268</v>
      </c>
      <c r="N2831" s="26">
        <v>0</v>
      </c>
      <c r="O2831" s="15">
        <f t="shared" si="242"/>
        <v>74268</v>
      </c>
      <c r="P2831" s="15">
        <f t="shared" si="241"/>
        <v>7.6144192913385824</v>
      </c>
      <c r="Q2831" s="25">
        <v>5000</v>
      </c>
      <c r="R2831" s="22">
        <v>100</v>
      </c>
      <c r="S2831" s="22" t="s">
        <v>3497</v>
      </c>
      <c r="T2831" s="22">
        <f t="shared" si="243"/>
        <v>8</v>
      </c>
      <c r="U2831" s="22">
        <f t="shared" si="244"/>
        <v>2021</v>
      </c>
      <c r="V2831" s="22" t="str">
        <f t="shared" si="245"/>
        <v>METROPOLITANA</v>
      </c>
    </row>
    <row r="2832" spans="1:22" x14ac:dyDescent="0.2">
      <c r="A2832" s="23" t="s">
        <v>3484</v>
      </c>
      <c r="B2832" s="22" t="s">
        <v>33</v>
      </c>
      <c r="C2832" s="22" t="s">
        <v>128</v>
      </c>
      <c r="D2832" s="22" t="s">
        <v>164</v>
      </c>
      <c r="E2832" s="24">
        <v>81417709</v>
      </c>
      <c r="F2832" s="22" t="s">
        <v>129</v>
      </c>
      <c r="G2832" s="25">
        <v>21886.399999999991</v>
      </c>
      <c r="H2832" s="22" t="s">
        <v>22</v>
      </c>
      <c r="I2832" s="22">
        <v>1</v>
      </c>
      <c r="J2832" s="22" t="s">
        <v>129</v>
      </c>
      <c r="K2832" s="22" t="s">
        <v>23</v>
      </c>
      <c r="L2832" s="22">
        <v>1</v>
      </c>
      <c r="M2832" s="26">
        <v>240750</v>
      </c>
      <c r="N2832" s="26">
        <v>0</v>
      </c>
      <c r="O2832" s="15">
        <f t="shared" si="242"/>
        <v>240750</v>
      </c>
      <c r="P2832" s="15">
        <f t="shared" si="241"/>
        <v>10.999981723810224</v>
      </c>
      <c r="Q2832" s="25">
        <v>5000</v>
      </c>
      <c r="R2832" s="22">
        <v>100</v>
      </c>
      <c r="S2832" s="22" t="s">
        <v>3490</v>
      </c>
      <c r="T2832" s="22">
        <f t="shared" si="243"/>
        <v>8</v>
      </c>
      <c r="U2832" s="22">
        <f t="shared" si="244"/>
        <v>2021</v>
      </c>
      <c r="V2832" s="22" t="str">
        <f t="shared" si="245"/>
        <v>METROPOLITANA</v>
      </c>
    </row>
    <row r="2833" spans="1:22" x14ac:dyDescent="0.2">
      <c r="A2833" s="23" t="s">
        <v>3484</v>
      </c>
      <c r="B2833" s="22" t="s">
        <v>33</v>
      </c>
      <c r="C2833" s="22" t="s">
        <v>223</v>
      </c>
      <c r="D2833" s="22" t="s">
        <v>30</v>
      </c>
      <c r="E2833" s="24">
        <v>72564391</v>
      </c>
      <c r="F2833" s="22" t="s">
        <v>39</v>
      </c>
      <c r="G2833" s="25">
        <v>8502</v>
      </c>
      <c r="H2833" s="22" t="s">
        <v>32</v>
      </c>
      <c r="I2833" s="22">
        <v>0</v>
      </c>
      <c r="J2833" s="22" t="s">
        <v>39</v>
      </c>
      <c r="K2833" s="22" t="s">
        <v>23</v>
      </c>
      <c r="L2833" s="22">
        <v>1</v>
      </c>
      <c r="M2833" s="26">
        <v>93522</v>
      </c>
      <c r="N2833" s="26">
        <v>0</v>
      </c>
      <c r="O2833" s="15">
        <f t="shared" si="242"/>
        <v>93522</v>
      </c>
      <c r="P2833" s="15">
        <f t="shared" si="241"/>
        <v>11</v>
      </c>
      <c r="Q2833" s="25">
        <v>5000</v>
      </c>
      <c r="R2833" s="22">
        <v>100</v>
      </c>
      <c r="S2833" s="22" t="s">
        <v>3491</v>
      </c>
      <c r="T2833" s="22">
        <f t="shared" si="243"/>
        <v>8</v>
      </c>
      <c r="U2833" s="22">
        <f t="shared" si="244"/>
        <v>2021</v>
      </c>
      <c r="V2833" s="22" t="str">
        <f t="shared" si="245"/>
        <v>METROPOLITANA</v>
      </c>
    </row>
    <row r="2834" spans="1:22" x14ac:dyDescent="0.2">
      <c r="A2834" s="23" t="s">
        <v>3484</v>
      </c>
      <c r="B2834" s="22" t="s">
        <v>33</v>
      </c>
      <c r="C2834" s="22" t="s">
        <v>29</v>
      </c>
      <c r="D2834" s="22" t="s">
        <v>38</v>
      </c>
      <c r="E2834" s="24">
        <v>53173292</v>
      </c>
      <c r="F2834" s="22" t="s">
        <v>39</v>
      </c>
      <c r="G2834" s="25">
        <v>9755.1999999999971</v>
      </c>
      <c r="H2834" s="22" t="s">
        <v>43</v>
      </c>
      <c r="I2834" s="22">
        <v>0</v>
      </c>
      <c r="J2834" s="22" t="s">
        <v>39</v>
      </c>
      <c r="K2834" s="22" t="s">
        <v>23</v>
      </c>
      <c r="L2834" s="22">
        <v>1</v>
      </c>
      <c r="M2834" s="26">
        <v>107307</v>
      </c>
      <c r="N2834" s="26">
        <v>0</v>
      </c>
      <c r="O2834" s="15">
        <f t="shared" si="242"/>
        <v>107307</v>
      </c>
      <c r="P2834" s="15">
        <f t="shared" si="241"/>
        <v>10.999979498113829</v>
      </c>
      <c r="Q2834" s="25">
        <v>5000</v>
      </c>
      <c r="R2834" s="22">
        <v>100</v>
      </c>
      <c r="S2834" s="22" t="s">
        <v>3492</v>
      </c>
      <c r="T2834" s="22">
        <f t="shared" si="243"/>
        <v>8</v>
      </c>
      <c r="U2834" s="22">
        <f t="shared" si="244"/>
        <v>2021</v>
      </c>
      <c r="V2834" s="22" t="str">
        <f t="shared" si="245"/>
        <v>METROPOLITANA</v>
      </c>
    </row>
    <row r="2835" spans="1:22" x14ac:dyDescent="0.2">
      <c r="A2835" s="23" t="s">
        <v>3484</v>
      </c>
      <c r="B2835" s="22" t="s">
        <v>33</v>
      </c>
      <c r="C2835" s="22" t="s">
        <v>2698</v>
      </c>
      <c r="D2835" s="22" t="s">
        <v>20</v>
      </c>
      <c r="E2835" s="24">
        <v>78907355</v>
      </c>
      <c r="F2835" s="22" t="s">
        <v>51</v>
      </c>
      <c r="G2835" s="25">
        <v>6756.4</v>
      </c>
      <c r="H2835" s="22" t="s">
        <v>22</v>
      </c>
      <c r="I2835" s="22">
        <v>0</v>
      </c>
      <c r="J2835" s="22" t="s">
        <v>51</v>
      </c>
      <c r="K2835" s="22" t="s">
        <v>23</v>
      </c>
      <c r="L2835" s="22">
        <v>4</v>
      </c>
      <c r="M2835" s="26">
        <v>74320</v>
      </c>
      <c r="N2835" s="26">
        <v>0</v>
      </c>
      <c r="O2835" s="15">
        <f t="shared" si="242"/>
        <v>74320</v>
      </c>
      <c r="P2835" s="15">
        <f t="shared" si="241"/>
        <v>10.999940796874075</v>
      </c>
      <c r="Q2835" s="25">
        <v>5000</v>
      </c>
      <c r="R2835" s="22">
        <v>100</v>
      </c>
      <c r="S2835" s="22" t="s">
        <v>3493</v>
      </c>
      <c r="T2835" s="22">
        <f t="shared" si="243"/>
        <v>8</v>
      </c>
      <c r="U2835" s="22">
        <f t="shared" si="244"/>
        <v>2021</v>
      </c>
      <c r="V2835" s="22" t="str">
        <f t="shared" si="245"/>
        <v>METROPOLITANA</v>
      </c>
    </row>
    <row r="2836" spans="1:22" x14ac:dyDescent="0.2">
      <c r="A2836" s="23" t="s">
        <v>3484</v>
      </c>
      <c r="B2836" s="22" t="s">
        <v>33</v>
      </c>
      <c r="C2836" s="22" t="s">
        <v>44</v>
      </c>
      <c r="D2836" s="22" t="s">
        <v>45</v>
      </c>
      <c r="E2836" s="24">
        <v>99626232</v>
      </c>
      <c r="F2836" s="22" t="s">
        <v>46</v>
      </c>
      <c r="G2836" s="25">
        <v>4764.2</v>
      </c>
      <c r="H2836" s="22" t="s">
        <v>22</v>
      </c>
      <c r="I2836" s="22">
        <v>0</v>
      </c>
      <c r="J2836" s="22" t="s">
        <v>46</v>
      </c>
      <c r="K2836" s="22" t="s">
        <v>23</v>
      </c>
      <c r="L2836" s="22">
        <v>2</v>
      </c>
      <c r="M2836" s="26">
        <v>55000</v>
      </c>
      <c r="N2836" s="26">
        <v>0</v>
      </c>
      <c r="O2836" s="15">
        <f t="shared" si="242"/>
        <v>55000</v>
      </c>
      <c r="P2836" s="15">
        <f t="shared" si="241"/>
        <v>11.544435582049452</v>
      </c>
      <c r="Q2836" s="25">
        <v>5000</v>
      </c>
      <c r="R2836" s="22">
        <v>95</v>
      </c>
      <c r="S2836" s="22" t="s">
        <v>3494</v>
      </c>
      <c r="T2836" s="22">
        <f t="shared" si="243"/>
        <v>8</v>
      </c>
      <c r="U2836" s="22">
        <f t="shared" si="244"/>
        <v>2021</v>
      </c>
      <c r="V2836" s="22" t="str">
        <f t="shared" si="245"/>
        <v>METROPOLITANA</v>
      </c>
    </row>
    <row r="2837" spans="1:22" x14ac:dyDescent="0.2">
      <c r="A2837" s="23" t="s">
        <v>3484</v>
      </c>
      <c r="B2837" s="22" t="s">
        <v>33</v>
      </c>
      <c r="C2837" s="22" t="s">
        <v>44</v>
      </c>
      <c r="D2837" s="22" t="s">
        <v>47</v>
      </c>
      <c r="E2837" s="24">
        <v>78907355</v>
      </c>
      <c r="F2837" s="22" t="s">
        <v>53</v>
      </c>
      <c r="G2837" s="25">
        <v>4107.6000000000004</v>
      </c>
      <c r="H2837" s="22" t="s">
        <v>22</v>
      </c>
      <c r="I2837" s="22">
        <v>0</v>
      </c>
      <c r="J2837" s="22" t="s">
        <v>53</v>
      </c>
      <c r="K2837" s="22" t="s">
        <v>23</v>
      </c>
      <c r="L2837" s="22">
        <v>3</v>
      </c>
      <c r="M2837" s="26">
        <v>55000</v>
      </c>
      <c r="N2837" s="26">
        <v>0</v>
      </c>
      <c r="O2837" s="15">
        <f t="shared" si="242"/>
        <v>55000</v>
      </c>
      <c r="P2837" s="15">
        <f t="shared" si="241"/>
        <v>13.389814003310935</v>
      </c>
      <c r="Q2837" s="25">
        <v>5000</v>
      </c>
      <c r="R2837" s="22">
        <v>82</v>
      </c>
      <c r="S2837" s="22" t="s">
        <v>3495</v>
      </c>
      <c r="T2837" s="22">
        <f t="shared" si="243"/>
        <v>8</v>
      </c>
      <c r="U2837" s="22">
        <f t="shared" si="244"/>
        <v>2021</v>
      </c>
      <c r="V2837" s="22" t="str">
        <f t="shared" si="245"/>
        <v>METROPOLITANA</v>
      </c>
    </row>
    <row r="2838" spans="1:22" x14ac:dyDescent="0.2">
      <c r="A2838" s="12" t="s">
        <v>3498</v>
      </c>
      <c r="B2838" s="12" t="s">
        <v>18</v>
      </c>
      <c r="C2838" s="12" t="s">
        <v>57</v>
      </c>
      <c r="D2838" s="12" t="s">
        <v>20</v>
      </c>
      <c r="E2838" s="12">
        <v>78907355</v>
      </c>
      <c r="F2838" s="12" t="s">
        <v>308</v>
      </c>
      <c r="G2838" s="12">
        <v>5631.66</v>
      </c>
      <c r="H2838" s="12" t="s">
        <v>22</v>
      </c>
      <c r="I2838" s="12">
        <v>0</v>
      </c>
      <c r="J2838" s="12" t="s">
        <v>308</v>
      </c>
      <c r="K2838" s="12" t="s">
        <v>78</v>
      </c>
      <c r="L2838" s="12">
        <v>0</v>
      </c>
      <c r="M2838" s="12">
        <v>180000</v>
      </c>
      <c r="N2838" s="12">
        <v>0</v>
      </c>
      <c r="O2838" s="15">
        <f t="shared" si="242"/>
        <v>180000</v>
      </c>
      <c r="P2838" s="15">
        <f t="shared" si="241"/>
        <v>31.962156806341294</v>
      </c>
      <c r="Q2838" s="12">
        <v>25000</v>
      </c>
      <c r="R2838" s="12">
        <v>65</v>
      </c>
      <c r="S2838" s="12" t="s">
        <v>3499</v>
      </c>
      <c r="T2838" s="22">
        <f t="shared" si="243"/>
        <v>8</v>
      </c>
      <c r="U2838" s="22">
        <f t="shared" si="244"/>
        <v>2021</v>
      </c>
      <c r="V2838" s="22" t="str">
        <f t="shared" si="245"/>
        <v>REGIONES</v>
      </c>
    </row>
    <row r="2839" spans="1:22" x14ac:dyDescent="0.2">
      <c r="A2839" s="12" t="s">
        <v>3498</v>
      </c>
      <c r="B2839" s="12" t="s">
        <v>18</v>
      </c>
      <c r="C2839" s="12" t="s">
        <v>19</v>
      </c>
      <c r="D2839" s="12" t="s">
        <v>125</v>
      </c>
      <c r="E2839" s="12">
        <v>171162864</v>
      </c>
      <c r="F2839" s="12" t="s">
        <v>815</v>
      </c>
      <c r="G2839" s="12">
        <v>21520.84</v>
      </c>
      <c r="H2839" s="12" t="s">
        <v>174</v>
      </c>
      <c r="I2839" s="12">
        <v>0</v>
      </c>
      <c r="J2839" s="12" t="s">
        <v>815</v>
      </c>
      <c r="K2839" s="12" t="s">
        <v>75</v>
      </c>
      <c r="L2839" s="12">
        <v>0</v>
      </c>
      <c r="M2839" s="12">
        <v>380000</v>
      </c>
      <c r="N2839" s="12">
        <v>0</v>
      </c>
      <c r="O2839" s="15">
        <f t="shared" si="242"/>
        <v>380000</v>
      </c>
      <c r="P2839" s="15">
        <f t="shared" si="241"/>
        <v>17.657303339460729</v>
      </c>
      <c r="Q2839" s="12">
        <v>25000</v>
      </c>
      <c r="R2839" s="12">
        <v>86</v>
      </c>
      <c r="S2839" s="12" t="s">
        <v>3500</v>
      </c>
      <c r="T2839" s="22">
        <f t="shared" si="243"/>
        <v>8</v>
      </c>
      <c r="U2839" s="22">
        <f t="shared" si="244"/>
        <v>2021</v>
      </c>
      <c r="V2839" s="22" t="str">
        <f t="shared" si="245"/>
        <v>REGIONES</v>
      </c>
    </row>
    <row r="2840" spans="1:22" x14ac:dyDescent="0.2">
      <c r="A2840" s="12" t="s">
        <v>3498</v>
      </c>
      <c r="B2840" s="12" t="s">
        <v>33</v>
      </c>
      <c r="C2840" s="12" t="s">
        <v>3433</v>
      </c>
      <c r="D2840" s="12" t="s">
        <v>41</v>
      </c>
      <c r="E2840" s="12">
        <v>125108660</v>
      </c>
      <c r="F2840" s="12" t="s">
        <v>170</v>
      </c>
      <c r="G2840" s="12">
        <v>12148.499999999991</v>
      </c>
      <c r="H2840" s="12" t="s">
        <v>43</v>
      </c>
      <c r="I2840" s="12">
        <v>0</v>
      </c>
      <c r="J2840" s="12" t="s">
        <v>170</v>
      </c>
      <c r="K2840" s="12" t="s">
        <v>171</v>
      </c>
      <c r="L2840" s="12">
        <v>0</v>
      </c>
      <c r="M2840" s="12">
        <v>180000</v>
      </c>
      <c r="N2840" s="12">
        <v>0</v>
      </c>
      <c r="O2840" s="15">
        <f t="shared" si="242"/>
        <v>180000</v>
      </c>
      <c r="P2840" s="15">
        <f t="shared" si="241"/>
        <v>14.816644030127188</v>
      </c>
      <c r="Q2840" s="12">
        <v>25000</v>
      </c>
      <c r="R2840" s="12">
        <v>60</v>
      </c>
      <c r="S2840" s="12" t="s">
        <v>3501</v>
      </c>
      <c r="T2840" s="22">
        <f t="shared" si="243"/>
        <v>8</v>
      </c>
      <c r="U2840" s="22">
        <f t="shared" si="244"/>
        <v>2021</v>
      </c>
      <c r="V2840" s="22" t="str">
        <f t="shared" si="245"/>
        <v>REGIONES</v>
      </c>
    </row>
    <row r="2841" spans="1:22" x14ac:dyDescent="0.2">
      <c r="A2841" s="12" t="s">
        <v>3498</v>
      </c>
      <c r="B2841" s="12" t="s">
        <v>33</v>
      </c>
      <c r="C2841" s="12" t="s">
        <v>128</v>
      </c>
      <c r="D2841" s="12" t="s">
        <v>2955</v>
      </c>
      <c r="E2841" s="12">
        <v>65941082</v>
      </c>
      <c r="F2841" s="12" t="s">
        <v>129</v>
      </c>
      <c r="G2841" s="12">
        <v>16105.19999999999</v>
      </c>
      <c r="H2841" s="12" t="s">
        <v>24</v>
      </c>
      <c r="I2841" s="12">
        <v>1</v>
      </c>
      <c r="J2841" s="12" t="s">
        <v>129</v>
      </c>
      <c r="K2841" s="12" t="s">
        <v>23</v>
      </c>
      <c r="L2841" s="12">
        <v>1</v>
      </c>
      <c r="M2841" s="12">
        <v>177157</v>
      </c>
      <c r="N2841" s="12">
        <v>0</v>
      </c>
      <c r="O2841" s="15">
        <f t="shared" si="242"/>
        <v>177157</v>
      </c>
      <c r="P2841" s="15">
        <f t="shared" si="241"/>
        <v>10.999987581650654</v>
      </c>
      <c r="Q2841" s="12">
        <v>5000</v>
      </c>
      <c r="R2841" s="12">
        <v>100</v>
      </c>
      <c r="S2841" s="12" t="s">
        <v>3502</v>
      </c>
      <c r="T2841" s="22">
        <f t="shared" si="243"/>
        <v>8</v>
      </c>
      <c r="U2841" s="22">
        <f t="shared" si="244"/>
        <v>2021</v>
      </c>
      <c r="V2841" s="22" t="str">
        <f t="shared" si="245"/>
        <v>METROPOLITANA</v>
      </c>
    </row>
    <row r="2842" spans="1:22" x14ac:dyDescent="0.2">
      <c r="A2842" s="12" t="s">
        <v>3498</v>
      </c>
      <c r="B2842" s="12" t="s">
        <v>33</v>
      </c>
      <c r="C2842" s="12" t="s">
        <v>2862</v>
      </c>
      <c r="D2842" s="12" t="s">
        <v>38</v>
      </c>
      <c r="E2842" s="12">
        <v>53173292</v>
      </c>
      <c r="F2842" s="12" t="s">
        <v>129</v>
      </c>
      <c r="G2842" s="12">
        <v>9755.1999999999971</v>
      </c>
      <c r="H2842" s="12" t="s">
        <v>43</v>
      </c>
      <c r="I2842" s="12">
        <v>0</v>
      </c>
      <c r="J2842" s="12" t="s">
        <v>129</v>
      </c>
      <c r="K2842" s="12" t="s">
        <v>23</v>
      </c>
      <c r="L2842" s="12">
        <v>1</v>
      </c>
      <c r="M2842" s="12">
        <v>107307</v>
      </c>
      <c r="N2842" s="12">
        <v>0</v>
      </c>
      <c r="O2842" s="15">
        <f t="shared" si="242"/>
        <v>107307</v>
      </c>
      <c r="P2842" s="15">
        <f t="shared" si="241"/>
        <v>10.999979498113829</v>
      </c>
      <c r="Q2842" s="12">
        <v>5000</v>
      </c>
      <c r="R2842" s="12">
        <v>100</v>
      </c>
      <c r="S2842" s="12" t="s">
        <v>3503</v>
      </c>
      <c r="T2842" s="22">
        <f t="shared" si="243"/>
        <v>8</v>
      </c>
      <c r="U2842" s="22">
        <f t="shared" si="244"/>
        <v>2021</v>
      </c>
      <c r="V2842" s="22" t="str">
        <f t="shared" si="245"/>
        <v>METROPOLITANA</v>
      </c>
    </row>
    <row r="2843" spans="1:22" x14ac:dyDescent="0.2">
      <c r="A2843" s="12" t="s">
        <v>3498</v>
      </c>
      <c r="B2843" s="12" t="s">
        <v>33</v>
      </c>
      <c r="C2843" s="12" t="s">
        <v>29</v>
      </c>
      <c r="D2843" s="12" t="s">
        <v>164</v>
      </c>
      <c r="E2843" s="12">
        <v>81417709</v>
      </c>
      <c r="F2843" s="12" t="s">
        <v>39</v>
      </c>
      <c r="G2843" s="12">
        <v>18009.599999999999</v>
      </c>
      <c r="H2843" s="12" t="s">
        <v>22</v>
      </c>
      <c r="I2843" s="12">
        <v>1</v>
      </c>
      <c r="J2843" s="12" t="s">
        <v>39</v>
      </c>
      <c r="K2843" s="12" t="s">
        <v>23</v>
      </c>
      <c r="L2843" s="12">
        <v>1</v>
      </c>
      <c r="M2843" s="12">
        <v>198106</v>
      </c>
      <c r="N2843" s="12">
        <v>0</v>
      </c>
      <c r="O2843" s="15">
        <f t="shared" si="242"/>
        <v>198106</v>
      </c>
      <c r="P2843" s="15">
        <f t="shared" si="241"/>
        <v>11.000022210376688</v>
      </c>
      <c r="Q2843" s="12">
        <v>5000</v>
      </c>
      <c r="R2843" s="12">
        <v>100</v>
      </c>
      <c r="S2843" s="12" t="s">
        <v>3504</v>
      </c>
      <c r="T2843" s="22">
        <f t="shared" si="243"/>
        <v>8</v>
      </c>
      <c r="U2843" s="22">
        <f t="shared" si="244"/>
        <v>2021</v>
      </c>
      <c r="V2843" s="22" t="str">
        <f t="shared" si="245"/>
        <v>METROPOLITANA</v>
      </c>
    </row>
    <row r="2844" spans="1:22" x14ac:dyDescent="0.2">
      <c r="A2844" s="12" t="s">
        <v>3498</v>
      </c>
      <c r="B2844" s="12" t="s">
        <v>33</v>
      </c>
      <c r="C2844" s="12" t="s">
        <v>44</v>
      </c>
      <c r="D2844" s="12" t="s">
        <v>121</v>
      </c>
      <c r="E2844" s="12">
        <v>137879050</v>
      </c>
      <c r="F2844" s="12" t="s">
        <v>876</v>
      </c>
      <c r="G2844" s="12">
        <v>10450</v>
      </c>
      <c r="H2844" s="12" t="s">
        <v>85</v>
      </c>
      <c r="I2844" s="12">
        <v>1</v>
      </c>
      <c r="J2844" s="12" t="s">
        <v>876</v>
      </c>
      <c r="K2844" s="12" t="s">
        <v>86</v>
      </c>
      <c r="L2844" s="12">
        <v>0</v>
      </c>
      <c r="M2844" s="12">
        <v>330000</v>
      </c>
      <c r="N2844" s="12">
        <v>0</v>
      </c>
      <c r="O2844" s="15">
        <f t="shared" si="242"/>
        <v>330000</v>
      </c>
      <c r="P2844" s="15">
        <f t="shared" si="241"/>
        <v>31.578947368421051</v>
      </c>
      <c r="Q2844" s="12">
        <v>25000</v>
      </c>
      <c r="R2844" s="12">
        <v>68</v>
      </c>
      <c r="S2844" s="12" t="s">
        <v>3505</v>
      </c>
      <c r="T2844" s="22">
        <f t="shared" si="243"/>
        <v>8</v>
      </c>
      <c r="U2844" s="22">
        <f t="shared" si="244"/>
        <v>2021</v>
      </c>
      <c r="V2844" s="22" t="str">
        <f t="shared" si="245"/>
        <v>REGIONES</v>
      </c>
    </row>
    <row r="2845" spans="1:22" x14ac:dyDescent="0.2">
      <c r="A2845" s="12" t="s">
        <v>3498</v>
      </c>
      <c r="B2845" s="12" t="s">
        <v>33</v>
      </c>
      <c r="C2845" s="12" t="s">
        <v>44</v>
      </c>
      <c r="D2845" s="12" t="s">
        <v>636</v>
      </c>
      <c r="E2845" s="12">
        <v>113693568</v>
      </c>
      <c r="F2845" s="12" t="s">
        <v>114</v>
      </c>
      <c r="G2845" s="12">
        <f>6274.1+2647</f>
        <v>8921.1</v>
      </c>
      <c r="H2845" s="12" t="s">
        <v>85</v>
      </c>
      <c r="I2845" s="12">
        <v>1</v>
      </c>
      <c r="J2845" s="12" t="s">
        <v>114</v>
      </c>
      <c r="K2845" s="12" t="s">
        <v>75</v>
      </c>
      <c r="L2845" s="12">
        <v>0</v>
      </c>
      <c r="M2845" s="12">
        <v>380000</v>
      </c>
      <c r="N2845" s="12">
        <v>0</v>
      </c>
      <c r="O2845" s="15">
        <f t="shared" si="242"/>
        <v>380000</v>
      </c>
      <c r="P2845" s="15">
        <f t="shared" si="241"/>
        <v>42.595644034928426</v>
      </c>
      <c r="Q2845" s="12">
        <v>25000</v>
      </c>
      <c r="R2845" s="12">
        <v>60</v>
      </c>
      <c r="S2845" s="12" t="s">
        <v>3511</v>
      </c>
      <c r="T2845" s="22">
        <f t="shared" si="243"/>
        <v>8</v>
      </c>
      <c r="U2845" s="22">
        <f t="shared" si="244"/>
        <v>2021</v>
      </c>
      <c r="V2845" s="22" t="str">
        <f t="shared" si="245"/>
        <v>REGIONES</v>
      </c>
    </row>
    <row r="2846" spans="1:22" x14ac:dyDescent="0.2">
      <c r="A2846" s="12" t="s">
        <v>3498</v>
      </c>
      <c r="B2846" s="12" t="s">
        <v>33</v>
      </c>
      <c r="C2846" s="12" t="s">
        <v>44</v>
      </c>
      <c r="D2846" s="12" t="s">
        <v>37</v>
      </c>
      <c r="E2846" s="12">
        <v>103018366</v>
      </c>
      <c r="F2846" s="12" t="s">
        <v>53</v>
      </c>
      <c r="G2846" s="12">
        <v>3873</v>
      </c>
      <c r="H2846" s="12" t="s">
        <v>22</v>
      </c>
      <c r="I2846" s="12">
        <v>0</v>
      </c>
      <c r="J2846" s="12" t="s">
        <v>53</v>
      </c>
      <c r="K2846" s="12" t="s">
        <v>23</v>
      </c>
      <c r="L2846" s="12">
        <v>3</v>
      </c>
      <c r="M2846" s="12">
        <v>55000</v>
      </c>
      <c r="N2846" s="12">
        <v>0</v>
      </c>
      <c r="O2846" s="15">
        <f t="shared" si="242"/>
        <v>55000</v>
      </c>
      <c r="P2846" s="15">
        <f t="shared" si="241"/>
        <v>14.200877872450297</v>
      </c>
      <c r="Q2846" s="12">
        <v>5000</v>
      </c>
      <c r="R2846" s="12">
        <v>77</v>
      </c>
      <c r="S2846" s="12" t="s">
        <v>3506</v>
      </c>
      <c r="T2846" s="22">
        <f t="shared" si="243"/>
        <v>8</v>
      </c>
      <c r="U2846" s="22">
        <f t="shared" si="244"/>
        <v>2021</v>
      </c>
      <c r="V2846" s="22" t="str">
        <f t="shared" si="245"/>
        <v>METROPOLITANA</v>
      </c>
    </row>
    <row r="2847" spans="1:22" x14ac:dyDescent="0.2">
      <c r="A2847" s="12" t="s">
        <v>3498</v>
      </c>
      <c r="B2847" s="12" t="s">
        <v>33</v>
      </c>
      <c r="C2847" s="12" t="s">
        <v>44</v>
      </c>
      <c r="D2847" s="12" t="s">
        <v>63</v>
      </c>
      <c r="E2847" s="12">
        <v>138841065</v>
      </c>
      <c r="F2847" s="12" t="s">
        <v>26</v>
      </c>
      <c r="G2847" s="12">
        <v>4894.7999999999984</v>
      </c>
      <c r="H2847" s="12" t="s">
        <v>65</v>
      </c>
      <c r="I2847" s="12">
        <v>0</v>
      </c>
      <c r="J2847" s="12" t="s">
        <v>26</v>
      </c>
      <c r="K2847" s="12" t="s">
        <v>23</v>
      </c>
      <c r="L2847" s="12">
        <v>4</v>
      </c>
      <c r="M2847" s="12">
        <v>55000</v>
      </c>
      <c r="N2847" s="12">
        <v>0</v>
      </c>
      <c r="O2847" s="15">
        <f t="shared" si="242"/>
        <v>55000</v>
      </c>
      <c r="P2847" s="15">
        <f t="shared" si="241"/>
        <v>11.236414153795868</v>
      </c>
      <c r="Q2847" s="12">
        <v>5000</v>
      </c>
      <c r="R2847" s="12">
        <v>98</v>
      </c>
      <c r="S2847" s="12" t="s">
        <v>3507</v>
      </c>
      <c r="T2847" s="22">
        <f t="shared" si="243"/>
        <v>8</v>
      </c>
      <c r="U2847" s="22">
        <f t="shared" si="244"/>
        <v>2021</v>
      </c>
      <c r="V2847" s="22" t="str">
        <f t="shared" si="245"/>
        <v>METROPOLITANA</v>
      </c>
    </row>
    <row r="2848" spans="1:22" x14ac:dyDescent="0.2">
      <c r="A2848" s="12" t="s">
        <v>3498</v>
      </c>
      <c r="B2848" s="12" t="s">
        <v>33</v>
      </c>
      <c r="C2848" s="12" t="s">
        <v>44</v>
      </c>
      <c r="D2848" s="12" t="s">
        <v>30</v>
      </c>
      <c r="E2848" s="12">
        <v>72564391</v>
      </c>
      <c r="F2848" s="12" t="s">
        <v>51</v>
      </c>
      <c r="G2848" s="12">
        <v>5652</v>
      </c>
      <c r="H2848" s="12" t="s">
        <v>32</v>
      </c>
      <c r="I2848" s="12">
        <v>0</v>
      </c>
      <c r="J2848" s="12" t="s">
        <v>51</v>
      </c>
      <c r="K2848" s="12" t="s">
        <v>23</v>
      </c>
      <c r="L2848" s="12">
        <v>4</v>
      </c>
      <c r="M2848" s="12">
        <v>62172</v>
      </c>
      <c r="N2848" s="12">
        <v>0</v>
      </c>
      <c r="O2848" s="15">
        <f t="shared" si="242"/>
        <v>62172</v>
      </c>
      <c r="P2848" s="15">
        <f t="shared" si="241"/>
        <v>11</v>
      </c>
      <c r="Q2848" s="12">
        <v>5000</v>
      </c>
      <c r="R2848" s="12">
        <v>100</v>
      </c>
      <c r="S2848" s="12" t="s">
        <v>3508</v>
      </c>
      <c r="T2848" s="22">
        <f t="shared" si="243"/>
        <v>8</v>
      </c>
      <c r="U2848" s="22">
        <f t="shared" si="244"/>
        <v>2021</v>
      </c>
      <c r="V2848" s="22" t="str">
        <f t="shared" si="245"/>
        <v>METROPOLITANA</v>
      </c>
    </row>
    <row r="2849" spans="1:22" x14ac:dyDescent="0.2">
      <c r="A2849" s="12" t="s">
        <v>3498</v>
      </c>
      <c r="B2849" s="12" t="s">
        <v>33</v>
      </c>
      <c r="C2849" s="12" t="s">
        <v>44</v>
      </c>
      <c r="D2849" s="12" t="s">
        <v>45</v>
      </c>
      <c r="E2849" s="12">
        <v>99626232</v>
      </c>
      <c r="F2849" s="12" t="s">
        <v>229</v>
      </c>
      <c r="G2849" s="12">
        <v>8216.7999999999993</v>
      </c>
      <c r="H2849" s="12" t="s">
        <v>22</v>
      </c>
      <c r="I2849" s="12">
        <v>0</v>
      </c>
      <c r="J2849" s="12" t="s">
        <v>230</v>
      </c>
      <c r="K2849" s="12" t="s">
        <v>23</v>
      </c>
      <c r="L2849" s="12">
        <v>4</v>
      </c>
      <c r="M2849" s="12">
        <v>90385</v>
      </c>
      <c r="N2849" s="12">
        <v>0</v>
      </c>
      <c r="O2849" s="15">
        <f t="shared" si="242"/>
        <v>90385</v>
      </c>
      <c r="P2849" s="15">
        <f t="shared" ref="P2849:P2912" si="246">O2849/G2849</f>
        <v>11.000024340375816</v>
      </c>
      <c r="Q2849" s="12">
        <v>5000</v>
      </c>
      <c r="R2849" s="12">
        <v>100</v>
      </c>
      <c r="S2849" s="12" t="s">
        <v>3509</v>
      </c>
      <c r="T2849" s="22">
        <f t="shared" si="243"/>
        <v>8</v>
      </c>
      <c r="U2849" s="22">
        <f t="shared" si="244"/>
        <v>2021</v>
      </c>
      <c r="V2849" s="22" t="str">
        <f t="shared" si="245"/>
        <v>METROPOLITANA</v>
      </c>
    </row>
    <row r="2850" spans="1:22" x14ac:dyDescent="0.2">
      <c r="A2850" s="12" t="s">
        <v>3498</v>
      </c>
      <c r="B2850" s="12" t="s">
        <v>33</v>
      </c>
      <c r="C2850" s="12" t="s">
        <v>44</v>
      </c>
      <c r="D2850" s="12" t="s">
        <v>47</v>
      </c>
      <c r="E2850" s="12">
        <v>154837728</v>
      </c>
      <c r="F2850" s="12" t="s">
        <v>95</v>
      </c>
      <c r="G2850" s="12">
        <f>2763.2+1838</f>
        <v>4601.2</v>
      </c>
      <c r="H2850" s="12" t="s">
        <v>22</v>
      </c>
      <c r="I2850" s="12">
        <v>0</v>
      </c>
      <c r="J2850" s="12" t="s">
        <v>95</v>
      </c>
      <c r="K2850" s="12" t="s">
        <v>23</v>
      </c>
      <c r="L2850" s="12">
        <v>4</v>
      </c>
      <c r="M2850" s="12">
        <v>55000</v>
      </c>
      <c r="N2850" s="12">
        <v>0</v>
      </c>
      <c r="O2850" s="15">
        <f t="shared" si="242"/>
        <v>55000</v>
      </c>
      <c r="P2850" s="15">
        <f t="shared" si="246"/>
        <v>11.953403459966966</v>
      </c>
      <c r="Q2850" s="12">
        <v>5000</v>
      </c>
      <c r="R2850" s="12">
        <v>85</v>
      </c>
      <c r="S2850" s="12" t="s">
        <v>3512</v>
      </c>
      <c r="T2850" s="22">
        <f t="shared" si="243"/>
        <v>8</v>
      </c>
      <c r="U2850" s="22">
        <f t="shared" si="244"/>
        <v>2021</v>
      </c>
      <c r="V2850" s="22" t="str">
        <f t="shared" si="245"/>
        <v>METROPOLITANA</v>
      </c>
    </row>
    <row r="2851" spans="1:22" x14ac:dyDescent="0.2">
      <c r="A2851" s="12" t="s">
        <v>3498</v>
      </c>
      <c r="B2851" s="12" t="s">
        <v>33</v>
      </c>
      <c r="C2851" s="12" t="s">
        <v>44</v>
      </c>
      <c r="D2851" s="12" t="s">
        <v>20</v>
      </c>
      <c r="E2851" s="12">
        <v>78907355</v>
      </c>
      <c r="F2851" s="12" t="s">
        <v>134</v>
      </c>
      <c r="G2851" s="12">
        <v>5904.7999999999984</v>
      </c>
      <c r="H2851" s="12" t="s">
        <v>22</v>
      </c>
      <c r="I2851" s="12">
        <v>0</v>
      </c>
      <c r="J2851" s="12" t="s">
        <v>134</v>
      </c>
      <c r="K2851" s="12" t="s">
        <v>23</v>
      </c>
      <c r="L2851" s="12">
        <v>2</v>
      </c>
      <c r="M2851" s="12">
        <v>64953</v>
      </c>
      <c r="N2851" s="12">
        <v>0</v>
      </c>
      <c r="O2851" s="15">
        <f t="shared" si="242"/>
        <v>64953</v>
      </c>
      <c r="P2851" s="15">
        <f t="shared" si="246"/>
        <v>11.000033870749224</v>
      </c>
      <c r="Q2851" s="12">
        <v>5000</v>
      </c>
      <c r="R2851" s="12">
        <v>100</v>
      </c>
      <c r="S2851" s="12" t="s">
        <v>3510</v>
      </c>
      <c r="T2851" s="22">
        <f t="shared" si="243"/>
        <v>8</v>
      </c>
      <c r="U2851" s="22">
        <f t="shared" si="244"/>
        <v>2021</v>
      </c>
      <c r="V2851" s="22" t="str">
        <f t="shared" si="245"/>
        <v>METROPOLITANA</v>
      </c>
    </row>
    <row r="2852" spans="1:22" x14ac:dyDescent="0.2">
      <c r="A2852" s="23" t="s">
        <v>3514</v>
      </c>
      <c r="B2852" s="22" t="s">
        <v>18</v>
      </c>
      <c r="C2852" s="22" t="s">
        <v>270</v>
      </c>
      <c r="D2852" s="22" t="s">
        <v>164</v>
      </c>
      <c r="E2852" s="24">
        <v>81417709</v>
      </c>
      <c r="F2852" s="22" t="s">
        <v>120</v>
      </c>
      <c r="G2852" s="25">
        <v>24275.520000000011</v>
      </c>
      <c r="H2852" s="22" t="s">
        <v>22</v>
      </c>
      <c r="I2852" s="22">
        <v>1</v>
      </c>
      <c r="J2852" s="22" t="s">
        <v>120</v>
      </c>
      <c r="K2852" s="22" t="s">
        <v>23</v>
      </c>
      <c r="L2852" s="22">
        <v>5</v>
      </c>
      <c r="M2852" s="26">
        <v>120000</v>
      </c>
      <c r="N2852" s="26">
        <v>0</v>
      </c>
      <c r="O2852" s="15">
        <f>G2852*11</f>
        <v>267030.72000000015</v>
      </c>
      <c r="P2852" s="15">
        <f t="shared" si="246"/>
        <v>11.000000000000002</v>
      </c>
      <c r="Q2852" s="25">
        <v>10000</v>
      </c>
      <c r="R2852" s="22">
        <v>100</v>
      </c>
      <c r="S2852" s="22" t="s">
        <v>3515</v>
      </c>
      <c r="T2852" s="22">
        <f t="shared" si="243"/>
        <v>8</v>
      </c>
      <c r="U2852" s="22">
        <f t="shared" si="244"/>
        <v>2021</v>
      </c>
      <c r="V2852" s="22" t="str">
        <f t="shared" si="245"/>
        <v>METROPOLITANA</v>
      </c>
    </row>
    <row r="2853" spans="1:22" x14ac:dyDescent="0.2">
      <c r="A2853" s="23" t="s">
        <v>3514</v>
      </c>
      <c r="B2853" s="22" t="s">
        <v>18</v>
      </c>
      <c r="C2853" s="22" t="s">
        <v>579</v>
      </c>
      <c r="D2853" s="22" t="s">
        <v>37</v>
      </c>
      <c r="E2853" s="24">
        <v>154837728</v>
      </c>
      <c r="F2853" s="22" t="s">
        <v>161</v>
      </c>
      <c r="G2853" s="25">
        <f>7530.24+54</f>
        <v>7584.24</v>
      </c>
      <c r="H2853" s="22" t="s">
        <v>22</v>
      </c>
      <c r="I2853" s="22">
        <v>0</v>
      </c>
      <c r="J2853" s="22" t="s">
        <v>161</v>
      </c>
      <c r="K2853" s="22" t="s">
        <v>23</v>
      </c>
      <c r="L2853" s="22">
        <v>5</v>
      </c>
      <c r="M2853" s="26">
        <v>70000</v>
      </c>
      <c r="N2853" s="26">
        <v>0</v>
      </c>
      <c r="O2853" s="15">
        <f>SUM(M2853:N2853)</f>
        <v>70000</v>
      </c>
      <c r="P2853" s="15">
        <f t="shared" si="246"/>
        <v>9.2296657278778103</v>
      </c>
      <c r="Q2853" s="25">
        <v>10000</v>
      </c>
      <c r="R2853" s="22">
        <v>75</v>
      </c>
      <c r="S2853" s="22" t="s">
        <v>3525</v>
      </c>
      <c r="T2853" s="22">
        <f t="shared" si="243"/>
        <v>8</v>
      </c>
      <c r="U2853" s="22">
        <f t="shared" si="244"/>
        <v>2021</v>
      </c>
      <c r="V2853" s="22" t="str">
        <f t="shared" si="245"/>
        <v>METROPOLITANA</v>
      </c>
    </row>
    <row r="2854" spans="1:22" x14ac:dyDescent="0.2">
      <c r="A2854" s="23" t="s">
        <v>3514</v>
      </c>
      <c r="B2854" s="22" t="s">
        <v>18</v>
      </c>
      <c r="C2854" s="22" t="s">
        <v>19</v>
      </c>
      <c r="D2854" s="22" t="s">
        <v>30</v>
      </c>
      <c r="E2854" s="24">
        <v>72564391</v>
      </c>
      <c r="F2854" s="22" t="s">
        <v>727</v>
      </c>
      <c r="G2854" s="25">
        <v>16891.439999999991</v>
      </c>
      <c r="H2854" s="22" t="s">
        <v>32</v>
      </c>
      <c r="I2854" s="22">
        <v>0</v>
      </c>
      <c r="J2854" s="22" t="s">
        <v>727</v>
      </c>
      <c r="K2854" s="22" t="s">
        <v>23</v>
      </c>
      <c r="L2854" s="22">
        <v>2</v>
      </c>
      <c r="M2854" s="26">
        <v>185806</v>
      </c>
      <c r="N2854" s="26">
        <v>0</v>
      </c>
      <c r="O2854" s="15">
        <f>SUM(M2854:N2854)</f>
        <v>185806</v>
      </c>
      <c r="P2854" s="15">
        <f t="shared" si="246"/>
        <v>11.000009472253407</v>
      </c>
      <c r="Q2854" s="25">
        <v>5000</v>
      </c>
      <c r="R2854" s="22">
        <v>100</v>
      </c>
      <c r="S2854" s="22" t="s">
        <v>3516</v>
      </c>
      <c r="T2854" s="22">
        <f t="shared" si="243"/>
        <v>8</v>
      </c>
      <c r="U2854" s="22">
        <f t="shared" si="244"/>
        <v>2021</v>
      </c>
      <c r="V2854" s="22" t="str">
        <f t="shared" si="245"/>
        <v>METROPOLITANA</v>
      </c>
    </row>
    <row r="2855" spans="1:22" x14ac:dyDescent="0.2">
      <c r="A2855" s="23" t="s">
        <v>3514</v>
      </c>
      <c r="B2855" s="22" t="s">
        <v>18</v>
      </c>
      <c r="C2855" s="22" t="s">
        <v>87</v>
      </c>
      <c r="D2855" s="22" t="s">
        <v>20</v>
      </c>
      <c r="E2855" s="24">
        <v>78907355</v>
      </c>
      <c r="F2855" s="22" t="s">
        <v>51</v>
      </c>
      <c r="G2855" s="25">
        <v>2999.88</v>
      </c>
      <c r="H2855" s="22" t="s">
        <v>22</v>
      </c>
      <c r="I2855" s="22">
        <v>0</v>
      </c>
      <c r="J2855" s="22" t="s">
        <v>51</v>
      </c>
      <c r="K2855" s="22" t="s">
        <v>23</v>
      </c>
      <c r="L2855" s="22">
        <v>4</v>
      </c>
      <c r="M2855" s="26">
        <v>55000</v>
      </c>
      <c r="N2855" s="26">
        <v>0</v>
      </c>
      <c r="O2855" s="15">
        <f>SUM(M2855:N2855)</f>
        <v>55000</v>
      </c>
      <c r="P2855" s="15">
        <f t="shared" si="246"/>
        <v>18.334066696001173</v>
      </c>
      <c r="Q2855" s="25">
        <v>5000</v>
      </c>
      <c r="R2855" s="22">
        <v>60</v>
      </c>
      <c r="S2855" s="22" t="s">
        <v>3517</v>
      </c>
      <c r="T2855" s="22">
        <f t="shared" si="243"/>
        <v>8</v>
      </c>
      <c r="U2855" s="22">
        <f t="shared" si="244"/>
        <v>2021</v>
      </c>
      <c r="V2855" s="22" t="str">
        <f t="shared" si="245"/>
        <v>METROPOLITANA</v>
      </c>
    </row>
    <row r="2856" spans="1:22" x14ac:dyDescent="0.2">
      <c r="A2856" s="23" t="s">
        <v>3514</v>
      </c>
      <c r="B2856" s="22" t="s">
        <v>33</v>
      </c>
      <c r="C2856" s="22" t="s">
        <v>270</v>
      </c>
      <c r="D2856" s="22" t="s">
        <v>63</v>
      </c>
      <c r="E2856" s="24">
        <v>138841065</v>
      </c>
      <c r="F2856" s="22" t="s">
        <v>120</v>
      </c>
      <c r="G2856" s="25">
        <v>13272.500000000009</v>
      </c>
      <c r="H2856" s="22" t="s">
        <v>65</v>
      </c>
      <c r="I2856" s="22">
        <v>0</v>
      </c>
      <c r="J2856" s="22" t="s">
        <v>120</v>
      </c>
      <c r="K2856" s="22" t="s">
        <v>23</v>
      </c>
      <c r="L2856" s="22">
        <v>5</v>
      </c>
      <c r="M2856" s="26">
        <v>70000</v>
      </c>
      <c r="N2856" s="26">
        <v>0</v>
      </c>
      <c r="O2856" s="15">
        <f>G2856*11</f>
        <v>145997.50000000009</v>
      </c>
      <c r="P2856" s="15">
        <f t="shared" si="246"/>
        <v>10.999999999999998</v>
      </c>
      <c r="Q2856" s="25">
        <v>10000</v>
      </c>
      <c r="R2856" s="22">
        <v>100</v>
      </c>
      <c r="S2856" s="22" t="s">
        <v>3518</v>
      </c>
      <c r="T2856" s="22">
        <f t="shared" si="243"/>
        <v>8</v>
      </c>
      <c r="U2856" s="22">
        <f t="shared" si="244"/>
        <v>2021</v>
      </c>
      <c r="V2856" s="22" t="str">
        <f t="shared" si="245"/>
        <v>METROPOLITANA</v>
      </c>
    </row>
    <row r="2857" spans="1:22" x14ac:dyDescent="0.2">
      <c r="A2857" s="23" t="s">
        <v>3514</v>
      </c>
      <c r="B2857" s="22" t="s">
        <v>33</v>
      </c>
      <c r="C2857" s="22" t="s">
        <v>36</v>
      </c>
      <c r="D2857" s="22" t="s">
        <v>38</v>
      </c>
      <c r="E2857" s="24">
        <v>53173292</v>
      </c>
      <c r="F2857" s="22" t="s">
        <v>376</v>
      </c>
      <c r="G2857" s="25">
        <v>4463.6000000000004</v>
      </c>
      <c r="H2857" s="22" t="s">
        <v>43</v>
      </c>
      <c r="I2857" s="22">
        <v>0</v>
      </c>
      <c r="J2857" s="22" t="s">
        <v>377</v>
      </c>
      <c r="K2857" s="22" t="s">
        <v>23</v>
      </c>
      <c r="L2857" s="22">
        <v>4</v>
      </c>
      <c r="M2857" s="26">
        <v>55000</v>
      </c>
      <c r="N2857" s="26">
        <v>0</v>
      </c>
      <c r="O2857" s="15">
        <f t="shared" ref="O2857:O2863" si="247">SUM(M2857:N2857)</f>
        <v>55000</v>
      </c>
      <c r="P2857" s="15">
        <f t="shared" si="246"/>
        <v>12.321892642709919</v>
      </c>
      <c r="Q2857" s="25">
        <v>5000</v>
      </c>
      <c r="R2857" s="22">
        <v>89</v>
      </c>
      <c r="S2857" s="22" t="s">
        <v>3519</v>
      </c>
      <c r="T2857" s="22">
        <f t="shared" si="243"/>
        <v>8</v>
      </c>
      <c r="U2857" s="22">
        <f t="shared" si="244"/>
        <v>2021</v>
      </c>
      <c r="V2857" s="22" t="str">
        <f t="shared" si="245"/>
        <v>METROPOLITANA</v>
      </c>
    </row>
    <row r="2858" spans="1:22" x14ac:dyDescent="0.2">
      <c r="A2858" s="23" t="s">
        <v>3514</v>
      </c>
      <c r="B2858" s="22" t="s">
        <v>33</v>
      </c>
      <c r="C2858" s="22" t="s">
        <v>36</v>
      </c>
      <c r="D2858" s="22" t="s">
        <v>41</v>
      </c>
      <c r="E2858" s="24">
        <v>125108660</v>
      </c>
      <c r="F2858" s="22" t="s">
        <v>230</v>
      </c>
      <c r="G2858" s="25">
        <v>7502.4</v>
      </c>
      <c r="H2858" s="22" t="s">
        <v>43</v>
      </c>
      <c r="I2858" s="22">
        <v>0</v>
      </c>
      <c r="J2858" s="22" t="s">
        <v>230</v>
      </c>
      <c r="K2858" s="22" t="s">
        <v>23</v>
      </c>
      <c r="L2858" s="22">
        <v>4</v>
      </c>
      <c r="M2858" s="26">
        <v>82526</v>
      </c>
      <c r="N2858" s="26">
        <v>0</v>
      </c>
      <c r="O2858" s="15">
        <f t="shared" si="247"/>
        <v>82526</v>
      </c>
      <c r="P2858" s="15">
        <f t="shared" si="246"/>
        <v>10.999946683727874</v>
      </c>
      <c r="Q2858" s="25">
        <v>5000</v>
      </c>
      <c r="R2858" s="22">
        <v>100</v>
      </c>
      <c r="S2858" s="22" t="s">
        <v>3520</v>
      </c>
      <c r="T2858" s="22">
        <f t="shared" si="243"/>
        <v>8</v>
      </c>
      <c r="U2858" s="22">
        <f t="shared" si="244"/>
        <v>2021</v>
      </c>
      <c r="V2858" s="22" t="str">
        <f t="shared" si="245"/>
        <v>METROPOLITANA</v>
      </c>
    </row>
    <row r="2859" spans="1:22" x14ac:dyDescent="0.2">
      <c r="A2859" s="23" t="s">
        <v>3514</v>
      </c>
      <c r="B2859" s="22" t="s">
        <v>33</v>
      </c>
      <c r="C2859" s="22" t="s">
        <v>29</v>
      </c>
      <c r="D2859" s="22" t="s">
        <v>37</v>
      </c>
      <c r="E2859" s="24">
        <v>154837728</v>
      </c>
      <c r="F2859" s="22" t="s">
        <v>39</v>
      </c>
      <c r="G2859" s="25">
        <f>10895.4+1501</f>
        <v>12396.4</v>
      </c>
      <c r="H2859" s="22" t="s">
        <v>22</v>
      </c>
      <c r="I2859" s="22">
        <v>0</v>
      </c>
      <c r="J2859" s="22" t="s">
        <v>39</v>
      </c>
      <c r="K2859" s="22" t="s">
        <v>23</v>
      </c>
      <c r="L2859" s="22">
        <v>1</v>
      </c>
      <c r="M2859" s="26">
        <v>119849</v>
      </c>
      <c r="N2859" s="26">
        <v>0</v>
      </c>
      <c r="O2859" s="15">
        <f t="shared" si="247"/>
        <v>119849</v>
      </c>
      <c r="P2859" s="15">
        <f t="shared" si="246"/>
        <v>9.6680487883579111</v>
      </c>
      <c r="Q2859" s="25">
        <v>5000</v>
      </c>
      <c r="R2859" s="22">
        <v>100</v>
      </c>
      <c r="S2859" s="22" t="s">
        <v>3526</v>
      </c>
      <c r="T2859" s="22">
        <f t="shared" si="243"/>
        <v>8</v>
      </c>
      <c r="U2859" s="22">
        <f t="shared" si="244"/>
        <v>2021</v>
      </c>
      <c r="V2859" s="22" t="str">
        <f t="shared" si="245"/>
        <v>METROPOLITANA</v>
      </c>
    </row>
    <row r="2860" spans="1:22" x14ac:dyDescent="0.2">
      <c r="A2860" s="23" t="s">
        <v>3514</v>
      </c>
      <c r="B2860" s="22" t="s">
        <v>33</v>
      </c>
      <c r="C2860" s="22" t="s">
        <v>29</v>
      </c>
      <c r="D2860" s="22" t="s">
        <v>164</v>
      </c>
      <c r="E2860" s="24">
        <v>81417709</v>
      </c>
      <c r="F2860" s="22" t="s">
        <v>39</v>
      </c>
      <c r="G2860" s="25">
        <v>18009.599999999999</v>
      </c>
      <c r="H2860" s="22" t="s">
        <v>22</v>
      </c>
      <c r="I2860" s="22">
        <v>1</v>
      </c>
      <c r="J2860" s="22" t="s">
        <v>39</v>
      </c>
      <c r="K2860" s="22" t="s">
        <v>23</v>
      </c>
      <c r="L2860" s="22">
        <v>1</v>
      </c>
      <c r="M2860" s="26">
        <v>198106</v>
      </c>
      <c r="N2860" s="26">
        <v>0</v>
      </c>
      <c r="O2860" s="15">
        <f t="shared" si="247"/>
        <v>198106</v>
      </c>
      <c r="P2860" s="15">
        <f t="shared" si="246"/>
        <v>11.000022210376688</v>
      </c>
      <c r="Q2860" s="25">
        <v>5000</v>
      </c>
      <c r="R2860" s="22">
        <v>100</v>
      </c>
      <c r="S2860" s="22" t="s">
        <v>3521</v>
      </c>
      <c r="T2860" s="22">
        <f t="shared" si="243"/>
        <v>8</v>
      </c>
      <c r="U2860" s="22">
        <f t="shared" si="244"/>
        <v>2021</v>
      </c>
      <c r="V2860" s="22" t="str">
        <f t="shared" si="245"/>
        <v>METROPOLITANA</v>
      </c>
    </row>
    <row r="2861" spans="1:22" x14ac:dyDescent="0.2">
      <c r="A2861" s="23" t="s">
        <v>3514</v>
      </c>
      <c r="B2861" s="22" t="s">
        <v>33</v>
      </c>
      <c r="C2861" s="22" t="s">
        <v>29</v>
      </c>
      <c r="D2861" s="22" t="s">
        <v>20</v>
      </c>
      <c r="E2861" s="24">
        <v>78907355</v>
      </c>
      <c r="F2861" s="22" t="s">
        <v>39</v>
      </c>
      <c r="G2861" s="25">
        <v>11439.8</v>
      </c>
      <c r="H2861" s="22" t="s">
        <v>22</v>
      </c>
      <c r="I2861" s="22">
        <v>0</v>
      </c>
      <c r="J2861" s="22" t="s">
        <v>39</v>
      </c>
      <c r="K2861" s="22" t="s">
        <v>23</v>
      </c>
      <c r="L2861" s="22">
        <v>1</v>
      </c>
      <c r="M2861" s="26">
        <v>125838</v>
      </c>
      <c r="N2861" s="26">
        <v>0</v>
      </c>
      <c r="O2861" s="15">
        <f t="shared" si="247"/>
        <v>125838</v>
      </c>
      <c r="P2861" s="15">
        <f t="shared" si="246"/>
        <v>11.000017482823127</v>
      </c>
      <c r="Q2861" s="25">
        <v>5000</v>
      </c>
      <c r="R2861" s="22">
        <v>100</v>
      </c>
      <c r="S2861" s="22" t="s">
        <v>3522</v>
      </c>
      <c r="T2861" s="22">
        <f t="shared" si="243"/>
        <v>8</v>
      </c>
      <c r="U2861" s="22">
        <f t="shared" si="244"/>
        <v>2021</v>
      </c>
      <c r="V2861" s="22" t="str">
        <f t="shared" si="245"/>
        <v>METROPOLITANA</v>
      </c>
    </row>
    <row r="2862" spans="1:22" x14ac:dyDescent="0.2">
      <c r="A2862" s="23" t="s">
        <v>3514</v>
      </c>
      <c r="B2862" s="22" t="s">
        <v>33</v>
      </c>
      <c r="C2862" s="22" t="s">
        <v>44</v>
      </c>
      <c r="D2862" s="22" t="s">
        <v>30</v>
      </c>
      <c r="E2862" s="24">
        <v>72564391</v>
      </c>
      <c r="F2862" s="22" t="s">
        <v>251</v>
      </c>
      <c r="G2862" s="25">
        <v>9715.2000000000007</v>
      </c>
      <c r="H2862" s="22" t="s">
        <v>32</v>
      </c>
      <c r="I2862" s="22">
        <v>0</v>
      </c>
      <c r="J2862" s="22" t="s">
        <v>251</v>
      </c>
      <c r="K2862" s="22" t="s">
        <v>78</v>
      </c>
      <c r="L2862" s="22">
        <v>0</v>
      </c>
      <c r="M2862" s="26">
        <v>180000</v>
      </c>
      <c r="N2862" s="26">
        <v>0</v>
      </c>
      <c r="O2862" s="15">
        <f t="shared" si="247"/>
        <v>180000</v>
      </c>
      <c r="P2862" s="15">
        <f t="shared" si="246"/>
        <v>18.527667984189723</v>
      </c>
      <c r="Q2862" s="25">
        <v>25000</v>
      </c>
      <c r="R2862" s="22">
        <v>78</v>
      </c>
      <c r="S2862" s="22" t="s">
        <v>3523</v>
      </c>
      <c r="T2862" s="22">
        <f t="shared" si="243"/>
        <v>8</v>
      </c>
      <c r="U2862" s="22">
        <f t="shared" si="244"/>
        <v>2021</v>
      </c>
      <c r="V2862" s="22" t="str">
        <f t="shared" si="245"/>
        <v>REGIONES</v>
      </c>
    </row>
    <row r="2863" spans="1:22" x14ac:dyDescent="0.2">
      <c r="A2863" s="23" t="s">
        <v>3514</v>
      </c>
      <c r="B2863" s="22" t="s">
        <v>33</v>
      </c>
      <c r="C2863" s="22" t="s">
        <v>44</v>
      </c>
      <c r="D2863" s="22" t="s">
        <v>47</v>
      </c>
      <c r="E2863" s="24">
        <v>99626232</v>
      </c>
      <c r="F2863" s="22" t="s">
        <v>48</v>
      </c>
      <c r="G2863" s="25">
        <v>7503.2</v>
      </c>
      <c r="H2863" s="22" t="s">
        <v>22</v>
      </c>
      <c r="I2863" s="22">
        <v>0</v>
      </c>
      <c r="J2863" s="22" t="s">
        <v>48</v>
      </c>
      <c r="K2863" s="22" t="s">
        <v>23</v>
      </c>
      <c r="L2863" s="22">
        <v>1</v>
      </c>
      <c r="M2863" s="26">
        <v>82535</v>
      </c>
      <c r="N2863" s="26">
        <v>0</v>
      </c>
      <c r="O2863" s="15">
        <f t="shared" si="247"/>
        <v>82535</v>
      </c>
      <c r="P2863" s="15">
        <f t="shared" si="246"/>
        <v>10.999973344706259</v>
      </c>
      <c r="Q2863" s="25">
        <v>5000</v>
      </c>
      <c r="R2863" s="22">
        <v>100</v>
      </c>
      <c r="S2863" s="22" t="s">
        <v>3524</v>
      </c>
      <c r="T2863" s="22">
        <f t="shared" si="243"/>
        <v>8</v>
      </c>
      <c r="U2863" s="22">
        <f t="shared" si="244"/>
        <v>2021</v>
      </c>
      <c r="V2863" s="22" t="str">
        <f t="shared" si="245"/>
        <v>METROPOLITANA</v>
      </c>
    </row>
    <row r="2864" spans="1:22" x14ac:dyDescent="0.2">
      <c r="A2864" s="11" t="s">
        <v>3527</v>
      </c>
      <c r="B2864" s="12" t="s">
        <v>18</v>
      </c>
      <c r="C2864" s="12" t="s">
        <v>270</v>
      </c>
      <c r="D2864" s="12" t="s">
        <v>63</v>
      </c>
      <c r="E2864" s="13" t="s">
        <v>64</v>
      </c>
      <c r="F2864" s="12" t="s">
        <v>120</v>
      </c>
      <c r="G2864" s="14">
        <v>12428.48</v>
      </c>
      <c r="H2864" s="12" t="s">
        <v>65</v>
      </c>
      <c r="I2864" s="12">
        <v>0</v>
      </c>
      <c r="J2864" s="12" t="s">
        <v>120</v>
      </c>
      <c r="K2864" s="12" t="s">
        <v>23</v>
      </c>
      <c r="L2864" s="12">
        <v>5</v>
      </c>
      <c r="M2864" s="15">
        <v>70000</v>
      </c>
      <c r="N2864" s="15">
        <v>0</v>
      </c>
      <c r="O2864" s="15">
        <f>G2864*11</f>
        <v>136713.28</v>
      </c>
      <c r="P2864" s="15">
        <f t="shared" si="246"/>
        <v>11</v>
      </c>
      <c r="Q2864" s="14">
        <v>10000</v>
      </c>
      <c r="R2864" s="12">
        <v>100</v>
      </c>
      <c r="S2864" s="12" t="s">
        <v>3528</v>
      </c>
      <c r="T2864" s="22">
        <f t="shared" si="243"/>
        <v>8</v>
      </c>
      <c r="U2864" s="22">
        <f t="shared" si="244"/>
        <v>2021</v>
      </c>
      <c r="V2864" s="22" t="str">
        <f t="shared" si="245"/>
        <v>METROPOLITANA</v>
      </c>
    </row>
    <row r="2865" spans="1:22" x14ac:dyDescent="0.2">
      <c r="A2865" s="11" t="s">
        <v>3527</v>
      </c>
      <c r="B2865" s="12" t="s">
        <v>33</v>
      </c>
      <c r="C2865" s="12" t="s">
        <v>128</v>
      </c>
      <c r="D2865" s="12" t="s">
        <v>121</v>
      </c>
      <c r="E2865" s="13" t="s">
        <v>1431</v>
      </c>
      <c r="F2865" s="12" t="s">
        <v>66</v>
      </c>
      <c r="G2865" s="14">
        <v>19508.39999999998</v>
      </c>
      <c r="H2865" s="12" t="s">
        <v>85</v>
      </c>
      <c r="I2865" s="12">
        <v>1</v>
      </c>
      <c r="J2865" s="12" t="s">
        <v>66</v>
      </c>
      <c r="K2865" s="12" t="s">
        <v>75</v>
      </c>
      <c r="L2865" s="12">
        <v>0</v>
      </c>
      <c r="M2865" s="15">
        <v>380000</v>
      </c>
      <c r="N2865" s="15">
        <v>0</v>
      </c>
      <c r="O2865" s="15">
        <f t="shared" ref="O2865:O2896" si="248">SUM(M2865:N2865)</f>
        <v>380000</v>
      </c>
      <c r="P2865" s="15">
        <f t="shared" si="246"/>
        <v>19.478788624387462</v>
      </c>
      <c r="Q2865" s="14">
        <v>25000</v>
      </c>
      <c r="R2865" s="12">
        <v>78</v>
      </c>
      <c r="S2865" s="12" t="s">
        <v>3529</v>
      </c>
      <c r="T2865" s="22">
        <f t="shared" si="243"/>
        <v>8</v>
      </c>
      <c r="U2865" s="22">
        <f t="shared" si="244"/>
        <v>2021</v>
      </c>
      <c r="V2865" s="22" t="str">
        <f t="shared" si="245"/>
        <v>REGIONES</v>
      </c>
    </row>
    <row r="2866" spans="1:22" x14ac:dyDescent="0.2">
      <c r="A2866" s="11" t="s">
        <v>3527</v>
      </c>
      <c r="B2866" s="12" t="s">
        <v>33</v>
      </c>
      <c r="C2866" s="12" t="s">
        <v>128</v>
      </c>
      <c r="D2866" s="12" t="s">
        <v>2955</v>
      </c>
      <c r="E2866" s="13" t="s">
        <v>2956</v>
      </c>
      <c r="F2866" s="12" t="s">
        <v>129</v>
      </c>
      <c r="G2866" s="14">
        <v>13625.999999999991</v>
      </c>
      <c r="H2866" s="12" t="s">
        <v>24</v>
      </c>
      <c r="I2866" s="12">
        <v>1</v>
      </c>
      <c r="J2866" s="12" t="s">
        <v>129</v>
      </c>
      <c r="K2866" s="12" t="s">
        <v>23</v>
      </c>
      <c r="L2866" s="12">
        <v>1</v>
      </c>
      <c r="M2866" s="15">
        <v>149886</v>
      </c>
      <c r="N2866" s="15">
        <v>0</v>
      </c>
      <c r="O2866" s="15">
        <f t="shared" si="248"/>
        <v>149886</v>
      </c>
      <c r="P2866" s="15">
        <f t="shared" si="246"/>
        <v>11.000000000000007</v>
      </c>
      <c r="Q2866" s="14">
        <v>5000</v>
      </c>
      <c r="R2866" s="12">
        <v>100</v>
      </c>
      <c r="S2866" s="12" t="s">
        <v>3530</v>
      </c>
      <c r="T2866" s="22">
        <f t="shared" si="243"/>
        <v>8</v>
      </c>
      <c r="U2866" s="22">
        <f t="shared" si="244"/>
        <v>2021</v>
      </c>
      <c r="V2866" s="22" t="str">
        <f t="shared" si="245"/>
        <v>METROPOLITANA</v>
      </c>
    </row>
    <row r="2867" spans="1:22" x14ac:dyDescent="0.2">
      <c r="A2867" s="11" t="s">
        <v>3527</v>
      </c>
      <c r="B2867" s="12" t="s">
        <v>33</v>
      </c>
      <c r="C2867" s="12" t="s">
        <v>36</v>
      </c>
      <c r="D2867" s="12" t="s">
        <v>2262</v>
      </c>
      <c r="E2867" s="13" t="s">
        <v>83</v>
      </c>
      <c r="F2867" s="12" t="s">
        <v>1026</v>
      </c>
      <c r="G2867" s="14">
        <v>7302.4</v>
      </c>
      <c r="H2867" s="12" t="s">
        <v>24</v>
      </c>
      <c r="I2867" s="12">
        <v>1</v>
      </c>
      <c r="J2867" s="12" t="s">
        <v>1026</v>
      </c>
      <c r="K2867" s="12" t="s">
        <v>408</v>
      </c>
      <c r="L2867" s="12">
        <v>0</v>
      </c>
      <c r="M2867" s="15">
        <v>600000</v>
      </c>
      <c r="N2867" s="15">
        <v>0</v>
      </c>
      <c r="O2867" s="15">
        <f t="shared" si="248"/>
        <v>600000</v>
      </c>
      <c r="P2867" s="15">
        <f t="shared" si="246"/>
        <v>82.164767747589835</v>
      </c>
      <c r="Q2867" s="14">
        <v>25000</v>
      </c>
      <c r="R2867" s="12">
        <v>65</v>
      </c>
      <c r="S2867" s="12" t="s">
        <v>3531</v>
      </c>
      <c r="T2867" s="22">
        <f t="shared" si="243"/>
        <v>8</v>
      </c>
      <c r="U2867" s="22">
        <f t="shared" si="244"/>
        <v>2021</v>
      </c>
      <c r="V2867" s="22" t="str">
        <f t="shared" si="245"/>
        <v>REGIONES</v>
      </c>
    </row>
    <row r="2868" spans="1:22" x14ac:dyDescent="0.2">
      <c r="A2868" s="11" t="s">
        <v>3527</v>
      </c>
      <c r="B2868" s="12" t="s">
        <v>33</v>
      </c>
      <c r="C2868" s="12" t="s">
        <v>36</v>
      </c>
      <c r="D2868" s="12" t="s">
        <v>38</v>
      </c>
      <c r="E2868" s="13" t="s">
        <v>42</v>
      </c>
      <c r="F2868" s="12" t="s">
        <v>67</v>
      </c>
      <c r="G2868" s="14">
        <v>3788.4</v>
      </c>
      <c r="H2868" s="12" t="s">
        <v>43</v>
      </c>
      <c r="I2868" s="12">
        <v>0</v>
      </c>
      <c r="J2868" s="12" t="s">
        <v>67</v>
      </c>
      <c r="K2868" s="12" t="s">
        <v>23</v>
      </c>
      <c r="L2868" s="12">
        <v>2</v>
      </c>
      <c r="M2868" s="15">
        <v>55000</v>
      </c>
      <c r="N2868" s="15">
        <v>0</v>
      </c>
      <c r="O2868" s="15">
        <f t="shared" si="248"/>
        <v>55000</v>
      </c>
      <c r="P2868" s="15">
        <f t="shared" si="246"/>
        <v>14.518002322880371</v>
      </c>
      <c r="Q2868" s="14">
        <v>5000</v>
      </c>
      <c r="R2868" s="12">
        <v>76</v>
      </c>
      <c r="S2868" s="12" t="s">
        <v>3532</v>
      </c>
      <c r="T2868" s="22">
        <f t="shared" si="243"/>
        <v>8</v>
      </c>
      <c r="U2868" s="22">
        <f t="shared" si="244"/>
        <v>2021</v>
      </c>
      <c r="V2868" s="22" t="str">
        <f t="shared" si="245"/>
        <v>METROPOLITANA</v>
      </c>
    </row>
    <row r="2869" spans="1:22" x14ac:dyDescent="0.2">
      <c r="A2869" s="11" t="s">
        <v>3527</v>
      </c>
      <c r="B2869" s="12" t="s">
        <v>33</v>
      </c>
      <c r="C2869" s="12" t="s">
        <v>36</v>
      </c>
      <c r="D2869" s="12" t="s">
        <v>45</v>
      </c>
      <c r="E2869" s="13" t="s">
        <v>52</v>
      </c>
      <c r="F2869" s="12" t="s">
        <v>51</v>
      </c>
      <c r="G2869" s="14">
        <v>4226</v>
      </c>
      <c r="H2869" s="12" t="s">
        <v>22</v>
      </c>
      <c r="I2869" s="12">
        <v>0</v>
      </c>
      <c r="J2869" s="12" t="s">
        <v>51</v>
      </c>
      <c r="K2869" s="12" t="s">
        <v>23</v>
      </c>
      <c r="L2869" s="12">
        <v>4</v>
      </c>
      <c r="M2869" s="15">
        <v>55000</v>
      </c>
      <c r="N2869" s="15">
        <v>0</v>
      </c>
      <c r="O2869" s="15">
        <f t="shared" si="248"/>
        <v>55000</v>
      </c>
      <c r="P2869" s="15">
        <f t="shared" si="246"/>
        <v>13.014671083767155</v>
      </c>
      <c r="Q2869" s="14">
        <v>5000</v>
      </c>
      <c r="R2869" s="12">
        <v>85</v>
      </c>
      <c r="S2869" s="12" t="s">
        <v>3533</v>
      </c>
      <c r="T2869" s="22">
        <f t="shared" si="243"/>
        <v>8</v>
      </c>
      <c r="U2869" s="22">
        <f t="shared" si="244"/>
        <v>2021</v>
      </c>
      <c r="V2869" s="22" t="str">
        <f t="shared" si="245"/>
        <v>METROPOLITANA</v>
      </c>
    </row>
    <row r="2870" spans="1:22" x14ac:dyDescent="0.2">
      <c r="A2870" s="11" t="s">
        <v>3527</v>
      </c>
      <c r="B2870" s="12" t="s">
        <v>33</v>
      </c>
      <c r="C2870" s="12" t="s">
        <v>36</v>
      </c>
      <c r="D2870" s="12" t="s">
        <v>47</v>
      </c>
      <c r="E2870" s="13" t="s">
        <v>1576</v>
      </c>
      <c r="F2870" s="12" t="s">
        <v>53</v>
      </c>
      <c r="G2870" s="14">
        <v>7565.0000000000009</v>
      </c>
      <c r="H2870" s="12" t="s">
        <v>22</v>
      </c>
      <c r="I2870" s="12">
        <v>0</v>
      </c>
      <c r="J2870" s="12" t="s">
        <v>53</v>
      </c>
      <c r="K2870" s="12" t="s">
        <v>23</v>
      </c>
      <c r="L2870" s="12">
        <v>3</v>
      </c>
      <c r="M2870" s="15">
        <v>83215</v>
      </c>
      <c r="N2870" s="15">
        <v>0</v>
      </c>
      <c r="O2870" s="15">
        <f t="shared" si="248"/>
        <v>83215</v>
      </c>
      <c r="P2870" s="15">
        <f t="shared" si="246"/>
        <v>10.999999999999998</v>
      </c>
      <c r="Q2870" s="14">
        <v>5000</v>
      </c>
      <c r="R2870" s="12">
        <v>100</v>
      </c>
      <c r="S2870" s="12" t="s">
        <v>3534</v>
      </c>
      <c r="T2870" s="22">
        <f t="shared" si="243"/>
        <v>8</v>
      </c>
      <c r="U2870" s="22">
        <f t="shared" si="244"/>
        <v>2021</v>
      </c>
      <c r="V2870" s="22" t="str">
        <f t="shared" si="245"/>
        <v>METROPOLITANA</v>
      </c>
    </row>
    <row r="2871" spans="1:22" x14ac:dyDescent="0.2">
      <c r="A2871" s="11" t="s">
        <v>3527</v>
      </c>
      <c r="B2871" s="12" t="s">
        <v>33</v>
      </c>
      <c r="C2871" s="12" t="s">
        <v>36</v>
      </c>
      <c r="D2871" s="12" t="s">
        <v>41</v>
      </c>
      <c r="E2871" s="13" t="s">
        <v>25</v>
      </c>
      <c r="F2871" s="12" t="s">
        <v>182</v>
      </c>
      <c r="G2871" s="14">
        <v>4738.4000000000005</v>
      </c>
      <c r="H2871" s="12" t="s">
        <v>43</v>
      </c>
      <c r="I2871" s="12">
        <v>0</v>
      </c>
      <c r="J2871" s="12" t="s">
        <v>182</v>
      </c>
      <c r="K2871" s="12" t="s">
        <v>23</v>
      </c>
      <c r="L2871" s="12">
        <v>4</v>
      </c>
      <c r="M2871" s="15">
        <v>55000</v>
      </c>
      <c r="N2871" s="15">
        <v>0</v>
      </c>
      <c r="O2871" s="15">
        <f t="shared" si="248"/>
        <v>55000</v>
      </c>
      <c r="P2871" s="15">
        <f t="shared" si="246"/>
        <v>11.607293601215598</v>
      </c>
      <c r="Q2871" s="14">
        <v>5000</v>
      </c>
      <c r="R2871" s="12">
        <v>95</v>
      </c>
      <c r="S2871" s="12" t="s">
        <v>3535</v>
      </c>
      <c r="T2871" s="22">
        <f t="shared" si="243"/>
        <v>8</v>
      </c>
      <c r="U2871" s="22">
        <f t="shared" si="244"/>
        <v>2021</v>
      </c>
      <c r="V2871" s="22" t="str">
        <f t="shared" si="245"/>
        <v>METROPOLITANA</v>
      </c>
    </row>
    <row r="2872" spans="1:22" x14ac:dyDescent="0.2">
      <c r="A2872" s="11" t="s">
        <v>3527</v>
      </c>
      <c r="B2872" s="12" t="s">
        <v>33</v>
      </c>
      <c r="C2872" s="12" t="s">
        <v>36</v>
      </c>
      <c r="D2872" s="12" t="s">
        <v>164</v>
      </c>
      <c r="E2872" s="13" t="s">
        <v>3536</v>
      </c>
      <c r="F2872" s="12" t="s">
        <v>308</v>
      </c>
      <c r="G2872" s="14">
        <v>7089.4000000000024</v>
      </c>
      <c r="H2872" s="12" t="s">
        <v>22</v>
      </c>
      <c r="I2872" s="12">
        <v>1</v>
      </c>
      <c r="J2872" s="12" t="s">
        <v>308</v>
      </c>
      <c r="K2872" s="12" t="s">
        <v>78</v>
      </c>
      <c r="L2872" s="12">
        <v>0</v>
      </c>
      <c r="M2872" s="15">
        <v>230000</v>
      </c>
      <c r="N2872" s="15">
        <v>0</v>
      </c>
      <c r="O2872" s="15">
        <f t="shared" si="248"/>
        <v>230000</v>
      </c>
      <c r="P2872" s="15">
        <f t="shared" si="246"/>
        <v>32.442801929641426</v>
      </c>
      <c r="Q2872" s="14">
        <v>25000</v>
      </c>
      <c r="R2872" s="12">
        <v>65</v>
      </c>
      <c r="S2872" s="12" t="s">
        <v>3537</v>
      </c>
      <c r="T2872" s="22">
        <f t="shared" si="243"/>
        <v>8</v>
      </c>
      <c r="U2872" s="22">
        <f t="shared" si="244"/>
        <v>2021</v>
      </c>
      <c r="V2872" s="22" t="str">
        <f t="shared" si="245"/>
        <v>REGIONES</v>
      </c>
    </row>
    <row r="2873" spans="1:22" x14ac:dyDescent="0.2">
      <c r="A2873" s="11" t="s">
        <v>3527</v>
      </c>
      <c r="B2873" s="12" t="s">
        <v>33</v>
      </c>
      <c r="C2873" s="12" t="s">
        <v>223</v>
      </c>
      <c r="D2873" s="12" t="s">
        <v>3538</v>
      </c>
      <c r="E2873" s="13" t="s">
        <v>3539</v>
      </c>
      <c r="F2873" s="12" t="s">
        <v>815</v>
      </c>
      <c r="G2873" s="14">
        <v>14879.19999999999</v>
      </c>
      <c r="H2873" s="12" t="s">
        <v>24</v>
      </c>
      <c r="I2873" s="12">
        <v>1</v>
      </c>
      <c r="J2873" s="12" t="s">
        <v>815</v>
      </c>
      <c r="K2873" s="12" t="s">
        <v>75</v>
      </c>
      <c r="L2873" s="12">
        <v>0</v>
      </c>
      <c r="M2873" s="15">
        <v>420000</v>
      </c>
      <c r="N2873" s="15">
        <v>0</v>
      </c>
      <c r="O2873" s="15">
        <f t="shared" si="248"/>
        <v>420000</v>
      </c>
      <c r="P2873" s="15">
        <f t="shared" si="246"/>
        <v>28.22732404968011</v>
      </c>
      <c r="Q2873" s="14">
        <v>25000</v>
      </c>
      <c r="R2873" s="12">
        <v>60</v>
      </c>
      <c r="S2873" s="12" t="s">
        <v>3540</v>
      </c>
      <c r="T2873" s="22">
        <f t="shared" si="243"/>
        <v>8</v>
      </c>
      <c r="U2873" s="22">
        <f t="shared" si="244"/>
        <v>2021</v>
      </c>
      <c r="V2873" s="22" t="str">
        <f t="shared" si="245"/>
        <v>REGIONES</v>
      </c>
    </row>
    <row r="2874" spans="1:22" x14ac:dyDescent="0.2">
      <c r="A2874" s="11" t="s">
        <v>3527</v>
      </c>
      <c r="B2874" s="12" t="s">
        <v>33</v>
      </c>
      <c r="C2874" s="12" t="s">
        <v>29</v>
      </c>
      <c r="D2874" s="12" t="s">
        <v>164</v>
      </c>
      <c r="E2874" s="13" t="s">
        <v>28</v>
      </c>
      <c r="F2874" s="12" t="s">
        <v>39</v>
      </c>
      <c r="G2874" s="14">
        <v>18009.599999999999</v>
      </c>
      <c r="H2874" s="12" t="s">
        <v>22</v>
      </c>
      <c r="I2874" s="12">
        <v>1</v>
      </c>
      <c r="J2874" s="12" t="s">
        <v>39</v>
      </c>
      <c r="K2874" s="12" t="s">
        <v>23</v>
      </c>
      <c r="L2874" s="12">
        <v>1</v>
      </c>
      <c r="M2874" s="15">
        <v>198106</v>
      </c>
      <c r="N2874" s="15">
        <v>0</v>
      </c>
      <c r="O2874" s="15">
        <f t="shared" si="248"/>
        <v>198106</v>
      </c>
      <c r="P2874" s="15">
        <f t="shared" si="246"/>
        <v>11.000022210376688</v>
      </c>
      <c r="Q2874" s="14">
        <v>5000</v>
      </c>
      <c r="R2874" s="12">
        <v>100</v>
      </c>
      <c r="S2874" s="12" t="s">
        <v>3541</v>
      </c>
      <c r="T2874" s="22">
        <f t="shared" si="243"/>
        <v>8</v>
      </c>
      <c r="U2874" s="22">
        <f t="shared" si="244"/>
        <v>2021</v>
      </c>
      <c r="V2874" s="22" t="str">
        <f t="shared" si="245"/>
        <v>METROPOLITANA</v>
      </c>
    </row>
    <row r="2875" spans="1:22" x14ac:dyDescent="0.2">
      <c r="A2875" s="11" t="s">
        <v>3527</v>
      </c>
      <c r="B2875" s="12" t="s">
        <v>33</v>
      </c>
      <c r="C2875" s="12" t="s">
        <v>44</v>
      </c>
      <c r="D2875" s="12" t="s">
        <v>130</v>
      </c>
      <c r="E2875" s="13" t="s">
        <v>131</v>
      </c>
      <c r="F2875" s="12" t="s">
        <v>691</v>
      </c>
      <c r="G2875" s="14">
        <v>13467.999999999991</v>
      </c>
      <c r="H2875" s="12" t="s">
        <v>85</v>
      </c>
      <c r="I2875" s="12">
        <v>1</v>
      </c>
      <c r="J2875" s="12" t="s">
        <v>691</v>
      </c>
      <c r="K2875" s="12" t="s">
        <v>873</v>
      </c>
      <c r="L2875" s="12">
        <v>0</v>
      </c>
      <c r="M2875" s="15">
        <v>1020000</v>
      </c>
      <c r="N2875" s="15">
        <v>0</v>
      </c>
      <c r="O2875" s="15">
        <f t="shared" si="248"/>
        <v>1020000</v>
      </c>
      <c r="P2875" s="15">
        <f t="shared" si="246"/>
        <v>75.735075735075782</v>
      </c>
      <c r="Q2875" s="14">
        <v>25000</v>
      </c>
      <c r="R2875" s="12">
        <v>68</v>
      </c>
      <c r="S2875" s="12" t="s">
        <v>3542</v>
      </c>
      <c r="T2875" s="22">
        <f t="shared" si="243"/>
        <v>8</v>
      </c>
      <c r="U2875" s="22">
        <f t="shared" si="244"/>
        <v>2021</v>
      </c>
      <c r="V2875" s="22" t="str">
        <f t="shared" si="245"/>
        <v>REGIONES</v>
      </c>
    </row>
    <row r="2876" spans="1:22" x14ac:dyDescent="0.2">
      <c r="A2876" s="11" t="s">
        <v>3527</v>
      </c>
      <c r="B2876" s="12" t="s">
        <v>33</v>
      </c>
      <c r="C2876" s="12" t="s">
        <v>44</v>
      </c>
      <c r="D2876" s="12" t="s">
        <v>1170</v>
      </c>
      <c r="E2876" s="13" t="s">
        <v>81</v>
      </c>
      <c r="F2876" s="12" t="s">
        <v>66</v>
      </c>
      <c r="G2876" s="14">
        <v>9195.6000000000022</v>
      </c>
      <c r="H2876" s="12" t="s">
        <v>24</v>
      </c>
      <c r="I2876" s="12">
        <v>1</v>
      </c>
      <c r="J2876" s="12" t="s">
        <v>66</v>
      </c>
      <c r="K2876" s="12" t="s">
        <v>75</v>
      </c>
      <c r="L2876" s="12">
        <v>0</v>
      </c>
      <c r="M2876" s="15">
        <v>380000</v>
      </c>
      <c r="N2876" s="15">
        <v>0</v>
      </c>
      <c r="O2876" s="15">
        <f t="shared" si="248"/>
        <v>380000</v>
      </c>
      <c r="P2876" s="15">
        <f t="shared" si="246"/>
        <v>41.324111531602064</v>
      </c>
      <c r="Q2876" s="14">
        <v>25000</v>
      </c>
      <c r="R2876" s="12">
        <v>75</v>
      </c>
      <c r="S2876" s="12" t="s">
        <v>3543</v>
      </c>
      <c r="T2876" s="22">
        <f t="shared" si="243"/>
        <v>8</v>
      </c>
      <c r="U2876" s="22">
        <f t="shared" si="244"/>
        <v>2021</v>
      </c>
      <c r="V2876" s="22" t="str">
        <f t="shared" si="245"/>
        <v>REGIONES</v>
      </c>
    </row>
    <row r="2877" spans="1:22" x14ac:dyDescent="0.2">
      <c r="A2877" s="11" t="s">
        <v>3527</v>
      </c>
      <c r="B2877" s="12" t="s">
        <v>33</v>
      </c>
      <c r="C2877" s="12" t="s">
        <v>44</v>
      </c>
      <c r="D2877" s="12" t="s">
        <v>30</v>
      </c>
      <c r="E2877" s="13" t="s">
        <v>31</v>
      </c>
      <c r="F2877" s="12" t="s">
        <v>229</v>
      </c>
      <c r="G2877" s="14">
        <v>6003.1999999999989</v>
      </c>
      <c r="H2877" s="12" t="s">
        <v>32</v>
      </c>
      <c r="I2877" s="12">
        <v>0</v>
      </c>
      <c r="J2877" s="12" t="s">
        <v>230</v>
      </c>
      <c r="K2877" s="12" t="s">
        <v>23</v>
      </c>
      <c r="L2877" s="12">
        <v>4</v>
      </c>
      <c r="M2877" s="15">
        <v>66035</v>
      </c>
      <c r="N2877" s="15">
        <v>0</v>
      </c>
      <c r="O2877" s="15">
        <f t="shared" si="248"/>
        <v>66035</v>
      </c>
      <c r="P2877" s="15">
        <f t="shared" si="246"/>
        <v>10.99996668443497</v>
      </c>
      <c r="Q2877" s="14">
        <v>5000</v>
      </c>
      <c r="R2877" s="12">
        <v>100</v>
      </c>
      <c r="S2877" s="12" t="s">
        <v>3544</v>
      </c>
      <c r="T2877" s="22">
        <f t="shared" si="243"/>
        <v>8</v>
      </c>
      <c r="U2877" s="22">
        <f t="shared" si="244"/>
        <v>2021</v>
      </c>
      <c r="V2877" s="22" t="str">
        <f t="shared" si="245"/>
        <v>METROPOLITANA</v>
      </c>
    </row>
    <row r="2878" spans="1:22" x14ac:dyDescent="0.2">
      <c r="A2878" s="23" t="s">
        <v>3545</v>
      </c>
      <c r="B2878" s="22" t="s">
        <v>18</v>
      </c>
      <c r="C2878" s="22" t="s">
        <v>57</v>
      </c>
      <c r="D2878" s="22" t="s">
        <v>41</v>
      </c>
      <c r="E2878" s="24">
        <v>125108660</v>
      </c>
      <c r="F2878" s="22" t="s">
        <v>308</v>
      </c>
      <c r="G2878" s="25">
        <v>6282.2</v>
      </c>
      <c r="H2878" s="22" t="s">
        <v>43</v>
      </c>
      <c r="I2878" s="22">
        <v>0</v>
      </c>
      <c r="J2878" s="22" t="s">
        <v>308</v>
      </c>
      <c r="K2878" s="22" t="s">
        <v>78</v>
      </c>
      <c r="L2878" s="22">
        <v>0</v>
      </c>
      <c r="M2878" s="26">
        <v>180000</v>
      </c>
      <c r="N2878" s="26">
        <v>0</v>
      </c>
      <c r="O2878" s="15">
        <f t="shared" si="248"/>
        <v>180000</v>
      </c>
      <c r="P2878" s="15">
        <f t="shared" si="246"/>
        <v>28.652382923179779</v>
      </c>
      <c r="Q2878" s="25">
        <v>25000</v>
      </c>
      <c r="R2878" s="22">
        <v>50</v>
      </c>
      <c r="S2878" s="22" t="s">
        <v>3546</v>
      </c>
      <c r="T2878" s="22">
        <f t="shared" si="243"/>
        <v>8</v>
      </c>
      <c r="U2878" s="22">
        <f t="shared" si="244"/>
        <v>2021</v>
      </c>
      <c r="V2878" s="22" t="str">
        <f t="shared" si="245"/>
        <v>REGIONES</v>
      </c>
    </row>
    <row r="2879" spans="1:22" x14ac:dyDescent="0.2">
      <c r="A2879" s="23" t="s">
        <v>3545</v>
      </c>
      <c r="B2879" s="22" t="s">
        <v>18</v>
      </c>
      <c r="C2879" s="22" t="s">
        <v>19</v>
      </c>
      <c r="D2879" s="22" t="s">
        <v>3547</v>
      </c>
      <c r="E2879" s="24">
        <v>113693568</v>
      </c>
      <c r="F2879" s="22" t="s">
        <v>92</v>
      </c>
      <c r="G2879" s="25">
        <v>18155.990000000002</v>
      </c>
      <c r="H2879" s="22" t="s">
        <v>24</v>
      </c>
      <c r="I2879" s="22">
        <v>1</v>
      </c>
      <c r="J2879" s="22" t="s">
        <v>92</v>
      </c>
      <c r="K2879" s="22" t="s">
        <v>93</v>
      </c>
      <c r="L2879" s="22">
        <v>0</v>
      </c>
      <c r="M2879" s="26">
        <v>620000</v>
      </c>
      <c r="N2879" s="26">
        <v>0</v>
      </c>
      <c r="O2879" s="15">
        <f t="shared" si="248"/>
        <v>620000</v>
      </c>
      <c r="P2879" s="15">
        <f t="shared" si="246"/>
        <v>34.148509665405186</v>
      </c>
      <c r="Q2879" s="25">
        <v>25000</v>
      </c>
      <c r="R2879" s="22">
        <v>73</v>
      </c>
      <c r="S2879" s="22" t="s">
        <v>3548</v>
      </c>
      <c r="T2879" s="22">
        <f t="shared" si="243"/>
        <v>8</v>
      </c>
      <c r="U2879" s="22">
        <f t="shared" si="244"/>
        <v>2021</v>
      </c>
      <c r="V2879" s="22" t="str">
        <f t="shared" si="245"/>
        <v>REGIONES</v>
      </c>
    </row>
    <row r="2880" spans="1:22" x14ac:dyDescent="0.2">
      <c r="A2880" s="23" t="s">
        <v>3545</v>
      </c>
      <c r="B2880" s="22" t="s">
        <v>18</v>
      </c>
      <c r="C2880" s="22" t="s">
        <v>19</v>
      </c>
      <c r="D2880" s="22" t="s">
        <v>63</v>
      </c>
      <c r="E2880" s="24">
        <v>138841065</v>
      </c>
      <c r="F2880" s="22" t="s">
        <v>727</v>
      </c>
      <c r="G2880" s="25">
        <v>8458.32</v>
      </c>
      <c r="H2880" s="22" t="s">
        <v>65</v>
      </c>
      <c r="I2880" s="22">
        <v>0</v>
      </c>
      <c r="J2880" s="22" t="s">
        <v>727</v>
      </c>
      <c r="K2880" s="22" t="s">
        <v>23</v>
      </c>
      <c r="L2880" s="22">
        <v>2</v>
      </c>
      <c r="M2880" s="26">
        <v>93042</v>
      </c>
      <c r="N2880" s="26">
        <v>0</v>
      </c>
      <c r="O2880" s="15">
        <f t="shared" si="248"/>
        <v>93042</v>
      </c>
      <c r="P2880" s="15">
        <f t="shared" si="246"/>
        <v>11.000056748857929</v>
      </c>
      <c r="Q2880" s="25">
        <v>5000</v>
      </c>
      <c r="R2880" s="22">
        <v>100</v>
      </c>
      <c r="S2880" s="22" t="s">
        <v>3549</v>
      </c>
      <c r="T2880" s="22">
        <f t="shared" si="243"/>
        <v>8</v>
      </c>
      <c r="U2880" s="22">
        <f t="shared" si="244"/>
        <v>2021</v>
      </c>
      <c r="V2880" s="22" t="str">
        <f t="shared" si="245"/>
        <v>METROPOLITANA</v>
      </c>
    </row>
    <row r="2881" spans="1:22" x14ac:dyDescent="0.2">
      <c r="A2881" s="23" t="s">
        <v>3545</v>
      </c>
      <c r="B2881" s="22" t="s">
        <v>18</v>
      </c>
      <c r="C2881" s="22" t="s">
        <v>87</v>
      </c>
      <c r="D2881" s="22" t="s">
        <v>27</v>
      </c>
      <c r="E2881" s="24">
        <v>81417709</v>
      </c>
      <c r="F2881" s="22" t="s">
        <v>51</v>
      </c>
      <c r="G2881" s="25">
        <v>16929.900000000001</v>
      </c>
      <c r="H2881" s="22" t="s">
        <v>22</v>
      </c>
      <c r="I2881" s="22">
        <v>1</v>
      </c>
      <c r="J2881" s="22" t="s">
        <v>51</v>
      </c>
      <c r="K2881" s="22" t="s">
        <v>23</v>
      </c>
      <c r="L2881" s="22">
        <v>4</v>
      </c>
      <c r="M2881" s="26">
        <v>186229</v>
      </c>
      <c r="N2881" s="26">
        <v>0</v>
      </c>
      <c r="O2881" s="15">
        <f t="shared" si="248"/>
        <v>186229</v>
      </c>
      <c r="P2881" s="15">
        <f t="shared" si="246"/>
        <v>11.000005906709431</v>
      </c>
      <c r="Q2881" s="25">
        <v>5000</v>
      </c>
      <c r="R2881" s="22">
        <v>100</v>
      </c>
      <c r="S2881" s="22" t="s">
        <v>3550</v>
      </c>
      <c r="T2881" s="22">
        <f t="shared" si="243"/>
        <v>8</v>
      </c>
      <c r="U2881" s="22">
        <f t="shared" si="244"/>
        <v>2021</v>
      </c>
      <c r="V2881" s="22" t="str">
        <f t="shared" si="245"/>
        <v>METROPOLITANA</v>
      </c>
    </row>
    <row r="2882" spans="1:22" x14ac:dyDescent="0.2">
      <c r="A2882" s="23" t="s">
        <v>3545</v>
      </c>
      <c r="B2882" s="22" t="s">
        <v>33</v>
      </c>
      <c r="C2882" s="22" t="s">
        <v>1416</v>
      </c>
      <c r="D2882" s="22" t="s">
        <v>37</v>
      </c>
      <c r="E2882" s="24">
        <v>154837728</v>
      </c>
      <c r="F2882" s="22" t="s">
        <v>53</v>
      </c>
      <c r="G2882" s="25">
        <v>3293</v>
      </c>
      <c r="H2882" s="22" t="s">
        <v>22</v>
      </c>
      <c r="I2882" s="22">
        <v>0</v>
      </c>
      <c r="J2882" s="22" t="s">
        <v>53</v>
      </c>
      <c r="K2882" s="22" t="s">
        <v>23</v>
      </c>
      <c r="L2882" s="22">
        <v>3</v>
      </c>
      <c r="M2882" s="26">
        <v>55000</v>
      </c>
      <c r="N2882" s="26">
        <v>0</v>
      </c>
      <c r="O2882" s="15">
        <f t="shared" si="248"/>
        <v>55000</v>
      </c>
      <c r="P2882" s="15">
        <f t="shared" si="246"/>
        <v>16.702095353780749</v>
      </c>
      <c r="Q2882" s="25">
        <v>5000</v>
      </c>
      <c r="R2882" s="22">
        <v>66</v>
      </c>
      <c r="S2882" s="22" t="s">
        <v>3551</v>
      </c>
      <c r="T2882" s="22">
        <f t="shared" si="243"/>
        <v>8</v>
      </c>
      <c r="U2882" s="22">
        <f t="shared" si="244"/>
        <v>2021</v>
      </c>
      <c r="V2882" s="22" t="str">
        <f t="shared" si="245"/>
        <v>METROPOLITANA</v>
      </c>
    </row>
    <row r="2883" spans="1:22" x14ac:dyDescent="0.2">
      <c r="A2883" s="23" t="s">
        <v>3545</v>
      </c>
      <c r="B2883" s="22" t="s">
        <v>33</v>
      </c>
      <c r="C2883" s="22" t="s">
        <v>1416</v>
      </c>
      <c r="D2883" s="22" t="s">
        <v>30</v>
      </c>
      <c r="E2883" s="24">
        <v>72564391</v>
      </c>
      <c r="F2883" s="22" t="s">
        <v>995</v>
      </c>
      <c r="G2883" s="25">
        <v>4710</v>
      </c>
      <c r="H2883" s="22" t="s">
        <v>32</v>
      </c>
      <c r="I2883" s="22">
        <v>0</v>
      </c>
      <c r="J2883" s="22" t="s">
        <v>995</v>
      </c>
      <c r="K2883" s="22" t="s">
        <v>23</v>
      </c>
      <c r="L2883" s="22">
        <v>1</v>
      </c>
      <c r="M2883" s="26">
        <v>55000</v>
      </c>
      <c r="N2883" s="26">
        <v>0</v>
      </c>
      <c r="O2883" s="15">
        <f t="shared" si="248"/>
        <v>55000</v>
      </c>
      <c r="P2883" s="15">
        <f t="shared" si="246"/>
        <v>11.677282377919321</v>
      </c>
      <c r="Q2883" s="25">
        <v>5000</v>
      </c>
      <c r="R2883" s="22">
        <v>94</v>
      </c>
      <c r="S2883" s="22" t="s">
        <v>3552</v>
      </c>
      <c r="T2883" s="22">
        <f t="shared" si="243"/>
        <v>8</v>
      </c>
      <c r="U2883" s="22">
        <f t="shared" si="244"/>
        <v>2021</v>
      </c>
      <c r="V2883" s="22" t="str">
        <f t="shared" si="245"/>
        <v>METROPOLITANA</v>
      </c>
    </row>
    <row r="2884" spans="1:22" x14ac:dyDescent="0.2">
      <c r="A2884" s="23" t="s">
        <v>3545</v>
      </c>
      <c r="B2884" s="22" t="s">
        <v>33</v>
      </c>
      <c r="C2884" s="22" t="s">
        <v>36</v>
      </c>
      <c r="D2884" s="22" t="s">
        <v>1869</v>
      </c>
      <c r="E2884" s="24">
        <v>125897258</v>
      </c>
      <c r="F2884" s="22" t="s">
        <v>170</v>
      </c>
      <c r="G2884" s="25">
        <v>10941.2</v>
      </c>
      <c r="H2884" s="22" t="s">
        <v>24</v>
      </c>
      <c r="I2884" s="22">
        <v>1</v>
      </c>
      <c r="J2884" s="22" t="s">
        <v>170</v>
      </c>
      <c r="K2884" s="22" t="s">
        <v>171</v>
      </c>
      <c r="L2884" s="22">
        <v>0</v>
      </c>
      <c r="M2884" s="26">
        <v>230000</v>
      </c>
      <c r="N2884" s="26">
        <v>0</v>
      </c>
      <c r="O2884" s="15">
        <f t="shared" si="248"/>
        <v>230000</v>
      </c>
      <c r="P2884" s="15">
        <f t="shared" si="246"/>
        <v>21.021460168902863</v>
      </c>
      <c r="Q2884" s="25">
        <v>25000</v>
      </c>
      <c r="R2884" s="22">
        <v>44</v>
      </c>
      <c r="S2884" s="22" t="s">
        <v>3553</v>
      </c>
      <c r="T2884" s="22">
        <f t="shared" si="243"/>
        <v>8</v>
      </c>
      <c r="U2884" s="22">
        <f t="shared" si="244"/>
        <v>2021</v>
      </c>
      <c r="V2884" s="22" t="str">
        <f t="shared" si="245"/>
        <v>REGIONES</v>
      </c>
    </row>
    <row r="2885" spans="1:22" x14ac:dyDescent="0.2">
      <c r="A2885" s="23" t="s">
        <v>3545</v>
      </c>
      <c r="B2885" s="22" t="s">
        <v>33</v>
      </c>
      <c r="C2885" s="22" t="s">
        <v>36</v>
      </c>
      <c r="D2885" s="22" t="s">
        <v>47</v>
      </c>
      <c r="E2885" s="24">
        <v>99626232</v>
      </c>
      <c r="F2885" s="22" t="s">
        <v>46</v>
      </c>
      <c r="G2885" s="25">
        <v>7839.8000000000011</v>
      </c>
      <c r="H2885" s="22" t="s">
        <v>22</v>
      </c>
      <c r="I2885" s="22">
        <v>0</v>
      </c>
      <c r="J2885" s="22" t="s">
        <v>46</v>
      </c>
      <c r="K2885" s="22" t="s">
        <v>23</v>
      </c>
      <c r="L2885" s="22">
        <v>2</v>
      </c>
      <c r="M2885" s="26">
        <v>86238</v>
      </c>
      <c r="N2885" s="26">
        <v>0</v>
      </c>
      <c r="O2885" s="15">
        <f t="shared" si="248"/>
        <v>86238</v>
      </c>
      <c r="P2885" s="15">
        <f t="shared" si="246"/>
        <v>11.000025510854867</v>
      </c>
      <c r="Q2885" s="25">
        <v>5000</v>
      </c>
      <c r="R2885" s="22">
        <v>100</v>
      </c>
      <c r="S2885" s="22" t="s">
        <v>3554</v>
      </c>
      <c r="T2885" s="22">
        <f t="shared" si="243"/>
        <v>8</v>
      </c>
      <c r="U2885" s="22">
        <f t="shared" si="244"/>
        <v>2021</v>
      </c>
      <c r="V2885" s="22" t="str">
        <f t="shared" si="245"/>
        <v>METROPOLITANA</v>
      </c>
    </row>
    <row r="2886" spans="1:22" x14ac:dyDescent="0.2">
      <c r="A2886" s="23" t="s">
        <v>3545</v>
      </c>
      <c r="B2886" s="22" t="s">
        <v>33</v>
      </c>
      <c r="C2886" s="22" t="s">
        <v>223</v>
      </c>
      <c r="D2886" s="22" t="s">
        <v>121</v>
      </c>
      <c r="E2886" s="24">
        <v>137879050</v>
      </c>
      <c r="F2886" s="22" t="s">
        <v>2639</v>
      </c>
      <c r="G2886" s="25">
        <v>19508.39999999998</v>
      </c>
      <c r="H2886" s="22" t="s">
        <v>85</v>
      </c>
      <c r="I2886" s="22">
        <v>1</v>
      </c>
      <c r="J2886" s="22" t="s">
        <v>2639</v>
      </c>
      <c r="K2886" s="22" t="s">
        <v>75</v>
      </c>
      <c r="L2886" s="22">
        <v>0</v>
      </c>
      <c r="M2886" s="26">
        <v>380000</v>
      </c>
      <c r="N2886" s="26">
        <v>0</v>
      </c>
      <c r="O2886" s="15">
        <f t="shared" si="248"/>
        <v>380000</v>
      </c>
      <c r="P2886" s="15">
        <f t="shared" si="246"/>
        <v>19.478788624387462</v>
      </c>
      <c r="Q2886" s="25">
        <v>25000</v>
      </c>
      <c r="R2886" s="22">
        <v>78</v>
      </c>
      <c r="S2886" s="22" t="s">
        <v>3555</v>
      </c>
      <c r="T2886" s="22">
        <f t="shared" si="243"/>
        <v>8</v>
      </c>
      <c r="U2886" s="22">
        <f t="shared" si="244"/>
        <v>2021</v>
      </c>
      <c r="V2886" s="22" t="str">
        <f t="shared" si="245"/>
        <v>REGIONES</v>
      </c>
    </row>
    <row r="2887" spans="1:22" x14ac:dyDescent="0.2">
      <c r="A2887" s="23" t="s">
        <v>3545</v>
      </c>
      <c r="B2887" s="22" t="s">
        <v>33</v>
      </c>
      <c r="C2887" s="22" t="s">
        <v>223</v>
      </c>
      <c r="D2887" s="22" t="s">
        <v>20</v>
      </c>
      <c r="E2887" s="24">
        <v>78907355</v>
      </c>
      <c r="F2887" s="22" t="s">
        <v>51</v>
      </c>
      <c r="G2887" s="25">
        <v>7475</v>
      </c>
      <c r="H2887" s="22" t="s">
        <v>22</v>
      </c>
      <c r="I2887" s="22">
        <v>0</v>
      </c>
      <c r="J2887" s="22" t="s">
        <v>51</v>
      </c>
      <c r="K2887" s="22" t="s">
        <v>23</v>
      </c>
      <c r="L2887" s="22">
        <v>4</v>
      </c>
      <c r="M2887" s="26">
        <v>82225</v>
      </c>
      <c r="N2887" s="26">
        <v>0</v>
      </c>
      <c r="O2887" s="15">
        <f t="shared" si="248"/>
        <v>82225</v>
      </c>
      <c r="P2887" s="15">
        <f t="shared" si="246"/>
        <v>11</v>
      </c>
      <c r="Q2887" s="25">
        <v>5000</v>
      </c>
      <c r="R2887" s="22">
        <v>100</v>
      </c>
      <c r="S2887" s="22" t="s">
        <v>3556</v>
      </c>
      <c r="T2887" s="22">
        <f t="shared" si="243"/>
        <v>8</v>
      </c>
      <c r="U2887" s="22">
        <f t="shared" si="244"/>
        <v>2021</v>
      </c>
      <c r="V2887" s="22" t="str">
        <f t="shared" si="245"/>
        <v>METROPOLITANA</v>
      </c>
    </row>
    <row r="2888" spans="1:22" x14ac:dyDescent="0.2">
      <c r="A2888" s="23" t="s">
        <v>3545</v>
      </c>
      <c r="B2888" s="22" t="s">
        <v>33</v>
      </c>
      <c r="C2888" s="22" t="s">
        <v>29</v>
      </c>
      <c r="D2888" s="22" t="s">
        <v>38</v>
      </c>
      <c r="E2888" s="24">
        <v>53173292</v>
      </c>
      <c r="F2888" s="22" t="s">
        <v>39</v>
      </c>
      <c r="G2888" s="25">
        <v>9755.1999999999971</v>
      </c>
      <c r="H2888" s="22" t="s">
        <v>43</v>
      </c>
      <c r="I2888" s="22">
        <v>0</v>
      </c>
      <c r="J2888" s="22" t="s">
        <v>39</v>
      </c>
      <c r="K2888" s="22" t="s">
        <v>23</v>
      </c>
      <c r="L2888" s="22">
        <v>1</v>
      </c>
      <c r="M2888" s="26">
        <v>107307</v>
      </c>
      <c r="N2888" s="26">
        <v>0</v>
      </c>
      <c r="O2888" s="15">
        <f t="shared" si="248"/>
        <v>107307</v>
      </c>
      <c r="P2888" s="15">
        <f t="shared" si="246"/>
        <v>10.999979498113829</v>
      </c>
      <c r="Q2888" s="25">
        <v>5000</v>
      </c>
      <c r="R2888" s="22">
        <v>100</v>
      </c>
      <c r="S2888" s="22" t="s">
        <v>3557</v>
      </c>
      <c r="T2888" s="22">
        <f t="shared" ref="T2888:T2951" si="249">MONTH(A2888)</f>
        <v>8</v>
      </c>
      <c r="U2888" s="22">
        <f t="shared" ref="U2888:U2951" si="250">YEAR(A2888)</f>
        <v>2021</v>
      </c>
      <c r="V2888" s="22" t="str">
        <f t="shared" ref="V2888:V2951" si="251">IF(K2888="METROPOLITANA DE SANTIAGO","METROPOLITANA","REGIONES")</f>
        <v>METROPOLITANA</v>
      </c>
    </row>
    <row r="2889" spans="1:22" x14ac:dyDescent="0.2">
      <c r="A2889" s="23" t="s">
        <v>3545</v>
      </c>
      <c r="B2889" s="22" t="s">
        <v>33</v>
      </c>
      <c r="C2889" s="22" t="s">
        <v>29</v>
      </c>
      <c r="D2889" s="22" t="s">
        <v>30</v>
      </c>
      <c r="E2889" s="24">
        <v>72564391</v>
      </c>
      <c r="F2889" s="22" t="s">
        <v>39</v>
      </c>
      <c r="G2889" s="25">
        <v>9755.1999999999971</v>
      </c>
      <c r="H2889" s="22" t="s">
        <v>32</v>
      </c>
      <c r="I2889" s="22">
        <v>0</v>
      </c>
      <c r="J2889" s="22" t="s">
        <v>39</v>
      </c>
      <c r="K2889" s="22" t="s">
        <v>23</v>
      </c>
      <c r="L2889" s="22">
        <v>1</v>
      </c>
      <c r="M2889" s="26">
        <v>107307</v>
      </c>
      <c r="N2889" s="26">
        <v>0</v>
      </c>
      <c r="O2889" s="15">
        <f t="shared" si="248"/>
        <v>107307</v>
      </c>
      <c r="P2889" s="15">
        <f t="shared" si="246"/>
        <v>10.999979498113829</v>
      </c>
      <c r="Q2889" s="25">
        <v>5000</v>
      </c>
      <c r="R2889" s="22">
        <v>100</v>
      </c>
      <c r="S2889" s="22" t="s">
        <v>3558</v>
      </c>
      <c r="T2889" s="22">
        <f t="shared" si="249"/>
        <v>8</v>
      </c>
      <c r="U2889" s="22">
        <f t="shared" si="250"/>
        <v>2021</v>
      </c>
      <c r="V2889" s="22" t="str">
        <f t="shared" si="251"/>
        <v>METROPOLITANA</v>
      </c>
    </row>
    <row r="2890" spans="1:22" x14ac:dyDescent="0.2">
      <c r="A2890" s="23" t="s">
        <v>3545</v>
      </c>
      <c r="B2890" s="22" t="s">
        <v>33</v>
      </c>
      <c r="C2890" s="22" t="s">
        <v>29</v>
      </c>
      <c r="D2890" s="22" t="s">
        <v>41</v>
      </c>
      <c r="E2890" s="24">
        <v>125108660</v>
      </c>
      <c r="F2890" s="22" t="s">
        <v>39</v>
      </c>
      <c r="G2890" s="25">
        <v>9755.1999999999971</v>
      </c>
      <c r="H2890" s="22" t="s">
        <v>43</v>
      </c>
      <c r="I2890" s="22">
        <v>0</v>
      </c>
      <c r="J2890" s="22" t="s">
        <v>39</v>
      </c>
      <c r="K2890" s="22" t="s">
        <v>23</v>
      </c>
      <c r="L2890" s="22">
        <v>1</v>
      </c>
      <c r="M2890" s="26">
        <v>107307</v>
      </c>
      <c r="N2890" s="26">
        <v>0</v>
      </c>
      <c r="O2890" s="15">
        <f t="shared" si="248"/>
        <v>107307</v>
      </c>
      <c r="P2890" s="15">
        <f t="shared" si="246"/>
        <v>10.999979498113829</v>
      </c>
      <c r="Q2890" s="25">
        <v>5000</v>
      </c>
      <c r="R2890" s="22">
        <v>100</v>
      </c>
      <c r="S2890" s="22" t="s">
        <v>3559</v>
      </c>
      <c r="T2890" s="22">
        <f t="shared" si="249"/>
        <v>8</v>
      </c>
      <c r="U2890" s="22">
        <f t="shared" si="250"/>
        <v>2021</v>
      </c>
      <c r="V2890" s="22" t="str">
        <f t="shared" si="251"/>
        <v>METROPOLITANA</v>
      </c>
    </row>
    <row r="2891" spans="1:22" x14ac:dyDescent="0.2">
      <c r="A2891" s="23" t="s">
        <v>3545</v>
      </c>
      <c r="B2891" s="22" t="s">
        <v>33</v>
      </c>
      <c r="C2891" s="22" t="s">
        <v>44</v>
      </c>
      <c r="D2891" s="22" t="s">
        <v>867</v>
      </c>
      <c r="E2891" s="24">
        <v>98494073</v>
      </c>
      <c r="F2891" s="22" t="s">
        <v>3438</v>
      </c>
      <c r="G2891" s="25">
        <v>14001.999999999991</v>
      </c>
      <c r="H2891" s="22" t="s">
        <v>85</v>
      </c>
      <c r="I2891" s="22">
        <v>1</v>
      </c>
      <c r="J2891" s="22" t="s">
        <v>3438</v>
      </c>
      <c r="K2891" s="22" t="s">
        <v>93</v>
      </c>
      <c r="L2891" s="22">
        <v>0</v>
      </c>
      <c r="M2891" s="26">
        <v>620000</v>
      </c>
      <c r="N2891" s="26">
        <v>0</v>
      </c>
      <c r="O2891" s="15">
        <f t="shared" si="248"/>
        <v>620000</v>
      </c>
      <c r="P2891" s="15">
        <f t="shared" si="246"/>
        <v>44.279388658763061</v>
      </c>
      <c r="Q2891" s="25">
        <v>25000</v>
      </c>
      <c r="R2891" s="22">
        <v>56</v>
      </c>
      <c r="S2891" s="22" t="s">
        <v>3560</v>
      </c>
      <c r="T2891" s="22">
        <f t="shared" si="249"/>
        <v>8</v>
      </c>
      <c r="U2891" s="22">
        <f t="shared" si="250"/>
        <v>2021</v>
      </c>
      <c r="V2891" s="22" t="str">
        <f t="shared" si="251"/>
        <v>REGIONES</v>
      </c>
    </row>
    <row r="2892" spans="1:22" x14ac:dyDescent="0.2">
      <c r="A2892" s="23" t="s">
        <v>3545</v>
      </c>
      <c r="B2892" s="22" t="s">
        <v>33</v>
      </c>
      <c r="C2892" s="22" t="s">
        <v>44</v>
      </c>
      <c r="D2892" s="22" t="s">
        <v>20</v>
      </c>
      <c r="E2892" s="24">
        <v>78907355</v>
      </c>
      <c r="F2892" s="22" t="s">
        <v>95</v>
      </c>
      <c r="G2892" s="25">
        <v>4207.4000000000005</v>
      </c>
      <c r="H2892" s="22" t="s">
        <v>22</v>
      </c>
      <c r="I2892" s="22">
        <v>0</v>
      </c>
      <c r="J2892" s="22" t="s">
        <v>95</v>
      </c>
      <c r="K2892" s="22" t="s">
        <v>23</v>
      </c>
      <c r="L2892" s="22">
        <v>4</v>
      </c>
      <c r="M2892" s="26">
        <v>55000</v>
      </c>
      <c r="N2892" s="26">
        <v>0</v>
      </c>
      <c r="O2892" s="15">
        <f t="shared" si="248"/>
        <v>55000</v>
      </c>
      <c r="P2892" s="15">
        <f t="shared" si="246"/>
        <v>13.072206113038929</v>
      </c>
      <c r="Q2892" s="25">
        <v>5000</v>
      </c>
      <c r="R2892" s="22">
        <v>84</v>
      </c>
      <c r="S2892" s="22" t="s">
        <v>3561</v>
      </c>
      <c r="T2892" s="22">
        <f t="shared" si="249"/>
        <v>8</v>
      </c>
      <c r="U2892" s="22">
        <f t="shared" si="250"/>
        <v>2021</v>
      </c>
      <c r="V2892" s="22" t="str">
        <f t="shared" si="251"/>
        <v>METROPOLITANA</v>
      </c>
    </row>
    <row r="2893" spans="1:22" x14ac:dyDescent="0.2">
      <c r="A2893" s="11" t="s">
        <v>3562</v>
      </c>
      <c r="B2893" s="12" t="s">
        <v>33</v>
      </c>
      <c r="C2893" s="12" t="s">
        <v>1416</v>
      </c>
      <c r="D2893" s="12" t="s">
        <v>63</v>
      </c>
      <c r="E2893" s="13">
        <v>138841065</v>
      </c>
      <c r="F2893" s="12" t="s">
        <v>3563</v>
      </c>
      <c r="G2893" s="14">
        <v>3293</v>
      </c>
      <c r="H2893" s="12" t="s">
        <v>65</v>
      </c>
      <c r="I2893" s="12">
        <v>0</v>
      </c>
      <c r="J2893" s="12" t="s">
        <v>3563</v>
      </c>
      <c r="K2893" s="12" t="s">
        <v>23</v>
      </c>
      <c r="L2893" s="12">
        <v>1</v>
      </c>
      <c r="M2893" s="15">
        <v>55000</v>
      </c>
      <c r="N2893" s="15">
        <v>0</v>
      </c>
      <c r="O2893" s="15">
        <f t="shared" si="248"/>
        <v>55000</v>
      </c>
      <c r="P2893" s="15">
        <f t="shared" si="246"/>
        <v>16.702095353780749</v>
      </c>
      <c r="Q2893" s="14">
        <v>5000</v>
      </c>
      <c r="R2893" s="12">
        <v>66</v>
      </c>
      <c r="S2893" s="12" t="s">
        <v>3564</v>
      </c>
      <c r="T2893" s="22">
        <f t="shared" si="249"/>
        <v>8</v>
      </c>
      <c r="U2893" s="22">
        <f t="shared" si="250"/>
        <v>2021</v>
      </c>
      <c r="V2893" s="22" t="str">
        <f t="shared" si="251"/>
        <v>METROPOLITANA</v>
      </c>
    </row>
    <row r="2894" spans="1:22" x14ac:dyDescent="0.2">
      <c r="A2894" s="11" t="s">
        <v>3562</v>
      </c>
      <c r="B2894" s="12" t="s">
        <v>33</v>
      </c>
      <c r="C2894" s="12" t="s">
        <v>540</v>
      </c>
      <c r="D2894" s="12" t="s">
        <v>38</v>
      </c>
      <c r="E2894" s="13">
        <v>125108660</v>
      </c>
      <c r="F2894" s="12" t="s">
        <v>995</v>
      </c>
      <c r="G2894" s="14">
        <v>3203.2</v>
      </c>
      <c r="H2894" s="12" t="s">
        <v>43</v>
      </c>
      <c r="I2894" s="12">
        <v>0</v>
      </c>
      <c r="J2894" s="12" t="s">
        <v>995</v>
      </c>
      <c r="K2894" s="12" t="s">
        <v>23</v>
      </c>
      <c r="L2894" s="12">
        <v>1</v>
      </c>
      <c r="M2894" s="15">
        <v>55000</v>
      </c>
      <c r="N2894" s="15">
        <v>0</v>
      </c>
      <c r="O2894" s="15">
        <f t="shared" si="248"/>
        <v>55000</v>
      </c>
      <c r="P2894" s="15">
        <f t="shared" si="246"/>
        <v>17.170329670329672</v>
      </c>
      <c r="Q2894" s="14">
        <v>5000</v>
      </c>
      <c r="R2894" s="12">
        <v>64</v>
      </c>
      <c r="S2894" s="12" t="s">
        <v>3565</v>
      </c>
      <c r="T2894" s="22">
        <f t="shared" si="249"/>
        <v>8</v>
      </c>
      <c r="U2894" s="22">
        <f t="shared" si="250"/>
        <v>2021</v>
      </c>
      <c r="V2894" s="22" t="str">
        <f t="shared" si="251"/>
        <v>METROPOLITANA</v>
      </c>
    </row>
    <row r="2895" spans="1:22" x14ac:dyDescent="0.2">
      <c r="A2895" s="11" t="s">
        <v>3562</v>
      </c>
      <c r="B2895" s="12" t="s">
        <v>33</v>
      </c>
      <c r="C2895" s="12" t="s">
        <v>3566</v>
      </c>
      <c r="D2895" s="12" t="s">
        <v>37</v>
      </c>
      <c r="E2895" s="13">
        <v>78907355</v>
      </c>
      <c r="F2895" s="12" t="s">
        <v>173</v>
      </c>
      <c r="G2895" s="14">
        <v>5288.7999999999984</v>
      </c>
      <c r="H2895" s="12" t="s">
        <v>22</v>
      </c>
      <c r="I2895" s="12">
        <v>0</v>
      </c>
      <c r="J2895" s="12" t="s">
        <v>173</v>
      </c>
      <c r="K2895" s="12" t="s">
        <v>23</v>
      </c>
      <c r="L2895" s="12">
        <v>5</v>
      </c>
      <c r="M2895" s="15">
        <v>90000</v>
      </c>
      <c r="N2895" s="15">
        <v>0</v>
      </c>
      <c r="O2895" s="15">
        <f t="shared" si="248"/>
        <v>90000</v>
      </c>
      <c r="P2895" s="15">
        <f t="shared" si="246"/>
        <v>17.017092724247473</v>
      </c>
      <c r="Q2895" s="14">
        <v>10000</v>
      </c>
      <c r="R2895" s="12">
        <v>53</v>
      </c>
      <c r="S2895" s="12" t="s">
        <v>3567</v>
      </c>
      <c r="T2895" s="22">
        <f t="shared" si="249"/>
        <v>8</v>
      </c>
      <c r="U2895" s="22">
        <f t="shared" si="250"/>
        <v>2021</v>
      </c>
      <c r="V2895" s="22" t="str">
        <f t="shared" si="251"/>
        <v>METROPOLITANA</v>
      </c>
    </row>
    <row r="2896" spans="1:22" x14ac:dyDescent="0.2">
      <c r="A2896" s="11" t="s">
        <v>3562</v>
      </c>
      <c r="B2896" s="12" t="s">
        <v>33</v>
      </c>
      <c r="C2896" s="12" t="s">
        <v>2507</v>
      </c>
      <c r="D2896" s="12" t="s">
        <v>27</v>
      </c>
      <c r="E2896" s="13">
        <v>81417709</v>
      </c>
      <c r="F2896" s="12" t="s">
        <v>2508</v>
      </c>
      <c r="G2896" s="14">
        <v>17004.000000000011</v>
      </c>
      <c r="H2896" s="12" t="s">
        <v>22</v>
      </c>
      <c r="I2896" s="12">
        <v>1</v>
      </c>
      <c r="J2896" s="12" t="s">
        <v>2508</v>
      </c>
      <c r="K2896" s="12" t="s">
        <v>171</v>
      </c>
      <c r="L2896" s="12">
        <v>0</v>
      </c>
      <c r="M2896" s="15">
        <v>230000</v>
      </c>
      <c r="N2896" s="15">
        <v>0</v>
      </c>
      <c r="O2896" s="15">
        <f t="shared" si="248"/>
        <v>230000</v>
      </c>
      <c r="P2896" s="15">
        <f t="shared" si="246"/>
        <v>13.526229122559389</v>
      </c>
      <c r="Q2896" s="14">
        <v>25000</v>
      </c>
      <c r="R2896" s="12">
        <v>68</v>
      </c>
      <c r="S2896" s="12" t="s">
        <v>3568</v>
      </c>
      <c r="T2896" s="22">
        <f t="shared" si="249"/>
        <v>8</v>
      </c>
      <c r="U2896" s="22">
        <f t="shared" si="250"/>
        <v>2021</v>
      </c>
      <c r="V2896" s="22" t="str">
        <f t="shared" si="251"/>
        <v>REGIONES</v>
      </c>
    </row>
    <row r="2897" spans="1:22" x14ac:dyDescent="0.2">
      <c r="A2897" s="11" t="s">
        <v>3562</v>
      </c>
      <c r="B2897" s="12" t="s">
        <v>33</v>
      </c>
      <c r="C2897" s="12" t="s">
        <v>128</v>
      </c>
      <c r="D2897" s="12" t="s">
        <v>38</v>
      </c>
      <c r="E2897" s="13">
        <v>53173292</v>
      </c>
      <c r="F2897" s="12" t="s">
        <v>34</v>
      </c>
      <c r="G2897" s="14">
        <v>9755.1999999999971</v>
      </c>
      <c r="H2897" s="12" t="s">
        <v>43</v>
      </c>
      <c r="I2897" s="12">
        <v>0</v>
      </c>
      <c r="J2897" s="12" t="s">
        <v>34</v>
      </c>
      <c r="K2897" s="12" t="s">
        <v>23</v>
      </c>
      <c r="L2897" s="12">
        <v>1</v>
      </c>
      <c r="M2897" s="15">
        <v>107307</v>
      </c>
      <c r="N2897" s="15">
        <v>0</v>
      </c>
      <c r="O2897" s="15">
        <f t="shared" ref="O2897:O2928" si="252">SUM(M2897:N2897)</f>
        <v>107307</v>
      </c>
      <c r="P2897" s="15">
        <f t="shared" si="246"/>
        <v>10.999979498113829</v>
      </c>
      <c r="Q2897" s="14">
        <v>5000</v>
      </c>
      <c r="R2897" s="12">
        <v>100</v>
      </c>
      <c r="S2897" s="12" t="s">
        <v>3569</v>
      </c>
      <c r="T2897" s="22">
        <f t="shared" si="249"/>
        <v>8</v>
      </c>
      <c r="U2897" s="22">
        <f t="shared" si="250"/>
        <v>2021</v>
      </c>
      <c r="V2897" s="22" t="str">
        <f t="shared" si="251"/>
        <v>METROPOLITANA</v>
      </c>
    </row>
    <row r="2898" spans="1:22" x14ac:dyDescent="0.2">
      <c r="A2898" s="11" t="s">
        <v>3562</v>
      </c>
      <c r="B2898" s="12" t="s">
        <v>33</v>
      </c>
      <c r="C2898" s="12" t="s">
        <v>128</v>
      </c>
      <c r="D2898" s="12" t="s">
        <v>63</v>
      </c>
      <c r="E2898" s="13">
        <v>138841065</v>
      </c>
      <c r="F2898" s="12" t="s">
        <v>34</v>
      </c>
      <c r="G2898" s="14">
        <v>9755.1999999999971</v>
      </c>
      <c r="H2898" s="12" t="s">
        <v>65</v>
      </c>
      <c r="I2898" s="12">
        <v>0</v>
      </c>
      <c r="J2898" s="12" t="s">
        <v>34</v>
      </c>
      <c r="K2898" s="12" t="s">
        <v>23</v>
      </c>
      <c r="L2898" s="12">
        <v>1</v>
      </c>
      <c r="M2898" s="15">
        <v>107307</v>
      </c>
      <c r="N2898" s="15">
        <v>0</v>
      </c>
      <c r="O2898" s="15">
        <f t="shared" si="252"/>
        <v>107307</v>
      </c>
      <c r="P2898" s="15">
        <f t="shared" si="246"/>
        <v>10.999979498113829</v>
      </c>
      <c r="Q2898" s="14">
        <v>5000</v>
      </c>
      <c r="R2898" s="12">
        <v>100</v>
      </c>
      <c r="S2898" s="12" t="s">
        <v>3570</v>
      </c>
      <c r="T2898" s="22">
        <f t="shared" si="249"/>
        <v>8</v>
      </c>
      <c r="U2898" s="22">
        <f t="shared" si="250"/>
        <v>2021</v>
      </c>
      <c r="V2898" s="22" t="str">
        <f t="shared" si="251"/>
        <v>METROPOLITANA</v>
      </c>
    </row>
    <row r="2899" spans="1:22" x14ac:dyDescent="0.2">
      <c r="A2899" s="11" t="s">
        <v>3562</v>
      </c>
      <c r="B2899" s="12" t="s">
        <v>33</v>
      </c>
      <c r="C2899" s="12" t="s">
        <v>128</v>
      </c>
      <c r="D2899" s="12" t="s">
        <v>20</v>
      </c>
      <c r="E2899" s="13">
        <v>78907355</v>
      </c>
      <c r="F2899" s="12" t="s">
        <v>34</v>
      </c>
      <c r="G2899" s="14">
        <v>9755.1999999999971</v>
      </c>
      <c r="H2899" s="12" t="s">
        <v>22</v>
      </c>
      <c r="I2899" s="12">
        <v>0</v>
      </c>
      <c r="J2899" s="12" t="s">
        <v>34</v>
      </c>
      <c r="K2899" s="12" t="s">
        <v>23</v>
      </c>
      <c r="L2899" s="12">
        <v>1</v>
      </c>
      <c r="M2899" s="15">
        <v>107307</v>
      </c>
      <c r="N2899" s="15">
        <v>0</v>
      </c>
      <c r="O2899" s="15">
        <f t="shared" si="252"/>
        <v>107307</v>
      </c>
      <c r="P2899" s="15">
        <f t="shared" si="246"/>
        <v>10.999979498113829</v>
      </c>
      <c r="Q2899" s="14">
        <v>5000</v>
      </c>
      <c r="R2899" s="12">
        <v>100</v>
      </c>
      <c r="S2899" s="12" t="s">
        <v>3571</v>
      </c>
      <c r="T2899" s="22">
        <f t="shared" si="249"/>
        <v>8</v>
      </c>
      <c r="U2899" s="22">
        <f t="shared" si="250"/>
        <v>2021</v>
      </c>
      <c r="V2899" s="22" t="str">
        <f t="shared" si="251"/>
        <v>METROPOLITANA</v>
      </c>
    </row>
    <row r="2900" spans="1:22" x14ac:dyDescent="0.2">
      <c r="A2900" s="11" t="s">
        <v>3562</v>
      </c>
      <c r="B2900" s="12" t="s">
        <v>33</v>
      </c>
      <c r="C2900" s="12" t="s">
        <v>36</v>
      </c>
      <c r="D2900" s="12" t="s">
        <v>2262</v>
      </c>
      <c r="E2900" s="13">
        <v>122975819</v>
      </c>
      <c r="F2900" s="12" t="s">
        <v>84</v>
      </c>
      <c r="G2900" s="14">
        <f>7189.2+6577</f>
        <v>13766.2</v>
      </c>
      <c r="H2900" s="12" t="s">
        <v>24</v>
      </c>
      <c r="I2900" s="12">
        <v>1</v>
      </c>
      <c r="J2900" s="12" t="s">
        <v>84</v>
      </c>
      <c r="K2900" s="12" t="s">
        <v>86</v>
      </c>
      <c r="L2900" s="12">
        <v>0</v>
      </c>
      <c r="M2900" s="15">
        <v>320000</v>
      </c>
      <c r="N2900" s="15">
        <v>0</v>
      </c>
      <c r="O2900" s="15">
        <f t="shared" si="252"/>
        <v>320000</v>
      </c>
      <c r="P2900" s="15">
        <f t="shared" si="246"/>
        <v>23.245340035739709</v>
      </c>
      <c r="Q2900" s="14">
        <v>25000</v>
      </c>
      <c r="R2900" s="12">
        <v>85</v>
      </c>
      <c r="S2900" s="12" t="s">
        <v>3577</v>
      </c>
      <c r="T2900" s="22">
        <f t="shared" si="249"/>
        <v>8</v>
      </c>
      <c r="U2900" s="22">
        <f t="shared" si="250"/>
        <v>2021</v>
      </c>
      <c r="V2900" s="22" t="str">
        <f t="shared" si="251"/>
        <v>REGIONES</v>
      </c>
    </row>
    <row r="2901" spans="1:22" x14ac:dyDescent="0.2">
      <c r="A2901" s="11" t="s">
        <v>3562</v>
      </c>
      <c r="B2901" s="12" t="s">
        <v>33</v>
      </c>
      <c r="C2901" s="12" t="s">
        <v>2862</v>
      </c>
      <c r="D2901" s="12" t="s">
        <v>164</v>
      </c>
      <c r="E2901" s="13">
        <v>141057073</v>
      </c>
      <c r="F2901" s="12" t="s">
        <v>129</v>
      </c>
      <c r="G2901" s="14">
        <v>19510.400000000001</v>
      </c>
      <c r="H2901" s="12" t="s">
        <v>22</v>
      </c>
      <c r="I2901" s="12">
        <v>1</v>
      </c>
      <c r="J2901" s="12" t="s">
        <v>129</v>
      </c>
      <c r="K2901" s="12" t="s">
        <v>23</v>
      </c>
      <c r="L2901" s="12">
        <v>1</v>
      </c>
      <c r="M2901" s="15">
        <v>214614</v>
      </c>
      <c r="N2901" s="15">
        <v>0</v>
      </c>
      <c r="O2901" s="15">
        <f t="shared" si="252"/>
        <v>214614</v>
      </c>
      <c r="P2901" s="15">
        <f t="shared" si="246"/>
        <v>10.999979498113825</v>
      </c>
      <c r="Q2901" s="14">
        <v>5000</v>
      </c>
      <c r="R2901" s="12">
        <v>100</v>
      </c>
      <c r="S2901" s="12" t="s">
        <v>3572</v>
      </c>
      <c r="T2901" s="22">
        <f t="shared" si="249"/>
        <v>8</v>
      </c>
      <c r="U2901" s="22">
        <f t="shared" si="250"/>
        <v>2021</v>
      </c>
      <c r="V2901" s="22" t="str">
        <f t="shared" si="251"/>
        <v>METROPOLITANA</v>
      </c>
    </row>
    <row r="2902" spans="1:22" x14ac:dyDescent="0.2">
      <c r="A2902" s="11" t="s">
        <v>3562</v>
      </c>
      <c r="B2902" s="12" t="s">
        <v>33</v>
      </c>
      <c r="C2902" s="12" t="s">
        <v>29</v>
      </c>
      <c r="D2902" s="12" t="s">
        <v>1869</v>
      </c>
      <c r="E2902" s="13">
        <v>125897258</v>
      </c>
      <c r="F2902" s="12" t="s">
        <v>132</v>
      </c>
      <c r="G2902" s="14">
        <v>11747.999999999991</v>
      </c>
      <c r="H2902" s="12" t="s">
        <v>24</v>
      </c>
      <c r="I2902" s="12">
        <v>1</v>
      </c>
      <c r="J2902" s="12" t="s">
        <v>132</v>
      </c>
      <c r="K2902" s="12" t="s">
        <v>124</v>
      </c>
      <c r="L2902" s="12">
        <v>0</v>
      </c>
      <c r="M2902" s="15">
        <v>350000</v>
      </c>
      <c r="N2902" s="15">
        <v>0</v>
      </c>
      <c r="O2902" s="15">
        <f t="shared" si="252"/>
        <v>350000</v>
      </c>
      <c r="P2902" s="15">
        <f t="shared" si="246"/>
        <v>29.792305073203973</v>
      </c>
      <c r="Q2902" s="14">
        <v>25000</v>
      </c>
      <c r="R2902" s="12">
        <v>65</v>
      </c>
      <c r="S2902" s="12" t="s">
        <v>3573</v>
      </c>
      <c r="T2902" s="22">
        <f t="shared" si="249"/>
        <v>8</v>
      </c>
      <c r="U2902" s="22">
        <f t="shared" si="250"/>
        <v>2021</v>
      </c>
      <c r="V2902" s="22" t="str">
        <f t="shared" si="251"/>
        <v>REGIONES</v>
      </c>
    </row>
    <row r="2903" spans="1:22" x14ac:dyDescent="0.2">
      <c r="A2903" s="11" t="s">
        <v>3562</v>
      </c>
      <c r="B2903" s="12" t="s">
        <v>33</v>
      </c>
      <c r="C2903" s="12" t="s">
        <v>29</v>
      </c>
      <c r="D2903" s="12" t="s">
        <v>30</v>
      </c>
      <c r="E2903" s="13">
        <v>72564391</v>
      </c>
      <c r="F2903" s="12" t="s">
        <v>39</v>
      </c>
      <c r="G2903" s="14">
        <v>9755.1999999999971</v>
      </c>
      <c r="H2903" s="12" t="s">
        <v>32</v>
      </c>
      <c r="I2903" s="12">
        <v>0</v>
      </c>
      <c r="J2903" s="12" t="s">
        <v>39</v>
      </c>
      <c r="K2903" s="12" t="s">
        <v>23</v>
      </c>
      <c r="L2903" s="12">
        <v>1</v>
      </c>
      <c r="M2903" s="15">
        <v>107307</v>
      </c>
      <c r="N2903" s="15">
        <v>0</v>
      </c>
      <c r="O2903" s="15">
        <f t="shared" si="252"/>
        <v>107307</v>
      </c>
      <c r="P2903" s="15">
        <f t="shared" si="246"/>
        <v>10.999979498113829</v>
      </c>
      <c r="Q2903" s="14">
        <v>5000</v>
      </c>
      <c r="R2903" s="12">
        <v>100</v>
      </c>
      <c r="S2903" s="12" t="s">
        <v>3574</v>
      </c>
      <c r="T2903" s="22">
        <f t="shared" si="249"/>
        <v>8</v>
      </c>
      <c r="U2903" s="22">
        <f t="shared" si="250"/>
        <v>2021</v>
      </c>
      <c r="V2903" s="22" t="str">
        <f t="shared" si="251"/>
        <v>METROPOLITANA</v>
      </c>
    </row>
    <row r="2904" spans="1:22" x14ac:dyDescent="0.2">
      <c r="A2904" s="11" t="s">
        <v>3562</v>
      </c>
      <c r="B2904" s="12" t="s">
        <v>33</v>
      </c>
      <c r="C2904" s="12" t="s">
        <v>29</v>
      </c>
      <c r="D2904" s="12" t="s">
        <v>41</v>
      </c>
      <c r="E2904" s="13">
        <v>125108660</v>
      </c>
      <c r="F2904" s="12" t="s">
        <v>39</v>
      </c>
      <c r="G2904" s="14">
        <v>9755.1999999999971</v>
      </c>
      <c r="H2904" s="12" t="s">
        <v>43</v>
      </c>
      <c r="I2904" s="12">
        <v>0</v>
      </c>
      <c r="J2904" s="12" t="s">
        <v>39</v>
      </c>
      <c r="K2904" s="12" t="s">
        <v>23</v>
      </c>
      <c r="L2904" s="12">
        <v>1</v>
      </c>
      <c r="M2904" s="15">
        <v>107307</v>
      </c>
      <c r="N2904" s="15">
        <v>0</v>
      </c>
      <c r="O2904" s="15">
        <f t="shared" si="252"/>
        <v>107307</v>
      </c>
      <c r="P2904" s="15">
        <f t="shared" si="246"/>
        <v>10.999979498113829</v>
      </c>
      <c r="Q2904" s="14">
        <v>5000</v>
      </c>
      <c r="R2904" s="12">
        <v>100</v>
      </c>
      <c r="S2904" s="12" t="s">
        <v>3575</v>
      </c>
      <c r="T2904" s="22">
        <f t="shared" si="249"/>
        <v>8</v>
      </c>
      <c r="U2904" s="22">
        <f t="shared" si="250"/>
        <v>2021</v>
      </c>
      <c r="V2904" s="22" t="str">
        <f t="shared" si="251"/>
        <v>METROPOLITANA</v>
      </c>
    </row>
    <row r="2905" spans="1:22" x14ac:dyDescent="0.2">
      <c r="A2905" s="11" t="s">
        <v>3562</v>
      </c>
      <c r="B2905" s="12" t="s">
        <v>33</v>
      </c>
      <c r="C2905" s="12" t="s">
        <v>44</v>
      </c>
      <c r="D2905" s="12" t="s">
        <v>47</v>
      </c>
      <c r="E2905" s="13">
        <v>154837728</v>
      </c>
      <c r="F2905" s="12" t="s">
        <v>48</v>
      </c>
      <c r="G2905" s="14">
        <v>7777.5999999999976</v>
      </c>
      <c r="H2905" s="12" t="s">
        <v>22</v>
      </c>
      <c r="I2905" s="12">
        <v>0</v>
      </c>
      <c r="J2905" s="12" t="s">
        <v>48</v>
      </c>
      <c r="K2905" s="12" t="s">
        <v>23</v>
      </c>
      <c r="L2905" s="12">
        <v>1</v>
      </c>
      <c r="M2905" s="15">
        <v>85554</v>
      </c>
      <c r="N2905" s="15">
        <v>0</v>
      </c>
      <c r="O2905" s="15">
        <f t="shared" si="252"/>
        <v>85554</v>
      </c>
      <c r="P2905" s="15">
        <f t="shared" si="246"/>
        <v>11.00005142974697</v>
      </c>
      <c r="Q2905" s="14">
        <v>5000</v>
      </c>
      <c r="R2905" s="12">
        <v>100</v>
      </c>
      <c r="S2905" s="12" t="s">
        <v>3576</v>
      </c>
      <c r="T2905" s="22">
        <f t="shared" si="249"/>
        <v>8</v>
      </c>
      <c r="U2905" s="22">
        <f t="shared" si="250"/>
        <v>2021</v>
      </c>
      <c r="V2905" s="22" t="str">
        <f t="shared" si="251"/>
        <v>METROPOLITANA</v>
      </c>
    </row>
    <row r="2906" spans="1:22" x14ac:dyDescent="0.2">
      <c r="A2906" s="23" t="s">
        <v>3578</v>
      </c>
      <c r="B2906" s="22" t="s">
        <v>18</v>
      </c>
      <c r="C2906" s="22" t="s">
        <v>457</v>
      </c>
      <c r="D2906" s="22" t="s">
        <v>636</v>
      </c>
      <c r="E2906" s="24">
        <v>113693568</v>
      </c>
      <c r="F2906" s="22" t="s">
        <v>815</v>
      </c>
      <c r="G2906" s="25">
        <f>7992.66+5000</f>
        <v>12992.66</v>
      </c>
      <c r="H2906" s="22" t="s">
        <v>85</v>
      </c>
      <c r="I2906" s="22">
        <v>1</v>
      </c>
      <c r="J2906" s="22" t="s">
        <v>815</v>
      </c>
      <c r="K2906" s="22" t="s">
        <v>75</v>
      </c>
      <c r="L2906" s="22">
        <v>0</v>
      </c>
      <c r="M2906" s="26">
        <v>420000</v>
      </c>
      <c r="N2906" s="26">
        <v>0</v>
      </c>
      <c r="O2906" s="15">
        <f t="shared" si="252"/>
        <v>420000</v>
      </c>
      <c r="P2906" s="15">
        <f t="shared" si="246"/>
        <v>32.325944033015567</v>
      </c>
      <c r="Q2906" s="25">
        <v>25000</v>
      </c>
      <c r="R2906" s="22">
        <v>85</v>
      </c>
      <c r="S2906" s="22" t="s">
        <v>3579</v>
      </c>
      <c r="T2906" s="22">
        <f t="shared" si="249"/>
        <v>8</v>
      </c>
      <c r="U2906" s="22">
        <f t="shared" si="250"/>
        <v>2021</v>
      </c>
      <c r="V2906" s="22" t="str">
        <f t="shared" si="251"/>
        <v>REGIONES</v>
      </c>
    </row>
    <row r="2907" spans="1:22" x14ac:dyDescent="0.2">
      <c r="A2907" s="23" t="s">
        <v>3578</v>
      </c>
      <c r="B2907" s="22" t="s">
        <v>33</v>
      </c>
      <c r="C2907" s="22" t="s">
        <v>270</v>
      </c>
      <c r="D2907" s="22" t="s">
        <v>37</v>
      </c>
      <c r="E2907" s="24">
        <v>154837728</v>
      </c>
      <c r="F2907" s="22" t="s">
        <v>120</v>
      </c>
      <c r="G2907" s="25">
        <v>6573.9999999999991</v>
      </c>
      <c r="H2907" s="22" t="s">
        <v>22</v>
      </c>
      <c r="I2907" s="22">
        <v>0</v>
      </c>
      <c r="J2907" s="22" t="s">
        <v>120</v>
      </c>
      <c r="K2907" s="22" t="s">
        <v>23</v>
      </c>
      <c r="L2907" s="22">
        <v>5</v>
      </c>
      <c r="M2907" s="26">
        <v>70000</v>
      </c>
      <c r="N2907" s="26">
        <v>0</v>
      </c>
      <c r="O2907" s="15">
        <f t="shared" si="252"/>
        <v>70000</v>
      </c>
      <c r="P2907" s="15">
        <f t="shared" si="246"/>
        <v>10.648007301490722</v>
      </c>
      <c r="Q2907" s="25">
        <v>10000</v>
      </c>
      <c r="R2907" s="22">
        <v>66</v>
      </c>
      <c r="S2907" s="22" t="s">
        <v>3580</v>
      </c>
      <c r="T2907" s="22">
        <f t="shared" si="249"/>
        <v>8</v>
      </c>
      <c r="U2907" s="22">
        <f t="shared" si="250"/>
        <v>2021</v>
      </c>
      <c r="V2907" s="22" t="str">
        <f t="shared" si="251"/>
        <v>METROPOLITANA</v>
      </c>
    </row>
    <row r="2908" spans="1:22" x14ac:dyDescent="0.2">
      <c r="A2908" s="23" t="s">
        <v>3578</v>
      </c>
      <c r="B2908" s="22" t="s">
        <v>33</v>
      </c>
      <c r="C2908" s="22" t="s">
        <v>3460</v>
      </c>
      <c r="D2908" s="22" t="s">
        <v>37</v>
      </c>
      <c r="E2908" s="24">
        <v>154837728</v>
      </c>
      <c r="F2908" s="22" t="s">
        <v>170</v>
      </c>
      <c r="G2908" s="25">
        <v>8502</v>
      </c>
      <c r="H2908" s="22" t="s">
        <v>22</v>
      </c>
      <c r="I2908" s="22">
        <v>0</v>
      </c>
      <c r="J2908" s="22" t="s">
        <v>170</v>
      </c>
      <c r="K2908" s="22" t="s">
        <v>171</v>
      </c>
      <c r="L2908" s="22">
        <v>0</v>
      </c>
      <c r="M2908" s="26">
        <v>180000</v>
      </c>
      <c r="N2908" s="26">
        <v>0</v>
      </c>
      <c r="O2908" s="15">
        <f t="shared" si="252"/>
        <v>180000</v>
      </c>
      <c r="P2908" s="15">
        <f t="shared" si="246"/>
        <v>21.171489061397317</v>
      </c>
      <c r="Q2908" s="25">
        <v>25000</v>
      </c>
      <c r="R2908" s="22">
        <v>65</v>
      </c>
      <c r="S2908" s="22" t="s">
        <v>3581</v>
      </c>
      <c r="T2908" s="22">
        <f t="shared" si="249"/>
        <v>8</v>
      </c>
      <c r="U2908" s="22">
        <f t="shared" si="250"/>
        <v>2021</v>
      </c>
      <c r="V2908" s="22" t="str">
        <f t="shared" si="251"/>
        <v>REGIONES</v>
      </c>
    </row>
    <row r="2909" spans="1:22" x14ac:dyDescent="0.2">
      <c r="A2909" s="23" t="s">
        <v>3578</v>
      </c>
      <c r="B2909" s="22" t="s">
        <v>33</v>
      </c>
      <c r="C2909" s="22" t="s">
        <v>128</v>
      </c>
      <c r="D2909" s="22" t="s">
        <v>30</v>
      </c>
      <c r="E2909" s="24">
        <v>72564391</v>
      </c>
      <c r="F2909" s="22" t="s">
        <v>34</v>
      </c>
      <c r="G2909" s="25">
        <v>6174.6000000000013</v>
      </c>
      <c r="H2909" s="22" t="s">
        <v>32</v>
      </c>
      <c r="I2909" s="22">
        <v>0</v>
      </c>
      <c r="J2909" s="22" t="s">
        <v>34</v>
      </c>
      <c r="K2909" s="22" t="s">
        <v>23</v>
      </c>
      <c r="L2909" s="22">
        <v>1</v>
      </c>
      <c r="M2909" s="26">
        <v>67921</v>
      </c>
      <c r="N2909" s="26">
        <v>0</v>
      </c>
      <c r="O2909" s="15">
        <f t="shared" si="252"/>
        <v>67921</v>
      </c>
      <c r="P2909" s="15">
        <f t="shared" si="246"/>
        <v>11.000064781524307</v>
      </c>
      <c r="Q2909" s="25">
        <v>5000</v>
      </c>
      <c r="R2909" s="22">
        <v>100</v>
      </c>
      <c r="S2909" s="22" t="s">
        <v>3582</v>
      </c>
      <c r="T2909" s="22">
        <f t="shared" si="249"/>
        <v>8</v>
      </c>
      <c r="U2909" s="22">
        <f t="shared" si="250"/>
        <v>2021</v>
      </c>
      <c r="V2909" s="22" t="str">
        <f t="shared" si="251"/>
        <v>METROPOLITANA</v>
      </c>
    </row>
    <row r="2910" spans="1:22" x14ac:dyDescent="0.2">
      <c r="A2910" s="23" t="s">
        <v>3578</v>
      </c>
      <c r="B2910" s="22" t="s">
        <v>33</v>
      </c>
      <c r="C2910" s="22" t="s">
        <v>128</v>
      </c>
      <c r="D2910" s="22" t="s">
        <v>41</v>
      </c>
      <c r="E2910" s="24">
        <v>125108660</v>
      </c>
      <c r="F2910" s="22" t="s">
        <v>34</v>
      </c>
      <c r="G2910" s="25">
        <v>6174.6000000000013</v>
      </c>
      <c r="H2910" s="22" t="s">
        <v>43</v>
      </c>
      <c r="I2910" s="22">
        <v>0</v>
      </c>
      <c r="J2910" s="22" t="s">
        <v>34</v>
      </c>
      <c r="K2910" s="22" t="s">
        <v>23</v>
      </c>
      <c r="L2910" s="22">
        <v>1</v>
      </c>
      <c r="M2910" s="26">
        <v>67921</v>
      </c>
      <c r="N2910" s="26">
        <v>0</v>
      </c>
      <c r="O2910" s="15">
        <f t="shared" si="252"/>
        <v>67921</v>
      </c>
      <c r="P2910" s="15">
        <f t="shared" si="246"/>
        <v>11.000064781524307</v>
      </c>
      <c r="Q2910" s="25">
        <v>5000</v>
      </c>
      <c r="R2910" s="22">
        <v>100</v>
      </c>
      <c r="S2910" s="22" t="s">
        <v>3583</v>
      </c>
      <c r="T2910" s="22">
        <f t="shared" si="249"/>
        <v>8</v>
      </c>
      <c r="U2910" s="22">
        <f t="shared" si="250"/>
        <v>2021</v>
      </c>
      <c r="V2910" s="22" t="str">
        <f t="shared" si="251"/>
        <v>METROPOLITANA</v>
      </c>
    </row>
    <row r="2911" spans="1:22" x14ac:dyDescent="0.2">
      <c r="A2911" s="23" t="s">
        <v>3578</v>
      </c>
      <c r="B2911" s="22" t="s">
        <v>33</v>
      </c>
      <c r="C2911" s="22" t="s">
        <v>36</v>
      </c>
      <c r="D2911" s="22" t="s">
        <v>45</v>
      </c>
      <c r="E2911" s="24">
        <v>99626232</v>
      </c>
      <c r="F2911" s="22" t="s">
        <v>225</v>
      </c>
      <c r="G2911" s="25">
        <f>6265+550</f>
        <v>6815</v>
      </c>
      <c r="H2911" s="22" t="s">
        <v>22</v>
      </c>
      <c r="I2911" s="22">
        <v>0</v>
      </c>
      <c r="J2911" s="22" t="s">
        <v>225</v>
      </c>
      <c r="K2911" s="22" t="s">
        <v>23</v>
      </c>
      <c r="L2911" s="22">
        <v>3</v>
      </c>
      <c r="M2911" s="26">
        <v>68915</v>
      </c>
      <c r="N2911" s="26">
        <v>0</v>
      </c>
      <c r="O2911" s="15">
        <f t="shared" si="252"/>
        <v>68915</v>
      </c>
      <c r="P2911" s="15">
        <f t="shared" si="246"/>
        <v>10.112252384446075</v>
      </c>
      <c r="Q2911" s="25">
        <v>5000</v>
      </c>
      <c r="R2911" s="22">
        <v>100</v>
      </c>
      <c r="S2911" s="22" t="s">
        <v>3590</v>
      </c>
      <c r="T2911" s="22">
        <f t="shared" si="249"/>
        <v>8</v>
      </c>
      <c r="U2911" s="22">
        <f t="shared" si="250"/>
        <v>2021</v>
      </c>
      <c r="V2911" s="22" t="str">
        <f t="shared" si="251"/>
        <v>METROPOLITANA</v>
      </c>
    </row>
    <row r="2912" spans="1:22" x14ac:dyDescent="0.2">
      <c r="A2912" s="23" t="s">
        <v>3578</v>
      </c>
      <c r="B2912" s="22" t="s">
        <v>33</v>
      </c>
      <c r="C2912" s="22" t="s">
        <v>29</v>
      </c>
      <c r="D2912" s="22" t="s">
        <v>37</v>
      </c>
      <c r="E2912" s="24">
        <v>154837728</v>
      </c>
      <c r="F2912" s="22" t="s">
        <v>39</v>
      </c>
      <c r="G2912" s="25">
        <v>9755.1999999999971</v>
      </c>
      <c r="H2912" s="22" t="s">
        <v>22</v>
      </c>
      <c r="I2912" s="22">
        <v>0</v>
      </c>
      <c r="J2912" s="22" t="s">
        <v>39</v>
      </c>
      <c r="K2912" s="22" t="s">
        <v>23</v>
      </c>
      <c r="L2912" s="22">
        <v>1</v>
      </c>
      <c r="M2912" s="26">
        <v>107307</v>
      </c>
      <c r="N2912" s="26">
        <v>0</v>
      </c>
      <c r="O2912" s="15">
        <f t="shared" si="252"/>
        <v>107307</v>
      </c>
      <c r="P2912" s="15">
        <f t="shared" si="246"/>
        <v>10.999979498113829</v>
      </c>
      <c r="Q2912" s="25">
        <v>5000</v>
      </c>
      <c r="R2912" s="22">
        <v>100</v>
      </c>
      <c r="S2912" s="22" t="s">
        <v>3584</v>
      </c>
      <c r="T2912" s="22">
        <f t="shared" si="249"/>
        <v>8</v>
      </c>
      <c r="U2912" s="22">
        <f t="shared" si="250"/>
        <v>2021</v>
      </c>
      <c r="V2912" s="22" t="str">
        <f t="shared" si="251"/>
        <v>METROPOLITANA</v>
      </c>
    </row>
    <row r="2913" spans="1:22" x14ac:dyDescent="0.2">
      <c r="A2913" s="23" t="s">
        <v>3578</v>
      </c>
      <c r="B2913" s="22" t="s">
        <v>33</v>
      </c>
      <c r="C2913" s="22" t="s">
        <v>29</v>
      </c>
      <c r="D2913" s="22" t="s">
        <v>63</v>
      </c>
      <c r="E2913" s="24">
        <v>138841065</v>
      </c>
      <c r="F2913" s="22" t="s">
        <v>39</v>
      </c>
      <c r="G2913" s="25">
        <v>4959.2000000000016</v>
      </c>
      <c r="H2913" s="22" t="s">
        <v>65</v>
      </c>
      <c r="I2913" s="22">
        <v>0</v>
      </c>
      <c r="J2913" s="22" t="s">
        <v>39</v>
      </c>
      <c r="K2913" s="22" t="s">
        <v>23</v>
      </c>
      <c r="L2913" s="22">
        <v>1</v>
      </c>
      <c r="M2913" s="26">
        <v>55000</v>
      </c>
      <c r="N2913" s="26">
        <v>0</v>
      </c>
      <c r="O2913" s="15">
        <f t="shared" si="252"/>
        <v>55000</v>
      </c>
      <c r="P2913" s="15">
        <f t="shared" ref="P2913:P2976" si="253">O2913/G2913</f>
        <v>11.090498467494754</v>
      </c>
      <c r="Q2913" s="25">
        <v>5000</v>
      </c>
      <c r="R2913" s="22">
        <v>99</v>
      </c>
      <c r="S2913" s="22" t="s">
        <v>3585</v>
      </c>
      <c r="T2913" s="22">
        <f t="shared" si="249"/>
        <v>8</v>
      </c>
      <c r="U2913" s="22">
        <f t="shared" si="250"/>
        <v>2021</v>
      </c>
      <c r="V2913" s="22" t="str">
        <f t="shared" si="251"/>
        <v>METROPOLITANA</v>
      </c>
    </row>
    <row r="2914" spans="1:22" x14ac:dyDescent="0.2">
      <c r="A2914" s="23" t="s">
        <v>3578</v>
      </c>
      <c r="B2914" s="22" t="s">
        <v>33</v>
      </c>
      <c r="C2914" s="22" t="s">
        <v>29</v>
      </c>
      <c r="D2914" s="22" t="s">
        <v>20</v>
      </c>
      <c r="E2914" s="24">
        <v>78907355</v>
      </c>
      <c r="F2914" s="22" t="s">
        <v>39</v>
      </c>
      <c r="G2914" s="25">
        <v>9012.7000000000007</v>
      </c>
      <c r="H2914" s="22" t="s">
        <v>22</v>
      </c>
      <c r="I2914" s="22">
        <v>0</v>
      </c>
      <c r="J2914" s="22" t="s">
        <v>39</v>
      </c>
      <c r="K2914" s="22" t="s">
        <v>23</v>
      </c>
      <c r="L2914" s="22">
        <v>1</v>
      </c>
      <c r="M2914" s="26">
        <v>99140</v>
      </c>
      <c r="N2914" s="26">
        <v>0</v>
      </c>
      <c r="O2914" s="15">
        <f t="shared" si="252"/>
        <v>99140</v>
      </c>
      <c r="P2914" s="15">
        <f t="shared" si="253"/>
        <v>11.000033286362576</v>
      </c>
      <c r="Q2914" s="25">
        <v>5000</v>
      </c>
      <c r="R2914" s="22">
        <v>100</v>
      </c>
      <c r="S2914" s="22" t="s">
        <v>3586</v>
      </c>
      <c r="T2914" s="22">
        <f t="shared" si="249"/>
        <v>8</v>
      </c>
      <c r="U2914" s="22">
        <f t="shared" si="250"/>
        <v>2021</v>
      </c>
      <c r="V2914" s="22" t="str">
        <f t="shared" si="251"/>
        <v>METROPOLITANA</v>
      </c>
    </row>
    <row r="2915" spans="1:22" x14ac:dyDescent="0.2">
      <c r="A2915" s="23" t="s">
        <v>3578</v>
      </c>
      <c r="B2915" s="22" t="s">
        <v>33</v>
      </c>
      <c r="C2915" s="22" t="s">
        <v>44</v>
      </c>
      <c r="D2915" s="22" t="s">
        <v>2955</v>
      </c>
      <c r="E2915" s="24">
        <v>65941082</v>
      </c>
      <c r="F2915" s="22" t="s">
        <v>59</v>
      </c>
      <c r="G2915" s="25">
        <v>18480.8</v>
      </c>
      <c r="H2915" s="22" t="s">
        <v>24</v>
      </c>
      <c r="I2915" s="22">
        <v>1</v>
      </c>
      <c r="J2915" s="22" t="s">
        <v>59</v>
      </c>
      <c r="K2915" s="22" t="s">
        <v>78</v>
      </c>
      <c r="L2915" s="22">
        <v>0</v>
      </c>
      <c r="M2915" s="26">
        <v>230000</v>
      </c>
      <c r="N2915" s="26">
        <v>0</v>
      </c>
      <c r="O2915" s="15">
        <f t="shared" si="252"/>
        <v>230000</v>
      </c>
      <c r="P2915" s="15">
        <f t="shared" si="253"/>
        <v>12.445348686204062</v>
      </c>
      <c r="Q2915" s="25">
        <v>25000</v>
      </c>
      <c r="R2915" s="22">
        <v>74</v>
      </c>
      <c r="S2915" s="22" t="s">
        <v>3587</v>
      </c>
      <c r="T2915" s="22">
        <f t="shared" si="249"/>
        <v>8</v>
      </c>
      <c r="U2915" s="22">
        <f t="shared" si="250"/>
        <v>2021</v>
      </c>
      <c r="V2915" s="22" t="str">
        <f t="shared" si="251"/>
        <v>REGIONES</v>
      </c>
    </row>
    <row r="2916" spans="1:22" x14ac:dyDescent="0.2">
      <c r="A2916" s="23" t="s">
        <v>3578</v>
      </c>
      <c r="B2916" s="22" t="s">
        <v>33</v>
      </c>
      <c r="C2916" s="22" t="s">
        <v>44</v>
      </c>
      <c r="D2916" s="22" t="s">
        <v>30</v>
      </c>
      <c r="E2916" s="24">
        <v>72564391</v>
      </c>
      <c r="F2916" s="22" t="s">
        <v>94</v>
      </c>
      <c r="G2916" s="25">
        <v>4363.8</v>
      </c>
      <c r="H2916" s="22" t="s">
        <v>32</v>
      </c>
      <c r="I2916" s="22">
        <v>0</v>
      </c>
      <c r="J2916" s="22" t="s">
        <v>59</v>
      </c>
      <c r="K2916" s="22" t="s">
        <v>78</v>
      </c>
      <c r="L2916" s="22">
        <v>0</v>
      </c>
      <c r="M2916" s="26">
        <v>180000</v>
      </c>
      <c r="N2916" s="26">
        <v>0</v>
      </c>
      <c r="O2916" s="15">
        <f t="shared" si="252"/>
        <v>180000</v>
      </c>
      <c r="P2916" s="15">
        <f t="shared" si="253"/>
        <v>41.248453183005637</v>
      </c>
      <c r="Q2916" s="25">
        <v>25000</v>
      </c>
      <c r="R2916" s="22">
        <v>65</v>
      </c>
      <c r="S2916" s="22" t="s">
        <v>3588</v>
      </c>
      <c r="T2916" s="22">
        <f t="shared" si="249"/>
        <v>8</v>
      </c>
      <c r="U2916" s="22">
        <f t="shared" si="250"/>
        <v>2021</v>
      </c>
      <c r="V2916" s="22" t="str">
        <f t="shared" si="251"/>
        <v>REGIONES</v>
      </c>
    </row>
    <row r="2917" spans="1:22" x14ac:dyDescent="0.2">
      <c r="A2917" s="23" t="s">
        <v>3578</v>
      </c>
      <c r="B2917" s="22" t="s">
        <v>33</v>
      </c>
      <c r="C2917" s="22" t="s">
        <v>44</v>
      </c>
      <c r="D2917" s="22" t="s">
        <v>47</v>
      </c>
      <c r="E2917" s="24">
        <v>103018366</v>
      </c>
      <c r="F2917" s="22" t="s">
        <v>48</v>
      </c>
      <c r="G2917" s="25">
        <v>10090.6</v>
      </c>
      <c r="H2917" s="22" t="s">
        <v>22</v>
      </c>
      <c r="I2917" s="22">
        <v>0</v>
      </c>
      <c r="J2917" s="22" t="s">
        <v>48</v>
      </c>
      <c r="K2917" s="22" t="s">
        <v>23</v>
      </c>
      <c r="L2917" s="22">
        <v>1</v>
      </c>
      <c r="M2917" s="26">
        <v>110997</v>
      </c>
      <c r="N2917" s="26">
        <v>0</v>
      </c>
      <c r="O2917" s="15">
        <f t="shared" si="252"/>
        <v>110997</v>
      </c>
      <c r="P2917" s="15">
        <f t="shared" si="253"/>
        <v>11.000039640853863</v>
      </c>
      <c r="Q2917" s="25">
        <v>5000</v>
      </c>
      <c r="R2917" s="22">
        <v>100</v>
      </c>
      <c r="S2917" s="22" t="s">
        <v>3589</v>
      </c>
      <c r="T2917" s="22">
        <f t="shared" si="249"/>
        <v>8</v>
      </c>
      <c r="U2917" s="22">
        <f t="shared" si="250"/>
        <v>2021</v>
      </c>
      <c r="V2917" s="22" t="str">
        <f t="shared" si="251"/>
        <v>METROPOLITANA</v>
      </c>
    </row>
    <row r="2918" spans="1:22" x14ac:dyDescent="0.2">
      <c r="A2918" s="11" t="s">
        <v>3591</v>
      </c>
      <c r="B2918" s="12" t="s">
        <v>18</v>
      </c>
      <c r="C2918" s="12" t="s">
        <v>508</v>
      </c>
      <c r="D2918" s="12" t="s">
        <v>27</v>
      </c>
      <c r="E2918" s="13">
        <v>81417709</v>
      </c>
      <c r="F2918" s="12" t="s">
        <v>58</v>
      </c>
      <c r="G2918" s="14">
        <v>10344.24</v>
      </c>
      <c r="H2918" s="12" t="s">
        <v>22</v>
      </c>
      <c r="I2918" s="12">
        <v>1</v>
      </c>
      <c r="J2918" s="12" t="s">
        <v>58</v>
      </c>
      <c r="K2918" s="12" t="s">
        <v>23</v>
      </c>
      <c r="L2918" s="12">
        <v>5</v>
      </c>
      <c r="M2918" s="15">
        <v>120000</v>
      </c>
      <c r="N2918" s="15">
        <v>0</v>
      </c>
      <c r="O2918" s="15">
        <f t="shared" si="252"/>
        <v>120000</v>
      </c>
      <c r="P2918" s="15">
        <f t="shared" si="253"/>
        <v>11.600658917426511</v>
      </c>
      <c r="Q2918" s="14">
        <v>10000</v>
      </c>
      <c r="R2918" s="12">
        <v>100</v>
      </c>
      <c r="S2918" s="12" t="s">
        <v>3592</v>
      </c>
      <c r="T2918" s="22">
        <f t="shared" si="249"/>
        <v>8</v>
      </c>
      <c r="U2918" s="22">
        <f t="shared" si="250"/>
        <v>2021</v>
      </c>
      <c r="V2918" s="22" t="str">
        <f t="shared" si="251"/>
        <v>METROPOLITANA</v>
      </c>
    </row>
    <row r="2919" spans="1:22" x14ac:dyDescent="0.2">
      <c r="A2919" s="11" t="s">
        <v>3591</v>
      </c>
      <c r="B2919" s="12" t="s">
        <v>33</v>
      </c>
      <c r="C2919" s="12" t="s">
        <v>2431</v>
      </c>
      <c r="D2919" s="12" t="s">
        <v>27</v>
      </c>
      <c r="E2919" s="13">
        <v>81417709</v>
      </c>
      <c r="F2919" s="12" t="s">
        <v>67</v>
      </c>
      <c r="G2919" s="14">
        <v>13964</v>
      </c>
      <c r="H2919" s="12" t="s">
        <v>22</v>
      </c>
      <c r="I2919" s="12">
        <v>1</v>
      </c>
      <c r="J2919" s="12" t="s">
        <v>67</v>
      </c>
      <c r="K2919" s="12" t="s">
        <v>23</v>
      </c>
      <c r="L2919" s="12">
        <v>2</v>
      </c>
      <c r="M2919" s="15">
        <v>153604</v>
      </c>
      <c r="N2919" s="15">
        <v>0</v>
      </c>
      <c r="O2919" s="15">
        <f t="shared" si="252"/>
        <v>153604</v>
      </c>
      <c r="P2919" s="15">
        <f t="shared" si="253"/>
        <v>11</v>
      </c>
      <c r="Q2919" s="14">
        <v>5000</v>
      </c>
      <c r="R2919" s="12">
        <v>100</v>
      </c>
      <c r="S2919" s="12" t="s">
        <v>3593</v>
      </c>
      <c r="T2919" s="22">
        <f t="shared" si="249"/>
        <v>8</v>
      </c>
      <c r="U2919" s="22">
        <f t="shared" si="250"/>
        <v>2021</v>
      </c>
      <c r="V2919" s="22" t="str">
        <f t="shared" si="251"/>
        <v>METROPOLITANA</v>
      </c>
    </row>
    <row r="2920" spans="1:22" x14ac:dyDescent="0.2">
      <c r="A2920" s="11" t="s">
        <v>3591</v>
      </c>
      <c r="B2920" s="12" t="s">
        <v>33</v>
      </c>
      <c r="C2920" s="12" t="s">
        <v>60</v>
      </c>
      <c r="D2920" s="12" t="s">
        <v>3421</v>
      </c>
      <c r="E2920" s="13">
        <v>139094328</v>
      </c>
      <c r="F2920" s="12" t="s">
        <v>815</v>
      </c>
      <c r="G2920" s="14">
        <f>8915.5+5000</f>
        <v>13915.5</v>
      </c>
      <c r="H2920" s="12" t="s">
        <v>24</v>
      </c>
      <c r="I2920" s="12">
        <v>1</v>
      </c>
      <c r="J2920" s="12" t="s">
        <v>815</v>
      </c>
      <c r="K2920" s="12" t="s">
        <v>75</v>
      </c>
      <c r="L2920" s="12">
        <v>0</v>
      </c>
      <c r="M2920" s="15">
        <v>420000</v>
      </c>
      <c r="N2920" s="15">
        <v>0</v>
      </c>
      <c r="O2920" s="15">
        <f t="shared" si="252"/>
        <v>420000</v>
      </c>
      <c r="P2920" s="15">
        <f t="shared" si="253"/>
        <v>30.182170960439798</v>
      </c>
      <c r="Q2920" s="14">
        <v>25000</v>
      </c>
      <c r="R2920" s="12">
        <v>100</v>
      </c>
      <c r="S2920" s="12" t="s">
        <v>3594</v>
      </c>
      <c r="T2920" s="22">
        <f t="shared" si="249"/>
        <v>8</v>
      </c>
      <c r="U2920" s="22">
        <f t="shared" si="250"/>
        <v>2021</v>
      </c>
      <c r="V2920" s="22" t="str">
        <f t="shared" si="251"/>
        <v>REGIONES</v>
      </c>
    </row>
    <row r="2921" spans="1:22" x14ac:dyDescent="0.2">
      <c r="A2921" s="11" t="s">
        <v>3591</v>
      </c>
      <c r="B2921" s="12" t="s">
        <v>33</v>
      </c>
      <c r="C2921" s="12" t="s">
        <v>36</v>
      </c>
      <c r="D2921" s="12" t="s">
        <v>2262</v>
      </c>
      <c r="E2921" s="13">
        <v>122975819</v>
      </c>
      <c r="F2921" s="12" t="s">
        <v>1105</v>
      </c>
      <c r="G2921" s="14">
        <f>6602.4+5990</f>
        <v>12592.4</v>
      </c>
      <c r="H2921" s="12" t="s">
        <v>24</v>
      </c>
      <c r="I2921" s="12">
        <v>1</v>
      </c>
      <c r="J2921" s="12" t="s">
        <v>1105</v>
      </c>
      <c r="K2921" s="12" t="s">
        <v>873</v>
      </c>
      <c r="L2921" s="12">
        <v>0</v>
      </c>
      <c r="M2921" s="15">
        <v>900000</v>
      </c>
      <c r="N2921" s="15">
        <v>0</v>
      </c>
      <c r="O2921" s="15">
        <f t="shared" si="252"/>
        <v>900000</v>
      </c>
      <c r="P2921" s="15">
        <f t="shared" si="253"/>
        <v>71.471681331596841</v>
      </c>
      <c r="Q2921" s="14">
        <v>25000</v>
      </c>
      <c r="R2921" s="12">
        <v>65</v>
      </c>
      <c r="S2921" s="12" t="s">
        <v>3603</v>
      </c>
      <c r="T2921" s="22">
        <f t="shared" si="249"/>
        <v>8</v>
      </c>
      <c r="U2921" s="22">
        <f t="shared" si="250"/>
        <v>2021</v>
      </c>
      <c r="V2921" s="22" t="str">
        <f t="shared" si="251"/>
        <v>REGIONES</v>
      </c>
    </row>
    <row r="2922" spans="1:22" x14ac:dyDescent="0.2">
      <c r="A2922" s="11" t="s">
        <v>3591</v>
      </c>
      <c r="B2922" s="12" t="s">
        <v>33</v>
      </c>
      <c r="C2922" s="12" t="s">
        <v>36</v>
      </c>
      <c r="D2922" s="12" t="s">
        <v>63</v>
      </c>
      <c r="E2922" s="13">
        <v>138841065</v>
      </c>
      <c r="F2922" s="12" t="s">
        <v>34</v>
      </c>
      <c r="G2922" s="14">
        <v>8590.1999999999989</v>
      </c>
      <c r="H2922" s="12" t="s">
        <v>65</v>
      </c>
      <c r="I2922" s="12">
        <v>0</v>
      </c>
      <c r="J2922" s="12" t="s">
        <v>34</v>
      </c>
      <c r="K2922" s="12" t="s">
        <v>23</v>
      </c>
      <c r="L2922" s="12">
        <v>1</v>
      </c>
      <c r="M2922" s="15">
        <v>94492</v>
      </c>
      <c r="N2922" s="15">
        <v>0</v>
      </c>
      <c r="O2922" s="15">
        <f t="shared" si="252"/>
        <v>94492</v>
      </c>
      <c r="P2922" s="15">
        <f t="shared" si="253"/>
        <v>10.999976717655004</v>
      </c>
      <c r="Q2922" s="14">
        <v>5000</v>
      </c>
      <c r="R2922" s="12">
        <v>100</v>
      </c>
      <c r="S2922" s="12" t="s">
        <v>3595</v>
      </c>
      <c r="T2922" s="22">
        <f t="shared" si="249"/>
        <v>8</v>
      </c>
      <c r="U2922" s="22">
        <f t="shared" si="250"/>
        <v>2021</v>
      </c>
      <c r="V2922" s="22" t="str">
        <f t="shared" si="251"/>
        <v>METROPOLITANA</v>
      </c>
    </row>
    <row r="2923" spans="1:22" x14ac:dyDescent="0.2">
      <c r="A2923" s="11" t="s">
        <v>3591</v>
      </c>
      <c r="B2923" s="12" t="s">
        <v>33</v>
      </c>
      <c r="C2923" s="12" t="s">
        <v>909</v>
      </c>
      <c r="D2923" s="12" t="s">
        <v>2955</v>
      </c>
      <c r="E2923" s="13">
        <v>65941022</v>
      </c>
      <c r="F2923" s="12" t="s">
        <v>2919</v>
      </c>
      <c r="G2923" s="14">
        <v>15226.399999999991</v>
      </c>
      <c r="H2923" s="12" t="s">
        <v>24</v>
      </c>
      <c r="I2923" s="12">
        <v>1</v>
      </c>
      <c r="J2923" s="12" t="s">
        <v>2919</v>
      </c>
      <c r="K2923" s="12" t="s">
        <v>23</v>
      </c>
      <c r="L2923" s="12">
        <v>3</v>
      </c>
      <c r="M2923" s="15">
        <v>167490</v>
      </c>
      <c r="N2923" s="15">
        <v>0</v>
      </c>
      <c r="O2923" s="15">
        <f t="shared" si="252"/>
        <v>167490</v>
      </c>
      <c r="P2923" s="15">
        <f t="shared" si="253"/>
        <v>10.999973729837658</v>
      </c>
      <c r="Q2923" s="14">
        <v>5000</v>
      </c>
      <c r="R2923" s="12">
        <v>100</v>
      </c>
      <c r="S2923" s="12" t="s">
        <v>3596</v>
      </c>
      <c r="T2923" s="22">
        <f t="shared" si="249"/>
        <v>8</v>
      </c>
      <c r="U2923" s="22">
        <f t="shared" si="250"/>
        <v>2021</v>
      </c>
      <c r="V2923" s="22" t="str">
        <f t="shared" si="251"/>
        <v>METROPOLITANA</v>
      </c>
    </row>
    <row r="2924" spans="1:22" x14ac:dyDescent="0.2">
      <c r="A2924" s="11" t="s">
        <v>3591</v>
      </c>
      <c r="B2924" s="12" t="s">
        <v>33</v>
      </c>
      <c r="C2924" s="12" t="s">
        <v>44</v>
      </c>
      <c r="D2924" s="12" t="s">
        <v>38</v>
      </c>
      <c r="E2924" s="13">
        <v>53173292</v>
      </c>
      <c r="F2924" s="12" t="s">
        <v>182</v>
      </c>
      <c r="G2924" s="14">
        <v>3200.8</v>
      </c>
      <c r="H2924" s="12" t="s">
        <v>43</v>
      </c>
      <c r="I2924" s="12">
        <v>0</v>
      </c>
      <c r="J2924" s="12" t="s">
        <v>182</v>
      </c>
      <c r="K2924" s="12" t="s">
        <v>23</v>
      </c>
      <c r="L2924" s="12">
        <v>4</v>
      </c>
      <c r="M2924" s="15">
        <v>55000</v>
      </c>
      <c r="N2924" s="15">
        <v>0</v>
      </c>
      <c r="O2924" s="15">
        <f t="shared" si="252"/>
        <v>55000</v>
      </c>
      <c r="P2924" s="15">
        <f t="shared" si="253"/>
        <v>17.183204198950261</v>
      </c>
      <c r="Q2924" s="14">
        <v>5000</v>
      </c>
      <c r="R2924" s="12">
        <v>64</v>
      </c>
      <c r="S2924" s="12" t="s">
        <v>3597</v>
      </c>
      <c r="T2924" s="22">
        <f t="shared" si="249"/>
        <v>8</v>
      </c>
      <c r="U2924" s="22">
        <f t="shared" si="250"/>
        <v>2021</v>
      </c>
      <c r="V2924" s="22" t="str">
        <f t="shared" si="251"/>
        <v>METROPOLITANA</v>
      </c>
    </row>
    <row r="2925" spans="1:22" x14ac:dyDescent="0.2">
      <c r="A2925" s="11" t="s">
        <v>3591</v>
      </c>
      <c r="B2925" s="12" t="s">
        <v>33</v>
      </c>
      <c r="C2925" s="12" t="s">
        <v>44</v>
      </c>
      <c r="D2925" s="12" t="s">
        <v>37</v>
      </c>
      <c r="E2925" s="13">
        <v>154837728</v>
      </c>
      <c r="F2925" s="12" t="s">
        <v>48</v>
      </c>
      <c r="G2925" s="14">
        <v>9065</v>
      </c>
      <c r="H2925" s="12" t="s">
        <v>22</v>
      </c>
      <c r="I2925" s="12">
        <v>0</v>
      </c>
      <c r="J2925" s="12" t="s">
        <v>48</v>
      </c>
      <c r="K2925" s="12" t="s">
        <v>23</v>
      </c>
      <c r="L2925" s="12">
        <v>1</v>
      </c>
      <c r="M2925" s="15">
        <v>99715</v>
      </c>
      <c r="N2925" s="15">
        <v>0</v>
      </c>
      <c r="O2925" s="15">
        <f t="shared" si="252"/>
        <v>99715</v>
      </c>
      <c r="P2925" s="15">
        <f t="shared" si="253"/>
        <v>11</v>
      </c>
      <c r="Q2925" s="14">
        <v>5000</v>
      </c>
      <c r="R2925" s="12">
        <v>100</v>
      </c>
      <c r="S2925" s="12" t="s">
        <v>3598</v>
      </c>
      <c r="T2925" s="22">
        <f t="shared" si="249"/>
        <v>8</v>
      </c>
      <c r="U2925" s="22">
        <f t="shared" si="250"/>
        <v>2021</v>
      </c>
      <c r="V2925" s="22" t="str">
        <f t="shared" si="251"/>
        <v>METROPOLITANA</v>
      </c>
    </row>
    <row r="2926" spans="1:22" x14ac:dyDescent="0.2">
      <c r="A2926" s="11" t="s">
        <v>3591</v>
      </c>
      <c r="B2926" s="12" t="s">
        <v>33</v>
      </c>
      <c r="C2926" s="12" t="s">
        <v>44</v>
      </c>
      <c r="D2926" s="12" t="s">
        <v>63</v>
      </c>
      <c r="E2926" s="13">
        <v>138841065</v>
      </c>
      <c r="F2926" s="12" t="s">
        <v>53</v>
      </c>
      <c r="G2926" s="14">
        <v>4626.3999999999996</v>
      </c>
      <c r="H2926" s="12" t="s">
        <v>65</v>
      </c>
      <c r="I2926" s="12">
        <v>0</v>
      </c>
      <c r="J2926" s="12" t="s">
        <v>53</v>
      </c>
      <c r="K2926" s="12" t="s">
        <v>23</v>
      </c>
      <c r="L2926" s="12">
        <v>3</v>
      </c>
      <c r="M2926" s="15">
        <v>55000</v>
      </c>
      <c r="N2926" s="15">
        <v>0</v>
      </c>
      <c r="O2926" s="15">
        <f t="shared" si="252"/>
        <v>55000</v>
      </c>
      <c r="P2926" s="15">
        <f t="shared" si="253"/>
        <v>11.888293273387516</v>
      </c>
      <c r="Q2926" s="14">
        <v>5000</v>
      </c>
      <c r="R2926" s="12">
        <v>93</v>
      </c>
      <c r="S2926" s="12" t="s">
        <v>3599</v>
      </c>
      <c r="T2926" s="22">
        <f t="shared" si="249"/>
        <v>8</v>
      </c>
      <c r="U2926" s="22">
        <f t="shared" si="250"/>
        <v>2021</v>
      </c>
      <c r="V2926" s="22" t="str">
        <f t="shared" si="251"/>
        <v>METROPOLITANA</v>
      </c>
    </row>
    <row r="2927" spans="1:22" x14ac:dyDescent="0.2">
      <c r="A2927" s="11" t="s">
        <v>3591</v>
      </c>
      <c r="B2927" s="12" t="s">
        <v>33</v>
      </c>
      <c r="C2927" s="12" t="s">
        <v>44</v>
      </c>
      <c r="D2927" s="12" t="s">
        <v>30</v>
      </c>
      <c r="E2927" s="13">
        <v>72564391</v>
      </c>
      <c r="F2927" s="12" t="s">
        <v>59</v>
      </c>
      <c r="G2927" s="14">
        <v>6588.7999999999975</v>
      </c>
      <c r="H2927" s="12" t="s">
        <v>32</v>
      </c>
      <c r="I2927" s="12">
        <v>0</v>
      </c>
      <c r="J2927" s="12" t="s">
        <v>59</v>
      </c>
      <c r="K2927" s="12" t="s">
        <v>78</v>
      </c>
      <c r="L2927" s="12">
        <v>0</v>
      </c>
      <c r="M2927" s="15">
        <v>180000</v>
      </c>
      <c r="N2927" s="15">
        <v>0</v>
      </c>
      <c r="O2927" s="15">
        <f t="shared" si="252"/>
        <v>180000</v>
      </c>
      <c r="P2927" s="15">
        <f t="shared" si="253"/>
        <v>27.319086935405547</v>
      </c>
      <c r="Q2927" s="14">
        <v>25000</v>
      </c>
      <c r="R2927" s="12">
        <v>85</v>
      </c>
      <c r="S2927" s="12" t="s">
        <v>3600</v>
      </c>
      <c r="T2927" s="22">
        <f t="shared" si="249"/>
        <v>8</v>
      </c>
      <c r="U2927" s="22">
        <f t="shared" si="250"/>
        <v>2021</v>
      </c>
      <c r="V2927" s="22" t="str">
        <f t="shared" si="251"/>
        <v>REGIONES</v>
      </c>
    </row>
    <row r="2928" spans="1:22" x14ac:dyDescent="0.2">
      <c r="A2928" s="11" t="s">
        <v>3591</v>
      </c>
      <c r="B2928" s="12" t="s">
        <v>33</v>
      </c>
      <c r="C2928" s="12" t="s">
        <v>44</v>
      </c>
      <c r="D2928" s="12" t="s">
        <v>41</v>
      </c>
      <c r="E2928" s="13">
        <v>125108660</v>
      </c>
      <c r="F2928" s="12" t="s">
        <v>95</v>
      </c>
      <c r="G2928" s="14">
        <v>4939.5999999999995</v>
      </c>
      <c r="H2928" s="12" t="s">
        <v>43</v>
      </c>
      <c r="I2928" s="12">
        <v>0</v>
      </c>
      <c r="J2928" s="12" t="s">
        <v>95</v>
      </c>
      <c r="K2928" s="12" t="s">
        <v>23</v>
      </c>
      <c r="L2928" s="12">
        <v>4</v>
      </c>
      <c r="M2928" s="15">
        <v>55000</v>
      </c>
      <c r="N2928" s="15">
        <v>0</v>
      </c>
      <c r="O2928" s="15">
        <f t="shared" si="252"/>
        <v>55000</v>
      </c>
      <c r="P2928" s="15">
        <f t="shared" si="253"/>
        <v>11.134504818203904</v>
      </c>
      <c r="Q2928" s="14">
        <v>5000</v>
      </c>
      <c r="R2928" s="12">
        <v>99</v>
      </c>
      <c r="S2928" s="12" t="s">
        <v>3601</v>
      </c>
      <c r="T2928" s="22">
        <f t="shared" si="249"/>
        <v>8</v>
      </c>
      <c r="U2928" s="22">
        <f t="shared" si="250"/>
        <v>2021</v>
      </c>
      <c r="V2928" s="22" t="str">
        <f t="shared" si="251"/>
        <v>METROPOLITANA</v>
      </c>
    </row>
    <row r="2929" spans="1:22" x14ac:dyDescent="0.2">
      <c r="A2929" s="11" t="s">
        <v>3591</v>
      </c>
      <c r="B2929" s="12" t="s">
        <v>33</v>
      </c>
      <c r="C2929" s="12" t="s">
        <v>44</v>
      </c>
      <c r="D2929" s="12" t="s">
        <v>20</v>
      </c>
      <c r="E2929" s="13">
        <v>78907355</v>
      </c>
      <c r="F2929" s="12" t="s">
        <v>95</v>
      </c>
      <c r="G2929" s="14">
        <v>3613.8</v>
      </c>
      <c r="H2929" s="12" t="s">
        <v>22</v>
      </c>
      <c r="I2929" s="12">
        <v>0</v>
      </c>
      <c r="J2929" s="12" t="s">
        <v>95</v>
      </c>
      <c r="K2929" s="12" t="s">
        <v>23</v>
      </c>
      <c r="L2929" s="12">
        <v>4</v>
      </c>
      <c r="M2929" s="15">
        <v>55000</v>
      </c>
      <c r="N2929" s="15">
        <v>0</v>
      </c>
      <c r="O2929" s="15">
        <f t="shared" ref="O2929:O2960" si="254">SUM(M2929:N2929)</f>
        <v>55000</v>
      </c>
      <c r="P2929" s="15">
        <f t="shared" si="253"/>
        <v>15.219436604128617</v>
      </c>
      <c r="Q2929" s="14">
        <v>5000</v>
      </c>
      <c r="R2929" s="12">
        <v>72</v>
      </c>
      <c r="S2929" s="12" t="s">
        <v>3602</v>
      </c>
      <c r="T2929" s="22">
        <f t="shared" si="249"/>
        <v>8</v>
      </c>
      <c r="U2929" s="22">
        <f t="shared" si="250"/>
        <v>2021</v>
      </c>
      <c r="V2929" s="22" t="str">
        <f t="shared" si="251"/>
        <v>METROPOLITANA</v>
      </c>
    </row>
    <row r="2930" spans="1:22" x14ac:dyDescent="0.2">
      <c r="A2930" s="23" t="s">
        <v>3604</v>
      </c>
      <c r="B2930" s="22" t="s">
        <v>18</v>
      </c>
      <c r="C2930" s="22" t="s">
        <v>457</v>
      </c>
      <c r="D2930" s="22" t="s">
        <v>867</v>
      </c>
      <c r="E2930" s="24">
        <v>98494073</v>
      </c>
      <c r="F2930" s="22" t="s">
        <v>815</v>
      </c>
      <c r="G2930" s="25">
        <f>4416.25+3848</f>
        <v>8264.25</v>
      </c>
      <c r="H2930" s="22" t="s">
        <v>85</v>
      </c>
      <c r="I2930" s="22">
        <v>1</v>
      </c>
      <c r="J2930" s="22" t="s">
        <v>815</v>
      </c>
      <c r="K2930" s="22" t="s">
        <v>75</v>
      </c>
      <c r="L2930" s="22">
        <v>0</v>
      </c>
      <c r="M2930" s="26">
        <v>420000</v>
      </c>
      <c r="N2930" s="26">
        <v>0</v>
      </c>
      <c r="O2930" s="15">
        <f t="shared" si="254"/>
        <v>420000</v>
      </c>
      <c r="P2930" s="15">
        <f t="shared" si="253"/>
        <v>50.821308648697702</v>
      </c>
      <c r="Q2930" s="25">
        <v>25000</v>
      </c>
      <c r="R2930" s="22">
        <v>65</v>
      </c>
      <c r="S2930" s="22" t="s">
        <v>3614</v>
      </c>
      <c r="T2930" s="22">
        <f t="shared" si="249"/>
        <v>8</v>
      </c>
      <c r="U2930" s="22">
        <f t="shared" si="250"/>
        <v>2021</v>
      </c>
      <c r="V2930" s="22" t="str">
        <f t="shared" si="251"/>
        <v>REGIONES</v>
      </c>
    </row>
    <row r="2931" spans="1:22" x14ac:dyDescent="0.2">
      <c r="A2931" s="23" t="s">
        <v>3604</v>
      </c>
      <c r="B2931" s="22" t="s">
        <v>18</v>
      </c>
      <c r="C2931" s="22" t="s">
        <v>19</v>
      </c>
      <c r="D2931" s="22" t="s">
        <v>30</v>
      </c>
      <c r="E2931" s="24">
        <v>72564391</v>
      </c>
      <c r="F2931" s="22" t="s">
        <v>727</v>
      </c>
      <c r="G2931" s="25">
        <v>15929.24</v>
      </c>
      <c r="H2931" s="22" t="s">
        <v>32</v>
      </c>
      <c r="I2931" s="22">
        <v>0</v>
      </c>
      <c r="J2931" s="22" t="s">
        <v>727</v>
      </c>
      <c r="K2931" s="22" t="s">
        <v>23</v>
      </c>
      <c r="L2931" s="22">
        <v>2</v>
      </c>
      <c r="M2931" s="26">
        <v>175222</v>
      </c>
      <c r="N2931" s="26">
        <v>0</v>
      </c>
      <c r="O2931" s="15">
        <f t="shared" si="254"/>
        <v>175222</v>
      </c>
      <c r="P2931" s="15">
        <f t="shared" si="253"/>
        <v>11.000022599948272</v>
      </c>
      <c r="Q2931" s="25">
        <v>5000</v>
      </c>
      <c r="R2931" s="22">
        <v>100</v>
      </c>
      <c r="S2931" s="22" t="s">
        <v>3605</v>
      </c>
      <c r="T2931" s="22">
        <f t="shared" si="249"/>
        <v>8</v>
      </c>
      <c r="U2931" s="22">
        <f t="shared" si="250"/>
        <v>2021</v>
      </c>
      <c r="V2931" s="22" t="str">
        <f t="shared" si="251"/>
        <v>METROPOLITANA</v>
      </c>
    </row>
    <row r="2932" spans="1:22" x14ac:dyDescent="0.2">
      <c r="A2932" s="23" t="s">
        <v>3604</v>
      </c>
      <c r="B2932" s="22" t="s">
        <v>33</v>
      </c>
      <c r="C2932" s="22" t="s">
        <v>36</v>
      </c>
      <c r="D2932" s="22" t="s">
        <v>130</v>
      </c>
      <c r="E2932" s="24">
        <v>167832741</v>
      </c>
      <c r="F2932" s="22" t="s">
        <v>92</v>
      </c>
      <c r="G2932" s="25">
        <f>7189.2+4539</f>
        <v>11728.2</v>
      </c>
      <c r="H2932" s="22" t="s">
        <v>85</v>
      </c>
      <c r="I2932" s="22">
        <v>1</v>
      </c>
      <c r="J2932" s="22" t="s">
        <v>92</v>
      </c>
      <c r="K2932" s="22" t="s">
        <v>93</v>
      </c>
      <c r="L2932" s="22">
        <v>0</v>
      </c>
      <c r="M2932" s="26">
        <v>620000</v>
      </c>
      <c r="N2932" s="26">
        <v>0</v>
      </c>
      <c r="O2932" s="15">
        <f t="shared" si="254"/>
        <v>620000</v>
      </c>
      <c r="P2932" s="15">
        <f t="shared" si="253"/>
        <v>52.86403710714346</v>
      </c>
      <c r="Q2932" s="25">
        <v>25000</v>
      </c>
      <c r="R2932" s="22">
        <v>65</v>
      </c>
      <c r="S2932" s="22" t="s">
        <v>3615</v>
      </c>
      <c r="T2932" s="22">
        <f t="shared" si="249"/>
        <v>8</v>
      </c>
      <c r="U2932" s="22">
        <f t="shared" si="250"/>
        <v>2021</v>
      </c>
      <c r="V2932" s="22" t="str">
        <f t="shared" si="251"/>
        <v>REGIONES</v>
      </c>
    </row>
    <row r="2933" spans="1:22" x14ac:dyDescent="0.2">
      <c r="A2933" s="23" t="s">
        <v>3604</v>
      </c>
      <c r="B2933" s="22" t="s">
        <v>33</v>
      </c>
      <c r="C2933" s="22" t="s">
        <v>36</v>
      </c>
      <c r="D2933" s="22" t="s">
        <v>786</v>
      </c>
      <c r="E2933" s="24">
        <v>95707734</v>
      </c>
      <c r="F2933" s="22" t="s">
        <v>127</v>
      </c>
      <c r="G2933" s="25">
        <f>4738.4+4539</f>
        <v>9277.4</v>
      </c>
      <c r="H2933" s="22" t="s">
        <v>788</v>
      </c>
      <c r="I2933" s="22">
        <v>1</v>
      </c>
      <c r="J2933" s="22" t="s">
        <v>127</v>
      </c>
      <c r="K2933" s="22" t="s">
        <v>78</v>
      </c>
      <c r="L2933" s="22">
        <v>0</v>
      </c>
      <c r="M2933" s="26">
        <v>230000</v>
      </c>
      <c r="N2933" s="26">
        <v>0</v>
      </c>
      <c r="O2933" s="15">
        <f t="shared" si="254"/>
        <v>230000</v>
      </c>
      <c r="P2933" s="15">
        <f t="shared" si="253"/>
        <v>24.791428633022186</v>
      </c>
      <c r="Q2933" s="25">
        <v>25000</v>
      </c>
      <c r="R2933" s="22">
        <v>60</v>
      </c>
      <c r="S2933" s="22" t="s">
        <v>3616</v>
      </c>
      <c r="T2933" s="22">
        <f t="shared" si="249"/>
        <v>8</v>
      </c>
      <c r="U2933" s="22">
        <f t="shared" si="250"/>
        <v>2021</v>
      </c>
      <c r="V2933" s="22" t="str">
        <f t="shared" si="251"/>
        <v>REGIONES</v>
      </c>
    </row>
    <row r="2934" spans="1:22" x14ac:dyDescent="0.2">
      <c r="A2934" s="23" t="s">
        <v>3604</v>
      </c>
      <c r="B2934" s="22" t="s">
        <v>33</v>
      </c>
      <c r="C2934" s="22" t="s">
        <v>29</v>
      </c>
      <c r="D2934" s="22" t="s">
        <v>1869</v>
      </c>
      <c r="E2934" s="24">
        <v>125897258</v>
      </c>
      <c r="F2934" s="22" t="s">
        <v>132</v>
      </c>
      <c r="G2934" s="25">
        <v>10026.700000000001</v>
      </c>
      <c r="H2934" s="22" t="s">
        <v>24</v>
      </c>
      <c r="I2934" s="22">
        <v>1</v>
      </c>
      <c r="J2934" s="22" t="s">
        <v>132</v>
      </c>
      <c r="K2934" s="22" t="s">
        <v>124</v>
      </c>
      <c r="L2934" s="22">
        <v>0</v>
      </c>
      <c r="M2934" s="26">
        <v>350000</v>
      </c>
      <c r="N2934" s="26">
        <v>0</v>
      </c>
      <c r="O2934" s="15">
        <f t="shared" si="254"/>
        <v>350000</v>
      </c>
      <c r="P2934" s="15">
        <f t="shared" si="253"/>
        <v>34.906798847078299</v>
      </c>
      <c r="Q2934" s="25">
        <v>25000</v>
      </c>
      <c r="R2934" s="22">
        <v>65</v>
      </c>
      <c r="S2934" s="22" t="s">
        <v>3606</v>
      </c>
      <c r="T2934" s="22">
        <f t="shared" si="249"/>
        <v>8</v>
      </c>
      <c r="U2934" s="22">
        <f t="shared" si="250"/>
        <v>2021</v>
      </c>
      <c r="V2934" s="22" t="str">
        <f t="shared" si="251"/>
        <v>REGIONES</v>
      </c>
    </row>
    <row r="2935" spans="1:22" x14ac:dyDescent="0.2">
      <c r="A2935" s="23" t="s">
        <v>3604</v>
      </c>
      <c r="B2935" s="22" t="s">
        <v>33</v>
      </c>
      <c r="C2935" s="22" t="s">
        <v>29</v>
      </c>
      <c r="D2935" s="22" t="s">
        <v>38</v>
      </c>
      <c r="E2935" s="24">
        <v>53173292</v>
      </c>
      <c r="F2935" s="22" t="s">
        <v>39</v>
      </c>
      <c r="G2935" s="25">
        <v>2748</v>
      </c>
      <c r="H2935" s="22" t="s">
        <v>43</v>
      </c>
      <c r="I2935" s="22">
        <v>0</v>
      </c>
      <c r="J2935" s="22" t="s">
        <v>39</v>
      </c>
      <c r="K2935" s="22" t="s">
        <v>23</v>
      </c>
      <c r="L2935" s="22">
        <v>1</v>
      </c>
      <c r="M2935" s="26">
        <v>55000</v>
      </c>
      <c r="N2935" s="26">
        <v>0</v>
      </c>
      <c r="O2935" s="15">
        <f t="shared" si="254"/>
        <v>55000</v>
      </c>
      <c r="P2935" s="15">
        <f t="shared" si="253"/>
        <v>20.014556040756915</v>
      </c>
      <c r="Q2935" s="25">
        <v>5000</v>
      </c>
      <c r="R2935" s="22">
        <v>55</v>
      </c>
      <c r="S2935" s="22" t="s">
        <v>3607</v>
      </c>
      <c r="T2935" s="22">
        <f t="shared" si="249"/>
        <v>8</v>
      </c>
      <c r="U2935" s="22">
        <f t="shared" si="250"/>
        <v>2021</v>
      </c>
      <c r="V2935" s="22" t="str">
        <f t="shared" si="251"/>
        <v>METROPOLITANA</v>
      </c>
    </row>
    <row r="2936" spans="1:22" x14ac:dyDescent="0.2">
      <c r="A2936" s="23" t="s">
        <v>3604</v>
      </c>
      <c r="B2936" s="22" t="s">
        <v>33</v>
      </c>
      <c r="C2936" s="22" t="s">
        <v>29</v>
      </c>
      <c r="D2936" s="22" t="s">
        <v>63</v>
      </c>
      <c r="E2936" s="24">
        <v>138841065</v>
      </c>
      <c r="F2936" s="22" t="s">
        <v>39</v>
      </c>
      <c r="G2936" s="25">
        <v>2748</v>
      </c>
      <c r="H2936" s="22" t="s">
        <v>65</v>
      </c>
      <c r="I2936" s="22">
        <v>0</v>
      </c>
      <c r="J2936" s="22" t="s">
        <v>39</v>
      </c>
      <c r="K2936" s="22" t="s">
        <v>23</v>
      </c>
      <c r="L2936" s="22">
        <v>1</v>
      </c>
      <c r="M2936" s="26">
        <v>55000</v>
      </c>
      <c r="N2936" s="26">
        <v>0</v>
      </c>
      <c r="O2936" s="15">
        <f t="shared" si="254"/>
        <v>55000</v>
      </c>
      <c r="P2936" s="15">
        <f t="shared" si="253"/>
        <v>20.014556040756915</v>
      </c>
      <c r="Q2936" s="25">
        <v>5000</v>
      </c>
      <c r="R2936" s="22">
        <v>55</v>
      </c>
      <c r="S2936" s="22" t="s">
        <v>3608</v>
      </c>
      <c r="T2936" s="22">
        <f t="shared" si="249"/>
        <v>8</v>
      </c>
      <c r="U2936" s="22">
        <f t="shared" si="250"/>
        <v>2021</v>
      </c>
      <c r="V2936" s="22" t="str">
        <f t="shared" si="251"/>
        <v>METROPOLITANA</v>
      </c>
    </row>
    <row r="2937" spans="1:22" x14ac:dyDescent="0.2">
      <c r="A2937" s="23" t="s">
        <v>3604</v>
      </c>
      <c r="B2937" s="22" t="s">
        <v>33</v>
      </c>
      <c r="C2937" s="22" t="s">
        <v>29</v>
      </c>
      <c r="D2937" s="22" t="s">
        <v>125</v>
      </c>
      <c r="E2937" s="24">
        <v>172861164</v>
      </c>
      <c r="F2937" s="22" t="s">
        <v>170</v>
      </c>
      <c r="G2937" s="25">
        <v>9970.1999999999971</v>
      </c>
      <c r="H2937" s="22" t="s">
        <v>174</v>
      </c>
      <c r="I2937" s="22">
        <v>0</v>
      </c>
      <c r="J2937" s="22" t="s">
        <v>170</v>
      </c>
      <c r="K2937" s="22" t="s">
        <v>171</v>
      </c>
      <c r="L2937" s="22">
        <v>0</v>
      </c>
      <c r="M2937" s="26">
        <v>180000</v>
      </c>
      <c r="N2937" s="26">
        <v>0</v>
      </c>
      <c r="O2937" s="15">
        <f t="shared" si="254"/>
        <v>180000</v>
      </c>
      <c r="P2937" s="15">
        <f t="shared" si="253"/>
        <v>18.05380032496841</v>
      </c>
      <c r="Q2937" s="25">
        <v>25000</v>
      </c>
      <c r="R2937" s="22">
        <v>70</v>
      </c>
      <c r="S2937" s="22" t="s">
        <v>3609</v>
      </c>
      <c r="T2937" s="22">
        <f t="shared" si="249"/>
        <v>8</v>
      </c>
      <c r="U2937" s="22">
        <f t="shared" si="250"/>
        <v>2021</v>
      </c>
      <c r="V2937" s="22" t="str">
        <f t="shared" si="251"/>
        <v>REGIONES</v>
      </c>
    </row>
    <row r="2938" spans="1:22" x14ac:dyDescent="0.2">
      <c r="A2938" s="23" t="s">
        <v>3604</v>
      </c>
      <c r="B2938" s="22" t="s">
        <v>33</v>
      </c>
      <c r="C2938" s="22" t="s">
        <v>29</v>
      </c>
      <c r="D2938" s="22" t="s">
        <v>20</v>
      </c>
      <c r="E2938" s="24">
        <v>78907355</v>
      </c>
      <c r="F2938" s="22" t="s">
        <v>39</v>
      </c>
      <c r="G2938" s="25">
        <v>2748</v>
      </c>
      <c r="H2938" s="22" t="s">
        <v>22</v>
      </c>
      <c r="I2938" s="22">
        <v>0</v>
      </c>
      <c r="J2938" s="22" t="s">
        <v>39</v>
      </c>
      <c r="K2938" s="22" t="s">
        <v>23</v>
      </c>
      <c r="L2938" s="22">
        <v>1</v>
      </c>
      <c r="M2938" s="26">
        <v>55000</v>
      </c>
      <c r="N2938" s="26">
        <v>0</v>
      </c>
      <c r="O2938" s="15">
        <f t="shared" si="254"/>
        <v>55000</v>
      </c>
      <c r="P2938" s="15">
        <f t="shared" si="253"/>
        <v>20.014556040756915</v>
      </c>
      <c r="Q2938" s="25">
        <v>5000</v>
      </c>
      <c r="R2938" s="22">
        <v>69</v>
      </c>
      <c r="S2938" s="22" t="s">
        <v>3610</v>
      </c>
      <c r="T2938" s="22">
        <f t="shared" si="249"/>
        <v>8</v>
      </c>
      <c r="U2938" s="22">
        <f t="shared" si="250"/>
        <v>2021</v>
      </c>
      <c r="V2938" s="22" t="str">
        <f t="shared" si="251"/>
        <v>METROPOLITANA</v>
      </c>
    </row>
    <row r="2939" spans="1:22" x14ac:dyDescent="0.2">
      <c r="A2939" s="23" t="s">
        <v>3604</v>
      </c>
      <c r="B2939" s="22" t="s">
        <v>33</v>
      </c>
      <c r="C2939" s="22" t="s">
        <v>2698</v>
      </c>
      <c r="D2939" s="22" t="s">
        <v>41</v>
      </c>
      <c r="E2939" s="24">
        <v>125108660</v>
      </c>
      <c r="F2939" s="22" t="s">
        <v>51</v>
      </c>
      <c r="G2939" s="25">
        <v>8419.44</v>
      </c>
      <c r="H2939" s="22" t="s">
        <v>43</v>
      </c>
      <c r="I2939" s="22">
        <v>0</v>
      </c>
      <c r="J2939" s="22" t="s">
        <v>51</v>
      </c>
      <c r="K2939" s="22" t="s">
        <v>23</v>
      </c>
      <c r="L2939" s="22">
        <v>4</v>
      </c>
      <c r="M2939" s="26">
        <v>92614</v>
      </c>
      <c r="N2939" s="26">
        <v>0</v>
      </c>
      <c r="O2939" s="15">
        <f t="shared" si="254"/>
        <v>92614</v>
      </c>
      <c r="P2939" s="15">
        <f t="shared" si="253"/>
        <v>11.000019003639196</v>
      </c>
      <c r="Q2939" s="25">
        <v>5000</v>
      </c>
      <c r="R2939" s="22">
        <v>100</v>
      </c>
      <c r="S2939" s="22" t="s">
        <v>3611</v>
      </c>
      <c r="T2939" s="22">
        <f t="shared" si="249"/>
        <v>8</v>
      </c>
      <c r="U2939" s="22">
        <f t="shared" si="250"/>
        <v>2021</v>
      </c>
      <c r="V2939" s="22" t="str">
        <f t="shared" si="251"/>
        <v>METROPOLITANA</v>
      </c>
    </row>
    <row r="2940" spans="1:22" x14ac:dyDescent="0.2">
      <c r="A2940" s="23" t="s">
        <v>3604</v>
      </c>
      <c r="B2940" s="22" t="s">
        <v>33</v>
      </c>
      <c r="C2940" s="22" t="s">
        <v>44</v>
      </c>
      <c r="D2940" s="22" t="s">
        <v>37</v>
      </c>
      <c r="E2940" s="24">
        <v>154837728</v>
      </c>
      <c r="F2940" s="22" t="s">
        <v>48</v>
      </c>
      <c r="G2940" s="25">
        <v>6388.0000000000009</v>
      </c>
      <c r="H2940" s="22" t="s">
        <v>22</v>
      </c>
      <c r="I2940" s="22">
        <v>0</v>
      </c>
      <c r="J2940" s="22" t="s">
        <v>48</v>
      </c>
      <c r="K2940" s="22" t="s">
        <v>23</v>
      </c>
      <c r="L2940" s="22">
        <v>1</v>
      </c>
      <c r="M2940" s="26">
        <v>70268</v>
      </c>
      <c r="N2940" s="26">
        <v>0</v>
      </c>
      <c r="O2940" s="15">
        <f t="shared" si="254"/>
        <v>70268</v>
      </c>
      <c r="P2940" s="15">
        <f t="shared" si="253"/>
        <v>10.999999999999998</v>
      </c>
      <c r="Q2940" s="25">
        <v>5000</v>
      </c>
      <c r="R2940" s="22">
        <v>100</v>
      </c>
      <c r="S2940" s="22" t="s">
        <v>3612</v>
      </c>
      <c r="T2940" s="22">
        <f t="shared" si="249"/>
        <v>8</v>
      </c>
      <c r="U2940" s="22">
        <f t="shared" si="250"/>
        <v>2021</v>
      </c>
      <c r="V2940" s="22" t="str">
        <f t="shared" si="251"/>
        <v>METROPOLITANA</v>
      </c>
    </row>
    <row r="2941" spans="1:22" x14ac:dyDescent="0.2">
      <c r="A2941" s="23" t="s">
        <v>3604</v>
      </c>
      <c r="B2941" s="22" t="s">
        <v>33</v>
      </c>
      <c r="C2941" s="22" t="s">
        <v>44</v>
      </c>
      <c r="D2941" s="22" t="s">
        <v>27</v>
      </c>
      <c r="E2941" s="24">
        <v>81417708</v>
      </c>
      <c r="F2941" s="22" t="s">
        <v>251</v>
      </c>
      <c r="G2941" s="25">
        <f>6863.6+3038</f>
        <v>9901.6</v>
      </c>
      <c r="H2941" s="22" t="s">
        <v>22</v>
      </c>
      <c r="I2941" s="22">
        <v>1</v>
      </c>
      <c r="J2941" s="22" t="s">
        <v>251</v>
      </c>
      <c r="K2941" s="22" t="s">
        <v>78</v>
      </c>
      <c r="L2941" s="22">
        <v>0</v>
      </c>
      <c r="M2941" s="26">
        <v>230000</v>
      </c>
      <c r="N2941" s="26">
        <v>0</v>
      </c>
      <c r="O2941" s="15">
        <f t="shared" si="254"/>
        <v>230000</v>
      </c>
      <c r="P2941" s="15">
        <f t="shared" si="253"/>
        <v>23.228569120142197</v>
      </c>
      <c r="Q2941" s="25">
        <v>25000</v>
      </c>
      <c r="R2941" s="22">
        <v>88</v>
      </c>
      <c r="S2941" s="22" t="s">
        <v>3617</v>
      </c>
      <c r="T2941" s="22">
        <f t="shared" si="249"/>
        <v>8</v>
      </c>
      <c r="U2941" s="22">
        <f t="shared" si="250"/>
        <v>2021</v>
      </c>
      <c r="V2941" s="22" t="str">
        <f t="shared" si="251"/>
        <v>REGIONES</v>
      </c>
    </row>
    <row r="2942" spans="1:22" x14ac:dyDescent="0.2">
      <c r="A2942" s="23" t="s">
        <v>3604</v>
      </c>
      <c r="B2942" s="22" t="s">
        <v>33</v>
      </c>
      <c r="C2942" s="22" t="s">
        <v>44</v>
      </c>
      <c r="D2942" s="22" t="s">
        <v>45</v>
      </c>
      <c r="E2942" s="24">
        <v>99626232</v>
      </c>
      <c r="F2942" s="22" t="s">
        <v>67</v>
      </c>
      <c r="G2942" s="25">
        <v>4051.4</v>
      </c>
      <c r="H2942" s="22" t="s">
        <v>22</v>
      </c>
      <c r="I2942" s="22">
        <v>0</v>
      </c>
      <c r="J2942" s="22" t="s">
        <v>67</v>
      </c>
      <c r="K2942" s="22" t="s">
        <v>23</v>
      </c>
      <c r="L2942" s="22">
        <v>2</v>
      </c>
      <c r="M2942" s="26">
        <v>55000</v>
      </c>
      <c r="N2942" s="26">
        <v>0</v>
      </c>
      <c r="O2942" s="15">
        <f t="shared" si="254"/>
        <v>55000</v>
      </c>
      <c r="P2942" s="15">
        <f t="shared" si="253"/>
        <v>13.575554129436737</v>
      </c>
      <c r="Q2942" s="25">
        <v>5000</v>
      </c>
      <c r="R2942" s="22">
        <v>81</v>
      </c>
      <c r="S2942" s="22" t="s">
        <v>3613</v>
      </c>
      <c r="T2942" s="22">
        <f t="shared" si="249"/>
        <v>8</v>
      </c>
      <c r="U2942" s="22">
        <f t="shared" si="250"/>
        <v>2021</v>
      </c>
      <c r="V2942" s="22" t="str">
        <f t="shared" si="251"/>
        <v>METROPOLITANA</v>
      </c>
    </row>
    <row r="2943" spans="1:22" x14ac:dyDescent="0.2">
      <c r="A2943" s="11" t="s">
        <v>3618</v>
      </c>
      <c r="B2943" s="12" t="s">
        <v>33</v>
      </c>
      <c r="C2943" s="12" t="s">
        <v>60</v>
      </c>
      <c r="D2943" s="12" t="s">
        <v>20</v>
      </c>
      <c r="E2943" s="13" t="s">
        <v>21</v>
      </c>
      <c r="F2943" s="12" t="s">
        <v>51</v>
      </c>
      <c r="G2943" s="14">
        <v>6003.1999999999989</v>
      </c>
      <c r="H2943" s="12" t="s">
        <v>22</v>
      </c>
      <c r="I2943" s="12">
        <v>0</v>
      </c>
      <c r="J2943" s="12" t="s">
        <v>51</v>
      </c>
      <c r="K2943" s="12" t="s">
        <v>23</v>
      </c>
      <c r="L2943" s="12">
        <v>4</v>
      </c>
      <c r="M2943" s="15">
        <v>66035</v>
      </c>
      <c r="N2943" s="15">
        <v>0</v>
      </c>
      <c r="O2943" s="15">
        <f t="shared" si="254"/>
        <v>66035</v>
      </c>
      <c r="P2943" s="15">
        <f t="shared" si="253"/>
        <v>10.99996668443497</v>
      </c>
      <c r="Q2943" s="14">
        <v>5000</v>
      </c>
      <c r="R2943" s="12">
        <v>100</v>
      </c>
      <c r="S2943" s="12" t="s">
        <v>3619</v>
      </c>
      <c r="T2943" s="22">
        <f t="shared" si="249"/>
        <v>8</v>
      </c>
      <c r="U2943" s="22">
        <f t="shared" si="250"/>
        <v>2021</v>
      </c>
      <c r="V2943" s="22" t="str">
        <f t="shared" si="251"/>
        <v>METROPOLITANA</v>
      </c>
    </row>
    <row r="2944" spans="1:22" x14ac:dyDescent="0.2">
      <c r="A2944" s="11" t="s">
        <v>3618</v>
      </c>
      <c r="B2944" s="12" t="s">
        <v>33</v>
      </c>
      <c r="C2944" s="12" t="s">
        <v>128</v>
      </c>
      <c r="D2944" s="12" t="s">
        <v>37</v>
      </c>
      <c r="E2944" s="13" t="s">
        <v>1576</v>
      </c>
      <c r="F2944" s="12" t="s">
        <v>34</v>
      </c>
      <c r="G2944" s="14">
        <v>7776.7999999999975</v>
      </c>
      <c r="H2944" s="12" t="s">
        <v>22</v>
      </c>
      <c r="I2944" s="12">
        <v>0</v>
      </c>
      <c r="J2944" s="12" t="s">
        <v>34</v>
      </c>
      <c r="K2944" s="12" t="s">
        <v>23</v>
      </c>
      <c r="L2944" s="12">
        <v>1</v>
      </c>
      <c r="M2944" s="15">
        <v>85545</v>
      </c>
      <c r="N2944" s="15">
        <v>0</v>
      </c>
      <c r="O2944" s="15">
        <f t="shared" si="254"/>
        <v>85545</v>
      </c>
      <c r="P2944" s="15">
        <f t="shared" si="253"/>
        <v>11.000025717518778</v>
      </c>
      <c r="Q2944" s="14">
        <v>5000</v>
      </c>
      <c r="R2944" s="12">
        <v>100</v>
      </c>
      <c r="S2944" s="12" t="s">
        <v>3620</v>
      </c>
      <c r="T2944" s="22">
        <f t="shared" si="249"/>
        <v>8</v>
      </c>
      <c r="U2944" s="22">
        <f t="shared" si="250"/>
        <v>2021</v>
      </c>
      <c r="V2944" s="22" t="str">
        <f t="shared" si="251"/>
        <v>METROPOLITANA</v>
      </c>
    </row>
    <row r="2945" spans="1:22" x14ac:dyDescent="0.2">
      <c r="A2945" s="11" t="s">
        <v>3618</v>
      </c>
      <c r="B2945" s="12" t="s">
        <v>33</v>
      </c>
      <c r="C2945" s="12" t="s">
        <v>128</v>
      </c>
      <c r="D2945" s="12" t="s">
        <v>30</v>
      </c>
      <c r="E2945" s="13" t="s">
        <v>31</v>
      </c>
      <c r="F2945" s="12" t="s">
        <v>34</v>
      </c>
      <c r="G2945" s="14">
        <v>7776.8000000000047</v>
      </c>
      <c r="H2945" s="12" t="s">
        <v>32</v>
      </c>
      <c r="I2945" s="12">
        <v>0</v>
      </c>
      <c r="J2945" s="12" t="s">
        <v>34</v>
      </c>
      <c r="K2945" s="12" t="s">
        <v>23</v>
      </c>
      <c r="L2945" s="12">
        <v>1</v>
      </c>
      <c r="M2945" s="15">
        <v>85545</v>
      </c>
      <c r="N2945" s="15">
        <v>0</v>
      </c>
      <c r="O2945" s="15">
        <f t="shared" si="254"/>
        <v>85545</v>
      </c>
      <c r="P2945" s="15">
        <f t="shared" si="253"/>
        <v>11.000025717518767</v>
      </c>
      <c r="Q2945" s="14">
        <v>5000</v>
      </c>
      <c r="R2945" s="12">
        <v>100</v>
      </c>
      <c r="S2945" s="12" t="s">
        <v>3621</v>
      </c>
      <c r="T2945" s="22">
        <f t="shared" si="249"/>
        <v>8</v>
      </c>
      <c r="U2945" s="22">
        <f t="shared" si="250"/>
        <v>2021</v>
      </c>
      <c r="V2945" s="22" t="str">
        <f t="shared" si="251"/>
        <v>METROPOLITANA</v>
      </c>
    </row>
    <row r="2946" spans="1:22" x14ac:dyDescent="0.2">
      <c r="A2946" s="11" t="s">
        <v>3618</v>
      </c>
      <c r="B2946" s="12" t="s">
        <v>33</v>
      </c>
      <c r="C2946" s="12" t="s">
        <v>128</v>
      </c>
      <c r="D2946" s="12" t="s">
        <v>41</v>
      </c>
      <c r="E2946" s="13" t="s">
        <v>25</v>
      </c>
      <c r="F2946" s="12" t="s">
        <v>34</v>
      </c>
      <c r="G2946" s="14">
        <v>6181.4000000000024</v>
      </c>
      <c r="H2946" s="12" t="s">
        <v>43</v>
      </c>
      <c r="I2946" s="12">
        <v>0</v>
      </c>
      <c r="J2946" s="12" t="s">
        <v>34</v>
      </c>
      <c r="K2946" s="12" t="s">
        <v>23</v>
      </c>
      <c r="L2946" s="12">
        <v>1</v>
      </c>
      <c r="M2946" s="15">
        <v>67995</v>
      </c>
      <c r="N2946" s="15">
        <v>0</v>
      </c>
      <c r="O2946" s="15">
        <f t="shared" si="254"/>
        <v>67995</v>
      </c>
      <c r="P2946" s="15">
        <f t="shared" si="253"/>
        <v>10.999935289740185</v>
      </c>
      <c r="Q2946" s="14">
        <v>5000</v>
      </c>
      <c r="R2946" s="12">
        <v>100</v>
      </c>
      <c r="S2946" s="12" t="s">
        <v>3622</v>
      </c>
      <c r="T2946" s="22">
        <f t="shared" si="249"/>
        <v>8</v>
      </c>
      <c r="U2946" s="22">
        <f t="shared" si="250"/>
        <v>2021</v>
      </c>
      <c r="V2946" s="22" t="str">
        <f t="shared" si="251"/>
        <v>METROPOLITANA</v>
      </c>
    </row>
    <row r="2947" spans="1:22" x14ac:dyDescent="0.2">
      <c r="A2947" s="11" t="s">
        <v>3618</v>
      </c>
      <c r="B2947" s="12" t="s">
        <v>33</v>
      </c>
      <c r="C2947" s="12" t="s">
        <v>36</v>
      </c>
      <c r="D2947" s="12" t="s">
        <v>38</v>
      </c>
      <c r="E2947" s="13" t="s">
        <v>25</v>
      </c>
      <c r="F2947" s="12" t="s">
        <v>194</v>
      </c>
      <c r="G2947" s="14">
        <v>8502</v>
      </c>
      <c r="H2947" s="12" t="s">
        <v>43</v>
      </c>
      <c r="I2947" s="12">
        <v>0</v>
      </c>
      <c r="J2947" s="12" t="s">
        <v>194</v>
      </c>
      <c r="K2947" s="12" t="s">
        <v>23</v>
      </c>
      <c r="L2947" s="12">
        <v>4</v>
      </c>
      <c r="M2947" s="15">
        <v>93522</v>
      </c>
      <c r="N2947" s="15">
        <v>0</v>
      </c>
      <c r="O2947" s="15">
        <f t="shared" si="254"/>
        <v>93522</v>
      </c>
      <c r="P2947" s="15">
        <f t="shared" si="253"/>
        <v>11</v>
      </c>
      <c r="Q2947" s="14">
        <v>5000</v>
      </c>
      <c r="R2947" s="12">
        <v>100</v>
      </c>
      <c r="S2947" s="12" t="s">
        <v>3623</v>
      </c>
      <c r="T2947" s="22">
        <f t="shared" si="249"/>
        <v>8</v>
      </c>
      <c r="U2947" s="22">
        <f t="shared" si="250"/>
        <v>2021</v>
      </c>
      <c r="V2947" s="22" t="str">
        <f t="shared" si="251"/>
        <v>METROPOLITANA</v>
      </c>
    </row>
    <row r="2948" spans="1:22" x14ac:dyDescent="0.2">
      <c r="A2948" s="11" t="s">
        <v>3618</v>
      </c>
      <c r="B2948" s="12" t="s">
        <v>33</v>
      </c>
      <c r="C2948" s="12" t="s">
        <v>223</v>
      </c>
      <c r="D2948" s="12" t="s">
        <v>125</v>
      </c>
      <c r="E2948" s="13" t="s">
        <v>126</v>
      </c>
      <c r="F2948" s="12" t="s">
        <v>2308</v>
      </c>
      <c r="G2948" s="14">
        <v>14002</v>
      </c>
      <c r="H2948" s="12" t="s">
        <v>174</v>
      </c>
      <c r="I2948" s="12">
        <v>0</v>
      </c>
      <c r="J2948" s="12" t="s">
        <v>2308</v>
      </c>
      <c r="K2948" s="12" t="s">
        <v>2309</v>
      </c>
      <c r="L2948" s="12">
        <v>0</v>
      </c>
      <c r="M2948" s="15">
        <v>750000</v>
      </c>
      <c r="N2948" s="15">
        <v>0</v>
      </c>
      <c r="O2948" s="15">
        <f t="shared" si="254"/>
        <v>750000</v>
      </c>
      <c r="P2948" s="15">
        <f t="shared" si="253"/>
        <v>53.563776603342383</v>
      </c>
      <c r="Q2948" s="14">
        <v>25000</v>
      </c>
      <c r="R2948" s="12">
        <v>68</v>
      </c>
      <c r="S2948" s="12" t="s">
        <v>3624</v>
      </c>
      <c r="T2948" s="22">
        <f t="shared" si="249"/>
        <v>8</v>
      </c>
      <c r="U2948" s="22">
        <f t="shared" si="250"/>
        <v>2021</v>
      </c>
      <c r="V2948" s="22" t="str">
        <f t="shared" si="251"/>
        <v>REGIONES</v>
      </c>
    </row>
    <row r="2949" spans="1:22" x14ac:dyDescent="0.2">
      <c r="A2949" s="11" t="s">
        <v>3618</v>
      </c>
      <c r="B2949" s="12" t="s">
        <v>33</v>
      </c>
      <c r="C2949" s="12" t="s">
        <v>29</v>
      </c>
      <c r="D2949" s="12" t="s">
        <v>191</v>
      </c>
      <c r="E2949" s="13" t="s">
        <v>192</v>
      </c>
      <c r="F2949" s="12" t="s">
        <v>132</v>
      </c>
      <c r="G2949" s="14">
        <v>13177.599999999989</v>
      </c>
      <c r="H2949" s="12" t="s">
        <v>85</v>
      </c>
      <c r="I2949" s="12">
        <v>1</v>
      </c>
      <c r="J2949" s="12" t="s">
        <v>132</v>
      </c>
      <c r="K2949" s="12" t="s">
        <v>124</v>
      </c>
      <c r="L2949" s="12">
        <v>0</v>
      </c>
      <c r="M2949" s="15">
        <v>350000</v>
      </c>
      <c r="N2949" s="15">
        <v>0</v>
      </c>
      <c r="O2949" s="15">
        <f t="shared" si="254"/>
        <v>350000</v>
      </c>
      <c r="P2949" s="15">
        <f t="shared" si="253"/>
        <v>26.560223409422072</v>
      </c>
      <c r="Q2949" s="14">
        <v>25000</v>
      </c>
      <c r="R2949" s="12">
        <v>65</v>
      </c>
      <c r="S2949" s="12" t="s">
        <v>3625</v>
      </c>
      <c r="T2949" s="22">
        <f t="shared" si="249"/>
        <v>8</v>
      </c>
      <c r="U2949" s="22">
        <f t="shared" si="250"/>
        <v>2021</v>
      </c>
      <c r="V2949" s="22" t="str">
        <f t="shared" si="251"/>
        <v>REGIONES</v>
      </c>
    </row>
    <row r="2950" spans="1:22" x14ac:dyDescent="0.2">
      <c r="A2950" s="11" t="s">
        <v>3618</v>
      </c>
      <c r="B2950" s="12" t="s">
        <v>33</v>
      </c>
      <c r="C2950" s="12" t="s">
        <v>29</v>
      </c>
      <c r="D2950" s="12" t="s">
        <v>38</v>
      </c>
      <c r="E2950" s="13" t="s">
        <v>25</v>
      </c>
      <c r="F2950" s="12" t="s">
        <v>39</v>
      </c>
      <c r="G2950" s="14">
        <v>2748</v>
      </c>
      <c r="H2950" s="12" t="s">
        <v>43</v>
      </c>
      <c r="I2950" s="12">
        <v>0</v>
      </c>
      <c r="J2950" s="12" t="s">
        <v>39</v>
      </c>
      <c r="K2950" s="12" t="s">
        <v>23</v>
      </c>
      <c r="L2950" s="12">
        <v>1</v>
      </c>
      <c r="M2950" s="15">
        <v>55000</v>
      </c>
      <c r="N2950" s="15">
        <v>0</v>
      </c>
      <c r="O2950" s="15">
        <f t="shared" si="254"/>
        <v>55000</v>
      </c>
      <c r="P2950" s="15">
        <f t="shared" si="253"/>
        <v>20.014556040756915</v>
      </c>
      <c r="Q2950" s="14">
        <v>5000</v>
      </c>
      <c r="R2950" s="12">
        <v>70</v>
      </c>
      <c r="S2950" s="12" t="s">
        <v>3626</v>
      </c>
      <c r="T2950" s="22">
        <f t="shared" si="249"/>
        <v>8</v>
      </c>
      <c r="U2950" s="22">
        <f t="shared" si="250"/>
        <v>2021</v>
      </c>
      <c r="V2950" s="22" t="str">
        <f t="shared" si="251"/>
        <v>METROPOLITANA</v>
      </c>
    </row>
    <row r="2951" spans="1:22" x14ac:dyDescent="0.2">
      <c r="A2951" s="11" t="s">
        <v>3618</v>
      </c>
      <c r="B2951" s="12" t="s">
        <v>33</v>
      </c>
      <c r="C2951" s="12" t="s">
        <v>29</v>
      </c>
      <c r="D2951" s="12" t="s">
        <v>30</v>
      </c>
      <c r="E2951" s="13" t="s">
        <v>31</v>
      </c>
      <c r="F2951" s="12" t="s">
        <v>173</v>
      </c>
      <c r="G2951" s="14">
        <v>9004.7999999999975</v>
      </c>
      <c r="H2951" s="12" t="s">
        <v>32</v>
      </c>
      <c r="I2951" s="12">
        <v>0</v>
      </c>
      <c r="J2951" s="12" t="s">
        <v>173</v>
      </c>
      <c r="K2951" s="12" t="s">
        <v>23</v>
      </c>
      <c r="L2951" s="12">
        <v>5</v>
      </c>
      <c r="M2951" s="15">
        <v>90000</v>
      </c>
      <c r="N2951" s="15">
        <v>0</v>
      </c>
      <c r="O2951" s="15">
        <f t="shared" si="254"/>
        <v>90000</v>
      </c>
      <c r="P2951" s="15">
        <f t="shared" si="253"/>
        <v>9.9946695095948854</v>
      </c>
      <c r="Q2951" s="14">
        <v>10000</v>
      </c>
      <c r="R2951" s="12">
        <v>90</v>
      </c>
      <c r="S2951" s="12" t="s">
        <v>3627</v>
      </c>
      <c r="T2951" s="22">
        <f t="shared" si="249"/>
        <v>8</v>
      </c>
      <c r="U2951" s="22">
        <f t="shared" si="250"/>
        <v>2021</v>
      </c>
      <c r="V2951" s="22" t="str">
        <f t="shared" si="251"/>
        <v>METROPOLITANA</v>
      </c>
    </row>
    <row r="2952" spans="1:22" x14ac:dyDescent="0.2">
      <c r="A2952" s="11" t="s">
        <v>3618</v>
      </c>
      <c r="B2952" s="12" t="s">
        <v>33</v>
      </c>
      <c r="C2952" s="12" t="s">
        <v>44</v>
      </c>
      <c r="D2952" s="12" t="s">
        <v>2262</v>
      </c>
      <c r="E2952" s="13" t="s">
        <v>83</v>
      </c>
      <c r="F2952" s="12" t="s">
        <v>84</v>
      </c>
      <c r="G2952" s="14">
        <f>11402+2663</f>
        <v>14065</v>
      </c>
      <c r="H2952" s="12" t="s">
        <v>24</v>
      </c>
      <c r="I2952" s="12">
        <v>1</v>
      </c>
      <c r="J2952" s="12" t="s">
        <v>84</v>
      </c>
      <c r="K2952" s="12" t="s">
        <v>86</v>
      </c>
      <c r="L2952" s="12">
        <v>0</v>
      </c>
      <c r="M2952" s="15">
        <v>320000</v>
      </c>
      <c r="N2952" s="15">
        <v>0</v>
      </c>
      <c r="O2952" s="15">
        <f t="shared" si="254"/>
        <v>320000</v>
      </c>
      <c r="P2952" s="15">
        <f t="shared" si="253"/>
        <v>22.751510842516886</v>
      </c>
      <c r="Q2952" s="14">
        <v>25000</v>
      </c>
      <c r="R2952" s="12">
        <v>85</v>
      </c>
      <c r="S2952" s="12" t="s">
        <v>3632</v>
      </c>
      <c r="T2952" s="22">
        <f t="shared" ref="T2952:T3015" si="255">MONTH(A2952)</f>
        <v>8</v>
      </c>
      <c r="U2952" s="22">
        <f t="shared" ref="U2952:U3015" si="256">YEAR(A2952)</f>
        <v>2021</v>
      </c>
      <c r="V2952" s="22" t="str">
        <f t="shared" ref="V2952:V3015" si="257">IF(K2952="METROPOLITANA DE SANTIAGO","METROPOLITANA","REGIONES")</f>
        <v>REGIONES</v>
      </c>
    </row>
    <row r="2953" spans="1:22" x14ac:dyDescent="0.2">
      <c r="A2953" s="11" t="s">
        <v>3618</v>
      </c>
      <c r="B2953" s="12" t="s">
        <v>33</v>
      </c>
      <c r="C2953" s="12" t="s">
        <v>44</v>
      </c>
      <c r="D2953" s="12" t="s">
        <v>27</v>
      </c>
      <c r="E2953" s="13" t="s">
        <v>28</v>
      </c>
      <c r="F2953" s="12" t="s">
        <v>251</v>
      </c>
      <c r="G2953" s="14">
        <v>3201.2000000000012</v>
      </c>
      <c r="H2953" s="12" t="s">
        <v>22</v>
      </c>
      <c r="I2953" s="12">
        <v>1</v>
      </c>
      <c r="J2953" s="12" t="s">
        <v>251</v>
      </c>
      <c r="K2953" s="12" t="s">
        <v>78</v>
      </c>
      <c r="L2953" s="12">
        <v>0</v>
      </c>
      <c r="M2953" s="15">
        <v>230000</v>
      </c>
      <c r="N2953" s="15">
        <v>0</v>
      </c>
      <c r="O2953" s="15">
        <f t="shared" si="254"/>
        <v>230000</v>
      </c>
      <c r="P2953" s="15">
        <f t="shared" si="253"/>
        <v>71.848056978632982</v>
      </c>
      <c r="Q2953" s="14">
        <v>25000</v>
      </c>
      <c r="R2953" s="12">
        <v>65</v>
      </c>
      <c r="S2953" s="12" t="s">
        <v>3628</v>
      </c>
      <c r="T2953" s="22">
        <f t="shared" si="255"/>
        <v>8</v>
      </c>
      <c r="U2953" s="22">
        <f t="shared" si="256"/>
        <v>2021</v>
      </c>
      <c r="V2953" s="22" t="str">
        <f t="shared" si="257"/>
        <v>REGIONES</v>
      </c>
    </row>
    <row r="2954" spans="1:22" x14ac:dyDescent="0.2">
      <c r="A2954" s="11" t="s">
        <v>3618</v>
      </c>
      <c r="B2954" s="12" t="s">
        <v>33</v>
      </c>
      <c r="C2954" s="12" t="s">
        <v>44</v>
      </c>
      <c r="D2954" s="12" t="s">
        <v>47</v>
      </c>
      <c r="E2954" s="13" t="s">
        <v>52</v>
      </c>
      <c r="F2954" s="12" t="s">
        <v>48</v>
      </c>
      <c r="G2954" s="14">
        <v>9954.7999999999993</v>
      </c>
      <c r="H2954" s="12" t="s">
        <v>22</v>
      </c>
      <c r="I2954" s="12">
        <v>0</v>
      </c>
      <c r="J2954" s="12" t="s">
        <v>48</v>
      </c>
      <c r="K2954" s="12" t="s">
        <v>23</v>
      </c>
      <c r="L2954" s="12">
        <v>1</v>
      </c>
      <c r="M2954" s="15">
        <v>109503</v>
      </c>
      <c r="N2954" s="15">
        <v>0</v>
      </c>
      <c r="O2954" s="15">
        <f t="shared" si="254"/>
        <v>109503</v>
      </c>
      <c r="P2954" s="15">
        <f t="shared" si="253"/>
        <v>11.000020090810464</v>
      </c>
      <c r="Q2954" s="14">
        <v>5000</v>
      </c>
      <c r="R2954" s="12">
        <v>100</v>
      </c>
      <c r="S2954" s="12" t="s">
        <v>3629</v>
      </c>
      <c r="T2954" s="22">
        <f t="shared" si="255"/>
        <v>8</v>
      </c>
      <c r="U2954" s="22">
        <f t="shared" si="256"/>
        <v>2021</v>
      </c>
      <c r="V2954" s="22" t="str">
        <f t="shared" si="257"/>
        <v>METROPOLITANA</v>
      </c>
    </row>
    <row r="2955" spans="1:22" x14ac:dyDescent="0.2">
      <c r="A2955" s="11" t="s">
        <v>3618</v>
      </c>
      <c r="B2955" s="12" t="s">
        <v>33</v>
      </c>
      <c r="C2955" s="12" t="s">
        <v>44</v>
      </c>
      <c r="D2955" s="12" t="s">
        <v>3630</v>
      </c>
      <c r="E2955" s="13" t="s">
        <v>3631</v>
      </c>
      <c r="F2955" s="12" t="s">
        <v>815</v>
      </c>
      <c r="G2955" s="14">
        <f>11238.8+1025</f>
        <v>12263.8</v>
      </c>
      <c r="H2955" s="12" t="s">
        <v>24</v>
      </c>
      <c r="I2955" s="12">
        <v>1</v>
      </c>
      <c r="J2955" s="12" t="s">
        <v>815</v>
      </c>
      <c r="K2955" s="12" t="s">
        <v>75</v>
      </c>
      <c r="L2955" s="12">
        <v>0</v>
      </c>
      <c r="M2955" s="15">
        <v>420000</v>
      </c>
      <c r="N2955" s="15">
        <v>0</v>
      </c>
      <c r="O2955" s="15">
        <f t="shared" si="254"/>
        <v>420000</v>
      </c>
      <c r="P2955" s="15">
        <f t="shared" si="253"/>
        <v>34.247133841060688</v>
      </c>
      <c r="Q2955" s="14">
        <v>25000</v>
      </c>
      <c r="R2955" s="12">
        <v>80</v>
      </c>
      <c r="S2955" s="12" t="s">
        <v>3633</v>
      </c>
      <c r="T2955" s="22">
        <f t="shared" si="255"/>
        <v>8</v>
      </c>
      <c r="U2955" s="22">
        <f t="shared" si="256"/>
        <v>2021</v>
      </c>
      <c r="V2955" s="22" t="str">
        <f t="shared" si="257"/>
        <v>REGIONES</v>
      </c>
    </row>
    <row r="2956" spans="1:22" x14ac:dyDescent="0.2">
      <c r="A2956" s="23" t="s">
        <v>3634</v>
      </c>
      <c r="B2956" s="22" t="s">
        <v>18</v>
      </c>
      <c r="C2956" s="22" t="s">
        <v>457</v>
      </c>
      <c r="D2956" s="22" t="s">
        <v>3635</v>
      </c>
      <c r="E2956" s="24" t="s">
        <v>3636</v>
      </c>
      <c r="F2956" s="22" t="s">
        <v>195</v>
      </c>
      <c r="G2956" s="25">
        <v>15890.28</v>
      </c>
      <c r="H2956" s="22" t="s">
        <v>24</v>
      </c>
      <c r="I2956" s="22">
        <v>1</v>
      </c>
      <c r="J2956" s="22" t="s">
        <v>195</v>
      </c>
      <c r="K2956" s="22" t="s">
        <v>124</v>
      </c>
      <c r="L2956" s="22">
        <v>0</v>
      </c>
      <c r="M2956" s="26">
        <v>350000</v>
      </c>
      <c r="N2956" s="26">
        <v>0</v>
      </c>
      <c r="O2956" s="15">
        <f t="shared" si="254"/>
        <v>350000</v>
      </c>
      <c r="P2956" s="15">
        <f t="shared" si="253"/>
        <v>22.026043593945481</v>
      </c>
      <c r="Q2956" s="25">
        <v>25000</v>
      </c>
      <c r="R2956" s="22">
        <v>85</v>
      </c>
      <c r="S2956" s="22" t="s">
        <v>3637</v>
      </c>
      <c r="T2956" s="22">
        <f t="shared" si="255"/>
        <v>8</v>
      </c>
      <c r="U2956" s="22">
        <f t="shared" si="256"/>
        <v>2021</v>
      </c>
      <c r="V2956" s="22" t="str">
        <f t="shared" si="257"/>
        <v>REGIONES</v>
      </c>
    </row>
    <row r="2957" spans="1:22" x14ac:dyDescent="0.2">
      <c r="A2957" s="23" t="s">
        <v>3634</v>
      </c>
      <c r="B2957" s="22" t="s">
        <v>18</v>
      </c>
      <c r="C2957" s="22" t="s">
        <v>457</v>
      </c>
      <c r="D2957" s="22" t="s">
        <v>3638</v>
      </c>
      <c r="E2957" s="24" t="s">
        <v>3639</v>
      </c>
      <c r="F2957" s="22" t="s">
        <v>132</v>
      </c>
      <c r="G2957" s="25">
        <v>24903.8</v>
      </c>
      <c r="H2957" s="22" t="s">
        <v>24</v>
      </c>
      <c r="I2957" s="22">
        <v>1</v>
      </c>
      <c r="J2957" s="22" t="s">
        <v>132</v>
      </c>
      <c r="K2957" s="22" t="s">
        <v>124</v>
      </c>
      <c r="L2957" s="22">
        <v>0</v>
      </c>
      <c r="M2957" s="26">
        <v>350000</v>
      </c>
      <c r="N2957" s="26">
        <v>0</v>
      </c>
      <c r="O2957" s="15">
        <f t="shared" si="254"/>
        <v>350000</v>
      </c>
      <c r="P2957" s="15">
        <f t="shared" si="253"/>
        <v>14.054080100225669</v>
      </c>
      <c r="Q2957" s="25">
        <v>25000</v>
      </c>
      <c r="R2957" s="22">
        <v>100</v>
      </c>
      <c r="S2957" s="22" t="s">
        <v>3640</v>
      </c>
      <c r="T2957" s="22">
        <f t="shared" si="255"/>
        <v>8</v>
      </c>
      <c r="U2957" s="22">
        <f t="shared" si="256"/>
        <v>2021</v>
      </c>
      <c r="V2957" s="22" t="str">
        <f t="shared" si="257"/>
        <v>REGIONES</v>
      </c>
    </row>
    <row r="2958" spans="1:22" x14ac:dyDescent="0.2">
      <c r="A2958" s="23" t="s">
        <v>3634</v>
      </c>
      <c r="B2958" s="22" t="s">
        <v>18</v>
      </c>
      <c r="C2958" s="22" t="s">
        <v>457</v>
      </c>
      <c r="D2958" s="22" t="s">
        <v>3641</v>
      </c>
      <c r="E2958" s="24" t="s">
        <v>3642</v>
      </c>
      <c r="F2958" s="22" t="s">
        <v>132</v>
      </c>
      <c r="G2958" s="25">
        <v>17096.87999999999</v>
      </c>
      <c r="H2958" s="22" t="s">
        <v>24</v>
      </c>
      <c r="I2958" s="22">
        <v>1</v>
      </c>
      <c r="J2958" s="22" t="s">
        <v>132</v>
      </c>
      <c r="K2958" s="22" t="s">
        <v>124</v>
      </c>
      <c r="L2958" s="22">
        <v>0</v>
      </c>
      <c r="M2958" s="26">
        <v>350000</v>
      </c>
      <c r="N2958" s="26">
        <v>0</v>
      </c>
      <c r="O2958" s="15">
        <f t="shared" si="254"/>
        <v>350000</v>
      </c>
      <c r="P2958" s="15">
        <f t="shared" si="253"/>
        <v>20.471571421218385</v>
      </c>
      <c r="Q2958" s="25">
        <v>25000</v>
      </c>
      <c r="R2958" s="22">
        <v>75</v>
      </c>
      <c r="S2958" s="22" t="s">
        <v>3643</v>
      </c>
      <c r="T2958" s="22">
        <f t="shared" si="255"/>
        <v>8</v>
      </c>
      <c r="U2958" s="22">
        <f t="shared" si="256"/>
        <v>2021</v>
      </c>
      <c r="V2958" s="22" t="str">
        <f t="shared" si="257"/>
        <v>REGIONES</v>
      </c>
    </row>
    <row r="2959" spans="1:22" x14ac:dyDescent="0.2">
      <c r="A2959" s="23" t="s">
        <v>3634</v>
      </c>
      <c r="B2959" s="22" t="s">
        <v>18</v>
      </c>
      <c r="C2959" s="22" t="s">
        <v>457</v>
      </c>
      <c r="D2959" s="22" t="s">
        <v>3644</v>
      </c>
      <c r="E2959" s="24" t="s">
        <v>119</v>
      </c>
      <c r="F2959" s="22" t="s">
        <v>195</v>
      </c>
      <c r="G2959" s="25">
        <v>16377.34</v>
      </c>
      <c r="H2959" s="22" t="s">
        <v>24</v>
      </c>
      <c r="I2959" s="22">
        <v>1</v>
      </c>
      <c r="J2959" s="22" t="s">
        <v>195</v>
      </c>
      <c r="K2959" s="22" t="s">
        <v>124</v>
      </c>
      <c r="L2959" s="22">
        <v>0</v>
      </c>
      <c r="M2959" s="26">
        <v>350000</v>
      </c>
      <c r="N2959" s="26">
        <v>0</v>
      </c>
      <c r="O2959" s="15">
        <f t="shared" si="254"/>
        <v>350000</v>
      </c>
      <c r="P2959" s="15">
        <f t="shared" si="253"/>
        <v>21.370991870474693</v>
      </c>
      <c r="Q2959" s="25">
        <v>25000</v>
      </c>
      <c r="R2959" s="22">
        <v>75</v>
      </c>
      <c r="S2959" s="22" t="s">
        <v>3645</v>
      </c>
      <c r="T2959" s="22">
        <f t="shared" si="255"/>
        <v>8</v>
      </c>
      <c r="U2959" s="22">
        <f t="shared" si="256"/>
        <v>2021</v>
      </c>
      <c r="V2959" s="22" t="str">
        <f t="shared" si="257"/>
        <v>REGIONES</v>
      </c>
    </row>
    <row r="2960" spans="1:22" x14ac:dyDescent="0.2">
      <c r="A2960" s="23" t="s">
        <v>3634</v>
      </c>
      <c r="B2960" s="22" t="s">
        <v>18</v>
      </c>
      <c r="C2960" s="22" t="s">
        <v>163</v>
      </c>
      <c r="D2960" s="22" t="s">
        <v>41</v>
      </c>
      <c r="E2960" s="24" t="s">
        <v>25</v>
      </c>
      <c r="F2960" s="22" t="s">
        <v>165</v>
      </c>
      <c r="G2960" s="25">
        <v>6574.0800000000008</v>
      </c>
      <c r="H2960" s="22" t="s">
        <v>43</v>
      </c>
      <c r="I2960" s="22">
        <v>0</v>
      </c>
      <c r="J2960" s="22" t="s">
        <v>165</v>
      </c>
      <c r="K2960" s="22" t="s">
        <v>23</v>
      </c>
      <c r="L2960" s="22">
        <v>4</v>
      </c>
      <c r="M2960" s="26">
        <v>72315</v>
      </c>
      <c r="N2960" s="26">
        <v>0</v>
      </c>
      <c r="O2960" s="15">
        <f t="shared" si="254"/>
        <v>72315</v>
      </c>
      <c r="P2960" s="15">
        <f t="shared" si="253"/>
        <v>11.000018253504672</v>
      </c>
      <c r="Q2960" s="25">
        <v>5000</v>
      </c>
      <c r="R2960" s="22">
        <v>100</v>
      </c>
      <c r="S2960" s="22" t="s">
        <v>3646</v>
      </c>
      <c r="T2960" s="22">
        <f t="shared" si="255"/>
        <v>8</v>
      </c>
      <c r="U2960" s="22">
        <f t="shared" si="256"/>
        <v>2021</v>
      </c>
      <c r="V2960" s="22" t="str">
        <f t="shared" si="257"/>
        <v>METROPOLITANA</v>
      </c>
    </row>
    <row r="2961" spans="1:22" x14ac:dyDescent="0.2">
      <c r="A2961" s="23" t="s">
        <v>3634</v>
      </c>
      <c r="B2961" s="22" t="s">
        <v>33</v>
      </c>
      <c r="C2961" s="22" t="s">
        <v>2623</v>
      </c>
      <c r="D2961" s="22" t="s">
        <v>27</v>
      </c>
      <c r="E2961" s="24" t="s">
        <v>28</v>
      </c>
      <c r="F2961" s="22" t="s">
        <v>2004</v>
      </c>
      <c r="G2961" s="25">
        <v>9379.9999999999982</v>
      </c>
      <c r="H2961" s="22" t="s">
        <v>22</v>
      </c>
      <c r="I2961" s="22">
        <v>1</v>
      </c>
      <c r="J2961" s="22" t="s">
        <v>2004</v>
      </c>
      <c r="K2961" s="22" t="s">
        <v>23</v>
      </c>
      <c r="L2961" s="22">
        <v>5</v>
      </c>
      <c r="M2961" s="26">
        <v>120000</v>
      </c>
      <c r="N2961" s="26">
        <v>0</v>
      </c>
      <c r="O2961" s="15">
        <f t="shared" ref="O2961:O2992" si="258">SUM(M2961:N2961)</f>
        <v>120000</v>
      </c>
      <c r="P2961" s="15">
        <f t="shared" si="253"/>
        <v>12.793176972281453</v>
      </c>
      <c r="Q2961" s="25">
        <v>10000</v>
      </c>
      <c r="R2961" s="22">
        <v>94</v>
      </c>
      <c r="S2961" s="22" t="s">
        <v>3647</v>
      </c>
      <c r="T2961" s="22">
        <f t="shared" si="255"/>
        <v>8</v>
      </c>
      <c r="U2961" s="22">
        <f t="shared" si="256"/>
        <v>2021</v>
      </c>
      <c r="V2961" s="22" t="str">
        <f t="shared" si="257"/>
        <v>METROPOLITANA</v>
      </c>
    </row>
    <row r="2962" spans="1:22" x14ac:dyDescent="0.2">
      <c r="A2962" s="23" t="s">
        <v>3634</v>
      </c>
      <c r="B2962" s="22" t="s">
        <v>33</v>
      </c>
      <c r="C2962" s="22" t="s">
        <v>3460</v>
      </c>
      <c r="D2962" s="22" t="s">
        <v>37</v>
      </c>
      <c r="E2962" s="24" t="s">
        <v>1576</v>
      </c>
      <c r="F2962" s="22" t="s">
        <v>554</v>
      </c>
      <c r="G2962" s="25">
        <v>8502</v>
      </c>
      <c r="H2962" s="22" t="s">
        <v>22</v>
      </c>
      <c r="I2962" s="22">
        <v>0</v>
      </c>
      <c r="J2962" s="22" t="s">
        <v>554</v>
      </c>
      <c r="K2962" s="22" t="s">
        <v>23</v>
      </c>
      <c r="L2962" s="22">
        <v>4</v>
      </c>
      <c r="M2962" s="26">
        <v>93522</v>
      </c>
      <c r="N2962" s="26">
        <v>0</v>
      </c>
      <c r="O2962" s="15">
        <f t="shared" si="258"/>
        <v>93522</v>
      </c>
      <c r="P2962" s="15">
        <f t="shared" si="253"/>
        <v>11</v>
      </c>
      <c r="Q2962" s="25">
        <v>5000</v>
      </c>
      <c r="R2962" s="22">
        <v>100</v>
      </c>
      <c r="S2962" s="22" t="s">
        <v>3648</v>
      </c>
      <c r="T2962" s="22">
        <f t="shared" si="255"/>
        <v>8</v>
      </c>
      <c r="U2962" s="22">
        <f t="shared" si="256"/>
        <v>2021</v>
      </c>
      <c r="V2962" s="22" t="str">
        <f t="shared" si="257"/>
        <v>METROPOLITANA</v>
      </c>
    </row>
    <row r="2963" spans="1:22" x14ac:dyDescent="0.2">
      <c r="A2963" s="23" t="s">
        <v>3634</v>
      </c>
      <c r="B2963" s="22" t="s">
        <v>33</v>
      </c>
      <c r="C2963" s="22" t="s">
        <v>128</v>
      </c>
      <c r="D2963" s="22" t="s">
        <v>2955</v>
      </c>
      <c r="E2963" s="24" t="s">
        <v>2956</v>
      </c>
      <c r="F2963" s="22" t="s">
        <v>129</v>
      </c>
      <c r="G2963" s="25">
        <v>2851.1999999999989</v>
      </c>
      <c r="H2963" s="22" t="s">
        <v>24</v>
      </c>
      <c r="I2963" s="22">
        <v>1</v>
      </c>
      <c r="J2963" s="22" t="s">
        <v>129</v>
      </c>
      <c r="K2963" s="22" t="s">
        <v>23</v>
      </c>
      <c r="L2963" s="22">
        <v>1</v>
      </c>
      <c r="M2963" s="26">
        <v>55000</v>
      </c>
      <c r="N2963" s="26">
        <v>0</v>
      </c>
      <c r="O2963" s="15">
        <f t="shared" si="258"/>
        <v>55000</v>
      </c>
      <c r="P2963" s="15">
        <f t="shared" si="253"/>
        <v>19.290123456790131</v>
      </c>
      <c r="Q2963" s="25">
        <v>5000</v>
      </c>
      <c r="R2963" s="22">
        <v>76</v>
      </c>
      <c r="S2963" s="22" t="s">
        <v>3649</v>
      </c>
      <c r="T2963" s="22">
        <f t="shared" si="255"/>
        <v>8</v>
      </c>
      <c r="U2963" s="22">
        <f t="shared" si="256"/>
        <v>2021</v>
      </c>
      <c r="V2963" s="22" t="str">
        <f t="shared" si="257"/>
        <v>METROPOLITANA</v>
      </c>
    </row>
    <row r="2964" spans="1:22" x14ac:dyDescent="0.2">
      <c r="A2964" s="23" t="s">
        <v>3634</v>
      </c>
      <c r="B2964" s="22" t="s">
        <v>33</v>
      </c>
      <c r="C2964" s="22" t="s">
        <v>128</v>
      </c>
      <c r="D2964" s="22" t="s">
        <v>2955</v>
      </c>
      <c r="E2964" s="24" t="s">
        <v>28</v>
      </c>
      <c r="F2964" s="22" t="s">
        <v>129</v>
      </c>
      <c r="G2964" s="25">
        <v>6652.800000000002</v>
      </c>
      <c r="H2964" s="22" t="s">
        <v>24</v>
      </c>
      <c r="I2964" s="22">
        <v>1</v>
      </c>
      <c r="J2964" s="22" t="s">
        <v>129</v>
      </c>
      <c r="K2964" s="22" t="s">
        <v>23</v>
      </c>
      <c r="L2964" s="22">
        <v>1</v>
      </c>
      <c r="M2964" s="26">
        <v>73181</v>
      </c>
      <c r="N2964" s="26">
        <v>0</v>
      </c>
      <c r="O2964" s="15">
        <f t="shared" si="258"/>
        <v>73181</v>
      </c>
      <c r="P2964" s="15">
        <f t="shared" si="253"/>
        <v>11.00003006253006</v>
      </c>
      <c r="Q2964" s="25">
        <v>5000</v>
      </c>
      <c r="R2964" s="22">
        <v>100</v>
      </c>
      <c r="S2964" s="22" t="s">
        <v>3650</v>
      </c>
      <c r="T2964" s="22">
        <f t="shared" si="255"/>
        <v>8</v>
      </c>
      <c r="U2964" s="22">
        <f t="shared" si="256"/>
        <v>2021</v>
      </c>
      <c r="V2964" s="22" t="str">
        <f t="shared" si="257"/>
        <v>METROPOLITANA</v>
      </c>
    </row>
    <row r="2965" spans="1:22" x14ac:dyDescent="0.2">
      <c r="A2965" s="23" t="s">
        <v>3634</v>
      </c>
      <c r="B2965" s="22" t="s">
        <v>33</v>
      </c>
      <c r="C2965" s="22" t="s">
        <v>36</v>
      </c>
      <c r="D2965" s="22" t="s">
        <v>786</v>
      </c>
      <c r="E2965" s="24" t="s">
        <v>787</v>
      </c>
      <c r="F2965" s="22" t="s">
        <v>893</v>
      </c>
      <c r="G2965" s="25">
        <f>8853.6+1099</f>
        <v>9952.6</v>
      </c>
      <c r="H2965" s="22" t="s">
        <v>788</v>
      </c>
      <c r="I2965" s="22">
        <v>1</v>
      </c>
      <c r="J2965" s="22" t="s">
        <v>893</v>
      </c>
      <c r="K2965" s="22" t="s">
        <v>437</v>
      </c>
      <c r="L2965" s="22">
        <v>0</v>
      </c>
      <c r="M2965" s="26">
        <v>900000</v>
      </c>
      <c r="N2965" s="26">
        <v>0</v>
      </c>
      <c r="O2965" s="15">
        <f t="shared" si="258"/>
        <v>900000</v>
      </c>
      <c r="P2965" s="15">
        <f t="shared" si="253"/>
        <v>90.428631714325903</v>
      </c>
      <c r="Q2965" s="25">
        <v>25000</v>
      </c>
      <c r="R2965" s="22">
        <v>35</v>
      </c>
      <c r="S2965" s="22" t="s">
        <v>3660</v>
      </c>
      <c r="T2965" s="22">
        <f t="shared" si="255"/>
        <v>8</v>
      </c>
      <c r="U2965" s="22">
        <f t="shared" si="256"/>
        <v>2021</v>
      </c>
      <c r="V2965" s="22" t="str">
        <f t="shared" si="257"/>
        <v>REGIONES</v>
      </c>
    </row>
    <row r="2966" spans="1:22" x14ac:dyDescent="0.2">
      <c r="A2966" s="23" t="s">
        <v>3634</v>
      </c>
      <c r="B2966" s="22" t="s">
        <v>33</v>
      </c>
      <c r="C2966" s="22" t="s">
        <v>36</v>
      </c>
      <c r="D2966" s="22" t="s">
        <v>2955</v>
      </c>
      <c r="E2966" s="24" t="s">
        <v>2956</v>
      </c>
      <c r="F2966" s="22" t="s">
        <v>59</v>
      </c>
      <c r="G2966" s="25">
        <v>3952</v>
      </c>
      <c r="H2966" s="22" t="s">
        <v>24</v>
      </c>
      <c r="I2966" s="22">
        <v>1</v>
      </c>
      <c r="J2966" s="22" t="s">
        <v>59</v>
      </c>
      <c r="K2966" s="22" t="s">
        <v>78</v>
      </c>
      <c r="L2966" s="22">
        <v>0</v>
      </c>
      <c r="M2966" s="26">
        <v>230000</v>
      </c>
      <c r="N2966" s="26">
        <v>0</v>
      </c>
      <c r="O2966" s="15">
        <f t="shared" si="258"/>
        <v>230000</v>
      </c>
      <c r="P2966" s="15">
        <f t="shared" si="253"/>
        <v>58.198380566801617</v>
      </c>
      <c r="Q2966" s="25">
        <v>25000</v>
      </c>
      <c r="R2966" s="22">
        <v>85</v>
      </c>
      <c r="S2966" s="22" t="s">
        <v>3661</v>
      </c>
      <c r="T2966" s="22">
        <f t="shared" si="255"/>
        <v>8</v>
      </c>
      <c r="U2966" s="22">
        <f t="shared" si="256"/>
        <v>2021</v>
      </c>
      <c r="V2966" s="22" t="str">
        <f t="shared" si="257"/>
        <v>REGIONES</v>
      </c>
    </row>
    <row r="2967" spans="1:22" x14ac:dyDescent="0.2">
      <c r="A2967" s="23" t="s">
        <v>3634</v>
      </c>
      <c r="B2967" s="22" t="s">
        <v>33</v>
      </c>
      <c r="C2967" s="22" t="s">
        <v>36</v>
      </c>
      <c r="D2967" s="22" t="s">
        <v>20</v>
      </c>
      <c r="E2967" s="24" t="s">
        <v>21</v>
      </c>
      <c r="F2967" s="22" t="s">
        <v>194</v>
      </c>
      <c r="G2967" s="25">
        <v>4251</v>
      </c>
      <c r="H2967" s="22" t="s">
        <v>22</v>
      </c>
      <c r="I2967" s="22">
        <v>0</v>
      </c>
      <c r="J2967" s="22" t="s">
        <v>194</v>
      </c>
      <c r="K2967" s="22" t="s">
        <v>23</v>
      </c>
      <c r="L2967" s="22">
        <v>4</v>
      </c>
      <c r="M2967" s="26">
        <v>55000</v>
      </c>
      <c r="N2967" s="26">
        <v>0</v>
      </c>
      <c r="O2967" s="15">
        <f t="shared" si="258"/>
        <v>55000</v>
      </c>
      <c r="P2967" s="15">
        <f t="shared" si="253"/>
        <v>12.93813220418725</v>
      </c>
      <c r="Q2967" s="25">
        <v>5000</v>
      </c>
      <c r="R2967" s="22">
        <v>85</v>
      </c>
      <c r="S2967" s="22" t="s">
        <v>3651</v>
      </c>
      <c r="T2967" s="22">
        <f t="shared" si="255"/>
        <v>8</v>
      </c>
      <c r="U2967" s="22">
        <f t="shared" si="256"/>
        <v>2021</v>
      </c>
      <c r="V2967" s="22" t="str">
        <f t="shared" si="257"/>
        <v>METROPOLITANA</v>
      </c>
    </row>
    <row r="2968" spans="1:22" x14ac:dyDescent="0.2">
      <c r="A2968" s="23" t="s">
        <v>3634</v>
      </c>
      <c r="B2968" s="22" t="s">
        <v>33</v>
      </c>
      <c r="C2968" s="22" t="s">
        <v>29</v>
      </c>
      <c r="D2968" s="22" t="s">
        <v>38</v>
      </c>
      <c r="E2968" s="24" t="s">
        <v>42</v>
      </c>
      <c r="F2968" s="22" t="s">
        <v>39</v>
      </c>
      <c r="G2968" s="25">
        <v>2748</v>
      </c>
      <c r="H2968" s="22" t="s">
        <v>43</v>
      </c>
      <c r="I2968" s="22">
        <v>0</v>
      </c>
      <c r="J2968" s="22" t="s">
        <v>39</v>
      </c>
      <c r="K2968" s="22" t="s">
        <v>23</v>
      </c>
      <c r="L2968" s="22">
        <v>1</v>
      </c>
      <c r="M2968" s="26">
        <v>55000</v>
      </c>
      <c r="N2968" s="26">
        <v>0</v>
      </c>
      <c r="O2968" s="15">
        <f t="shared" si="258"/>
        <v>55000</v>
      </c>
      <c r="P2968" s="15">
        <f t="shared" si="253"/>
        <v>20.014556040756915</v>
      </c>
      <c r="Q2968" s="25">
        <v>5000</v>
      </c>
      <c r="R2968" s="22">
        <v>55</v>
      </c>
      <c r="S2968" s="22" t="s">
        <v>3652</v>
      </c>
      <c r="T2968" s="22">
        <f t="shared" si="255"/>
        <v>8</v>
      </c>
      <c r="U2968" s="22">
        <f t="shared" si="256"/>
        <v>2021</v>
      </c>
      <c r="V2968" s="22" t="str">
        <f t="shared" si="257"/>
        <v>METROPOLITANA</v>
      </c>
    </row>
    <row r="2969" spans="1:22" x14ac:dyDescent="0.2">
      <c r="A2969" s="23" t="s">
        <v>3634</v>
      </c>
      <c r="B2969" s="22" t="s">
        <v>33</v>
      </c>
      <c r="C2969" s="22" t="s">
        <v>29</v>
      </c>
      <c r="D2969" s="22" t="s">
        <v>41</v>
      </c>
      <c r="E2969" s="24" t="s">
        <v>25</v>
      </c>
      <c r="F2969" s="22" t="s">
        <v>39</v>
      </c>
      <c r="G2969" s="25">
        <v>2748</v>
      </c>
      <c r="H2969" s="22" t="s">
        <v>43</v>
      </c>
      <c r="I2969" s="22">
        <v>0</v>
      </c>
      <c r="J2969" s="22" t="s">
        <v>39</v>
      </c>
      <c r="K2969" s="22" t="s">
        <v>23</v>
      </c>
      <c r="L2969" s="22">
        <v>1</v>
      </c>
      <c r="M2969" s="26">
        <v>55000</v>
      </c>
      <c r="N2969" s="26">
        <v>0</v>
      </c>
      <c r="O2969" s="15">
        <f t="shared" si="258"/>
        <v>55000</v>
      </c>
      <c r="P2969" s="15">
        <f t="shared" si="253"/>
        <v>20.014556040756915</v>
      </c>
      <c r="Q2969" s="25">
        <v>5000</v>
      </c>
      <c r="R2969" s="22">
        <v>55</v>
      </c>
      <c r="S2969" s="22" t="s">
        <v>3653</v>
      </c>
      <c r="T2969" s="22">
        <f t="shared" si="255"/>
        <v>8</v>
      </c>
      <c r="U2969" s="22">
        <f t="shared" si="256"/>
        <v>2021</v>
      </c>
      <c r="V2969" s="22" t="str">
        <f t="shared" si="257"/>
        <v>METROPOLITANA</v>
      </c>
    </row>
    <row r="2970" spans="1:22" x14ac:dyDescent="0.2">
      <c r="A2970" s="23" t="s">
        <v>3634</v>
      </c>
      <c r="B2970" s="22" t="s">
        <v>33</v>
      </c>
      <c r="C2970" s="22" t="s">
        <v>44</v>
      </c>
      <c r="D2970" s="22" t="s">
        <v>63</v>
      </c>
      <c r="E2970" s="24" t="s">
        <v>64</v>
      </c>
      <c r="F2970" s="22" t="s">
        <v>138</v>
      </c>
      <c r="G2970" s="25">
        <v>4189.2</v>
      </c>
      <c r="H2970" s="22" t="s">
        <v>65</v>
      </c>
      <c r="I2970" s="22">
        <v>0</v>
      </c>
      <c r="J2970" s="22" t="s">
        <v>138</v>
      </c>
      <c r="K2970" s="22" t="s">
        <v>23</v>
      </c>
      <c r="L2970" s="22">
        <v>3</v>
      </c>
      <c r="M2970" s="26">
        <v>55000</v>
      </c>
      <c r="N2970" s="26">
        <v>0</v>
      </c>
      <c r="O2970" s="15">
        <f t="shared" si="258"/>
        <v>55000</v>
      </c>
      <c r="P2970" s="15">
        <f t="shared" si="253"/>
        <v>13.128998376778384</v>
      </c>
      <c r="Q2970" s="25">
        <v>5000</v>
      </c>
      <c r="R2970" s="22">
        <v>84</v>
      </c>
      <c r="S2970" s="22" t="s">
        <v>3654</v>
      </c>
      <c r="T2970" s="22">
        <f t="shared" si="255"/>
        <v>8</v>
      </c>
      <c r="U2970" s="22">
        <f t="shared" si="256"/>
        <v>2021</v>
      </c>
      <c r="V2970" s="22" t="str">
        <f t="shared" si="257"/>
        <v>METROPOLITANA</v>
      </c>
    </row>
    <row r="2971" spans="1:22" x14ac:dyDescent="0.2">
      <c r="A2971" s="23" t="s">
        <v>3634</v>
      </c>
      <c r="B2971" s="22" t="s">
        <v>33</v>
      </c>
      <c r="C2971" s="22" t="s">
        <v>44</v>
      </c>
      <c r="D2971" s="22" t="s">
        <v>45</v>
      </c>
      <c r="E2971" s="24" t="s">
        <v>1576</v>
      </c>
      <c r="F2971" s="22" t="s">
        <v>46</v>
      </c>
      <c r="G2971" s="25">
        <v>3401.2</v>
      </c>
      <c r="H2971" s="22" t="s">
        <v>22</v>
      </c>
      <c r="I2971" s="22">
        <v>0</v>
      </c>
      <c r="J2971" s="22" t="s">
        <v>46</v>
      </c>
      <c r="K2971" s="22" t="s">
        <v>23</v>
      </c>
      <c r="L2971" s="22">
        <v>2</v>
      </c>
      <c r="M2971" s="26">
        <v>55000</v>
      </c>
      <c r="N2971" s="26">
        <v>0</v>
      </c>
      <c r="O2971" s="15">
        <f t="shared" si="258"/>
        <v>55000</v>
      </c>
      <c r="P2971" s="15">
        <f t="shared" si="253"/>
        <v>16.170763260025875</v>
      </c>
      <c r="Q2971" s="25">
        <v>5000</v>
      </c>
      <c r="R2971" s="22">
        <v>68</v>
      </c>
      <c r="S2971" s="22" t="s">
        <v>3655</v>
      </c>
      <c r="T2971" s="22">
        <f t="shared" si="255"/>
        <v>8</v>
      </c>
      <c r="U2971" s="22">
        <f t="shared" si="256"/>
        <v>2021</v>
      </c>
      <c r="V2971" s="22" t="str">
        <f t="shared" si="257"/>
        <v>METROPOLITANA</v>
      </c>
    </row>
    <row r="2972" spans="1:22" x14ac:dyDescent="0.2">
      <c r="A2972" s="23" t="s">
        <v>3634</v>
      </c>
      <c r="B2972" s="22" t="s">
        <v>33</v>
      </c>
      <c r="C2972" s="22" t="s">
        <v>44</v>
      </c>
      <c r="D2972" s="22" t="s">
        <v>47</v>
      </c>
      <c r="E2972" s="24" t="s">
        <v>52</v>
      </c>
      <c r="F2972" s="22" t="s">
        <v>48</v>
      </c>
      <c r="G2972" s="25">
        <v>5214</v>
      </c>
      <c r="H2972" s="22" t="s">
        <v>22</v>
      </c>
      <c r="I2972" s="22">
        <v>0</v>
      </c>
      <c r="J2972" s="22" t="s">
        <v>48</v>
      </c>
      <c r="K2972" s="22" t="s">
        <v>23</v>
      </c>
      <c r="L2972" s="22">
        <v>1</v>
      </c>
      <c r="M2972" s="26">
        <v>57354</v>
      </c>
      <c r="N2972" s="26">
        <v>0</v>
      </c>
      <c r="O2972" s="15">
        <f t="shared" si="258"/>
        <v>57354</v>
      </c>
      <c r="P2972" s="15">
        <f t="shared" si="253"/>
        <v>11</v>
      </c>
      <c r="Q2972" s="25">
        <v>5000</v>
      </c>
      <c r="R2972" s="22">
        <v>100</v>
      </c>
      <c r="S2972" s="22" t="s">
        <v>3656</v>
      </c>
      <c r="T2972" s="22">
        <f t="shared" si="255"/>
        <v>8</v>
      </c>
      <c r="U2972" s="22">
        <f t="shared" si="256"/>
        <v>2021</v>
      </c>
      <c r="V2972" s="22" t="str">
        <f t="shared" si="257"/>
        <v>METROPOLITANA</v>
      </c>
    </row>
    <row r="2973" spans="1:22" x14ac:dyDescent="0.2">
      <c r="A2973" s="23" t="s">
        <v>3634</v>
      </c>
      <c r="B2973" s="22" t="s">
        <v>33</v>
      </c>
      <c r="C2973" s="22" t="s">
        <v>44</v>
      </c>
      <c r="D2973" s="22" t="s">
        <v>35</v>
      </c>
      <c r="E2973" s="24" t="s">
        <v>2113</v>
      </c>
      <c r="F2973" s="22" t="s">
        <v>94</v>
      </c>
      <c r="G2973" s="25">
        <v>4738.4000000000005</v>
      </c>
      <c r="H2973" s="22" t="s">
        <v>22</v>
      </c>
      <c r="I2973" s="22">
        <v>0</v>
      </c>
      <c r="J2973" s="22" t="s">
        <v>59</v>
      </c>
      <c r="K2973" s="22" t="s">
        <v>78</v>
      </c>
      <c r="L2973" s="22">
        <v>0</v>
      </c>
      <c r="M2973" s="26">
        <v>180000</v>
      </c>
      <c r="N2973" s="26">
        <v>0</v>
      </c>
      <c r="O2973" s="15">
        <f t="shared" si="258"/>
        <v>180000</v>
      </c>
      <c r="P2973" s="15">
        <f t="shared" si="253"/>
        <v>37.987506331251048</v>
      </c>
      <c r="Q2973" s="25">
        <v>25000</v>
      </c>
      <c r="R2973" s="22">
        <v>75</v>
      </c>
      <c r="S2973" s="22" t="s">
        <v>3657</v>
      </c>
      <c r="T2973" s="22">
        <f t="shared" si="255"/>
        <v>8</v>
      </c>
      <c r="U2973" s="22">
        <f t="shared" si="256"/>
        <v>2021</v>
      </c>
      <c r="V2973" s="22" t="str">
        <f t="shared" si="257"/>
        <v>REGIONES</v>
      </c>
    </row>
    <row r="2974" spans="1:22" x14ac:dyDescent="0.2">
      <c r="A2974" s="23" t="s">
        <v>3658</v>
      </c>
      <c r="B2974" s="22" t="s">
        <v>18</v>
      </c>
      <c r="C2974" s="22" t="s">
        <v>457</v>
      </c>
      <c r="D2974" s="22" t="s">
        <v>1869</v>
      </c>
      <c r="E2974" s="24" t="s">
        <v>1870</v>
      </c>
      <c r="F2974" s="22" t="s">
        <v>132</v>
      </c>
      <c r="G2974" s="25">
        <v>14129.239999999991</v>
      </c>
      <c r="H2974" s="22" t="s">
        <v>24</v>
      </c>
      <c r="I2974" s="22">
        <v>1</v>
      </c>
      <c r="J2974" s="22" t="s">
        <v>132</v>
      </c>
      <c r="K2974" s="22" t="s">
        <v>124</v>
      </c>
      <c r="L2974" s="22">
        <v>0</v>
      </c>
      <c r="M2974" s="26">
        <v>350000</v>
      </c>
      <c r="N2974" s="26">
        <v>0</v>
      </c>
      <c r="O2974" s="15">
        <f t="shared" si="258"/>
        <v>350000</v>
      </c>
      <c r="P2974" s="15">
        <f t="shared" si="253"/>
        <v>24.771325280057543</v>
      </c>
      <c r="Q2974" s="25">
        <v>25000</v>
      </c>
      <c r="R2974" s="22">
        <v>57</v>
      </c>
      <c r="S2974" s="22" t="s">
        <v>3659</v>
      </c>
      <c r="T2974" s="22">
        <f t="shared" si="255"/>
        <v>8</v>
      </c>
      <c r="U2974" s="22">
        <f t="shared" si="256"/>
        <v>2021</v>
      </c>
      <c r="V2974" s="22" t="str">
        <f t="shared" si="257"/>
        <v>REGIONES</v>
      </c>
    </row>
    <row r="2975" spans="1:22" x14ac:dyDescent="0.2">
      <c r="A2975" s="11" t="s">
        <v>3662</v>
      </c>
      <c r="B2975" s="12" t="s">
        <v>18</v>
      </c>
      <c r="C2975" s="12" t="s">
        <v>19</v>
      </c>
      <c r="D2975" s="12" t="s">
        <v>41</v>
      </c>
      <c r="E2975" s="13">
        <v>125108660</v>
      </c>
      <c r="F2975" s="12" t="s">
        <v>67</v>
      </c>
      <c r="G2975" s="14">
        <v>3744.77</v>
      </c>
      <c r="H2975" s="12" t="s">
        <v>43</v>
      </c>
      <c r="I2975" s="12">
        <v>0</v>
      </c>
      <c r="J2975" s="12" t="s">
        <v>67</v>
      </c>
      <c r="K2975" s="12" t="s">
        <v>23</v>
      </c>
      <c r="L2975" s="12">
        <v>2</v>
      </c>
      <c r="M2975" s="15">
        <v>55000</v>
      </c>
      <c r="N2975" s="15">
        <v>0</v>
      </c>
      <c r="O2975" s="15">
        <f t="shared" si="258"/>
        <v>55000</v>
      </c>
      <c r="P2975" s="15">
        <f t="shared" si="253"/>
        <v>14.687150345682111</v>
      </c>
      <c r="Q2975" s="14">
        <v>5000</v>
      </c>
      <c r="R2975" s="12">
        <v>75</v>
      </c>
      <c r="S2975" s="12" t="s">
        <v>3663</v>
      </c>
      <c r="T2975" s="22">
        <f t="shared" si="255"/>
        <v>8</v>
      </c>
      <c r="U2975" s="22">
        <f t="shared" si="256"/>
        <v>2021</v>
      </c>
      <c r="V2975" s="22" t="str">
        <f t="shared" si="257"/>
        <v>METROPOLITANA</v>
      </c>
    </row>
    <row r="2976" spans="1:22" x14ac:dyDescent="0.2">
      <c r="A2976" s="11" t="s">
        <v>3662</v>
      </c>
      <c r="B2976" s="12" t="s">
        <v>18</v>
      </c>
      <c r="C2976" s="12" t="s">
        <v>163</v>
      </c>
      <c r="D2976" s="12" t="s">
        <v>41</v>
      </c>
      <c r="E2976" s="13">
        <v>125108660</v>
      </c>
      <c r="F2976" s="12" t="s">
        <v>165</v>
      </c>
      <c r="G2976" s="14">
        <v>3543.84</v>
      </c>
      <c r="H2976" s="12" t="s">
        <v>43</v>
      </c>
      <c r="I2976" s="12">
        <v>0</v>
      </c>
      <c r="J2976" s="12" t="s">
        <v>165</v>
      </c>
      <c r="K2976" s="12" t="s">
        <v>23</v>
      </c>
      <c r="L2976" s="12">
        <v>4</v>
      </c>
      <c r="M2976" s="15">
        <v>55000</v>
      </c>
      <c r="N2976" s="15">
        <v>0</v>
      </c>
      <c r="O2976" s="15">
        <f t="shared" si="258"/>
        <v>55000</v>
      </c>
      <c r="P2976" s="15">
        <f t="shared" si="253"/>
        <v>15.519888031062349</v>
      </c>
      <c r="Q2976" s="14">
        <v>5000</v>
      </c>
      <c r="R2976" s="12">
        <v>71</v>
      </c>
      <c r="S2976" s="12" t="s">
        <v>3664</v>
      </c>
      <c r="T2976" s="22">
        <f t="shared" si="255"/>
        <v>8</v>
      </c>
      <c r="U2976" s="22">
        <f t="shared" si="256"/>
        <v>2021</v>
      </c>
      <c r="V2976" s="22" t="str">
        <f t="shared" si="257"/>
        <v>METROPOLITANA</v>
      </c>
    </row>
    <row r="2977" spans="1:22" x14ac:dyDescent="0.2">
      <c r="A2977" s="11" t="s">
        <v>3662</v>
      </c>
      <c r="B2977" s="12" t="s">
        <v>18</v>
      </c>
      <c r="C2977" s="12" t="s">
        <v>3665</v>
      </c>
      <c r="D2977" s="12" t="s">
        <v>2262</v>
      </c>
      <c r="E2977" s="13">
        <v>122975819</v>
      </c>
      <c r="F2977" s="12" t="s">
        <v>436</v>
      </c>
      <c r="G2977" s="14">
        <v>15148.56000000001</v>
      </c>
      <c r="H2977" s="12" t="s">
        <v>24</v>
      </c>
      <c r="I2977" s="12">
        <v>1</v>
      </c>
      <c r="J2977" s="12" t="s">
        <v>436</v>
      </c>
      <c r="K2977" s="12" t="s">
        <v>437</v>
      </c>
      <c r="L2977" s="12">
        <v>0</v>
      </c>
      <c r="M2977" s="15">
        <v>800000</v>
      </c>
      <c r="N2977" s="15">
        <v>0</v>
      </c>
      <c r="O2977" s="15">
        <f t="shared" si="258"/>
        <v>800000</v>
      </c>
      <c r="P2977" s="15">
        <f t="shared" ref="P2977:P3040" si="259">O2977/G2977</f>
        <v>52.810300120935551</v>
      </c>
      <c r="Q2977" s="14">
        <v>25000</v>
      </c>
      <c r="R2977" s="12">
        <v>80</v>
      </c>
      <c r="S2977" s="12" t="s">
        <v>3666</v>
      </c>
      <c r="T2977" s="22">
        <f t="shared" si="255"/>
        <v>8</v>
      </c>
      <c r="U2977" s="22">
        <f t="shared" si="256"/>
        <v>2021</v>
      </c>
      <c r="V2977" s="22" t="str">
        <f t="shared" si="257"/>
        <v>REGIONES</v>
      </c>
    </row>
    <row r="2978" spans="1:22" x14ac:dyDescent="0.2">
      <c r="A2978" s="11" t="s">
        <v>3662</v>
      </c>
      <c r="B2978" s="12" t="s">
        <v>33</v>
      </c>
      <c r="C2978" s="12" t="s">
        <v>163</v>
      </c>
      <c r="D2978" s="12" t="s">
        <v>63</v>
      </c>
      <c r="E2978" s="13">
        <v>138841065</v>
      </c>
      <c r="F2978" s="12" t="s">
        <v>165</v>
      </c>
      <c r="G2978" s="14">
        <v>2083.1999999999998</v>
      </c>
      <c r="H2978" s="12" t="s">
        <v>65</v>
      </c>
      <c r="I2978" s="12">
        <v>0</v>
      </c>
      <c r="J2978" s="12" t="s">
        <v>165</v>
      </c>
      <c r="K2978" s="12" t="s">
        <v>23</v>
      </c>
      <c r="L2978" s="12">
        <v>4</v>
      </c>
      <c r="M2978" s="15">
        <v>55000</v>
      </c>
      <c r="N2978" s="15">
        <v>0</v>
      </c>
      <c r="O2978" s="15">
        <f t="shared" si="258"/>
        <v>55000</v>
      </c>
      <c r="P2978" s="15">
        <f t="shared" si="259"/>
        <v>26.401689708141323</v>
      </c>
      <c r="Q2978" s="14">
        <v>5000</v>
      </c>
      <c r="R2978" s="12">
        <v>80</v>
      </c>
      <c r="S2978" s="12" t="s">
        <v>3667</v>
      </c>
      <c r="T2978" s="22">
        <f t="shared" si="255"/>
        <v>8</v>
      </c>
      <c r="U2978" s="22">
        <f t="shared" si="256"/>
        <v>2021</v>
      </c>
      <c r="V2978" s="22" t="str">
        <f t="shared" si="257"/>
        <v>METROPOLITANA</v>
      </c>
    </row>
    <row r="2979" spans="1:22" x14ac:dyDescent="0.2">
      <c r="A2979" s="11" t="s">
        <v>3662</v>
      </c>
      <c r="B2979" s="12" t="s">
        <v>33</v>
      </c>
      <c r="C2979" s="12" t="s">
        <v>3470</v>
      </c>
      <c r="D2979" s="12" t="s">
        <v>20</v>
      </c>
      <c r="E2979" s="13">
        <v>78907355</v>
      </c>
      <c r="F2979" s="12" t="s">
        <v>129</v>
      </c>
      <c r="G2979" s="14">
        <f>3001.6+1842</f>
        <v>4843.6000000000004</v>
      </c>
      <c r="H2979" s="12" t="s">
        <v>22</v>
      </c>
      <c r="I2979" s="12">
        <v>0</v>
      </c>
      <c r="J2979" s="12" t="s">
        <v>129</v>
      </c>
      <c r="K2979" s="12" t="s">
        <v>23</v>
      </c>
      <c r="L2979" s="12">
        <v>1</v>
      </c>
      <c r="M2979" s="15">
        <v>55000</v>
      </c>
      <c r="N2979" s="15">
        <v>0</v>
      </c>
      <c r="O2979" s="15">
        <f t="shared" si="258"/>
        <v>55000</v>
      </c>
      <c r="P2979" s="15">
        <f t="shared" si="259"/>
        <v>11.355190354281937</v>
      </c>
      <c r="Q2979" s="14">
        <v>5000</v>
      </c>
      <c r="R2979" s="12">
        <v>60</v>
      </c>
      <c r="S2979" s="12" t="s">
        <v>3678</v>
      </c>
      <c r="T2979" s="22">
        <f t="shared" si="255"/>
        <v>8</v>
      </c>
      <c r="U2979" s="22">
        <f t="shared" si="256"/>
        <v>2021</v>
      </c>
      <c r="V2979" s="22" t="str">
        <f t="shared" si="257"/>
        <v>METROPOLITANA</v>
      </c>
    </row>
    <row r="2980" spans="1:22" x14ac:dyDescent="0.2">
      <c r="A2980" s="11" t="s">
        <v>3662</v>
      </c>
      <c r="B2980" s="12" t="s">
        <v>33</v>
      </c>
      <c r="C2980" s="12" t="s">
        <v>128</v>
      </c>
      <c r="D2980" s="12" t="s">
        <v>2825</v>
      </c>
      <c r="E2980" s="13">
        <v>113693568</v>
      </c>
      <c r="F2980" s="12" t="s">
        <v>66</v>
      </c>
      <c r="G2980" s="14">
        <v>7872.0000000000045</v>
      </c>
      <c r="H2980" s="12" t="s">
        <v>24</v>
      </c>
      <c r="I2980" s="12">
        <v>1</v>
      </c>
      <c r="J2980" s="12" t="s">
        <v>66</v>
      </c>
      <c r="K2980" s="12" t="s">
        <v>75</v>
      </c>
      <c r="L2980" s="12">
        <v>0</v>
      </c>
      <c r="M2980" s="15">
        <v>380000</v>
      </c>
      <c r="N2980" s="15">
        <v>0</v>
      </c>
      <c r="O2980" s="15">
        <f t="shared" si="258"/>
        <v>380000</v>
      </c>
      <c r="P2980" s="15">
        <f t="shared" si="259"/>
        <v>48.272357723577208</v>
      </c>
      <c r="Q2980" s="14">
        <v>25000</v>
      </c>
      <c r="R2980" s="12">
        <v>80</v>
      </c>
      <c r="S2980" s="12" t="s">
        <v>3668</v>
      </c>
      <c r="T2980" s="22">
        <f t="shared" si="255"/>
        <v>8</v>
      </c>
      <c r="U2980" s="22">
        <f t="shared" si="256"/>
        <v>2021</v>
      </c>
      <c r="V2980" s="22" t="str">
        <f t="shared" si="257"/>
        <v>REGIONES</v>
      </c>
    </row>
    <row r="2981" spans="1:22" x14ac:dyDescent="0.2">
      <c r="A2981" s="11" t="s">
        <v>3662</v>
      </c>
      <c r="B2981" s="12" t="s">
        <v>33</v>
      </c>
      <c r="C2981" s="12" t="s">
        <v>128</v>
      </c>
      <c r="D2981" s="12" t="s">
        <v>27</v>
      </c>
      <c r="E2981" s="13">
        <v>81417709</v>
      </c>
      <c r="F2981" s="12" t="s">
        <v>34</v>
      </c>
      <c r="G2981" s="14">
        <v>14865.2</v>
      </c>
      <c r="H2981" s="12" t="s">
        <v>22</v>
      </c>
      <c r="I2981" s="12">
        <v>1</v>
      </c>
      <c r="J2981" s="12" t="s">
        <v>34</v>
      </c>
      <c r="K2981" s="12" t="s">
        <v>23</v>
      </c>
      <c r="L2981" s="12">
        <v>1</v>
      </c>
      <c r="M2981" s="15">
        <v>163517</v>
      </c>
      <c r="N2981" s="15">
        <v>0</v>
      </c>
      <c r="O2981" s="15">
        <f t="shared" si="258"/>
        <v>163517</v>
      </c>
      <c r="P2981" s="15">
        <f t="shared" si="259"/>
        <v>10.999986545757876</v>
      </c>
      <c r="Q2981" s="14">
        <v>5000</v>
      </c>
      <c r="R2981" s="12">
        <v>100</v>
      </c>
      <c r="S2981" s="12" t="s">
        <v>3669</v>
      </c>
      <c r="T2981" s="22">
        <f t="shared" si="255"/>
        <v>8</v>
      </c>
      <c r="U2981" s="22">
        <f t="shared" si="256"/>
        <v>2021</v>
      </c>
      <c r="V2981" s="22" t="str">
        <f t="shared" si="257"/>
        <v>METROPOLITANA</v>
      </c>
    </row>
    <row r="2982" spans="1:22" x14ac:dyDescent="0.2">
      <c r="A2982" s="11" t="s">
        <v>3662</v>
      </c>
      <c r="B2982" s="12" t="s">
        <v>33</v>
      </c>
      <c r="C2982" s="12" t="s">
        <v>29</v>
      </c>
      <c r="D2982" s="12" t="s">
        <v>38</v>
      </c>
      <c r="E2982" s="13">
        <v>125108660</v>
      </c>
      <c r="F2982" s="12" t="s">
        <v>39</v>
      </c>
      <c r="G2982" s="14">
        <v>2748</v>
      </c>
      <c r="H2982" s="12" t="s">
        <v>43</v>
      </c>
      <c r="I2982" s="12">
        <v>0</v>
      </c>
      <c r="J2982" s="12" t="s">
        <v>39</v>
      </c>
      <c r="K2982" s="12" t="s">
        <v>23</v>
      </c>
      <c r="L2982" s="12">
        <v>1</v>
      </c>
      <c r="M2982" s="15">
        <v>55000</v>
      </c>
      <c r="N2982" s="15">
        <v>0</v>
      </c>
      <c r="O2982" s="15">
        <f t="shared" si="258"/>
        <v>55000</v>
      </c>
      <c r="P2982" s="15">
        <f t="shared" si="259"/>
        <v>20.014556040756915</v>
      </c>
      <c r="Q2982" s="14">
        <v>5000</v>
      </c>
      <c r="R2982" s="12">
        <v>80</v>
      </c>
      <c r="S2982" s="12" t="s">
        <v>3670</v>
      </c>
      <c r="T2982" s="22">
        <f t="shared" si="255"/>
        <v>8</v>
      </c>
      <c r="U2982" s="22">
        <f t="shared" si="256"/>
        <v>2021</v>
      </c>
      <c r="V2982" s="22" t="str">
        <f t="shared" si="257"/>
        <v>METROPOLITANA</v>
      </c>
    </row>
    <row r="2983" spans="1:22" x14ac:dyDescent="0.2">
      <c r="A2983" s="11" t="s">
        <v>3662</v>
      </c>
      <c r="B2983" s="12" t="s">
        <v>33</v>
      </c>
      <c r="C2983" s="12" t="s">
        <v>29</v>
      </c>
      <c r="D2983" s="12" t="s">
        <v>20</v>
      </c>
      <c r="E2983" s="13">
        <v>78907355</v>
      </c>
      <c r="F2983" s="12" t="s">
        <v>39</v>
      </c>
      <c r="G2983" s="14">
        <v>2748</v>
      </c>
      <c r="H2983" s="12" t="s">
        <v>22</v>
      </c>
      <c r="I2983" s="12">
        <v>0</v>
      </c>
      <c r="J2983" s="12" t="s">
        <v>39</v>
      </c>
      <c r="K2983" s="12" t="s">
        <v>23</v>
      </c>
      <c r="L2983" s="12">
        <v>1</v>
      </c>
      <c r="M2983" s="15">
        <v>55000</v>
      </c>
      <c r="N2983" s="15">
        <v>0</v>
      </c>
      <c r="O2983" s="15">
        <f t="shared" si="258"/>
        <v>55000</v>
      </c>
      <c r="P2983" s="15">
        <f t="shared" si="259"/>
        <v>20.014556040756915</v>
      </c>
      <c r="Q2983" s="14">
        <v>5000</v>
      </c>
      <c r="R2983" s="12">
        <v>80</v>
      </c>
      <c r="S2983" s="12" t="s">
        <v>3671</v>
      </c>
      <c r="T2983" s="22">
        <f t="shared" si="255"/>
        <v>8</v>
      </c>
      <c r="U2983" s="22">
        <f t="shared" si="256"/>
        <v>2021</v>
      </c>
      <c r="V2983" s="22" t="str">
        <f t="shared" si="257"/>
        <v>METROPOLITANA</v>
      </c>
    </row>
    <row r="2984" spans="1:22" x14ac:dyDescent="0.2">
      <c r="A2984" s="11" t="s">
        <v>3662</v>
      </c>
      <c r="B2984" s="12" t="s">
        <v>33</v>
      </c>
      <c r="C2984" s="12" t="s">
        <v>3672</v>
      </c>
      <c r="D2984" s="12" t="s">
        <v>63</v>
      </c>
      <c r="E2984" s="13">
        <v>138841065</v>
      </c>
      <c r="F2984" s="12" t="s">
        <v>26</v>
      </c>
      <c r="G2984" s="14">
        <v>2157.4</v>
      </c>
      <c r="H2984" s="12" t="s">
        <v>65</v>
      </c>
      <c r="I2984" s="12">
        <v>0</v>
      </c>
      <c r="J2984" s="12" t="s">
        <v>26</v>
      </c>
      <c r="K2984" s="12" t="s">
        <v>23</v>
      </c>
      <c r="L2984" s="12">
        <v>4</v>
      </c>
      <c r="M2984" s="15">
        <v>55000</v>
      </c>
      <c r="N2984" s="15">
        <v>0</v>
      </c>
      <c r="O2984" s="15">
        <f t="shared" si="258"/>
        <v>55000</v>
      </c>
      <c r="P2984" s="15">
        <f t="shared" si="259"/>
        <v>25.493649763604338</v>
      </c>
      <c r="Q2984" s="14">
        <v>5000</v>
      </c>
      <c r="R2984" s="12">
        <v>43</v>
      </c>
      <c r="S2984" s="12" t="s">
        <v>3673</v>
      </c>
      <c r="T2984" s="22">
        <f t="shared" si="255"/>
        <v>8</v>
      </c>
      <c r="U2984" s="22">
        <f t="shared" si="256"/>
        <v>2021</v>
      </c>
      <c r="V2984" s="22" t="str">
        <f t="shared" si="257"/>
        <v>METROPOLITANA</v>
      </c>
    </row>
    <row r="2985" spans="1:22" x14ac:dyDescent="0.2">
      <c r="A2985" s="11" t="s">
        <v>3662</v>
      </c>
      <c r="B2985" s="12" t="s">
        <v>33</v>
      </c>
      <c r="C2985" s="12" t="s">
        <v>44</v>
      </c>
      <c r="D2985" s="12" t="s">
        <v>38</v>
      </c>
      <c r="E2985" s="13">
        <v>53173292</v>
      </c>
      <c r="F2985" s="12" t="s">
        <v>95</v>
      </c>
      <c r="G2985" s="14">
        <f>1875.4+1838</f>
        <v>3713.4</v>
      </c>
      <c r="H2985" s="12" t="s">
        <v>43</v>
      </c>
      <c r="I2985" s="12">
        <v>0</v>
      </c>
      <c r="J2985" s="12" t="s">
        <v>95</v>
      </c>
      <c r="K2985" s="12" t="s">
        <v>23</v>
      </c>
      <c r="L2985" s="12">
        <v>4</v>
      </c>
      <c r="M2985" s="15">
        <v>55000</v>
      </c>
      <c r="N2985" s="15">
        <v>0</v>
      </c>
      <c r="O2985" s="15">
        <f t="shared" si="258"/>
        <v>55000</v>
      </c>
      <c r="P2985" s="15">
        <f t="shared" si="259"/>
        <v>14.811224215005117</v>
      </c>
      <c r="Q2985" s="14">
        <v>5000</v>
      </c>
      <c r="R2985" s="12">
        <v>88</v>
      </c>
      <c r="S2985" s="12" t="s">
        <v>3677</v>
      </c>
      <c r="T2985" s="22">
        <f t="shared" si="255"/>
        <v>8</v>
      </c>
      <c r="U2985" s="22">
        <f t="shared" si="256"/>
        <v>2021</v>
      </c>
      <c r="V2985" s="22" t="str">
        <f t="shared" si="257"/>
        <v>METROPOLITANA</v>
      </c>
    </row>
    <row r="2986" spans="1:22" x14ac:dyDescent="0.2">
      <c r="A2986" s="11" t="s">
        <v>3662</v>
      </c>
      <c r="B2986" s="12" t="s">
        <v>33</v>
      </c>
      <c r="C2986" s="12" t="s">
        <v>44</v>
      </c>
      <c r="D2986" s="12" t="s">
        <v>45</v>
      </c>
      <c r="E2986" s="13">
        <v>103018366</v>
      </c>
      <c r="F2986" s="12" t="s">
        <v>26</v>
      </c>
      <c r="G2986" s="14">
        <v>4563.7999999999984</v>
      </c>
      <c r="H2986" s="12" t="s">
        <v>22</v>
      </c>
      <c r="I2986" s="12">
        <v>0</v>
      </c>
      <c r="J2986" s="12" t="s">
        <v>26</v>
      </c>
      <c r="K2986" s="12" t="s">
        <v>23</v>
      </c>
      <c r="L2986" s="12">
        <v>4</v>
      </c>
      <c r="M2986" s="15">
        <v>55000</v>
      </c>
      <c r="N2986" s="15">
        <v>0</v>
      </c>
      <c r="O2986" s="15">
        <f t="shared" si="258"/>
        <v>55000</v>
      </c>
      <c r="P2986" s="15">
        <f t="shared" si="259"/>
        <v>12.051360708181782</v>
      </c>
      <c r="Q2986" s="14">
        <v>5000</v>
      </c>
      <c r="R2986" s="12">
        <v>91</v>
      </c>
      <c r="S2986" s="12" t="s">
        <v>3674</v>
      </c>
      <c r="T2986" s="22">
        <f t="shared" si="255"/>
        <v>8</v>
      </c>
      <c r="U2986" s="22">
        <f t="shared" si="256"/>
        <v>2021</v>
      </c>
      <c r="V2986" s="22" t="str">
        <f t="shared" si="257"/>
        <v>METROPOLITANA</v>
      </c>
    </row>
    <row r="2987" spans="1:22" x14ac:dyDescent="0.2">
      <c r="A2987" s="11" t="s">
        <v>3662</v>
      </c>
      <c r="B2987" s="12" t="s">
        <v>33</v>
      </c>
      <c r="C2987" s="12" t="s">
        <v>44</v>
      </c>
      <c r="D2987" s="12" t="s">
        <v>47</v>
      </c>
      <c r="E2987" s="13">
        <v>99626232</v>
      </c>
      <c r="F2987" s="12" t="s">
        <v>53</v>
      </c>
      <c r="G2987" s="14">
        <v>4289</v>
      </c>
      <c r="H2987" s="12" t="s">
        <v>22</v>
      </c>
      <c r="I2987" s="12">
        <v>0</v>
      </c>
      <c r="J2987" s="12" t="s">
        <v>53</v>
      </c>
      <c r="K2987" s="12" t="s">
        <v>23</v>
      </c>
      <c r="L2987" s="12">
        <v>3</v>
      </c>
      <c r="M2987" s="15">
        <v>55000</v>
      </c>
      <c r="N2987" s="15">
        <v>0</v>
      </c>
      <c r="O2987" s="15">
        <f t="shared" si="258"/>
        <v>55000</v>
      </c>
      <c r="P2987" s="15">
        <f t="shared" si="259"/>
        <v>12.823501981813942</v>
      </c>
      <c r="Q2987" s="14">
        <v>5000</v>
      </c>
      <c r="R2987" s="12">
        <v>86</v>
      </c>
      <c r="S2987" s="12" t="s">
        <v>3675</v>
      </c>
      <c r="T2987" s="22">
        <f t="shared" si="255"/>
        <v>8</v>
      </c>
      <c r="U2987" s="22">
        <f t="shared" si="256"/>
        <v>2021</v>
      </c>
      <c r="V2987" s="22" t="str">
        <f t="shared" si="257"/>
        <v>METROPOLITANA</v>
      </c>
    </row>
    <row r="2988" spans="1:22" x14ac:dyDescent="0.2">
      <c r="A2988" s="11" t="s">
        <v>3662</v>
      </c>
      <c r="B2988" s="12" t="s">
        <v>33</v>
      </c>
      <c r="C2988" s="12" t="s">
        <v>44</v>
      </c>
      <c r="D2988" s="12" t="s">
        <v>125</v>
      </c>
      <c r="E2988" s="13">
        <v>172861164</v>
      </c>
      <c r="F2988" s="12" t="s">
        <v>1026</v>
      </c>
      <c r="G2988" s="14">
        <v>11988.8</v>
      </c>
      <c r="H2988" s="12" t="s">
        <v>174</v>
      </c>
      <c r="I2988" s="12">
        <v>0</v>
      </c>
      <c r="J2988" s="12" t="s">
        <v>1026</v>
      </c>
      <c r="K2988" s="12" t="s">
        <v>408</v>
      </c>
      <c r="L2988" s="12">
        <v>0</v>
      </c>
      <c r="M2988" s="15">
        <v>600000</v>
      </c>
      <c r="N2988" s="15">
        <v>0</v>
      </c>
      <c r="O2988" s="15">
        <f t="shared" si="258"/>
        <v>600000</v>
      </c>
      <c r="P2988" s="15">
        <f t="shared" si="259"/>
        <v>50.046710262912057</v>
      </c>
      <c r="Q2988" s="14">
        <v>25000</v>
      </c>
      <c r="R2988" s="12">
        <v>65</v>
      </c>
      <c r="S2988" s="12" t="s">
        <v>3676</v>
      </c>
      <c r="T2988" s="22">
        <f t="shared" si="255"/>
        <v>8</v>
      </c>
      <c r="U2988" s="22">
        <f t="shared" si="256"/>
        <v>2021</v>
      </c>
      <c r="V2988" s="22" t="str">
        <f t="shared" si="257"/>
        <v>REGIONES</v>
      </c>
    </row>
    <row r="2989" spans="1:22" x14ac:dyDescent="0.2">
      <c r="A2989" s="23" t="s">
        <v>3679</v>
      </c>
      <c r="B2989" s="22" t="s">
        <v>18</v>
      </c>
      <c r="C2989" s="22" t="s">
        <v>163</v>
      </c>
      <c r="D2989" s="22" t="s">
        <v>27</v>
      </c>
      <c r="E2989" s="24" t="s">
        <v>28</v>
      </c>
      <c r="F2989" s="22" t="s">
        <v>165</v>
      </c>
      <c r="G2989" s="25">
        <v>17774.400000000001</v>
      </c>
      <c r="H2989" s="22" t="s">
        <v>22</v>
      </c>
      <c r="I2989" s="22">
        <v>1</v>
      </c>
      <c r="J2989" s="22" t="s">
        <v>165</v>
      </c>
      <c r="K2989" s="22" t="s">
        <v>23</v>
      </c>
      <c r="L2989" s="22">
        <v>4</v>
      </c>
      <c r="M2989" s="26">
        <v>195518</v>
      </c>
      <c r="N2989" s="26">
        <v>0</v>
      </c>
      <c r="O2989" s="15">
        <f t="shared" si="258"/>
        <v>195518</v>
      </c>
      <c r="P2989" s="15">
        <f t="shared" si="259"/>
        <v>10.999977495724186</v>
      </c>
      <c r="Q2989" s="25">
        <v>5000</v>
      </c>
      <c r="R2989" s="22">
        <v>100</v>
      </c>
      <c r="S2989" s="22" t="s">
        <v>3680</v>
      </c>
      <c r="T2989" s="22">
        <f t="shared" si="255"/>
        <v>8</v>
      </c>
      <c r="U2989" s="22">
        <f t="shared" si="256"/>
        <v>2021</v>
      </c>
      <c r="V2989" s="22" t="str">
        <f t="shared" si="257"/>
        <v>METROPOLITANA</v>
      </c>
    </row>
    <row r="2990" spans="1:22" x14ac:dyDescent="0.2">
      <c r="A2990" s="23" t="s">
        <v>3679</v>
      </c>
      <c r="B2990" s="22" t="s">
        <v>18</v>
      </c>
      <c r="C2990" s="22" t="s">
        <v>3665</v>
      </c>
      <c r="D2990" s="22" t="s">
        <v>130</v>
      </c>
      <c r="E2990" s="24" t="s">
        <v>131</v>
      </c>
      <c r="F2990" s="22" t="s">
        <v>436</v>
      </c>
      <c r="G2990" s="25">
        <v>22555.68</v>
      </c>
      <c r="H2990" s="22" t="s">
        <v>85</v>
      </c>
      <c r="I2990" s="22">
        <v>1</v>
      </c>
      <c r="J2990" s="22" t="s">
        <v>436</v>
      </c>
      <c r="K2990" s="22" t="s">
        <v>437</v>
      </c>
      <c r="L2990" s="22">
        <v>0</v>
      </c>
      <c r="M2990" s="26">
        <v>800000</v>
      </c>
      <c r="N2990" s="26">
        <v>0</v>
      </c>
      <c r="O2990" s="15">
        <f t="shared" si="258"/>
        <v>800000</v>
      </c>
      <c r="P2990" s="15">
        <f t="shared" si="259"/>
        <v>35.467784611237612</v>
      </c>
      <c r="Q2990" s="25">
        <v>25000</v>
      </c>
      <c r="R2990" s="22">
        <v>100</v>
      </c>
      <c r="S2990" s="22" t="s">
        <v>3681</v>
      </c>
      <c r="T2990" s="22">
        <f t="shared" si="255"/>
        <v>8</v>
      </c>
      <c r="U2990" s="22">
        <f t="shared" si="256"/>
        <v>2021</v>
      </c>
      <c r="V2990" s="22" t="str">
        <f t="shared" si="257"/>
        <v>REGIONES</v>
      </c>
    </row>
    <row r="2991" spans="1:22" x14ac:dyDescent="0.2">
      <c r="A2991" s="23" t="s">
        <v>3679</v>
      </c>
      <c r="B2991" s="22" t="s">
        <v>18</v>
      </c>
      <c r="C2991" s="22" t="s">
        <v>3665</v>
      </c>
      <c r="D2991" s="22" t="s">
        <v>1170</v>
      </c>
      <c r="E2991" s="24" t="s">
        <v>81</v>
      </c>
      <c r="F2991" s="22" t="s">
        <v>436</v>
      </c>
      <c r="G2991" s="25">
        <v>19430.400000000001</v>
      </c>
      <c r="H2991" s="22" t="s">
        <v>24</v>
      </c>
      <c r="I2991" s="22">
        <v>1</v>
      </c>
      <c r="J2991" s="22" t="s">
        <v>436</v>
      </c>
      <c r="K2991" s="22" t="s">
        <v>437</v>
      </c>
      <c r="L2991" s="22">
        <v>0</v>
      </c>
      <c r="M2991" s="26">
        <v>800000</v>
      </c>
      <c r="N2991" s="26">
        <v>0</v>
      </c>
      <c r="O2991" s="15">
        <f t="shared" si="258"/>
        <v>800000</v>
      </c>
      <c r="P2991" s="15">
        <f t="shared" si="259"/>
        <v>41.172595520421602</v>
      </c>
      <c r="Q2991" s="25">
        <v>25000</v>
      </c>
      <c r="R2991" s="22">
        <v>100</v>
      </c>
      <c r="S2991" s="22" t="s">
        <v>3682</v>
      </c>
      <c r="T2991" s="22">
        <f t="shared" si="255"/>
        <v>8</v>
      </c>
      <c r="U2991" s="22">
        <f t="shared" si="256"/>
        <v>2021</v>
      </c>
      <c r="V2991" s="22" t="str">
        <f t="shared" si="257"/>
        <v>REGIONES</v>
      </c>
    </row>
    <row r="2992" spans="1:22" x14ac:dyDescent="0.2">
      <c r="A2992" s="23" t="s">
        <v>3679</v>
      </c>
      <c r="B2992" s="22" t="s">
        <v>18</v>
      </c>
      <c r="C2992" s="22" t="s">
        <v>3665</v>
      </c>
      <c r="D2992" s="22" t="s">
        <v>867</v>
      </c>
      <c r="E2992" s="24" t="s">
        <v>868</v>
      </c>
      <c r="F2992" s="22" t="s">
        <v>436</v>
      </c>
      <c r="G2992" s="25">
        <v>22466.509999999991</v>
      </c>
      <c r="H2992" s="22" t="s">
        <v>85</v>
      </c>
      <c r="I2992" s="22">
        <v>1</v>
      </c>
      <c r="J2992" s="22" t="s">
        <v>436</v>
      </c>
      <c r="K2992" s="22" t="s">
        <v>437</v>
      </c>
      <c r="L2992" s="22">
        <v>0</v>
      </c>
      <c r="M2992" s="26">
        <v>800000</v>
      </c>
      <c r="N2992" s="26">
        <v>0</v>
      </c>
      <c r="O2992" s="15">
        <f t="shared" si="258"/>
        <v>800000</v>
      </c>
      <c r="P2992" s="15">
        <f t="shared" si="259"/>
        <v>35.6085569142693</v>
      </c>
      <c r="Q2992" s="25">
        <v>25000</v>
      </c>
      <c r="R2992" s="22">
        <v>100</v>
      </c>
      <c r="S2992" s="22" t="s">
        <v>3683</v>
      </c>
      <c r="T2992" s="22">
        <f t="shared" si="255"/>
        <v>8</v>
      </c>
      <c r="U2992" s="22">
        <f t="shared" si="256"/>
        <v>2021</v>
      </c>
      <c r="V2992" s="22" t="str">
        <f t="shared" si="257"/>
        <v>REGIONES</v>
      </c>
    </row>
    <row r="2993" spans="1:22" x14ac:dyDescent="0.2">
      <c r="A2993" s="23" t="s">
        <v>3679</v>
      </c>
      <c r="B2993" s="22" t="s">
        <v>33</v>
      </c>
      <c r="C2993" s="22" t="s">
        <v>60</v>
      </c>
      <c r="D2993" s="22" t="s">
        <v>2955</v>
      </c>
      <c r="E2993" s="24" t="s">
        <v>3684</v>
      </c>
      <c r="F2993" s="22" t="s">
        <v>51</v>
      </c>
      <c r="G2993" s="25">
        <v>18009.599999999999</v>
      </c>
      <c r="H2993" s="22" t="s">
        <v>24</v>
      </c>
      <c r="I2993" s="22">
        <v>1</v>
      </c>
      <c r="J2993" s="22" t="s">
        <v>51</v>
      </c>
      <c r="K2993" s="22" t="s">
        <v>23</v>
      </c>
      <c r="L2993" s="22">
        <v>4</v>
      </c>
      <c r="M2993" s="26">
        <v>198106</v>
      </c>
      <c r="N2993" s="26">
        <v>0</v>
      </c>
      <c r="O2993" s="15">
        <f t="shared" ref="O2993:O3024" si="260">SUM(M2993:N2993)</f>
        <v>198106</v>
      </c>
      <c r="P2993" s="15">
        <f t="shared" si="259"/>
        <v>11.000022210376688</v>
      </c>
      <c r="Q2993" s="25">
        <v>5000</v>
      </c>
      <c r="R2993" s="22">
        <v>100</v>
      </c>
      <c r="S2993" s="22" t="s">
        <v>3685</v>
      </c>
      <c r="T2993" s="22">
        <f t="shared" si="255"/>
        <v>8</v>
      </c>
      <c r="U2993" s="22">
        <f t="shared" si="256"/>
        <v>2021</v>
      </c>
      <c r="V2993" s="22" t="str">
        <f t="shared" si="257"/>
        <v>METROPOLITANA</v>
      </c>
    </row>
    <row r="2994" spans="1:22" x14ac:dyDescent="0.2">
      <c r="A2994" s="23" t="s">
        <v>3679</v>
      </c>
      <c r="B2994" s="22" t="s">
        <v>33</v>
      </c>
      <c r="C2994" s="22" t="s">
        <v>60</v>
      </c>
      <c r="D2994" s="22" t="s">
        <v>63</v>
      </c>
      <c r="E2994" s="24" t="s">
        <v>64</v>
      </c>
      <c r="F2994" s="22" t="s">
        <v>51</v>
      </c>
      <c r="G2994" s="25">
        <v>9004.7999999999975</v>
      </c>
      <c r="H2994" s="22" t="s">
        <v>65</v>
      </c>
      <c r="I2994" s="22">
        <v>0</v>
      </c>
      <c r="J2994" s="22" t="s">
        <v>51</v>
      </c>
      <c r="K2994" s="22" t="s">
        <v>23</v>
      </c>
      <c r="L2994" s="22">
        <v>4</v>
      </c>
      <c r="M2994" s="26">
        <v>99053</v>
      </c>
      <c r="N2994" s="26">
        <v>0</v>
      </c>
      <c r="O2994" s="15">
        <f t="shared" si="260"/>
        <v>99053</v>
      </c>
      <c r="P2994" s="15">
        <f t="shared" si="259"/>
        <v>11.000022210376692</v>
      </c>
      <c r="Q2994" s="25">
        <v>5000</v>
      </c>
      <c r="R2994" s="22">
        <v>100</v>
      </c>
      <c r="S2994" s="22" t="s">
        <v>3686</v>
      </c>
      <c r="T2994" s="22">
        <f t="shared" si="255"/>
        <v>8</v>
      </c>
      <c r="U2994" s="22">
        <f t="shared" si="256"/>
        <v>2021</v>
      </c>
      <c r="V2994" s="22" t="str">
        <f t="shared" si="257"/>
        <v>METROPOLITANA</v>
      </c>
    </row>
    <row r="2995" spans="1:22" x14ac:dyDescent="0.2">
      <c r="A2995" s="23" t="s">
        <v>3679</v>
      </c>
      <c r="B2995" s="22" t="s">
        <v>33</v>
      </c>
      <c r="C2995" s="22" t="s">
        <v>60</v>
      </c>
      <c r="D2995" s="22" t="s">
        <v>20</v>
      </c>
      <c r="E2995" s="24" t="s">
        <v>21</v>
      </c>
      <c r="F2995" s="22" t="s">
        <v>51</v>
      </c>
      <c r="G2995" s="25">
        <v>9004.7999999999975</v>
      </c>
      <c r="H2995" s="22" t="s">
        <v>22</v>
      </c>
      <c r="I2995" s="22">
        <v>0</v>
      </c>
      <c r="J2995" s="22" t="s">
        <v>51</v>
      </c>
      <c r="K2995" s="22" t="s">
        <v>23</v>
      </c>
      <c r="L2995" s="22">
        <v>4</v>
      </c>
      <c r="M2995" s="26">
        <v>99053</v>
      </c>
      <c r="N2995" s="26">
        <v>0</v>
      </c>
      <c r="O2995" s="15">
        <f t="shared" si="260"/>
        <v>99053</v>
      </c>
      <c r="P2995" s="15">
        <f t="shared" si="259"/>
        <v>11.000022210376692</v>
      </c>
      <c r="Q2995" s="25">
        <v>5000</v>
      </c>
      <c r="R2995" s="22">
        <v>100</v>
      </c>
      <c r="S2995" s="22" t="s">
        <v>3687</v>
      </c>
      <c r="T2995" s="22">
        <f t="shared" si="255"/>
        <v>8</v>
      </c>
      <c r="U2995" s="22">
        <f t="shared" si="256"/>
        <v>2021</v>
      </c>
      <c r="V2995" s="22" t="str">
        <f t="shared" si="257"/>
        <v>METROPOLITANA</v>
      </c>
    </row>
    <row r="2996" spans="1:22" x14ac:dyDescent="0.2">
      <c r="A2996" s="23" t="s">
        <v>3679</v>
      </c>
      <c r="B2996" s="22" t="s">
        <v>33</v>
      </c>
      <c r="C2996" s="22" t="s">
        <v>128</v>
      </c>
      <c r="D2996" s="22" t="s">
        <v>38</v>
      </c>
      <c r="E2996" s="24" t="s">
        <v>42</v>
      </c>
      <c r="F2996" s="22" t="s">
        <v>129</v>
      </c>
      <c r="G2996" s="25">
        <v>5746.7999999999984</v>
      </c>
      <c r="H2996" s="22" t="s">
        <v>43</v>
      </c>
      <c r="I2996" s="22">
        <v>0</v>
      </c>
      <c r="J2996" s="22" t="s">
        <v>129</v>
      </c>
      <c r="K2996" s="22" t="s">
        <v>23</v>
      </c>
      <c r="L2996" s="22">
        <v>1</v>
      </c>
      <c r="M2996" s="26">
        <v>63215</v>
      </c>
      <c r="N2996" s="26">
        <v>0</v>
      </c>
      <c r="O2996" s="15">
        <f t="shared" si="260"/>
        <v>63215</v>
      </c>
      <c r="P2996" s="15">
        <f t="shared" si="259"/>
        <v>11.000034801976755</v>
      </c>
      <c r="Q2996" s="25">
        <v>5000</v>
      </c>
      <c r="R2996" s="22">
        <v>100</v>
      </c>
      <c r="S2996" s="22" t="s">
        <v>3688</v>
      </c>
      <c r="T2996" s="22">
        <f t="shared" si="255"/>
        <v>8</v>
      </c>
      <c r="U2996" s="22">
        <f t="shared" si="256"/>
        <v>2021</v>
      </c>
      <c r="V2996" s="22" t="str">
        <f t="shared" si="257"/>
        <v>METROPOLITANA</v>
      </c>
    </row>
    <row r="2997" spans="1:22" s="36" customFormat="1" x14ac:dyDescent="0.2">
      <c r="A2997" s="35" t="s">
        <v>3679</v>
      </c>
      <c r="B2997" s="36" t="s">
        <v>33</v>
      </c>
      <c r="C2997" s="36" t="s">
        <v>128</v>
      </c>
      <c r="D2997" s="36" t="s">
        <v>786</v>
      </c>
      <c r="E2997" s="37" t="s">
        <v>787</v>
      </c>
      <c r="F2997" s="36" t="s">
        <v>34</v>
      </c>
      <c r="G2997" s="38">
        <f>9004.8+1501+6003</f>
        <v>16508.8</v>
      </c>
      <c r="H2997" s="36" t="s">
        <v>788</v>
      </c>
      <c r="I2997" s="36">
        <v>1</v>
      </c>
      <c r="J2997" s="36" t="s">
        <v>34</v>
      </c>
      <c r="K2997" s="36" t="s">
        <v>23</v>
      </c>
      <c r="L2997" s="36">
        <v>1</v>
      </c>
      <c r="M2997" s="39">
        <v>99053</v>
      </c>
      <c r="N2997" s="39">
        <v>0</v>
      </c>
      <c r="O2997" s="39">
        <f t="shared" si="260"/>
        <v>99053</v>
      </c>
      <c r="P2997" s="39">
        <f t="shared" si="259"/>
        <v>6.0000121147509207</v>
      </c>
      <c r="Q2997" s="38">
        <v>5000</v>
      </c>
      <c r="R2997" s="36">
        <v>100</v>
      </c>
      <c r="S2997" s="36" t="s">
        <v>3696</v>
      </c>
      <c r="T2997" s="36">
        <f t="shared" si="255"/>
        <v>8</v>
      </c>
      <c r="U2997" s="36">
        <f t="shared" si="256"/>
        <v>2021</v>
      </c>
      <c r="V2997" s="36" t="str">
        <f t="shared" si="257"/>
        <v>METROPOLITANA</v>
      </c>
    </row>
    <row r="2998" spans="1:22" s="36" customFormat="1" x14ac:dyDescent="0.2">
      <c r="A2998" s="35" t="s">
        <v>3679</v>
      </c>
      <c r="B2998" s="36" t="s">
        <v>33</v>
      </c>
      <c r="C2998" s="36" t="s">
        <v>128</v>
      </c>
      <c r="D2998" s="36" t="s">
        <v>27</v>
      </c>
      <c r="E2998" s="37" t="s">
        <v>28</v>
      </c>
      <c r="F2998" s="36" t="s">
        <v>34</v>
      </c>
      <c r="G2998" s="38">
        <v>18009.599999999999</v>
      </c>
      <c r="H2998" s="36" t="s">
        <v>22</v>
      </c>
      <c r="I2998" s="36">
        <v>1</v>
      </c>
      <c r="J2998" s="36" t="s">
        <v>34</v>
      </c>
      <c r="K2998" s="36" t="s">
        <v>23</v>
      </c>
      <c r="L2998" s="36">
        <v>1</v>
      </c>
      <c r="M2998" s="39">
        <v>198106</v>
      </c>
      <c r="N2998" s="39">
        <v>0</v>
      </c>
      <c r="O2998" s="39">
        <f t="shared" si="260"/>
        <v>198106</v>
      </c>
      <c r="P2998" s="39">
        <f t="shared" si="259"/>
        <v>11.000022210376688</v>
      </c>
      <c r="Q2998" s="38">
        <v>5000</v>
      </c>
      <c r="R2998" s="36">
        <v>100</v>
      </c>
      <c r="S2998" s="36" t="s">
        <v>3689</v>
      </c>
      <c r="T2998" s="36">
        <f t="shared" si="255"/>
        <v>8</v>
      </c>
      <c r="U2998" s="36">
        <f t="shared" si="256"/>
        <v>2021</v>
      </c>
      <c r="V2998" s="36" t="str">
        <f t="shared" si="257"/>
        <v>METROPOLITANA</v>
      </c>
    </row>
    <row r="2999" spans="1:22" s="36" customFormat="1" x14ac:dyDescent="0.2">
      <c r="A2999" s="35" t="s">
        <v>3679</v>
      </c>
      <c r="B2999" s="36" t="s">
        <v>33</v>
      </c>
      <c r="C2999" s="36" t="s">
        <v>128</v>
      </c>
      <c r="D2999" s="36" t="s">
        <v>2955</v>
      </c>
      <c r="E2999" s="37" t="s">
        <v>2956</v>
      </c>
      <c r="F2999" s="36" t="s">
        <v>34</v>
      </c>
      <c r="G2999" s="38">
        <v>16508.8</v>
      </c>
      <c r="H2999" s="36" t="s">
        <v>24</v>
      </c>
      <c r="I2999" s="36">
        <v>1</v>
      </c>
      <c r="J2999" s="36" t="s">
        <v>34</v>
      </c>
      <c r="K2999" s="36" t="s">
        <v>23</v>
      </c>
      <c r="L2999" s="36">
        <v>1</v>
      </c>
      <c r="M2999" s="39">
        <v>181597</v>
      </c>
      <c r="N2999" s="39">
        <v>0</v>
      </c>
      <c r="O2999" s="39">
        <f t="shared" si="260"/>
        <v>181597</v>
      </c>
      <c r="P2999" s="39">
        <f t="shared" si="259"/>
        <v>11.000012114750922</v>
      </c>
      <c r="Q2999" s="38">
        <v>5000</v>
      </c>
      <c r="R2999" s="36">
        <v>100</v>
      </c>
      <c r="S2999" s="36" t="s">
        <v>3690</v>
      </c>
      <c r="T2999" s="36">
        <f t="shared" si="255"/>
        <v>8</v>
      </c>
      <c r="U2999" s="36">
        <f t="shared" si="256"/>
        <v>2021</v>
      </c>
      <c r="V2999" s="36" t="str">
        <f t="shared" si="257"/>
        <v>METROPOLITANA</v>
      </c>
    </row>
    <row r="3000" spans="1:22" x14ac:dyDescent="0.2">
      <c r="A3000" s="23" t="s">
        <v>3679</v>
      </c>
      <c r="B3000" s="22" t="s">
        <v>33</v>
      </c>
      <c r="C3000" s="22" t="s">
        <v>29</v>
      </c>
      <c r="D3000" s="22" t="s">
        <v>38</v>
      </c>
      <c r="E3000" s="24" t="s">
        <v>42</v>
      </c>
      <c r="F3000" s="22" t="s">
        <v>134</v>
      </c>
      <c r="G3000" s="25">
        <v>5774.2000000000025</v>
      </c>
      <c r="H3000" s="22" t="s">
        <v>43</v>
      </c>
      <c r="I3000" s="22">
        <v>0</v>
      </c>
      <c r="J3000" s="22" t="s">
        <v>134</v>
      </c>
      <c r="K3000" s="22" t="s">
        <v>23</v>
      </c>
      <c r="L3000" s="22">
        <v>2</v>
      </c>
      <c r="M3000" s="26">
        <v>63516</v>
      </c>
      <c r="N3000" s="26">
        <v>0</v>
      </c>
      <c r="O3000" s="15">
        <f t="shared" si="260"/>
        <v>63516</v>
      </c>
      <c r="P3000" s="15">
        <f t="shared" si="259"/>
        <v>10.999965363167187</v>
      </c>
      <c r="Q3000" s="25">
        <v>5000</v>
      </c>
      <c r="R3000" s="22">
        <v>100</v>
      </c>
      <c r="S3000" s="22" t="s">
        <v>3691</v>
      </c>
      <c r="T3000" s="22">
        <f t="shared" si="255"/>
        <v>8</v>
      </c>
      <c r="U3000" s="22">
        <f t="shared" si="256"/>
        <v>2021</v>
      </c>
      <c r="V3000" s="22" t="str">
        <f t="shared" si="257"/>
        <v>METROPOLITANA</v>
      </c>
    </row>
    <row r="3001" spans="1:22" x14ac:dyDescent="0.2">
      <c r="A3001" s="23" t="s">
        <v>3679</v>
      </c>
      <c r="B3001" s="22" t="s">
        <v>33</v>
      </c>
      <c r="C3001" s="22" t="s">
        <v>29</v>
      </c>
      <c r="D3001" s="22" t="s">
        <v>37</v>
      </c>
      <c r="E3001" s="24" t="s">
        <v>1576</v>
      </c>
      <c r="F3001" s="22" t="s">
        <v>39</v>
      </c>
      <c r="G3001" s="25">
        <v>2748</v>
      </c>
      <c r="H3001" s="22" t="s">
        <v>22</v>
      </c>
      <c r="I3001" s="22">
        <v>0</v>
      </c>
      <c r="J3001" s="22" t="s">
        <v>39</v>
      </c>
      <c r="K3001" s="22" t="s">
        <v>23</v>
      </c>
      <c r="L3001" s="22">
        <v>1</v>
      </c>
      <c r="M3001" s="26">
        <v>55000</v>
      </c>
      <c r="N3001" s="26">
        <v>0</v>
      </c>
      <c r="O3001" s="15">
        <f t="shared" si="260"/>
        <v>55000</v>
      </c>
      <c r="P3001" s="15">
        <f t="shared" si="259"/>
        <v>20.014556040756915</v>
      </c>
      <c r="Q3001" s="25">
        <v>5000</v>
      </c>
      <c r="R3001" s="22">
        <v>55</v>
      </c>
      <c r="S3001" s="22" t="s">
        <v>3692</v>
      </c>
      <c r="T3001" s="22">
        <f t="shared" si="255"/>
        <v>8</v>
      </c>
      <c r="U3001" s="22">
        <f t="shared" si="256"/>
        <v>2021</v>
      </c>
      <c r="V3001" s="22" t="str">
        <f t="shared" si="257"/>
        <v>METROPOLITANA</v>
      </c>
    </row>
    <row r="3002" spans="1:22" x14ac:dyDescent="0.2">
      <c r="A3002" s="23" t="s">
        <v>3679</v>
      </c>
      <c r="B3002" s="22" t="s">
        <v>33</v>
      </c>
      <c r="C3002" s="22" t="s">
        <v>29</v>
      </c>
      <c r="D3002" s="22" t="s">
        <v>786</v>
      </c>
      <c r="E3002" s="24" t="s">
        <v>1891</v>
      </c>
      <c r="F3002" s="22" t="s">
        <v>173</v>
      </c>
      <c r="G3002" s="25">
        <v>14249.399999999991</v>
      </c>
      <c r="H3002" s="22" t="s">
        <v>788</v>
      </c>
      <c r="I3002" s="22">
        <v>1</v>
      </c>
      <c r="J3002" s="22" t="s">
        <v>173</v>
      </c>
      <c r="K3002" s="22" t="s">
        <v>23</v>
      </c>
      <c r="L3002" s="22">
        <v>5</v>
      </c>
      <c r="M3002" s="26">
        <v>120000</v>
      </c>
      <c r="N3002" s="26">
        <v>0</v>
      </c>
      <c r="O3002" s="15">
        <f t="shared" si="260"/>
        <v>120000</v>
      </c>
      <c r="P3002" s="15">
        <f t="shared" si="259"/>
        <v>8.4214072171459904</v>
      </c>
      <c r="Q3002" s="25">
        <v>10000</v>
      </c>
      <c r="R3002" s="22">
        <v>100</v>
      </c>
      <c r="S3002" s="22" t="s">
        <v>3693</v>
      </c>
      <c r="T3002" s="22">
        <f t="shared" si="255"/>
        <v>8</v>
      </c>
      <c r="U3002" s="22">
        <f t="shared" si="256"/>
        <v>2021</v>
      </c>
      <c r="V3002" s="22" t="str">
        <f t="shared" si="257"/>
        <v>METROPOLITANA</v>
      </c>
    </row>
    <row r="3003" spans="1:22" x14ac:dyDescent="0.2">
      <c r="A3003" s="23" t="s">
        <v>3679</v>
      </c>
      <c r="B3003" s="22" t="s">
        <v>33</v>
      </c>
      <c r="C3003" s="22" t="s">
        <v>29</v>
      </c>
      <c r="D3003" s="22" t="s">
        <v>41</v>
      </c>
      <c r="E3003" s="24" t="s">
        <v>25</v>
      </c>
      <c r="F3003" s="22" t="s">
        <v>39</v>
      </c>
      <c r="G3003" s="25">
        <v>2748</v>
      </c>
      <c r="H3003" s="22" t="s">
        <v>43</v>
      </c>
      <c r="I3003" s="22">
        <v>0</v>
      </c>
      <c r="J3003" s="22" t="s">
        <v>39</v>
      </c>
      <c r="K3003" s="22" t="s">
        <v>23</v>
      </c>
      <c r="L3003" s="22">
        <v>1</v>
      </c>
      <c r="M3003" s="26">
        <v>55000</v>
      </c>
      <c r="N3003" s="26">
        <v>0</v>
      </c>
      <c r="O3003" s="15">
        <f t="shared" si="260"/>
        <v>55000</v>
      </c>
      <c r="P3003" s="15">
        <f t="shared" si="259"/>
        <v>20.014556040756915</v>
      </c>
      <c r="Q3003" s="25">
        <v>5000</v>
      </c>
      <c r="R3003" s="22">
        <v>80</v>
      </c>
      <c r="S3003" s="22" t="s">
        <v>3694</v>
      </c>
      <c r="T3003" s="22">
        <f t="shared" si="255"/>
        <v>8</v>
      </c>
      <c r="U3003" s="22">
        <f t="shared" si="256"/>
        <v>2021</v>
      </c>
      <c r="V3003" s="22" t="str">
        <f t="shared" si="257"/>
        <v>METROPOLITANA</v>
      </c>
    </row>
    <row r="3004" spans="1:22" x14ac:dyDescent="0.2">
      <c r="A3004" s="23" t="s">
        <v>3679</v>
      </c>
      <c r="B3004" s="22" t="s">
        <v>33</v>
      </c>
      <c r="C3004" s="22" t="s">
        <v>29</v>
      </c>
      <c r="D3004" s="22" t="s">
        <v>41</v>
      </c>
      <c r="E3004" s="24" t="s">
        <v>25</v>
      </c>
      <c r="F3004" s="22" t="s">
        <v>134</v>
      </c>
      <c r="G3004" s="25">
        <v>5324.4000000000005</v>
      </c>
      <c r="H3004" s="22" t="s">
        <v>43</v>
      </c>
      <c r="I3004" s="22">
        <v>0</v>
      </c>
      <c r="J3004" s="22" t="s">
        <v>134</v>
      </c>
      <c r="K3004" s="22" t="s">
        <v>23</v>
      </c>
      <c r="L3004" s="22">
        <v>2</v>
      </c>
      <c r="M3004" s="26">
        <v>58568</v>
      </c>
      <c r="N3004" s="26">
        <v>0</v>
      </c>
      <c r="O3004" s="15">
        <f t="shared" si="260"/>
        <v>58568</v>
      </c>
      <c r="P3004" s="15">
        <f t="shared" si="259"/>
        <v>10.999924874164224</v>
      </c>
      <c r="Q3004" s="25">
        <v>5000</v>
      </c>
      <c r="R3004" s="22">
        <v>100</v>
      </c>
      <c r="S3004" s="22" t="s">
        <v>3695</v>
      </c>
      <c r="T3004" s="22">
        <f t="shared" si="255"/>
        <v>8</v>
      </c>
      <c r="U3004" s="22">
        <f t="shared" si="256"/>
        <v>2021</v>
      </c>
      <c r="V3004" s="22" t="str">
        <f t="shared" si="257"/>
        <v>METROPOLITANA</v>
      </c>
    </row>
    <row r="3005" spans="1:22" x14ac:dyDescent="0.2">
      <c r="A3005" s="23" t="s">
        <v>3679</v>
      </c>
      <c r="B3005" s="22" t="s">
        <v>33</v>
      </c>
      <c r="C3005" s="22" t="s">
        <v>44</v>
      </c>
      <c r="D3005" s="22" t="s">
        <v>47</v>
      </c>
      <c r="E3005" s="24" t="s">
        <v>52</v>
      </c>
      <c r="F3005" s="22" t="s">
        <v>48</v>
      </c>
      <c r="G3005" s="25">
        <f>6109.6+783</f>
        <v>6892.6</v>
      </c>
      <c r="H3005" s="22" t="s">
        <v>22</v>
      </c>
      <c r="I3005" s="22">
        <v>0</v>
      </c>
      <c r="J3005" s="22" t="s">
        <v>48</v>
      </c>
      <c r="K3005" s="22" t="s">
        <v>23</v>
      </c>
      <c r="L3005" s="22">
        <v>1</v>
      </c>
      <c r="M3005" s="26">
        <v>67206</v>
      </c>
      <c r="N3005" s="26">
        <v>0</v>
      </c>
      <c r="O3005" s="15">
        <f t="shared" si="260"/>
        <v>67206</v>
      </c>
      <c r="P3005" s="15">
        <f t="shared" si="259"/>
        <v>9.7504570118678</v>
      </c>
      <c r="Q3005" s="25">
        <v>5000</v>
      </c>
      <c r="R3005" s="22">
        <v>100</v>
      </c>
      <c r="S3005" s="22" t="s">
        <v>3697</v>
      </c>
      <c r="T3005" s="22">
        <f t="shared" si="255"/>
        <v>8</v>
      </c>
      <c r="U3005" s="22">
        <f t="shared" si="256"/>
        <v>2021</v>
      </c>
      <c r="V3005" s="22" t="str">
        <f t="shared" si="257"/>
        <v>METROPOLITANA</v>
      </c>
    </row>
    <row r="3006" spans="1:22" x14ac:dyDescent="0.2">
      <c r="A3006" s="11" t="s">
        <v>3698</v>
      </c>
      <c r="B3006" s="12" t="s">
        <v>18</v>
      </c>
      <c r="C3006" s="12" t="s">
        <v>270</v>
      </c>
      <c r="D3006" s="12" t="s">
        <v>37</v>
      </c>
      <c r="E3006" s="13" t="s">
        <v>40</v>
      </c>
      <c r="F3006" s="12" t="s">
        <v>120</v>
      </c>
      <c r="G3006" s="14">
        <v>14635.75</v>
      </c>
      <c r="H3006" s="12" t="s">
        <v>22</v>
      </c>
      <c r="I3006" s="12">
        <v>0</v>
      </c>
      <c r="J3006" s="12" t="s">
        <v>120</v>
      </c>
      <c r="K3006" s="12" t="s">
        <v>23</v>
      </c>
      <c r="L3006" s="12">
        <v>5</v>
      </c>
      <c r="M3006" s="15">
        <v>70000</v>
      </c>
      <c r="N3006" s="15">
        <v>0</v>
      </c>
      <c r="O3006" s="15">
        <f t="shared" si="260"/>
        <v>70000</v>
      </c>
      <c r="P3006" s="15">
        <f t="shared" si="259"/>
        <v>4.7828092171566201</v>
      </c>
      <c r="Q3006" s="14">
        <v>10000</v>
      </c>
      <c r="R3006" s="12">
        <v>100</v>
      </c>
      <c r="S3006" s="12" t="s">
        <v>3699</v>
      </c>
      <c r="T3006" s="22">
        <f t="shared" si="255"/>
        <v>9</v>
      </c>
      <c r="U3006" s="22">
        <f t="shared" si="256"/>
        <v>2021</v>
      </c>
      <c r="V3006" s="22" t="str">
        <f t="shared" si="257"/>
        <v>METROPOLITANA</v>
      </c>
    </row>
    <row r="3007" spans="1:22" x14ac:dyDescent="0.2">
      <c r="A3007" s="11" t="s">
        <v>3698</v>
      </c>
      <c r="B3007" s="12" t="s">
        <v>18</v>
      </c>
      <c r="C3007" s="12" t="s">
        <v>270</v>
      </c>
      <c r="D3007" s="12" t="s">
        <v>20</v>
      </c>
      <c r="E3007" s="13" t="s">
        <v>1576</v>
      </c>
      <c r="F3007" s="12" t="s">
        <v>120</v>
      </c>
      <c r="G3007" s="14">
        <v>7310</v>
      </c>
      <c r="H3007" s="12" t="s">
        <v>22</v>
      </c>
      <c r="I3007" s="12">
        <v>0</v>
      </c>
      <c r="J3007" s="12" t="s">
        <v>120</v>
      </c>
      <c r="K3007" s="12" t="s">
        <v>23</v>
      </c>
      <c r="L3007" s="12">
        <v>5</v>
      </c>
      <c r="M3007" s="15">
        <v>70000</v>
      </c>
      <c r="N3007" s="15">
        <v>0</v>
      </c>
      <c r="O3007" s="15">
        <f t="shared" si="260"/>
        <v>70000</v>
      </c>
      <c r="P3007" s="15">
        <f t="shared" si="259"/>
        <v>9.5759233926128591</v>
      </c>
      <c r="Q3007" s="14">
        <v>10000</v>
      </c>
      <c r="R3007" s="12">
        <v>73</v>
      </c>
      <c r="S3007" s="12" t="s">
        <v>3700</v>
      </c>
      <c r="T3007" s="22">
        <f t="shared" si="255"/>
        <v>9</v>
      </c>
      <c r="U3007" s="22">
        <f t="shared" si="256"/>
        <v>2021</v>
      </c>
      <c r="V3007" s="22" t="str">
        <f t="shared" si="257"/>
        <v>METROPOLITANA</v>
      </c>
    </row>
    <row r="3008" spans="1:22" x14ac:dyDescent="0.2">
      <c r="A3008" s="11" t="s">
        <v>3698</v>
      </c>
      <c r="B3008" s="12" t="s">
        <v>18</v>
      </c>
      <c r="C3008" s="12" t="s">
        <v>163</v>
      </c>
      <c r="D3008" s="12" t="s">
        <v>27</v>
      </c>
      <c r="E3008" s="13" t="s">
        <v>28</v>
      </c>
      <c r="F3008" s="12" t="s">
        <v>165</v>
      </c>
      <c r="G3008" s="14">
        <v>23654.55999999999</v>
      </c>
      <c r="H3008" s="12" t="s">
        <v>22</v>
      </c>
      <c r="I3008" s="12">
        <v>1</v>
      </c>
      <c r="J3008" s="12" t="s">
        <v>165</v>
      </c>
      <c r="K3008" s="12" t="s">
        <v>23</v>
      </c>
      <c r="L3008" s="12">
        <v>4</v>
      </c>
      <c r="M3008" s="15">
        <v>260200</v>
      </c>
      <c r="N3008" s="15">
        <v>0</v>
      </c>
      <c r="O3008" s="15">
        <f t="shared" si="260"/>
        <v>260200</v>
      </c>
      <c r="P3008" s="15">
        <f t="shared" si="259"/>
        <v>10.999993235976493</v>
      </c>
      <c r="Q3008" s="14">
        <v>5000</v>
      </c>
      <c r="R3008" s="12">
        <v>100</v>
      </c>
      <c r="S3008" s="12" t="s">
        <v>3701</v>
      </c>
      <c r="T3008" s="22">
        <f t="shared" si="255"/>
        <v>9</v>
      </c>
      <c r="U3008" s="22">
        <f t="shared" si="256"/>
        <v>2021</v>
      </c>
      <c r="V3008" s="22" t="str">
        <f t="shared" si="257"/>
        <v>METROPOLITANA</v>
      </c>
    </row>
    <row r="3009" spans="1:22" x14ac:dyDescent="0.2">
      <c r="A3009" s="11" t="s">
        <v>3698</v>
      </c>
      <c r="B3009" s="12" t="s">
        <v>18</v>
      </c>
      <c r="C3009" s="12" t="s">
        <v>1722</v>
      </c>
      <c r="D3009" s="12" t="s">
        <v>30</v>
      </c>
      <c r="E3009" s="13" t="s">
        <v>31</v>
      </c>
      <c r="F3009" s="12" t="s">
        <v>26</v>
      </c>
      <c r="G3009" s="14">
        <v>7445.9999999999973</v>
      </c>
      <c r="H3009" s="12" t="s">
        <v>32</v>
      </c>
      <c r="I3009" s="12">
        <v>0</v>
      </c>
      <c r="J3009" s="12" t="s">
        <v>26</v>
      </c>
      <c r="K3009" s="12" t="s">
        <v>23</v>
      </c>
      <c r="L3009" s="12">
        <v>4</v>
      </c>
      <c r="M3009" s="15">
        <v>81906</v>
      </c>
      <c r="N3009" s="15">
        <v>0</v>
      </c>
      <c r="O3009" s="15">
        <f t="shared" si="260"/>
        <v>81906</v>
      </c>
      <c r="P3009" s="15">
        <f t="shared" si="259"/>
        <v>11.000000000000004</v>
      </c>
      <c r="Q3009" s="14">
        <v>5000</v>
      </c>
      <c r="R3009" s="12">
        <v>100</v>
      </c>
      <c r="S3009" s="12" t="s">
        <v>3702</v>
      </c>
      <c r="T3009" s="22">
        <f t="shared" si="255"/>
        <v>9</v>
      </c>
      <c r="U3009" s="22">
        <f t="shared" si="256"/>
        <v>2021</v>
      </c>
      <c r="V3009" s="22" t="str">
        <f t="shared" si="257"/>
        <v>METROPOLITANA</v>
      </c>
    </row>
    <row r="3010" spans="1:22" x14ac:dyDescent="0.2">
      <c r="A3010" s="11" t="s">
        <v>3698</v>
      </c>
      <c r="B3010" s="12" t="s">
        <v>33</v>
      </c>
      <c r="C3010" s="12" t="s">
        <v>354</v>
      </c>
      <c r="D3010" s="12" t="s">
        <v>63</v>
      </c>
      <c r="E3010" s="13" t="s">
        <v>64</v>
      </c>
      <c r="F3010" s="12" t="s">
        <v>53</v>
      </c>
      <c r="G3010" s="14">
        <v>8502</v>
      </c>
      <c r="H3010" s="12" t="s">
        <v>65</v>
      </c>
      <c r="I3010" s="12">
        <v>0</v>
      </c>
      <c r="J3010" s="12" t="s">
        <v>53</v>
      </c>
      <c r="K3010" s="12" t="s">
        <v>23</v>
      </c>
      <c r="L3010" s="12">
        <v>3</v>
      </c>
      <c r="M3010" s="15">
        <v>93522</v>
      </c>
      <c r="N3010" s="15">
        <v>0</v>
      </c>
      <c r="O3010" s="15">
        <f t="shared" si="260"/>
        <v>93522</v>
      </c>
      <c r="P3010" s="15">
        <f t="shared" si="259"/>
        <v>11</v>
      </c>
      <c r="Q3010" s="14">
        <v>5000</v>
      </c>
      <c r="R3010" s="12">
        <v>100</v>
      </c>
      <c r="S3010" s="12" t="s">
        <v>3703</v>
      </c>
      <c r="T3010" s="22">
        <f t="shared" si="255"/>
        <v>9</v>
      </c>
      <c r="U3010" s="22">
        <f t="shared" si="256"/>
        <v>2021</v>
      </c>
      <c r="V3010" s="22" t="str">
        <f t="shared" si="257"/>
        <v>METROPOLITANA</v>
      </c>
    </row>
    <row r="3011" spans="1:22" x14ac:dyDescent="0.2">
      <c r="A3011" s="11" t="s">
        <v>3698</v>
      </c>
      <c r="B3011" s="12" t="s">
        <v>33</v>
      </c>
      <c r="C3011" s="12" t="s">
        <v>3460</v>
      </c>
      <c r="D3011" s="12" t="s">
        <v>38</v>
      </c>
      <c r="E3011" s="13" t="s">
        <v>42</v>
      </c>
      <c r="F3011" s="12" t="s">
        <v>170</v>
      </c>
      <c r="G3011" s="14">
        <v>8502</v>
      </c>
      <c r="H3011" s="12" t="s">
        <v>43</v>
      </c>
      <c r="I3011" s="12">
        <v>0</v>
      </c>
      <c r="J3011" s="12" t="s">
        <v>170</v>
      </c>
      <c r="K3011" s="12" t="s">
        <v>171</v>
      </c>
      <c r="L3011" s="12">
        <v>0</v>
      </c>
      <c r="M3011" s="15">
        <v>180000</v>
      </c>
      <c r="N3011" s="15">
        <v>0</v>
      </c>
      <c r="O3011" s="15">
        <f t="shared" si="260"/>
        <v>180000</v>
      </c>
      <c r="P3011" s="15">
        <f t="shared" si="259"/>
        <v>21.171489061397317</v>
      </c>
      <c r="Q3011" s="14">
        <v>25000</v>
      </c>
      <c r="R3011" s="12">
        <v>34</v>
      </c>
      <c r="S3011" s="12" t="s">
        <v>3704</v>
      </c>
      <c r="T3011" s="22">
        <f t="shared" si="255"/>
        <v>9</v>
      </c>
      <c r="U3011" s="22">
        <f t="shared" si="256"/>
        <v>2021</v>
      </c>
      <c r="V3011" s="22" t="str">
        <f t="shared" si="257"/>
        <v>REGIONES</v>
      </c>
    </row>
    <row r="3012" spans="1:22" x14ac:dyDescent="0.2">
      <c r="A3012" s="11" t="s">
        <v>3698</v>
      </c>
      <c r="B3012" s="12" t="s">
        <v>33</v>
      </c>
      <c r="C3012" s="12" t="s">
        <v>3460</v>
      </c>
      <c r="D3012" s="12" t="s">
        <v>41</v>
      </c>
      <c r="E3012" s="13" t="s">
        <v>25</v>
      </c>
      <c r="F3012" s="12" t="s">
        <v>170</v>
      </c>
      <c r="G3012" s="14">
        <v>8502</v>
      </c>
      <c r="H3012" s="12" t="s">
        <v>43</v>
      </c>
      <c r="I3012" s="12">
        <v>0</v>
      </c>
      <c r="J3012" s="12" t="s">
        <v>170</v>
      </c>
      <c r="K3012" s="12" t="s">
        <v>171</v>
      </c>
      <c r="L3012" s="12">
        <v>0</v>
      </c>
      <c r="M3012" s="15">
        <v>180000</v>
      </c>
      <c r="N3012" s="15">
        <v>0</v>
      </c>
      <c r="O3012" s="15">
        <f t="shared" si="260"/>
        <v>180000</v>
      </c>
      <c r="P3012" s="15">
        <f t="shared" si="259"/>
        <v>21.171489061397317</v>
      </c>
      <c r="Q3012" s="14">
        <v>25000</v>
      </c>
      <c r="R3012" s="12">
        <v>34</v>
      </c>
      <c r="S3012" s="12" t="s">
        <v>3705</v>
      </c>
      <c r="T3012" s="22">
        <f t="shared" si="255"/>
        <v>9</v>
      </c>
      <c r="U3012" s="22">
        <f t="shared" si="256"/>
        <v>2021</v>
      </c>
      <c r="V3012" s="22" t="str">
        <f t="shared" si="257"/>
        <v>REGIONES</v>
      </c>
    </row>
    <row r="3013" spans="1:22" x14ac:dyDescent="0.2">
      <c r="A3013" s="11" t="s">
        <v>3698</v>
      </c>
      <c r="B3013" s="12" t="s">
        <v>33</v>
      </c>
      <c r="C3013" s="12" t="s">
        <v>29</v>
      </c>
      <c r="D3013" s="12" t="s">
        <v>37</v>
      </c>
      <c r="E3013" s="13" t="s">
        <v>40</v>
      </c>
      <c r="F3013" s="12" t="s">
        <v>39</v>
      </c>
      <c r="G3013" s="14">
        <v>7503.9999999999973</v>
      </c>
      <c r="H3013" s="12" t="s">
        <v>22</v>
      </c>
      <c r="I3013" s="12">
        <v>0</v>
      </c>
      <c r="J3013" s="12" t="s">
        <v>39</v>
      </c>
      <c r="K3013" s="12" t="s">
        <v>23</v>
      </c>
      <c r="L3013" s="12">
        <v>1</v>
      </c>
      <c r="M3013" s="15">
        <v>82544</v>
      </c>
      <c r="N3013" s="15">
        <v>0</v>
      </c>
      <c r="O3013" s="15">
        <f t="shared" si="260"/>
        <v>82544</v>
      </c>
      <c r="P3013" s="15">
        <f t="shared" si="259"/>
        <v>11.000000000000004</v>
      </c>
      <c r="Q3013" s="14">
        <v>5000</v>
      </c>
      <c r="R3013" s="12">
        <v>100</v>
      </c>
      <c r="S3013" s="12" t="s">
        <v>3706</v>
      </c>
      <c r="T3013" s="22">
        <f t="shared" si="255"/>
        <v>9</v>
      </c>
      <c r="U3013" s="22">
        <f t="shared" si="256"/>
        <v>2021</v>
      </c>
      <c r="V3013" s="22" t="str">
        <f t="shared" si="257"/>
        <v>METROPOLITANA</v>
      </c>
    </row>
    <row r="3014" spans="1:22" x14ac:dyDescent="0.2">
      <c r="A3014" s="11" t="s">
        <v>3698</v>
      </c>
      <c r="B3014" s="12" t="s">
        <v>33</v>
      </c>
      <c r="C3014" s="12" t="s">
        <v>29</v>
      </c>
      <c r="D3014" s="12" t="s">
        <v>27</v>
      </c>
      <c r="E3014" s="13" t="s">
        <v>28</v>
      </c>
      <c r="F3014" s="12" t="s">
        <v>39</v>
      </c>
      <c r="G3014" s="14">
        <v>14257.599999999989</v>
      </c>
      <c r="H3014" s="12" t="s">
        <v>22</v>
      </c>
      <c r="I3014" s="12">
        <v>1</v>
      </c>
      <c r="J3014" s="12" t="s">
        <v>39</v>
      </c>
      <c r="K3014" s="12" t="s">
        <v>23</v>
      </c>
      <c r="L3014" s="12">
        <v>1</v>
      </c>
      <c r="M3014" s="15">
        <v>156834</v>
      </c>
      <c r="N3014" s="15">
        <v>0</v>
      </c>
      <c r="O3014" s="15">
        <f t="shared" si="260"/>
        <v>156834</v>
      </c>
      <c r="P3014" s="15">
        <f t="shared" si="259"/>
        <v>11.000028055212667</v>
      </c>
      <c r="Q3014" s="14">
        <v>5000</v>
      </c>
      <c r="R3014" s="12">
        <v>100</v>
      </c>
      <c r="S3014" s="12" t="s">
        <v>3707</v>
      </c>
      <c r="T3014" s="22">
        <f t="shared" si="255"/>
        <v>9</v>
      </c>
      <c r="U3014" s="22">
        <f t="shared" si="256"/>
        <v>2021</v>
      </c>
      <c r="V3014" s="22" t="str">
        <f t="shared" si="257"/>
        <v>METROPOLITANA</v>
      </c>
    </row>
    <row r="3015" spans="1:22" x14ac:dyDescent="0.2">
      <c r="A3015" s="11" t="s">
        <v>3698</v>
      </c>
      <c r="B3015" s="12" t="s">
        <v>33</v>
      </c>
      <c r="C3015" s="12" t="s">
        <v>29</v>
      </c>
      <c r="D3015" s="12" t="s">
        <v>30</v>
      </c>
      <c r="E3015" s="13" t="s">
        <v>31</v>
      </c>
      <c r="F3015" s="12" t="s">
        <v>39</v>
      </c>
      <c r="G3015" s="14">
        <v>2748</v>
      </c>
      <c r="H3015" s="12" t="s">
        <v>32</v>
      </c>
      <c r="I3015" s="12">
        <v>0</v>
      </c>
      <c r="J3015" s="12" t="s">
        <v>39</v>
      </c>
      <c r="K3015" s="12" t="s">
        <v>23</v>
      </c>
      <c r="L3015" s="12">
        <v>1</v>
      </c>
      <c r="M3015" s="15">
        <v>55000</v>
      </c>
      <c r="N3015" s="15">
        <v>0</v>
      </c>
      <c r="O3015" s="15">
        <f t="shared" si="260"/>
        <v>55000</v>
      </c>
      <c r="P3015" s="15">
        <f t="shared" si="259"/>
        <v>20.014556040756915</v>
      </c>
      <c r="Q3015" s="14">
        <v>5000</v>
      </c>
      <c r="R3015" s="12">
        <v>55</v>
      </c>
      <c r="S3015" s="12" t="s">
        <v>3708</v>
      </c>
      <c r="T3015" s="22">
        <f t="shared" si="255"/>
        <v>9</v>
      </c>
      <c r="U3015" s="22">
        <f t="shared" si="256"/>
        <v>2021</v>
      </c>
      <c r="V3015" s="22" t="str">
        <f t="shared" si="257"/>
        <v>METROPOLITANA</v>
      </c>
    </row>
    <row r="3016" spans="1:22" x14ac:dyDescent="0.2">
      <c r="A3016" s="11" t="s">
        <v>3698</v>
      </c>
      <c r="B3016" s="12" t="s">
        <v>33</v>
      </c>
      <c r="C3016" s="12" t="s">
        <v>44</v>
      </c>
      <c r="D3016" s="12" t="s">
        <v>30</v>
      </c>
      <c r="E3016" s="13" t="s">
        <v>31</v>
      </c>
      <c r="F3016" s="12" t="s">
        <v>225</v>
      </c>
      <c r="G3016" s="14">
        <v>4191.3999999999996</v>
      </c>
      <c r="H3016" s="12" t="s">
        <v>32</v>
      </c>
      <c r="I3016" s="12">
        <v>0</v>
      </c>
      <c r="J3016" s="12" t="s">
        <v>225</v>
      </c>
      <c r="K3016" s="12" t="s">
        <v>23</v>
      </c>
      <c r="L3016" s="12">
        <v>3</v>
      </c>
      <c r="M3016" s="15">
        <v>55000</v>
      </c>
      <c r="N3016" s="15">
        <v>0</v>
      </c>
      <c r="O3016" s="15">
        <f t="shared" si="260"/>
        <v>55000</v>
      </c>
      <c r="P3016" s="15">
        <f t="shared" si="259"/>
        <v>13.122107171828031</v>
      </c>
      <c r="Q3016" s="14">
        <v>5000</v>
      </c>
      <c r="R3016" s="12">
        <v>84</v>
      </c>
      <c r="S3016" s="12" t="s">
        <v>3709</v>
      </c>
      <c r="T3016" s="22">
        <f t="shared" ref="T3016:T3079" si="261">MONTH(A3016)</f>
        <v>9</v>
      </c>
      <c r="U3016" s="22">
        <f t="shared" ref="U3016:U3079" si="262">YEAR(A3016)</f>
        <v>2021</v>
      </c>
      <c r="V3016" s="22" t="str">
        <f t="shared" ref="V3016:V3079" si="263">IF(K3016="METROPOLITANA DE SANTIAGO","METROPOLITANA","REGIONES")</f>
        <v>METROPOLITANA</v>
      </c>
    </row>
    <row r="3017" spans="1:22" x14ac:dyDescent="0.2">
      <c r="A3017" s="11" t="s">
        <v>3698</v>
      </c>
      <c r="B3017" s="12" t="s">
        <v>33</v>
      </c>
      <c r="C3017" s="12" t="s">
        <v>44</v>
      </c>
      <c r="D3017" s="12" t="s">
        <v>45</v>
      </c>
      <c r="E3017" s="13" t="s">
        <v>52</v>
      </c>
      <c r="F3017" s="12" t="s">
        <v>67</v>
      </c>
      <c r="G3017" s="14">
        <v>4601</v>
      </c>
      <c r="H3017" s="12" t="s">
        <v>22</v>
      </c>
      <c r="I3017" s="12">
        <v>0</v>
      </c>
      <c r="J3017" s="12" t="s">
        <v>67</v>
      </c>
      <c r="K3017" s="12" t="s">
        <v>23</v>
      </c>
      <c r="L3017" s="12">
        <v>2</v>
      </c>
      <c r="M3017" s="15">
        <v>55000</v>
      </c>
      <c r="N3017" s="15">
        <v>0</v>
      </c>
      <c r="O3017" s="15">
        <f t="shared" si="260"/>
        <v>55000</v>
      </c>
      <c r="P3017" s="15">
        <f t="shared" si="259"/>
        <v>11.953923060204303</v>
      </c>
      <c r="Q3017" s="14">
        <v>5000</v>
      </c>
      <c r="R3017" s="12">
        <v>92</v>
      </c>
      <c r="S3017" s="12" t="s">
        <v>3710</v>
      </c>
      <c r="T3017" s="22">
        <f t="shared" si="261"/>
        <v>9</v>
      </c>
      <c r="U3017" s="22">
        <f t="shared" si="262"/>
        <v>2021</v>
      </c>
      <c r="V3017" s="22" t="str">
        <f t="shared" si="263"/>
        <v>METROPOLITANA</v>
      </c>
    </row>
    <row r="3018" spans="1:22" x14ac:dyDescent="0.2">
      <c r="A3018" s="11" t="s">
        <v>3698</v>
      </c>
      <c r="B3018" s="12" t="s">
        <v>33</v>
      </c>
      <c r="C3018" s="12" t="s">
        <v>44</v>
      </c>
      <c r="D3018" s="12" t="s">
        <v>47</v>
      </c>
      <c r="E3018" s="13" t="s">
        <v>1576</v>
      </c>
      <c r="F3018" s="12" t="s">
        <v>51</v>
      </c>
      <c r="G3018" s="14">
        <v>4177.6000000000004</v>
      </c>
      <c r="H3018" s="12" t="s">
        <v>22</v>
      </c>
      <c r="I3018" s="12">
        <v>0</v>
      </c>
      <c r="J3018" s="12" t="s">
        <v>51</v>
      </c>
      <c r="K3018" s="12" t="s">
        <v>23</v>
      </c>
      <c r="L3018" s="12">
        <v>4</v>
      </c>
      <c r="M3018" s="15">
        <v>55000</v>
      </c>
      <c r="N3018" s="15">
        <v>0</v>
      </c>
      <c r="O3018" s="15">
        <f t="shared" si="260"/>
        <v>55000</v>
      </c>
      <c r="P3018" s="15">
        <f t="shared" si="259"/>
        <v>13.165453849099961</v>
      </c>
      <c r="Q3018" s="14">
        <v>5000</v>
      </c>
      <c r="R3018" s="12">
        <v>84</v>
      </c>
      <c r="S3018" s="12" t="s">
        <v>3711</v>
      </c>
      <c r="T3018" s="22">
        <f t="shared" si="261"/>
        <v>9</v>
      </c>
      <c r="U3018" s="22">
        <f t="shared" si="262"/>
        <v>2021</v>
      </c>
      <c r="V3018" s="22" t="str">
        <f t="shared" si="263"/>
        <v>METROPOLITANA</v>
      </c>
    </row>
    <row r="3019" spans="1:22" x14ac:dyDescent="0.2">
      <c r="A3019" s="11" t="s">
        <v>3698</v>
      </c>
      <c r="B3019" s="12" t="s">
        <v>33</v>
      </c>
      <c r="C3019" s="12" t="s">
        <v>44</v>
      </c>
      <c r="D3019" s="12" t="s">
        <v>20</v>
      </c>
      <c r="E3019" s="13" t="s">
        <v>21</v>
      </c>
      <c r="F3019" s="12" t="s">
        <v>26</v>
      </c>
      <c r="G3019" s="14">
        <v>3683.4</v>
      </c>
      <c r="H3019" s="12" t="s">
        <v>22</v>
      </c>
      <c r="I3019" s="12">
        <v>0</v>
      </c>
      <c r="J3019" s="12" t="s">
        <v>26</v>
      </c>
      <c r="K3019" s="12" t="s">
        <v>23</v>
      </c>
      <c r="L3019" s="12">
        <v>4</v>
      </c>
      <c r="M3019" s="15">
        <v>55000</v>
      </c>
      <c r="N3019" s="15">
        <v>0</v>
      </c>
      <c r="O3019" s="15">
        <f t="shared" si="260"/>
        <v>55000</v>
      </c>
      <c r="P3019" s="15">
        <f t="shared" si="259"/>
        <v>14.931856436987566</v>
      </c>
      <c r="Q3019" s="14">
        <v>5000</v>
      </c>
      <c r="R3019" s="12">
        <v>74</v>
      </c>
      <c r="S3019" s="12" t="s">
        <v>3712</v>
      </c>
      <c r="T3019" s="22">
        <f t="shared" si="261"/>
        <v>9</v>
      </c>
      <c r="U3019" s="22">
        <f t="shared" si="262"/>
        <v>2021</v>
      </c>
      <c r="V3019" s="22" t="str">
        <f t="shared" si="263"/>
        <v>METROPOLITANA</v>
      </c>
    </row>
    <row r="3020" spans="1:22" x14ac:dyDescent="0.2">
      <c r="A3020" s="23" t="s">
        <v>3713</v>
      </c>
      <c r="B3020" s="22" t="s">
        <v>18</v>
      </c>
      <c r="C3020" s="22" t="s">
        <v>19</v>
      </c>
      <c r="D3020" s="22" t="s">
        <v>37</v>
      </c>
      <c r="E3020" s="24" t="s">
        <v>40</v>
      </c>
      <c r="F3020" s="22" t="s">
        <v>67</v>
      </c>
      <c r="G3020" s="25">
        <v>7700.6099999999988</v>
      </c>
      <c r="H3020" s="22" t="s">
        <v>22</v>
      </c>
      <c r="I3020" s="22">
        <v>0</v>
      </c>
      <c r="J3020" s="22" t="s">
        <v>67</v>
      </c>
      <c r="K3020" s="22" t="s">
        <v>23</v>
      </c>
      <c r="L3020" s="22">
        <v>2</v>
      </c>
      <c r="M3020" s="26">
        <v>84707</v>
      </c>
      <c r="N3020" s="26">
        <v>0</v>
      </c>
      <c r="O3020" s="15">
        <f t="shared" si="260"/>
        <v>84707</v>
      </c>
      <c r="P3020" s="15">
        <f t="shared" si="259"/>
        <v>11.000037659354261</v>
      </c>
      <c r="Q3020" s="25">
        <v>5000</v>
      </c>
      <c r="R3020" s="22">
        <v>100</v>
      </c>
      <c r="S3020" s="22" t="s">
        <v>3714</v>
      </c>
      <c r="T3020" s="22">
        <f t="shared" si="261"/>
        <v>9</v>
      </c>
      <c r="U3020" s="22">
        <f t="shared" si="262"/>
        <v>2021</v>
      </c>
      <c r="V3020" s="22" t="str">
        <f t="shared" si="263"/>
        <v>METROPOLITANA</v>
      </c>
    </row>
    <row r="3021" spans="1:22" x14ac:dyDescent="0.2">
      <c r="A3021" s="23" t="s">
        <v>3713</v>
      </c>
      <c r="B3021" s="22" t="s">
        <v>18</v>
      </c>
      <c r="C3021" s="22" t="s">
        <v>19</v>
      </c>
      <c r="D3021" s="22" t="s">
        <v>3715</v>
      </c>
      <c r="E3021" s="24" t="s">
        <v>31</v>
      </c>
      <c r="F3021" s="22" t="s">
        <v>727</v>
      </c>
      <c r="G3021" s="25">
        <v>2651.04</v>
      </c>
      <c r="H3021" s="22" t="s">
        <v>24</v>
      </c>
      <c r="I3021" s="22">
        <v>1</v>
      </c>
      <c r="J3021" s="22" t="s">
        <v>727</v>
      </c>
      <c r="K3021" s="22" t="s">
        <v>23</v>
      </c>
      <c r="L3021" s="22">
        <v>2</v>
      </c>
      <c r="M3021" s="26">
        <v>55000</v>
      </c>
      <c r="N3021" s="26">
        <v>0</v>
      </c>
      <c r="O3021" s="15">
        <f t="shared" si="260"/>
        <v>55000</v>
      </c>
      <c r="P3021" s="15">
        <f t="shared" si="259"/>
        <v>20.746574929084435</v>
      </c>
      <c r="Q3021" s="25">
        <v>5000</v>
      </c>
      <c r="R3021" s="22">
        <v>53</v>
      </c>
      <c r="S3021" s="22" t="s">
        <v>3716</v>
      </c>
      <c r="T3021" s="22">
        <f t="shared" si="261"/>
        <v>9</v>
      </c>
      <c r="U3021" s="22">
        <f t="shared" si="262"/>
        <v>2021</v>
      </c>
      <c r="V3021" s="22" t="str">
        <f t="shared" si="263"/>
        <v>METROPOLITANA</v>
      </c>
    </row>
    <row r="3022" spans="1:22" x14ac:dyDescent="0.2">
      <c r="A3022" s="23" t="s">
        <v>3713</v>
      </c>
      <c r="B3022" s="22" t="s">
        <v>18</v>
      </c>
      <c r="C3022" s="22" t="s">
        <v>19</v>
      </c>
      <c r="D3022" s="22" t="s">
        <v>30</v>
      </c>
      <c r="E3022" s="24" t="s">
        <v>31</v>
      </c>
      <c r="F3022" s="22" t="s">
        <v>727</v>
      </c>
      <c r="G3022" s="25">
        <v>8284.5000000000018</v>
      </c>
      <c r="H3022" s="22" t="s">
        <v>32</v>
      </c>
      <c r="I3022" s="22">
        <v>0</v>
      </c>
      <c r="J3022" s="22" t="s">
        <v>727</v>
      </c>
      <c r="K3022" s="22" t="s">
        <v>23</v>
      </c>
      <c r="L3022" s="22">
        <v>2</v>
      </c>
      <c r="M3022" s="26">
        <v>91130</v>
      </c>
      <c r="N3022" s="26">
        <v>0</v>
      </c>
      <c r="O3022" s="15">
        <f t="shared" si="260"/>
        <v>91130</v>
      </c>
      <c r="P3022" s="15">
        <f t="shared" si="259"/>
        <v>11.000060353672518</v>
      </c>
      <c r="Q3022" s="25">
        <v>5000</v>
      </c>
      <c r="R3022" s="22">
        <v>100</v>
      </c>
      <c r="S3022" s="22" t="s">
        <v>3717</v>
      </c>
      <c r="T3022" s="22">
        <f t="shared" si="261"/>
        <v>9</v>
      </c>
      <c r="U3022" s="22">
        <f t="shared" si="262"/>
        <v>2021</v>
      </c>
      <c r="V3022" s="22" t="str">
        <f t="shared" si="263"/>
        <v>METROPOLITANA</v>
      </c>
    </row>
    <row r="3023" spans="1:22" x14ac:dyDescent="0.2">
      <c r="A3023" s="23" t="s">
        <v>3713</v>
      </c>
      <c r="B3023" s="22" t="s">
        <v>33</v>
      </c>
      <c r="C3023" s="22" t="s">
        <v>60</v>
      </c>
      <c r="D3023" s="22" t="s">
        <v>37</v>
      </c>
      <c r="E3023" s="24" t="s">
        <v>40</v>
      </c>
      <c r="F3023" s="22" t="s">
        <v>51</v>
      </c>
      <c r="G3023" s="25">
        <v>9004.7999999999975</v>
      </c>
      <c r="H3023" s="22" t="s">
        <v>22</v>
      </c>
      <c r="I3023" s="22">
        <v>0</v>
      </c>
      <c r="J3023" s="22" t="s">
        <v>51</v>
      </c>
      <c r="K3023" s="22" t="s">
        <v>23</v>
      </c>
      <c r="L3023" s="22">
        <v>4</v>
      </c>
      <c r="M3023" s="26">
        <v>99053</v>
      </c>
      <c r="N3023" s="26">
        <v>0</v>
      </c>
      <c r="O3023" s="15">
        <f t="shared" si="260"/>
        <v>99053</v>
      </c>
      <c r="P3023" s="15">
        <f t="shared" si="259"/>
        <v>11.000022210376692</v>
      </c>
      <c r="Q3023" s="25">
        <v>5000</v>
      </c>
      <c r="R3023" s="22">
        <v>100</v>
      </c>
      <c r="S3023" s="22" t="s">
        <v>3718</v>
      </c>
      <c r="T3023" s="22">
        <f t="shared" si="261"/>
        <v>9</v>
      </c>
      <c r="U3023" s="22">
        <f t="shared" si="262"/>
        <v>2021</v>
      </c>
      <c r="V3023" s="22" t="str">
        <f t="shared" si="263"/>
        <v>METROPOLITANA</v>
      </c>
    </row>
    <row r="3024" spans="1:22" x14ac:dyDescent="0.2">
      <c r="A3024" s="23" t="s">
        <v>3713</v>
      </c>
      <c r="B3024" s="22" t="s">
        <v>33</v>
      </c>
      <c r="C3024" s="22" t="s">
        <v>60</v>
      </c>
      <c r="D3024" s="22" t="s">
        <v>786</v>
      </c>
      <c r="E3024" s="24" t="s">
        <v>1891</v>
      </c>
      <c r="F3024" s="22" t="s">
        <v>173</v>
      </c>
      <c r="G3024" s="25">
        <v>9755.1999999999971</v>
      </c>
      <c r="H3024" s="22" t="s">
        <v>788</v>
      </c>
      <c r="I3024" s="22">
        <v>1</v>
      </c>
      <c r="J3024" s="22" t="s">
        <v>173</v>
      </c>
      <c r="K3024" s="22" t="s">
        <v>23</v>
      </c>
      <c r="L3024" s="22">
        <v>5</v>
      </c>
      <c r="M3024" s="26">
        <v>120000</v>
      </c>
      <c r="N3024" s="26">
        <v>0</v>
      </c>
      <c r="O3024" s="15">
        <f t="shared" si="260"/>
        <v>120000</v>
      </c>
      <c r="P3024" s="15">
        <f t="shared" si="259"/>
        <v>12.301131704116782</v>
      </c>
      <c r="Q3024" s="25">
        <v>10000</v>
      </c>
      <c r="R3024" s="22">
        <v>98</v>
      </c>
      <c r="S3024" s="22" t="s">
        <v>3719</v>
      </c>
      <c r="T3024" s="22">
        <f t="shared" si="261"/>
        <v>9</v>
      </c>
      <c r="U3024" s="22">
        <f t="shared" si="262"/>
        <v>2021</v>
      </c>
      <c r="V3024" s="22" t="str">
        <f t="shared" si="263"/>
        <v>METROPOLITANA</v>
      </c>
    </row>
    <row r="3025" spans="1:22" x14ac:dyDescent="0.2">
      <c r="A3025" s="23" t="s">
        <v>3713</v>
      </c>
      <c r="B3025" s="22" t="s">
        <v>33</v>
      </c>
      <c r="C3025" s="22" t="s">
        <v>60</v>
      </c>
      <c r="D3025" s="22" t="s">
        <v>63</v>
      </c>
      <c r="E3025" s="24" t="s">
        <v>3720</v>
      </c>
      <c r="F3025" s="22" t="s">
        <v>51</v>
      </c>
      <c r="G3025" s="25">
        <v>9004.7999999999975</v>
      </c>
      <c r="H3025" s="22" t="s">
        <v>65</v>
      </c>
      <c r="I3025" s="22">
        <v>0</v>
      </c>
      <c r="J3025" s="22" t="s">
        <v>51</v>
      </c>
      <c r="K3025" s="22" t="s">
        <v>23</v>
      </c>
      <c r="L3025" s="22">
        <v>4</v>
      </c>
      <c r="M3025" s="26">
        <v>99053</v>
      </c>
      <c r="N3025" s="26">
        <v>0</v>
      </c>
      <c r="O3025" s="15">
        <f t="shared" ref="O3025:O3035" si="264">SUM(M3025:N3025)</f>
        <v>99053</v>
      </c>
      <c r="P3025" s="15">
        <f t="shared" si="259"/>
        <v>11.000022210376692</v>
      </c>
      <c r="Q3025" s="25">
        <v>5000</v>
      </c>
      <c r="R3025" s="22">
        <v>100</v>
      </c>
      <c r="S3025" s="22" t="s">
        <v>3721</v>
      </c>
      <c r="T3025" s="22">
        <f t="shared" si="261"/>
        <v>9</v>
      </c>
      <c r="U3025" s="22">
        <f t="shared" si="262"/>
        <v>2021</v>
      </c>
      <c r="V3025" s="22" t="str">
        <f t="shared" si="263"/>
        <v>METROPOLITANA</v>
      </c>
    </row>
    <row r="3026" spans="1:22" x14ac:dyDescent="0.2">
      <c r="A3026" s="23" t="s">
        <v>3713</v>
      </c>
      <c r="B3026" s="22" t="s">
        <v>33</v>
      </c>
      <c r="C3026" s="22" t="s">
        <v>57</v>
      </c>
      <c r="D3026" s="22" t="s">
        <v>20</v>
      </c>
      <c r="E3026" s="24" t="s">
        <v>21</v>
      </c>
      <c r="F3026" s="22" t="s">
        <v>26</v>
      </c>
      <c r="G3026" s="25">
        <v>3240</v>
      </c>
      <c r="H3026" s="22" t="s">
        <v>22</v>
      </c>
      <c r="I3026" s="22">
        <v>0</v>
      </c>
      <c r="J3026" s="22" t="s">
        <v>26</v>
      </c>
      <c r="K3026" s="22" t="s">
        <v>23</v>
      </c>
      <c r="L3026" s="22">
        <v>4</v>
      </c>
      <c r="M3026" s="26">
        <v>55000</v>
      </c>
      <c r="N3026" s="26">
        <v>0</v>
      </c>
      <c r="O3026" s="15">
        <f t="shared" si="264"/>
        <v>55000</v>
      </c>
      <c r="P3026" s="15">
        <f t="shared" si="259"/>
        <v>16.97530864197531</v>
      </c>
      <c r="Q3026" s="25">
        <v>5000</v>
      </c>
      <c r="R3026" s="22">
        <v>65</v>
      </c>
      <c r="S3026" s="22" t="s">
        <v>3722</v>
      </c>
      <c r="T3026" s="22">
        <f t="shared" si="261"/>
        <v>9</v>
      </c>
      <c r="U3026" s="22">
        <f t="shared" si="262"/>
        <v>2021</v>
      </c>
      <c r="V3026" s="22" t="str">
        <f t="shared" si="263"/>
        <v>METROPOLITANA</v>
      </c>
    </row>
    <row r="3027" spans="1:22" x14ac:dyDescent="0.2">
      <c r="A3027" s="23" t="s">
        <v>3713</v>
      </c>
      <c r="B3027" s="22" t="s">
        <v>33</v>
      </c>
      <c r="C3027" s="22" t="s">
        <v>3460</v>
      </c>
      <c r="D3027" s="22" t="s">
        <v>41</v>
      </c>
      <c r="E3027" s="24" t="s">
        <v>25</v>
      </c>
      <c r="F3027" s="22" t="s">
        <v>554</v>
      </c>
      <c r="G3027" s="25">
        <v>8502</v>
      </c>
      <c r="H3027" s="22" t="s">
        <v>43</v>
      </c>
      <c r="I3027" s="22">
        <v>0</v>
      </c>
      <c r="J3027" s="22" t="s">
        <v>554</v>
      </c>
      <c r="K3027" s="22" t="s">
        <v>23</v>
      </c>
      <c r="L3027" s="22">
        <v>4</v>
      </c>
      <c r="M3027" s="26">
        <v>93522</v>
      </c>
      <c r="N3027" s="26">
        <v>0</v>
      </c>
      <c r="O3027" s="15">
        <f t="shared" si="264"/>
        <v>93522</v>
      </c>
      <c r="P3027" s="15">
        <f t="shared" si="259"/>
        <v>11</v>
      </c>
      <c r="Q3027" s="25">
        <v>5000</v>
      </c>
      <c r="R3027" s="22">
        <v>100</v>
      </c>
      <c r="S3027" s="22" t="s">
        <v>3723</v>
      </c>
      <c r="T3027" s="22">
        <f t="shared" si="261"/>
        <v>9</v>
      </c>
      <c r="U3027" s="22">
        <f t="shared" si="262"/>
        <v>2021</v>
      </c>
      <c r="V3027" s="22" t="str">
        <f t="shared" si="263"/>
        <v>METROPOLITANA</v>
      </c>
    </row>
    <row r="3028" spans="1:22" x14ac:dyDescent="0.2">
      <c r="A3028" s="23" t="s">
        <v>3713</v>
      </c>
      <c r="B3028" s="22" t="s">
        <v>33</v>
      </c>
      <c r="C3028" s="22" t="s">
        <v>29</v>
      </c>
      <c r="D3028" s="22" t="s">
        <v>2262</v>
      </c>
      <c r="E3028" s="24" t="s">
        <v>83</v>
      </c>
      <c r="F3028" s="22" t="s">
        <v>132</v>
      </c>
      <c r="G3028" s="25">
        <v>7332.7999999999984</v>
      </c>
      <c r="H3028" s="22" t="s">
        <v>24</v>
      </c>
      <c r="I3028" s="22">
        <v>1</v>
      </c>
      <c r="J3028" s="22" t="s">
        <v>132</v>
      </c>
      <c r="K3028" s="22" t="s">
        <v>124</v>
      </c>
      <c r="L3028" s="22">
        <v>0</v>
      </c>
      <c r="M3028" s="26">
        <v>350000</v>
      </c>
      <c r="N3028" s="26">
        <v>0</v>
      </c>
      <c r="O3028" s="15">
        <f t="shared" si="264"/>
        <v>350000</v>
      </c>
      <c r="P3028" s="15">
        <f t="shared" si="259"/>
        <v>47.730744054113039</v>
      </c>
      <c r="Q3028" s="25">
        <v>18000</v>
      </c>
      <c r="R3028" s="22">
        <v>65</v>
      </c>
      <c r="S3028" s="22" t="s">
        <v>3724</v>
      </c>
      <c r="T3028" s="22">
        <f t="shared" si="261"/>
        <v>9</v>
      </c>
      <c r="U3028" s="22">
        <f t="shared" si="262"/>
        <v>2021</v>
      </c>
      <c r="V3028" s="22" t="str">
        <f t="shared" si="263"/>
        <v>REGIONES</v>
      </c>
    </row>
    <row r="3029" spans="1:22" x14ac:dyDescent="0.2">
      <c r="A3029" s="23" t="s">
        <v>3713</v>
      </c>
      <c r="B3029" s="22" t="s">
        <v>33</v>
      </c>
      <c r="C3029" s="22" t="s">
        <v>29</v>
      </c>
      <c r="D3029" s="22" t="s">
        <v>27</v>
      </c>
      <c r="E3029" s="24" t="s">
        <v>28</v>
      </c>
      <c r="F3029" s="22" t="s">
        <v>39</v>
      </c>
      <c r="G3029" s="25">
        <v>15007.999999999991</v>
      </c>
      <c r="H3029" s="22" t="s">
        <v>22</v>
      </c>
      <c r="I3029" s="22">
        <v>1</v>
      </c>
      <c r="J3029" s="22" t="s">
        <v>39</v>
      </c>
      <c r="K3029" s="22" t="s">
        <v>23</v>
      </c>
      <c r="L3029" s="22">
        <v>1</v>
      </c>
      <c r="M3029" s="26">
        <v>165088</v>
      </c>
      <c r="N3029" s="26">
        <v>0</v>
      </c>
      <c r="O3029" s="15">
        <f t="shared" si="264"/>
        <v>165088</v>
      </c>
      <c r="P3029" s="15">
        <f t="shared" si="259"/>
        <v>11.000000000000007</v>
      </c>
      <c r="Q3029" s="25">
        <v>5000</v>
      </c>
      <c r="R3029" s="22">
        <v>100</v>
      </c>
      <c r="S3029" s="22" t="s">
        <v>3725</v>
      </c>
      <c r="T3029" s="22">
        <f t="shared" si="261"/>
        <v>9</v>
      </c>
      <c r="U3029" s="22">
        <f t="shared" si="262"/>
        <v>2021</v>
      </c>
      <c r="V3029" s="22" t="str">
        <f t="shared" si="263"/>
        <v>METROPOLITANA</v>
      </c>
    </row>
    <row r="3030" spans="1:22" x14ac:dyDescent="0.2">
      <c r="A3030" s="23" t="s">
        <v>3713</v>
      </c>
      <c r="B3030" s="22" t="s">
        <v>33</v>
      </c>
      <c r="C3030" s="22" t="s">
        <v>29</v>
      </c>
      <c r="D3030" s="22" t="s">
        <v>20</v>
      </c>
      <c r="E3030" s="24" t="s">
        <v>21</v>
      </c>
      <c r="F3030" s="22" t="s">
        <v>39</v>
      </c>
      <c r="G3030" s="25">
        <v>7503.9999999999973</v>
      </c>
      <c r="H3030" s="22" t="s">
        <v>22</v>
      </c>
      <c r="I3030" s="22">
        <v>0</v>
      </c>
      <c r="J3030" s="22" t="s">
        <v>39</v>
      </c>
      <c r="K3030" s="22" t="s">
        <v>23</v>
      </c>
      <c r="L3030" s="22">
        <v>1</v>
      </c>
      <c r="M3030" s="26">
        <v>82544</v>
      </c>
      <c r="N3030" s="26">
        <v>0</v>
      </c>
      <c r="O3030" s="15">
        <f t="shared" si="264"/>
        <v>82544</v>
      </c>
      <c r="P3030" s="15">
        <f t="shared" si="259"/>
        <v>11.000000000000004</v>
      </c>
      <c r="Q3030" s="25">
        <v>5000</v>
      </c>
      <c r="R3030" s="22">
        <v>100</v>
      </c>
      <c r="S3030" s="22" t="s">
        <v>3726</v>
      </c>
      <c r="T3030" s="22">
        <f t="shared" si="261"/>
        <v>9</v>
      </c>
      <c r="U3030" s="22">
        <f t="shared" si="262"/>
        <v>2021</v>
      </c>
      <c r="V3030" s="22" t="str">
        <f t="shared" si="263"/>
        <v>METROPOLITANA</v>
      </c>
    </row>
    <row r="3031" spans="1:22" x14ac:dyDescent="0.2">
      <c r="A3031" s="23" t="s">
        <v>3713</v>
      </c>
      <c r="B3031" s="22" t="s">
        <v>33</v>
      </c>
      <c r="C3031" s="22" t="s">
        <v>44</v>
      </c>
      <c r="D3031" s="22" t="s">
        <v>45</v>
      </c>
      <c r="E3031" s="24" t="s">
        <v>52</v>
      </c>
      <c r="F3031" s="22" t="s">
        <v>137</v>
      </c>
      <c r="G3031" s="25">
        <v>5601.6</v>
      </c>
      <c r="H3031" s="22" t="s">
        <v>22</v>
      </c>
      <c r="I3031" s="22">
        <v>0</v>
      </c>
      <c r="J3031" s="22" t="s">
        <v>137</v>
      </c>
      <c r="K3031" s="22" t="s">
        <v>23</v>
      </c>
      <c r="L3031" s="22">
        <v>1</v>
      </c>
      <c r="M3031" s="26">
        <v>61618</v>
      </c>
      <c r="N3031" s="26">
        <v>0</v>
      </c>
      <c r="O3031" s="15">
        <f t="shared" si="264"/>
        <v>61618</v>
      </c>
      <c r="P3031" s="15">
        <f t="shared" si="259"/>
        <v>11.000071408169093</v>
      </c>
      <c r="Q3031" s="25">
        <v>5000</v>
      </c>
      <c r="R3031" s="22">
        <v>100</v>
      </c>
      <c r="S3031" s="22" t="s">
        <v>3727</v>
      </c>
      <c r="T3031" s="22">
        <f t="shared" si="261"/>
        <v>9</v>
      </c>
      <c r="U3031" s="22">
        <f t="shared" si="262"/>
        <v>2021</v>
      </c>
      <c r="V3031" s="22" t="str">
        <f t="shared" si="263"/>
        <v>METROPOLITANA</v>
      </c>
    </row>
    <row r="3032" spans="1:22" x14ac:dyDescent="0.2">
      <c r="A3032" s="23" t="s">
        <v>3713</v>
      </c>
      <c r="B3032" s="22" t="s">
        <v>33</v>
      </c>
      <c r="C3032" s="22" t="s">
        <v>44</v>
      </c>
      <c r="D3032" s="22" t="s">
        <v>47</v>
      </c>
      <c r="E3032" s="24" t="s">
        <v>1576</v>
      </c>
      <c r="F3032" s="22" t="s">
        <v>48</v>
      </c>
      <c r="G3032" s="25">
        <v>4326.2</v>
      </c>
      <c r="H3032" s="22" t="s">
        <v>22</v>
      </c>
      <c r="I3032" s="22">
        <v>0</v>
      </c>
      <c r="J3032" s="22" t="s">
        <v>48</v>
      </c>
      <c r="K3032" s="22" t="s">
        <v>23</v>
      </c>
      <c r="L3032" s="22">
        <v>1</v>
      </c>
      <c r="M3032" s="26">
        <v>55000</v>
      </c>
      <c r="N3032" s="26">
        <v>0</v>
      </c>
      <c r="O3032" s="15">
        <f t="shared" si="264"/>
        <v>55000</v>
      </c>
      <c r="P3032" s="15">
        <f t="shared" si="259"/>
        <v>12.713235634043734</v>
      </c>
      <c r="Q3032" s="25">
        <v>5000</v>
      </c>
      <c r="R3032" s="22">
        <v>87</v>
      </c>
      <c r="S3032" s="22" t="s">
        <v>3728</v>
      </c>
      <c r="T3032" s="22">
        <f t="shared" si="261"/>
        <v>9</v>
      </c>
      <c r="U3032" s="22">
        <f t="shared" si="262"/>
        <v>2021</v>
      </c>
      <c r="V3032" s="22" t="str">
        <f t="shared" si="263"/>
        <v>METROPOLITANA</v>
      </c>
    </row>
    <row r="3033" spans="1:22" x14ac:dyDescent="0.2">
      <c r="A3033" s="11" t="s">
        <v>3729</v>
      </c>
      <c r="B3033" s="12" t="s">
        <v>18</v>
      </c>
      <c r="C3033" s="12" t="s">
        <v>19</v>
      </c>
      <c r="D3033" s="12" t="s">
        <v>30</v>
      </c>
      <c r="E3033" s="13">
        <v>72564391</v>
      </c>
      <c r="F3033" s="12" t="s">
        <v>727</v>
      </c>
      <c r="G3033" s="14">
        <v>12000.599999999989</v>
      </c>
      <c r="H3033" s="12" t="s">
        <v>32</v>
      </c>
      <c r="I3033" s="12">
        <v>0</v>
      </c>
      <c r="J3033" s="12" t="s">
        <v>727</v>
      </c>
      <c r="K3033" s="12" t="s">
        <v>23</v>
      </c>
      <c r="L3033" s="12">
        <v>2</v>
      </c>
      <c r="M3033" s="15">
        <v>132007</v>
      </c>
      <c r="N3033" s="15">
        <v>0</v>
      </c>
      <c r="O3033" s="15">
        <f t="shared" si="264"/>
        <v>132007</v>
      </c>
      <c r="P3033" s="15">
        <f t="shared" si="259"/>
        <v>11.00003333166676</v>
      </c>
      <c r="Q3033" s="14">
        <v>5000</v>
      </c>
      <c r="R3033" s="12">
        <v>100</v>
      </c>
      <c r="S3033" s="12" t="s">
        <v>3730</v>
      </c>
      <c r="T3033" s="22">
        <f t="shared" si="261"/>
        <v>9</v>
      </c>
      <c r="U3033" s="22">
        <f t="shared" si="262"/>
        <v>2021</v>
      </c>
      <c r="V3033" s="22" t="str">
        <f t="shared" si="263"/>
        <v>METROPOLITANA</v>
      </c>
    </row>
    <row r="3034" spans="1:22" x14ac:dyDescent="0.2">
      <c r="A3034" s="11" t="s">
        <v>3729</v>
      </c>
      <c r="B3034" s="12" t="s">
        <v>18</v>
      </c>
      <c r="C3034" s="12" t="s">
        <v>19</v>
      </c>
      <c r="D3034" s="12" t="s">
        <v>41</v>
      </c>
      <c r="E3034" s="13">
        <v>125108660</v>
      </c>
      <c r="F3034" s="12" t="s">
        <v>727</v>
      </c>
      <c r="G3034" s="14">
        <v>13518.72</v>
      </c>
      <c r="H3034" s="12" t="s">
        <v>43</v>
      </c>
      <c r="I3034" s="12">
        <v>0</v>
      </c>
      <c r="J3034" s="12" t="s">
        <v>727</v>
      </c>
      <c r="K3034" s="12" t="s">
        <v>23</v>
      </c>
      <c r="L3034" s="12">
        <v>2</v>
      </c>
      <c r="M3034" s="15">
        <v>148706</v>
      </c>
      <c r="N3034" s="15">
        <v>0</v>
      </c>
      <c r="O3034" s="15">
        <f t="shared" si="264"/>
        <v>148706</v>
      </c>
      <c r="P3034" s="15">
        <f t="shared" si="259"/>
        <v>11.000005917720021</v>
      </c>
      <c r="Q3034" s="14">
        <v>5000</v>
      </c>
      <c r="R3034" s="12">
        <v>100</v>
      </c>
      <c r="S3034" s="12" t="s">
        <v>3731</v>
      </c>
      <c r="T3034" s="22">
        <f t="shared" si="261"/>
        <v>9</v>
      </c>
      <c r="U3034" s="22">
        <f t="shared" si="262"/>
        <v>2021</v>
      </c>
      <c r="V3034" s="22" t="str">
        <f t="shared" si="263"/>
        <v>METROPOLITANA</v>
      </c>
    </row>
    <row r="3035" spans="1:22" x14ac:dyDescent="0.2">
      <c r="A3035" s="11" t="s">
        <v>3729</v>
      </c>
      <c r="B3035" s="12" t="s">
        <v>33</v>
      </c>
      <c r="C3035" s="12" t="s">
        <v>57</v>
      </c>
      <c r="D3035" s="12" t="s">
        <v>37</v>
      </c>
      <c r="E3035" s="13">
        <v>154837728</v>
      </c>
      <c r="F3035" s="12" t="s">
        <v>308</v>
      </c>
      <c r="G3035" s="14">
        <v>8100</v>
      </c>
      <c r="H3035" s="12" t="s">
        <v>22</v>
      </c>
      <c r="I3035" s="12">
        <v>0</v>
      </c>
      <c r="J3035" s="12" t="s">
        <v>308</v>
      </c>
      <c r="K3035" s="12" t="s">
        <v>78</v>
      </c>
      <c r="L3035" s="12">
        <v>0</v>
      </c>
      <c r="M3035" s="15">
        <v>180000</v>
      </c>
      <c r="N3035" s="15">
        <v>0</v>
      </c>
      <c r="O3035" s="15">
        <f t="shared" si="264"/>
        <v>180000</v>
      </c>
      <c r="P3035" s="15">
        <f t="shared" si="259"/>
        <v>22.222222222222221</v>
      </c>
      <c r="Q3035" s="14">
        <v>18000</v>
      </c>
      <c r="R3035" s="12">
        <v>81</v>
      </c>
      <c r="S3035" s="12" t="s">
        <v>3732</v>
      </c>
      <c r="T3035" s="22">
        <f t="shared" si="261"/>
        <v>9</v>
      </c>
      <c r="U3035" s="22">
        <f t="shared" si="262"/>
        <v>2021</v>
      </c>
      <c r="V3035" s="22" t="str">
        <f t="shared" si="263"/>
        <v>REGIONES</v>
      </c>
    </row>
    <row r="3036" spans="1:22" x14ac:dyDescent="0.2">
      <c r="A3036" s="11" t="s">
        <v>3729</v>
      </c>
      <c r="B3036" s="12" t="s">
        <v>33</v>
      </c>
      <c r="C3036" s="12" t="s">
        <v>29</v>
      </c>
      <c r="D3036" s="12" t="s">
        <v>786</v>
      </c>
      <c r="E3036" s="13">
        <v>95707734</v>
      </c>
      <c r="F3036" s="12" t="s">
        <v>173</v>
      </c>
      <c r="G3036" s="14">
        <v>14060.999999999991</v>
      </c>
      <c r="H3036" s="12" t="s">
        <v>788</v>
      </c>
      <c r="I3036" s="12">
        <v>1</v>
      </c>
      <c r="J3036" s="12" t="s">
        <v>173</v>
      </c>
      <c r="K3036" s="12" t="s">
        <v>23</v>
      </c>
      <c r="L3036" s="12">
        <v>5</v>
      </c>
      <c r="M3036" s="15">
        <v>120000</v>
      </c>
      <c r="N3036" s="15">
        <v>0</v>
      </c>
      <c r="O3036" s="15">
        <f>G3036*11</f>
        <v>154670.99999999991</v>
      </c>
      <c r="P3036" s="15">
        <f t="shared" si="259"/>
        <v>11.000000000000002</v>
      </c>
      <c r="Q3036" s="14">
        <v>10000</v>
      </c>
      <c r="R3036" s="12">
        <v>78</v>
      </c>
      <c r="S3036" s="12" t="s">
        <v>3733</v>
      </c>
      <c r="T3036" s="22">
        <f t="shared" si="261"/>
        <v>9</v>
      </c>
      <c r="U3036" s="22">
        <f t="shared" si="262"/>
        <v>2021</v>
      </c>
      <c r="V3036" s="22" t="str">
        <f t="shared" si="263"/>
        <v>METROPOLITANA</v>
      </c>
    </row>
    <row r="3037" spans="1:22" x14ac:dyDescent="0.2">
      <c r="A3037" s="11" t="s">
        <v>3729</v>
      </c>
      <c r="B3037" s="12" t="s">
        <v>33</v>
      </c>
      <c r="C3037" s="12" t="s">
        <v>29</v>
      </c>
      <c r="D3037" s="12" t="s">
        <v>27</v>
      </c>
      <c r="E3037" s="13">
        <v>81417709</v>
      </c>
      <c r="F3037" s="12" t="s">
        <v>39</v>
      </c>
      <c r="G3037" s="14">
        <v>15007.999999999991</v>
      </c>
      <c r="H3037" s="12" t="s">
        <v>22</v>
      </c>
      <c r="I3037" s="12">
        <v>1</v>
      </c>
      <c r="J3037" s="12" t="s">
        <v>39</v>
      </c>
      <c r="K3037" s="12" t="s">
        <v>23</v>
      </c>
      <c r="L3037" s="12">
        <v>1</v>
      </c>
      <c r="M3037" s="15">
        <v>165088</v>
      </c>
      <c r="N3037" s="15">
        <v>0</v>
      </c>
      <c r="O3037" s="15">
        <f t="shared" ref="O3037:O3068" si="265">SUM(M3037:N3037)</f>
        <v>165088</v>
      </c>
      <c r="P3037" s="15">
        <f t="shared" si="259"/>
        <v>11.000000000000007</v>
      </c>
      <c r="Q3037" s="14">
        <v>5000</v>
      </c>
      <c r="R3037" s="12">
        <v>83</v>
      </c>
      <c r="S3037" s="12" t="s">
        <v>3734</v>
      </c>
      <c r="T3037" s="22">
        <f t="shared" si="261"/>
        <v>9</v>
      </c>
      <c r="U3037" s="22">
        <f t="shared" si="262"/>
        <v>2021</v>
      </c>
      <c r="V3037" s="22" t="str">
        <f t="shared" si="263"/>
        <v>METROPOLITANA</v>
      </c>
    </row>
    <row r="3038" spans="1:22" x14ac:dyDescent="0.2">
      <c r="A3038" s="11" t="s">
        <v>3729</v>
      </c>
      <c r="B3038" s="12" t="s">
        <v>33</v>
      </c>
      <c r="C3038" s="12" t="s">
        <v>44</v>
      </c>
      <c r="D3038" s="12" t="s">
        <v>47</v>
      </c>
      <c r="E3038" s="13">
        <v>154837728</v>
      </c>
      <c r="F3038" s="12" t="s">
        <v>48</v>
      </c>
      <c r="G3038" s="14">
        <v>5255.5999999999995</v>
      </c>
      <c r="H3038" s="12" t="s">
        <v>22</v>
      </c>
      <c r="I3038" s="12">
        <v>0</v>
      </c>
      <c r="J3038" s="12" t="s">
        <v>48</v>
      </c>
      <c r="K3038" s="12" t="s">
        <v>23</v>
      </c>
      <c r="L3038" s="12">
        <v>1</v>
      </c>
      <c r="M3038" s="15">
        <v>57812</v>
      </c>
      <c r="N3038" s="15">
        <v>0</v>
      </c>
      <c r="O3038" s="15">
        <f t="shared" si="265"/>
        <v>57812</v>
      </c>
      <c r="P3038" s="15">
        <f t="shared" si="259"/>
        <v>11.000076109292946</v>
      </c>
      <c r="Q3038" s="14">
        <v>5000</v>
      </c>
      <c r="R3038" s="12">
        <v>52</v>
      </c>
      <c r="S3038" s="12" t="s">
        <v>3735</v>
      </c>
      <c r="T3038" s="22">
        <f t="shared" si="261"/>
        <v>9</v>
      </c>
      <c r="U3038" s="22">
        <f t="shared" si="262"/>
        <v>2021</v>
      </c>
      <c r="V3038" s="22" t="str">
        <f t="shared" si="263"/>
        <v>METROPOLITANA</v>
      </c>
    </row>
    <row r="3039" spans="1:22" x14ac:dyDescent="0.2">
      <c r="A3039" s="23" t="s">
        <v>3736</v>
      </c>
      <c r="B3039" s="22" t="s">
        <v>18</v>
      </c>
      <c r="C3039" s="22" t="s">
        <v>19</v>
      </c>
      <c r="D3039" s="22" t="s">
        <v>37</v>
      </c>
      <c r="E3039" s="24" t="s">
        <v>40</v>
      </c>
      <c r="F3039" s="22" t="s">
        <v>727</v>
      </c>
      <c r="G3039" s="25">
        <v>8449.1999999999989</v>
      </c>
      <c r="H3039" s="22" t="s">
        <v>22</v>
      </c>
      <c r="I3039" s="22">
        <v>0</v>
      </c>
      <c r="J3039" s="22" t="s">
        <v>727</v>
      </c>
      <c r="K3039" s="22" t="s">
        <v>23</v>
      </c>
      <c r="L3039" s="22">
        <v>2</v>
      </c>
      <c r="M3039" s="26">
        <v>92941</v>
      </c>
      <c r="N3039" s="26">
        <v>0</v>
      </c>
      <c r="O3039" s="15">
        <f t="shared" si="265"/>
        <v>92941</v>
      </c>
      <c r="P3039" s="15">
        <f t="shared" si="259"/>
        <v>10.999976329119917</v>
      </c>
      <c r="Q3039" s="25">
        <v>5000</v>
      </c>
      <c r="R3039" s="22">
        <v>100</v>
      </c>
      <c r="S3039" s="22" t="s">
        <v>3737</v>
      </c>
      <c r="T3039" s="22">
        <f t="shared" si="261"/>
        <v>9</v>
      </c>
      <c r="U3039" s="22">
        <f t="shared" si="262"/>
        <v>2021</v>
      </c>
      <c r="V3039" s="22" t="str">
        <f t="shared" si="263"/>
        <v>METROPOLITANA</v>
      </c>
    </row>
    <row r="3040" spans="1:22" x14ac:dyDescent="0.2">
      <c r="A3040" s="23" t="s">
        <v>3736</v>
      </c>
      <c r="B3040" s="22" t="s">
        <v>18</v>
      </c>
      <c r="C3040" s="22" t="s">
        <v>3665</v>
      </c>
      <c r="D3040" s="22" t="s">
        <v>191</v>
      </c>
      <c r="E3040" s="24" t="s">
        <v>192</v>
      </c>
      <c r="F3040" s="22" t="s">
        <v>436</v>
      </c>
      <c r="G3040" s="25">
        <v>19835.2</v>
      </c>
      <c r="H3040" s="22" t="s">
        <v>85</v>
      </c>
      <c r="I3040" s="22">
        <v>1</v>
      </c>
      <c r="J3040" s="22" t="s">
        <v>436</v>
      </c>
      <c r="K3040" s="22" t="s">
        <v>437</v>
      </c>
      <c r="L3040" s="22">
        <v>0</v>
      </c>
      <c r="M3040" s="26">
        <v>800000</v>
      </c>
      <c r="N3040" s="26">
        <v>0</v>
      </c>
      <c r="O3040" s="15">
        <f t="shared" si="265"/>
        <v>800000</v>
      </c>
      <c r="P3040" s="15">
        <f t="shared" si="259"/>
        <v>40.332338468984432</v>
      </c>
      <c r="Q3040" s="25">
        <v>20000</v>
      </c>
      <c r="R3040" s="22">
        <v>99</v>
      </c>
      <c r="S3040" s="22" t="s">
        <v>3738</v>
      </c>
      <c r="T3040" s="22">
        <f t="shared" si="261"/>
        <v>9</v>
      </c>
      <c r="U3040" s="22">
        <f t="shared" si="262"/>
        <v>2021</v>
      </c>
      <c r="V3040" s="22" t="str">
        <f t="shared" si="263"/>
        <v>REGIONES</v>
      </c>
    </row>
    <row r="3041" spans="1:22" x14ac:dyDescent="0.2">
      <c r="A3041" s="23" t="s">
        <v>3736</v>
      </c>
      <c r="B3041" s="22" t="s">
        <v>33</v>
      </c>
      <c r="C3041" s="22" t="s">
        <v>799</v>
      </c>
      <c r="D3041" s="22" t="s">
        <v>41</v>
      </c>
      <c r="E3041" s="24" t="s">
        <v>25</v>
      </c>
      <c r="F3041" s="22" t="s">
        <v>161</v>
      </c>
      <c r="G3041" s="25">
        <v>8103.3500000000022</v>
      </c>
      <c r="H3041" s="22" t="s">
        <v>43</v>
      </c>
      <c r="I3041" s="22">
        <v>0</v>
      </c>
      <c r="J3041" s="22" t="s">
        <v>161</v>
      </c>
      <c r="K3041" s="22" t="s">
        <v>23</v>
      </c>
      <c r="L3041" s="22">
        <v>5</v>
      </c>
      <c r="M3041" s="26">
        <v>70000</v>
      </c>
      <c r="N3041" s="26">
        <v>0</v>
      </c>
      <c r="O3041" s="15">
        <f t="shared" si="265"/>
        <v>70000</v>
      </c>
      <c r="P3041" s="15">
        <f t="shared" ref="P3041:P3104" si="266">O3041/G3041</f>
        <v>8.6384026359468589</v>
      </c>
      <c r="Q3041" s="25">
        <v>10000</v>
      </c>
      <c r="R3041" s="22">
        <v>81</v>
      </c>
      <c r="S3041" s="22" t="s">
        <v>3739</v>
      </c>
      <c r="T3041" s="22">
        <f t="shared" si="261"/>
        <v>9</v>
      </c>
      <c r="U3041" s="22">
        <f t="shared" si="262"/>
        <v>2021</v>
      </c>
      <c r="V3041" s="22" t="str">
        <f t="shared" si="263"/>
        <v>METROPOLITANA</v>
      </c>
    </row>
    <row r="3042" spans="1:22" x14ac:dyDescent="0.2">
      <c r="A3042" s="23" t="s">
        <v>3736</v>
      </c>
      <c r="B3042" s="22" t="s">
        <v>33</v>
      </c>
      <c r="C3042" s="22" t="s">
        <v>29</v>
      </c>
      <c r="D3042" s="22" t="s">
        <v>636</v>
      </c>
      <c r="E3042" s="24" t="s">
        <v>639</v>
      </c>
      <c r="F3042" s="22" t="s">
        <v>132</v>
      </c>
      <c r="G3042" s="25">
        <v>8244.0000000000036</v>
      </c>
      <c r="H3042" s="22" t="s">
        <v>85</v>
      </c>
      <c r="I3042" s="22">
        <v>1</v>
      </c>
      <c r="J3042" s="22" t="s">
        <v>132</v>
      </c>
      <c r="K3042" s="22" t="s">
        <v>124</v>
      </c>
      <c r="L3042" s="22">
        <v>0</v>
      </c>
      <c r="M3042" s="26">
        <v>350000</v>
      </c>
      <c r="N3042" s="26">
        <v>0</v>
      </c>
      <c r="O3042" s="15">
        <f t="shared" si="265"/>
        <v>350000</v>
      </c>
      <c r="P3042" s="15">
        <f t="shared" si="266"/>
        <v>42.455118874332832</v>
      </c>
      <c r="Q3042" s="25">
        <v>20000</v>
      </c>
      <c r="R3042" s="22">
        <v>41</v>
      </c>
      <c r="S3042" s="22" t="s">
        <v>3740</v>
      </c>
      <c r="T3042" s="22">
        <f t="shared" si="261"/>
        <v>9</v>
      </c>
      <c r="U3042" s="22">
        <f t="shared" si="262"/>
        <v>2021</v>
      </c>
      <c r="V3042" s="22" t="str">
        <f t="shared" si="263"/>
        <v>REGIONES</v>
      </c>
    </row>
    <row r="3043" spans="1:22" x14ac:dyDescent="0.2">
      <c r="A3043" s="23" t="s">
        <v>3736</v>
      </c>
      <c r="B3043" s="22" t="s">
        <v>33</v>
      </c>
      <c r="C3043" s="22" t="s">
        <v>29</v>
      </c>
      <c r="D3043" s="22" t="s">
        <v>37</v>
      </c>
      <c r="E3043" s="24" t="s">
        <v>40</v>
      </c>
      <c r="F3043" s="22" t="s">
        <v>39</v>
      </c>
      <c r="G3043" s="25">
        <v>8600.85</v>
      </c>
      <c r="H3043" s="22" t="s">
        <v>22</v>
      </c>
      <c r="I3043" s="22">
        <v>0</v>
      </c>
      <c r="J3043" s="22" t="s">
        <v>39</v>
      </c>
      <c r="K3043" s="22" t="s">
        <v>23</v>
      </c>
      <c r="L3043" s="22">
        <v>1</v>
      </c>
      <c r="M3043" s="26">
        <v>94609</v>
      </c>
      <c r="N3043" s="26">
        <v>0</v>
      </c>
      <c r="O3043" s="15">
        <f t="shared" si="265"/>
        <v>94609</v>
      </c>
      <c r="P3043" s="15">
        <f t="shared" si="266"/>
        <v>10.999959306347629</v>
      </c>
      <c r="Q3043" s="25">
        <v>5000</v>
      </c>
      <c r="R3043" s="22">
        <v>100</v>
      </c>
      <c r="S3043" s="22" t="s">
        <v>3741</v>
      </c>
      <c r="T3043" s="22">
        <f t="shared" si="261"/>
        <v>9</v>
      </c>
      <c r="U3043" s="22">
        <f t="shared" si="262"/>
        <v>2021</v>
      </c>
      <c r="V3043" s="22" t="str">
        <f t="shared" si="263"/>
        <v>METROPOLITANA</v>
      </c>
    </row>
    <row r="3044" spans="1:22" x14ac:dyDescent="0.2">
      <c r="A3044" s="23" t="s">
        <v>3736</v>
      </c>
      <c r="B3044" s="22" t="s">
        <v>33</v>
      </c>
      <c r="C3044" s="22" t="s">
        <v>29</v>
      </c>
      <c r="D3044" s="22" t="s">
        <v>27</v>
      </c>
      <c r="E3044" s="24" t="s">
        <v>28</v>
      </c>
      <c r="F3044" s="22" t="s">
        <v>39</v>
      </c>
      <c r="G3044" s="25">
        <v>15007.999999999991</v>
      </c>
      <c r="H3044" s="22" t="s">
        <v>22</v>
      </c>
      <c r="I3044" s="22">
        <v>1</v>
      </c>
      <c r="J3044" s="22" t="s">
        <v>39</v>
      </c>
      <c r="K3044" s="22" t="s">
        <v>23</v>
      </c>
      <c r="L3044" s="22">
        <v>1</v>
      </c>
      <c r="M3044" s="26">
        <v>165088</v>
      </c>
      <c r="N3044" s="26">
        <v>0</v>
      </c>
      <c r="O3044" s="15">
        <f t="shared" si="265"/>
        <v>165088</v>
      </c>
      <c r="P3044" s="15">
        <f t="shared" si="266"/>
        <v>11.000000000000007</v>
      </c>
      <c r="Q3044" s="25">
        <v>5000</v>
      </c>
      <c r="R3044" s="22">
        <v>100</v>
      </c>
      <c r="S3044" s="22" t="s">
        <v>3742</v>
      </c>
      <c r="T3044" s="22">
        <f t="shared" si="261"/>
        <v>9</v>
      </c>
      <c r="U3044" s="22">
        <f t="shared" si="262"/>
        <v>2021</v>
      </c>
      <c r="V3044" s="22" t="str">
        <f t="shared" si="263"/>
        <v>METROPOLITANA</v>
      </c>
    </row>
    <row r="3045" spans="1:22" x14ac:dyDescent="0.2">
      <c r="A3045" s="23" t="s">
        <v>3736</v>
      </c>
      <c r="B3045" s="22" t="s">
        <v>33</v>
      </c>
      <c r="C3045" s="22" t="s">
        <v>29</v>
      </c>
      <c r="D3045" s="22" t="s">
        <v>20</v>
      </c>
      <c r="E3045" s="24" t="s">
        <v>21</v>
      </c>
      <c r="F3045" s="22" t="s">
        <v>39</v>
      </c>
      <c r="G3045" s="25">
        <v>7503.9999999999973</v>
      </c>
      <c r="H3045" s="22" t="s">
        <v>22</v>
      </c>
      <c r="I3045" s="22">
        <v>0</v>
      </c>
      <c r="J3045" s="22" t="s">
        <v>39</v>
      </c>
      <c r="K3045" s="22" t="s">
        <v>23</v>
      </c>
      <c r="L3045" s="22">
        <v>1</v>
      </c>
      <c r="M3045" s="26">
        <v>82544</v>
      </c>
      <c r="N3045" s="26">
        <v>0</v>
      </c>
      <c r="O3045" s="15">
        <f t="shared" si="265"/>
        <v>82544</v>
      </c>
      <c r="P3045" s="15">
        <f t="shared" si="266"/>
        <v>11.000000000000004</v>
      </c>
      <c r="Q3045" s="25">
        <v>5000</v>
      </c>
      <c r="R3045" s="22">
        <v>100</v>
      </c>
      <c r="S3045" s="22" t="s">
        <v>3743</v>
      </c>
      <c r="T3045" s="22">
        <f t="shared" si="261"/>
        <v>9</v>
      </c>
      <c r="U3045" s="22">
        <f t="shared" si="262"/>
        <v>2021</v>
      </c>
      <c r="V3045" s="22" t="str">
        <f t="shared" si="263"/>
        <v>METROPOLITANA</v>
      </c>
    </row>
    <row r="3046" spans="1:22" x14ac:dyDescent="0.2">
      <c r="A3046" s="23" t="s">
        <v>3736</v>
      </c>
      <c r="B3046" s="22" t="s">
        <v>33</v>
      </c>
      <c r="C3046" s="22" t="s">
        <v>44</v>
      </c>
      <c r="D3046" s="22" t="s">
        <v>786</v>
      </c>
      <c r="E3046" s="24" t="s">
        <v>787</v>
      </c>
      <c r="F3046" s="22" t="s">
        <v>407</v>
      </c>
      <c r="G3046" s="25">
        <v>24315.689999999991</v>
      </c>
      <c r="H3046" s="22" t="s">
        <v>788</v>
      </c>
      <c r="I3046" s="22">
        <v>1</v>
      </c>
      <c r="J3046" s="22" t="s">
        <v>407</v>
      </c>
      <c r="K3046" s="22" t="s">
        <v>408</v>
      </c>
      <c r="L3046" s="22">
        <v>0</v>
      </c>
      <c r="M3046" s="26">
        <v>600000</v>
      </c>
      <c r="N3046" s="26">
        <v>0</v>
      </c>
      <c r="O3046" s="15">
        <f t="shared" si="265"/>
        <v>600000</v>
      </c>
      <c r="P3046" s="15">
        <f t="shared" si="266"/>
        <v>24.675425620247676</v>
      </c>
      <c r="Q3046" s="25">
        <v>20000</v>
      </c>
      <c r="R3046" s="22">
        <v>100</v>
      </c>
      <c r="S3046" s="22" t="s">
        <v>3744</v>
      </c>
      <c r="T3046" s="22">
        <f t="shared" si="261"/>
        <v>9</v>
      </c>
      <c r="U3046" s="22">
        <f t="shared" si="262"/>
        <v>2021</v>
      </c>
      <c r="V3046" s="22" t="str">
        <f t="shared" si="263"/>
        <v>REGIONES</v>
      </c>
    </row>
    <row r="3047" spans="1:22" x14ac:dyDescent="0.2">
      <c r="A3047" s="23" t="s">
        <v>3736</v>
      </c>
      <c r="B3047" s="22" t="s">
        <v>33</v>
      </c>
      <c r="C3047" s="22" t="s">
        <v>44</v>
      </c>
      <c r="D3047" s="22" t="s">
        <v>47</v>
      </c>
      <c r="E3047" s="24" t="s">
        <v>1576</v>
      </c>
      <c r="F3047" s="22" t="s">
        <v>48</v>
      </c>
      <c r="G3047" s="25">
        <f>3350.4+3033</f>
        <v>6383.4</v>
      </c>
      <c r="H3047" s="22" t="s">
        <v>22</v>
      </c>
      <c r="I3047" s="22">
        <v>0</v>
      </c>
      <c r="J3047" s="22" t="s">
        <v>48</v>
      </c>
      <c r="K3047" s="22" t="s">
        <v>23</v>
      </c>
      <c r="L3047" s="22">
        <v>1</v>
      </c>
      <c r="M3047" s="26">
        <v>55000</v>
      </c>
      <c r="N3047" s="26">
        <v>0</v>
      </c>
      <c r="O3047" s="15">
        <f t="shared" si="265"/>
        <v>55000</v>
      </c>
      <c r="P3047" s="15">
        <f t="shared" si="266"/>
        <v>8.6160980041983901</v>
      </c>
      <c r="Q3047" s="25">
        <v>5000</v>
      </c>
      <c r="R3047" s="22">
        <v>100</v>
      </c>
      <c r="S3047" s="22" t="s">
        <v>3745</v>
      </c>
      <c r="T3047" s="22">
        <f t="shared" si="261"/>
        <v>9</v>
      </c>
      <c r="U3047" s="22">
        <f t="shared" si="262"/>
        <v>2021</v>
      </c>
      <c r="V3047" s="22" t="str">
        <f t="shared" si="263"/>
        <v>METROPOLITANA</v>
      </c>
    </row>
    <row r="3048" spans="1:22" x14ac:dyDescent="0.2">
      <c r="A3048" s="11" t="s">
        <v>3746</v>
      </c>
      <c r="B3048" s="12" t="s">
        <v>33</v>
      </c>
      <c r="C3048" s="12" t="s">
        <v>3747</v>
      </c>
      <c r="D3048" s="12" t="s">
        <v>41</v>
      </c>
      <c r="E3048" s="13" t="s">
        <v>25</v>
      </c>
      <c r="F3048" s="12" t="s">
        <v>182</v>
      </c>
      <c r="G3048" s="14">
        <v>6706.8</v>
      </c>
      <c r="H3048" s="12" t="s">
        <v>43</v>
      </c>
      <c r="I3048" s="12">
        <v>0</v>
      </c>
      <c r="J3048" s="12" t="s">
        <v>182</v>
      </c>
      <c r="K3048" s="12" t="s">
        <v>23</v>
      </c>
      <c r="L3048" s="12">
        <v>4</v>
      </c>
      <c r="M3048" s="15">
        <v>73775</v>
      </c>
      <c r="N3048" s="15">
        <v>0</v>
      </c>
      <c r="O3048" s="15">
        <f t="shared" si="265"/>
        <v>73775</v>
      </c>
      <c r="P3048" s="15">
        <f t="shared" si="266"/>
        <v>11.000029820480705</v>
      </c>
      <c r="Q3048" s="14">
        <v>5000</v>
      </c>
      <c r="R3048" s="12">
        <v>100</v>
      </c>
      <c r="S3048" s="12" t="s">
        <v>3748</v>
      </c>
      <c r="T3048" s="22">
        <f t="shared" si="261"/>
        <v>9</v>
      </c>
      <c r="U3048" s="22">
        <f t="shared" si="262"/>
        <v>2021</v>
      </c>
      <c r="V3048" s="22" t="str">
        <f t="shared" si="263"/>
        <v>METROPOLITANA</v>
      </c>
    </row>
    <row r="3049" spans="1:22" x14ac:dyDescent="0.2">
      <c r="A3049" s="11" t="s">
        <v>3746</v>
      </c>
      <c r="B3049" s="12" t="s">
        <v>33</v>
      </c>
      <c r="C3049" s="12" t="s">
        <v>57</v>
      </c>
      <c r="D3049" s="12" t="s">
        <v>41</v>
      </c>
      <c r="E3049" s="13" t="s">
        <v>25</v>
      </c>
      <c r="F3049" s="12" t="s">
        <v>26</v>
      </c>
      <c r="G3049" s="14">
        <v>5184</v>
      </c>
      <c r="H3049" s="12" t="s">
        <v>43</v>
      </c>
      <c r="I3049" s="12">
        <v>0</v>
      </c>
      <c r="J3049" s="12" t="s">
        <v>26</v>
      </c>
      <c r="K3049" s="12" t="s">
        <v>23</v>
      </c>
      <c r="L3049" s="12">
        <v>4</v>
      </c>
      <c r="M3049" s="15">
        <v>57024</v>
      </c>
      <c r="N3049" s="15">
        <v>0</v>
      </c>
      <c r="O3049" s="15">
        <f t="shared" si="265"/>
        <v>57024</v>
      </c>
      <c r="P3049" s="15">
        <f t="shared" si="266"/>
        <v>11</v>
      </c>
      <c r="Q3049" s="14">
        <v>5000</v>
      </c>
      <c r="R3049" s="12">
        <v>100</v>
      </c>
      <c r="S3049" s="12" t="s">
        <v>3749</v>
      </c>
      <c r="T3049" s="22">
        <f t="shared" si="261"/>
        <v>9</v>
      </c>
      <c r="U3049" s="22">
        <f t="shared" si="262"/>
        <v>2021</v>
      </c>
      <c r="V3049" s="22" t="str">
        <f t="shared" si="263"/>
        <v>METROPOLITANA</v>
      </c>
    </row>
    <row r="3050" spans="1:22" x14ac:dyDescent="0.2">
      <c r="A3050" s="11" t="s">
        <v>3746</v>
      </c>
      <c r="B3050" s="12" t="s">
        <v>33</v>
      </c>
      <c r="C3050" s="12" t="s">
        <v>3460</v>
      </c>
      <c r="D3050" s="12" t="s">
        <v>63</v>
      </c>
      <c r="E3050" s="13" t="s">
        <v>64</v>
      </c>
      <c r="F3050" s="12" t="s">
        <v>170</v>
      </c>
      <c r="G3050" s="14">
        <v>10658.7</v>
      </c>
      <c r="H3050" s="12" t="s">
        <v>65</v>
      </c>
      <c r="I3050" s="12">
        <v>0</v>
      </c>
      <c r="J3050" s="12" t="s">
        <v>170</v>
      </c>
      <c r="K3050" s="12" t="s">
        <v>171</v>
      </c>
      <c r="L3050" s="12">
        <v>0</v>
      </c>
      <c r="M3050" s="15">
        <v>180000</v>
      </c>
      <c r="N3050" s="15">
        <v>0</v>
      </c>
      <c r="O3050" s="15">
        <f t="shared" si="265"/>
        <v>180000</v>
      </c>
      <c r="P3050" s="15">
        <f t="shared" si="266"/>
        <v>16.887612935911509</v>
      </c>
      <c r="Q3050" s="14">
        <v>20000</v>
      </c>
      <c r="R3050" s="12">
        <v>53</v>
      </c>
      <c r="S3050" s="12" t="s">
        <v>3750</v>
      </c>
      <c r="T3050" s="22">
        <f t="shared" si="261"/>
        <v>9</v>
      </c>
      <c r="U3050" s="22">
        <f t="shared" si="262"/>
        <v>2021</v>
      </c>
      <c r="V3050" s="22" t="str">
        <f t="shared" si="263"/>
        <v>REGIONES</v>
      </c>
    </row>
    <row r="3051" spans="1:22" x14ac:dyDescent="0.2">
      <c r="A3051" s="11" t="s">
        <v>3746</v>
      </c>
      <c r="B3051" s="12" t="s">
        <v>33</v>
      </c>
      <c r="C3051" s="12" t="s">
        <v>3460</v>
      </c>
      <c r="D3051" s="12" t="s">
        <v>20</v>
      </c>
      <c r="E3051" s="13" t="s">
        <v>1576</v>
      </c>
      <c r="F3051" s="12" t="s">
        <v>554</v>
      </c>
      <c r="G3051" s="14">
        <v>7198.36</v>
      </c>
      <c r="H3051" s="12" t="s">
        <v>22</v>
      </c>
      <c r="I3051" s="12">
        <v>0</v>
      </c>
      <c r="J3051" s="12" t="s">
        <v>554</v>
      </c>
      <c r="K3051" s="12" t="s">
        <v>23</v>
      </c>
      <c r="L3051" s="12">
        <v>4</v>
      </c>
      <c r="M3051" s="15">
        <v>79182</v>
      </c>
      <c r="N3051" s="15">
        <v>0</v>
      </c>
      <c r="O3051" s="15">
        <f t="shared" si="265"/>
        <v>79182</v>
      </c>
      <c r="P3051" s="15">
        <f t="shared" si="266"/>
        <v>11.000005556821277</v>
      </c>
      <c r="Q3051" s="14">
        <v>5000</v>
      </c>
      <c r="R3051" s="12">
        <v>100</v>
      </c>
      <c r="S3051" s="12" t="s">
        <v>3751</v>
      </c>
      <c r="T3051" s="22">
        <f t="shared" si="261"/>
        <v>9</v>
      </c>
      <c r="U3051" s="22">
        <f t="shared" si="262"/>
        <v>2021</v>
      </c>
      <c r="V3051" s="22" t="str">
        <f t="shared" si="263"/>
        <v>METROPOLITANA</v>
      </c>
    </row>
    <row r="3052" spans="1:22" x14ac:dyDescent="0.2">
      <c r="A3052" s="11" t="s">
        <v>3746</v>
      </c>
      <c r="B3052" s="12" t="s">
        <v>33</v>
      </c>
      <c r="C3052" s="12" t="s">
        <v>128</v>
      </c>
      <c r="D3052" s="12" t="s">
        <v>2955</v>
      </c>
      <c r="E3052" s="13" t="s">
        <v>2956</v>
      </c>
      <c r="F3052" s="12" t="s">
        <v>129</v>
      </c>
      <c r="G3052" s="14">
        <v>7969.2000000000025</v>
      </c>
      <c r="H3052" s="12" t="s">
        <v>24</v>
      </c>
      <c r="I3052" s="12">
        <v>1</v>
      </c>
      <c r="J3052" s="12" t="s">
        <v>129</v>
      </c>
      <c r="K3052" s="12" t="s">
        <v>23</v>
      </c>
      <c r="L3052" s="12">
        <v>1</v>
      </c>
      <c r="M3052" s="15">
        <v>87661</v>
      </c>
      <c r="N3052" s="15">
        <v>0</v>
      </c>
      <c r="O3052" s="15">
        <f t="shared" si="265"/>
        <v>87661</v>
      </c>
      <c r="P3052" s="15">
        <f t="shared" si="266"/>
        <v>10.999974903378002</v>
      </c>
      <c r="Q3052" s="14">
        <v>5000</v>
      </c>
      <c r="R3052" s="12">
        <v>100</v>
      </c>
      <c r="S3052" s="12" t="s">
        <v>3752</v>
      </c>
      <c r="T3052" s="22">
        <f t="shared" si="261"/>
        <v>9</v>
      </c>
      <c r="U3052" s="22">
        <f t="shared" si="262"/>
        <v>2021</v>
      </c>
      <c r="V3052" s="22" t="str">
        <f t="shared" si="263"/>
        <v>METROPOLITANA</v>
      </c>
    </row>
    <row r="3053" spans="1:22" x14ac:dyDescent="0.2">
      <c r="A3053" s="11" t="s">
        <v>3746</v>
      </c>
      <c r="B3053" s="12" t="s">
        <v>33</v>
      </c>
      <c r="C3053" s="12" t="s">
        <v>29</v>
      </c>
      <c r="D3053" s="12" t="s">
        <v>37</v>
      </c>
      <c r="E3053" s="13" t="s">
        <v>40</v>
      </c>
      <c r="F3053" s="12" t="s">
        <v>39</v>
      </c>
      <c r="G3053" s="14">
        <v>7503.9999999999973</v>
      </c>
      <c r="H3053" s="12" t="s">
        <v>22</v>
      </c>
      <c r="I3053" s="12">
        <v>0</v>
      </c>
      <c r="J3053" s="12" t="s">
        <v>39</v>
      </c>
      <c r="K3053" s="12" t="s">
        <v>23</v>
      </c>
      <c r="L3053" s="12">
        <v>1</v>
      </c>
      <c r="M3053" s="15">
        <v>82544</v>
      </c>
      <c r="N3053" s="15">
        <v>0</v>
      </c>
      <c r="O3053" s="15">
        <f t="shared" si="265"/>
        <v>82544</v>
      </c>
      <c r="P3053" s="15">
        <f t="shared" si="266"/>
        <v>11.000000000000004</v>
      </c>
      <c r="Q3053" s="14">
        <v>5000</v>
      </c>
      <c r="R3053" s="12">
        <v>100</v>
      </c>
      <c r="S3053" s="12" t="s">
        <v>3753</v>
      </c>
      <c r="T3053" s="22">
        <f t="shared" si="261"/>
        <v>9</v>
      </c>
      <c r="U3053" s="22">
        <f t="shared" si="262"/>
        <v>2021</v>
      </c>
      <c r="V3053" s="22" t="str">
        <f t="shared" si="263"/>
        <v>METROPOLITANA</v>
      </c>
    </row>
    <row r="3054" spans="1:22" x14ac:dyDescent="0.2">
      <c r="A3054" s="11" t="s">
        <v>3746</v>
      </c>
      <c r="B3054" s="12" t="s">
        <v>33</v>
      </c>
      <c r="C3054" s="12" t="s">
        <v>29</v>
      </c>
      <c r="D3054" s="12" t="s">
        <v>27</v>
      </c>
      <c r="E3054" s="13" t="s">
        <v>28</v>
      </c>
      <c r="F3054" s="12" t="s">
        <v>39</v>
      </c>
      <c r="G3054" s="14">
        <v>15007.999999999991</v>
      </c>
      <c r="H3054" s="12" t="s">
        <v>22</v>
      </c>
      <c r="I3054" s="12">
        <v>1</v>
      </c>
      <c r="J3054" s="12" t="s">
        <v>39</v>
      </c>
      <c r="K3054" s="12" t="s">
        <v>23</v>
      </c>
      <c r="L3054" s="12">
        <v>1</v>
      </c>
      <c r="M3054" s="15">
        <v>165088</v>
      </c>
      <c r="N3054" s="15">
        <v>0</v>
      </c>
      <c r="O3054" s="15">
        <f t="shared" si="265"/>
        <v>165088</v>
      </c>
      <c r="P3054" s="15">
        <f t="shared" si="266"/>
        <v>11.000000000000007</v>
      </c>
      <c r="Q3054" s="14">
        <v>5000</v>
      </c>
      <c r="R3054" s="12">
        <v>100</v>
      </c>
      <c r="S3054" s="12" t="s">
        <v>3754</v>
      </c>
      <c r="T3054" s="22">
        <f t="shared" si="261"/>
        <v>9</v>
      </c>
      <c r="U3054" s="22">
        <f t="shared" si="262"/>
        <v>2021</v>
      </c>
      <c r="V3054" s="22" t="str">
        <f t="shared" si="263"/>
        <v>METROPOLITANA</v>
      </c>
    </row>
    <row r="3055" spans="1:22" x14ac:dyDescent="0.2">
      <c r="A3055" s="11" t="s">
        <v>3746</v>
      </c>
      <c r="B3055" s="12" t="s">
        <v>33</v>
      </c>
      <c r="C3055" s="12" t="s">
        <v>29</v>
      </c>
      <c r="D3055" s="12" t="s">
        <v>41</v>
      </c>
      <c r="E3055" s="13" t="s">
        <v>25</v>
      </c>
      <c r="F3055" s="12" t="s">
        <v>39</v>
      </c>
      <c r="G3055" s="14">
        <f>9680.5+796</f>
        <v>10476.5</v>
      </c>
      <c r="H3055" s="12" t="s">
        <v>43</v>
      </c>
      <c r="I3055" s="12">
        <v>0</v>
      </c>
      <c r="J3055" s="12" t="s">
        <v>39</v>
      </c>
      <c r="K3055" s="12" t="s">
        <v>23</v>
      </c>
      <c r="L3055" s="12">
        <v>1</v>
      </c>
      <c r="M3055" s="15">
        <v>106486</v>
      </c>
      <c r="N3055" s="15">
        <v>0</v>
      </c>
      <c r="O3055" s="15">
        <f t="shared" si="265"/>
        <v>106486</v>
      </c>
      <c r="P3055" s="15">
        <f t="shared" si="266"/>
        <v>10.164272419223977</v>
      </c>
      <c r="Q3055" s="14">
        <v>5000</v>
      </c>
      <c r="R3055" s="12">
        <v>100</v>
      </c>
      <c r="S3055" s="12" t="s">
        <v>3755</v>
      </c>
      <c r="T3055" s="22">
        <f t="shared" si="261"/>
        <v>9</v>
      </c>
      <c r="U3055" s="22">
        <f t="shared" si="262"/>
        <v>2021</v>
      </c>
      <c r="V3055" s="22" t="str">
        <f t="shared" si="263"/>
        <v>METROPOLITANA</v>
      </c>
    </row>
    <row r="3056" spans="1:22" x14ac:dyDescent="0.2">
      <c r="A3056" s="23" t="s">
        <v>3756</v>
      </c>
      <c r="B3056" s="22" t="s">
        <v>18</v>
      </c>
      <c r="C3056" s="22" t="s">
        <v>19</v>
      </c>
      <c r="D3056" s="22" t="s">
        <v>1869</v>
      </c>
      <c r="E3056" s="24">
        <v>125897258</v>
      </c>
      <c r="F3056" s="22" t="s">
        <v>92</v>
      </c>
      <c r="G3056" s="25">
        <v>12417.43</v>
      </c>
      <c r="H3056" s="22" t="s">
        <v>24</v>
      </c>
      <c r="I3056" s="22">
        <v>1</v>
      </c>
      <c r="J3056" s="22" t="s">
        <v>92</v>
      </c>
      <c r="K3056" s="22" t="s">
        <v>93</v>
      </c>
      <c r="L3056" s="22">
        <v>0</v>
      </c>
      <c r="M3056" s="26">
        <v>620000</v>
      </c>
      <c r="N3056" s="26">
        <v>0</v>
      </c>
      <c r="O3056" s="15">
        <f t="shared" si="265"/>
        <v>620000</v>
      </c>
      <c r="P3056" s="15">
        <f t="shared" si="266"/>
        <v>49.929816395179998</v>
      </c>
      <c r="Q3056" s="25">
        <v>20000</v>
      </c>
      <c r="R3056" s="22">
        <v>62</v>
      </c>
      <c r="S3056" s="22" t="s">
        <v>3757</v>
      </c>
      <c r="T3056" s="22">
        <f t="shared" si="261"/>
        <v>9</v>
      </c>
      <c r="U3056" s="22">
        <f t="shared" si="262"/>
        <v>2021</v>
      </c>
      <c r="V3056" s="22" t="str">
        <f t="shared" si="263"/>
        <v>REGIONES</v>
      </c>
    </row>
    <row r="3057" spans="1:22" x14ac:dyDescent="0.2">
      <c r="A3057" s="23" t="s">
        <v>3756</v>
      </c>
      <c r="B3057" s="22" t="s">
        <v>18</v>
      </c>
      <c r="C3057" s="22" t="s">
        <v>19</v>
      </c>
      <c r="D3057" s="22" t="s">
        <v>63</v>
      </c>
      <c r="E3057" s="24">
        <v>138841065</v>
      </c>
      <c r="F3057" s="22" t="s">
        <v>727</v>
      </c>
      <c r="G3057" s="25">
        <v>8409.2300000000014</v>
      </c>
      <c r="H3057" s="22" t="s">
        <v>65</v>
      </c>
      <c r="I3057" s="22">
        <v>0</v>
      </c>
      <c r="J3057" s="22" t="s">
        <v>727</v>
      </c>
      <c r="K3057" s="22" t="s">
        <v>23</v>
      </c>
      <c r="L3057" s="22">
        <v>2</v>
      </c>
      <c r="M3057" s="26">
        <v>92502</v>
      </c>
      <c r="N3057" s="26">
        <v>0</v>
      </c>
      <c r="O3057" s="15">
        <f t="shared" si="265"/>
        <v>92502</v>
      </c>
      <c r="P3057" s="15">
        <f t="shared" si="266"/>
        <v>11.000055890967424</v>
      </c>
      <c r="Q3057" s="25">
        <v>5000</v>
      </c>
      <c r="R3057" s="22">
        <v>100</v>
      </c>
      <c r="S3057" s="22" t="s">
        <v>3758</v>
      </c>
      <c r="T3057" s="22">
        <f t="shared" si="261"/>
        <v>9</v>
      </c>
      <c r="U3057" s="22">
        <f t="shared" si="262"/>
        <v>2021</v>
      </c>
      <c r="V3057" s="22" t="str">
        <f t="shared" si="263"/>
        <v>METROPOLITANA</v>
      </c>
    </row>
    <row r="3058" spans="1:22" x14ac:dyDescent="0.2">
      <c r="A3058" s="23" t="s">
        <v>3756</v>
      </c>
      <c r="B3058" s="22" t="s">
        <v>33</v>
      </c>
      <c r="C3058" s="22" t="s">
        <v>2431</v>
      </c>
      <c r="D3058" s="22" t="s">
        <v>786</v>
      </c>
      <c r="E3058" s="24">
        <v>95707734</v>
      </c>
      <c r="F3058" s="22" t="s">
        <v>67</v>
      </c>
      <c r="G3058" s="25">
        <v>14099</v>
      </c>
      <c r="H3058" s="22" t="s">
        <v>788</v>
      </c>
      <c r="I3058" s="22">
        <v>1</v>
      </c>
      <c r="J3058" s="22" t="s">
        <v>67</v>
      </c>
      <c r="K3058" s="22" t="s">
        <v>23</v>
      </c>
      <c r="L3058" s="22">
        <v>2</v>
      </c>
      <c r="M3058" s="26">
        <v>155089</v>
      </c>
      <c r="N3058" s="26">
        <v>0</v>
      </c>
      <c r="O3058" s="15">
        <f t="shared" si="265"/>
        <v>155089</v>
      </c>
      <c r="P3058" s="15">
        <f t="shared" si="266"/>
        <v>11</v>
      </c>
      <c r="Q3058" s="25">
        <v>5000</v>
      </c>
      <c r="R3058" s="22">
        <v>100</v>
      </c>
      <c r="S3058" s="22" t="s">
        <v>3759</v>
      </c>
      <c r="T3058" s="22">
        <f t="shared" si="261"/>
        <v>9</v>
      </c>
      <c r="U3058" s="22">
        <f t="shared" si="262"/>
        <v>2021</v>
      </c>
      <c r="V3058" s="22" t="str">
        <f t="shared" si="263"/>
        <v>METROPOLITANA</v>
      </c>
    </row>
    <row r="3059" spans="1:22" x14ac:dyDescent="0.2">
      <c r="A3059" s="23" t="s">
        <v>3756</v>
      </c>
      <c r="B3059" s="22" t="s">
        <v>33</v>
      </c>
      <c r="C3059" s="22" t="s">
        <v>60</v>
      </c>
      <c r="D3059" s="22" t="s">
        <v>3760</v>
      </c>
      <c r="E3059" s="24">
        <v>99626232</v>
      </c>
      <c r="F3059" s="22" t="s">
        <v>51</v>
      </c>
      <c r="G3059" s="25">
        <v>3752</v>
      </c>
      <c r="H3059" s="22" t="s">
        <v>24</v>
      </c>
      <c r="I3059" s="22">
        <v>1</v>
      </c>
      <c r="J3059" s="22" t="s">
        <v>51</v>
      </c>
      <c r="K3059" s="22" t="s">
        <v>23</v>
      </c>
      <c r="L3059" s="22">
        <v>4</v>
      </c>
      <c r="M3059" s="26">
        <v>55000</v>
      </c>
      <c r="N3059" s="26">
        <v>0</v>
      </c>
      <c r="O3059" s="15">
        <f t="shared" si="265"/>
        <v>55000</v>
      </c>
      <c r="P3059" s="15">
        <f t="shared" si="266"/>
        <v>14.658848614072495</v>
      </c>
      <c r="Q3059" s="25">
        <v>5000</v>
      </c>
      <c r="R3059" s="22">
        <v>75</v>
      </c>
      <c r="S3059" s="22" t="s">
        <v>3761</v>
      </c>
      <c r="T3059" s="22">
        <f t="shared" si="261"/>
        <v>9</v>
      </c>
      <c r="U3059" s="22">
        <f t="shared" si="262"/>
        <v>2021</v>
      </c>
      <c r="V3059" s="22" t="str">
        <f t="shared" si="263"/>
        <v>METROPOLITANA</v>
      </c>
    </row>
    <row r="3060" spans="1:22" x14ac:dyDescent="0.2">
      <c r="A3060" s="23" t="s">
        <v>3756</v>
      </c>
      <c r="B3060" s="22" t="s">
        <v>33</v>
      </c>
      <c r="C3060" s="22" t="s">
        <v>60</v>
      </c>
      <c r="D3060" s="22" t="s">
        <v>47</v>
      </c>
      <c r="E3060" s="24">
        <v>78907355</v>
      </c>
      <c r="F3060" s="22" t="s">
        <v>51</v>
      </c>
      <c r="G3060" s="25">
        <v>7503.9999999999973</v>
      </c>
      <c r="H3060" s="22" t="s">
        <v>22</v>
      </c>
      <c r="I3060" s="22">
        <v>0</v>
      </c>
      <c r="J3060" s="22" t="s">
        <v>51</v>
      </c>
      <c r="K3060" s="22" t="s">
        <v>23</v>
      </c>
      <c r="L3060" s="22">
        <v>4</v>
      </c>
      <c r="M3060" s="26">
        <v>82544</v>
      </c>
      <c r="N3060" s="26">
        <v>0</v>
      </c>
      <c r="O3060" s="15">
        <f t="shared" si="265"/>
        <v>82544</v>
      </c>
      <c r="P3060" s="15">
        <f t="shared" si="266"/>
        <v>11.000000000000004</v>
      </c>
      <c r="Q3060" s="25">
        <v>5000</v>
      </c>
      <c r="R3060" s="22">
        <v>100</v>
      </c>
      <c r="S3060" s="22" t="s">
        <v>3762</v>
      </c>
      <c r="T3060" s="22">
        <f t="shared" si="261"/>
        <v>9</v>
      </c>
      <c r="U3060" s="22">
        <f t="shared" si="262"/>
        <v>2021</v>
      </c>
      <c r="V3060" s="22" t="str">
        <f t="shared" si="263"/>
        <v>METROPOLITANA</v>
      </c>
    </row>
    <row r="3061" spans="1:22" x14ac:dyDescent="0.2">
      <c r="A3061" s="23" t="s">
        <v>3756</v>
      </c>
      <c r="B3061" s="22" t="s">
        <v>33</v>
      </c>
      <c r="C3061" s="22" t="s">
        <v>128</v>
      </c>
      <c r="D3061" s="22" t="s">
        <v>786</v>
      </c>
      <c r="E3061" s="24">
        <v>95707334</v>
      </c>
      <c r="F3061" s="22" t="s">
        <v>34</v>
      </c>
      <c r="G3061" s="25">
        <v>5221.2000000000016</v>
      </c>
      <c r="H3061" s="22" t="s">
        <v>788</v>
      </c>
      <c r="I3061" s="22">
        <v>1</v>
      </c>
      <c r="J3061" s="22" t="s">
        <v>34</v>
      </c>
      <c r="K3061" s="22" t="s">
        <v>23</v>
      </c>
      <c r="L3061" s="22">
        <v>1</v>
      </c>
      <c r="M3061" s="26">
        <v>57433</v>
      </c>
      <c r="N3061" s="26">
        <v>0</v>
      </c>
      <c r="O3061" s="15">
        <f t="shared" si="265"/>
        <v>57433</v>
      </c>
      <c r="P3061" s="15">
        <f t="shared" si="266"/>
        <v>10.999961694629583</v>
      </c>
      <c r="Q3061" s="25">
        <v>5000</v>
      </c>
      <c r="R3061" s="22">
        <v>100</v>
      </c>
      <c r="S3061" s="22" t="s">
        <v>3763</v>
      </c>
      <c r="T3061" s="22">
        <f t="shared" si="261"/>
        <v>9</v>
      </c>
      <c r="U3061" s="22">
        <f t="shared" si="262"/>
        <v>2021</v>
      </c>
      <c r="V3061" s="22" t="str">
        <f t="shared" si="263"/>
        <v>METROPOLITANA</v>
      </c>
    </row>
    <row r="3062" spans="1:22" x14ac:dyDescent="0.2">
      <c r="A3062" s="23" t="s">
        <v>3756</v>
      </c>
      <c r="B3062" s="22" t="s">
        <v>33</v>
      </c>
      <c r="C3062" s="22" t="s">
        <v>128</v>
      </c>
      <c r="D3062" s="22" t="s">
        <v>786</v>
      </c>
      <c r="E3062" s="24">
        <v>95707734</v>
      </c>
      <c r="F3062" s="22" t="s">
        <v>34</v>
      </c>
      <c r="G3062" s="25">
        <v>1923.6</v>
      </c>
      <c r="H3062" s="22" t="s">
        <v>788</v>
      </c>
      <c r="I3062" s="22">
        <v>1</v>
      </c>
      <c r="J3062" s="22" t="s">
        <v>34</v>
      </c>
      <c r="K3062" s="22" t="s">
        <v>23</v>
      </c>
      <c r="L3062" s="22">
        <v>1</v>
      </c>
      <c r="M3062" s="26">
        <v>55000</v>
      </c>
      <c r="N3062" s="26">
        <v>0</v>
      </c>
      <c r="O3062" s="15">
        <f t="shared" si="265"/>
        <v>55000</v>
      </c>
      <c r="P3062" s="15">
        <f t="shared" si="266"/>
        <v>28.592222915367021</v>
      </c>
      <c r="Q3062" s="25">
        <v>5000</v>
      </c>
      <c r="R3062" s="22">
        <v>38</v>
      </c>
      <c r="S3062" s="22" t="s">
        <v>3764</v>
      </c>
      <c r="T3062" s="22">
        <f t="shared" si="261"/>
        <v>9</v>
      </c>
      <c r="U3062" s="22">
        <f t="shared" si="262"/>
        <v>2021</v>
      </c>
      <c r="V3062" s="22" t="str">
        <f t="shared" si="263"/>
        <v>METROPOLITANA</v>
      </c>
    </row>
    <row r="3063" spans="1:22" x14ac:dyDescent="0.2">
      <c r="A3063" s="23" t="s">
        <v>3756</v>
      </c>
      <c r="B3063" s="22" t="s">
        <v>33</v>
      </c>
      <c r="C3063" s="22" t="s">
        <v>128</v>
      </c>
      <c r="D3063" s="22" t="s">
        <v>2955</v>
      </c>
      <c r="E3063" s="24">
        <v>65941082</v>
      </c>
      <c r="F3063" s="22" t="s">
        <v>34</v>
      </c>
      <c r="G3063" s="25">
        <f>6320.4+550</f>
        <v>6870.4</v>
      </c>
      <c r="H3063" s="22" t="s">
        <v>24</v>
      </c>
      <c r="I3063" s="22">
        <v>1</v>
      </c>
      <c r="J3063" s="22" t="s">
        <v>34</v>
      </c>
      <c r="K3063" s="22" t="s">
        <v>23</v>
      </c>
      <c r="L3063" s="22">
        <v>1</v>
      </c>
      <c r="M3063" s="26">
        <v>69524</v>
      </c>
      <c r="N3063" s="26">
        <v>0</v>
      </c>
      <c r="O3063" s="15">
        <f t="shared" si="265"/>
        <v>69524</v>
      </c>
      <c r="P3063" s="15">
        <f t="shared" si="266"/>
        <v>10.119352585002328</v>
      </c>
      <c r="Q3063" s="25">
        <v>5000</v>
      </c>
      <c r="R3063" s="22">
        <v>100</v>
      </c>
      <c r="S3063" s="22" t="s">
        <v>3774</v>
      </c>
      <c r="T3063" s="22">
        <f t="shared" si="261"/>
        <v>9</v>
      </c>
      <c r="U3063" s="22">
        <f t="shared" si="262"/>
        <v>2021</v>
      </c>
      <c r="V3063" s="22" t="str">
        <f t="shared" si="263"/>
        <v>METROPOLITANA</v>
      </c>
    </row>
    <row r="3064" spans="1:22" x14ac:dyDescent="0.2">
      <c r="A3064" s="23" t="s">
        <v>3756</v>
      </c>
      <c r="B3064" s="22" t="s">
        <v>33</v>
      </c>
      <c r="C3064" s="22" t="s">
        <v>223</v>
      </c>
      <c r="D3064" s="22" t="s">
        <v>41</v>
      </c>
      <c r="E3064" s="24">
        <v>125108660</v>
      </c>
      <c r="F3064" s="22" t="s">
        <v>67</v>
      </c>
      <c r="G3064" s="25">
        <v>9755.1999999999971</v>
      </c>
      <c r="H3064" s="22" t="s">
        <v>43</v>
      </c>
      <c r="I3064" s="22">
        <v>0</v>
      </c>
      <c r="J3064" s="22" t="s">
        <v>67</v>
      </c>
      <c r="K3064" s="22" t="s">
        <v>23</v>
      </c>
      <c r="L3064" s="22">
        <v>2</v>
      </c>
      <c r="M3064" s="26">
        <v>107307</v>
      </c>
      <c r="N3064" s="26">
        <v>0</v>
      </c>
      <c r="O3064" s="15">
        <f t="shared" si="265"/>
        <v>107307</v>
      </c>
      <c r="P3064" s="15">
        <f t="shared" si="266"/>
        <v>10.999979498113829</v>
      </c>
      <c r="Q3064" s="25">
        <v>5000</v>
      </c>
      <c r="R3064" s="22">
        <v>100</v>
      </c>
      <c r="S3064" s="22" t="s">
        <v>3765</v>
      </c>
      <c r="T3064" s="22">
        <f t="shared" si="261"/>
        <v>9</v>
      </c>
      <c r="U3064" s="22">
        <f t="shared" si="262"/>
        <v>2021</v>
      </c>
      <c r="V3064" s="22" t="str">
        <f t="shared" si="263"/>
        <v>METROPOLITANA</v>
      </c>
    </row>
    <row r="3065" spans="1:22" x14ac:dyDescent="0.2">
      <c r="A3065" s="23" t="s">
        <v>3756</v>
      </c>
      <c r="B3065" s="22" t="s">
        <v>33</v>
      </c>
      <c r="C3065" s="22" t="s">
        <v>29</v>
      </c>
      <c r="D3065" s="22" t="s">
        <v>2262</v>
      </c>
      <c r="E3065" s="24">
        <v>122975819</v>
      </c>
      <c r="F3065" s="22" t="s">
        <v>132</v>
      </c>
      <c r="G3065" s="25">
        <v>8244.0000000000036</v>
      </c>
      <c r="H3065" s="22" t="s">
        <v>24</v>
      </c>
      <c r="I3065" s="22">
        <v>1</v>
      </c>
      <c r="J3065" s="22" t="s">
        <v>132</v>
      </c>
      <c r="K3065" s="22" t="s">
        <v>124</v>
      </c>
      <c r="L3065" s="22">
        <v>0</v>
      </c>
      <c r="M3065" s="26">
        <v>350000</v>
      </c>
      <c r="N3065" s="26">
        <v>0</v>
      </c>
      <c r="O3065" s="15">
        <f t="shared" si="265"/>
        <v>350000</v>
      </c>
      <c r="P3065" s="15">
        <f t="shared" si="266"/>
        <v>42.455118874332832</v>
      </c>
      <c r="Q3065" s="25">
        <v>20000</v>
      </c>
      <c r="R3065" s="22">
        <v>65</v>
      </c>
      <c r="S3065" s="22" t="s">
        <v>3766</v>
      </c>
      <c r="T3065" s="22">
        <f t="shared" si="261"/>
        <v>9</v>
      </c>
      <c r="U3065" s="22">
        <f t="shared" si="262"/>
        <v>2021</v>
      </c>
      <c r="V3065" s="22" t="str">
        <f t="shared" si="263"/>
        <v>REGIONES</v>
      </c>
    </row>
    <row r="3066" spans="1:22" x14ac:dyDescent="0.2">
      <c r="A3066" s="23" t="s">
        <v>3756</v>
      </c>
      <c r="B3066" s="22" t="s">
        <v>33</v>
      </c>
      <c r="C3066" s="22" t="s">
        <v>29</v>
      </c>
      <c r="D3066" s="22" t="s">
        <v>130</v>
      </c>
      <c r="E3066" s="24">
        <v>167832741</v>
      </c>
      <c r="F3066" s="22" t="s">
        <v>132</v>
      </c>
      <c r="G3066" s="25">
        <v>8244.0000000000036</v>
      </c>
      <c r="H3066" s="22" t="s">
        <v>85</v>
      </c>
      <c r="I3066" s="22">
        <v>1</v>
      </c>
      <c r="J3066" s="22" t="s">
        <v>132</v>
      </c>
      <c r="K3066" s="22" t="s">
        <v>124</v>
      </c>
      <c r="L3066" s="22">
        <v>0</v>
      </c>
      <c r="M3066" s="26">
        <v>350000</v>
      </c>
      <c r="N3066" s="26">
        <v>0</v>
      </c>
      <c r="O3066" s="15">
        <f t="shared" si="265"/>
        <v>350000</v>
      </c>
      <c r="P3066" s="15">
        <f t="shared" si="266"/>
        <v>42.455118874332832</v>
      </c>
      <c r="Q3066" s="25">
        <v>20000</v>
      </c>
      <c r="R3066" s="22">
        <v>65</v>
      </c>
      <c r="S3066" s="22" t="s">
        <v>3767</v>
      </c>
      <c r="T3066" s="22">
        <f t="shared" si="261"/>
        <v>9</v>
      </c>
      <c r="U3066" s="22">
        <f t="shared" si="262"/>
        <v>2021</v>
      </c>
      <c r="V3066" s="22" t="str">
        <f t="shared" si="263"/>
        <v>REGIONES</v>
      </c>
    </row>
    <row r="3067" spans="1:22" x14ac:dyDescent="0.2">
      <c r="A3067" s="23" t="s">
        <v>3756</v>
      </c>
      <c r="B3067" s="22" t="s">
        <v>33</v>
      </c>
      <c r="C3067" s="22" t="s">
        <v>29</v>
      </c>
      <c r="D3067" s="22" t="s">
        <v>2825</v>
      </c>
      <c r="E3067" s="24">
        <v>113693568</v>
      </c>
      <c r="F3067" s="22" t="s">
        <v>132</v>
      </c>
      <c r="G3067" s="25">
        <v>8244.0000000000036</v>
      </c>
      <c r="H3067" s="22" t="s">
        <v>24</v>
      </c>
      <c r="I3067" s="22">
        <v>1</v>
      </c>
      <c r="J3067" s="22" t="s">
        <v>132</v>
      </c>
      <c r="K3067" s="22" t="s">
        <v>124</v>
      </c>
      <c r="L3067" s="22">
        <v>0</v>
      </c>
      <c r="M3067" s="26">
        <v>350000</v>
      </c>
      <c r="N3067" s="26">
        <v>0</v>
      </c>
      <c r="O3067" s="15">
        <f t="shared" si="265"/>
        <v>350000</v>
      </c>
      <c r="P3067" s="15">
        <f t="shared" si="266"/>
        <v>42.455118874332832</v>
      </c>
      <c r="Q3067" s="25">
        <v>20000</v>
      </c>
      <c r="R3067" s="22">
        <v>65</v>
      </c>
      <c r="S3067" s="22" t="s">
        <v>3768</v>
      </c>
      <c r="T3067" s="22">
        <f t="shared" si="261"/>
        <v>9</v>
      </c>
      <c r="U3067" s="22">
        <f t="shared" si="262"/>
        <v>2021</v>
      </c>
      <c r="V3067" s="22" t="str">
        <f t="shared" si="263"/>
        <v>REGIONES</v>
      </c>
    </row>
    <row r="3068" spans="1:22" x14ac:dyDescent="0.2">
      <c r="A3068" s="23" t="s">
        <v>3756</v>
      </c>
      <c r="B3068" s="22" t="s">
        <v>33</v>
      </c>
      <c r="C3068" s="22" t="s">
        <v>29</v>
      </c>
      <c r="D3068" s="22" t="s">
        <v>27</v>
      </c>
      <c r="E3068" s="24">
        <v>81417709</v>
      </c>
      <c r="F3068" s="22" t="s">
        <v>39</v>
      </c>
      <c r="G3068" s="25">
        <v>15007.999999999991</v>
      </c>
      <c r="H3068" s="22" t="s">
        <v>22</v>
      </c>
      <c r="I3068" s="22">
        <v>1</v>
      </c>
      <c r="J3068" s="22" t="s">
        <v>39</v>
      </c>
      <c r="K3068" s="22" t="s">
        <v>23</v>
      </c>
      <c r="L3068" s="22">
        <v>1</v>
      </c>
      <c r="M3068" s="26">
        <v>165088</v>
      </c>
      <c r="N3068" s="26">
        <v>0</v>
      </c>
      <c r="O3068" s="15">
        <f t="shared" si="265"/>
        <v>165088</v>
      </c>
      <c r="P3068" s="15">
        <f t="shared" si="266"/>
        <v>11.000000000000007</v>
      </c>
      <c r="Q3068" s="25">
        <v>5000</v>
      </c>
      <c r="R3068" s="22">
        <v>100</v>
      </c>
      <c r="S3068" s="22" t="s">
        <v>3769</v>
      </c>
      <c r="T3068" s="22">
        <f t="shared" si="261"/>
        <v>9</v>
      </c>
      <c r="U3068" s="22">
        <f t="shared" si="262"/>
        <v>2021</v>
      </c>
      <c r="V3068" s="22" t="str">
        <f t="shared" si="263"/>
        <v>METROPOLITANA</v>
      </c>
    </row>
    <row r="3069" spans="1:22" x14ac:dyDescent="0.2">
      <c r="A3069" s="23" t="s">
        <v>3756</v>
      </c>
      <c r="B3069" s="22" t="s">
        <v>33</v>
      </c>
      <c r="C3069" s="22" t="s">
        <v>29</v>
      </c>
      <c r="D3069" s="22" t="s">
        <v>30</v>
      </c>
      <c r="E3069" s="24">
        <v>72564391</v>
      </c>
      <c r="F3069" s="22" t="s">
        <v>134</v>
      </c>
      <c r="G3069" s="25">
        <v>16309.8</v>
      </c>
      <c r="H3069" s="22" t="s">
        <v>32</v>
      </c>
      <c r="I3069" s="22">
        <v>0</v>
      </c>
      <c r="J3069" s="22" t="s">
        <v>134</v>
      </c>
      <c r="K3069" s="22" t="s">
        <v>23</v>
      </c>
      <c r="L3069" s="22">
        <v>2</v>
      </c>
      <c r="M3069" s="26">
        <v>179408</v>
      </c>
      <c r="N3069" s="26">
        <v>0</v>
      </c>
      <c r="O3069" s="15">
        <f t="shared" ref="O3069:O3100" si="267">SUM(M3069:N3069)</f>
        <v>179408</v>
      </c>
      <c r="P3069" s="15">
        <f t="shared" si="266"/>
        <v>11.000012262566065</v>
      </c>
      <c r="Q3069" s="25">
        <v>5000</v>
      </c>
      <c r="R3069" s="22">
        <v>100</v>
      </c>
      <c r="S3069" s="22" t="s">
        <v>3770</v>
      </c>
      <c r="T3069" s="22">
        <f t="shared" si="261"/>
        <v>9</v>
      </c>
      <c r="U3069" s="22">
        <f t="shared" si="262"/>
        <v>2021</v>
      </c>
      <c r="V3069" s="22" t="str">
        <f t="shared" si="263"/>
        <v>METROPOLITANA</v>
      </c>
    </row>
    <row r="3070" spans="1:22" x14ac:dyDescent="0.2">
      <c r="A3070" s="23" t="s">
        <v>3756</v>
      </c>
      <c r="B3070" s="22" t="s">
        <v>33</v>
      </c>
      <c r="C3070" s="22" t="s">
        <v>29</v>
      </c>
      <c r="D3070" s="22" t="s">
        <v>41</v>
      </c>
      <c r="E3070" s="24">
        <v>125108660</v>
      </c>
      <c r="F3070" s="22" t="s">
        <v>39</v>
      </c>
      <c r="G3070" s="25">
        <v>7503.9999999999973</v>
      </c>
      <c r="H3070" s="22" t="s">
        <v>43</v>
      </c>
      <c r="I3070" s="22">
        <v>0</v>
      </c>
      <c r="J3070" s="22" t="s">
        <v>39</v>
      </c>
      <c r="K3070" s="22" t="s">
        <v>23</v>
      </c>
      <c r="L3070" s="22">
        <v>1</v>
      </c>
      <c r="M3070" s="26">
        <v>82544</v>
      </c>
      <c r="N3070" s="26">
        <v>0</v>
      </c>
      <c r="O3070" s="15">
        <f t="shared" si="267"/>
        <v>82544</v>
      </c>
      <c r="P3070" s="15">
        <f t="shared" si="266"/>
        <v>11.000000000000004</v>
      </c>
      <c r="Q3070" s="25">
        <v>5000</v>
      </c>
      <c r="R3070" s="22">
        <v>100</v>
      </c>
      <c r="S3070" s="22" t="s">
        <v>3771</v>
      </c>
      <c r="T3070" s="22">
        <f t="shared" si="261"/>
        <v>9</v>
      </c>
      <c r="U3070" s="22">
        <f t="shared" si="262"/>
        <v>2021</v>
      </c>
      <c r="V3070" s="22" t="str">
        <f t="shared" si="263"/>
        <v>METROPOLITANA</v>
      </c>
    </row>
    <row r="3071" spans="1:22" x14ac:dyDescent="0.2">
      <c r="A3071" s="23" t="s">
        <v>3756</v>
      </c>
      <c r="B3071" s="22" t="s">
        <v>33</v>
      </c>
      <c r="C3071" s="22" t="s">
        <v>29</v>
      </c>
      <c r="D3071" s="22" t="s">
        <v>41</v>
      </c>
      <c r="E3071" s="24">
        <v>125108660</v>
      </c>
      <c r="F3071" s="22" t="s">
        <v>134</v>
      </c>
      <c r="G3071" s="25">
        <v>6753.5999999999995</v>
      </c>
      <c r="H3071" s="22" t="s">
        <v>43</v>
      </c>
      <c r="I3071" s="22">
        <v>0</v>
      </c>
      <c r="J3071" s="22" t="s">
        <v>134</v>
      </c>
      <c r="K3071" s="22" t="s">
        <v>23</v>
      </c>
      <c r="L3071" s="22">
        <v>2</v>
      </c>
      <c r="M3071" s="26">
        <v>74290</v>
      </c>
      <c r="N3071" s="26">
        <v>0</v>
      </c>
      <c r="O3071" s="15">
        <f t="shared" si="267"/>
        <v>74290</v>
      </c>
      <c r="P3071" s="15">
        <f t="shared" si="266"/>
        <v>11.000059227671169</v>
      </c>
      <c r="Q3071" s="25">
        <v>5000</v>
      </c>
      <c r="R3071" s="22">
        <v>100</v>
      </c>
      <c r="S3071" s="22" t="s">
        <v>3772</v>
      </c>
      <c r="T3071" s="22">
        <f t="shared" si="261"/>
        <v>9</v>
      </c>
      <c r="U3071" s="22">
        <f t="shared" si="262"/>
        <v>2021</v>
      </c>
      <c r="V3071" s="22" t="str">
        <f t="shared" si="263"/>
        <v>METROPOLITANA</v>
      </c>
    </row>
    <row r="3072" spans="1:22" x14ac:dyDescent="0.2">
      <c r="A3072" s="23" t="s">
        <v>3756</v>
      </c>
      <c r="B3072" s="22" t="s">
        <v>33</v>
      </c>
      <c r="C3072" s="22" t="s">
        <v>29</v>
      </c>
      <c r="D3072" s="22" t="s">
        <v>20</v>
      </c>
      <c r="E3072" s="24">
        <v>78907355</v>
      </c>
      <c r="F3072" s="22" t="s">
        <v>39</v>
      </c>
      <c r="G3072" s="25">
        <v>7503.9999999999973</v>
      </c>
      <c r="H3072" s="22" t="s">
        <v>22</v>
      </c>
      <c r="I3072" s="22">
        <v>0</v>
      </c>
      <c r="J3072" s="22" t="s">
        <v>39</v>
      </c>
      <c r="K3072" s="22" t="s">
        <v>23</v>
      </c>
      <c r="L3072" s="22">
        <v>1</v>
      </c>
      <c r="M3072" s="26">
        <v>82544</v>
      </c>
      <c r="N3072" s="26">
        <v>0</v>
      </c>
      <c r="O3072" s="15">
        <f t="shared" si="267"/>
        <v>82544</v>
      </c>
      <c r="P3072" s="15">
        <f t="shared" si="266"/>
        <v>11.000000000000004</v>
      </c>
      <c r="Q3072" s="25">
        <v>5000</v>
      </c>
      <c r="R3072" s="22">
        <v>100</v>
      </c>
      <c r="S3072" s="22" t="s">
        <v>3773</v>
      </c>
      <c r="T3072" s="22">
        <f t="shared" si="261"/>
        <v>9</v>
      </c>
      <c r="U3072" s="22">
        <f t="shared" si="262"/>
        <v>2021</v>
      </c>
      <c r="V3072" s="22" t="str">
        <f t="shared" si="263"/>
        <v>METROPOLITANA</v>
      </c>
    </row>
    <row r="3073" spans="1:22" x14ac:dyDescent="0.2">
      <c r="A3073" s="11" t="s">
        <v>3775</v>
      </c>
      <c r="B3073" s="12" t="s">
        <v>18</v>
      </c>
      <c r="C3073" s="12" t="s">
        <v>579</v>
      </c>
      <c r="D3073" s="12" t="s">
        <v>20</v>
      </c>
      <c r="E3073" s="13" t="s">
        <v>1576</v>
      </c>
      <c r="F3073" s="12" t="s">
        <v>161</v>
      </c>
      <c r="G3073" s="14">
        <v>5843.06</v>
      </c>
      <c r="H3073" s="12" t="s">
        <v>22</v>
      </c>
      <c r="I3073" s="12">
        <v>0</v>
      </c>
      <c r="J3073" s="12" t="s">
        <v>161</v>
      </c>
      <c r="K3073" s="12" t="s">
        <v>23</v>
      </c>
      <c r="L3073" s="12">
        <v>5</v>
      </c>
      <c r="M3073" s="15">
        <v>70000</v>
      </c>
      <c r="N3073" s="15">
        <v>0</v>
      </c>
      <c r="O3073" s="15">
        <f t="shared" si="267"/>
        <v>70000</v>
      </c>
      <c r="P3073" s="15">
        <f t="shared" si="266"/>
        <v>11.980024165420172</v>
      </c>
      <c r="Q3073" s="14">
        <v>10000</v>
      </c>
      <c r="R3073" s="12">
        <v>58</v>
      </c>
      <c r="S3073" s="12" t="s">
        <v>3776</v>
      </c>
      <c r="T3073" s="22">
        <f t="shared" si="261"/>
        <v>9</v>
      </c>
      <c r="U3073" s="22">
        <f t="shared" si="262"/>
        <v>2021</v>
      </c>
      <c r="V3073" s="22" t="str">
        <f t="shared" si="263"/>
        <v>METROPOLITANA</v>
      </c>
    </row>
    <row r="3074" spans="1:22" x14ac:dyDescent="0.2">
      <c r="A3074" s="11" t="s">
        <v>3775</v>
      </c>
      <c r="B3074" s="12" t="s">
        <v>18</v>
      </c>
      <c r="C3074" s="12" t="s">
        <v>19</v>
      </c>
      <c r="D3074" s="12" t="s">
        <v>27</v>
      </c>
      <c r="E3074" s="13" t="s">
        <v>28</v>
      </c>
      <c r="F3074" s="12" t="s">
        <v>727</v>
      </c>
      <c r="G3074" s="14">
        <v>16520.599999999999</v>
      </c>
      <c r="H3074" s="12" t="s">
        <v>22</v>
      </c>
      <c r="I3074" s="12">
        <v>1</v>
      </c>
      <c r="J3074" s="12" t="s">
        <v>727</v>
      </c>
      <c r="K3074" s="12" t="s">
        <v>23</v>
      </c>
      <c r="L3074" s="12">
        <v>2</v>
      </c>
      <c r="M3074" s="15">
        <v>181727</v>
      </c>
      <c r="N3074" s="15">
        <v>0</v>
      </c>
      <c r="O3074" s="15">
        <f t="shared" si="267"/>
        <v>181727</v>
      </c>
      <c r="P3074" s="15">
        <f t="shared" si="266"/>
        <v>11.000024212195683</v>
      </c>
      <c r="Q3074" s="14">
        <v>5000</v>
      </c>
      <c r="R3074" s="12">
        <v>100</v>
      </c>
      <c r="S3074" s="12" t="s">
        <v>3777</v>
      </c>
      <c r="T3074" s="22">
        <f t="shared" si="261"/>
        <v>9</v>
      </c>
      <c r="U3074" s="22">
        <f t="shared" si="262"/>
        <v>2021</v>
      </c>
      <c r="V3074" s="22" t="str">
        <f t="shared" si="263"/>
        <v>METROPOLITANA</v>
      </c>
    </row>
    <row r="3075" spans="1:22" x14ac:dyDescent="0.2">
      <c r="A3075" s="11" t="s">
        <v>3775</v>
      </c>
      <c r="B3075" s="12" t="s">
        <v>18</v>
      </c>
      <c r="C3075" s="12" t="s">
        <v>19</v>
      </c>
      <c r="D3075" s="12" t="s">
        <v>63</v>
      </c>
      <c r="E3075" s="13" t="s">
        <v>64</v>
      </c>
      <c r="F3075" s="12" t="s">
        <v>67</v>
      </c>
      <c r="G3075" s="14">
        <v>8838.4900000000016</v>
      </c>
      <c r="H3075" s="12" t="s">
        <v>65</v>
      </c>
      <c r="I3075" s="12">
        <v>0</v>
      </c>
      <c r="J3075" s="12" t="s">
        <v>67</v>
      </c>
      <c r="K3075" s="12" t="s">
        <v>23</v>
      </c>
      <c r="L3075" s="12">
        <v>2</v>
      </c>
      <c r="M3075" s="15">
        <v>97223</v>
      </c>
      <c r="N3075" s="15">
        <v>0</v>
      </c>
      <c r="O3075" s="15">
        <f t="shared" si="267"/>
        <v>97223</v>
      </c>
      <c r="P3075" s="15">
        <f t="shared" si="266"/>
        <v>10.999955874815718</v>
      </c>
      <c r="Q3075" s="14">
        <v>5000</v>
      </c>
      <c r="R3075" s="12">
        <v>100</v>
      </c>
      <c r="S3075" s="12" t="s">
        <v>3778</v>
      </c>
      <c r="T3075" s="22">
        <f t="shared" si="261"/>
        <v>9</v>
      </c>
      <c r="U3075" s="22">
        <f t="shared" si="262"/>
        <v>2021</v>
      </c>
      <c r="V3075" s="22" t="str">
        <f t="shared" si="263"/>
        <v>METROPOLITANA</v>
      </c>
    </row>
    <row r="3076" spans="1:22" x14ac:dyDescent="0.2">
      <c r="A3076" s="11" t="s">
        <v>3775</v>
      </c>
      <c r="B3076" s="12" t="s">
        <v>33</v>
      </c>
      <c r="C3076" s="12" t="s">
        <v>3240</v>
      </c>
      <c r="D3076" s="12" t="s">
        <v>30</v>
      </c>
      <c r="E3076" s="13" t="s">
        <v>31</v>
      </c>
      <c r="F3076" s="12" t="s">
        <v>129</v>
      </c>
      <c r="G3076" s="14">
        <v>2346.9</v>
      </c>
      <c r="H3076" s="12" t="s">
        <v>32</v>
      </c>
      <c r="I3076" s="12">
        <v>0</v>
      </c>
      <c r="J3076" s="12" t="s">
        <v>129</v>
      </c>
      <c r="K3076" s="12" t="s">
        <v>23</v>
      </c>
      <c r="L3076" s="12">
        <v>1</v>
      </c>
      <c r="M3076" s="15">
        <v>55000</v>
      </c>
      <c r="N3076" s="15">
        <v>0</v>
      </c>
      <c r="O3076" s="15">
        <f t="shared" si="267"/>
        <v>55000</v>
      </c>
      <c r="P3076" s="15">
        <f t="shared" si="266"/>
        <v>23.43516979845754</v>
      </c>
      <c r="Q3076" s="14">
        <v>5000</v>
      </c>
      <c r="R3076" s="12">
        <v>55</v>
      </c>
      <c r="S3076" s="12" t="s">
        <v>3779</v>
      </c>
      <c r="T3076" s="22">
        <f t="shared" si="261"/>
        <v>9</v>
      </c>
      <c r="U3076" s="22">
        <f t="shared" si="262"/>
        <v>2021</v>
      </c>
      <c r="V3076" s="22" t="str">
        <f t="shared" si="263"/>
        <v>METROPOLITANA</v>
      </c>
    </row>
    <row r="3077" spans="1:22" x14ac:dyDescent="0.2">
      <c r="A3077" s="11" t="s">
        <v>3775</v>
      </c>
      <c r="B3077" s="12" t="s">
        <v>33</v>
      </c>
      <c r="C3077" s="12" t="s">
        <v>3460</v>
      </c>
      <c r="D3077" s="12" t="s">
        <v>38</v>
      </c>
      <c r="E3077" s="13" t="s">
        <v>25</v>
      </c>
      <c r="F3077" s="12" t="s">
        <v>727</v>
      </c>
      <c r="G3077" s="14">
        <v>2947.36</v>
      </c>
      <c r="H3077" s="12" t="s">
        <v>43</v>
      </c>
      <c r="I3077" s="12">
        <v>0</v>
      </c>
      <c r="J3077" s="12" t="s">
        <v>727</v>
      </c>
      <c r="K3077" s="12" t="s">
        <v>23</v>
      </c>
      <c r="L3077" s="12">
        <v>2</v>
      </c>
      <c r="M3077" s="15">
        <v>55000</v>
      </c>
      <c r="N3077" s="15">
        <v>0</v>
      </c>
      <c r="O3077" s="15">
        <f t="shared" si="267"/>
        <v>55000</v>
      </c>
      <c r="P3077" s="15">
        <f t="shared" si="266"/>
        <v>18.660767602193147</v>
      </c>
      <c r="Q3077" s="14">
        <v>5000</v>
      </c>
      <c r="R3077" s="12">
        <v>59</v>
      </c>
      <c r="S3077" s="12" t="s">
        <v>3780</v>
      </c>
      <c r="T3077" s="22">
        <f t="shared" si="261"/>
        <v>9</v>
      </c>
      <c r="U3077" s="22">
        <f t="shared" si="262"/>
        <v>2021</v>
      </c>
      <c r="V3077" s="22" t="str">
        <f t="shared" si="263"/>
        <v>METROPOLITANA</v>
      </c>
    </row>
    <row r="3078" spans="1:22" x14ac:dyDescent="0.2">
      <c r="A3078" s="11" t="s">
        <v>3775</v>
      </c>
      <c r="B3078" s="12" t="s">
        <v>33</v>
      </c>
      <c r="C3078" s="12" t="s">
        <v>2507</v>
      </c>
      <c r="D3078" s="12" t="s">
        <v>30</v>
      </c>
      <c r="E3078" s="13" t="s">
        <v>31</v>
      </c>
      <c r="F3078" s="12" t="s">
        <v>3781</v>
      </c>
      <c r="G3078" s="14">
        <v>6244.8000000000011</v>
      </c>
      <c r="H3078" s="12" t="s">
        <v>32</v>
      </c>
      <c r="I3078" s="12">
        <v>0</v>
      </c>
      <c r="J3078" s="12" t="s">
        <v>3781</v>
      </c>
      <c r="K3078" s="12" t="s">
        <v>171</v>
      </c>
      <c r="L3078" s="12">
        <v>0</v>
      </c>
      <c r="M3078" s="15">
        <v>180000</v>
      </c>
      <c r="N3078" s="15">
        <v>0</v>
      </c>
      <c r="O3078" s="15">
        <f t="shared" si="267"/>
        <v>180000</v>
      </c>
      <c r="P3078" s="15">
        <f t="shared" si="266"/>
        <v>28.823981552651802</v>
      </c>
      <c r="Q3078" s="14">
        <v>20000</v>
      </c>
      <c r="R3078" s="12">
        <v>65</v>
      </c>
      <c r="S3078" s="12" t="s">
        <v>3782</v>
      </c>
      <c r="T3078" s="22">
        <f t="shared" si="261"/>
        <v>9</v>
      </c>
      <c r="U3078" s="22">
        <f t="shared" si="262"/>
        <v>2021</v>
      </c>
      <c r="V3078" s="22" t="str">
        <f t="shared" si="263"/>
        <v>REGIONES</v>
      </c>
    </row>
    <row r="3079" spans="1:22" x14ac:dyDescent="0.2">
      <c r="A3079" s="11" t="s">
        <v>3775</v>
      </c>
      <c r="B3079" s="12" t="s">
        <v>33</v>
      </c>
      <c r="C3079" s="12" t="s">
        <v>87</v>
      </c>
      <c r="D3079" s="12" t="s">
        <v>20</v>
      </c>
      <c r="E3079" s="13" t="s">
        <v>21</v>
      </c>
      <c r="F3079" s="12" t="s">
        <v>51</v>
      </c>
      <c r="G3079" s="14">
        <v>8502</v>
      </c>
      <c r="H3079" s="12" t="s">
        <v>22</v>
      </c>
      <c r="I3079" s="12">
        <v>0</v>
      </c>
      <c r="J3079" s="12" t="s">
        <v>51</v>
      </c>
      <c r="K3079" s="12" t="s">
        <v>23</v>
      </c>
      <c r="L3079" s="12">
        <v>4</v>
      </c>
      <c r="M3079" s="15">
        <v>93522</v>
      </c>
      <c r="N3079" s="15">
        <v>0</v>
      </c>
      <c r="O3079" s="15">
        <f t="shared" si="267"/>
        <v>93522</v>
      </c>
      <c r="P3079" s="15">
        <f t="shared" si="266"/>
        <v>11</v>
      </c>
      <c r="Q3079" s="14">
        <v>5000</v>
      </c>
      <c r="R3079" s="12">
        <v>100</v>
      </c>
      <c r="S3079" s="12" t="s">
        <v>3783</v>
      </c>
      <c r="T3079" s="22">
        <f t="shared" si="261"/>
        <v>9</v>
      </c>
      <c r="U3079" s="22">
        <f t="shared" si="262"/>
        <v>2021</v>
      </c>
      <c r="V3079" s="22" t="str">
        <f t="shared" si="263"/>
        <v>METROPOLITANA</v>
      </c>
    </row>
    <row r="3080" spans="1:22" x14ac:dyDescent="0.2">
      <c r="A3080" s="11" t="s">
        <v>3775</v>
      </c>
      <c r="B3080" s="12" t="s">
        <v>33</v>
      </c>
      <c r="C3080" s="12" t="s">
        <v>29</v>
      </c>
      <c r="D3080" s="12" t="s">
        <v>37</v>
      </c>
      <c r="E3080" s="13" t="s">
        <v>40</v>
      </c>
      <c r="F3080" s="12" t="s">
        <v>39</v>
      </c>
      <c r="G3080" s="14">
        <v>7503.9999999999973</v>
      </c>
      <c r="H3080" s="12" t="s">
        <v>22</v>
      </c>
      <c r="I3080" s="12">
        <v>0</v>
      </c>
      <c r="J3080" s="12" t="s">
        <v>39</v>
      </c>
      <c r="K3080" s="12" t="s">
        <v>23</v>
      </c>
      <c r="L3080" s="12">
        <v>1</v>
      </c>
      <c r="M3080" s="15">
        <v>82544</v>
      </c>
      <c r="N3080" s="15">
        <v>0</v>
      </c>
      <c r="O3080" s="15">
        <f t="shared" si="267"/>
        <v>82544</v>
      </c>
      <c r="P3080" s="15">
        <f t="shared" si="266"/>
        <v>11.000000000000004</v>
      </c>
      <c r="Q3080" s="14">
        <v>5000</v>
      </c>
      <c r="R3080" s="12">
        <v>100</v>
      </c>
      <c r="S3080" s="12" t="s">
        <v>3784</v>
      </c>
      <c r="T3080" s="22">
        <f t="shared" ref="T3080:T3143" si="268">MONTH(A3080)</f>
        <v>9</v>
      </c>
      <c r="U3080" s="22">
        <f t="shared" ref="U3080:U3143" si="269">YEAR(A3080)</f>
        <v>2021</v>
      </c>
      <c r="V3080" s="22" t="str">
        <f t="shared" ref="V3080:V3143" si="270">IF(K3080="METROPOLITANA DE SANTIAGO","METROPOLITANA","REGIONES")</f>
        <v>METROPOLITANA</v>
      </c>
    </row>
    <row r="3081" spans="1:22" x14ac:dyDescent="0.2">
      <c r="A3081" s="11" t="s">
        <v>3775</v>
      </c>
      <c r="B3081" s="12" t="s">
        <v>33</v>
      </c>
      <c r="C3081" s="12" t="s">
        <v>29</v>
      </c>
      <c r="D3081" s="12" t="s">
        <v>37</v>
      </c>
      <c r="E3081" s="13" t="s">
        <v>40</v>
      </c>
      <c r="F3081" s="12" t="s">
        <v>134</v>
      </c>
      <c r="G3081" s="14">
        <v>6801.5999999999995</v>
      </c>
      <c r="H3081" s="12" t="s">
        <v>22</v>
      </c>
      <c r="I3081" s="12">
        <v>0</v>
      </c>
      <c r="J3081" s="12" t="s">
        <v>134</v>
      </c>
      <c r="K3081" s="12" t="s">
        <v>23</v>
      </c>
      <c r="L3081" s="12">
        <v>2</v>
      </c>
      <c r="M3081" s="15">
        <v>74818</v>
      </c>
      <c r="N3081" s="15">
        <v>0</v>
      </c>
      <c r="O3081" s="15">
        <f t="shared" si="267"/>
        <v>74818</v>
      </c>
      <c r="P3081" s="15">
        <f t="shared" si="266"/>
        <v>11.000058809691838</v>
      </c>
      <c r="Q3081" s="14">
        <v>5000</v>
      </c>
      <c r="R3081" s="12">
        <v>100</v>
      </c>
      <c r="S3081" s="12" t="s">
        <v>3785</v>
      </c>
      <c r="T3081" s="22">
        <f t="shared" si="268"/>
        <v>9</v>
      </c>
      <c r="U3081" s="22">
        <f t="shared" si="269"/>
        <v>2021</v>
      </c>
      <c r="V3081" s="22" t="str">
        <f t="shared" si="270"/>
        <v>METROPOLITANA</v>
      </c>
    </row>
    <row r="3082" spans="1:22" x14ac:dyDescent="0.2">
      <c r="A3082" s="11" t="s">
        <v>3775</v>
      </c>
      <c r="B3082" s="12" t="s">
        <v>33</v>
      </c>
      <c r="C3082" s="12" t="s">
        <v>29</v>
      </c>
      <c r="D3082" s="12" t="s">
        <v>27</v>
      </c>
      <c r="E3082" s="13" t="s">
        <v>28</v>
      </c>
      <c r="F3082" s="12" t="s">
        <v>39</v>
      </c>
      <c r="G3082" s="14">
        <v>14257.599999999989</v>
      </c>
      <c r="H3082" s="12" t="s">
        <v>22</v>
      </c>
      <c r="I3082" s="12">
        <v>1</v>
      </c>
      <c r="J3082" s="12" t="s">
        <v>39</v>
      </c>
      <c r="K3082" s="12" t="s">
        <v>23</v>
      </c>
      <c r="L3082" s="12">
        <v>1</v>
      </c>
      <c r="M3082" s="15">
        <v>156834</v>
      </c>
      <c r="N3082" s="15">
        <v>0</v>
      </c>
      <c r="O3082" s="15">
        <f t="shared" si="267"/>
        <v>156834</v>
      </c>
      <c r="P3082" s="15">
        <f t="shared" si="266"/>
        <v>11.000028055212667</v>
      </c>
      <c r="Q3082" s="14">
        <v>5000</v>
      </c>
      <c r="R3082" s="12">
        <v>100</v>
      </c>
      <c r="S3082" s="12" t="s">
        <v>3786</v>
      </c>
      <c r="T3082" s="22">
        <f t="shared" si="268"/>
        <v>9</v>
      </c>
      <c r="U3082" s="22">
        <f t="shared" si="269"/>
        <v>2021</v>
      </c>
      <c r="V3082" s="22" t="str">
        <f t="shared" si="270"/>
        <v>METROPOLITANA</v>
      </c>
    </row>
    <row r="3083" spans="1:22" x14ac:dyDescent="0.2">
      <c r="A3083" s="11" t="s">
        <v>3775</v>
      </c>
      <c r="B3083" s="12" t="s">
        <v>33</v>
      </c>
      <c r="C3083" s="12" t="s">
        <v>29</v>
      </c>
      <c r="D3083" s="12" t="s">
        <v>41</v>
      </c>
      <c r="E3083" s="13" t="s">
        <v>25</v>
      </c>
      <c r="F3083" s="12" t="s">
        <v>39</v>
      </c>
      <c r="G3083" s="14">
        <v>7503.9999999999973</v>
      </c>
      <c r="H3083" s="12" t="s">
        <v>43</v>
      </c>
      <c r="I3083" s="12">
        <v>0</v>
      </c>
      <c r="J3083" s="12" t="s">
        <v>39</v>
      </c>
      <c r="K3083" s="12" t="s">
        <v>23</v>
      </c>
      <c r="L3083" s="12">
        <v>1</v>
      </c>
      <c r="M3083" s="15">
        <v>82544</v>
      </c>
      <c r="N3083" s="15">
        <v>0</v>
      </c>
      <c r="O3083" s="15">
        <f t="shared" si="267"/>
        <v>82544</v>
      </c>
      <c r="P3083" s="15">
        <f t="shared" si="266"/>
        <v>11.000000000000004</v>
      </c>
      <c r="Q3083" s="14">
        <v>5000</v>
      </c>
      <c r="R3083" s="12">
        <v>100</v>
      </c>
      <c r="S3083" s="12" t="s">
        <v>3787</v>
      </c>
      <c r="T3083" s="22">
        <f t="shared" si="268"/>
        <v>9</v>
      </c>
      <c r="U3083" s="22">
        <f t="shared" si="269"/>
        <v>2021</v>
      </c>
      <c r="V3083" s="22" t="str">
        <f t="shared" si="270"/>
        <v>METROPOLITANA</v>
      </c>
    </row>
    <row r="3084" spans="1:22" x14ac:dyDescent="0.2">
      <c r="A3084" s="11" t="s">
        <v>3775</v>
      </c>
      <c r="B3084" s="12" t="s">
        <v>33</v>
      </c>
      <c r="C3084" s="12" t="s">
        <v>44</v>
      </c>
      <c r="D3084" s="12" t="s">
        <v>63</v>
      </c>
      <c r="E3084" s="13" t="s">
        <v>64</v>
      </c>
      <c r="F3084" s="12" t="s">
        <v>94</v>
      </c>
      <c r="G3084" s="14">
        <v>6151.2000000000016</v>
      </c>
      <c r="H3084" s="12" t="s">
        <v>65</v>
      </c>
      <c r="I3084" s="12">
        <v>0</v>
      </c>
      <c r="J3084" s="12" t="s">
        <v>59</v>
      </c>
      <c r="K3084" s="12" t="s">
        <v>78</v>
      </c>
      <c r="L3084" s="12">
        <v>0</v>
      </c>
      <c r="M3084" s="15">
        <v>180000</v>
      </c>
      <c r="N3084" s="15">
        <v>0</v>
      </c>
      <c r="O3084" s="15">
        <f t="shared" si="267"/>
        <v>180000</v>
      </c>
      <c r="P3084" s="15">
        <f t="shared" si="266"/>
        <v>29.262582910651574</v>
      </c>
      <c r="Q3084" s="14">
        <v>20000</v>
      </c>
      <c r="R3084" s="12">
        <v>100</v>
      </c>
      <c r="S3084" s="12" t="s">
        <v>3788</v>
      </c>
      <c r="T3084" s="22">
        <f t="shared" si="268"/>
        <v>9</v>
      </c>
      <c r="U3084" s="22">
        <f t="shared" si="269"/>
        <v>2021</v>
      </c>
      <c r="V3084" s="22" t="str">
        <f t="shared" si="270"/>
        <v>REGIONES</v>
      </c>
    </row>
    <row r="3085" spans="1:22" x14ac:dyDescent="0.2">
      <c r="A3085" s="11" t="s">
        <v>3775</v>
      </c>
      <c r="B3085" s="12" t="s">
        <v>33</v>
      </c>
      <c r="C3085" s="12" t="s">
        <v>44</v>
      </c>
      <c r="D3085" s="12" t="s">
        <v>45</v>
      </c>
      <c r="E3085" s="13" t="s">
        <v>3789</v>
      </c>
      <c r="F3085" s="12" t="s">
        <v>48</v>
      </c>
      <c r="G3085" s="14">
        <v>3508.4</v>
      </c>
      <c r="H3085" s="12" t="s">
        <v>22</v>
      </c>
      <c r="I3085" s="12">
        <v>0</v>
      </c>
      <c r="J3085" s="12" t="s">
        <v>48</v>
      </c>
      <c r="K3085" s="12" t="s">
        <v>23</v>
      </c>
      <c r="L3085" s="12">
        <v>1</v>
      </c>
      <c r="M3085" s="15">
        <v>55000</v>
      </c>
      <c r="N3085" s="15">
        <v>0</v>
      </c>
      <c r="O3085" s="15">
        <f t="shared" si="267"/>
        <v>55000</v>
      </c>
      <c r="P3085" s="15">
        <f t="shared" si="266"/>
        <v>15.676661726142971</v>
      </c>
      <c r="Q3085" s="14">
        <v>5000</v>
      </c>
      <c r="R3085" s="12">
        <v>70</v>
      </c>
      <c r="S3085" s="12" t="s">
        <v>3790</v>
      </c>
      <c r="T3085" s="22">
        <f t="shared" si="268"/>
        <v>9</v>
      </c>
      <c r="U3085" s="22">
        <f t="shared" si="269"/>
        <v>2021</v>
      </c>
      <c r="V3085" s="22" t="str">
        <f t="shared" si="270"/>
        <v>METROPOLITANA</v>
      </c>
    </row>
    <row r="3086" spans="1:22" x14ac:dyDescent="0.2">
      <c r="A3086" s="11" t="s">
        <v>3775</v>
      </c>
      <c r="B3086" s="12" t="s">
        <v>33</v>
      </c>
      <c r="C3086" s="12" t="s">
        <v>44</v>
      </c>
      <c r="D3086" s="12" t="s">
        <v>47</v>
      </c>
      <c r="E3086" s="13" t="s">
        <v>2113</v>
      </c>
      <c r="F3086" s="12" t="s">
        <v>95</v>
      </c>
      <c r="G3086" s="14">
        <v>3826.0000000000009</v>
      </c>
      <c r="H3086" s="12" t="s">
        <v>22</v>
      </c>
      <c r="I3086" s="12">
        <v>0</v>
      </c>
      <c r="J3086" s="12" t="s">
        <v>95</v>
      </c>
      <c r="K3086" s="12" t="s">
        <v>23</v>
      </c>
      <c r="L3086" s="12">
        <v>4</v>
      </c>
      <c r="M3086" s="15">
        <v>55000</v>
      </c>
      <c r="N3086" s="15">
        <v>0</v>
      </c>
      <c r="O3086" s="15">
        <f t="shared" si="267"/>
        <v>55000</v>
      </c>
      <c r="P3086" s="15">
        <f t="shared" si="266"/>
        <v>14.375326711970724</v>
      </c>
      <c r="Q3086" s="14">
        <v>5000</v>
      </c>
      <c r="R3086" s="12">
        <v>77</v>
      </c>
      <c r="S3086" s="12" t="s">
        <v>3791</v>
      </c>
      <c r="T3086" s="22">
        <f t="shared" si="268"/>
        <v>9</v>
      </c>
      <c r="U3086" s="22">
        <f t="shared" si="269"/>
        <v>2021</v>
      </c>
      <c r="V3086" s="22" t="str">
        <f t="shared" si="270"/>
        <v>METROPOLITANA</v>
      </c>
    </row>
    <row r="3087" spans="1:22" x14ac:dyDescent="0.2">
      <c r="A3087" s="23" t="s">
        <v>3792</v>
      </c>
      <c r="B3087" s="22" t="s">
        <v>18</v>
      </c>
      <c r="C3087" s="22" t="s">
        <v>19</v>
      </c>
      <c r="D3087" s="22" t="s">
        <v>38</v>
      </c>
      <c r="E3087" s="24" t="s">
        <v>25</v>
      </c>
      <c r="F3087" s="22" t="s">
        <v>51</v>
      </c>
      <c r="G3087" s="25">
        <v>8815.7400000000016</v>
      </c>
      <c r="H3087" s="22" t="s">
        <v>43</v>
      </c>
      <c r="I3087" s="22">
        <v>0</v>
      </c>
      <c r="J3087" s="22" t="s">
        <v>51</v>
      </c>
      <c r="K3087" s="22" t="s">
        <v>23</v>
      </c>
      <c r="L3087" s="22">
        <v>4</v>
      </c>
      <c r="M3087" s="26">
        <v>96973</v>
      </c>
      <c r="N3087" s="26">
        <v>0</v>
      </c>
      <c r="O3087" s="15">
        <f t="shared" si="267"/>
        <v>96973</v>
      </c>
      <c r="P3087" s="15">
        <f t="shared" si="266"/>
        <v>10.999984119313861</v>
      </c>
      <c r="Q3087" s="25">
        <v>5000</v>
      </c>
      <c r="R3087" s="22">
        <v>100</v>
      </c>
      <c r="S3087" s="22" t="s">
        <v>3793</v>
      </c>
      <c r="T3087" s="22">
        <f t="shared" si="268"/>
        <v>9</v>
      </c>
      <c r="U3087" s="22">
        <f t="shared" si="269"/>
        <v>2021</v>
      </c>
      <c r="V3087" s="22" t="str">
        <f t="shared" si="270"/>
        <v>METROPOLITANA</v>
      </c>
    </row>
    <row r="3088" spans="1:22" x14ac:dyDescent="0.2">
      <c r="A3088" s="23" t="s">
        <v>3792</v>
      </c>
      <c r="B3088" s="22" t="s">
        <v>18</v>
      </c>
      <c r="C3088" s="22" t="s">
        <v>19</v>
      </c>
      <c r="D3088" s="22" t="s">
        <v>37</v>
      </c>
      <c r="E3088" s="24" t="s">
        <v>40</v>
      </c>
      <c r="F3088" s="22" t="s">
        <v>67</v>
      </c>
      <c r="G3088" s="25">
        <f>14584.08+1135</f>
        <v>15719.08</v>
      </c>
      <c r="H3088" s="22" t="s">
        <v>22</v>
      </c>
      <c r="I3088" s="22">
        <v>0</v>
      </c>
      <c r="J3088" s="22" t="s">
        <v>67</v>
      </c>
      <c r="K3088" s="22" t="s">
        <v>23</v>
      </c>
      <c r="L3088" s="22">
        <v>2</v>
      </c>
      <c r="M3088" s="26">
        <v>160425</v>
      </c>
      <c r="N3088" s="26">
        <v>0</v>
      </c>
      <c r="O3088" s="15">
        <f t="shared" si="267"/>
        <v>160425</v>
      </c>
      <c r="P3088" s="15">
        <f t="shared" si="266"/>
        <v>10.205749954831962</v>
      </c>
      <c r="Q3088" s="25">
        <v>5000</v>
      </c>
      <c r="R3088" s="22">
        <v>100</v>
      </c>
      <c r="S3088" s="22" t="s">
        <v>3806</v>
      </c>
      <c r="T3088" s="22">
        <f t="shared" si="268"/>
        <v>9</v>
      </c>
      <c r="U3088" s="22">
        <f t="shared" si="269"/>
        <v>2021</v>
      </c>
      <c r="V3088" s="22" t="str">
        <f t="shared" si="270"/>
        <v>METROPOLITANA</v>
      </c>
    </row>
    <row r="3089" spans="1:22" x14ac:dyDescent="0.2">
      <c r="A3089" s="23" t="s">
        <v>3792</v>
      </c>
      <c r="B3089" s="22" t="s">
        <v>18</v>
      </c>
      <c r="C3089" s="22" t="s">
        <v>19</v>
      </c>
      <c r="D3089" s="22" t="s">
        <v>27</v>
      </c>
      <c r="E3089" s="24" t="s">
        <v>28</v>
      </c>
      <c r="F3089" s="22" t="s">
        <v>727</v>
      </c>
      <c r="G3089" s="25">
        <v>22457.389999999989</v>
      </c>
      <c r="H3089" s="22" t="s">
        <v>22</v>
      </c>
      <c r="I3089" s="22">
        <v>1</v>
      </c>
      <c r="J3089" s="22" t="s">
        <v>727</v>
      </c>
      <c r="K3089" s="22" t="s">
        <v>23</v>
      </c>
      <c r="L3089" s="22">
        <v>2</v>
      </c>
      <c r="M3089" s="26">
        <v>247031</v>
      </c>
      <c r="N3089" s="26">
        <v>0</v>
      </c>
      <c r="O3089" s="15">
        <f t="shared" si="267"/>
        <v>247031</v>
      </c>
      <c r="P3089" s="15">
        <f t="shared" si="266"/>
        <v>10.999987086656112</v>
      </c>
      <c r="Q3089" s="25">
        <v>5000</v>
      </c>
      <c r="R3089" s="22">
        <v>100</v>
      </c>
      <c r="S3089" s="22" t="s">
        <v>3794</v>
      </c>
      <c r="T3089" s="22">
        <f t="shared" si="268"/>
        <v>9</v>
      </c>
      <c r="U3089" s="22">
        <f t="shared" si="269"/>
        <v>2021</v>
      </c>
      <c r="V3089" s="22" t="str">
        <f t="shared" si="270"/>
        <v>METROPOLITANA</v>
      </c>
    </row>
    <row r="3090" spans="1:22" x14ac:dyDescent="0.2">
      <c r="A3090" s="23" t="s">
        <v>3792</v>
      </c>
      <c r="B3090" s="22" t="s">
        <v>33</v>
      </c>
      <c r="C3090" s="22" t="s">
        <v>500</v>
      </c>
      <c r="D3090" s="22" t="s">
        <v>63</v>
      </c>
      <c r="E3090" s="24" t="s">
        <v>64</v>
      </c>
      <c r="F3090" s="22" t="s">
        <v>120</v>
      </c>
      <c r="G3090" s="25">
        <v>9004.7999999999975</v>
      </c>
      <c r="H3090" s="22" t="s">
        <v>65</v>
      </c>
      <c r="I3090" s="22">
        <v>0</v>
      </c>
      <c r="J3090" s="22" t="s">
        <v>120</v>
      </c>
      <c r="K3090" s="22" t="s">
        <v>23</v>
      </c>
      <c r="L3090" s="22">
        <v>5</v>
      </c>
      <c r="M3090" s="26">
        <v>70000</v>
      </c>
      <c r="N3090" s="26">
        <v>0</v>
      </c>
      <c r="O3090" s="15">
        <f t="shared" si="267"/>
        <v>70000</v>
      </c>
      <c r="P3090" s="15">
        <f t="shared" si="266"/>
        <v>7.7736318407960221</v>
      </c>
      <c r="Q3090" s="25">
        <v>10000</v>
      </c>
      <c r="R3090" s="22">
        <v>90</v>
      </c>
      <c r="S3090" s="22" t="s">
        <v>3795</v>
      </c>
      <c r="T3090" s="22">
        <f t="shared" si="268"/>
        <v>9</v>
      </c>
      <c r="U3090" s="22">
        <f t="shared" si="269"/>
        <v>2021</v>
      </c>
      <c r="V3090" s="22" t="str">
        <f t="shared" si="270"/>
        <v>METROPOLITANA</v>
      </c>
    </row>
    <row r="3091" spans="1:22" x14ac:dyDescent="0.2">
      <c r="A3091" s="23" t="s">
        <v>3792</v>
      </c>
      <c r="B3091" s="22" t="s">
        <v>33</v>
      </c>
      <c r="C3091" s="22" t="s">
        <v>128</v>
      </c>
      <c r="D3091" s="22" t="s">
        <v>37</v>
      </c>
      <c r="E3091" s="24" t="s">
        <v>40</v>
      </c>
      <c r="F3091" s="22" t="s">
        <v>34</v>
      </c>
      <c r="G3091" s="25">
        <v>9755.1999999999971</v>
      </c>
      <c r="H3091" s="22" t="s">
        <v>22</v>
      </c>
      <c r="I3091" s="22">
        <v>0</v>
      </c>
      <c r="J3091" s="22" t="s">
        <v>34</v>
      </c>
      <c r="K3091" s="22" t="s">
        <v>23</v>
      </c>
      <c r="L3091" s="22">
        <v>1</v>
      </c>
      <c r="M3091" s="26">
        <v>107307</v>
      </c>
      <c r="N3091" s="26">
        <v>0</v>
      </c>
      <c r="O3091" s="15">
        <f t="shared" si="267"/>
        <v>107307</v>
      </c>
      <c r="P3091" s="15">
        <f t="shared" si="266"/>
        <v>10.999979498113829</v>
      </c>
      <c r="Q3091" s="25">
        <v>5000</v>
      </c>
      <c r="R3091" s="22">
        <v>100</v>
      </c>
      <c r="S3091" s="22" t="s">
        <v>3796</v>
      </c>
      <c r="T3091" s="22">
        <f t="shared" si="268"/>
        <v>9</v>
      </c>
      <c r="U3091" s="22">
        <f t="shared" si="269"/>
        <v>2021</v>
      </c>
      <c r="V3091" s="22" t="str">
        <f t="shared" si="270"/>
        <v>METROPOLITANA</v>
      </c>
    </row>
    <row r="3092" spans="1:22" x14ac:dyDescent="0.2">
      <c r="A3092" s="23" t="s">
        <v>3792</v>
      </c>
      <c r="B3092" s="22" t="s">
        <v>33</v>
      </c>
      <c r="C3092" s="22" t="s">
        <v>128</v>
      </c>
      <c r="D3092" s="22" t="s">
        <v>786</v>
      </c>
      <c r="E3092" s="24" t="s">
        <v>787</v>
      </c>
      <c r="F3092" s="22" t="s">
        <v>34</v>
      </c>
      <c r="G3092" s="25">
        <v>7419.6000000000022</v>
      </c>
      <c r="H3092" s="22" t="s">
        <v>788</v>
      </c>
      <c r="I3092" s="22">
        <v>1</v>
      </c>
      <c r="J3092" s="22" t="s">
        <v>34</v>
      </c>
      <c r="K3092" s="22" t="s">
        <v>23</v>
      </c>
      <c r="L3092" s="22">
        <v>1</v>
      </c>
      <c r="M3092" s="26">
        <v>81616</v>
      </c>
      <c r="N3092" s="26">
        <v>0</v>
      </c>
      <c r="O3092" s="15">
        <f t="shared" si="267"/>
        <v>81616</v>
      </c>
      <c r="P3092" s="15">
        <f t="shared" si="266"/>
        <v>11.000053911262059</v>
      </c>
      <c r="Q3092" s="25">
        <v>5000</v>
      </c>
      <c r="R3092" s="22">
        <v>100</v>
      </c>
      <c r="S3092" s="22" t="s">
        <v>3797</v>
      </c>
      <c r="T3092" s="22">
        <f t="shared" si="268"/>
        <v>9</v>
      </c>
      <c r="U3092" s="22">
        <f t="shared" si="269"/>
        <v>2021</v>
      </c>
      <c r="V3092" s="22" t="str">
        <f t="shared" si="270"/>
        <v>METROPOLITANA</v>
      </c>
    </row>
    <row r="3093" spans="1:22" x14ac:dyDescent="0.2">
      <c r="A3093" s="23" t="s">
        <v>3792</v>
      </c>
      <c r="B3093" s="22" t="s">
        <v>33</v>
      </c>
      <c r="C3093" s="22" t="s">
        <v>128</v>
      </c>
      <c r="D3093" s="22" t="s">
        <v>2955</v>
      </c>
      <c r="E3093" s="24" t="s">
        <v>2956</v>
      </c>
      <c r="F3093" s="22" t="s">
        <v>34</v>
      </c>
      <c r="G3093" s="25">
        <v>6595.2000000000025</v>
      </c>
      <c r="H3093" s="22" t="s">
        <v>24</v>
      </c>
      <c r="I3093" s="22">
        <v>1</v>
      </c>
      <c r="J3093" s="22" t="s">
        <v>34</v>
      </c>
      <c r="K3093" s="22" t="s">
        <v>23</v>
      </c>
      <c r="L3093" s="22">
        <v>1</v>
      </c>
      <c r="M3093" s="26">
        <v>72547</v>
      </c>
      <c r="N3093" s="26">
        <v>0</v>
      </c>
      <c r="O3093" s="15">
        <f t="shared" si="267"/>
        <v>72547</v>
      </c>
      <c r="P3093" s="15">
        <f t="shared" si="266"/>
        <v>10.999969674915086</v>
      </c>
      <c r="Q3093" s="25">
        <v>5000</v>
      </c>
      <c r="R3093" s="22">
        <v>100</v>
      </c>
      <c r="S3093" s="22" t="s">
        <v>3798</v>
      </c>
      <c r="T3093" s="22">
        <f t="shared" si="268"/>
        <v>9</v>
      </c>
      <c r="U3093" s="22">
        <f t="shared" si="269"/>
        <v>2021</v>
      </c>
      <c r="V3093" s="22" t="str">
        <f t="shared" si="270"/>
        <v>METROPOLITANA</v>
      </c>
    </row>
    <row r="3094" spans="1:22" x14ac:dyDescent="0.2">
      <c r="A3094" s="23" t="s">
        <v>3792</v>
      </c>
      <c r="B3094" s="22" t="s">
        <v>33</v>
      </c>
      <c r="C3094" s="22" t="s">
        <v>1066</v>
      </c>
      <c r="D3094" s="22" t="s">
        <v>786</v>
      </c>
      <c r="E3094" s="24" t="s">
        <v>787</v>
      </c>
      <c r="F3094" s="22" t="s">
        <v>173</v>
      </c>
      <c r="G3094" s="25">
        <v>14828.399999999991</v>
      </c>
      <c r="H3094" s="22" t="s">
        <v>788</v>
      </c>
      <c r="I3094" s="22">
        <v>1</v>
      </c>
      <c r="J3094" s="22" t="s">
        <v>173</v>
      </c>
      <c r="K3094" s="22" t="s">
        <v>23</v>
      </c>
      <c r="L3094" s="22">
        <v>5</v>
      </c>
      <c r="M3094" s="26">
        <v>120000</v>
      </c>
      <c r="N3094" s="26">
        <v>0</v>
      </c>
      <c r="O3094" s="15">
        <f t="shared" si="267"/>
        <v>120000</v>
      </c>
      <c r="P3094" s="15">
        <f t="shared" si="266"/>
        <v>8.0925791049607554</v>
      </c>
      <c r="Q3094" s="25">
        <v>10000</v>
      </c>
      <c r="R3094" s="22">
        <v>100</v>
      </c>
      <c r="S3094" s="22" t="s">
        <v>3799</v>
      </c>
      <c r="T3094" s="22">
        <f t="shared" si="268"/>
        <v>9</v>
      </c>
      <c r="U3094" s="22">
        <f t="shared" si="269"/>
        <v>2021</v>
      </c>
      <c r="V3094" s="22" t="str">
        <f t="shared" si="270"/>
        <v>METROPOLITANA</v>
      </c>
    </row>
    <row r="3095" spans="1:22" x14ac:dyDescent="0.2">
      <c r="A3095" s="23" t="s">
        <v>3792</v>
      </c>
      <c r="B3095" s="22" t="s">
        <v>33</v>
      </c>
      <c r="C3095" s="22" t="s">
        <v>29</v>
      </c>
      <c r="D3095" s="22" t="s">
        <v>2262</v>
      </c>
      <c r="E3095" s="24" t="s">
        <v>83</v>
      </c>
      <c r="F3095" s="22" t="s">
        <v>132</v>
      </c>
      <c r="G3095" s="25">
        <f>8244+8244</f>
        <v>16488</v>
      </c>
      <c r="H3095" s="22" t="s">
        <v>24</v>
      </c>
      <c r="I3095" s="22">
        <v>1</v>
      </c>
      <c r="J3095" s="22" t="s">
        <v>132</v>
      </c>
      <c r="K3095" s="22" t="s">
        <v>124</v>
      </c>
      <c r="L3095" s="22">
        <v>0</v>
      </c>
      <c r="M3095" s="26">
        <v>350000</v>
      </c>
      <c r="N3095" s="26">
        <v>0</v>
      </c>
      <c r="O3095" s="15">
        <f t="shared" si="267"/>
        <v>350000</v>
      </c>
      <c r="P3095" s="15">
        <f t="shared" si="266"/>
        <v>21.227559437166423</v>
      </c>
      <c r="Q3095" s="25">
        <v>20000</v>
      </c>
      <c r="R3095" s="22">
        <v>82</v>
      </c>
      <c r="S3095" s="22" t="s">
        <v>3807</v>
      </c>
      <c r="T3095" s="22">
        <f t="shared" si="268"/>
        <v>9</v>
      </c>
      <c r="U3095" s="22">
        <f t="shared" si="269"/>
        <v>2021</v>
      </c>
      <c r="V3095" s="22" t="str">
        <f t="shared" si="270"/>
        <v>REGIONES</v>
      </c>
    </row>
    <row r="3096" spans="1:22" x14ac:dyDescent="0.2">
      <c r="A3096" s="23" t="s">
        <v>3792</v>
      </c>
      <c r="B3096" s="22" t="s">
        <v>33</v>
      </c>
      <c r="C3096" s="22" t="s">
        <v>29</v>
      </c>
      <c r="D3096" s="22" t="s">
        <v>38</v>
      </c>
      <c r="E3096" s="24" t="s">
        <v>25</v>
      </c>
      <c r="F3096" s="22" t="s">
        <v>39</v>
      </c>
      <c r="G3096" s="25">
        <v>7503.9999999999973</v>
      </c>
      <c r="H3096" s="22" t="s">
        <v>43</v>
      </c>
      <c r="I3096" s="22">
        <v>0</v>
      </c>
      <c r="J3096" s="22" t="s">
        <v>39</v>
      </c>
      <c r="K3096" s="22" t="s">
        <v>23</v>
      </c>
      <c r="L3096" s="22">
        <v>1</v>
      </c>
      <c r="M3096" s="26">
        <v>82544</v>
      </c>
      <c r="N3096" s="26">
        <v>0</v>
      </c>
      <c r="O3096" s="15">
        <f t="shared" si="267"/>
        <v>82544</v>
      </c>
      <c r="P3096" s="15">
        <f t="shared" si="266"/>
        <v>11.000000000000004</v>
      </c>
      <c r="Q3096" s="25">
        <v>5000</v>
      </c>
      <c r="R3096" s="22">
        <v>100</v>
      </c>
      <c r="S3096" s="22" t="s">
        <v>3800</v>
      </c>
      <c r="T3096" s="22">
        <f t="shared" si="268"/>
        <v>9</v>
      </c>
      <c r="U3096" s="22">
        <f t="shared" si="269"/>
        <v>2021</v>
      </c>
      <c r="V3096" s="22" t="str">
        <f t="shared" si="270"/>
        <v>METROPOLITANA</v>
      </c>
    </row>
    <row r="3097" spans="1:22" x14ac:dyDescent="0.2">
      <c r="A3097" s="23" t="s">
        <v>3792</v>
      </c>
      <c r="B3097" s="22" t="s">
        <v>33</v>
      </c>
      <c r="C3097" s="22" t="s">
        <v>29</v>
      </c>
      <c r="D3097" s="22" t="s">
        <v>27</v>
      </c>
      <c r="E3097" s="24" t="s">
        <v>28</v>
      </c>
      <c r="F3097" s="22" t="s">
        <v>39</v>
      </c>
      <c r="G3097" s="25">
        <v>17004.000000000011</v>
      </c>
      <c r="H3097" s="22" t="s">
        <v>22</v>
      </c>
      <c r="I3097" s="22">
        <v>1</v>
      </c>
      <c r="J3097" s="22" t="s">
        <v>39</v>
      </c>
      <c r="K3097" s="22" t="s">
        <v>23</v>
      </c>
      <c r="L3097" s="22">
        <v>1</v>
      </c>
      <c r="M3097" s="26">
        <v>187044</v>
      </c>
      <c r="N3097" s="26">
        <v>0</v>
      </c>
      <c r="O3097" s="15">
        <f t="shared" si="267"/>
        <v>187044</v>
      </c>
      <c r="P3097" s="15">
        <f t="shared" si="266"/>
        <v>10.999999999999993</v>
      </c>
      <c r="Q3097" s="25">
        <v>5000</v>
      </c>
      <c r="R3097" s="22">
        <v>100</v>
      </c>
      <c r="S3097" s="22" t="s">
        <v>3801</v>
      </c>
      <c r="T3097" s="22">
        <f t="shared" si="268"/>
        <v>9</v>
      </c>
      <c r="U3097" s="22">
        <f t="shared" si="269"/>
        <v>2021</v>
      </c>
      <c r="V3097" s="22" t="str">
        <f t="shared" si="270"/>
        <v>METROPOLITANA</v>
      </c>
    </row>
    <row r="3098" spans="1:22" x14ac:dyDescent="0.2">
      <c r="A3098" s="23" t="s">
        <v>3792</v>
      </c>
      <c r="B3098" s="22" t="s">
        <v>33</v>
      </c>
      <c r="C3098" s="22" t="s">
        <v>29</v>
      </c>
      <c r="D3098" s="22" t="s">
        <v>63</v>
      </c>
      <c r="E3098" s="24" t="s">
        <v>64</v>
      </c>
      <c r="F3098" s="22" t="s">
        <v>39</v>
      </c>
      <c r="G3098" s="25">
        <v>7503.9999999999973</v>
      </c>
      <c r="H3098" s="22" t="s">
        <v>65</v>
      </c>
      <c r="I3098" s="22">
        <v>0</v>
      </c>
      <c r="J3098" s="22" t="s">
        <v>39</v>
      </c>
      <c r="K3098" s="22" t="s">
        <v>23</v>
      </c>
      <c r="L3098" s="22">
        <v>1</v>
      </c>
      <c r="M3098" s="26">
        <v>82544</v>
      </c>
      <c r="N3098" s="26">
        <v>0</v>
      </c>
      <c r="O3098" s="15">
        <f t="shared" si="267"/>
        <v>82544</v>
      </c>
      <c r="P3098" s="15">
        <f t="shared" si="266"/>
        <v>11.000000000000004</v>
      </c>
      <c r="Q3098" s="25">
        <v>5000</v>
      </c>
      <c r="R3098" s="22">
        <v>100</v>
      </c>
      <c r="S3098" s="22" t="s">
        <v>3802</v>
      </c>
      <c r="T3098" s="22">
        <f t="shared" si="268"/>
        <v>9</v>
      </c>
      <c r="U3098" s="22">
        <f t="shared" si="269"/>
        <v>2021</v>
      </c>
      <c r="V3098" s="22" t="str">
        <f t="shared" si="270"/>
        <v>METROPOLITANA</v>
      </c>
    </row>
    <row r="3099" spans="1:22" x14ac:dyDescent="0.2">
      <c r="A3099" s="23" t="s">
        <v>3792</v>
      </c>
      <c r="B3099" s="22" t="s">
        <v>33</v>
      </c>
      <c r="C3099" s="22" t="s">
        <v>29</v>
      </c>
      <c r="D3099" s="22" t="s">
        <v>30</v>
      </c>
      <c r="E3099" s="24" t="s">
        <v>31</v>
      </c>
      <c r="F3099" s="22" t="s">
        <v>39</v>
      </c>
      <c r="G3099" s="25">
        <v>6086.4000000000024</v>
      </c>
      <c r="H3099" s="22" t="s">
        <v>32</v>
      </c>
      <c r="I3099" s="22">
        <v>0</v>
      </c>
      <c r="J3099" s="22" t="s">
        <v>39</v>
      </c>
      <c r="K3099" s="22" t="s">
        <v>23</v>
      </c>
      <c r="L3099" s="22">
        <v>1</v>
      </c>
      <c r="M3099" s="26">
        <v>66950</v>
      </c>
      <c r="N3099" s="26">
        <v>0</v>
      </c>
      <c r="O3099" s="15">
        <f t="shared" si="267"/>
        <v>66950</v>
      </c>
      <c r="P3099" s="15">
        <f t="shared" si="266"/>
        <v>10.999934279705569</v>
      </c>
      <c r="Q3099" s="25">
        <v>5000</v>
      </c>
      <c r="R3099" s="22">
        <v>100</v>
      </c>
      <c r="S3099" s="22" t="s">
        <v>3803</v>
      </c>
      <c r="T3099" s="22">
        <f t="shared" si="268"/>
        <v>9</v>
      </c>
      <c r="U3099" s="22">
        <f t="shared" si="269"/>
        <v>2021</v>
      </c>
      <c r="V3099" s="22" t="str">
        <f t="shared" si="270"/>
        <v>METROPOLITANA</v>
      </c>
    </row>
    <row r="3100" spans="1:22" x14ac:dyDescent="0.2">
      <c r="A3100" s="23" t="s">
        <v>3792</v>
      </c>
      <c r="B3100" s="22" t="s">
        <v>33</v>
      </c>
      <c r="C3100" s="22" t="s">
        <v>29</v>
      </c>
      <c r="D3100" s="22" t="s">
        <v>47</v>
      </c>
      <c r="E3100" s="24" t="s">
        <v>1576</v>
      </c>
      <c r="F3100" s="22" t="s">
        <v>39</v>
      </c>
      <c r="G3100" s="25">
        <v>6086.4</v>
      </c>
      <c r="H3100" s="22" t="s">
        <v>22</v>
      </c>
      <c r="I3100" s="22">
        <v>0</v>
      </c>
      <c r="J3100" s="22" t="s">
        <v>39</v>
      </c>
      <c r="K3100" s="22" t="s">
        <v>23</v>
      </c>
      <c r="L3100" s="22">
        <v>1</v>
      </c>
      <c r="M3100" s="26">
        <v>66950</v>
      </c>
      <c r="N3100" s="26">
        <v>0</v>
      </c>
      <c r="O3100" s="15">
        <f t="shared" si="267"/>
        <v>66950</v>
      </c>
      <c r="P3100" s="15">
        <f t="shared" si="266"/>
        <v>10.999934279705574</v>
      </c>
      <c r="Q3100" s="25">
        <v>5000</v>
      </c>
      <c r="R3100" s="22">
        <v>100</v>
      </c>
      <c r="S3100" s="22" t="s">
        <v>3804</v>
      </c>
      <c r="T3100" s="22">
        <f t="shared" si="268"/>
        <v>9</v>
      </c>
      <c r="U3100" s="22">
        <f t="shared" si="269"/>
        <v>2021</v>
      </c>
      <c r="V3100" s="22" t="str">
        <f t="shared" si="270"/>
        <v>METROPOLITANA</v>
      </c>
    </row>
    <row r="3101" spans="1:22" x14ac:dyDescent="0.2">
      <c r="A3101" s="23" t="s">
        <v>3792</v>
      </c>
      <c r="B3101" s="22" t="s">
        <v>33</v>
      </c>
      <c r="C3101" s="22" t="s">
        <v>44</v>
      </c>
      <c r="D3101" s="22" t="s">
        <v>47</v>
      </c>
      <c r="E3101" s="24" t="s">
        <v>52</v>
      </c>
      <c r="F3101" s="22" t="s">
        <v>48</v>
      </c>
      <c r="G3101" s="25">
        <v>5200.0000000000009</v>
      </c>
      <c r="H3101" s="22" t="s">
        <v>22</v>
      </c>
      <c r="I3101" s="22">
        <v>0</v>
      </c>
      <c r="J3101" s="22" t="s">
        <v>48</v>
      </c>
      <c r="K3101" s="22" t="s">
        <v>23</v>
      </c>
      <c r="L3101" s="22">
        <v>1</v>
      </c>
      <c r="M3101" s="26">
        <v>57200</v>
      </c>
      <c r="N3101" s="26">
        <v>0</v>
      </c>
      <c r="O3101" s="15">
        <f t="shared" ref="O3101:O3132" si="271">SUM(M3101:N3101)</f>
        <v>57200</v>
      </c>
      <c r="P3101" s="15">
        <f t="shared" si="266"/>
        <v>10.999999999999998</v>
      </c>
      <c r="Q3101" s="25">
        <v>5000</v>
      </c>
      <c r="R3101" s="22">
        <v>100</v>
      </c>
      <c r="S3101" s="22" t="s">
        <v>3805</v>
      </c>
      <c r="T3101" s="22">
        <f t="shared" si="268"/>
        <v>9</v>
      </c>
      <c r="U3101" s="22">
        <f t="shared" si="269"/>
        <v>2021</v>
      </c>
      <c r="V3101" s="22" t="str">
        <f t="shared" si="270"/>
        <v>METROPOLITANA</v>
      </c>
    </row>
    <row r="3102" spans="1:22" x14ac:dyDescent="0.2">
      <c r="A3102" s="11" t="s">
        <v>3808</v>
      </c>
      <c r="B3102" s="12" t="s">
        <v>18</v>
      </c>
      <c r="C3102" s="12" t="s">
        <v>19</v>
      </c>
      <c r="D3102" s="12" t="s">
        <v>27</v>
      </c>
      <c r="E3102" s="13" t="s">
        <v>28</v>
      </c>
      <c r="F3102" s="12" t="s">
        <v>727</v>
      </c>
      <c r="G3102" s="14">
        <v>17477.34</v>
      </c>
      <c r="H3102" s="12" t="s">
        <v>22</v>
      </c>
      <c r="I3102" s="12">
        <v>1</v>
      </c>
      <c r="J3102" s="12" t="s">
        <v>727</v>
      </c>
      <c r="K3102" s="12" t="s">
        <v>23</v>
      </c>
      <c r="L3102" s="12">
        <v>2</v>
      </c>
      <c r="M3102" s="15">
        <v>192251</v>
      </c>
      <c r="N3102" s="15">
        <v>0</v>
      </c>
      <c r="O3102" s="15">
        <f t="shared" si="271"/>
        <v>192251</v>
      </c>
      <c r="P3102" s="15">
        <f t="shared" si="266"/>
        <v>11.000014876405677</v>
      </c>
      <c r="Q3102" s="14">
        <v>5000</v>
      </c>
      <c r="R3102" s="12">
        <v>100</v>
      </c>
      <c r="S3102" s="12" t="s">
        <v>3809</v>
      </c>
      <c r="T3102" s="22">
        <f t="shared" si="268"/>
        <v>9</v>
      </c>
      <c r="U3102" s="22">
        <f t="shared" si="269"/>
        <v>2021</v>
      </c>
      <c r="V3102" s="22" t="str">
        <f t="shared" si="270"/>
        <v>METROPOLITANA</v>
      </c>
    </row>
    <row r="3103" spans="1:22" x14ac:dyDescent="0.2">
      <c r="A3103" s="11" t="s">
        <v>3808</v>
      </c>
      <c r="B3103" s="12" t="s">
        <v>33</v>
      </c>
      <c r="C3103" s="12" t="s">
        <v>163</v>
      </c>
      <c r="D3103" s="12" t="s">
        <v>38</v>
      </c>
      <c r="E3103" s="13" t="s">
        <v>25</v>
      </c>
      <c r="F3103" s="12" t="s">
        <v>165</v>
      </c>
      <c r="G3103" s="14">
        <v>16151.52</v>
      </c>
      <c r="H3103" s="12" t="s">
        <v>43</v>
      </c>
      <c r="I3103" s="12">
        <v>0</v>
      </c>
      <c r="J3103" s="12" t="s">
        <v>165</v>
      </c>
      <c r="K3103" s="12" t="s">
        <v>23</v>
      </c>
      <c r="L3103" s="12">
        <v>4</v>
      </c>
      <c r="M3103" s="15">
        <v>177667</v>
      </c>
      <c r="N3103" s="15">
        <v>0</v>
      </c>
      <c r="O3103" s="15">
        <f t="shared" si="271"/>
        <v>177667</v>
      </c>
      <c r="P3103" s="15">
        <f t="shared" si="266"/>
        <v>11.000017335829693</v>
      </c>
      <c r="Q3103" s="14">
        <v>5000</v>
      </c>
      <c r="R3103" s="12">
        <v>100</v>
      </c>
      <c r="S3103" s="12" t="s">
        <v>3810</v>
      </c>
      <c r="T3103" s="22">
        <f t="shared" si="268"/>
        <v>9</v>
      </c>
      <c r="U3103" s="22">
        <f t="shared" si="269"/>
        <v>2021</v>
      </c>
      <c r="V3103" s="22" t="str">
        <f t="shared" si="270"/>
        <v>METROPOLITANA</v>
      </c>
    </row>
    <row r="3104" spans="1:22" x14ac:dyDescent="0.2">
      <c r="A3104" s="11" t="s">
        <v>3808</v>
      </c>
      <c r="B3104" s="12" t="s">
        <v>33</v>
      </c>
      <c r="C3104" s="12" t="s">
        <v>163</v>
      </c>
      <c r="D3104" s="12" t="s">
        <v>37</v>
      </c>
      <c r="E3104" s="13" t="s">
        <v>40</v>
      </c>
      <c r="F3104" s="12" t="s">
        <v>165</v>
      </c>
      <c r="G3104" s="14">
        <v>16151.52</v>
      </c>
      <c r="H3104" s="12" t="s">
        <v>22</v>
      </c>
      <c r="I3104" s="12">
        <v>0</v>
      </c>
      <c r="J3104" s="12" t="s">
        <v>165</v>
      </c>
      <c r="K3104" s="12" t="s">
        <v>23</v>
      </c>
      <c r="L3104" s="12">
        <v>4</v>
      </c>
      <c r="M3104" s="15">
        <v>177667</v>
      </c>
      <c r="N3104" s="15">
        <v>0</v>
      </c>
      <c r="O3104" s="15">
        <f t="shared" si="271"/>
        <v>177667</v>
      </c>
      <c r="P3104" s="15">
        <f t="shared" si="266"/>
        <v>11.000017335829693</v>
      </c>
      <c r="Q3104" s="14">
        <v>5000</v>
      </c>
      <c r="R3104" s="12">
        <v>100</v>
      </c>
      <c r="S3104" s="12" t="s">
        <v>3811</v>
      </c>
      <c r="T3104" s="22">
        <f t="shared" si="268"/>
        <v>9</v>
      </c>
      <c r="U3104" s="22">
        <f t="shared" si="269"/>
        <v>2021</v>
      </c>
      <c r="V3104" s="22" t="str">
        <f t="shared" si="270"/>
        <v>METROPOLITANA</v>
      </c>
    </row>
    <row r="3105" spans="1:22" x14ac:dyDescent="0.2">
      <c r="A3105" s="11" t="s">
        <v>3808</v>
      </c>
      <c r="B3105" s="12" t="s">
        <v>33</v>
      </c>
      <c r="C3105" s="12" t="s">
        <v>2862</v>
      </c>
      <c r="D3105" s="12" t="s">
        <v>37</v>
      </c>
      <c r="E3105" s="13" t="s">
        <v>40</v>
      </c>
      <c r="F3105" s="12" t="s">
        <v>129</v>
      </c>
      <c r="G3105" s="14">
        <v>9755.1999999999971</v>
      </c>
      <c r="H3105" s="12" t="s">
        <v>22</v>
      </c>
      <c r="I3105" s="12">
        <v>0</v>
      </c>
      <c r="J3105" s="12" t="s">
        <v>129</v>
      </c>
      <c r="K3105" s="12" t="s">
        <v>23</v>
      </c>
      <c r="L3105" s="12">
        <v>1</v>
      </c>
      <c r="M3105" s="15">
        <v>107307</v>
      </c>
      <c r="N3105" s="15">
        <v>0</v>
      </c>
      <c r="O3105" s="15">
        <f t="shared" si="271"/>
        <v>107307</v>
      </c>
      <c r="P3105" s="15">
        <f t="shared" ref="P3105:P3168" si="272">O3105/G3105</f>
        <v>10.999979498113829</v>
      </c>
      <c r="Q3105" s="14">
        <v>5000</v>
      </c>
      <c r="R3105" s="12">
        <v>100</v>
      </c>
      <c r="S3105" s="12" t="s">
        <v>3812</v>
      </c>
      <c r="T3105" s="22">
        <f t="shared" si="268"/>
        <v>9</v>
      </c>
      <c r="U3105" s="22">
        <f t="shared" si="269"/>
        <v>2021</v>
      </c>
      <c r="V3105" s="22" t="str">
        <f t="shared" si="270"/>
        <v>METROPOLITANA</v>
      </c>
    </row>
    <row r="3106" spans="1:22" x14ac:dyDescent="0.2">
      <c r="A3106" s="11" t="s">
        <v>3808</v>
      </c>
      <c r="B3106" s="12" t="s">
        <v>33</v>
      </c>
      <c r="C3106" s="12" t="s">
        <v>29</v>
      </c>
      <c r="D3106" s="12" t="s">
        <v>38</v>
      </c>
      <c r="E3106" s="13" t="s">
        <v>25</v>
      </c>
      <c r="F3106" s="12" t="s">
        <v>39</v>
      </c>
      <c r="G3106" s="14">
        <v>7503.9999999999973</v>
      </c>
      <c r="H3106" s="12" t="s">
        <v>43</v>
      </c>
      <c r="I3106" s="12">
        <v>0</v>
      </c>
      <c r="J3106" s="12" t="s">
        <v>39</v>
      </c>
      <c r="K3106" s="12" t="s">
        <v>23</v>
      </c>
      <c r="L3106" s="12">
        <v>1</v>
      </c>
      <c r="M3106" s="15">
        <v>82544</v>
      </c>
      <c r="N3106" s="15">
        <v>0</v>
      </c>
      <c r="O3106" s="15">
        <f t="shared" si="271"/>
        <v>82544</v>
      </c>
      <c r="P3106" s="15">
        <f t="shared" si="272"/>
        <v>11.000000000000004</v>
      </c>
      <c r="Q3106" s="14">
        <v>5000</v>
      </c>
      <c r="R3106" s="12">
        <v>100</v>
      </c>
      <c r="S3106" s="12" t="s">
        <v>3813</v>
      </c>
      <c r="T3106" s="22">
        <f t="shared" si="268"/>
        <v>9</v>
      </c>
      <c r="U3106" s="22">
        <f t="shared" si="269"/>
        <v>2021</v>
      </c>
      <c r="V3106" s="22" t="str">
        <f t="shared" si="270"/>
        <v>METROPOLITANA</v>
      </c>
    </row>
    <row r="3107" spans="1:22" x14ac:dyDescent="0.2">
      <c r="A3107" s="11" t="s">
        <v>3808</v>
      </c>
      <c r="B3107" s="12" t="s">
        <v>33</v>
      </c>
      <c r="C3107" s="12" t="s">
        <v>29</v>
      </c>
      <c r="D3107" s="12" t="s">
        <v>20</v>
      </c>
      <c r="E3107" s="13" t="s">
        <v>21</v>
      </c>
      <c r="F3107" s="12" t="s">
        <v>134</v>
      </c>
      <c r="G3107" s="14">
        <v>7075.5000000000009</v>
      </c>
      <c r="H3107" s="12" t="s">
        <v>22</v>
      </c>
      <c r="I3107" s="12">
        <v>0</v>
      </c>
      <c r="J3107" s="12" t="s">
        <v>134</v>
      </c>
      <c r="K3107" s="12" t="s">
        <v>23</v>
      </c>
      <c r="L3107" s="12">
        <v>2</v>
      </c>
      <c r="M3107" s="15">
        <v>77831</v>
      </c>
      <c r="N3107" s="15">
        <v>0</v>
      </c>
      <c r="O3107" s="15">
        <f t="shared" si="271"/>
        <v>77831</v>
      </c>
      <c r="P3107" s="15">
        <f t="shared" si="272"/>
        <v>11.000070666384</v>
      </c>
      <c r="Q3107" s="14">
        <v>5000</v>
      </c>
      <c r="R3107" s="12">
        <v>100</v>
      </c>
      <c r="S3107" s="12" t="s">
        <v>3814</v>
      </c>
      <c r="T3107" s="22">
        <f t="shared" si="268"/>
        <v>9</v>
      </c>
      <c r="U3107" s="22">
        <f t="shared" si="269"/>
        <v>2021</v>
      </c>
      <c r="V3107" s="22" t="str">
        <f t="shared" si="270"/>
        <v>METROPOLITANA</v>
      </c>
    </row>
    <row r="3108" spans="1:22" x14ac:dyDescent="0.2">
      <c r="A3108" s="11" t="s">
        <v>3808</v>
      </c>
      <c r="B3108" s="12" t="s">
        <v>33</v>
      </c>
      <c r="C3108" s="12" t="s">
        <v>44</v>
      </c>
      <c r="D3108" s="12" t="s">
        <v>130</v>
      </c>
      <c r="E3108" s="13" t="s">
        <v>131</v>
      </c>
      <c r="F3108" s="12" t="s">
        <v>114</v>
      </c>
      <c r="G3108" s="14">
        <f>9626.4+4502</f>
        <v>14128.4</v>
      </c>
      <c r="H3108" s="12" t="s">
        <v>85</v>
      </c>
      <c r="I3108" s="12">
        <v>1</v>
      </c>
      <c r="J3108" s="12" t="s">
        <v>114</v>
      </c>
      <c r="K3108" s="12" t="s">
        <v>75</v>
      </c>
      <c r="L3108" s="12">
        <v>0</v>
      </c>
      <c r="M3108" s="15">
        <v>380000</v>
      </c>
      <c r="N3108" s="15">
        <v>0</v>
      </c>
      <c r="O3108" s="15">
        <f t="shared" si="271"/>
        <v>380000</v>
      </c>
      <c r="P3108" s="15">
        <f t="shared" si="272"/>
        <v>26.89618074233459</v>
      </c>
      <c r="Q3108" s="14">
        <v>20000</v>
      </c>
      <c r="R3108" s="12">
        <v>72</v>
      </c>
      <c r="S3108" s="12" t="s">
        <v>3820</v>
      </c>
      <c r="T3108" s="22">
        <f t="shared" si="268"/>
        <v>9</v>
      </c>
      <c r="U3108" s="22">
        <f t="shared" si="269"/>
        <v>2021</v>
      </c>
      <c r="V3108" s="22" t="str">
        <f t="shared" si="270"/>
        <v>REGIONES</v>
      </c>
    </row>
    <row r="3109" spans="1:22" x14ac:dyDescent="0.2">
      <c r="A3109" s="11" t="s">
        <v>3808</v>
      </c>
      <c r="B3109" s="12" t="s">
        <v>33</v>
      </c>
      <c r="C3109" s="12" t="s">
        <v>44</v>
      </c>
      <c r="D3109" s="12" t="s">
        <v>786</v>
      </c>
      <c r="E3109" s="13" t="s">
        <v>787</v>
      </c>
      <c r="F3109" s="12" t="s">
        <v>132</v>
      </c>
      <c r="G3109" s="14">
        <v>13625.999999999991</v>
      </c>
      <c r="H3109" s="12" t="s">
        <v>788</v>
      </c>
      <c r="I3109" s="12">
        <v>1</v>
      </c>
      <c r="J3109" s="12" t="s">
        <v>132</v>
      </c>
      <c r="K3109" s="12" t="s">
        <v>124</v>
      </c>
      <c r="L3109" s="12">
        <v>0</v>
      </c>
      <c r="M3109" s="15">
        <v>350000</v>
      </c>
      <c r="N3109" s="15">
        <v>0</v>
      </c>
      <c r="O3109" s="15">
        <f t="shared" si="271"/>
        <v>350000</v>
      </c>
      <c r="P3109" s="15">
        <f t="shared" si="272"/>
        <v>25.686188169675638</v>
      </c>
      <c r="Q3109" s="14">
        <v>20000</v>
      </c>
      <c r="R3109" s="12">
        <v>68</v>
      </c>
      <c r="S3109" s="12" t="s">
        <v>3815</v>
      </c>
      <c r="T3109" s="22">
        <f t="shared" si="268"/>
        <v>9</v>
      </c>
      <c r="U3109" s="22">
        <f t="shared" si="269"/>
        <v>2021</v>
      </c>
      <c r="V3109" s="22" t="str">
        <f t="shared" si="270"/>
        <v>REGIONES</v>
      </c>
    </row>
    <row r="3110" spans="1:22" x14ac:dyDescent="0.2">
      <c r="A3110" s="11" t="s">
        <v>3808</v>
      </c>
      <c r="B3110" s="12" t="s">
        <v>33</v>
      </c>
      <c r="C3110" s="12" t="s">
        <v>44</v>
      </c>
      <c r="D3110" s="12" t="s">
        <v>63</v>
      </c>
      <c r="E3110" s="13" t="s">
        <v>64</v>
      </c>
      <c r="F3110" s="12" t="s">
        <v>170</v>
      </c>
      <c r="G3110" s="14">
        <v>4687.3999999999996</v>
      </c>
      <c r="H3110" s="12" t="s">
        <v>65</v>
      </c>
      <c r="I3110" s="12">
        <v>0</v>
      </c>
      <c r="J3110" s="12" t="s">
        <v>170</v>
      </c>
      <c r="K3110" s="12" t="s">
        <v>171</v>
      </c>
      <c r="L3110" s="12">
        <v>0</v>
      </c>
      <c r="M3110" s="15">
        <v>180000</v>
      </c>
      <c r="N3110" s="15">
        <v>0</v>
      </c>
      <c r="O3110" s="15">
        <f t="shared" si="271"/>
        <v>180000</v>
      </c>
      <c r="P3110" s="15">
        <f t="shared" si="272"/>
        <v>38.400819217476645</v>
      </c>
      <c r="Q3110" s="14">
        <v>20000</v>
      </c>
      <c r="R3110" s="12">
        <v>23</v>
      </c>
      <c r="S3110" s="12" t="s">
        <v>3816</v>
      </c>
      <c r="T3110" s="22">
        <f t="shared" si="268"/>
        <v>9</v>
      </c>
      <c r="U3110" s="22">
        <f t="shared" si="269"/>
        <v>2021</v>
      </c>
      <c r="V3110" s="22" t="str">
        <f t="shared" si="270"/>
        <v>REGIONES</v>
      </c>
    </row>
    <row r="3111" spans="1:22" x14ac:dyDescent="0.2">
      <c r="A3111" s="11" t="s">
        <v>3808</v>
      </c>
      <c r="B3111" s="12" t="s">
        <v>33</v>
      </c>
      <c r="C3111" s="12" t="s">
        <v>44</v>
      </c>
      <c r="D3111" s="12" t="s">
        <v>45</v>
      </c>
      <c r="E3111" s="13" t="s">
        <v>21</v>
      </c>
      <c r="F3111" s="12" t="s">
        <v>46</v>
      </c>
      <c r="G3111" s="14">
        <v>3751.2</v>
      </c>
      <c r="H3111" s="12" t="s">
        <v>22</v>
      </c>
      <c r="I3111" s="12">
        <v>0</v>
      </c>
      <c r="J3111" s="12" t="s">
        <v>46</v>
      </c>
      <c r="K3111" s="12" t="s">
        <v>23</v>
      </c>
      <c r="L3111" s="12">
        <v>2</v>
      </c>
      <c r="M3111" s="15">
        <v>55000</v>
      </c>
      <c r="N3111" s="15">
        <v>0</v>
      </c>
      <c r="O3111" s="15">
        <f t="shared" si="271"/>
        <v>55000</v>
      </c>
      <c r="P3111" s="15">
        <f t="shared" si="272"/>
        <v>14.661974834719556</v>
      </c>
      <c r="Q3111" s="14">
        <v>5000</v>
      </c>
      <c r="R3111" s="12">
        <v>75</v>
      </c>
      <c r="S3111" s="12" t="s">
        <v>3817</v>
      </c>
      <c r="T3111" s="22">
        <f t="shared" si="268"/>
        <v>9</v>
      </c>
      <c r="U3111" s="22">
        <f t="shared" si="269"/>
        <v>2021</v>
      </c>
      <c r="V3111" s="22" t="str">
        <f t="shared" si="270"/>
        <v>METROPOLITANA</v>
      </c>
    </row>
    <row r="3112" spans="1:22" x14ac:dyDescent="0.2">
      <c r="A3112" s="11" t="s">
        <v>3808</v>
      </c>
      <c r="B3112" s="12" t="s">
        <v>33</v>
      </c>
      <c r="C3112" s="12" t="s">
        <v>44</v>
      </c>
      <c r="D3112" s="12" t="s">
        <v>47</v>
      </c>
      <c r="E3112" s="13" t="s">
        <v>52</v>
      </c>
      <c r="F3112" s="12" t="s">
        <v>48</v>
      </c>
      <c r="G3112" s="14">
        <v>5399.2000000000016</v>
      </c>
      <c r="H3112" s="12" t="s">
        <v>22</v>
      </c>
      <c r="I3112" s="12">
        <v>0</v>
      </c>
      <c r="J3112" s="12" t="s">
        <v>48</v>
      </c>
      <c r="K3112" s="12" t="s">
        <v>23</v>
      </c>
      <c r="L3112" s="12">
        <v>1</v>
      </c>
      <c r="M3112" s="15">
        <v>59391</v>
      </c>
      <c r="N3112" s="15">
        <v>0</v>
      </c>
      <c r="O3112" s="15">
        <f t="shared" si="271"/>
        <v>59391</v>
      </c>
      <c r="P3112" s="15">
        <f t="shared" si="272"/>
        <v>10.999962957475178</v>
      </c>
      <c r="Q3112" s="14">
        <v>5000</v>
      </c>
      <c r="R3112" s="12">
        <v>100</v>
      </c>
      <c r="S3112" s="12" t="s">
        <v>3818</v>
      </c>
      <c r="T3112" s="22">
        <f t="shared" si="268"/>
        <v>9</v>
      </c>
      <c r="U3112" s="22">
        <f t="shared" si="269"/>
        <v>2021</v>
      </c>
      <c r="V3112" s="22" t="str">
        <f t="shared" si="270"/>
        <v>METROPOLITANA</v>
      </c>
    </row>
    <row r="3113" spans="1:22" x14ac:dyDescent="0.2">
      <c r="A3113" s="11" t="s">
        <v>3808</v>
      </c>
      <c r="B3113" s="12" t="s">
        <v>33</v>
      </c>
      <c r="C3113" s="12" t="s">
        <v>44</v>
      </c>
      <c r="D3113" s="12" t="s">
        <v>125</v>
      </c>
      <c r="E3113" s="13" t="s">
        <v>126</v>
      </c>
      <c r="F3113" s="12" t="s">
        <v>92</v>
      </c>
      <c r="G3113" s="14">
        <v>13626.000000000009</v>
      </c>
      <c r="H3113" s="12" t="s">
        <v>174</v>
      </c>
      <c r="I3113" s="12">
        <v>0</v>
      </c>
      <c r="J3113" s="12" t="s">
        <v>92</v>
      </c>
      <c r="K3113" s="12" t="s">
        <v>93</v>
      </c>
      <c r="L3113" s="12">
        <v>0</v>
      </c>
      <c r="M3113" s="15">
        <v>620000</v>
      </c>
      <c r="N3113" s="15">
        <v>0</v>
      </c>
      <c r="O3113" s="15">
        <f t="shared" si="271"/>
        <v>620000</v>
      </c>
      <c r="P3113" s="15">
        <f t="shared" si="272"/>
        <v>45.501247614853924</v>
      </c>
      <c r="Q3113" s="14">
        <v>20000</v>
      </c>
      <c r="R3113" s="12">
        <v>68</v>
      </c>
      <c r="S3113" s="12" t="s">
        <v>3819</v>
      </c>
      <c r="T3113" s="22">
        <f t="shared" si="268"/>
        <v>9</v>
      </c>
      <c r="U3113" s="22">
        <f t="shared" si="269"/>
        <v>2021</v>
      </c>
      <c r="V3113" s="22" t="str">
        <f t="shared" si="270"/>
        <v>REGIONES</v>
      </c>
    </row>
    <row r="3114" spans="1:22" x14ac:dyDescent="0.2">
      <c r="A3114" s="23" t="s">
        <v>3821</v>
      </c>
      <c r="B3114" s="22" t="s">
        <v>18</v>
      </c>
      <c r="C3114" s="22" t="s">
        <v>457</v>
      </c>
      <c r="D3114" s="22" t="s">
        <v>3421</v>
      </c>
      <c r="E3114" s="24" t="s">
        <v>3822</v>
      </c>
      <c r="F3114" s="22" t="s">
        <v>195</v>
      </c>
      <c r="G3114" s="25">
        <v>15584.16</v>
      </c>
      <c r="H3114" s="22" t="s">
        <v>24</v>
      </c>
      <c r="I3114" s="22">
        <v>1</v>
      </c>
      <c r="J3114" s="22" t="s">
        <v>195</v>
      </c>
      <c r="K3114" s="22" t="s">
        <v>124</v>
      </c>
      <c r="L3114" s="22">
        <v>0</v>
      </c>
      <c r="M3114" s="26">
        <v>350000</v>
      </c>
      <c r="N3114" s="26">
        <v>0</v>
      </c>
      <c r="O3114" s="15">
        <f t="shared" si="271"/>
        <v>350000</v>
      </c>
      <c r="P3114" s="15">
        <f t="shared" si="272"/>
        <v>22.458701656040493</v>
      </c>
      <c r="Q3114" s="25">
        <v>20000</v>
      </c>
      <c r="R3114" s="22">
        <v>78</v>
      </c>
      <c r="S3114" s="22" t="s">
        <v>3823</v>
      </c>
      <c r="T3114" s="22">
        <f t="shared" si="268"/>
        <v>9</v>
      </c>
      <c r="U3114" s="22">
        <f t="shared" si="269"/>
        <v>2021</v>
      </c>
      <c r="V3114" s="22" t="str">
        <f t="shared" si="270"/>
        <v>REGIONES</v>
      </c>
    </row>
    <row r="3115" spans="1:22" x14ac:dyDescent="0.2">
      <c r="A3115" s="23" t="s">
        <v>3821</v>
      </c>
      <c r="B3115" s="22" t="s">
        <v>18</v>
      </c>
      <c r="C3115" s="22" t="s">
        <v>19</v>
      </c>
      <c r="D3115" s="22" t="s">
        <v>27</v>
      </c>
      <c r="E3115" s="24" t="s">
        <v>28</v>
      </c>
      <c r="F3115" s="22" t="s">
        <v>51</v>
      </c>
      <c r="G3115" s="25">
        <v>18817.12</v>
      </c>
      <c r="H3115" s="22" t="s">
        <v>22</v>
      </c>
      <c r="I3115" s="22">
        <v>1</v>
      </c>
      <c r="J3115" s="22" t="s">
        <v>51</v>
      </c>
      <c r="K3115" s="22" t="s">
        <v>23</v>
      </c>
      <c r="L3115" s="22">
        <v>4</v>
      </c>
      <c r="M3115" s="26">
        <v>206988</v>
      </c>
      <c r="N3115" s="26">
        <v>0</v>
      </c>
      <c r="O3115" s="15">
        <f t="shared" si="271"/>
        <v>206988</v>
      </c>
      <c r="P3115" s="15">
        <f t="shared" si="272"/>
        <v>10.999982994209528</v>
      </c>
      <c r="Q3115" s="25">
        <v>5000</v>
      </c>
      <c r="R3115" s="22">
        <v>100</v>
      </c>
      <c r="S3115" s="22" t="s">
        <v>3824</v>
      </c>
      <c r="T3115" s="22">
        <f t="shared" si="268"/>
        <v>9</v>
      </c>
      <c r="U3115" s="22">
        <f t="shared" si="269"/>
        <v>2021</v>
      </c>
      <c r="V3115" s="22" t="str">
        <f t="shared" si="270"/>
        <v>METROPOLITANA</v>
      </c>
    </row>
    <row r="3116" spans="1:22" x14ac:dyDescent="0.2">
      <c r="A3116" s="23" t="s">
        <v>3821</v>
      </c>
      <c r="B3116" s="22" t="s">
        <v>33</v>
      </c>
      <c r="C3116" s="22" t="s">
        <v>163</v>
      </c>
      <c r="D3116" s="22" t="s">
        <v>38</v>
      </c>
      <c r="E3116" s="24" t="s">
        <v>25</v>
      </c>
      <c r="F3116" s="22" t="s">
        <v>165</v>
      </c>
      <c r="G3116" s="25">
        <v>12580.6</v>
      </c>
      <c r="H3116" s="22" t="s">
        <v>43</v>
      </c>
      <c r="I3116" s="22">
        <v>0</v>
      </c>
      <c r="J3116" s="22" t="s">
        <v>165</v>
      </c>
      <c r="K3116" s="22" t="s">
        <v>23</v>
      </c>
      <c r="L3116" s="22">
        <v>4</v>
      </c>
      <c r="M3116" s="26">
        <v>138387</v>
      </c>
      <c r="N3116" s="26">
        <v>0</v>
      </c>
      <c r="O3116" s="15">
        <f t="shared" si="271"/>
        <v>138387</v>
      </c>
      <c r="P3116" s="15">
        <f t="shared" si="272"/>
        <v>11.000031794985931</v>
      </c>
      <c r="Q3116" s="25">
        <v>5000</v>
      </c>
      <c r="R3116" s="22">
        <v>100</v>
      </c>
      <c r="S3116" s="22" t="s">
        <v>3825</v>
      </c>
      <c r="T3116" s="22">
        <f t="shared" si="268"/>
        <v>9</v>
      </c>
      <c r="U3116" s="22">
        <f t="shared" si="269"/>
        <v>2021</v>
      </c>
      <c r="V3116" s="22" t="str">
        <f t="shared" si="270"/>
        <v>METROPOLITANA</v>
      </c>
    </row>
    <row r="3117" spans="1:22" x14ac:dyDescent="0.2">
      <c r="A3117" s="23" t="s">
        <v>3821</v>
      </c>
      <c r="B3117" s="22" t="s">
        <v>33</v>
      </c>
      <c r="C3117" s="22" t="s">
        <v>2862</v>
      </c>
      <c r="D3117" s="22" t="s">
        <v>63</v>
      </c>
      <c r="E3117" s="24" t="s">
        <v>64</v>
      </c>
      <c r="F3117" s="22" t="s">
        <v>129</v>
      </c>
      <c r="G3117" s="25">
        <v>9755.1999999999971</v>
      </c>
      <c r="H3117" s="22" t="s">
        <v>65</v>
      </c>
      <c r="I3117" s="22">
        <v>0</v>
      </c>
      <c r="J3117" s="22" t="s">
        <v>129</v>
      </c>
      <c r="K3117" s="22" t="s">
        <v>23</v>
      </c>
      <c r="L3117" s="22">
        <v>1</v>
      </c>
      <c r="M3117" s="26">
        <v>107307</v>
      </c>
      <c r="N3117" s="26">
        <v>0</v>
      </c>
      <c r="O3117" s="15">
        <f t="shared" si="271"/>
        <v>107307</v>
      </c>
      <c r="P3117" s="15">
        <f t="shared" si="272"/>
        <v>10.999979498113829</v>
      </c>
      <c r="Q3117" s="25">
        <v>5000</v>
      </c>
      <c r="R3117" s="22">
        <v>100</v>
      </c>
      <c r="S3117" s="22" t="s">
        <v>3826</v>
      </c>
      <c r="T3117" s="22">
        <f t="shared" si="268"/>
        <v>9</v>
      </c>
      <c r="U3117" s="22">
        <f t="shared" si="269"/>
        <v>2021</v>
      </c>
      <c r="V3117" s="22" t="str">
        <f t="shared" si="270"/>
        <v>METROPOLITANA</v>
      </c>
    </row>
    <row r="3118" spans="1:22" x14ac:dyDescent="0.2">
      <c r="A3118" s="23" t="s">
        <v>3821</v>
      </c>
      <c r="B3118" s="22" t="s">
        <v>33</v>
      </c>
      <c r="C3118" s="22" t="s">
        <v>2862</v>
      </c>
      <c r="D3118" s="22" t="s">
        <v>20</v>
      </c>
      <c r="E3118" s="24" t="s">
        <v>1576</v>
      </c>
      <c r="F3118" s="22" t="s">
        <v>129</v>
      </c>
      <c r="G3118" s="25">
        <v>9755.1999999999971</v>
      </c>
      <c r="H3118" s="22" t="s">
        <v>22</v>
      </c>
      <c r="I3118" s="22">
        <v>0</v>
      </c>
      <c r="J3118" s="22" t="s">
        <v>129</v>
      </c>
      <c r="K3118" s="22" t="s">
        <v>23</v>
      </c>
      <c r="L3118" s="22">
        <v>1</v>
      </c>
      <c r="M3118" s="26">
        <v>107307</v>
      </c>
      <c r="N3118" s="26">
        <v>0</v>
      </c>
      <c r="O3118" s="15">
        <f t="shared" si="271"/>
        <v>107307</v>
      </c>
      <c r="P3118" s="15">
        <f t="shared" si="272"/>
        <v>10.999979498113829</v>
      </c>
      <c r="Q3118" s="25">
        <v>5000</v>
      </c>
      <c r="R3118" s="22">
        <v>100</v>
      </c>
      <c r="S3118" s="22" t="s">
        <v>3827</v>
      </c>
      <c r="T3118" s="22">
        <f t="shared" si="268"/>
        <v>9</v>
      </c>
      <c r="U3118" s="22">
        <f t="shared" si="269"/>
        <v>2021</v>
      </c>
      <c r="V3118" s="22" t="str">
        <f t="shared" si="270"/>
        <v>METROPOLITANA</v>
      </c>
    </row>
    <row r="3119" spans="1:22" x14ac:dyDescent="0.2">
      <c r="A3119" s="23" t="s">
        <v>3821</v>
      </c>
      <c r="B3119" s="22" t="s">
        <v>33</v>
      </c>
      <c r="C3119" s="22" t="s">
        <v>29</v>
      </c>
      <c r="D3119" s="22" t="s">
        <v>38</v>
      </c>
      <c r="E3119" s="24" t="s">
        <v>25</v>
      </c>
      <c r="F3119" s="22" t="s">
        <v>39</v>
      </c>
      <c r="G3119" s="25">
        <v>6052.0000000000027</v>
      </c>
      <c r="H3119" s="22" t="s">
        <v>43</v>
      </c>
      <c r="I3119" s="22">
        <v>0</v>
      </c>
      <c r="J3119" s="22" t="s">
        <v>39</v>
      </c>
      <c r="K3119" s="22" t="s">
        <v>23</v>
      </c>
      <c r="L3119" s="22">
        <v>1</v>
      </c>
      <c r="M3119" s="26">
        <v>66572</v>
      </c>
      <c r="N3119" s="26">
        <v>0</v>
      </c>
      <c r="O3119" s="15">
        <f t="shared" si="271"/>
        <v>66572</v>
      </c>
      <c r="P3119" s="15">
        <f t="shared" si="272"/>
        <v>10.999999999999995</v>
      </c>
      <c r="Q3119" s="25">
        <v>5000</v>
      </c>
      <c r="R3119" s="22">
        <v>100</v>
      </c>
      <c r="S3119" s="22" t="s">
        <v>3828</v>
      </c>
      <c r="T3119" s="22">
        <f t="shared" si="268"/>
        <v>9</v>
      </c>
      <c r="U3119" s="22">
        <f t="shared" si="269"/>
        <v>2021</v>
      </c>
      <c r="V3119" s="22" t="str">
        <f t="shared" si="270"/>
        <v>METROPOLITANA</v>
      </c>
    </row>
    <row r="3120" spans="1:22" x14ac:dyDescent="0.2">
      <c r="A3120" s="23" t="s">
        <v>3821</v>
      </c>
      <c r="B3120" s="22" t="s">
        <v>33</v>
      </c>
      <c r="C3120" s="22" t="s">
        <v>29</v>
      </c>
      <c r="D3120" s="22" t="s">
        <v>37</v>
      </c>
      <c r="E3120" s="24" t="s">
        <v>40</v>
      </c>
      <c r="F3120" s="22" t="s">
        <v>39</v>
      </c>
      <c r="G3120" s="25">
        <v>4752</v>
      </c>
      <c r="H3120" s="22" t="s">
        <v>22</v>
      </c>
      <c r="I3120" s="22">
        <v>0</v>
      </c>
      <c r="J3120" s="22" t="s">
        <v>39</v>
      </c>
      <c r="K3120" s="22" t="s">
        <v>23</v>
      </c>
      <c r="L3120" s="22">
        <v>1</v>
      </c>
      <c r="M3120" s="26">
        <v>55000</v>
      </c>
      <c r="N3120" s="26">
        <v>0</v>
      </c>
      <c r="O3120" s="15">
        <f t="shared" si="271"/>
        <v>55000</v>
      </c>
      <c r="P3120" s="15">
        <f t="shared" si="272"/>
        <v>11.574074074074074</v>
      </c>
      <c r="Q3120" s="25">
        <v>5000</v>
      </c>
      <c r="R3120" s="22">
        <v>95</v>
      </c>
      <c r="S3120" s="22" t="s">
        <v>3829</v>
      </c>
      <c r="T3120" s="22">
        <f t="shared" si="268"/>
        <v>9</v>
      </c>
      <c r="U3120" s="22">
        <f t="shared" si="269"/>
        <v>2021</v>
      </c>
      <c r="V3120" s="22" t="str">
        <f t="shared" si="270"/>
        <v>METROPOLITANA</v>
      </c>
    </row>
    <row r="3121" spans="1:22" x14ac:dyDescent="0.2">
      <c r="A3121" s="23" t="s">
        <v>3821</v>
      </c>
      <c r="B3121" s="22" t="s">
        <v>33</v>
      </c>
      <c r="C3121" s="22" t="s">
        <v>29</v>
      </c>
      <c r="D3121" s="22" t="s">
        <v>27</v>
      </c>
      <c r="E3121" s="24" t="s">
        <v>28</v>
      </c>
      <c r="F3121" s="22" t="s">
        <v>39</v>
      </c>
      <c r="G3121" s="25">
        <v>7128.0000000000036</v>
      </c>
      <c r="H3121" s="22" t="s">
        <v>22</v>
      </c>
      <c r="I3121" s="22">
        <v>1</v>
      </c>
      <c r="J3121" s="22" t="s">
        <v>39</v>
      </c>
      <c r="K3121" s="22" t="s">
        <v>23</v>
      </c>
      <c r="L3121" s="22">
        <v>1</v>
      </c>
      <c r="M3121" s="26">
        <v>78408</v>
      </c>
      <c r="N3121" s="26">
        <v>0</v>
      </c>
      <c r="O3121" s="15">
        <f t="shared" si="271"/>
        <v>78408</v>
      </c>
      <c r="P3121" s="15">
        <f t="shared" si="272"/>
        <v>10.999999999999995</v>
      </c>
      <c r="Q3121" s="25">
        <v>5000</v>
      </c>
      <c r="R3121" s="22">
        <v>100</v>
      </c>
      <c r="S3121" s="22" t="s">
        <v>3830</v>
      </c>
      <c r="T3121" s="22">
        <f t="shared" si="268"/>
        <v>9</v>
      </c>
      <c r="U3121" s="22">
        <f t="shared" si="269"/>
        <v>2021</v>
      </c>
      <c r="V3121" s="22" t="str">
        <f t="shared" si="270"/>
        <v>METROPOLITANA</v>
      </c>
    </row>
    <row r="3122" spans="1:22" x14ac:dyDescent="0.2">
      <c r="A3122" s="23" t="s">
        <v>3821</v>
      </c>
      <c r="B3122" s="22" t="s">
        <v>33</v>
      </c>
      <c r="C3122" s="22" t="s">
        <v>44</v>
      </c>
      <c r="D3122" s="22" t="s">
        <v>45</v>
      </c>
      <c r="E3122" s="24" t="s">
        <v>2113</v>
      </c>
      <c r="F3122" s="22" t="s">
        <v>26</v>
      </c>
      <c r="G3122" s="25">
        <v>3989.6</v>
      </c>
      <c r="H3122" s="22" t="s">
        <v>22</v>
      </c>
      <c r="I3122" s="22">
        <v>0</v>
      </c>
      <c r="J3122" s="22" t="s">
        <v>26</v>
      </c>
      <c r="K3122" s="22" t="s">
        <v>23</v>
      </c>
      <c r="L3122" s="22">
        <v>4</v>
      </c>
      <c r="M3122" s="26">
        <v>55000</v>
      </c>
      <c r="N3122" s="26">
        <v>0</v>
      </c>
      <c r="O3122" s="15">
        <f t="shared" si="271"/>
        <v>55000</v>
      </c>
      <c r="P3122" s="15">
        <f t="shared" si="272"/>
        <v>13.78584319229998</v>
      </c>
      <c r="Q3122" s="25">
        <v>5000</v>
      </c>
      <c r="R3122" s="22">
        <v>80</v>
      </c>
      <c r="S3122" s="22" t="s">
        <v>3831</v>
      </c>
      <c r="T3122" s="22">
        <f t="shared" si="268"/>
        <v>9</v>
      </c>
      <c r="U3122" s="22">
        <f t="shared" si="269"/>
        <v>2021</v>
      </c>
      <c r="V3122" s="22" t="str">
        <f t="shared" si="270"/>
        <v>METROPOLITANA</v>
      </c>
    </row>
    <row r="3123" spans="1:22" x14ac:dyDescent="0.2">
      <c r="A3123" s="23" t="s">
        <v>3821</v>
      </c>
      <c r="B3123" s="22" t="s">
        <v>33</v>
      </c>
      <c r="C3123" s="22" t="s">
        <v>44</v>
      </c>
      <c r="D3123" s="22" t="s">
        <v>47</v>
      </c>
      <c r="E3123" s="24" t="s">
        <v>52</v>
      </c>
      <c r="F3123" s="22" t="s">
        <v>48</v>
      </c>
      <c r="G3123" s="25">
        <v>7772.7999999999984</v>
      </c>
      <c r="H3123" s="22" t="s">
        <v>22</v>
      </c>
      <c r="I3123" s="22">
        <v>0</v>
      </c>
      <c r="J3123" s="22" t="s">
        <v>48</v>
      </c>
      <c r="K3123" s="22" t="s">
        <v>23</v>
      </c>
      <c r="L3123" s="22">
        <v>1</v>
      </c>
      <c r="M3123" s="26">
        <v>85501</v>
      </c>
      <c r="N3123" s="26">
        <v>0</v>
      </c>
      <c r="O3123" s="15">
        <f t="shared" si="271"/>
        <v>85501</v>
      </c>
      <c r="P3123" s="15">
        <f t="shared" si="272"/>
        <v>11.000025730753398</v>
      </c>
      <c r="Q3123" s="25">
        <v>5000</v>
      </c>
      <c r="R3123" s="22">
        <v>100</v>
      </c>
      <c r="S3123" s="22" t="s">
        <v>3832</v>
      </c>
      <c r="T3123" s="22">
        <f t="shared" si="268"/>
        <v>9</v>
      </c>
      <c r="U3123" s="22">
        <f t="shared" si="269"/>
        <v>2021</v>
      </c>
      <c r="V3123" s="22" t="str">
        <f t="shared" si="270"/>
        <v>METROPOLITANA</v>
      </c>
    </row>
    <row r="3124" spans="1:22" x14ac:dyDescent="0.2">
      <c r="A3124" s="23" t="s">
        <v>3821</v>
      </c>
      <c r="B3124" s="22" t="s">
        <v>33</v>
      </c>
      <c r="C3124" s="22" t="s">
        <v>44</v>
      </c>
      <c r="D3124" s="22" t="s">
        <v>20</v>
      </c>
      <c r="E3124" s="24" t="s">
        <v>1576</v>
      </c>
      <c r="F3124" s="22" t="s">
        <v>229</v>
      </c>
      <c r="G3124" s="25">
        <v>7228.3999999999987</v>
      </c>
      <c r="H3124" s="22" t="s">
        <v>22</v>
      </c>
      <c r="I3124" s="22">
        <v>0</v>
      </c>
      <c r="J3124" s="22" t="s">
        <v>230</v>
      </c>
      <c r="K3124" s="22" t="s">
        <v>23</v>
      </c>
      <c r="L3124" s="22">
        <v>4</v>
      </c>
      <c r="M3124" s="26">
        <v>79512</v>
      </c>
      <c r="N3124" s="26">
        <v>0</v>
      </c>
      <c r="O3124" s="15">
        <f t="shared" si="271"/>
        <v>79512</v>
      </c>
      <c r="P3124" s="15">
        <f t="shared" si="272"/>
        <v>10.999944662719276</v>
      </c>
      <c r="Q3124" s="25">
        <v>5000</v>
      </c>
      <c r="R3124" s="22">
        <v>100</v>
      </c>
      <c r="S3124" s="22" t="s">
        <v>3833</v>
      </c>
      <c r="T3124" s="22">
        <f t="shared" si="268"/>
        <v>9</v>
      </c>
      <c r="U3124" s="22">
        <f t="shared" si="269"/>
        <v>2021</v>
      </c>
      <c r="V3124" s="22" t="str">
        <f t="shared" si="270"/>
        <v>METROPOLITANA</v>
      </c>
    </row>
    <row r="3125" spans="1:22" s="12" customFormat="1" x14ac:dyDescent="0.2">
      <c r="A3125" s="11" t="s">
        <v>3834</v>
      </c>
      <c r="B3125" s="12" t="s">
        <v>18</v>
      </c>
      <c r="C3125" s="12" t="s">
        <v>57</v>
      </c>
      <c r="D3125" s="12" t="s">
        <v>27</v>
      </c>
      <c r="E3125" s="13" t="s">
        <v>28</v>
      </c>
      <c r="F3125" s="12" t="s">
        <v>3835</v>
      </c>
      <c r="G3125" s="14">
        <v>19267.439999999999</v>
      </c>
      <c r="H3125" s="12" t="s">
        <v>22</v>
      </c>
      <c r="I3125" s="12">
        <v>1</v>
      </c>
      <c r="J3125" s="12" t="s">
        <v>3835</v>
      </c>
      <c r="K3125" s="12" t="s">
        <v>171</v>
      </c>
      <c r="L3125" s="12">
        <v>0</v>
      </c>
      <c r="M3125" s="15">
        <v>280000</v>
      </c>
      <c r="N3125" s="15">
        <v>0</v>
      </c>
      <c r="O3125" s="15">
        <f t="shared" si="271"/>
        <v>280000</v>
      </c>
      <c r="P3125" s="15">
        <f t="shared" si="272"/>
        <v>14.53228866938213</v>
      </c>
      <c r="Q3125" s="14">
        <v>20000</v>
      </c>
      <c r="R3125" s="12">
        <v>96</v>
      </c>
      <c r="S3125" s="12" t="s">
        <v>3836</v>
      </c>
      <c r="T3125" s="12">
        <f t="shared" si="268"/>
        <v>9</v>
      </c>
      <c r="U3125" s="12">
        <f t="shared" si="269"/>
        <v>2021</v>
      </c>
      <c r="V3125" s="12" t="str">
        <f t="shared" si="270"/>
        <v>REGIONES</v>
      </c>
    </row>
    <row r="3126" spans="1:22" s="12" customFormat="1" x14ac:dyDescent="0.2">
      <c r="A3126" s="11" t="s">
        <v>3834</v>
      </c>
      <c r="B3126" s="12" t="s">
        <v>18</v>
      </c>
      <c r="C3126" s="12" t="s">
        <v>19</v>
      </c>
      <c r="D3126" s="12" t="s">
        <v>37</v>
      </c>
      <c r="E3126" s="13" t="s">
        <v>40</v>
      </c>
      <c r="F3126" s="12" t="s">
        <v>67</v>
      </c>
      <c r="G3126" s="14">
        <v>10286.040000000001</v>
      </c>
      <c r="H3126" s="12" t="s">
        <v>22</v>
      </c>
      <c r="I3126" s="12">
        <v>0</v>
      </c>
      <c r="J3126" s="12" t="s">
        <v>67</v>
      </c>
      <c r="K3126" s="12" t="s">
        <v>23</v>
      </c>
      <c r="L3126" s="12">
        <v>2</v>
      </c>
      <c r="M3126" s="15">
        <v>113146</v>
      </c>
      <c r="N3126" s="15">
        <v>0</v>
      </c>
      <c r="O3126" s="15">
        <f t="shared" si="271"/>
        <v>113146</v>
      </c>
      <c r="P3126" s="15">
        <f t="shared" si="272"/>
        <v>10.999957223576809</v>
      </c>
      <c r="Q3126" s="14">
        <v>5000</v>
      </c>
      <c r="R3126" s="12">
        <v>100</v>
      </c>
      <c r="S3126" s="12" t="s">
        <v>3837</v>
      </c>
      <c r="T3126" s="12">
        <f t="shared" si="268"/>
        <v>9</v>
      </c>
      <c r="U3126" s="12">
        <f t="shared" si="269"/>
        <v>2021</v>
      </c>
      <c r="V3126" s="12" t="str">
        <f t="shared" si="270"/>
        <v>METROPOLITANA</v>
      </c>
    </row>
    <row r="3127" spans="1:22" s="12" customFormat="1" x14ac:dyDescent="0.2">
      <c r="A3127" s="11" t="s">
        <v>3834</v>
      </c>
      <c r="B3127" s="12" t="s">
        <v>33</v>
      </c>
      <c r="C3127" s="12" t="s">
        <v>163</v>
      </c>
      <c r="D3127" s="12" t="s">
        <v>38</v>
      </c>
      <c r="E3127" s="13" t="s">
        <v>25</v>
      </c>
      <c r="F3127" s="12" t="s">
        <v>165</v>
      </c>
      <c r="G3127" s="14">
        <v>30553.60000000002</v>
      </c>
      <c r="H3127" s="12" t="s">
        <v>43</v>
      </c>
      <c r="I3127" s="12">
        <v>0</v>
      </c>
      <c r="J3127" s="12" t="s">
        <v>165</v>
      </c>
      <c r="K3127" s="12" t="s">
        <v>23</v>
      </c>
      <c r="L3127" s="12">
        <v>4</v>
      </c>
      <c r="M3127" s="15">
        <v>336090</v>
      </c>
      <c r="N3127" s="15">
        <v>0</v>
      </c>
      <c r="O3127" s="15">
        <f t="shared" si="271"/>
        <v>336090</v>
      </c>
      <c r="P3127" s="15">
        <f t="shared" si="272"/>
        <v>11.000013091746956</v>
      </c>
      <c r="Q3127" s="14">
        <v>5000</v>
      </c>
      <c r="R3127" s="12">
        <v>100</v>
      </c>
      <c r="S3127" s="12" t="s">
        <v>3838</v>
      </c>
      <c r="T3127" s="12">
        <f t="shared" si="268"/>
        <v>9</v>
      </c>
      <c r="U3127" s="12">
        <f t="shared" si="269"/>
        <v>2021</v>
      </c>
      <c r="V3127" s="12" t="str">
        <f t="shared" si="270"/>
        <v>METROPOLITANA</v>
      </c>
    </row>
    <row r="3128" spans="1:22" s="12" customFormat="1" x14ac:dyDescent="0.2">
      <c r="A3128" s="11" t="s">
        <v>3834</v>
      </c>
      <c r="B3128" s="12" t="s">
        <v>33</v>
      </c>
      <c r="C3128" s="12" t="s">
        <v>128</v>
      </c>
      <c r="D3128" s="12" t="s">
        <v>2955</v>
      </c>
      <c r="E3128" s="13" t="s">
        <v>2956</v>
      </c>
      <c r="F3128" s="12" t="s">
        <v>34</v>
      </c>
      <c r="G3128" s="14">
        <f>8316.00000000001+238</f>
        <v>8554.0000000000091</v>
      </c>
      <c r="H3128" s="12" t="s">
        <v>24</v>
      </c>
      <c r="I3128" s="12">
        <v>1</v>
      </c>
      <c r="J3128" s="12" t="s">
        <v>34</v>
      </c>
      <c r="K3128" s="12" t="s">
        <v>23</v>
      </c>
      <c r="L3128" s="12">
        <v>1</v>
      </c>
      <c r="M3128" s="15">
        <v>91476</v>
      </c>
      <c r="N3128" s="15">
        <v>0</v>
      </c>
      <c r="O3128" s="15">
        <f t="shared" si="271"/>
        <v>91476</v>
      </c>
      <c r="P3128" s="15">
        <f t="shared" si="272"/>
        <v>10.693944353518811</v>
      </c>
      <c r="Q3128" s="14">
        <v>5000</v>
      </c>
      <c r="R3128" s="12">
        <v>100</v>
      </c>
      <c r="S3128" s="12" t="s">
        <v>3844</v>
      </c>
      <c r="T3128" s="12">
        <f t="shared" si="268"/>
        <v>9</v>
      </c>
      <c r="U3128" s="12">
        <f t="shared" si="269"/>
        <v>2021</v>
      </c>
      <c r="V3128" s="12" t="str">
        <f t="shared" si="270"/>
        <v>METROPOLITANA</v>
      </c>
    </row>
    <row r="3129" spans="1:22" s="12" customFormat="1" x14ac:dyDescent="0.2">
      <c r="A3129" s="11" t="s">
        <v>3834</v>
      </c>
      <c r="B3129" s="12" t="s">
        <v>33</v>
      </c>
      <c r="C3129" s="12" t="s">
        <v>2862</v>
      </c>
      <c r="D3129" s="12" t="s">
        <v>63</v>
      </c>
      <c r="E3129" s="13" t="s">
        <v>64</v>
      </c>
      <c r="F3129" s="12" t="s">
        <v>129</v>
      </c>
      <c r="G3129" s="14">
        <v>9755.1999999999971</v>
      </c>
      <c r="H3129" s="12" t="s">
        <v>65</v>
      </c>
      <c r="I3129" s="12">
        <v>0</v>
      </c>
      <c r="J3129" s="12" t="s">
        <v>129</v>
      </c>
      <c r="K3129" s="12" t="s">
        <v>23</v>
      </c>
      <c r="L3129" s="12">
        <v>1</v>
      </c>
      <c r="M3129" s="15">
        <v>107307</v>
      </c>
      <c r="N3129" s="15">
        <v>0</v>
      </c>
      <c r="O3129" s="15">
        <f t="shared" si="271"/>
        <v>107307</v>
      </c>
      <c r="P3129" s="15">
        <f t="shared" si="272"/>
        <v>10.999979498113829</v>
      </c>
      <c r="Q3129" s="14">
        <v>5000</v>
      </c>
      <c r="R3129" s="12">
        <v>100</v>
      </c>
      <c r="S3129" s="12" t="s">
        <v>3839</v>
      </c>
      <c r="T3129" s="12">
        <f t="shared" si="268"/>
        <v>9</v>
      </c>
      <c r="U3129" s="12">
        <f t="shared" si="269"/>
        <v>2021</v>
      </c>
      <c r="V3129" s="12" t="str">
        <f t="shared" si="270"/>
        <v>METROPOLITANA</v>
      </c>
    </row>
    <row r="3130" spans="1:22" s="12" customFormat="1" x14ac:dyDescent="0.2">
      <c r="A3130" s="11" t="s">
        <v>3834</v>
      </c>
      <c r="B3130" s="12" t="s">
        <v>33</v>
      </c>
      <c r="C3130" s="12" t="s">
        <v>2862</v>
      </c>
      <c r="D3130" s="12" t="s">
        <v>20</v>
      </c>
      <c r="E3130" s="13" t="s">
        <v>1576</v>
      </c>
      <c r="F3130" s="12" t="s">
        <v>129</v>
      </c>
      <c r="G3130" s="14">
        <v>9004.7999999999975</v>
      </c>
      <c r="H3130" s="12" t="s">
        <v>22</v>
      </c>
      <c r="I3130" s="12">
        <v>0</v>
      </c>
      <c r="J3130" s="12" t="s">
        <v>129</v>
      </c>
      <c r="K3130" s="12" t="s">
        <v>23</v>
      </c>
      <c r="L3130" s="12">
        <v>1</v>
      </c>
      <c r="M3130" s="15">
        <v>99053</v>
      </c>
      <c r="N3130" s="15">
        <v>0</v>
      </c>
      <c r="O3130" s="15">
        <f t="shared" si="271"/>
        <v>99053</v>
      </c>
      <c r="P3130" s="15">
        <f t="shared" si="272"/>
        <v>11.000022210376692</v>
      </c>
      <c r="Q3130" s="14">
        <v>5000</v>
      </c>
      <c r="R3130" s="12">
        <v>100</v>
      </c>
      <c r="S3130" s="12" t="s">
        <v>3840</v>
      </c>
      <c r="T3130" s="12">
        <f t="shared" si="268"/>
        <v>9</v>
      </c>
      <c r="U3130" s="12">
        <f t="shared" si="269"/>
        <v>2021</v>
      </c>
      <c r="V3130" s="12" t="str">
        <f t="shared" si="270"/>
        <v>METROPOLITANA</v>
      </c>
    </row>
    <row r="3131" spans="1:22" s="12" customFormat="1" x14ac:dyDescent="0.2">
      <c r="A3131" s="11" t="s">
        <v>3834</v>
      </c>
      <c r="B3131" s="12" t="s">
        <v>33</v>
      </c>
      <c r="C3131" s="12" t="s">
        <v>3672</v>
      </c>
      <c r="D3131" s="12" t="s">
        <v>47</v>
      </c>
      <c r="E3131" s="13" t="s">
        <v>1576</v>
      </c>
      <c r="F3131" s="12" t="s">
        <v>39</v>
      </c>
      <c r="G3131" s="14">
        <f>5410.8+1299</f>
        <v>6709.8</v>
      </c>
      <c r="H3131" s="12" t="s">
        <v>22</v>
      </c>
      <c r="I3131" s="12">
        <v>0</v>
      </c>
      <c r="J3131" s="12" t="s">
        <v>39</v>
      </c>
      <c r="K3131" s="12" t="s">
        <v>23</v>
      </c>
      <c r="L3131" s="12">
        <v>1</v>
      </c>
      <c r="M3131" s="15">
        <v>59519</v>
      </c>
      <c r="N3131" s="15">
        <v>0</v>
      </c>
      <c r="O3131" s="15">
        <f t="shared" si="271"/>
        <v>59519</v>
      </c>
      <c r="P3131" s="15">
        <f t="shared" si="272"/>
        <v>8.8704581358609786</v>
      </c>
      <c r="Q3131" s="14">
        <v>5000</v>
      </c>
      <c r="R3131" s="12">
        <v>100</v>
      </c>
      <c r="S3131" s="12" t="s">
        <v>3845</v>
      </c>
      <c r="T3131" s="12">
        <f t="shared" si="268"/>
        <v>9</v>
      </c>
      <c r="U3131" s="12">
        <f t="shared" si="269"/>
        <v>2021</v>
      </c>
      <c r="V3131" s="12" t="str">
        <f t="shared" si="270"/>
        <v>METROPOLITANA</v>
      </c>
    </row>
    <row r="3132" spans="1:22" s="12" customFormat="1" x14ac:dyDescent="0.2">
      <c r="A3132" s="11" t="s">
        <v>3834</v>
      </c>
      <c r="B3132" s="12" t="s">
        <v>33</v>
      </c>
      <c r="C3132" s="12" t="s">
        <v>44</v>
      </c>
      <c r="D3132" s="12" t="s">
        <v>191</v>
      </c>
      <c r="E3132" s="13" t="s">
        <v>192</v>
      </c>
      <c r="F3132" s="12" t="s">
        <v>3139</v>
      </c>
      <c r="G3132" s="14">
        <v>14500.8</v>
      </c>
      <c r="H3132" s="12" t="s">
        <v>85</v>
      </c>
      <c r="I3132" s="12">
        <v>1</v>
      </c>
      <c r="J3132" s="12" t="s">
        <v>3139</v>
      </c>
      <c r="K3132" s="12" t="s">
        <v>93</v>
      </c>
      <c r="L3132" s="12">
        <v>0</v>
      </c>
      <c r="M3132" s="15">
        <v>620000</v>
      </c>
      <c r="N3132" s="15">
        <v>0</v>
      </c>
      <c r="O3132" s="15">
        <f t="shared" si="271"/>
        <v>620000</v>
      </c>
      <c r="P3132" s="15">
        <f t="shared" si="272"/>
        <v>42.756261723491122</v>
      </c>
      <c r="Q3132" s="14">
        <v>20000</v>
      </c>
      <c r="R3132" s="12">
        <v>73</v>
      </c>
      <c r="S3132" s="12" t="s">
        <v>3841</v>
      </c>
      <c r="T3132" s="12">
        <f t="shared" si="268"/>
        <v>9</v>
      </c>
      <c r="U3132" s="12">
        <f t="shared" si="269"/>
        <v>2021</v>
      </c>
      <c r="V3132" s="12" t="str">
        <f t="shared" si="270"/>
        <v>REGIONES</v>
      </c>
    </row>
    <row r="3133" spans="1:22" s="12" customFormat="1" x14ac:dyDescent="0.2">
      <c r="A3133" s="11" t="s">
        <v>3834</v>
      </c>
      <c r="B3133" s="12" t="s">
        <v>33</v>
      </c>
      <c r="C3133" s="12" t="s">
        <v>44</v>
      </c>
      <c r="D3133" s="12" t="s">
        <v>3842</v>
      </c>
      <c r="E3133" s="13" t="s">
        <v>3843</v>
      </c>
      <c r="F3133" s="12" t="s">
        <v>2639</v>
      </c>
      <c r="G3133" s="14">
        <f>4122+4122</f>
        <v>8244</v>
      </c>
      <c r="H3133" s="12" t="s">
        <v>24</v>
      </c>
      <c r="I3133" s="12">
        <v>1</v>
      </c>
      <c r="J3133" s="12" t="s">
        <v>2639</v>
      </c>
      <c r="K3133" s="12" t="s">
        <v>75</v>
      </c>
      <c r="L3133" s="12">
        <v>0</v>
      </c>
      <c r="M3133" s="15">
        <v>380000</v>
      </c>
      <c r="N3133" s="15">
        <v>0</v>
      </c>
      <c r="O3133" s="15">
        <f t="shared" ref="O3133:O3164" si="273">SUM(M3133:N3133)</f>
        <v>380000</v>
      </c>
      <c r="P3133" s="15">
        <f t="shared" si="272"/>
        <v>46.094129063561375</v>
      </c>
      <c r="Q3133" s="14">
        <v>20000</v>
      </c>
      <c r="R3133" s="12">
        <v>56</v>
      </c>
      <c r="S3133" s="12" t="s">
        <v>3846</v>
      </c>
      <c r="T3133" s="12">
        <f t="shared" si="268"/>
        <v>9</v>
      </c>
      <c r="U3133" s="12">
        <f t="shared" si="269"/>
        <v>2021</v>
      </c>
      <c r="V3133" s="12" t="str">
        <f t="shared" si="270"/>
        <v>REGIONES</v>
      </c>
    </row>
    <row r="3134" spans="1:22" x14ac:dyDescent="0.2">
      <c r="A3134" s="23" t="s">
        <v>3847</v>
      </c>
      <c r="B3134" s="22" t="s">
        <v>33</v>
      </c>
      <c r="C3134" s="22" t="s">
        <v>44</v>
      </c>
      <c r="D3134" s="22" t="s">
        <v>47</v>
      </c>
      <c r="E3134" s="24">
        <v>99626232</v>
      </c>
      <c r="F3134" s="22" t="s">
        <v>48</v>
      </c>
      <c r="G3134" s="25">
        <v>4901.9999999999991</v>
      </c>
      <c r="H3134" s="22" t="s">
        <v>22</v>
      </c>
      <c r="I3134" s="22">
        <v>0</v>
      </c>
      <c r="J3134" s="22" t="s">
        <v>48</v>
      </c>
      <c r="K3134" s="22" t="s">
        <v>23</v>
      </c>
      <c r="L3134" s="22">
        <v>1</v>
      </c>
      <c r="M3134" s="26">
        <v>55000</v>
      </c>
      <c r="N3134" s="26">
        <v>0</v>
      </c>
      <c r="O3134" s="15">
        <f t="shared" si="273"/>
        <v>55000</v>
      </c>
      <c r="P3134" s="15">
        <f t="shared" si="272"/>
        <v>11.219910240718077</v>
      </c>
      <c r="Q3134" s="25">
        <v>5000</v>
      </c>
      <c r="R3134" s="22">
        <v>98</v>
      </c>
      <c r="S3134" s="22" t="s">
        <v>3848</v>
      </c>
      <c r="T3134" s="22">
        <f t="shared" si="268"/>
        <v>9</v>
      </c>
      <c r="U3134" s="22">
        <f t="shared" si="269"/>
        <v>2021</v>
      </c>
      <c r="V3134" s="22" t="str">
        <f t="shared" si="270"/>
        <v>METROPOLITANA</v>
      </c>
    </row>
    <row r="3135" spans="1:22" x14ac:dyDescent="0.2">
      <c r="A3135" s="11" t="s">
        <v>3849</v>
      </c>
      <c r="B3135" s="12" t="s">
        <v>18</v>
      </c>
      <c r="C3135" s="12" t="s">
        <v>270</v>
      </c>
      <c r="D3135" s="12" t="s">
        <v>37</v>
      </c>
      <c r="E3135" s="13" t="s">
        <v>40</v>
      </c>
      <c r="F3135" s="12" t="s">
        <v>120</v>
      </c>
      <c r="G3135" s="14">
        <v>4110.0000000000009</v>
      </c>
      <c r="H3135" s="12" t="s">
        <v>22</v>
      </c>
      <c r="I3135" s="12">
        <v>0</v>
      </c>
      <c r="J3135" s="12" t="s">
        <v>120</v>
      </c>
      <c r="K3135" s="12" t="s">
        <v>23</v>
      </c>
      <c r="L3135" s="12">
        <v>5</v>
      </c>
      <c r="M3135" s="15">
        <v>70000</v>
      </c>
      <c r="N3135" s="15">
        <v>0</v>
      </c>
      <c r="O3135" s="15">
        <f t="shared" si="273"/>
        <v>70000</v>
      </c>
      <c r="P3135" s="15">
        <f t="shared" si="272"/>
        <v>17.031630170316298</v>
      </c>
      <c r="Q3135" s="14">
        <v>10000</v>
      </c>
      <c r="R3135" s="12">
        <v>41</v>
      </c>
      <c r="S3135" s="12" t="s">
        <v>3850</v>
      </c>
      <c r="T3135" s="22">
        <f t="shared" si="268"/>
        <v>9</v>
      </c>
      <c r="U3135" s="22">
        <f t="shared" si="269"/>
        <v>2021</v>
      </c>
      <c r="V3135" s="22" t="str">
        <f t="shared" si="270"/>
        <v>METROPOLITANA</v>
      </c>
    </row>
    <row r="3136" spans="1:22" ht="10.5" customHeight="1" x14ac:dyDescent="0.2">
      <c r="A3136" s="11" t="s">
        <v>3849</v>
      </c>
      <c r="B3136" s="12" t="s">
        <v>18</v>
      </c>
      <c r="C3136" s="12" t="s">
        <v>57</v>
      </c>
      <c r="D3136" s="12" t="s">
        <v>27</v>
      </c>
      <c r="E3136" s="13" t="s">
        <v>28</v>
      </c>
      <c r="F3136" s="12" t="s">
        <v>58</v>
      </c>
      <c r="G3136" s="14">
        <f>12101.53+2592</f>
        <v>14693.53</v>
      </c>
      <c r="H3136" s="12" t="s">
        <v>22</v>
      </c>
      <c r="I3136" s="12">
        <v>1</v>
      </c>
      <c r="J3136" s="12" t="s">
        <v>58</v>
      </c>
      <c r="K3136" s="12" t="s">
        <v>23</v>
      </c>
      <c r="L3136" s="12">
        <v>5</v>
      </c>
      <c r="M3136" s="15">
        <v>120000</v>
      </c>
      <c r="N3136" s="15">
        <v>0</v>
      </c>
      <c r="O3136" s="15">
        <f t="shared" si="273"/>
        <v>120000</v>
      </c>
      <c r="P3136" s="15">
        <f t="shared" si="272"/>
        <v>8.1668598355875002</v>
      </c>
      <c r="Q3136" s="14">
        <v>10000</v>
      </c>
      <c r="R3136" s="12">
        <v>100</v>
      </c>
      <c r="S3136" s="12" t="s">
        <v>3861</v>
      </c>
      <c r="T3136" s="22">
        <f t="shared" si="268"/>
        <v>9</v>
      </c>
      <c r="U3136" s="22">
        <f t="shared" si="269"/>
        <v>2021</v>
      </c>
      <c r="V3136" s="22" t="str">
        <f t="shared" si="270"/>
        <v>METROPOLITANA</v>
      </c>
    </row>
    <row r="3137" spans="1:22" x14ac:dyDescent="0.2">
      <c r="A3137" s="11" t="s">
        <v>3849</v>
      </c>
      <c r="B3137" s="12" t="s">
        <v>33</v>
      </c>
      <c r="C3137" s="12" t="s">
        <v>163</v>
      </c>
      <c r="D3137" s="12" t="s">
        <v>38</v>
      </c>
      <c r="E3137" s="13" t="s">
        <v>25</v>
      </c>
      <c r="F3137" s="12" t="s">
        <v>165</v>
      </c>
      <c r="G3137" s="14">
        <v>13887.999999999991</v>
      </c>
      <c r="H3137" s="12" t="s">
        <v>43</v>
      </c>
      <c r="I3137" s="12">
        <v>0</v>
      </c>
      <c r="J3137" s="12" t="s">
        <v>165</v>
      </c>
      <c r="K3137" s="12" t="s">
        <v>23</v>
      </c>
      <c r="L3137" s="12">
        <v>4</v>
      </c>
      <c r="M3137" s="15">
        <v>152768</v>
      </c>
      <c r="N3137" s="15">
        <v>0</v>
      </c>
      <c r="O3137" s="15">
        <f t="shared" si="273"/>
        <v>152768</v>
      </c>
      <c r="P3137" s="15">
        <f t="shared" si="272"/>
        <v>11.000000000000007</v>
      </c>
      <c r="Q3137" s="14">
        <v>5000</v>
      </c>
      <c r="R3137" s="12">
        <v>100</v>
      </c>
      <c r="S3137" s="12" t="s">
        <v>3851</v>
      </c>
      <c r="T3137" s="22">
        <f t="shared" si="268"/>
        <v>9</v>
      </c>
      <c r="U3137" s="22">
        <f t="shared" si="269"/>
        <v>2021</v>
      </c>
      <c r="V3137" s="22" t="str">
        <f t="shared" si="270"/>
        <v>METROPOLITANA</v>
      </c>
    </row>
    <row r="3138" spans="1:22" x14ac:dyDescent="0.2">
      <c r="A3138" s="11" t="s">
        <v>3849</v>
      </c>
      <c r="B3138" s="12" t="s">
        <v>33</v>
      </c>
      <c r="C3138" s="12" t="s">
        <v>128</v>
      </c>
      <c r="D3138" s="12" t="s">
        <v>1170</v>
      </c>
      <c r="E3138" s="13" t="s">
        <v>81</v>
      </c>
      <c r="F3138" s="12" t="s">
        <v>407</v>
      </c>
      <c r="G3138" s="14">
        <v>25231.19999999999</v>
      </c>
      <c r="H3138" s="12" t="s">
        <v>24</v>
      </c>
      <c r="I3138" s="12">
        <v>1</v>
      </c>
      <c r="J3138" s="12" t="s">
        <v>407</v>
      </c>
      <c r="K3138" s="12" t="s">
        <v>408</v>
      </c>
      <c r="L3138" s="12">
        <v>0</v>
      </c>
      <c r="M3138" s="15">
        <v>600000</v>
      </c>
      <c r="N3138" s="15">
        <v>0</v>
      </c>
      <c r="O3138" s="15">
        <f t="shared" si="273"/>
        <v>600000</v>
      </c>
      <c r="P3138" s="15">
        <f t="shared" si="272"/>
        <v>23.780081803481412</v>
      </c>
      <c r="Q3138" s="14">
        <v>20000</v>
      </c>
      <c r="R3138" s="12">
        <v>100</v>
      </c>
      <c r="S3138" s="12" t="s">
        <v>3852</v>
      </c>
      <c r="T3138" s="22">
        <f t="shared" si="268"/>
        <v>9</v>
      </c>
      <c r="U3138" s="22">
        <f t="shared" si="269"/>
        <v>2021</v>
      </c>
      <c r="V3138" s="22" t="str">
        <f t="shared" si="270"/>
        <v>REGIONES</v>
      </c>
    </row>
    <row r="3139" spans="1:22" x14ac:dyDescent="0.2">
      <c r="A3139" s="11" t="s">
        <v>3849</v>
      </c>
      <c r="B3139" s="12" t="s">
        <v>33</v>
      </c>
      <c r="C3139" s="12" t="s">
        <v>128</v>
      </c>
      <c r="D3139" s="12" t="s">
        <v>2955</v>
      </c>
      <c r="E3139" s="13" t="s">
        <v>2956</v>
      </c>
      <c r="F3139" s="12" t="s">
        <v>129</v>
      </c>
      <c r="G3139" s="14">
        <v>8553.6000000000058</v>
      </c>
      <c r="H3139" s="12" t="s">
        <v>24</v>
      </c>
      <c r="I3139" s="12">
        <v>1</v>
      </c>
      <c r="J3139" s="12" t="s">
        <v>129</v>
      </c>
      <c r="K3139" s="12" t="s">
        <v>23</v>
      </c>
      <c r="L3139" s="12">
        <v>1</v>
      </c>
      <c r="M3139" s="15">
        <v>94090</v>
      </c>
      <c r="N3139" s="15">
        <v>0</v>
      </c>
      <c r="O3139" s="15">
        <f t="shared" si="273"/>
        <v>94090</v>
      </c>
      <c r="P3139" s="15">
        <f t="shared" si="272"/>
        <v>11.000046763935645</v>
      </c>
      <c r="Q3139" s="14">
        <v>5000</v>
      </c>
      <c r="R3139" s="12">
        <v>100</v>
      </c>
      <c r="S3139" s="12" t="s">
        <v>3853</v>
      </c>
      <c r="T3139" s="22">
        <f t="shared" si="268"/>
        <v>9</v>
      </c>
      <c r="U3139" s="22">
        <f t="shared" si="269"/>
        <v>2021</v>
      </c>
      <c r="V3139" s="22" t="str">
        <f t="shared" si="270"/>
        <v>METROPOLITANA</v>
      </c>
    </row>
    <row r="3140" spans="1:22" x14ac:dyDescent="0.2">
      <c r="A3140" s="11" t="s">
        <v>3849</v>
      </c>
      <c r="B3140" s="12" t="s">
        <v>33</v>
      </c>
      <c r="C3140" s="12" t="s">
        <v>36</v>
      </c>
      <c r="D3140" s="12" t="s">
        <v>63</v>
      </c>
      <c r="E3140" s="13" t="s">
        <v>64</v>
      </c>
      <c r="F3140" s="12" t="s">
        <v>230</v>
      </c>
      <c r="G3140" s="14">
        <f>4897.2+1123</f>
        <v>6020.2</v>
      </c>
      <c r="H3140" s="12" t="s">
        <v>65</v>
      </c>
      <c r="I3140" s="12">
        <v>0</v>
      </c>
      <c r="J3140" s="12" t="s">
        <v>230</v>
      </c>
      <c r="K3140" s="12" t="s">
        <v>23</v>
      </c>
      <c r="L3140" s="12">
        <v>4</v>
      </c>
      <c r="M3140" s="15">
        <v>55000</v>
      </c>
      <c r="N3140" s="15">
        <v>0</v>
      </c>
      <c r="O3140" s="15">
        <f t="shared" si="273"/>
        <v>55000</v>
      </c>
      <c r="P3140" s="15">
        <f t="shared" si="272"/>
        <v>9.1359091060097679</v>
      </c>
      <c r="Q3140" s="14">
        <v>5000</v>
      </c>
      <c r="R3140" s="12">
        <v>98</v>
      </c>
      <c r="S3140" s="12" t="s">
        <v>3862</v>
      </c>
      <c r="T3140" s="22">
        <f t="shared" si="268"/>
        <v>9</v>
      </c>
      <c r="U3140" s="22">
        <f t="shared" si="269"/>
        <v>2021</v>
      </c>
      <c r="V3140" s="22" t="str">
        <f t="shared" si="270"/>
        <v>METROPOLITANA</v>
      </c>
    </row>
    <row r="3141" spans="1:22" x14ac:dyDescent="0.2">
      <c r="A3141" s="11" t="s">
        <v>3849</v>
      </c>
      <c r="B3141" s="12" t="s">
        <v>33</v>
      </c>
      <c r="C3141" s="12" t="s">
        <v>36</v>
      </c>
      <c r="D3141" s="12" t="s">
        <v>47</v>
      </c>
      <c r="E3141" s="13" t="s">
        <v>1576</v>
      </c>
      <c r="F3141" s="12" t="s">
        <v>67</v>
      </c>
      <c r="G3141" s="14">
        <v>6574.800000000002</v>
      </c>
      <c r="H3141" s="12" t="s">
        <v>22</v>
      </c>
      <c r="I3141" s="12">
        <v>0</v>
      </c>
      <c r="J3141" s="12" t="s">
        <v>67</v>
      </c>
      <c r="K3141" s="12" t="s">
        <v>23</v>
      </c>
      <c r="L3141" s="12">
        <v>2</v>
      </c>
      <c r="M3141" s="15">
        <v>72323</v>
      </c>
      <c r="N3141" s="15">
        <v>0</v>
      </c>
      <c r="O3141" s="15">
        <f t="shared" si="273"/>
        <v>72323</v>
      </c>
      <c r="P3141" s="15">
        <f t="shared" si="272"/>
        <v>11.000030419176245</v>
      </c>
      <c r="Q3141" s="14">
        <v>5000</v>
      </c>
      <c r="R3141" s="12">
        <v>100</v>
      </c>
      <c r="S3141" s="12" t="s">
        <v>3854</v>
      </c>
      <c r="T3141" s="22">
        <f t="shared" si="268"/>
        <v>9</v>
      </c>
      <c r="U3141" s="22">
        <f t="shared" si="269"/>
        <v>2021</v>
      </c>
      <c r="V3141" s="22" t="str">
        <f t="shared" si="270"/>
        <v>METROPOLITANA</v>
      </c>
    </row>
    <row r="3142" spans="1:22" x14ac:dyDescent="0.2">
      <c r="A3142" s="11" t="s">
        <v>3849</v>
      </c>
      <c r="B3142" s="12" t="s">
        <v>33</v>
      </c>
      <c r="C3142" s="12" t="s">
        <v>29</v>
      </c>
      <c r="D3142" s="12" t="s">
        <v>38</v>
      </c>
      <c r="E3142" s="13" t="s">
        <v>25</v>
      </c>
      <c r="F3142" s="12" t="s">
        <v>39</v>
      </c>
      <c r="G3142" s="14">
        <v>4752</v>
      </c>
      <c r="H3142" s="12" t="s">
        <v>43</v>
      </c>
      <c r="I3142" s="12">
        <v>0</v>
      </c>
      <c r="J3142" s="12" t="s">
        <v>39</v>
      </c>
      <c r="K3142" s="12" t="s">
        <v>23</v>
      </c>
      <c r="L3142" s="12">
        <v>1</v>
      </c>
      <c r="M3142" s="15">
        <v>55000</v>
      </c>
      <c r="N3142" s="15">
        <v>0</v>
      </c>
      <c r="O3142" s="15">
        <f t="shared" si="273"/>
        <v>55000</v>
      </c>
      <c r="P3142" s="15">
        <f t="shared" si="272"/>
        <v>11.574074074074074</v>
      </c>
      <c r="Q3142" s="14">
        <v>5000</v>
      </c>
      <c r="R3142" s="12">
        <v>95</v>
      </c>
      <c r="S3142" s="12" t="s">
        <v>3855</v>
      </c>
      <c r="T3142" s="22">
        <f t="shared" si="268"/>
        <v>9</v>
      </c>
      <c r="U3142" s="22">
        <f t="shared" si="269"/>
        <v>2021</v>
      </c>
      <c r="V3142" s="22" t="str">
        <f t="shared" si="270"/>
        <v>METROPOLITANA</v>
      </c>
    </row>
    <row r="3143" spans="1:22" x14ac:dyDescent="0.2">
      <c r="A3143" s="11" t="s">
        <v>3849</v>
      </c>
      <c r="B3143" s="12" t="s">
        <v>33</v>
      </c>
      <c r="C3143" s="12" t="s">
        <v>29</v>
      </c>
      <c r="D3143" s="12" t="s">
        <v>37</v>
      </c>
      <c r="E3143" s="13" t="s">
        <v>40</v>
      </c>
      <c r="F3143" s="12" t="s">
        <v>39</v>
      </c>
      <c r="G3143" s="14">
        <v>4752</v>
      </c>
      <c r="H3143" s="12" t="s">
        <v>22</v>
      </c>
      <c r="I3143" s="12">
        <v>0</v>
      </c>
      <c r="J3143" s="12" t="s">
        <v>39</v>
      </c>
      <c r="K3143" s="12" t="s">
        <v>23</v>
      </c>
      <c r="L3143" s="12">
        <v>1</v>
      </c>
      <c r="M3143" s="15">
        <v>55000</v>
      </c>
      <c r="N3143" s="15">
        <v>0</v>
      </c>
      <c r="O3143" s="15">
        <f t="shared" si="273"/>
        <v>55000</v>
      </c>
      <c r="P3143" s="15">
        <f t="shared" si="272"/>
        <v>11.574074074074074</v>
      </c>
      <c r="Q3143" s="14">
        <v>5000</v>
      </c>
      <c r="R3143" s="12">
        <v>95</v>
      </c>
      <c r="S3143" s="12" t="s">
        <v>3856</v>
      </c>
      <c r="T3143" s="22">
        <f t="shared" si="268"/>
        <v>9</v>
      </c>
      <c r="U3143" s="22">
        <f t="shared" si="269"/>
        <v>2021</v>
      </c>
      <c r="V3143" s="22" t="str">
        <f t="shared" si="270"/>
        <v>METROPOLITANA</v>
      </c>
    </row>
    <row r="3144" spans="1:22" x14ac:dyDescent="0.2">
      <c r="A3144" s="11" t="s">
        <v>3849</v>
      </c>
      <c r="B3144" s="12" t="s">
        <v>33</v>
      </c>
      <c r="C3144" s="12" t="s">
        <v>29</v>
      </c>
      <c r="D3144" s="12" t="s">
        <v>27</v>
      </c>
      <c r="E3144" s="13" t="s">
        <v>28</v>
      </c>
      <c r="F3144" s="12" t="s">
        <v>39</v>
      </c>
      <c r="G3144" s="14">
        <v>8553.6000000000058</v>
      </c>
      <c r="H3144" s="12" t="s">
        <v>22</v>
      </c>
      <c r="I3144" s="12">
        <v>1</v>
      </c>
      <c r="J3144" s="12" t="s">
        <v>39</v>
      </c>
      <c r="K3144" s="12" t="s">
        <v>23</v>
      </c>
      <c r="L3144" s="12">
        <v>1</v>
      </c>
      <c r="M3144" s="15">
        <v>94090</v>
      </c>
      <c r="N3144" s="15">
        <v>0</v>
      </c>
      <c r="O3144" s="15">
        <f t="shared" si="273"/>
        <v>94090</v>
      </c>
      <c r="P3144" s="15">
        <f t="shared" si="272"/>
        <v>11.000046763935645</v>
      </c>
      <c r="Q3144" s="14">
        <v>5000</v>
      </c>
      <c r="R3144" s="12">
        <v>100</v>
      </c>
      <c r="S3144" s="12" t="s">
        <v>3857</v>
      </c>
      <c r="T3144" s="22">
        <f t="shared" ref="T3144:T3207" si="274">MONTH(A3144)</f>
        <v>9</v>
      </c>
      <c r="U3144" s="22">
        <f t="shared" ref="U3144:U3207" si="275">YEAR(A3144)</f>
        <v>2021</v>
      </c>
      <c r="V3144" s="22" t="str">
        <f t="shared" ref="V3144:V3207" si="276">IF(K3144="METROPOLITANA DE SANTIAGO","METROPOLITANA","REGIONES")</f>
        <v>METROPOLITANA</v>
      </c>
    </row>
    <row r="3145" spans="1:22" x14ac:dyDescent="0.2">
      <c r="A3145" s="11" t="s">
        <v>3849</v>
      </c>
      <c r="B3145" s="12" t="s">
        <v>33</v>
      </c>
      <c r="C3145" s="12" t="s">
        <v>29</v>
      </c>
      <c r="D3145" s="12" t="s">
        <v>20</v>
      </c>
      <c r="E3145" s="13" t="s">
        <v>21</v>
      </c>
      <c r="F3145" s="12" t="s">
        <v>173</v>
      </c>
      <c r="G3145" s="14">
        <v>7078.5999999999995</v>
      </c>
      <c r="H3145" s="12" t="s">
        <v>22</v>
      </c>
      <c r="I3145" s="12">
        <v>0</v>
      </c>
      <c r="J3145" s="12" t="s">
        <v>173</v>
      </c>
      <c r="K3145" s="12" t="s">
        <v>23</v>
      </c>
      <c r="L3145" s="12">
        <v>5</v>
      </c>
      <c r="M3145" s="15">
        <v>90000</v>
      </c>
      <c r="N3145" s="15">
        <v>0</v>
      </c>
      <c r="O3145" s="15">
        <f t="shared" si="273"/>
        <v>90000</v>
      </c>
      <c r="P3145" s="15">
        <f t="shared" si="272"/>
        <v>12.714378549430679</v>
      </c>
      <c r="Q3145" s="14">
        <v>10000</v>
      </c>
      <c r="R3145" s="12">
        <v>71</v>
      </c>
      <c r="S3145" s="12" t="s">
        <v>3858</v>
      </c>
      <c r="T3145" s="22">
        <f t="shared" si="274"/>
        <v>9</v>
      </c>
      <c r="U3145" s="22">
        <f t="shared" si="275"/>
        <v>2021</v>
      </c>
      <c r="V3145" s="22" t="str">
        <f t="shared" si="276"/>
        <v>METROPOLITANA</v>
      </c>
    </row>
    <row r="3146" spans="1:22" x14ac:dyDescent="0.2">
      <c r="A3146" s="11" t="s">
        <v>3849</v>
      </c>
      <c r="B3146" s="12" t="s">
        <v>33</v>
      </c>
      <c r="C3146" s="12" t="s">
        <v>44</v>
      </c>
      <c r="D3146" s="12" t="s">
        <v>130</v>
      </c>
      <c r="E3146" s="13" t="s">
        <v>131</v>
      </c>
      <c r="F3146" s="12" t="s">
        <v>3438</v>
      </c>
      <c r="G3146" s="14">
        <v>15830.8</v>
      </c>
      <c r="H3146" s="12" t="s">
        <v>85</v>
      </c>
      <c r="I3146" s="12">
        <v>1</v>
      </c>
      <c r="J3146" s="12" t="s">
        <v>3438</v>
      </c>
      <c r="K3146" s="12" t="s">
        <v>93</v>
      </c>
      <c r="L3146" s="12">
        <v>0</v>
      </c>
      <c r="M3146" s="15">
        <v>620000</v>
      </c>
      <c r="N3146" s="15">
        <v>0</v>
      </c>
      <c r="O3146" s="15">
        <f t="shared" si="273"/>
        <v>620000</v>
      </c>
      <c r="P3146" s="15">
        <f t="shared" si="272"/>
        <v>39.164161002602526</v>
      </c>
      <c r="Q3146" s="14">
        <v>20000</v>
      </c>
      <c r="R3146" s="12">
        <v>79</v>
      </c>
      <c r="S3146" s="12" t="s">
        <v>3859</v>
      </c>
      <c r="T3146" s="22">
        <f t="shared" si="274"/>
        <v>9</v>
      </c>
      <c r="U3146" s="22">
        <f t="shared" si="275"/>
        <v>2021</v>
      </c>
      <c r="V3146" s="22" t="str">
        <f t="shared" si="276"/>
        <v>REGIONES</v>
      </c>
    </row>
    <row r="3147" spans="1:22" x14ac:dyDescent="0.2">
      <c r="A3147" s="11" t="s">
        <v>3849</v>
      </c>
      <c r="B3147" s="12" t="s">
        <v>33</v>
      </c>
      <c r="C3147" s="12" t="s">
        <v>44</v>
      </c>
      <c r="D3147" s="12" t="s">
        <v>45</v>
      </c>
      <c r="E3147" s="13" t="s">
        <v>52</v>
      </c>
      <c r="F3147" s="12" t="s">
        <v>34</v>
      </c>
      <c r="G3147" s="14">
        <v>5206.2</v>
      </c>
      <c r="H3147" s="12" t="s">
        <v>22</v>
      </c>
      <c r="I3147" s="12">
        <v>0</v>
      </c>
      <c r="J3147" s="12" t="s">
        <v>34</v>
      </c>
      <c r="K3147" s="12" t="s">
        <v>23</v>
      </c>
      <c r="L3147" s="12">
        <v>1</v>
      </c>
      <c r="M3147" s="15">
        <v>57268</v>
      </c>
      <c r="N3147" s="15">
        <v>0</v>
      </c>
      <c r="O3147" s="15">
        <f t="shared" si="273"/>
        <v>57268</v>
      </c>
      <c r="P3147" s="15">
        <f t="shared" si="272"/>
        <v>10.999961584264915</v>
      </c>
      <c r="Q3147" s="14">
        <v>5000</v>
      </c>
      <c r="R3147" s="12">
        <v>100</v>
      </c>
      <c r="S3147" s="12" t="s">
        <v>3860</v>
      </c>
      <c r="T3147" s="22">
        <f t="shared" si="274"/>
        <v>9</v>
      </c>
      <c r="U3147" s="22">
        <f t="shared" si="275"/>
        <v>2021</v>
      </c>
      <c r="V3147" s="22" t="str">
        <f t="shared" si="276"/>
        <v>METROPOLITANA</v>
      </c>
    </row>
    <row r="3148" spans="1:22" x14ac:dyDescent="0.2">
      <c r="A3148" s="23" t="s">
        <v>3863</v>
      </c>
      <c r="B3148" s="22" t="s">
        <v>33</v>
      </c>
      <c r="C3148" s="22" t="s">
        <v>36</v>
      </c>
      <c r="D3148" s="22" t="s">
        <v>38</v>
      </c>
      <c r="E3148" s="24" t="s">
        <v>25</v>
      </c>
      <c r="F3148" s="22" t="s">
        <v>376</v>
      </c>
      <c r="G3148" s="25">
        <v>4361.5999999999995</v>
      </c>
      <c r="H3148" s="22" t="s">
        <v>43</v>
      </c>
      <c r="I3148" s="22">
        <v>0</v>
      </c>
      <c r="J3148" s="22" t="s">
        <v>377</v>
      </c>
      <c r="K3148" s="22" t="s">
        <v>23</v>
      </c>
      <c r="L3148" s="22">
        <v>4</v>
      </c>
      <c r="M3148" s="26">
        <v>55000</v>
      </c>
      <c r="N3148" s="26">
        <v>0</v>
      </c>
      <c r="O3148" s="15">
        <f t="shared" si="273"/>
        <v>55000</v>
      </c>
      <c r="P3148" s="15">
        <f t="shared" si="272"/>
        <v>12.610051357300074</v>
      </c>
      <c r="Q3148" s="25">
        <v>5000</v>
      </c>
      <c r="R3148" s="22">
        <v>87</v>
      </c>
      <c r="S3148" s="22" t="s">
        <v>3864</v>
      </c>
      <c r="T3148" s="22">
        <f t="shared" si="274"/>
        <v>9</v>
      </c>
      <c r="U3148" s="22">
        <f t="shared" si="275"/>
        <v>2021</v>
      </c>
      <c r="V3148" s="22" t="str">
        <f t="shared" si="276"/>
        <v>METROPOLITANA</v>
      </c>
    </row>
    <row r="3149" spans="1:22" x14ac:dyDescent="0.2">
      <c r="A3149" s="23" t="s">
        <v>3863</v>
      </c>
      <c r="B3149" s="22" t="s">
        <v>33</v>
      </c>
      <c r="C3149" s="22" t="s">
        <v>36</v>
      </c>
      <c r="D3149" s="22" t="s">
        <v>786</v>
      </c>
      <c r="E3149" s="24" t="s">
        <v>787</v>
      </c>
      <c r="F3149" s="22" t="s">
        <v>876</v>
      </c>
      <c r="G3149" s="25">
        <f>6952.4+3411</f>
        <v>10363.4</v>
      </c>
      <c r="H3149" s="22" t="s">
        <v>788</v>
      </c>
      <c r="I3149" s="22">
        <v>1</v>
      </c>
      <c r="J3149" s="22" t="s">
        <v>876</v>
      </c>
      <c r="K3149" s="22" t="s">
        <v>86</v>
      </c>
      <c r="L3149" s="22">
        <v>0</v>
      </c>
      <c r="M3149" s="26">
        <v>330000</v>
      </c>
      <c r="N3149" s="26">
        <v>0</v>
      </c>
      <c r="O3149" s="15">
        <f t="shared" si="273"/>
        <v>330000</v>
      </c>
      <c r="P3149" s="15">
        <f t="shared" si="272"/>
        <v>31.842831503174637</v>
      </c>
      <c r="Q3149" s="25">
        <v>20000</v>
      </c>
      <c r="R3149" s="22">
        <v>60</v>
      </c>
      <c r="S3149" s="22" t="s">
        <v>3873</v>
      </c>
      <c r="T3149" s="22">
        <f t="shared" si="274"/>
        <v>9</v>
      </c>
      <c r="U3149" s="22">
        <f t="shared" si="275"/>
        <v>2021</v>
      </c>
      <c r="V3149" s="22" t="str">
        <f t="shared" si="276"/>
        <v>REGIONES</v>
      </c>
    </row>
    <row r="3150" spans="1:22" x14ac:dyDescent="0.2">
      <c r="A3150" s="23" t="s">
        <v>3863</v>
      </c>
      <c r="B3150" s="22" t="s">
        <v>33</v>
      </c>
      <c r="C3150" s="22" t="s">
        <v>29</v>
      </c>
      <c r="D3150" s="22" t="s">
        <v>38</v>
      </c>
      <c r="E3150" s="24" t="s">
        <v>25</v>
      </c>
      <c r="F3150" s="22" t="s">
        <v>39</v>
      </c>
      <c r="G3150" s="25">
        <v>2748</v>
      </c>
      <c r="H3150" s="22" t="s">
        <v>43</v>
      </c>
      <c r="I3150" s="22">
        <v>0</v>
      </c>
      <c r="J3150" s="22" t="s">
        <v>39</v>
      </c>
      <c r="K3150" s="22" t="s">
        <v>23</v>
      </c>
      <c r="L3150" s="22">
        <v>1</v>
      </c>
      <c r="M3150" s="26">
        <v>55000</v>
      </c>
      <c r="N3150" s="26">
        <v>0</v>
      </c>
      <c r="O3150" s="15">
        <f t="shared" si="273"/>
        <v>55000</v>
      </c>
      <c r="P3150" s="15">
        <f t="shared" si="272"/>
        <v>20.014556040756915</v>
      </c>
      <c r="Q3150" s="25">
        <v>5000</v>
      </c>
      <c r="R3150" s="22">
        <v>55</v>
      </c>
      <c r="S3150" s="22" t="s">
        <v>3865</v>
      </c>
      <c r="T3150" s="22">
        <f t="shared" si="274"/>
        <v>9</v>
      </c>
      <c r="U3150" s="22">
        <f t="shared" si="275"/>
        <v>2021</v>
      </c>
      <c r="V3150" s="22" t="str">
        <f t="shared" si="276"/>
        <v>METROPOLITANA</v>
      </c>
    </row>
    <row r="3151" spans="1:22" x14ac:dyDescent="0.2">
      <c r="A3151" s="23" t="s">
        <v>3863</v>
      </c>
      <c r="B3151" s="22" t="s">
        <v>33</v>
      </c>
      <c r="C3151" s="22" t="s">
        <v>29</v>
      </c>
      <c r="D3151" s="22" t="s">
        <v>37</v>
      </c>
      <c r="E3151" s="24" t="s">
        <v>40</v>
      </c>
      <c r="F3151" s="22" t="s">
        <v>39</v>
      </c>
      <c r="G3151" s="25">
        <v>2748</v>
      </c>
      <c r="H3151" s="22" t="s">
        <v>22</v>
      </c>
      <c r="I3151" s="22">
        <v>0</v>
      </c>
      <c r="J3151" s="22" t="s">
        <v>39</v>
      </c>
      <c r="K3151" s="22" t="s">
        <v>23</v>
      </c>
      <c r="L3151" s="22">
        <v>1</v>
      </c>
      <c r="M3151" s="26">
        <v>55000</v>
      </c>
      <c r="N3151" s="26">
        <v>0</v>
      </c>
      <c r="O3151" s="15">
        <f t="shared" si="273"/>
        <v>55000</v>
      </c>
      <c r="P3151" s="15">
        <f t="shared" si="272"/>
        <v>20.014556040756915</v>
      </c>
      <c r="Q3151" s="25">
        <v>5000</v>
      </c>
      <c r="R3151" s="22">
        <v>55</v>
      </c>
      <c r="S3151" s="22" t="s">
        <v>3866</v>
      </c>
      <c r="T3151" s="22">
        <f t="shared" si="274"/>
        <v>9</v>
      </c>
      <c r="U3151" s="22">
        <f t="shared" si="275"/>
        <v>2021</v>
      </c>
      <c r="V3151" s="22" t="str">
        <f t="shared" si="276"/>
        <v>METROPOLITANA</v>
      </c>
    </row>
    <row r="3152" spans="1:22" x14ac:dyDescent="0.2">
      <c r="A3152" s="23" t="s">
        <v>3863</v>
      </c>
      <c r="B3152" s="22" t="s">
        <v>33</v>
      </c>
      <c r="C3152" s="22" t="s">
        <v>29</v>
      </c>
      <c r="D3152" s="22" t="s">
        <v>27</v>
      </c>
      <c r="E3152" s="24" t="s">
        <v>28</v>
      </c>
      <c r="F3152" s="22" t="s">
        <v>39</v>
      </c>
      <c r="G3152" s="25">
        <v>15007.999999999991</v>
      </c>
      <c r="H3152" s="22" t="s">
        <v>22</v>
      </c>
      <c r="I3152" s="22">
        <v>1</v>
      </c>
      <c r="J3152" s="22" t="s">
        <v>39</v>
      </c>
      <c r="K3152" s="22" t="s">
        <v>23</v>
      </c>
      <c r="L3152" s="22">
        <v>1</v>
      </c>
      <c r="M3152" s="26">
        <v>165088</v>
      </c>
      <c r="N3152" s="26">
        <v>0</v>
      </c>
      <c r="O3152" s="15">
        <f t="shared" si="273"/>
        <v>165088</v>
      </c>
      <c r="P3152" s="15">
        <f t="shared" si="272"/>
        <v>11.000000000000007</v>
      </c>
      <c r="Q3152" s="25">
        <v>5000</v>
      </c>
      <c r="R3152" s="22">
        <v>100</v>
      </c>
      <c r="S3152" s="22" t="s">
        <v>3867</v>
      </c>
      <c r="T3152" s="22">
        <f t="shared" si="274"/>
        <v>9</v>
      </c>
      <c r="U3152" s="22">
        <f t="shared" si="275"/>
        <v>2021</v>
      </c>
      <c r="V3152" s="22" t="str">
        <f t="shared" si="276"/>
        <v>METROPOLITANA</v>
      </c>
    </row>
    <row r="3153" spans="1:22" x14ac:dyDescent="0.2">
      <c r="A3153" s="23" t="s">
        <v>3863</v>
      </c>
      <c r="B3153" s="22" t="s">
        <v>33</v>
      </c>
      <c r="C3153" s="22" t="s">
        <v>29</v>
      </c>
      <c r="D3153" s="22" t="s">
        <v>35</v>
      </c>
      <c r="E3153" s="24" t="s">
        <v>1576</v>
      </c>
      <c r="F3153" s="22" t="s">
        <v>134</v>
      </c>
      <c r="G3153" s="25">
        <v>3297.6000000000008</v>
      </c>
      <c r="H3153" s="22" t="s">
        <v>22</v>
      </c>
      <c r="I3153" s="22">
        <v>0</v>
      </c>
      <c r="J3153" s="22" t="s">
        <v>134</v>
      </c>
      <c r="K3153" s="22" t="s">
        <v>23</v>
      </c>
      <c r="L3153" s="22">
        <v>2</v>
      </c>
      <c r="M3153" s="26">
        <v>55000</v>
      </c>
      <c r="N3153" s="26">
        <v>0</v>
      </c>
      <c r="O3153" s="15">
        <f t="shared" si="273"/>
        <v>55000</v>
      </c>
      <c r="P3153" s="15">
        <f t="shared" si="272"/>
        <v>16.678796700630759</v>
      </c>
      <c r="Q3153" s="25">
        <v>5000</v>
      </c>
      <c r="R3153" s="22">
        <v>66</v>
      </c>
      <c r="S3153" s="22" t="s">
        <v>3868</v>
      </c>
      <c r="T3153" s="22">
        <f t="shared" si="274"/>
        <v>9</v>
      </c>
      <c r="U3153" s="22">
        <f t="shared" si="275"/>
        <v>2021</v>
      </c>
      <c r="V3153" s="22" t="str">
        <f t="shared" si="276"/>
        <v>METROPOLITANA</v>
      </c>
    </row>
    <row r="3154" spans="1:22" x14ac:dyDescent="0.2">
      <c r="A3154" s="23" t="s">
        <v>3863</v>
      </c>
      <c r="B3154" s="22" t="s">
        <v>33</v>
      </c>
      <c r="C3154" s="22" t="s">
        <v>29</v>
      </c>
      <c r="D3154" s="22" t="s">
        <v>20</v>
      </c>
      <c r="E3154" s="24" t="s">
        <v>1576</v>
      </c>
      <c r="F3154" s="22" t="s">
        <v>39</v>
      </c>
      <c r="G3154" s="25">
        <v>2748</v>
      </c>
      <c r="H3154" s="22" t="s">
        <v>22</v>
      </c>
      <c r="I3154" s="22">
        <v>0</v>
      </c>
      <c r="J3154" s="22" t="s">
        <v>39</v>
      </c>
      <c r="K3154" s="22" t="s">
        <v>23</v>
      </c>
      <c r="L3154" s="22">
        <v>1</v>
      </c>
      <c r="M3154" s="26">
        <v>55000</v>
      </c>
      <c r="N3154" s="26">
        <v>0</v>
      </c>
      <c r="O3154" s="15">
        <f t="shared" si="273"/>
        <v>55000</v>
      </c>
      <c r="P3154" s="15">
        <f t="shared" si="272"/>
        <v>20.014556040756915</v>
      </c>
      <c r="Q3154" s="25">
        <v>5000</v>
      </c>
      <c r="R3154" s="22">
        <v>55</v>
      </c>
      <c r="S3154" s="22" t="s">
        <v>3869</v>
      </c>
      <c r="T3154" s="22">
        <f t="shared" si="274"/>
        <v>9</v>
      </c>
      <c r="U3154" s="22">
        <f t="shared" si="275"/>
        <v>2021</v>
      </c>
      <c r="V3154" s="22" t="str">
        <f t="shared" si="276"/>
        <v>METROPOLITANA</v>
      </c>
    </row>
    <row r="3155" spans="1:22" x14ac:dyDescent="0.2">
      <c r="A3155" s="23" t="s">
        <v>3863</v>
      </c>
      <c r="B3155" s="22" t="s">
        <v>33</v>
      </c>
      <c r="C3155" s="22" t="s">
        <v>44</v>
      </c>
      <c r="D3155" s="22" t="s">
        <v>2955</v>
      </c>
      <c r="E3155" s="24" t="s">
        <v>2956</v>
      </c>
      <c r="F3155" s="22" t="s">
        <v>59</v>
      </c>
      <c r="G3155" s="25">
        <v>18691.2</v>
      </c>
      <c r="H3155" s="22" t="s">
        <v>24</v>
      </c>
      <c r="I3155" s="22">
        <v>1</v>
      </c>
      <c r="J3155" s="22" t="s">
        <v>59</v>
      </c>
      <c r="K3155" s="22" t="s">
        <v>78</v>
      </c>
      <c r="L3155" s="22">
        <v>0</v>
      </c>
      <c r="M3155" s="26">
        <v>230000</v>
      </c>
      <c r="N3155" s="26">
        <v>0</v>
      </c>
      <c r="O3155" s="15">
        <f t="shared" si="273"/>
        <v>230000</v>
      </c>
      <c r="P3155" s="15">
        <f t="shared" si="272"/>
        <v>12.305255949323746</v>
      </c>
      <c r="Q3155" s="25">
        <v>20000</v>
      </c>
      <c r="R3155" s="22">
        <v>93</v>
      </c>
      <c r="S3155" s="22" t="s">
        <v>3870</v>
      </c>
      <c r="T3155" s="22">
        <f t="shared" si="274"/>
        <v>9</v>
      </c>
      <c r="U3155" s="22">
        <f t="shared" si="275"/>
        <v>2021</v>
      </c>
      <c r="V3155" s="22" t="str">
        <f t="shared" si="276"/>
        <v>REGIONES</v>
      </c>
    </row>
    <row r="3156" spans="1:22" x14ac:dyDescent="0.2">
      <c r="A3156" s="23" t="s">
        <v>3863</v>
      </c>
      <c r="B3156" s="22" t="s">
        <v>33</v>
      </c>
      <c r="C3156" s="22" t="s">
        <v>44</v>
      </c>
      <c r="D3156" s="22" t="s">
        <v>47</v>
      </c>
      <c r="E3156" s="24" t="s">
        <v>52</v>
      </c>
      <c r="F3156" s="22" t="s">
        <v>48</v>
      </c>
      <c r="G3156" s="25">
        <v>10928.6</v>
      </c>
      <c r="H3156" s="22" t="s">
        <v>22</v>
      </c>
      <c r="I3156" s="22">
        <v>0</v>
      </c>
      <c r="J3156" s="22" t="s">
        <v>48</v>
      </c>
      <c r="K3156" s="22" t="s">
        <v>23</v>
      </c>
      <c r="L3156" s="22">
        <v>1</v>
      </c>
      <c r="M3156" s="26">
        <v>120215</v>
      </c>
      <c r="N3156" s="26">
        <v>0</v>
      </c>
      <c r="O3156" s="15">
        <f t="shared" si="273"/>
        <v>120215</v>
      </c>
      <c r="P3156" s="15">
        <f t="shared" si="272"/>
        <v>11.0000366012115</v>
      </c>
      <c r="Q3156" s="25">
        <v>5000</v>
      </c>
      <c r="R3156" s="22">
        <v>100</v>
      </c>
      <c r="S3156" s="22" t="s">
        <v>3871</v>
      </c>
      <c r="T3156" s="22">
        <f t="shared" si="274"/>
        <v>9</v>
      </c>
      <c r="U3156" s="22">
        <f t="shared" si="275"/>
        <v>2021</v>
      </c>
      <c r="V3156" s="22" t="str">
        <f t="shared" si="276"/>
        <v>METROPOLITANA</v>
      </c>
    </row>
    <row r="3157" spans="1:22" x14ac:dyDescent="0.2">
      <c r="A3157" s="23" t="s">
        <v>3863</v>
      </c>
      <c r="B3157" s="22" t="s">
        <v>33</v>
      </c>
      <c r="C3157" s="22" t="s">
        <v>44</v>
      </c>
      <c r="D3157" s="22" t="s">
        <v>20</v>
      </c>
      <c r="E3157" s="24" t="s">
        <v>1576</v>
      </c>
      <c r="F3157" s="22" t="s">
        <v>51</v>
      </c>
      <c r="G3157" s="25">
        <v>712.8</v>
      </c>
      <c r="H3157" s="22" t="s">
        <v>22</v>
      </c>
      <c r="I3157" s="22">
        <v>0</v>
      </c>
      <c r="J3157" s="22" t="s">
        <v>51</v>
      </c>
      <c r="K3157" s="22" t="s">
        <v>23</v>
      </c>
      <c r="L3157" s="22">
        <v>4</v>
      </c>
      <c r="M3157" s="26">
        <v>55000</v>
      </c>
      <c r="N3157" s="26">
        <v>0</v>
      </c>
      <c r="O3157" s="15">
        <f t="shared" si="273"/>
        <v>55000</v>
      </c>
      <c r="P3157" s="15">
        <f t="shared" si="272"/>
        <v>77.160493827160494</v>
      </c>
      <c r="Q3157" s="25">
        <v>5000</v>
      </c>
      <c r="R3157" s="22">
        <v>14</v>
      </c>
      <c r="S3157" s="22" t="s">
        <v>3872</v>
      </c>
      <c r="T3157" s="22">
        <f t="shared" si="274"/>
        <v>9</v>
      </c>
      <c r="U3157" s="22">
        <f t="shared" si="275"/>
        <v>2021</v>
      </c>
      <c r="V3157" s="22" t="str">
        <f t="shared" si="276"/>
        <v>METROPOLITANA</v>
      </c>
    </row>
    <row r="3158" spans="1:22" x14ac:dyDescent="0.2">
      <c r="A3158" s="11" t="s">
        <v>3874</v>
      </c>
      <c r="B3158" s="12" t="s">
        <v>18</v>
      </c>
      <c r="C3158" s="12" t="s">
        <v>57</v>
      </c>
      <c r="D3158" s="12" t="s">
        <v>63</v>
      </c>
      <c r="E3158" s="13" t="s">
        <v>64</v>
      </c>
      <c r="F3158" s="12" t="s">
        <v>3835</v>
      </c>
      <c r="G3158" s="14">
        <v>10293.4</v>
      </c>
      <c r="H3158" s="12" t="s">
        <v>65</v>
      </c>
      <c r="I3158" s="12">
        <v>0</v>
      </c>
      <c r="J3158" s="12" t="s">
        <v>3835</v>
      </c>
      <c r="K3158" s="12" t="s">
        <v>171</v>
      </c>
      <c r="L3158" s="12">
        <v>0</v>
      </c>
      <c r="M3158" s="15">
        <v>180000</v>
      </c>
      <c r="N3158" s="15">
        <v>0</v>
      </c>
      <c r="O3158" s="15">
        <f t="shared" si="273"/>
        <v>180000</v>
      </c>
      <c r="P3158" s="15">
        <f t="shared" si="272"/>
        <v>17.486933374783842</v>
      </c>
      <c r="Q3158" s="14">
        <v>20000</v>
      </c>
      <c r="R3158" s="12">
        <v>51</v>
      </c>
      <c r="S3158" s="12" t="s">
        <v>3875</v>
      </c>
      <c r="T3158" s="22">
        <f t="shared" si="274"/>
        <v>9</v>
      </c>
      <c r="U3158" s="22">
        <f t="shared" si="275"/>
        <v>2021</v>
      </c>
      <c r="V3158" s="22" t="str">
        <f t="shared" si="276"/>
        <v>REGIONES</v>
      </c>
    </row>
    <row r="3159" spans="1:22" x14ac:dyDescent="0.2">
      <c r="A3159" s="11" t="s">
        <v>3874</v>
      </c>
      <c r="B3159" s="12" t="s">
        <v>18</v>
      </c>
      <c r="C3159" s="12" t="s">
        <v>500</v>
      </c>
      <c r="D3159" s="12" t="s">
        <v>20</v>
      </c>
      <c r="E3159" s="13" t="s">
        <v>21</v>
      </c>
      <c r="F3159" s="12" t="s">
        <v>120</v>
      </c>
      <c r="G3159" s="14">
        <v>8172.3599999999979</v>
      </c>
      <c r="H3159" s="12" t="s">
        <v>22</v>
      </c>
      <c r="I3159" s="12">
        <v>0</v>
      </c>
      <c r="J3159" s="12" t="s">
        <v>120</v>
      </c>
      <c r="K3159" s="12" t="s">
        <v>23</v>
      </c>
      <c r="L3159" s="12">
        <v>5</v>
      </c>
      <c r="M3159" s="15">
        <v>70000</v>
      </c>
      <c r="N3159" s="15">
        <v>0</v>
      </c>
      <c r="O3159" s="15">
        <f t="shared" si="273"/>
        <v>70000</v>
      </c>
      <c r="P3159" s="15">
        <f t="shared" si="272"/>
        <v>8.5654572241066251</v>
      </c>
      <c r="Q3159" s="14">
        <v>10000</v>
      </c>
      <c r="R3159" s="12">
        <v>82</v>
      </c>
      <c r="S3159" s="12" t="s">
        <v>3876</v>
      </c>
      <c r="T3159" s="22">
        <f t="shared" si="274"/>
        <v>9</v>
      </c>
      <c r="U3159" s="22">
        <f t="shared" si="275"/>
        <v>2021</v>
      </c>
      <c r="V3159" s="22" t="str">
        <f t="shared" si="276"/>
        <v>METROPOLITANA</v>
      </c>
    </row>
    <row r="3160" spans="1:22" x14ac:dyDescent="0.2">
      <c r="A3160" s="11" t="s">
        <v>3874</v>
      </c>
      <c r="B3160" s="12" t="s">
        <v>18</v>
      </c>
      <c r="C3160" s="12" t="s">
        <v>163</v>
      </c>
      <c r="D3160" s="12" t="s">
        <v>27</v>
      </c>
      <c r="E3160" s="13" t="s">
        <v>28</v>
      </c>
      <c r="F3160" s="12" t="s">
        <v>165</v>
      </c>
      <c r="G3160" s="14">
        <v>24594.239999999991</v>
      </c>
      <c r="H3160" s="12" t="s">
        <v>22</v>
      </c>
      <c r="I3160" s="12">
        <v>1</v>
      </c>
      <c r="J3160" s="12" t="s">
        <v>165</v>
      </c>
      <c r="K3160" s="12" t="s">
        <v>23</v>
      </c>
      <c r="L3160" s="12">
        <v>4</v>
      </c>
      <c r="M3160" s="15">
        <v>270537</v>
      </c>
      <c r="N3160" s="15">
        <v>0</v>
      </c>
      <c r="O3160" s="15">
        <f t="shared" si="273"/>
        <v>270537</v>
      </c>
      <c r="P3160" s="15">
        <f t="shared" si="272"/>
        <v>11.000014637573679</v>
      </c>
      <c r="Q3160" s="14">
        <v>5000</v>
      </c>
      <c r="R3160" s="12">
        <v>100</v>
      </c>
      <c r="S3160" s="12" t="s">
        <v>3877</v>
      </c>
      <c r="T3160" s="22">
        <f t="shared" si="274"/>
        <v>9</v>
      </c>
      <c r="U3160" s="22">
        <f t="shared" si="275"/>
        <v>2021</v>
      </c>
      <c r="V3160" s="22" t="str">
        <f t="shared" si="276"/>
        <v>METROPOLITANA</v>
      </c>
    </row>
    <row r="3161" spans="1:22" x14ac:dyDescent="0.2">
      <c r="A3161" s="11" t="s">
        <v>3874</v>
      </c>
      <c r="B3161" s="12" t="s">
        <v>18</v>
      </c>
      <c r="C3161" s="12" t="s">
        <v>87</v>
      </c>
      <c r="D3161" s="12" t="s">
        <v>47</v>
      </c>
      <c r="E3161" s="13" t="s">
        <v>52</v>
      </c>
      <c r="F3161" s="12" t="s">
        <v>51</v>
      </c>
      <c r="G3161" s="14">
        <v>2110</v>
      </c>
      <c r="H3161" s="12" t="s">
        <v>22</v>
      </c>
      <c r="I3161" s="12">
        <v>0</v>
      </c>
      <c r="J3161" s="12" t="s">
        <v>51</v>
      </c>
      <c r="K3161" s="12" t="s">
        <v>23</v>
      </c>
      <c r="L3161" s="12">
        <v>4</v>
      </c>
      <c r="M3161" s="15">
        <v>55000</v>
      </c>
      <c r="N3161" s="15">
        <v>0</v>
      </c>
      <c r="O3161" s="15">
        <f t="shared" si="273"/>
        <v>55000</v>
      </c>
      <c r="P3161" s="15">
        <f t="shared" si="272"/>
        <v>26.066350710900473</v>
      </c>
      <c r="Q3161" s="14">
        <v>5000</v>
      </c>
      <c r="R3161" s="12">
        <v>42</v>
      </c>
      <c r="S3161" s="12" t="s">
        <v>3878</v>
      </c>
      <c r="T3161" s="22">
        <f t="shared" si="274"/>
        <v>9</v>
      </c>
      <c r="U3161" s="22">
        <f t="shared" si="275"/>
        <v>2021</v>
      </c>
      <c r="V3161" s="22" t="str">
        <f t="shared" si="276"/>
        <v>METROPOLITANA</v>
      </c>
    </row>
    <row r="3162" spans="1:22" x14ac:dyDescent="0.2">
      <c r="A3162" s="11" t="s">
        <v>3874</v>
      </c>
      <c r="B3162" s="12" t="s">
        <v>33</v>
      </c>
      <c r="C3162" s="12" t="s">
        <v>128</v>
      </c>
      <c r="D3162" s="12" t="s">
        <v>3879</v>
      </c>
      <c r="E3162" s="13" t="s">
        <v>1870</v>
      </c>
      <c r="F3162" s="12" t="s">
        <v>407</v>
      </c>
      <c r="G3162" s="14">
        <v>25338.899999999991</v>
      </c>
      <c r="H3162" s="12" t="s">
        <v>24</v>
      </c>
      <c r="I3162" s="12">
        <v>1</v>
      </c>
      <c r="J3162" s="12" t="s">
        <v>407</v>
      </c>
      <c r="K3162" s="12" t="s">
        <v>408</v>
      </c>
      <c r="L3162" s="12">
        <v>0</v>
      </c>
      <c r="M3162" s="15">
        <v>600000</v>
      </c>
      <c r="N3162" s="15">
        <v>0</v>
      </c>
      <c r="O3162" s="15">
        <f t="shared" si="273"/>
        <v>600000</v>
      </c>
      <c r="P3162" s="15">
        <f t="shared" si="272"/>
        <v>23.679007376010805</v>
      </c>
      <c r="Q3162" s="14">
        <v>20000</v>
      </c>
      <c r="R3162" s="12">
        <v>100</v>
      </c>
      <c r="S3162" s="12" t="s">
        <v>3880</v>
      </c>
      <c r="T3162" s="22">
        <f t="shared" si="274"/>
        <v>9</v>
      </c>
      <c r="U3162" s="22">
        <f t="shared" si="275"/>
        <v>2021</v>
      </c>
      <c r="V3162" s="22" t="str">
        <f t="shared" si="276"/>
        <v>REGIONES</v>
      </c>
    </row>
    <row r="3163" spans="1:22" x14ac:dyDescent="0.2">
      <c r="A3163" s="11" t="s">
        <v>3874</v>
      </c>
      <c r="B3163" s="12" t="s">
        <v>33</v>
      </c>
      <c r="C3163" s="12" t="s">
        <v>128</v>
      </c>
      <c r="D3163" s="12" t="s">
        <v>3881</v>
      </c>
      <c r="E3163" s="13" t="s">
        <v>3882</v>
      </c>
      <c r="F3163" s="12" t="s">
        <v>407</v>
      </c>
      <c r="G3163" s="14">
        <v>25698.599999999991</v>
      </c>
      <c r="H3163" s="12" t="s">
        <v>24</v>
      </c>
      <c r="I3163" s="12">
        <v>1</v>
      </c>
      <c r="J3163" s="12" t="s">
        <v>407</v>
      </c>
      <c r="K3163" s="12" t="s">
        <v>408</v>
      </c>
      <c r="L3163" s="12">
        <v>0</v>
      </c>
      <c r="M3163" s="15">
        <v>600000</v>
      </c>
      <c r="N3163" s="15">
        <v>0</v>
      </c>
      <c r="O3163" s="15">
        <f t="shared" si="273"/>
        <v>600000</v>
      </c>
      <c r="P3163" s="15">
        <f t="shared" si="272"/>
        <v>23.347575354299465</v>
      </c>
      <c r="Q3163" s="14">
        <v>20000</v>
      </c>
      <c r="R3163" s="12">
        <v>100</v>
      </c>
      <c r="S3163" s="12" t="s">
        <v>3883</v>
      </c>
      <c r="T3163" s="22">
        <f t="shared" si="274"/>
        <v>9</v>
      </c>
      <c r="U3163" s="22">
        <f t="shared" si="275"/>
        <v>2021</v>
      </c>
      <c r="V3163" s="22" t="str">
        <f t="shared" si="276"/>
        <v>REGIONES</v>
      </c>
    </row>
    <row r="3164" spans="1:22" x14ac:dyDescent="0.2">
      <c r="A3164" s="11" t="s">
        <v>3874</v>
      </c>
      <c r="B3164" s="12" t="s">
        <v>33</v>
      </c>
      <c r="C3164" s="12" t="s">
        <v>128</v>
      </c>
      <c r="D3164" s="12" t="s">
        <v>3884</v>
      </c>
      <c r="E3164" s="13" t="s">
        <v>3885</v>
      </c>
      <c r="F3164" s="12" t="s">
        <v>407</v>
      </c>
      <c r="G3164" s="14">
        <v>25642.46999999999</v>
      </c>
      <c r="H3164" s="12" t="s">
        <v>24</v>
      </c>
      <c r="I3164" s="12">
        <v>1</v>
      </c>
      <c r="J3164" s="12" t="s">
        <v>407</v>
      </c>
      <c r="K3164" s="12" t="s">
        <v>408</v>
      </c>
      <c r="L3164" s="12">
        <v>0</v>
      </c>
      <c r="M3164" s="15">
        <v>600000</v>
      </c>
      <c r="N3164" s="15">
        <v>0</v>
      </c>
      <c r="O3164" s="15">
        <f t="shared" si="273"/>
        <v>600000</v>
      </c>
      <c r="P3164" s="15">
        <f t="shared" si="272"/>
        <v>23.398681952245639</v>
      </c>
      <c r="Q3164" s="14">
        <v>20000</v>
      </c>
      <c r="R3164" s="12">
        <v>100</v>
      </c>
      <c r="S3164" s="12" t="s">
        <v>3886</v>
      </c>
      <c r="T3164" s="22">
        <f t="shared" si="274"/>
        <v>9</v>
      </c>
      <c r="U3164" s="22">
        <f t="shared" si="275"/>
        <v>2021</v>
      </c>
      <c r="V3164" s="22" t="str">
        <f t="shared" si="276"/>
        <v>REGIONES</v>
      </c>
    </row>
    <row r="3165" spans="1:22" x14ac:dyDescent="0.2">
      <c r="A3165" s="11" t="s">
        <v>3874</v>
      </c>
      <c r="B3165" s="12" t="s">
        <v>33</v>
      </c>
      <c r="C3165" s="12" t="s">
        <v>36</v>
      </c>
      <c r="D3165" s="12" t="s">
        <v>2955</v>
      </c>
      <c r="E3165" s="13" t="s">
        <v>2956</v>
      </c>
      <c r="F3165" s="12" t="s">
        <v>129</v>
      </c>
      <c r="G3165" s="14">
        <v>18357</v>
      </c>
      <c r="H3165" s="12" t="s">
        <v>24</v>
      </c>
      <c r="I3165" s="12">
        <v>1</v>
      </c>
      <c r="J3165" s="12" t="s">
        <v>129</v>
      </c>
      <c r="K3165" s="12" t="s">
        <v>23</v>
      </c>
      <c r="L3165" s="12">
        <v>1</v>
      </c>
      <c r="M3165" s="15">
        <v>201927</v>
      </c>
      <c r="N3165" s="15">
        <v>0</v>
      </c>
      <c r="O3165" s="15">
        <f t="shared" ref="O3165:O3195" si="277">SUM(M3165:N3165)</f>
        <v>201927</v>
      </c>
      <c r="P3165" s="15">
        <f t="shared" si="272"/>
        <v>11</v>
      </c>
      <c r="Q3165" s="14">
        <v>5000</v>
      </c>
      <c r="R3165" s="12">
        <v>100</v>
      </c>
      <c r="S3165" s="12" t="s">
        <v>3887</v>
      </c>
      <c r="T3165" s="22">
        <f t="shared" si="274"/>
        <v>9</v>
      </c>
      <c r="U3165" s="22">
        <f t="shared" si="275"/>
        <v>2021</v>
      </c>
      <c r="V3165" s="22" t="str">
        <f t="shared" si="276"/>
        <v>METROPOLITANA</v>
      </c>
    </row>
    <row r="3166" spans="1:22" x14ac:dyDescent="0.2">
      <c r="A3166" s="11" t="s">
        <v>3874</v>
      </c>
      <c r="B3166" s="12" t="s">
        <v>33</v>
      </c>
      <c r="C3166" s="12" t="s">
        <v>2862</v>
      </c>
      <c r="D3166" s="12" t="s">
        <v>38</v>
      </c>
      <c r="E3166" s="13" t="s">
        <v>25</v>
      </c>
      <c r="F3166" s="12" t="s">
        <v>129</v>
      </c>
      <c r="G3166" s="14">
        <v>8502</v>
      </c>
      <c r="H3166" s="12" t="s">
        <v>43</v>
      </c>
      <c r="I3166" s="12">
        <v>0</v>
      </c>
      <c r="J3166" s="12" t="s">
        <v>129</v>
      </c>
      <c r="K3166" s="12" t="s">
        <v>23</v>
      </c>
      <c r="L3166" s="12">
        <v>1</v>
      </c>
      <c r="M3166" s="15">
        <v>93522</v>
      </c>
      <c r="N3166" s="15">
        <v>0</v>
      </c>
      <c r="O3166" s="15">
        <f t="shared" si="277"/>
        <v>93522</v>
      </c>
      <c r="P3166" s="15">
        <f t="shared" si="272"/>
        <v>11</v>
      </c>
      <c r="Q3166" s="14">
        <v>5000</v>
      </c>
      <c r="R3166" s="12">
        <v>100</v>
      </c>
      <c r="S3166" s="12" t="s">
        <v>3888</v>
      </c>
      <c r="T3166" s="22">
        <f t="shared" si="274"/>
        <v>9</v>
      </c>
      <c r="U3166" s="22">
        <f t="shared" si="275"/>
        <v>2021</v>
      </c>
      <c r="V3166" s="22" t="str">
        <f t="shared" si="276"/>
        <v>METROPOLITANA</v>
      </c>
    </row>
    <row r="3167" spans="1:22" x14ac:dyDescent="0.2">
      <c r="A3167" s="11" t="s">
        <v>3874</v>
      </c>
      <c r="B3167" s="12" t="s">
        <v>33</v>
      </c>
      <c r="C3167" s="12" t="s">
        <v>2862</v>
      </c>
      <c r="D3167" s="12" t="s">
        <v>37</v>
      </c>
      <c r="E3167" s="13" t="s">
        <v>40</v>
      </c>
      <c r="F3167" s="12" t="s">
        <v>129</v>
      </c>
      <c r="G3167" s="14">
        <v>8502</v>
      </c>
      <c r="H3167" s="12" t="s">
        <v>22</v>
      </c>
      <c r="I3167" s="12">
        <v>0</v>
      </c>
      <c r="J3167" s="12" t="s">
        <v>129</v>
      </c>
      <c r="K3167" s="12" t="s">
        <v>23</v>
      </c>
      <c r="L3167" s="12">
        <v>1</v>
      </c>
      <c r="M3167" s="15">
        <v>93522</v>
      </c>
      <c r="N3167" s="15">
        <v>0</v>
      </c>
      <c r="O3167" s="15">
        <f t="shared" si="277"/>
        <v>93522</v>
      </c>
      <c r="P3167" s="15">
        <f t="shared" si="272"/>
        <v>11</v>
      </c>
      <c r="Q3167" s="14">
        <v>5000</v>
      </c>
      <c r="R3167" s="12">
        <v>100</v>
      </c>
      <c r="S3167" s="12" t="s">
        <v>3889</v>
      </c>
      <c r="T3167" s="22">
        <f t="shared" si="274"/>
        <v>9</v>
      </c>
      <c r="U3167" s="22">
        <f t="shared" si="275"/>
        <v>2021</v>
      </c>
      <c r="V3167" s="22" t="str">
        <f t="shared" si="276"/>
        <v>METROPOLITANA</v>
      </c>
    </row>
    <row r="3168" spans="1:22" x14ac:dyDescent="0.2">
      <c r="A3168" s="11" t="s">
        <v>3874</v>
      </c>
      <c r="B3168" s="12" t="s">
        <v>33</v>
      </c>
      <c r="C3168" s="12" t="s">
        <v>44</v>
      </c>
      <c r="D3168" s="12" t="s">
        <v>45</v>
      </c>
      <c r="E3168" s="13" t="s">
        <v>3890</v>
      </c>
      <c r="F3168" s="12" t="s">
        <v>182</v>
      </c>
      <c r="G3168" s="14">
        <v>5513.4</v>
      </c>
      <c r="H3168" s="12" t="s">
        <v>22</v>
      </c>
      <c r="I3168" s="12">
        <v>0</v>
      </c>
      <c r="J3168" s="12" t="s">
        <v>182</v>
      </c>
      <c r="K3168" s="12" t="s">
        <v>23</v>
      </c>
      <c r="L3168" s="12">
        <v>4</v>
      </c>
      <c r="M3168" s="15">
        <v>60647</v>
      </c>
      <c r="N3168" s="15">
        <v>0</v>
      </c>
      <c r="O3168" s="15">
        <f t="shared" si="277"/>
        <v>60647</v>
      </c>
      <c r="P3168" s="15">
        <f t="shared" si="272"/>
        <v>10.999927449486705</v>
      </c>
      <c r="Q3168" s="14">
        <v>5000</v>
      </c>
      <c r="R3168" s="12">
        <v>100</v>
      </c>
      <c r="S3168" s="12" t="s">
        <v>3891</v>
      </c>
      <c r="T3168" s="22">
        <f t="shared" si="274"/>
        <v>9</v>
      </c>
      <c r="U3168" s="22">
        <f t="shared" si="275"/>
        <v>2021</v>
      </c>
      <c r="V3168" s="22" t="str">
        <f t="shared" si="276"/>
        <v>METROPOLITANA</v>
      </c>
    </row>
    <row r="3169" spans="1:22" x14ac:dyDescent="0.2">
      <c r="A3169" s="11" t="s">
        <v>3874</v>
      </c>
      <c r="B3169" s="12" t="s">
        <v>33</v>
      </c>
      <c r="C3169" s="12" t="s">
        <v>44</v>
      </c>
      <c r="D3169" s="12" t="s">
        <v>125</v>
      </c>
      <c r="E3169" s="13" t="s">
        <v>126</v>
      </c>
      <c r="F3169" s="12" t="s">
        <v>1105</v>
      </c>
      <c r="G3169" s="14">
        <v>16579.19999999999</v>
      </c>
      <c r="H3169" s="12" t="s">
        <v>174</v>
      </c>
      <c r="I3169" s="12">
        <v>0</v>
      </c>
      <c r="J3169" s="12" t="s">
        <v>1105</v>
      </c>
      <c r="K3169" s="12" t="s">
        <v>873</v>
      </c>
      <c r="L3169" s="12">
        <v>0</v>
      </c>
      <c r="M3169" s="15">
        <v>900000</v>
      </c>
      <c r="N3169" s="15">
        <v>0</v>
      </c>
      <c r="O3169" s="15">
        <f t="shared" si="277"/>
        <v>900000</v>
      </c>
      <c r="P3169" s="15">
        <f t="shared" ref="P3169:P3232" si="278">O3169/G3169</f>
        <v>54.284887087434889</v>
      </c>
      <c r="Q3169" s="14">
        <v>20000</v>
      </c>
      <c r="R3169" s="12">
        <v>83</v>
      </c>
      <c r="S3169" s="12" t="s">
        <v>3892</v>
      </c>
      <c r="T3169" s="22">
        <f t="shared" si="274"/>
        <v>9</v>
      </c>
      <c r="U3169" s="22">
        <f t="shared" si="275"/>
        <v>2021</v>
      </c>
      <c r="V3169" s="22" t="str">
        <f t="shared" si="276"/>
        <v>REGIONES</v>
      </c>
    </row>
    <row r="3170" spans="1:22" x14ac:dyDescent="0.2">
      <c r="A3170" s="23" t="s">
        <v>3893</v>
      </c>
      <c r="B3170" s="22" t="s">
        <v>18</v>
      </c>
      <c r="C3170" s="22" t="s">
        <v>500</v>
      </c>
      <c r="D3170" s="22" t="s">
        <v>38</v>
      </c>
      <c r="E3170" s="24" t="s">
        <v>25</v>
      </c>
      <c r="F3170" s="22" t="s">
        <v>120</v>
      </c>
      <c r="G3170" s="25">
        <v>8964.8199999999979</v>
      </c>
      <c r="H3170" s="22" t="s">
        <v>43</v>
      </c>
      <c r="I3170" s="22">
        <v>0</v>
      </c>
      <c r="J3170" s="22" t="s">
        <v>120</v>
      </c>
      <c r="K3170" s="22" t="s">
        <v>23</v>
      </c>
      <c r="L3170" s="22">
        <v>5</v>
      </c>
      <c r="M3170" s="26">
        <v>70000</v>
      </c>
      <c r="N3170" s="26">
        <v>0</v>
      </c>
      <c r="O3170" s="15">
        <f t="shared" si="277"/>
        <v>70000</v>
      </c>
      <c r="P3170" s="15">
        <f t="shared" si="278"/>
        <v>7.8082995531421728</v>
      </c>
      <c r="Q3170" s="25">
        <v>10000</v>
      </c>
      <c r="R3170" s="22">
        <v>90</v>
      </c>
      <c r="S3170" s="22" t="s">
        <v>3894</v>
      </c>
      <c r="T3170" s="22">
        <f t="shared" si="274"/>
        <v>9</v>
      </c>
      <c r="U3170" s="22">
        <f t="shared" si="275"/>
        <v>2021</v>
      </c>
      <c r="V3170" s="22" t="str">
        <f t="shared" si="276"/>
        <v>METROPOLITANA</v>
      </c>
    </row>
    <row r="3171" spans="1:22" x14ac:dyDescent="0.2">
      <c r="A3171" s="23" t="s">
        <v>3893</v>
      </c>
      <c r="B3171" s="22" t="s">
        <v>18</v>
      </c>
      <c r="C3171" s="22" t="s">
        <v>19</v>
      </c>
      <c r="D3171" s="22" t="s">
        <v>27</v>
      </c>
      <c r="E3171" s="24" t="s">
        <v>28</v>
      </c>
      <c r="F3171" s="22" t="s">
        <v>51</v>
      </c>
      <c r="G3171" s="25">
        <v>18477.55</v>
      </c>
      <c r="H3171" s="22" t="s">
        <v>22</v>
      </c>
      <c r="I3171" s="22">
        <v>1</v>
      </c>
      <c r="J3171" s="22" t="s">
        <v>51</v>
      </c>
      <c r="K3171" s="22" t="s">
        <v>23</v>
      </c>
      <c r="L3171" s="22">
        <v>4</v>
      </c>
      <c r="M3171" s="26">
        <v>203253</v>
      </c>
      <c r="N3171" s="26">
        <v>0</v>
      </c>
      <c r="O3171" s="15">
        <f t="shared" si="277"/>
        <v>203253</v>
      </c>
      <c r="P3171" s="15">
        <f t="shared" si="278"/>
        <v>10.999997294013546</v>
      </c>
      <c r="Q3171" s="25">
        <v>5000</v>
      </c>
      <c r="R3171" s="22">
        <v>100</v>
      </c>
      <c r="S3171" s="22" t="s">
        <v>3895</v>
      </c>
      <c r="T3171" s="22">
        <f t="shared" si="274"/>
        <v>9</v>
      </c>
      <c r="U3171" s="22">
        <f t="shared" si="275"/>
        <v>2021</v>
      </c>
      <c r="V3171" s="22" t="str">
        <f t="shared" si="276"/>
        <v>METROPOLITANA</v>
      </c>
    </row>
    <row r="3172" spans="1:22" x14ac:dyDescent="0.2">
      <c r="A3172" s="23" t="s">
        <v>3893</v>
      </c>
      <c r="B3172" s="22" t="s">
        <v>33</v>
      </c>
      <c r="C3172" s="22" t="s">
        <v>128</v>
      </c>
      <c r="D3172" s="22" t="s">
        <v>2262</v>
      </c>
      <c r="E3172" s="24" t="s">
        <v>83</v>
      </c>
      <c r="F3172" s="22" t="s">
        <v>66</v>
      </c>
      <c r="G3172" s="25">
        <v>9246</v>
      </c>
      <c r="H3172" s="22" t="s">
        <v>24</v>
      </c>
      <c r="I3172" s="22">
        <v>1</v>
      </c>
      <c r="J3172" s="22" t="s">
        <v>66</v>
      </c>
      <c r="K3172" s="22" t="s">
        <v>75</v>
      </c>
      <c r="L3172" s="22">
        <v>0</v>
      </c>
      <c r="M3172" s="26">
        <v>380000</v>
      </c>
      <c r="N3172" s="26">
        <v>0</v>
      </c>
      <c r="O3172" s="15">
        <f t="shared" si="277"/>
        <v>380000</v>
      </c>
      <c r="P3172" s="15">
        <f t="shared" si="278"/>
        <v>41.098853558295481</v>
      </c>
      <c r="Q3172" s="25">
        <v>20000</v>
      </c>
      <c r="R3172" s="22">
        <v>46</v>
      </c>
      <c r="S3172" s="22" t="s">
        <v>3896</v>
      </c>
      <c r="T3172" s="22">
        <f t="shared" si="274"/>
        <v>9</v>
      </c>
      <c r="U3172" s="22">
        <f t="shared" si="275"/>
        <v>2021</v>
      </c>
      <c r="V3172" s="22" t="str">
        <f t="shared" si="276"/>
        <v>REGIONES</v>
      </c>
    </row>
    <row r="3173" spans="1:22" x14ac:dyDescent="0.2">
      <c r="A3173" s="23" t="s">
        <v>3893</v>
      </c>
      <c r="B3173" s="22" t="s">
        <v>33</v>
      </c>
      <c r="C3173" s="22" t="s">
        <v>128</v>
      </c>
      <c r="D3173" s="22" t="s">
        <v>47</v>
      </c>
      <c r="E3173" s="24" t="s">
        <v>1576</v>
      </c>
      <c r="F3173" s="22" t="s">
        <v>129</v>
      </c>
      <c r="G3173" s="25">
        <v>9493.2000000000007</v>
      </c>
      <c r="H3173" s="22" t="s">
        <v>22</v>
      </c>
      <c r="I3173" s="22">
        <v>0</v>
      </c>
      <c r="J3173" s="22" t="s">
        <v>129</v>
      </c>
      <c r="K3173" s="22" t="s">
        <v>23</v>
      </c>
      <c r="L3173" s="22">
        <v>1</v>
      </c>
      <c r="M3173" s="26">
        <v>104425</v>
      </c>
      <c r="N3173" s="26">
        <v>0</v>
      </c>
      <c r="O3173" s="15">
        <f t="shared" si="277"/>
        <v>104425</v>
      </c>
      <c r="P3173" s="15">
        <f t="shared" si="278"/>
        <v>10.999978932288373</v>
      </c>
      <c r="Q3173" s="25">
        <v>5000</v>
      </c>
      <c r="R3173" s="22">
        <v>100</v>
      </c>
      <c r="S3173" s="22" t="s">
        <v>3897</v>
      </c>
      <c r="T3173" s="22">
        <f t="shared" si="274"/>
        <v>9</v>
      </c>
      <c r="U3173" s="22">
        <f t="shared" si="275"/>
        <v>2021</v>
      </c>
      <c r="V3173" s="22" t="str">
        <f t="shared" si="276"/>
        <v>METROPOLITANA</v>
      </c>
    </row>
    <row r="3174" spans="1:22" x14ac:dyDescent="0.2">
      <c r="A3174" s="23" t="s">
        <v>3893</v>
      </c>
      <c r="B3174" s="22" t="s">
        <v>33</v>
      </c>
      <c r="C3174" s="22" t="s">
        <v>909</v>
      </c>
      <c r="D3174" s="22" t="s">
        <v>786</v>
      </c>
      <c r="E3174" s="24" t="s">
        <v>787</v>
      </c>
      <c r="F3174" s="22" t="s">
        <v>3898</v>
      </c>
      <c r="G3174" s="25">
        <v>18760</v>
      </c>
      <c r="H3174" s="22" t="s">
        <v>788</v>
      </c>
      <c r="I3174" s="22">
        <v>1</v>
      </c>
      <c r="J3174" s="22" t="s">
        <v>910</v>
      </c>
      <c r="K3174" s="22" t="s">
        <v>171</v>
      </c>
      <c r="L3174" s="22">
        <v>0</v>
      </c>
      <c r="M3174" s="26">
        <v>230000</v>
      </c>
      <c r="N3174" s="26">
        <v>0</v>
      </c>
      <c r="O3174" s="15">
        <f t="shared" si="277"/>
        <v>230000</v>
      </c>
      <c r="P3174" s="15">
        <f t="shared" si="278"/>
        <v>12.260127931769723</v>
      </c>
      <c r="Q3174" s="25">
        <v>20000</v>
      </c>
      <c r="R3174" s="22">
        <v>94</v>
      </c>
      <c r="S3174" s="22" t="s">
        <v>3899</v>
      </c>
      <c r="T3174" s="22">
        <f t="shared" si="274"/>
        <v>9</v>
      </c>
      <c r="U3174" s="22">
        <f t="shared" si="275"/>
        <v>2021</v>
      </c>
      <c r="V3174" s="22" t="str">
        <f t="shared" si="276"/>
        <v>REGIONES</v>
      </c>
    </row>
    <row r="3175" spans="1:22" x14ac:dyDescent="0.2">
      <c r="A3175" s="23" t="s">
        <v>3893</v>
      </c>
      <c r="B3175" s="22" t="s">
        <v>33</v>
      </c>
      <c r="C3175" s="22" t="s">
        <v>29</v>
      </c>
      <c r="D3175" s="22" t="s">
        <v>37</v>
      </c>
      <c r="E3175" s="24" t="s">
        <v>1457</v>
      </c>
      <c r="F3175" s="22" t="s">
        <v>39</v>
      </c>
      <c r="G3175" s="25">
        <f>1374+1374</f>
        <v>2748</v>
      </c>
      <c r="H3175" s="22" t="s">
        <v>22</v>
      </c>
      <c r="I3175" s="22">
        <v>0</v>
      </c>
      <c r="J3175" s="22" t="s">
        <v>39</v>
      </c>
      <c r="K3175" s="22" t="s">
        <v>23</v>
      </c>
      <c r="L3175" s="22">
        <v>1</v>
      </c>
      <c r="M3175" s="26">
        <v>55000</v>
      </c>
      <c r="N3175" s="26">
        <v>0</v>
      </c>
      <c r="O3175" s="15">
        <f t="shared" si="277"/>
        <v>55000</v>
      </c>
      <c r="P3175" s="15">
        <f t="shared" si="278"/>
        <v>20.014556040756915</v>
      </c>
      <c r="Q3175" s="25">
        <v>5000</v>
      </c>
      <c r="R3175" s="22">
        <v>27</v>
      </c>
      <c r="S3175" s="22" t="s">
        <v>3906</v>
      </c>
      <c r="T3175" s="22">
        <f t="shared" si="274"/>
        <v>9</v>
      </c>
      <c r="U3175" s="22">
        <f t="shared" si="275"/>
        <v>2021</v>
      </c>
      <c r="V3175" s="22" t="str">
        <f t="shared" si="276"/>
        <v>METROPOLITANA</v>
      </c>
    </row>
    <row r="3176" spans="1:22" x14ac:dyDescent="0.2">
      <c r="A3176" s="23" t="s">
        <v>3893</v>
      </c>
      <c r="B3176" s="22" t="s">
        <v>33</v>
      </c>
      <c r="C3176" s="22" t="s">
        <v>29</v>
      </c>
      <c r="D3176" s="22" t="s">
        <v>27</v>
      </c>
      <c r="E3176" s="24" t="s">
        <v>28</v>
      </c>
      <c r="F3176" s="22" t="s">
        <v>39</v>
      </c>
      <c r="G3176" s="25">
        <v>8244.0000000000036</v>
      </c>
      <c r="H3176" s="22" t="s">
        <v>22</v>
      </c>
      <c r="I3176" s="22">
        <v>1</v>
      </c>
      <c r="J3176" s="22" t="s">
        <v>39</v>
      </c>
      <c r="K3176" s="22" t="s">
        <v>23</v>
      </c>
      <c r="L3176" s="22">
        <v>1</v>
      </c>
      <c r="M3176" s="26">
        <v>90684</v>
      </c>
      <c r="N3176" s="26">
        <v>0</v>
      </c>
      <c r="O3176" s="15">
        <f t="shared" si="277"/>
        <v>90684</v>
      </c>
      <c r="P3176" s="15">
        <f t="shared" si="278"/>
        <v>10.999999999999995</v>
      </c>
      <c r="Q3176" s="25">
        <v>5000</v>
      </c>
      <c r="R3176" s="22">
        <v>100</v>
      </c>
      <c r="S3176" s="22" t="s">
        <v>3900</v>
      </c>
      <c r="T3176" s="22">
        <f t="shared" si="274"/>
        <v>9</v>
      </c>
      <c r="U3176" s="22">
        <f t="shared" si="275"/>
        <v>2021</v>
      </c>
      <c r="V3176" s="22" t="str">
        <f t="shared" si="276"/>
        <v>METROPOLITANA</v>
      </c>
    </row>
    <row r="3177" spans="1:22" x14ac:dyDescent="0.2">
      <c r="A3177" s="23" t="s">
        <v>3893</v>
      </c>
      <c r="B3177" s="22" t="s">
        <v>33</v>
      </c>
      <c r="C3177" s="22" t="s">
        <v>29</v>
      </c>
      <c r="D3177" s="22" t="s">
        <v>20</v>
      </c>
      <c r="E3177" s="24" t="s">
        <v>21</v>
      </c>
      <c r="F3177" s="22" t="s">
        <v>39</v>
      </c>
      <c r="G3177" s="25">
        <v>2748</v>
      </c>
      <c r="H3177" s="22" t="s">
        <v>22</v>
      </c>
      <c r="I3177" s="22">
        <v>0</v>
      </c>
      <c r="J3177" s="22" t="s">
        <v>39</v>
      </c>
      <c r="K3177" s="22" t="s">
        <v>23</v>
      </c>
      <c r="L3177" s="22">
        <v>1</v>
      </c>
      <c r="M3177" s="26">
        <v>55000</v>
      </c>
      <c r="N3177" s="26">
        <v>0</v>
      </c>
      <c r="O3177" s="15">
        <f t="shared" si="277"/>
        <v>55000</v>
      </c>
      <c r="P3177" s="15">
        <f t="shared" si="278"/>
        <v>20.014556040756915</v>
      </c>
      <c r="Q3177" s="25">
        <v>5000</v>
      </c>
      <c r="R3177" s="22">
        <v>55</v>
      </c>
      <c r="S3177" s="22" t="s">
        <v>3901</v>
      </c>
      <c r="T3177" s="22">
        <f t="shared" si="274"/>
        <v>9</v>
      </c>
      <c r="U3177" s="22">
        <f t="shared" si="275"/>
        <v>2021</v>
      </c>
      <c r="V3177" s="22" t="str">
        <f t="shared" si="276"/>
        <v>METROPOLITANA</v>
      </c>
    </row>
    <row r="3178" spans="1:22" x14ac:dyDescent="0.2">
      <c r="A3178" s="23" t="s">
        <v>3893</v>
      </c>
      <c r="B3178" s="22" t="s">
        <v>33</v>
      </c>
      <c r="C3178" s="22" t="s">
        <v>44</v>
      </c>
      <c r="D3178" s="22" t="s">
        <v>130</v>
      </c>
      <c r="E3178" s="24" t="s">
        <v>3902</v>
      </c>
      <c r="F3178" s="22" t="s">
        <v>2308</v>
      </c>
      <c r="G3178" s="25">
        <v>14428.2</v>
      </c>
      <c r="H3178" s="22" t="s">
        <v>85</v>
      </c>
      <c r="I3178" s="22">
        <v>1</v>
      </c>
      <c r="J3178" s="22" t="s">
        <v>2308</v>
      </c>
      <c r="K3178" s="22" t="s">
        <v>2309</v>
      </c>
      <c r="L3178" s="22">
        <v>0</v>
      </c>
      <c r="M3178" s="26">
        <v>750000</v>
      </c>
      <c r="N3178" s="26">
        <v>0</v>
      </c>
      <c r="O3178" s="15">
        <f t="shared" si="277"/>
        <v>750000</v>
      </c>
      <c r="P3178" s="15">
        <f t="shared" si="278"/>
        <v>51.981536158356548</v>
      </c>
      <c r="Q3178" s="25">
        <v>20000</v>
      </c>
      <c r="R3178" s="22">
        <v>72</v>
      </c>
      <c r="S3178" s="22" t="s">
        <v>3903</v>
      </c>
      <c r="T3178" s="22">
        <f t="shared" si="274"/>
        <v>9</v>
      </c>
      <c r="U3178" s="22">
        <f t="shared" si="275"/>
        <v>2021</v>
      </c>
      <c r="V3178" s="22" t="str">
        <f t="shared" si="276"/>
        <v>REGIONES</v>
      </c>
    </row>
    <row r="3179" spans="1:22" x14ac:dyDescent="0.2">
      <c r="A3179" s="23" t="s">
        <v>3893</v>
      </c>
      <c r="B3179" s="22" t="s">
        <v>33</v>
      </c>
      <c r="C3179" s="22" t="s">
        <v>44</v>
      </c>
      <c r="D3179" s="22" t="s">
        <v>45</v>
      </c>
      <c r="E3179" s="24" t="s">
        <v>52</v>
      </c>
      <c r="F3179" s="22" t="s">
        <v>48</v>
      </c>
      <c r="G3179" s="25">
        <v>4100.8</v>
      </c>
      <c r="H3179" s="22" t="s">
        <v>22</v>
      </c>
      <c r="I3179" s="22">
        <v>0</v>
      </c>
      <c r="J3179" s="22" t="s">
        <v>48</v>
      </c>
      <c r="K3179" s="22" t="s">
        <v>23</v>
      </c>
      <c r="L3179" s="22">
        <v>1</v>
      </c>
      <c r="M3179" s="26">
        <v>55000</v>
      </c>
      <c r="N3179" s="26">
        <v>0</v>
      </c>
      <c r="O3179" s="15">
        <f t="shared" si="277"/>
        <v>55000</v>
      </c>
      <c r="P3179" s="15">
        <f t="shared" si="278"/>
        <v>13.412017167381974</v>
      </c>
      <c r="Q3179" s="25">
        <v>5000</v>
      </c>
      <c r="R3179" s="22">
        <v>82</v>
      </c>
      <c r="S3179" s="22" t="s">
        <v>3904</v>
      </c>
      <c r="T3179" s="22">
        <f t="shared" si="274"/>
        <v>9</v>
      </c>
      <c r="U3179" s="22">
        <f t="shared" si="275"/>
        <v>2021</v>
      </c>
      <c r="V3179" s="22" t="str">
        <f t="shared" si="276"/>
        <v>METROPOLITANA</v>
      </c>
    </row>
    <row r="3180" spans="1:22" x14ac:dyDescent="0.2">
      <c r="A3180" s="23" t="s">
        <v>3893</v>
      </c>
      <c r="B3180" s="22" t="s">
        <v>33</v>
      </c>
      <c r="C3180" s="22" t="s">
        <v>44</v>
      </c>
      <c r="D3180" s="22" t="s">
        <v>20</v>
      </c>
      <c r="E3180" s="24" t="s">
        <v>21</v>
      </c>
      <c r="F3180" s="22" t="s">
        <v>39</v>
      </c>
      <c r="G3180" s="25">
        <v>8667.1199999999972</v>
      </c>
      <c r="H3180" s="22" t="s">
        <v>22</v>
      </c>
      <c r="I3180" s="22">
        <v>0</v>
      </c>
      <c r="J3180" s="22" t="s">
        <v>39</v>
      </c>
      <c r="K3180" s="22" t="s">
        <v>23</v>
      </c>
      <c r="L3180" s="22">
        <v>1</v>
      </c>
      <c r="M3180" s="26">
        <v>95338</v>
      </c>
      <c r="N3180" s="26">
        <v>0</v>
      </c>
      <c r="O3180" s="15">
        <f t="shared" si="277"/>
        <v>95338</v>
      </c>
      <c r="P3180" s="15">
        <f t="shared" si="278"/>
        <v>10.999963078854341</v>
      </c>
      <c r="Q3180" s="25">
        <v>5000</v>
      </c>
      <c r="R3180" s="22">
        <v>100</v>
      </c>
      <c r="S3180" s="22" t="s">
        <v>3905</v>
      </c>
      <c r="T3180" s="22">
        <f t="shared" si="274"/>
        <v>9</v>
      </c>
      <c r="U3180" s="22">
        <f t="shared" si="275"/>
        <v>2021</v>
      </c>
      <c r="V3180" s="22" t="str">
        <f t="shared" si="276"/>
        <v>METROPOLITANA</v>
      </c>
    </row>
    <row r="3181" spans="1:22" x14ac:dyDescent="0.2">
      <c r="A3181" s="11" t="s">
        <v>3907</v>
      </c>
      <c r="B3181" s="12" t="s">
        <v>18</v>
      </c>
      <c r="C3181" s="12" t="s">
        <v>500</v>
      </c>
      <c r="D3181" s="12" t="s">
        <v>37</v>
      </c>
      <c r="E3181" s="13" t="s">
        <v>40</v>
      </c>
      <c r="F3181" s="12" t="s">
        <v>120</v>
      </c>
      <c r="G3181" s="14">
        <v>7041.9</v>
      </c>
      <c r="H3181" s="12" t="s">
        <v>22</v>
      </c>
      <c r="I3181" s="12">
        <v>0</v>
      </c>
      <c r="J3181" s="12" t="s">
        <v>120</v>
      </c>
      <c r="K3181" s="12" t="s">
        <v>23</v>
      </c>
      <c r="L3181" s="12">
        <v>5</v>
      </c>
      <c r="M3181" s="15">
        <v>70000</v>
      </c>
      <c r="N3181" s="15">
        <v>0</v>
      </c>
      <c r="O3181" s="15">
        <f t="shared" si="277"/>
        <v>70000</v>
      </c>
      <c r="P3181" s="15">
        <f t="shared" si="278"/>
        <v>9.9404990130504558</v>
      </c>
      <c r="Q3181" s="14">
        <v>10000</v>
      </c>
      <c r="R3181" s="12">
        <v>70</v>
      </c>
      <c r="S3181" s="12" t="s">
        <v>3908</v>
      </c>
      <c r="T3181" s="22">
        <f t="shared" si="274"/>
        <v>9</v>
      </c>
      <c r="U3181" s="22">
        <f t="shared" si="275"/>
        <v>2021</v>
      </c>
      <c r="V3181" s="22" t="str">
        <f t="shared" si="276"/>
        <v>METROPOLITANA</v>
      </c>
    </row>
    <row r="3182" spans="1:22" x14ac:dyDescent="0.2">
      <c r="A3182" s="11" t="s">
        <v>3907</v>
      </c>
      <c r="B3182" s="12" t="s">
        <v>18</v>
      </c>
      <c r="C3182" s="12" t="s">
        <v>500</v>
      </c>
      <c r="D3182" s="12" t="s">
        <v>27</v>
      </c>
      <c r="E3182" s="13" t="s">
        <v>28</v>
      </c>
      <c r="F3182" s="12" t="s">
        <v>120</v>
      </c>
      <c r="G3182" s="14">
        <v>15307.45</v>
      </c>
      <c r="H3182" s="12" t="s">
        <v>22</v>
      </c>
      <c r="I3182" s="12">
        <v>1</v>
      </c>
      <c r="J3182" s="12" t="s">
        <v>120</v>
      </c>
      <c r="K3182" s="12" t="s">
        <v>23</v>
      </c>
      <c r="L3182" s="12">
        <v>5</v>
      </c>
      <c r="M3182" s="15">
        <v>120000</v>
      </c>
      <c r="N3182" s="15">
        <v>0</v>
      </c>
      <c r="O3182" s="15">
        <f t="shared" si="277"/>
        <v>120000</v>
      </c>
      <c r="P3182" s="15">
        <f t="shared" si="278"/>
        <v>7.8393200696392933</v>
      </c>
      <c r="Q3182" s="14">
        <v>10000</v>
      </c>
      <c r="R3182" s="12">
        <v>100</v>
      </c>
      <c r="S3182" s="12" t="s">
        <v>3909</v>
      </c>
      <c r="T3182" s="22">
        <f t="shared" si="274"/>
        <v>9</v>
      </c>
      <c r="U3182" s="22">
        <f t="shared" si="275"/>
        <v>2021</v>
      </c>
      <c r="V3182" s="22" t="str">
        <f t="shared" si="276"/>
        <v>METROPOLITANA</v>
      </c>
    </row>
    <row r="3183" spans="1:22" x14ac:dyDescent="0.2">
      <c r="A3183" s="11" t="s">
        <v>3907</v>
      </c>
      <c r="B3183" s="12" t="s">
        <v>18</v>
      </c>
      <c r="C3183" s="12" t="s">
        <v>1722</v>
      </c>
      <c r="D3183" s="12" t="s">
        <v>37</v>
      </c>
      <c r="E3183" s="13" t="s">
        <v>1457</v>
      </c>
      <c r="F3183" s="12" t="s">
        <v>26</v>
      </c>
      <c r="G3183" s="14">
        <v>9927.9999999999964</v>
      </c>
      <c r="H3183" s="12" t="s">
        <v>22</v>
      </c>
      <c r="I3183" s="12">
        <v>0</v>
      </c>
      <c r="J3183" s="12" t="s">
        <v>26</v>
      </c>
      <c r="K3183" s="12" t="s">
        <v>23</v>
      </c>
      <c r="L3183" s="12">
        <v>4</v>
      </c>
      <c r="M3183" s="15">
        <v>109208</v>
      </c>
      <c r="N3183" s="15">
        <v>0</v>
      </c>
      <c r="O3183" s="15">
        <f t="shared" si="277"/>
        <v>109208</v>
      </c>
      <c r="P3183" s="15">
        <f t="shared" si="278"/>
        <v>11.000000000000004</v>
      </c>
      <c r="Q3183" s="14">
        <v>5000</v>
      </c>
      <c r="R3183" s="12">
        <v>100</v>
      </c>
      <c r="S3183" s="12" t="s">
        <v>3910</v>
      </c>
      <c r="T3183" s="22">
        <f t="shared" si="274"/>
        <v>9</v>
      </c>
      <c r="U3183" s="22">
        <f t="shared" si="275"/>
        <v>2021</v>
      </c>
      <c r="V3183" s="22" t="str">
        <f t="shared" si="276"/>
        <v>METROPOLITANA</v>
      </c>
    </row>
    <row r="3184" spans="1:22" x14ac:dyDescent="0.2">
      <c r="A3184" s="11" t="s">
        <v>3907</v>
      </c>
      <c r="B3184" s="12" t="s">
        <v>33</v>
      </c>
      <c r="C3184" s="12" t="s">
        <v>270</v>
      </c>
      <c r="D3184" s="12" t="s">
        <v>20</v>
      </c>
      <c r="E3184" s="13" t="s">
        <v>21</v>
      </c>
      <c r="F3184" s="12" t="s">
        <v>120</v>
      </c>
      <c r="G3184" s="14">
        <v>11064.76</v>
      </c>
      <c r="H3184" s="12" t="s">
        <v>22</v>
      </c>
      <c r="I3184" s="12">
        <v>0</v>
      </c>
      <c r="J3184" s="12" t="s">
        <v>120</v>
      </c>
      <c r="K3184" s="12" t="s">
        <v>23</v>
      </c>
      <c r="L3184" s="12">
        <v>5</v>
      </c>
      <c r="M3184" s="15">
        <v>70000</v>
      </c>
      <c r="N3184" s="15">
        <v>0</v>
      </c>
      <c r="O3184" s="15">
        <f t="shared" si="277"/>
        <v>70000</v>
      </c>
      <c r="P3184" s="15">
        <f t="shared" si="278"/>
        <v>6.3263911734190348</v>
      </c>
      <c r="Q3184" s="14">
        <v>10000</v>
      </c>
      <c r="R3184" s="12">
        <v>100</v>
      </c>
      <c r="S3184" s="12" t="s">
        <v>3911</v>
      </c>
      <c r="T3184" s="22">
        <f t="shared" si="274"/>
        <v>9</v>
      </c>
      <c r="U3184" s="22">
        <f t="shared" si="275"/>
        <v>2021</v>
      </c>
      <c r="V3184" s="22" t="str">
        <f t="shared" si="276"/>
        <v>METROPOLITANA</v>
      </c>
    </row>
    <row r="3185" spans="1:22" x14ac:dyDescent="0.2">
      <c r="A3185" s="11" t="s">
        <v>3907</v>
      </c>
      <c r="B3185" s="12" t="s">
        <v>33</v>
      </c>
      <c r="C3185" s="12" t="s">
        <v>128</v>
      </c>
      <c r="D3185" s="12" t="s">
        <v>786</v>
      </c>
      <c r="E3185" s="13" t="s">
        <v>787</v>
      </c>
      <c r="F3185" s="12" t="s">
        <v>129</v>
      </c>
      <c r="G3185" s="14">
        <v>8244.0000000000036</v>
      </c>
      <c r="H3185" s="12" t="s">
        <v>788</v>
      </c>
      <c r="I3185" s="12">
        <v>1</v>
      </c>
      <c r="J3185" s="12" t="s">
        <v>129</v>
      </c>
      <c r="K3185" s="12" t="s">
        <v>23</v>
      </c>
      <c r="L3185" s="12">
        <v>1</v>
      </c>
      <c r="M3185" s="15">
        <v>90684</v>
      </c>
      <c r="N3185" s="15">
        <v>0</v>
      </c>
      <c r="O3185" s="15">
        <f t="shared" si="277"/>
        <v>90684</v>
      </c>
      <c r="P3185" s="15">
        <f t="shared" si="278"/>
        <v>10.999999999999995</v>
      </c>
      <c r="Q3185" s="14">
        <v>5000</v>
      </c>
      <c r="R3185" s="12">
        <v>100</v>
      </c>
      <c r="S3185" s="12" t="s">
        <v>3912</v>
      </c>
      <c r="T3185" s="22">
        <f t="shared" si="274"/>
        <v>9</v>
      </c>
      <c r="U3185" s="22">
        <f t="shared" si="275"/>
        <v>2021</v>
      </c>
      <c r="V3185" s="22" t="str">
        <f t="shared" si="276"/>
        <v>METROPOLITANA</v>
      </c>
    </row>
    <row r="3186" spans="1:22" x14ac:dyDescent="0.2">
      <c r="A3186" s="11" t="s">
        <v>3907</v>
      </c>
      <c r="B3186" s="12" t="s">
        <v>33</v>
      </c>
      <c r="C3186" s="12" t="s">
        <v>128</v>
      </c>
      <c r="D3186" s="12" t="s">
        <v>2955</v>
      </c>
      <c r="E3186" s="13" t="s">
        <v>2956</v>
      </c>
      <c r="F3186" s="12" t="s">
        <v>129</v>
      </c>
      <c r="G3186" s="14">
        <v>8244.0000000000036</v>
      </c>
      <c r="H3186" s="12" t="s">
        <v>24</v>
      </c>
      <c r="I3186" s="12">
        <v>1</v>
      </c>
      <c r="J3186" s="12" t="s">
        <v>129</v>
      </c>
      <c r="K3186" s="12" t="s">
        <v>23</v>
      </c>
      <c r="L3186" s="12">
        <v>1</v>
      </c>
      <c r="M3186" s="15">
        <v>90684</v>
      </c>
      <c r="N3186" s="15">
        <v>0</v>
      </c>
      <c r="O3186" s="15">
        <f t="shared" si="277"/>
        <v>90684</v>
      </c>
      <c r="P3186" s="15">
        <f t="shared" si="278"/>
        <v>10.999999999999995</v>
      </c>
      <c r="Q3186" s="14">
        <v>5000</v>
      </c>
      <c r="R3186" s="12">
        <v>100</v>
      </c>
      <c r="S3186" s="12" t="s">
        <v>3913</v>
      </c>
      <c r="T3186" s="22">
        <f t="shared" si="274"/>
        <v>9</v>
      </c>
      <c r="U3186" s="22">
        <f t="shared" si="275"/>
        <v>2021</v>
      </c>
      <c r="V3186" s="22" t="str">
        <f t="shared" si="276"/>
        <v>METROPOLITANA</v>
      </c>
    </row>
    <row r="3187" spans="1:22" x14ac:dyDescent="0.2">
      <c r="A3187" s="11" t="s">
        <v>3907</v>
      </c>
      <c r="B3187" s="12" t="s">
        <v>33</v>
      </c>
      <c r="C3187" s="12" t="s">
        <v>417</v>
      </c>
      <c r="D3187" s="12" t="s">
        <v>125</v>
      </c>
      <c r="E3187" s="13" t="s">
        <v>126</v>
      </c>
      <c r="F3187" s="12" t="s">
        <v>418</v>
      </c>
      <c r="G3187" s="14">
        <v>8244.0000000000036</v>
      </c>
      <c r="H3187" s="12" t="s">
        <v>174</v>
      </c>
      <c r="I3187" s="12">
        <v>0</v>
      </c>
      <c r="J3187" s="12" t="s">
        <v>418</v>
      </c>
      <c r="K3187" s="12" t="s">
        <v>171</v>
      </c>
      <c r="L3187" s="12">
        <v>0</v>
      </c>
      <c r="M3187" s="15">
        <v>230000</v>
      </c>
      <c r="N3187" s="15">
        <v>0</v>
      </c>
      <c r="O3187" s="15">
        <f t="shared" si="277"/>
        <v>230000</v>
      </c>
      <c r="P3187" s="15">
        <f t="shared" si="278"/>
        <v>27.899078117418718</v>
      </c>
      <c r="Q3187" s="14">
        <v>20000</v>
      </c>
      <c r="R3187" s="12">
        <v>65</v>
      </c>
      <c r="S3187" s="12" t="s">
        <v>3914</v>
      </c>
      <c r="T3187" s="22">
        <f t="shared" si="274"/>
        <v>9</v>
      </c>
      <c r="U3187" s="22">
        <f t="shared" si="275"/>
        <v>2021</v>
      </c>
      <c r="V3187" s="22" t="str">
        <f t="shared" si="276"/>
        <v>REGIONES</v>
      </c>
    </row>
    <row r="3188" spans="1:22" x14ac:dyDescent="0.2">
      <c r="A3188" s="11" t="s">
        <v>3907</v>
      </c>
      <c r="B3188" s="12" t="s">
        <v>33</v>
      </c>
      <c r="C3188" s="12" t="s">
        <v>36</v>
      </c>
      <c r="D3188" s="12" t="s">
        <v>30</v>
      </c>
      <c r="E3188" s="13" t="s">
        <v>31</v>
      </c>
      <c r="F3188" s="12" t="s">
        <v>308</v>
      </c>
      <c r="G3188" s="14">
        <v>3960.0000000000009</v>
      </c>
      <c r="H3188" s="12" t="s">
        <v>32</v>
      </c>
      <c r="I3188" s="12">
        <v>0</v>
      </c>
      <c r="J3188" s="12" t="s">
        <v>308</v>
      </c>
      <c r="K3188" s="12" t="s">
        <v>78</v>
      </c>
      <c r="L3188" s="12">
        <v>0</v>
      </c>
      <c r="M3188" s="15">
        <v>180000</v>
      </c>
      <c r="N3188" s="15">
        <v>0</v>
      </c>
      <c r="O3188" s="15">
        <f t="shared" si="277"/>
        <v>180000</v>
      </c>
      <c r="P3188" s="15">
        <f t="shared" si="278"/>
        <v>45.454545454545446</v>
      </c>
      <c r="Q3188" s="14">
        <v>20000</v>
      </c>
      <c r="R3188" s="12">
        <v>60</v>
      </c>
      <c r="S3188" s="12" t="s">
        <v>3915</v>
      </c>
      <c r="T3188" s="22">
        <f t="shared" si="274"/>
        <v>9</v>
      </c>
      <c r="U3188" s="22">
        <f t="shared" si="275"/>
        <v>2021</v>
      </c>
      <c r="V3188" s="22" t="str">
        <f t="shared" si="276"/>
        <v>REGIONES</v>
      </c>
    </row>
    <row r="3189" spans="1:22" x14ac:dyDescent="0.2">
      <c r="A3189" s="11" t="s">
        <v>3907</v>
      </c>
      <c r="B3189" s="12" t="s">
        <v>33</v>
      </c>
      <c r="C3189" s="12" t="s">
        <v>29</v>
      </c>
      <c r="D3189" s="12" t="s">
        <v>38</v>
      </c>
      <c r="E3189" s="13" t="s">
        <v>25</v>
      </c>
      <c r="F3189" s="12" t="s">
        <v>39</v>
      </c>
      <c r="G3189" s="14">
        <v>8502</v>
      </c>
      <c r="H3189" s="12" t="s">
        <v>43</v>
      </c>
      <c r="I3189" s="12">
        <v>0</v>
      </c>
      <c r="J3189" s="12" t="s">
        <v>39</v>
      </c>
      <c r="K3189" s="12" t="s">
        <v>23</v>
      </c>
      <c r="L3189" s="12">
        <v>1</v>
      </c>
      <c r="M3189" s="15">
        <v>93522</v>
      </c>
      <c r="N3189" s="15">
        <v>0</v>
      </c>
      <c r="O3189" s="15">
        <f t="shared" si="277"/>
        <v>93522</v>
      </c>
      <c r="P3189" s="15">
        <f t="shared" si="278"/>
        <v>11</v>
      </c>
      <c r="Q3189" s="14">
        <v>5000</v>
      </c>
      <c r="R3189" s="12">
        <v>100</v>
      </c>
      <c r="S3189" s="12" t="s">
        <v>3916</v>
      </c>
      <c r="T3189" s="22">
        <f t="shared" si="274"/>
        <v>9</v>
      </c>
      <c r="U3189" s="22">
        <f t="shared" si="275"/>
        <v>2021</v>
      </c>
      <c r="V3189" s="22" t="str">
        <f t="shared" si="276"/>
        <v>METROPOLITANA</v>
      </c>
    </row>
    <row r="3190" spans="1:22" x14ac:dyDescent="0.2">
      <c r="A3190" s="11" t="s">
        <v>3907</v>
      </c>
      <c r="B3190" s="12" t="s">
        <v>33</v>
      </c>
      <c r="C3190" s="12" t="s">
        <v>29</v>
      </c>
      <c r="D3190" s="12" t="s">
        <v>27</v>
      </c>
      <c r="E3190" s="13" t="s">
        <v>28</v>
      </c>
      <c r="F3190" s="12" t="s">
        <v>39</v>
      </c>
      <c r="G3190" s="14">
        <v>17004.000000000011</v>
      </c>
      <c r="H3190" s="12" t="s">
        <v>22</v>
      </c>
      <c r="I3190" s="12">
        <v>1</v>
      </c>
      <c r="J3190" s="12" t="s">
        <v>39</v>
      </c>
      <c r="K3190" s="12" t="s">
        <v>23</v>
      </c>
      <c r="L3190" s="12">
        <v>1</v>
      </c>
      <c r="M3190" s="15">
        <v>187044</v>
      </c>
      <c r="N3190" s="15">
        <v>0</v>
      </c>
      <c r="O3190" s="15">
        <f t="shared" si="277"/>
        <v>187044</v>
      </c>
      <c r="P3190" s="15">
        <f t="shared" si="278"/>
        <v>10.999999999999993</v>
      </c>
      <c r="Q3190" s="14">
        <v>5000</v>
      </c>
      <c r="R3190" s="12">
        <v>100</v>
      </c>
      <c r="S3190" s="12" t="s">
        <v>3917</v>
      </c>
      <c r="T3190" s="22">
        <f t="shared" si="274"/>
        <v>9</v>
      </c>
      <c r="U3190" s="22">
        <f t="shared" si="275"/>
        <v>2021</v>
      </c>
      <c r="V3190" s="22" t="str">
        <f t="shared" si="276"/>
        <v>METROPOLITANA</v>
      </c>
    </row>
    <row r="3191" spans="1:22" x14ac:dyDescent="0.2">
      <c r="A3191" s="11" t="s">
        <v>3907</v>
      </c>
      <c r="B3191" s="12" t="s">
        <v>33</v>
      </c>
      <c r="C3191" s="12" t="s">
        <v>29</v>
      </c>
      <c r="D3191" s="12" t="s">
        <v>20</v>
      </c>
      <c r="E3191" s="13" t="s">
        <v>21</v>
      </c>
      <c r="F3191" s="12" t="s">
        <v>39</v>
      </c>
      <c r="G3191" s="14">
        <v>8502</v>
      </c>
      <c r="H3191" s="12" t="s">
        <v>22</v>
      </c>
      <c r="I3191" s="12">
        <v>0</v>
      </c>
      <c r="J3191" s="12" t="s">
        <v>39</v>
      </c>
      <c r="K3191" s="12" t="s">
        <v>23</v>
      </c>
      <c r="L3191" s="12">
        <v>1</v>
      </c>
      <c r="M3191" s="15">
        <v>93522</v>
      </c>
      <c r="N3191" s="15">
        <v>0</v>
      </c>
      <c r="O3191" s="15">
        <f t="shared" si="277"/>
        <v>93522</v>
      </c>
      <c r="P3191" s="15">
        <f t="shared" si="278"/>
        <v>11</v>
      </c>
      <c r="Q3191" s="14">
        <v>5000</v>
      </c>
      <c r="R3191" s="12">
        <v>100</v>
      </c>
      <c r="S3191" s="12" t="s">
        <v>3918</v>
      </c>
      <c r="T3191" s="22">
        <f t="shared" si="274"/>
        <v>9</v>
      </c>
      <c r="U3191" s="22">
        <f t="shared" si="275"/>
        <v>2021</v>
      </c>
      <c r="V3191" s="22" t="str">
        <f t="shared" si="276"/>
        <v>METROPOLITANA</v>
      </c>
    </row>
    <row r="3192" spans="1:22" x14ac:dyDescent="0.2">
      <c r="A3192" s="11" t="s">
        <v>3907</v>
      </c>
      <c r="B3192" s="12" t="s">
        <v>33</v>
      </c>
      <c r="C3192" s="12" t="s">
        <v>44</v>
      </c>
      <c r="D3192" s="12" t="s">
        <v>3919</v>
      </c>
      <c r="E3192" s="13" t="s">
        <v>3920</v>
      </c>
      <c r="F3192" s="12" t="s">
        <v>66</v>
      </c>
      <c r="G3192" s="14">
        <v>10160.799999999999</v>
      </c>
      <c r="H3192" s="12" t="s">
        <v>24</v>
      </c>
      <c r="I3192" s="12">
        <v>1</v>
      </c>
      <c r="J3192" s="12" t="s">
        <v>66</v>
      </c>
      <c r="K3192" s="12" t="s">
        <v>75</v>
      </c>
      <c r="L3192" s="12">
        <v>0</v>
      </c>
      <c r="M3192" s="15">
        <v>380000</v>
      </c>
      <c r="N3192" s="15">
        <v>0</v>
      </c>
      <c r="O3192" s="15">
        <f t="shared" si="277"/>
        <v>380000</v>
      </c>
      <c r="P3192" s="15">
        <f t="shared" si="278"/>
        <v>37.398630029131567</v>
      </c>
      <c r="Q3192" s="14">
        <v>20000</v>
      </c>
      <c r="R3192" s="12">
        <v>65</v>
      </c>
      <c r="S3192" s="12" t="s">
        <v>3921</v>
      </c>
      <c r="T3192" s="22">
        <f t="shared" si="274"/>
        <v>9</v>
      </c>
      <c r="U3192" s="22">
        <f t="shared" si="275"/>
        <v>2021</v>
      </c>
      <c r="V3192" s="22" t="str">
        <f t="shared" si="276"/>
        <v>REGIONES</v>
      </c>
    </row>
    <row r="3193" spans="1:22" x14ac:dyDescent="0.2">
      <c r="A3193" s="11" t="s">
        <v>3907</v>
      </c>
      <c r="B3193" s="12" t="s">
        <v>33</v>
      </c>
      <c r="C3193" s="12" t="s">
        <v>3922</v>
      </c>
      <c r="D3193" s="12" t="s">
        <v>3644</v>
      </c>
      <c r="E3193" s="13" t="s">
        <v>119</v>
      </c>
      <c r="F3193" s="12" t="s">
        <v>129</v>
      </c>
      <c r="G3193" s="14">
        <v>25459.529999999992</v>
      </c>
      <c r="H3193" s="12" t="s">
        <v>24</v>
      </c>
      <c r="I3193" s="12">
        <v>1</v>
      </c>
      <c r="J3193" s="12" t="s">
        <v>129</v>
      </c>
      <c r="K3193" s="12" t="s">
        <v>23</v>
      </c>
      <c r="L3193" s="12">
        <v>1</v>
      </c>
      <c r="M3193" s="15">
        <v>280055</v>
      </c>
      <c r="N3193" s="15">
        <v>0</v>
      </c>
      <c r="O3193" s="15">
        <f t="shared" si="277"/>
        <v>280055</v>
      </c>
      <c r="P3193" s="15">
        <f t="shared" si="278"/>
        <v>11.000006677263881</v>
      </c>
      <c r="Q3193" s="14">
        <v>5000</v>
      </c>
      <c r="R3193" s="12">
        <v>100</v>
      </c>
      <c r="S3193" s="12" t="s">
        <v>3923</v>
      </c>
      <c r="T3193" s="22">
        <f t="shared" si="274"/>
        <v>9</v>
      </c>
      <c r="U3193" s="22">
        <f t="shared" si="275"/>
        <v>2021</v>
      </c>
      <c r="V3193" s="22" t="str">
        <f t="shared" si="276"/>
        <v>METROPOLITANA</v>
      </c>
    </row>
    <row r="3194" spans="1:22" x14ac:dyDescent="0.2">
      <c r="A3194" s="23" t="s">
        <v>3924</v>
      </c>
      <c r="B3194" s="22" t="s">
        <v>18</v>
      </c>
      <c r="C3194" s="22" t="s">
        <v>57</v>
      </c>
      <c r="D3194" s="22" t="s">
        <v>38</v>
      </c>
      <c r="E3194" s="24">
        <v>125108660</v>
      </c>
      <c r="F3194" s="22" t="s">
        <v>3835</v>
      </c>
      <c r="G3194" s="25">
        <f>10819.9+4296</f>
        <v>15115.9</v>
      </c>
      <c r="H3194" s="22" t="s">
        <v>43</v>
      </c>
      <c r="I3194" s="22">
        <v>0</v>
      </c>
      <c r="J3194" s="22" t="s">
        <v>3835</v>
      </c>
      <c r="K3194" s="22" t="s">
        <v>171</v>
      </c>
      <c r="L3194" s="22">
        <v>0</v>
      </c>
      <c r="M3194" s="26">
        <v>180000</v>
      </c>
      <c r="N3194" s="26">
        <v>0</v>
      </c>
      <c r="O3194" s="15">
        <f t="shared" si="277"/>
        <v>180000</v>
      </c>
      <c r="P3194" s="15">
        <f t="shared" si="278"/>
        <v>11.907990923464697</v>
      </c>
      <c r="Q3194" s="25">
        <v>20000</v>
      </c>
      <c r="R3194" s="22">
        <v>95</v>
      </c>
      <c r="S3194" s="22" t="s">
        <v>3936</v>
      </c>
      <c r="T3194" s="22">
        <f t="shared" si="274"/>
        <v>9</v>
      </c>
      <c r="U3194" s="22">
        <f t="shared" si="275"/>
        <v>2021</v>
      </c>
      <c r="V3194" s="22" t="str">
        <f t="shared" si="276"/>
        <v>REGIONES</v>
      </c>
    </row>
    <row r="3195" spans="1:22" x14ac:dyDescent="0.2">
      <c r="A3195" s="23" t="s">
        <v>3924</v>
      </c>
      <c r="B3195" s="22" t="s">
        <v>18</v>
      </c>
      <c r="C3195" s="22" t="s">
        <v>457</v>
      </c>
      <c r="D3195" s="22" t="s">
        <v>786</v>
      </c>
      <c r="E3195" s="24">
        <v>95707734</v>
      </c>
      <c r="F3195" s="22" t="s">
        <v>195</v>
      </c>
      <c r="G3195" s="25">
        <v>21283.48</v>
      </c>
      <c r="H3195" s="22" t="s">
        <v>788</v>
      </c>
      <c r="I3195" s="22">
        <v>1</v>
      </c>
      <c r="J3195" s="22" t="s">
        <v>195</v>
      </c>
      <c r="K3195" s="22" t="s">
        <v>124</v>
      </c>
      <c r="L3195" s="22">
        <v>0</v>
      </c>
      <c r="M3195" s="26">
        <v>350000</v>
      </c>
      <c r="N3195" s="26">
        <v>0</v>
      </c>
      <c r="O3195" s="15">
        <f t="shared" si="277"/>
        <v>350000</v>
      </c>
      <c r="P3195" s="15">
        <f t="shared" si="278"/>
        <v>16.444679159611116</v>
      </c>
      <c r="Q3195" s="25">
        <v>20000</v>
      </c>
      <c r="R3195" s="22">
        <v>100</v>
      </c>
      <c r="S3195" s="22" t="s">
        <v>3925</v>
      </c>
      <c r="T3195" s="22">
        <f t="shared" si="274"/>
        <v>9</v>
      </c>
      <c r="U3195" s="22">
        <f t="shared" si="275"/>
        <v>2021</v>
      </c>
      <c r="V3195" s="22" t="str">
        <f t="shared" si="276"/>
        <v>REGIONES</v>
      </c>
    </row>
    <row r="3196" spans="1:22" x14ac:dyDescent="0.2">
      <c r="A3196" s="23" t="s">
        <v>3924</v>
      </c>
      <c r="B3196" s="22" t="s">
        <v>33</v>
      </c>
      <c r="C3196" s="22" t="s">
        <v>270</v>
      </c>
      <c r="D3196" s="22" t="s">
        <v>125</v>
      </c>
      <c r="E3196" s="24">
        <v>172861164</v>
      </c>
      <c r="F3196" s="22" t="s">
        <v>120</v>
      </c>
      <c r="G3196" s="25">
        <v>9918</v>
      </c>
      <c r="H3196" s="22" t="s">
        <v>174</v>
      </c>
      <c r="I3196" s="22">
        <v>0</v>
      </c>
      <c r="J3196" s="22" t="s">
        <v>120</v>
      </c>
      <c r="K3196" s="22" t="s">
        <v>23</v>
      </c>
      <c r="L3196" s="22">
        <v>5</v>
      </c>
      <c r="M3196" s="26">
        <v>70000</v>
      </c>
      <c r="N3196" s="26">
        <v>0</v>
      </c>
      <c r="O3196" s="15">
        <f>G3196*11</f>
        <v>109098</v>
      </c>
      <c r="P3196" s="15">
        <f t="shared" si="278"/>
        <v>11</v>
      </c>
      <c r="Q3196" s="25">
        <v>10000</v>
      </c>
      <c r="R3196" s="22">
        <v>99</v>
      </c>
      <c r="S3196" s="22" t="s">
        <v>3926</v>
      </c>
      <c r="T3196" s="22">
        <f t="shared" si="274"/>
        <v>9</v>
      </c>
      <c r="U3196" s="22">
        <f t="shared" si="275"/>
        <v>2021</v>
      </c>
      <c r="V3196" s="22" t="str">
        <f t="shared" si="276"/>
        <v>METROPOLITANA</v>
      </c>
    </row>
    <row r="3197" spans="1:22" x14ac:dyDescent="0.2">
      <c r="A3197" s="23" t="s">
        <v>3924</v>
      </c>
      <c r="B3197" s="22" t="s">
        <v>33</v>
      </c>
      <c r="C3197" s="22" t="s">
        <v>128</v>
      </c>
      <c r="D3197" s="22" t="s">
        <v>2955</v>
      </c>
      <c r="E3197" s="24">
        <v>65941082</v>
      </c>
      <c r="F3197" s="22" t="s">
        <v>34</v>
      </c>
      <c r="G3197" s="25">
        <f>7694.4+550</f>
        <v>8244.4</v>
      </c>
      <c r="H3197" s="22" t="s">
        <v>24</v>
      </c>
      <c r="I3197" s="22">
        <v>1</v>
      </c>
      <c r="J3197" s="22" t="s">
        <v>34</v>
      </c>
      <c r="K3197" s="22" t="s">
        <v>23</v>
      </c>
      <c r="L3197" s="22">
        <v>1</v>
      </c>
      <c r="M3197" s="26">
        <v>84638</v>
      </c>
      <c r="N3197" s="26">
        <v>0</v>
      </c>
      <c r="O3197" s="15">
        <f t="shared" ref="O3197:O3260" si="279">SUM(M3197:N3197)</f>
        <v>84638</v>
      </c>
      <c r="P3197" s="15">
        <f t="shared" si="278"/>
        <v>10.266120032992092</v>
      </c>
      <c r="Q3197" s="25">
        <v>5000</v>
      </c>
      <c r="R3197" s="22">
        <v>100</v>
      </c>
      <c r="S3197" s="22" t="s">
        <v>3935</v>
      </c>
      <c r="T3197" s="22">
        <f t="shared" si="274"/>
        <v>9</v>
      </c>
      <c r="U3197" s="22">
        <f t="shared" si="275"/>
        <v>2021</v>
      </c>
      <c r="V3197" s="22" t="str">
        <f t="shared" si="276"/>
        <v>METROPOLITANA</v>
      </c>
    </row>
    <row r="3198" spans="1:22" x14ac:dyDescent="0.2">
      <c r="A3198" s="23" t="s">
        <v>3924</v>
      </c>
      <c r="B3198" s="22" t="s">
        <v>33</v>
      </c>
      <c r="C3198" s="22" t="s">
        <v>29</v>
      </c>
      <c r="D3198" s="22" t="s">
        <v>27</v>
      </c>
      <c r="E3198" s="24">
        <v>81417709</v>
      </c>
      <c r="F3198" s="22" t="s">
        <v>39</v>
      </c>
      <c r="G3198" s="25">
        <v>17004.000000000011</v>
      </c>
      <c r="H3198" s="22" t="s">
        <v>22</v>
      </c>
      <c r="I3198" s="22">
        <v>1</v>
      </c>
      <c r="J3198" s="22" t="s">
        <v>39</v>
      </c>
      <c r="K3198" s="22" t="s">
        <v>23</v>
      </c>
      <c r="L3198" s="22">
        <v>1</v>
      </c>
      <c r="M3198" s="26">
        <v>187044</v>
      </c>
      <c r="N3198" s="26">
        <v>0</v>
      </c>
      <c r="O3198" s="15">
        <f t="shared" si="279"/>
        <v>187044</v>
      </c>
      <c r="P3198" s="15">
        <f t="shared" si="278"/>
        <v>10.999999999999993</v>
      </c>
      <c r="Q3198" s="25">
        <v>5000</v>
      </c>
      <c r="R3198" s="22">
        <v>100</v>
      </c>
      <c r="S3198" s="22" t="s">
        <v>3927</v>
      </c>
      <c r="T3198" s="22">
        <f t="shared" si="274"/>
        <v>9</v>
      </c>
      <c r="U3198" s="22">
        <f t="shared" si="275"/>
        <v>2021</v>
      </c>
      <c r="V3198" s="22" t="str">
        <f t="shared" si="276"/>
        <v>METROPOLITANA</v>
      </c>
    </row>
    <row r="3199" spans="1:22" x14ac:dyDescent="0.2">
      <c r="A3199" s="23" t="s">
        <v>3924</v>
      </c>
      <c r="B3199" s="22" t="s">
        <v>33</v>
      </c>
      <c r="C3199" s="22" t="s">
        <v>29</v>
      </c>
      <c r="D3199" s="22" t="s">
        <v>30</v>
      </c>
      <c r="E3199" s="24">
        <v>72564391</v>
      </c>
      <c r="F3199" s="22" t="s">
        <v>39</v>
      </c>
      <c r="G3199" s="25">
        <v>10202.4</v>
      </c>
      <c r="H3199" s="22" t="s">
        <v>32</v>
      </c>
      <c r="I3199" s="22">
        <v>0</v>
      </c>
      <c r="J3199" s="22" t="s">
        <v>39</v>
      </c>
      <c r="K3199" s="22" t="s">
        <v>23</v>
      </c>
      <c r="L3199" s="22">
        <v>1</v>
      </c>
      <c r="M3199" s="26">
        <v>112226</v>
      </c>
      <c r="N3199" s="26">
        <v>0</v>
      </c>
      <c r="O3199" s="15">
        <f t="shared" si="279"/>
        <v>112226</v>
      </c>
      <c r="P3199" s="15">
        <f t="shared" si="278"/>
        <v>10.999960793538776</v>
      </c>
      <c r="Q3199" s="25">
        <v>5000</v>
      </c>
      <c r="R3199" s="22">
        <v>100</v>
      </c>
      <c r="S3199" s="22" t="s">
        <v>3928</v>
      </c>
      <c r="T3199" s="22">
        <f t="shared" si="274"/>
        <v>9</v>
      </c>
      <c r="U3199" s="22">
        <f t="shared" si="275"/>
        <v>2021</v>
      </c>
      <c r="V3199" s="22" t="str">
        <f t="shared" si="276"/>
        <v>METROPOLITANA</v>
      </c>
    </row>
    <row r="3200" spans="1:22" x14ac:dyDescent="0.2">
      <c r="A3200" s="23" t="s">
        <v>3924</v>
      </c>
      <c r="B3200" s="22" t="s">
        <v>33</v>
      </c>
      <c r="C3200" s="22" t="s">
        <v>29</v>
      </c>
      <c r="D3200" s="22" t="s">
        <v>47</v>
      </c>
      <c r="E3200" s="24">
        <v>154837728</v>
      </c>
      <c r="F3200" s="22" t="s">
        <v>134</v>
      </c>
      <c r="G3200" s="25">
        <v>6753.5999999999995</v>
      </c>
      <c r="H3200" s="22" t="s">
        <v>22</v>
      </c>
      <c r="I3200" s="22">
        <v>0</v>
      </c>
      <c r="J3200" s="22" t="s">
        <v>134</v>
      </c>
      <c r="K3200" s="22" t="s">
        <v>23</v>
      </c>
      <c r="L3200" s="22">
        <v>2</v>
      </c>
      <c r="M3200" s="26">
        <v>74290</v>
      </c>
      <c r="N3200" s="26">
        <v>0</v>
      </c>
      <c r="O3200" s="15">
        <f t="shared" si="279"/>
        <v>74290</v>
      </c>
      <c r="P3200" s="15">
        <f t="shared" si="278"/>
        <v>11.000059227671169</v>
      </c>
      <c r="Q3200" s="25">
        <v>5000</v>
      </c>
      <c r="R3200" s="22">
        <v>100</v>
      </c>
      <c r="S3200" s="22" t="s">
        <v>3929</v>
      </c>
      <c r="T3200" s="22">
        <f t="shared" si="274"/>
        <v>9</v>
      </c>
      <c r="U3200" s="22">
        <f t="shared" si="275"/>
        <v>2021</v>
      </c>
      <c r="V3200" s="22" t="str">
        <f t="shared" si="276"/>
        <v>METROPOLITANA</v>
      </c>
    </row>
    <row r="3201" spans="1:22" x14ac:dyDescent="0.2">
      <c r="A3201" s="23" t="s">
        <v>3924</v>
      </c>
      <c r="B3201" s="22" t="s">
        <v>33</v>
      </c>
      <c r="C3201" s="22" t="s">
        <v>29</v>
      </c>
      <c r="D3201" s="22" t="s">
        <v>47</v>
      </c>
      <c r="E3201" s="24">
        <v>78907355</v>
      </c>
      <c r="F3201" s="22" t="s">
        <v>134</v>
      </c>
      <c r="G3201" s="25">
        <v>6753.5999999999995</v>
      </c>
      <c r="H3201" s="22" t="s">
        <v>22</v>
      </c>
      <c r="I3201" s="22">
        <v>0</v>
      </c>
      <c r="J3201" s="22" t="s">
        <v>134</v>
      </c>
      <c r="K3201" s="22" t="s">
        <v>23</v>
      </c>
      <c r="L3201" s="22">
        <v>2</v>
      </c>
      <c r="M3201" s="26">
        <v>74290</v>
      </c>
      <c r="N3201" s="26">
        <v>0</v>
      </c>
      <c r="O3201" s="15">
        <f t="shared" si="279"/>
        <v>74290</v>
      </c>
      <c r="P3201" s="15">
        <f t="shared" si="278"/>
        <v>11.000059227671169</v>
      </c>
      <c r="Q3201" s="25">
        <v>5000</v>
      </c>
      <c r="R3201" s="22">
        <v>100</v>
      </c>
      <c r="S3201" s="22" t="s">
        <v>3930</v>
      </c>
      <c r="T3201" s="22">
        <f t="shared" si="274"/>
        <v>9</v>
      </c>
      <c r="U3201" s="22">
        <f t="shared" si="275"/>
        <v>2021</v>
      </c>
      <c r="V3201" s="22" t="str">
        <f t="shared" si="276"/>
        <v>METROPOLITANA</v>
      </c>
    </row>
    <row r="3202" spans="1:22" x14ac:dyDescent="0.2">
      <c r="A3202" s="23" t="s">
        <v>3924</v>
      </c>
      <c r="B3202" s="22" t="s">
        <v>33</v>
      </c>
      <c r="C3202" s="22" t="s">
        <v>29</v>
      </c>
      <c r="D3202" s="22" t="s">
        <v>20</v>
      </c>
      <c r="E3202" s="24">
        <v>78907355</v>
      </c>
      <c r="F3202" s="22" t="s">
        <v>39</v>
      </c>
      <c r="G3202" s="25">
        <v>8502</v>
      </c>
      <c r="H3202" s="22" t="s">
        <v>22</v>
      </c>
      <c r="I3202" s="22">
        <v>0</v>
      </c>
      <c r="J3202" s="22" t="s">
        <v>39</v>
      </c>
      <c r="K3202" s="22" t="s">
        <v>23</v>
      </c>
      <c r="L3202" s="22">
        <v>1</v>
      </c>
      <c r="M3202" s="26">
        <v>93522</v>
      </c>
      <c r="N3202" s="26">
        <v>0</v>
      </c>
      <c r="O3202" s="15">
        <f t="shared" si="279"/>
        <v>93522</v>
      </c>
      <c r="P3202" s="15">
        <f t="shared" si="278"/>
        <v>11</v>
      </c>
      <c r="Q3202" s="25">
        <v>5000</v>
      </c>
      <c r="R3202" s="22">
        <v>100</v>
      </c>
      <c r="S3202" s="22" t="s">
        <v>3931</v>
      </c>
      <c r="T3202" s="22">
        <f t="shared" si="274"/>
        <v>9</v>
      </c>
      <c r="U3202" s="22">
        <f t="shared" si="275"/>
        <v>2021</v>
      </c>
      <c r="V3202" s="22" t="str">
        <f t="shared" si="276"/>
        <v>METROPOLITANA</v>
      </c>
    </row>
    <row r="3203" spans="1:22" x14ac:dyDescent="0.2">
      <c r="A3203" s="23" t="s">
        <v>3924</v>
      </c>
      <c r="B3203" s="22" t="s">
        <v>33</v>
      </c>
      <c r="C3203" s="22" t="s">
        <v>44</v>
      </c>
      <c r="D3203" s="22" t="s">
        <v>63</v>
      </c>
      <c r="E3203" s="24">
        <v>138841065</v>
      </c>
      <c r="F3203" s="22" t="s">
        <v>95</v>
      </c>
      <c r="G3203" s="25">
        <v>3813.0000000000009</v>
      </c>
      <c r="H3203" s="22" t="s">
        <v>65</v>
      </c>
      <c r="I3203" s="22">
        <v>0</v>
      </c>
      <c r="J3203" s="22" t="s">
        <v>95</v>
      </c>
      <c r="K3203" s="22" t="s">
        <v>23</v>
      </c>
      <c r="L3203" s="22">
        <v>4</v>
      </c>
      <c r="M3203" s="26">
        <v>55000</v>
      </c>
      <c r="N3203" s="26">
        <v>0</v>
      </c>
      <c r="O3203" s="15">
        <f t="shared" si="279"/>
        <v>55000</v>
      </c>
      <c r="P3203" s="15">
        <f t="shared" si="278"/>
        <v>14.42433779176501</v>
      </c>
      <c r="Q3203" s="25">
        <v>5000</v>
      </c>
      <c r="R3203" s="22">
        <v>76</v>
      </c>
      <c r="S3203" s="22" t="s">
        <v>3932</v>
      </c>
      <c r="T3203" s="22">
        <f t="shared" si="274"/>
        <v>9</v>
      </c>
      <c r="U3203" s="22">
        <f t="shared" si="275"/>
        <v>2021</v>
      </c>
      <c r="V3203" s="22" t="str">
        <f t="shared" si="276"/>
        <v>METROPOLITANA</v>
      </c>
    </row>
    <row r="3204" spans="1:22" x14ac:dyDescent="0.2">
      <c r="A3204" s="23" t="s">
        <v>3924</v>
      </c>
      <c r="B3204" s="22" t="s">
        <v>33</v>
      </c>
      <c r="C3204" s="22" t="s">
        <v>44</v>
      </c>
      <c r="D3204" s="22" t="s">
        <v>45</v>
      </c>
      <c r="E3204" s="24">
        <v>99626232</v>
      </c>
      <c r="F3204" s="22" t="s">
        <v>67</v>
      </c>
      <c r="G3204" s="25">
        <v>3450.2000000000012</v>
      </c>
      <c r="H3204" s="22" t="s">
        <v>22</v>
      </c>
      <c r="I3204" s="22">
        <v>0</v>
      </c>
      <c r="J3204" s="22" t="s">
        <v>67</v>
      </c>
      <c r="K3204" s="22" t="s">
        <v>23</v>
      </c>
      <c r="L3204" s="22">
        <v>2</v>
      </c>
      <c r="M3204" s="26">
        <v>55000</v>
      </c>
      <c r="N3204" s="26">
        <v>0</v>
      </c>
      <c r="O3204" s="15">
        <f t="shared" si="279"/>
        <v>55000</v>
      </c>
      <c r="P3204" s="15">
        <f t="shared" si="278"/>
        <v>15.941104863486169</v>
      </c>
      <c r="Q3204" s="25">
        <v>5000</v>
      </c>
      <c r="R3204" s="22">
        <v>69</v>
      </c>
      <c r="S3204" s="22" t="s">
        <v>3933</v>
      </c>
      <c r="T3204" s="22">
        <f t="shared" si="274"/>
        <v>9</v>
      </c>
      <c r="U3204" s="22">
        <f t="shared" si="275"/>
        <v>2021</v>
      </c>
      <c r="V3204" s="22" t="str">
        <f t="shared" si="276"/>
        <v>METROPOLITANA</v>
      </c>
    </row>
    <row r="3205" spans="1:22" x14ac:dyDescent="0.2">
      <c r="A3205" s="23" t="s">
        <v>3924</v>
      </c>
      <c r="B3205" s="22" t="s">
        <v>33</v>
      </c>
      <c r="C3205" s="22" t="s">
        <v>44</v>
      </c>
      <c r="D3205" s="22" t="s">
        <v>47</v>
      </c>
      <c r="E3205" s="24">
        <v>154837728</v>
      </c>
      <c r="F3205" s="22" t="s">
        <v>48</v>
      </c>
      <c r="G3205" s="25">
        <v>4549.4000000000005</v>
      </c>
      <c r="H3205" s="22" t="s">
        <v>22</v>
      </c>
      <c r="I3205" s="22">
        <v>0</v>
      </c>
      <c r="J3205" s="22" t="s">
        <v>48</v>
      </c>
      <c r="K3205" s="22" t="s">
        <v>23</v>
      </c>
      <c r="L3205" s="22">
        <v>1</v>
      </c>
      <c r="M3205" s="26">
        <v>55000</v>
      </c>
      <c r="N3205" s="26">
        <v>0</v>
      </c>
      <c r="O3205" s="15">
        <f t="shared" si="279"/>
        <v>55000</v>
      </c>
      <c r="P3205" s="15">
        <f t="shared" si="278"/>
        <v>12.0895063085242</v>
      </c>
      <c r="Q3205" s="25">
        <v>5000</v>
      </c>
      <c r="R3205" s="22">
        <v>91</v>
      </c>
      <c r="S3205" s="22" t="s">
        <v>3934</v>
      </c>
      <c r="T3205" s="22">
        <f t="shared" si="274"/>
        <v>9</v>
      </c>
      <c r="U3205" s="22">
        <f t="shared" si="275"/>
        <v>2021</v>
      </c>
      <c r="V3205" s="22" t="str">
        <f t="shared" si="276"/>
        <v>METROPOLITANA</v>
      </c>
    </row>
    <row r="3206" spans="1:22" x14ac:dyDescent="0.2">
      <c r="A3206" s="11" t="s">
        <v>3937</v>
      </c>
      <c r="B3206" s="12" t="s">
        <v>18</v>
      </c>
      <c r="C3206" s="12" t="s">
        <v>457</v>
      </c>
      <c r="D3206" s="12" t="s">
        <v>1869</v>
      </c>
      <c r="E3206" s="13" t="s">
        <v>1870</v>
      </c>
      <c r="F3206" s="12" t="s">
        <v>3223</v>
      </c>
      <c r="G3206" s="14">
        <v>8780.8700000000008</v>
      </c>
      <c r="H3206" s="12" t="s">
        <v>24</v>
      </c>
      <c r="I3206" s="12">
        <v>1</v>
      </c>
      <c r="J3206" s="12" t="s">
        <v>3223</v>
      </c>
      <c r="K3206" s="12" t="s">
        <v>75</v>
      </c>
      <c r="L3206" s="12">
        <v>0</v>
      </c>
      <c r="M3206" s="15">
        <v>420000</v>
      </c>
      <c r="N3206" s="15">
        <v>0</v>
      </c>
      <c r="O3206" s="15">
        <f t="shared" si="279"/>
        <v>420000</v>
      </c>
      <c r="P3206" s="15">
        <f t="shared" si="278"/>
        <v>47.831251345253939</v>
      </c>
      <c r="Q3206" s="14">
        <v>20000</v>
      </c>
      <c r="R3206" s="12">
        <v>65</v>
      </c>
      <c r="S3206" s="12" t="s">
        <v>3938</v>
      </c>
      <c r="T3206" s="22">
        <f t="shared" si="274"/>
        <v>9</v>
      </c>
      <c r="U3206" s="22">
        <f t="shared" si="275"/>
        <v>2021</v>
      </c>
      <c r="V3206" s="22" t="str">
        <f t="shared" si="276"/>
        <v>REGIONES</v>
      </c>
    </row>
    <row r="3207" spans="1:22" x14ac:dyDescent="0.2">
      <c r="A3207" s="11">
        <v>44468</v>
      </c>
      <c r="B3207" s="12" t="s">
        <v>18</v>
      </c>
      <c r="C3207" s="12" t="s">
        <v>500</v>
      </c>
      <c r="D3207" s="12" t="s">
        <v>20</v>
      </c>
      <c r="E3207" s="13" t="s">
        <v>21</v>
      </c>
      <c r="F3207" s="12" t="s">
        <v>120</v>
      </c>
      <c r="G3207" s="14">
        <v>5782.54</v>
      </c>
      <c r="H3207" s="12" t="s">
        <v>22</v>
      </c>
      <c r="I3207" s="12">
        <v>0</v>
      </c>
      <c r="J3207" s="12" t="s">
        <v>120</v>
      </c>
      <c r="K3207" s="12" t="s">
        <v>23</v>
      </c>
      <c r="L3207" s="12">
        <v>5</v>
      </c>
      <c r="M3207" s="15">
        <v>70000</v>
      </c>
      <c r="N3207" s="15">
        <v>0</v>
      </c>
      <c r="O3207" s="15">
        <f t="shared" si="279"/>
        <v>70000</v>
      </c>
      <c r="P3207" s="15">
        <f t="shared" si="278"/>
        <v>12.105406966488776</v>
      </c>
      <c r="Q3207" s="14">
        <v>10000</v>
      </c>
      <c r="R3207" s="12">
        <v>65</v>
      </c>
      <c r="S3207" s="12" t="s">
        <v>3939</v>
      </c>
      <c r="T3207" s="22">
        <f t="shared" si="274"/>
        <v>9</v>
      </c>
      <c r="U3207" s="22">
        <f t="shared" si="275"/>
        <v>2021</v>
      </c>
      <c r="V3207" s="22" t="str">
        <f t="shared" si="276"/>
        <v>METROPOLITANA</v>
      </c>
    </row>
    <row r="3208" spans="1:22" x14ac:dyDescent="0.2">
      <c r="A3208" s="11" t="s">
        <v>3937</v>
      </c>
      <c r="B3208" s="12" t="s">
        <v>18</v>
      </c>
      <c r="C3208" s="12" t="s">
        <v>19</v>
      </c>
      <c r="D3208" s="12" t="s">
        <v>37</v>
      </c>
      <c r="E3208" s="13" t="s">
        <v>40</v>
      </c>
      <c r="F3208" s="12" t="s">
        <v>51</v>
      </c>
      <c r="G3208" s="14">
        <v>15429.56</v>
      </c>
      <c r="H3208" s="12" t="s">
        <v>22</v>
      </c>
      <c r="I3208" s="12">
        <v>0</v>
      </c>
      <c r="J3208" s="12" t="s">
        <v>51</v>
      </c>
      <c r="K3208" s="12" t="s">
        <v>23</v>
      </c>
      <c r="L3208" s="12">
        <v>4</v>
      </c>
      <c r="M3208" s="15">
        <v>169725</v>
      </c>
      <c r="N3208" s="15">
        <v>0</v>
      </c>
      <c r="O3208" s="15">
        <f t="shared" si="279"/>
        <v>169725</v>
      </c>
      <c r="P3208" s="15">
        <f t="shared" si="278"/>
        <v>10.99998963029406</v>
      </c>
      <c r="Q3208" s="14">
        <v>5000</v>
      </c>
      <c r="R3208" s="12">
        <v>100</v>
      </c>
      <c r="S3208" s="12" t="s">
        <v>3940</v>
      </c>
      <c r="T3208" s="22">
        <f t="shared" ref="T3208:T3271" si="280">MONTH(A3208)</f>
        <v>9</v>
      </c>
      <c r="U3208" s="22">
        <f t="shared" ref="U3208:U3271" si="281">YEAR(A3208)</f>
        <v>2021</v>
      </c>
      <c r="V3208" s="22" t="str">
        <f t="shared" ref="V3208:V3271" si="282">IF(K3208="METROPOLITANA DE SANTIAGO","METROPOLITANA","REGIONES")</f>
        <v>METROPOLITANA</v>
      </c>
    </row>
    <row r="3209" spans="1:22" x14ac:dyDescent="0.2">
      <c r="A3209" s="11" t="s">
        <v>3937</v>
      </c>
      <c r="B3209" s="12" t="s">
        <v>33</v>
      </c>
      <c r="C3209" s="12" t="s">
        <v>270</v>
      </c>
      <c r="D3209" s="12" t="s">
        <v>47</v>
      </c>
      <c r="E3209" s="13" t="s">
        <v>52</v>
      </c>
      <c r="F3209" s="12" t="s">
        <v>120</v>
      </c>
      <c r="G3209" s="14">
        <v>13537.95</v>
      </c>
      <c r="H3209" s="12" t="s">
        <v>22</v>
      </c>
      <c r="I3209" s="12">
        <v>0</v>
      </c>
      <c r="J3209" s="12" t="s">
        <v>120</v>
      </c>
      <c r="K3209" s="12" t="s">
        <v>23</v>
      </c>
      <c r="L3209" s="12">
        <v>5</v>
      </c>
      <c r="M3209" s="15">
        <v>70000</v>
      </c>
      <c r="N3209" s="15">
        <v>0</v>
      </c>
      <c r="O3209" s="15">
        <f t="shared" si="279"/>
        <v>70000</v>
      </c>
      <c r="P3209" s="15">
        <f t="shared" si="278"/>
        <v>5.1706499137609461</v>
      </c>
      <c r="Q3209" s="14">
        <v>10000</v>
      </c>
      <c r="R3209" s="12">
        <v>100</v>
      </c>
      <c r="S3209" s="12" t="s">
        <v>3941</v>
      </c>
      <c r="T3209" s="22">
        <f t="shared" si="280"/>
        <v>9</v>
      </c>
      <c r="U3209" s="22">
        <f t="shared" si="281"/>
        <v>2021</v>
      </c>
      <c r="V3209" s="22" t="str">
        <f t="shared" si="282"/>
        <v>METROPOLITANA</v>
      </c>
    </row>
    <row r="3210" spans="1:22" x14ac:dyDescent="0.2">
      <c r="A3210" s="11" t="s">
        <v>3937</v>
      </c>
      <c r="B3210" s="12" t="s">
        <v>33</v>
      </c>
      <c r="C3210" s="12" t="s">
        <v>60</v>
      </c>
      <c r="D3210" s="12" t="s">
        <v>30</v>
      </c>
      <c r="E3210" s="13" t="s">
        <v>31</v>
      </c>
      <c r="F3210" s="12" t="s">
        <v>173</v>
      </c>
      <c r="G3210" s="14">
        <v>8254.3999999999978</v>
      </c>
      <c r="H3210" s="12" t="s">
        <v>32</v>
      </c>
      <c r="I3210" s="12">
        <v>0</v>
      </c>
      <c r="J3210" s="12" t="s">
        <v>173</v>
      </c>
      <c r="K3210" s="12" t="s">
        <v>23</v>
      </c>
      <c r="L3210" s="12">
        <v>5</v>
      </c>
      <c r="M3210" s="15">
        <v>90000</v>
      </c>
      <c r="N3210" s="15">
        <v>0</v>
      </c>
      <c r="O3210" s="15">
        <f t="shared" si="279"/>
        <v>90000</v>
      </c>
      <c r="P3210" s="15">
        <f t="shared" si="278"/>
        <v>10.903275828648965</v>
      </c>
      <c r="Q3210" s="14">
        <v>10000</v>
      </c>
      <c r="R3210" s="12">
        <v>83</v>
      </c>
      <c r="S3210" s="12" t="s">
        <v>3942</v>
      </c>
      <c r="T3210" s="22">
        <f t="shared" si="280"/>
        <v>9</v>
      </c>
      <c r="U3210" s="22">
        <f t="shared" si="281"/>
        <v>2021</v>
      </c>
      <c r="V3210" s="22" t="str">
        <f t="shared" si="282"/>
        <v>METROPOLITANA</v>
      </c>
    </row>
    <row r="3211" spans="1:22" x14ac:dyDescent="0.2">
      <c r="A3211" s="11" t="s">
        <v>3937</v>
      </c>
      <c r="B3211" s="12" t="s">
        <v>33</v>
      </c>
      <c r="C3211" s="12" t="s">
        <v>128</v>
      </c>
      <c r="D3211" s="12" t="s">
        <v>130</v>
      </c>
      <c r="E3211" s="13" t="s">
        <v>131</v>
      </c>
      <c r="F3211" s="12" t="s">
        <v>66</v>
      </c>
      <c r="G3211" s="14">
        <v>8244.0000000000036</v>
      </c>
      <c r="H3211" s="12" t="s">
        <v>85</v>
      </c>
      <c r="I3211" s="12">
        <v>1</v>
      </c>
      <c r="J3211" s="12" t="s">
        <v>66</v>
      </c>
      <c r="K3211" s="12" t="s">
        <v>75</v>
      </c>
      <c r="L3211" s="12">
        <v>0</v>
      </c>
      <c r="M3211" s="15">
        <v>380000</v>
      </c>
      <c r="N3211" s="15">
        <v>0</v>
      </c>
      <c r="O3211" s="15">
        <f t="shared" si="279"/>
        <v>380000</v>
      </c>
      <c r="P3211" s="15">
        <f t="shared" si="278"/>
        <v>46.094129063561354</v>
      </c>
      <c r="Q3211" s="14">
        <v>20000</v>
      </c>
      <c r="R3211" s="12">
        <v>41</v>
      </c>
      <c r="S3211" s="12" t="s">
        <v>3943</v>
      </c>
      <c r="T3211" s="22">
        <f t="shared" si="280"/>
        <v>9</v>
      </c>
      <c r="U3211" s="22">
        <f t="shared" si="281"/>
        <v>2021</v>
      </c>
      <c r="V3211" s="22" t="str">
        <f t="shared" si="282"/>
        <v>REGIONES</v>
      </c>
    </row>
    <row r="3212" spans="1:22" x14ac:dyDescent="0.2">
      <c r="A3212" s="11" t="s">
        <v>3937</v>
      </c>
      <c r="B3212" s="12" t="s">
        <v>33</v>
      </c>
      <c r="C3212" s="12" t="s">
        <v>128</v>
      </c>
      <c r="D3212" s="12" t="s">
        <v>2955</v>
      </c>
      <c r="E3212" s="13" t="s">
        <v>2956</v>
      </c>
      <c r="F3212" s="12" t="s">
        <v>129</v>
      </c>
      <c r="G3212" s="14">
        <v>8244.0000000000036</v>
      </c>
      <c r="H3212" s="12" t="s">
        <v>24</v>
      </c>
      <c r="I3212" s="12">
        <v>1</v>
      </c>
      <c r="J3212" s="12" t="s">
        <v>129</v>
      </c>
      <c r="K3212" s="12" t="s">
        <v>23</v>
      </c>
      <c r="L3212" s="12">
        <v>1</v>
      </c>
      <c r="M3212" s="15">
        <v>90684</v>
      </c>
      <c r="N3212" s="15">
        <v>0</v>
      </c>
      <c r="O3212" s="15">
        <f t="shared" si="279"/>
        <v>90684</v>
      </c>
      <c r="P3212" s="15">
        <f t="shared" si="278"/>
        <v>10.999999999999995</v>
      </c>
      <c r="Q3212" s="14">
        <v>5000</v>
      </c>
      <c r="R3212" s="12">
        <v>100</v>
      </c>
      <c r="S3212" s="12" t="s">
        <v>3944</v>
      </c>
      <c r="T3212" s="22">
        <f t="shared" si="280"/>
        <v>9</v>
      </c>
      <c r="U3212" s="22">
        <f t="shared" si="281"/>
        <v>2021</v>
      </c>
      <c r="V3212" s="22" t="str">
        <f t="shared" si="282"/>
        <v>METROPOLITANA</v>
      </c>
    </row>
    <row r="3213" spans="1:22" x14ac:dyDescent="0.2">
      <c r="A3213" s="11" t="s">
        <v>3937</v>
      </c>
      <c r="B3213" s="12" t="s">
        <v>33</v>
      </c>
      <c r="C3213" s="12" t="s">
        <v>29</v>
      </c>
      <c r="D3213" s="12" t="s">
        <v>37</v>
      </c>
      <c r="E3213" s="13" t="s">
        <v>40</v>
      </c>
      <c r="F3213" s="12" t="s">
        <v>39</v>
      </c>
      <c r="G3213" s="14">
        <v>7503.9999999999973</v>
      </c>
      <c r="H3213" s="12" t="s">
        <v>22</v>
      </c>
      <c r="I3213" s="12">
        <v>0</v>
      </c>
      <c r="J3213" s="12" t="s">
        <v>39</v>
      </c>
      <c r="K3213" s="12" t="s">
        <v>23</v>
      </c>
      <c r="L3213" s="12">
        <v>1</v>
      </c>
      <c r="M3213" s="15">
        <v>82544</v>
      </c>
      <c r="N3213" s="15">
        <v>0</v>
      </c>
      <c r="O3213" s="15">
        <f t="shared" si="279"/>
        <v>82544</v>
      </c>
      <c r="P3213" s="15">
        <f t="shared" si="278"/>
        <v>11.000000000000004</v>
      </c>
      <c r="Q3213" s="14">
        <v>5000</v>
      </c>
      <c r="R3213" s="12">
        <v>100</v>
      </c>
      <c r="S3213" s="12" t="s">
        <v>3945</v>
      </c>
      <c r="T3213" s="22">
        <f t="shared" si="280"/>
        <v>9</v>
      </c>
      <c r="U3213" s="22">
        <f t="shared" si="281"/>
        <v>2021</v>
      </c>
      <c r="V3213" s="22" t="str">
        <f t="shared" si="282"/>
        <v>METROPOLITANA</v>
      </c>
    </row>
    <row r="3214" spans="1:22" x14ac:dyDescent="0.2">
      <c r="A3214" s="11" t="s">
        <v>3937</v>
      </c>
      <c r="B3214" s="12" t="s">
        <v>33</v>
      </c>
      <c r="C3214" s="12" t="s">
        <v>29</v>
      </c>
      <c r="D3214" s="12" t="s">
        <v>27</v>
      </c>
      <c r="E3214" s="13" t="s">
        <v>1576</v>
      </c>
      <c r="F3214" s="12" t="s">
        <v>39</v>
      </c>
      <c r="G3214" s="14">
        <v>17004.000000000011</v>
      </c>
      <c r="H3214" s="12" t="s">
        <v>22</v>
      </c>
      <c r="I3214" s="12">
        <v>1</v>
      </c>
      <c r="J3214" s="12" t="s">
        <v>39</v>
      </c>
      <c r="K3214" s="12" t="s">
        <v>23</v>
      </c>
      <c r="L3214" s="12">
        <v>1</v>
      </c>
      <c r="M3214" s="15">
        <v>187044</v>
      </c>
      <c r="N3214" s="15">
        <v>0</v>
      </c>
      <c r="O3214" s="15">
        <f t="shared" si="279"/>
        <v>187044</v>
      </c>
      <c r="P3214" s="15">
        <f t="shared" si="278"/>
        <v>10.999999999999993</v>
      </c>
      <c r="Q3214" s="14">
        <v>5000</v>
      </c>
      <c r="R3214" s="12">
        <v>100</v>
      </c>
      <c r="S3214" s="12" t="s">
        <v>3946</v>
      </c>
      <c r="T3214" s="22">
        <f t="shared" si="280"/>
        <v>9</v>
      </c>
      <c r="U3214" s="22">
        <f t="shared" si="281"/>
        <v>2021</v>
      </c>
      <c r="V3214" s="22" t="str">
        <f t="shared" si="282"/>
        <v>METROPOLITANA</v>
      </c>
    </row>
    <row r="3215" spans="1:22" x14ac:dyDescent="0.2">
      <c r="A3215" s="11" t="s">
        <v>3937</v>
      </c>
      <c r="B3215" s="12" t="s">
        <v>33</v>
      </c>
      <c r="C3215" s="12" t="s">
        <v>29</v>
      </c>
      <c r="D3215" s="12" t="s">
        <v>41</v>
      </c>
      <c r="E3215" s="13" t="s">
        <v>25</v>
      </c>
      <c r="F3215" s="12" t="s">
        <v>39</v>
      </c>
      <c r="G3215" s="14">
        <f>3400.8+1700</f>
        <v>5100.8</v>
      </c>
      <c r="H3215" s="12" t="s">
        <v>43</v>
      </c>
      <c r="I3215" s="12">
        <v>0</v>
      </c>
      <c r="J3215" s="12" t="s">
        <v>39</v>
      </c>
      <c r="K3215" s="12" t="s">
        <v>23</v>
      </c>
      <c r="L3215" s="12">
        <v>1</v>
      </c>
      <c r="M3215" s="15">
        <v>55000</v>
      </c>
      <c r="N3215" s="15">
        <v>0</v>
      </c>
      <c r="O3215" s="15">
        <f t="shared" si="279"/>
        <v>55000</v>
      </c>
      <c r="P3215" s="15">
        <f t="shared" si="278"/>
        <v>10.782622333751569</v>
      </c>
      <c r="Q3215" s="14">
        <v>5000</v>
      </c>
      <c r="R3215" s="12">
        <v>80</v>
      </c>
      <c r="S3215" s="12" t="s">
        <v>3954</v>
      </c>
      <c r="T3215" s="22">
        <f t="shared" si="280"/>
        <v>9</v>
      </c>
      <c r="U3215" s="22">
        <f t="shared" si="281"/>
        <v>2021</v>
      </c>
      <c r="V3215" s="22" t="str">
        <f t="shared" si="282"/>
        <v>METROPOLITANA</v>
      </c>
    </row>
    <row r="3216" spans="1:22" x14ac:dyDescent="0.2">
      <c r="A3216" s="11" t="s">
        <v>3937</v>
      </c>
      <c r="B3216" s="12" t="s">
        <v>33</v>
      </c>
      <c r="C3216" s="12" t="s">
        <v>44</v>
      </c>
      <c r="D3216" s="12" t="s">
        <v>63</v>
      </c>
      <c r="E3216" s="13" t="s">
        <v>64</v>
      </c>
      <c r="F3216" s="12" t="s">
        <v>53</v>
      </c>
      <c r="G3216" s="14">
        <v>7479.4</v>
      </c>
      <c r="H3216" s="12" t="s">
        <v>65</v>
      </c>
      <c r="I3216" s="12">
        <v>0</v>
      </c>
      <c r="J3216" s="12" t="s">
        <v>53</v>
      </c>
      <c r="K3216" s="12" t="s">
        <v>23</v>
      </c>
      <c r="L3216" s="12">
        <v>3</v>
      </c>
      <c r="M3216" s="15">
        <v>82273</v>
      </c>
      <c r="N3216" s="15">
        <v>0</v>
      </c>
      <c r="O3216" s="15">
        <f t="shared" si="279"/>
        <v>82273</v>
      </c>
      <c r="P3216" s="15">
        <f t="shared" si="278"/>
        <v>10.999946519774314</v>
      </c>
      <c r="Q3216" s="14">
        <v>5000</v>
      </c>
      <c r="R3216" s="12">
        <v>100</v>
      </c>
      <c r="S3216" s="12" t="s">
        <v>3947</v>
      </c>
      <c r="T3216" s="22">
        <f t="shared" si="280"/>
        <v>9</v>
      </c>
      <c r="U3216" s="22">
        <f t="shared" si="281"/>
        <v>2021</v>
      </c>
      <c r="V3216" s="22" t="str">
        <f t="shared" si="282"/>
        <v>METROPOLITANA</v>
      </c>
    </row>
    <row r="3217" spans="1:22" x14ac:dyDescent="0.2">
      <c r="A3217" s="11" t="s">
        <v>3937</v>
      </c>
      <c r="B3217" s="12" t="s">
        <v>33</v>
      </c>
      <c r="C3217" s="12" t="s">
        <v>44</v>
      </c>
      <c r="D3217" s="12" t="s">
        <v>45</v>
      </c>
      <c r="E3217" s="13" t="s">
        <v>52</v>
      </c>
      <c r="F3217" s="12" t="s">
        <v>48</v>
      </c>
      <c r="G3217" s="14">
        <v>4695.6000000000004</v>
      </c>
      <c r="H3217" s="12" t="s">
        <v>22</v>
      </c>
      <c r="I3217" s="12">
        <v>0</v>
      </c>
      <c r="J3217" s="12" t="s">
        <v>48</v>
      </c>
      <c r="K3217" s="12" t="s">
        <v>23</v>
      </c>
      <c r="L3217" s="12">
        <v>1</v>
      </c>
      <c r="M3217" s="15">
        <v>55000</v>
      </c>
      <c r="N3217" s="15">
        <v>0</v>
      </c>
      <c r="O3217" s="15">
        <f t="shared" si="279"/>
        <v>55000</v>
      </c>
      <c r="P3217" s="15">
        <f t="shared" si="278"/>
        <v>11.713093108441944</v>
      </c>
      <c r="Q3217" s="14">
        <v>5000</v>
      </c>
      <c r="R3217" s="12">
        <v>94</v>
      </c>
      <c r="S3217" s="12" t="s">
        <v>3948</v>
      </c>
      <c r="T3217" s="22">
        <f t="shared" si="280"/>
        <v>9</v>
      </c>
      <c r="U3217" s="22">
        <f t="shared" si="281"/>
        <v>2021</v>
      </c>
      <c r="V3217" s="22" t="str">
        <f t="shared" si="282"/>
        <v>METROPOLITANA</v>
      </c>
    </row>
    <row r="3218" spans="1:22" x14ac:dyDescent="0.2">
      <c r="A3218" s="11" t="s">
        <v>3937</v>
      </c>
      <c r="B3218" s="12" t="s">
        <v>33</v>
      </c>
      <c r="C3218" s="12" t="s">
        <v>44</v>
      </c>
      <c r="D3218" s="12" t="s">
        <v>47</v>
      </c>
      <c r="E3218" s="13" t="s">
        <v>1576</v>
      </c>
      <c r="F3218" s="12" t="s">
        <v>26</v>
      </c>
      <c r="G3218" s="14">
        <v>8425.5999999999985</v>
      </c>
      <c r="H3218" s="12" t="s">
        <v>22</v>
      </c>
      <c r="I3218" s="12">
        <v>0</v>
      </c>
      <c r="J3218" s="12" t="s">
        <v>26</v>
      </c>
      <c r="K3218" s="12" t="s">
        <v>23</v>
      </c>
      <c r="L3218" s="12">
        <v>4</v>
      </c>
      <c r="M3218" s="15">
        <v>92682</v>
      </c>
      <c r="N3218" s="15">
        <v>0</v>
      </c>
      <c r="O3218" s="15">
        <f t="shared" si="279"/>
        <v>92682</v>
      </c>
      <c r="P3218" s="15">
        <f t="shared" si="278"/>
        <v>11.000047474363845</v>
      </c>
      <c r="Q3218" s="14">
        <v>5000</v>
      </c>
      <c r="R3218" s="12">
        <v>100</v>
      </c>
      <c r="S3218" s="12" t="s">
        <v>3949</v>
      </c>
      <c r="T3218" s="22">
        <f t="shared" si="280"/>
        <v>9</v>
      </c>
      <c r="U3218" s="22">
        <f t="shared" si="281"/>
        <v>2021</v>
      </c>
      <c r="V3218" s="22" t="str">
        <f t="shared" si="282"/>
        <v>METROPOLITANA</v>
      </c>
    </row>
    <row r="3219" spans="1:22" x14ac:dyDescent="0.2">
      <c r="A3219" s="11" t="s">
        <v>3937</v>
      </c>
      <c r="B3219" s="12" t="s">
        <v>33</v>
      </c>
      <c r="C3219" s="12" t="s">
        <v>44</v>
      </c>
      <c r="D3219" s="12" t="s">
        <v>20</v>
      </c>
      <c r="E3219" s="13" t="s">
        <v>21</v>
      </c>
      <c r="F3219" s="12" t="s">
        <v>51</v>
      </c>
      <c r="G3219" s="14">
        <v>3750.8</v>
      </c>
      <c r="H3219" s="12" t="s">
        <v>22</v>
      </c>
      <c r="I3219" s="12">
        <v>0</v>
      </c>
      <c r="J3219" s="12" t="s">
        <v>51</v>
      </c>
      <c r="K3219" s="12" t="s">
        <v>23</v>
      </c>
      <c r="L3219" s="12">
        <v>4</v>
      </c>
      <c r="M3219" s="15">
        <v>55000</v>
      </c>
      <c r="N3219" s="15">
        <v>0</v>
      </c>
      <c r="O3219" s="15">
        <f t="shared" si="279"/>
        <v>55000</v>
      </c>
      <c r="P3219" s="15">
        <f t="shared" si="278"/>
        <v>14.663538445131705</v>
      </c>
      <c r="Q3219" s="14">
        <v>5000</v>
      </c>
      <c r="R3219" s="12">
        <v>75</v>
      </c>
      <c r="S3219" s="12" t="s">
        <v>3950</v>
      </c>
      <c r="T3219" s="22">
        <f t="shared" si="280"/>
        <v>9</v>
      </c>
      <c r="U3219" s="22">
        <f t="shared" si="281"/>
        <v>2021</v>
      </c>
      <c r="V3219" s="22" t="str">
        <f t="shared" si="282"/>
        <v>METROPOLITANA</v>
      </c>
    </row>
    <row r="3220" spans="1:22" x14ac:dyDescent="0.2">
      <c r="A3220" s="11" t="s">
        <v>3937</v>
      </c>
      <c r="B3220" s="12" t="s">
        <v>33</v>
      </c>
      <c r="C3220" s="12" t="s">
        <v>3922</v>
      </c>
      <c r="D3220" s="12" t="s">
        <v>3951</v>
      </c>
      <c r="E3220" s="13" t="s">
        <v>3952</v>
      </c>
      <c r="F3220" s="12" t="s">
        <v>129</v>
      </c>
      <c r="G3220" s="14">
        <v>25177.349999999991</v>
      </c>
      <c r="H3220" s="12" t="s">
        <v>24</v>
      </c>
      <c r="I3220" s="12">
        <v>1</v>
      </c>
      <c r="J3220" s="12" t="s">
        <v>129</v>
      </c>
      <c r="K3220" s="12" t="s">
        <v>23</v>
      </c>
      <c r="L3220" s="12">
        <v>1</v>
      </c>
      <c r="M3220" s="15">
        <v>276951</v>
      </c>
      <c r="N3220" s="15">
        <v>0</v>
      </c>
      <c r="O3220" s="15">
        <f t="shared" si="279"/>
        <v>276951</v>
      </c>
      <c r="P3220" s="15">
        <f t="shared" si="278"/>
        <v>11.000005957735826</v>
      </c>
      <c r="Q3220" s="14">
        <v>5000</v>
      </c>
      <c r="R3220" s="12">
        <v>100</v>
      </c>
      <c r="S3220" s="12" t="s">
        <v>3953</v>
      </c>
      <c r="T3220" s="22">
        <f t="shared" si="280"/>
        <v>9</v>
      </c>
      <c r="U3220" s="22">
        <f t="shared" si="281"/>
        <v>2021</v>
      </c>
      <c r="V3220" s="22" t="str">
        <f t="shared" si="282"/>
        <v>METROPOLITANA</v>
      </c>
    </row>
    <row r="3221" spans="1:22" x14ac:dyDescent="0.2">
      <c r="A3221" s="23" t="s">
        <v>3955</v>
      </c>
      <c r="B3221" s="22" t="s">
        <v>18</v>
      </c>
      <c r="C3221" s="22" t="s">
        <v>270</v>
      </c>
      <c r="D3221" s="22" t="s">
        <v>20</v>
      </c>
      <c r="E3221" s="24" t="s">
        <v>21</v>
      </c>
      <c r="F3221" s="22" t="s">
        <v>120</v>
      </c>
      <c r="G3221" s="25">
        <v>12342.22</v>
      </c>
      <c r="H3221" s="22" t="s">
        <v>22</v>
      </c>
      <c r="I3221" s="22">
        <v>0</v>
      </c>
      <c r="J3221" s="22" t="s">
        <v>120</v>
      </c>
      <c r="K3221" s="22" t="s">
        <v>23</v>
      </c>
      <c r="L3221" s="22">
        <v>5</v>
      </c>
      <c r="M3221" s="26">
        <v>70000</v>
      </c>
      <c r="N3221" s="26">
        <v>0</v>
      </c>
      <c r="O3221" s="15">
        <f t="shared" si="279"/>
        <v>70000</v>
      </c>
      <c r="P3221" s="15">
        <f t="shared" si="278"/>
        <v>5.6715890658244632</v>
      </c>
      <c r="Q3221" s="25">
        <v>10000</v>
      </c>
      <c r="R3221" s="22">
        <v>100</v>
      </c>
      <c r="S3221" s="22" t="s">
        <v>3956</v>
      </c>
      <c r="T3221" s="22">
        <f t="shared" si="280"/>
        <v>9</v>
      </c>
      <c r="U3221" s="22">
        <f t="shared" si="281"/>
        <v>2021</v>
      </c>
      <c r="V3221" s="22" t="str">
        <f t="shared" si="282"/>
        <v>METROPOLITANA</v>
      </c>
    </row>
    <row r="3222" spans="1:22" x14ac:dyDescent="0.2">
      <c r="A3222" s="23" t="s">
        <v>3955</v>
      </c>
      <c r="B3222" s="22" t="s">
        <v>18</v>
      </c>
      <c r="C3222" s="22" t="s">
        <v>19</v>
      </c>
      <c r="D3222" s="22" t="s">
        <v>41</v>
      </c>
      <c r="E3222" s="24" t="s">
        <v>25</v>
      </c>
      <c r="F3222" s="22" t="s">
        <v>51</v>
      </c>
      <c r="G3222" s="25">
        <v>15694.24</v>
      </c>
      <c r="H3222" s="22" t="s">
        <v>43</v>
      </c>
      <c r="I3222" s="22">
        <v>0</v>
      </c>
      <c r="J3222" s="22" t="s">
        <v>51</v>
      </c>
      <c r="K3222" s="22" t="s">
        <v>23</v>
      </c>
      <c r="L3222" s="22">
        <v>4</v>
      </c>
      <c r="M3222" s="26">
        <v>172637</v>
      </c>
      <c r="N3222" s="26">
        <v>0</v>
      </c>
      <c r="O3222" s="15">
        <f t="shared" si="279"/>
        <v>172637</v>
      </c>
      <c r="P3222" s="15">
        <f t="shared" si="278"/>
        <v>11.000022938351906</v>
      </c>
      <c r="Q3222" s="25">
        <v>5000</v>
      </c>
      <c r="R3222" s="22">
        <v>100</v>
      </c>
      <c r="S3222" s="22" t="s">
        <v>3957</v>
      </c>
      <c r="T3222" s="22">
        <f t="shared" si="280"/>
        <v>9</v>
      </c>
      <c r="U3222" s="22">
        <f t="shared" si="281"/>
        <v>2021</v>
      </c>
      <c r="V3222" s="22" t="str">
        <f t="shared" si="282"/>
        <v>METROPOLITANA</v>
      </c>
    </row>
    <row r="3223" spans="1:22" x14ac:dyDescent="0.2">
      <c r="A3223" s="23" t="s">
        <v>3955</v>
      </c>
      <c r="B3223" s="22" t="s">
        <v>18</v>
      </c>
      <c r="C3223" s="22" t="s">
        <v>163</v>
      </c>
      <c r="D3223" s="22" t="s">
        <v>37</v>
      </c>
      <c r="E3223" s="24" t="s">
        <v>1576</v>
      </c>
      <c r="F3223" s="22" t="s">
        <v>165</v>
      </c>
      <c r="G3223" s="25">
        <v>26523.19999999999</v>
      </c>
      <c r="H3223" s="22" t="s">
        <v>22</v>
      </c>
      <c r="I3223" s="22">
        <v>0</v>
      </c>
      <c r="J3223" s="22" t="s">
        <v>165</v>
      </c>
      <c r="K3223" s="22" t="s">
        <v>23</v>
      </c>
      <c r="L3223" s="22">
        <v>4</v>
      </c>
      <c r="M3223" s="26">
        <v>291755</v>
      </c>
      <c r="N3223" s="26">
        <v>0</v>
      </c>
      <c r="O3223" s="15">
        <f t="shared" si="279"/>
        <v>291755</v>
      </c>
      <c r="P3223" s="15">
        <f t="shared" si="278"/>
        <v>10.999992459431747</v>
      </c>
      <c r="Q3223" s="25">
        <v>5000</v>
      </c>
      <c r="R3223" s="22">
        <v>100</v>
      </c>
      <c r="S3223" s="22" t="s">
        <v>3958</v>
      </c>
      <c r="T3223" s="22">
        <f t="shared" si="280"/>
        <v>9</v>
      </c>
      <c r="U3223" s="22">
        <f t="shared" si="281"/>
        <v>2021</v>
      </c>
      <c r="V3223" s="22" t="str">
        <f t="shared" si="282"/>
        <v>METROPOLITANA</v>
      </c>
    </row>
    <row r="3224" spans="1:22" x14ac:dyDescent="0.2">
      <c r="A3224" s="23" t="s">
        <v>3955</v>
      </c>
      <c r="B3224" s="22" t="s">
        <v>33</v>
      </c>
      <c r="C3224" s="22" t="s">
        <v>60</v>
      </c>
      <c r="D3224" s="22" t="s">
        <v>45</v>
      </c>
      <c r="E3224" s="24" t="s">
        <v>52</v>
      </c>
      <c r="F3224" s="22" t="s">
        <v>51</v>
      </c>
      <c r="G3224" s="25">
        <v>8254.3999999999978</v>
      </c>
      <c r="H3224" s="22" t="s">
        <v>22</v>
      </c>
      <c r="I3224" s="22">
        <v>0</v>
      </c>
      <c r="J3224" s="22" t="s">
        <v>51</v>
      </c>
      <c r="K3224" s="22" t="s">
        <v>23</v>
      </c>
      <c r="L3224" s="22">
        <v>4</v>
      </c>
      <c r="M3224" s="26">
        <v>90798</v>
      </c>
      <c r="N3224" s="26">
        <v>0</v>
      </c>
      <c r="O3224" s="15">
        <f t="shared" si="279"/>
        <v>90798</v>
      </c>
      <c r="P3224" s="15">
        <f t="shared" si="278"/>
        <v>10.999951540996321</v>
      </c>
      <c r="Q3224" s="25">
        <v>5000</v>
      </c>
      <c r="R3224" s="22">
        <v>100</v>
      </c>
      <c r="S3224" s="22" t="s">
        <v>3959</v>
      </c>
      <c r="T3224" s="22">
        <f t="shared" si="280"/>
        <v>9</v>
      </c>
      <c r="U3224" s="22">
        <f t="shared" si="281"/>
        <v>2021</v>
      </c>
      <c r="V3224" s="22" t="str">
        <f t="shared" si="282"/>
        <v>METROPOLITANA</v>
      </c>
    </row>
    <row r="3225" spans="1:22" x14ac:dyDescent="0.2">
      <c r="A3225" s="23" t="s">
        <v>3955</v>
      </c>
      <c r="B3225" s="22" t="s">
        <v>33</v>
      </c>
      <c r="C3225" s="22" t="s">
        <v>60</v>
      </c>
      <c r="D3225" s="22" t="s">
        <v>47</v>
      </c>
      <c r="E3225" s="24" t="s">
        <v>40</v>
      </c>
      <c r="F3225" s="22" t="s">
        <v>51</v>
      </c>
      <c r="G3225" s="25">
        <f>6003.2+2251</f>
        <v>8254.2000000000007</v>
      </c>
      <c r="H3225" s="22" t="s">
        <v>22</v>
      </c>
      <c r="I3225" s="22">
        <v>0</v>
      </c>
      <c r="J3225" s="22" t="s">
        <v>51</v>
      </c>
      <c r="K3225" s="22" t="s">
        <v>23</v>
      </c>
      <c r="L3225" s="22">
        <v>4</v>
      </c>
      <c r="M3225" s="26">
        <v>66035</v>
      </c>
      <c r="N3225" s="26">
        <v>0</v>
      </c>
      <c r="O3225" s="15">
        <f t="shared" si="279"/>
        <v>66035</v>
      </c>
      <c r="P3225" s="15">
        <f t="shared" si="278"/>
        <v>8.0001696106224696</v>
      </c>
      <c r="Q3225" s="25">
        <v>5000</v>
      </c>
      <c r="R3225" s="22">
        <v>100</v>
      </c>
      <c r="S3225" s="22" t="s">
        <v>3968</v>
      </c>
      <c r="T3225" s="22">
        <f t="shared" si="280"/>
        <v>9</v>
      </c>
      <c r="U3225" s="22">
        <f t="shared" si="281"/>
        <v>2021</v>
      </c>
      <c r="V3225" s="22" t="str">
        <f t="shared" si="282"/>
        <v>METROPOLITANA</v>
      </c>
    </row>
    <row r="3226" spans="1:22" x14ac:dyDescent="0.2">
      <c r="A3226" s="23" t="s">
        <v>3955</v>
      </c>
      <c r="B3226" s="22" t="s">
        <v>33</v>
      </c>
      <c r="C3226" s="22" t="s">
        <v>1233</v>
      </c>
      <c r="D3226" s="22" t="s">
        <v>30</v>
      </c>
      <c r="E3226" s="24" t="s">
        <v>31</v>
      </c>
      <c r="F3226" s="22" t="s">
        <v>1234</v>
      </c>
      <c r="G3226" s="25">
        <v>2834</v>
      </c>
      <c r="H3226" s="22" t="s">
        <v>32</v>
      </c>
      <c r="I3226" s="22">
        <v>0</v>
      </c>
      <c r="J3226" s="22" t="s">
        <v>1234</v>
      </c>
      <c r="K3226" s="22" t="s">
        <v>23</v>
      </c>
      <c r="L3226" s="22">
        <v>3</v>
      </c>
      <c r="M3226" s="26">
        <v>55000</v>
      </c>
      <c r="N3226" s="26">
        <v>0</v>
      </c>
      <c r="O3226" s="15">
        <f t="shared" si="279"/>
        <v>55000</v>
      </c>
      <c r="P3226" s="15">
        <f t="shared" si="278"/>
        <v>19.407198306280875</v>
      </c>
      <c r="Q3226" s="25">
        <v>5000</v>
      </c>
      <c r="R3226" s="22">
        <v>85</v>
      </c>
      <c r="S3226" s="22" t="s">
        <v>3960</v>
      </c>
      <c r="T3226" s="22">
        <f t="shared" si="280"/>
        <v>9</v>
      </c>
      <c r="U3226" s="22">
        <f t="shared" si="281"/>
        <v>2021</v>
      </c>
      <c r="V3226" s="22" t="str">
        <f t="shared" si="282"/>
        <v>METROPOLITANA</v>
      </c>
    </row>
    <row r="3227" spans="1:22" x14ac:dyDescent="0.2">
      <c r="A3227" s="23" t="s">
        <v>3955</v>
      </c>
      <c r="B3227" s="22" t="s">
        <v>33</v>
      </c>
      <c r="C3227" s="22" t="s">
        <v>3961</v>
      </c>
      <c r="D3227" s="22" t="s">
        <v>2955</v>
      </c>
      <c r="E3227" s="24" t="s">
        <v>2956</v>
      </c>
      <c r="F3227" s="22" t="s">
        <v>129</v>
      </c>
      <c r="G3227" s="25">
        <v>19510.400000000001</v>
      </c>
      <c r="H3227" s="22" t="s">
        <v>24</v>
      </c>
      <c r="I3227" s="22">
        <v>1</v>
      </c>
      <c r="J3227" s="22" t="s">
        <v>129</v>
      </c>
      <c r="K3227" s="22" t="s">
        <v>23</v>
      </c>
      <c r="L3227" s="22">
        <v>1</v>
      </c>
      <c r="M3227" s="26">
        <v>214614</v>
      </c>
      <c r="N3227" s="26">
        <v>0</v>
      </c>
      <c r="O3227" s="15">
        <f t="shared" si="279"/>
        <v>214614</v>
      </c>
      <c r="P3227" s="15">
        <f t="shared" si="278"/>
        <v>10.999979498113825</v>
      </c>
      <c r="Q3227" s="25">
        <v>5000</v>
      </c>
      <c r="R3227" s="22">
        <v>100</v>
      </c>
      <c r="S3227" s="22" t="s">
        <v>3962</v>
      </c>
      <c r="T3227" s="22">
        <f t="shared" si="280"/>
        <v>9</v>
      </c>
      <c r="U3227" s="22">
        <f t="shared" si="281"/>
        <v>2021</v>
      </c>
      <c r="V3227" s="22" t="str">
        <f t="shared" si="282"/>
        <v>METROPOLITANA</v>
      </c>
    </row>
    <row r="3228" spans="1:22" x14ac:dyDescent="0.2">
      <c r="A3228" s="23" t="s">
        <v>3955</v>
      </c>
      <c r="B3228" s="22" t="s">
        <v>33</v>
      </c>
      <c r="C3228" s="22" t="s">
        <v>29</v>
      </c>
      <c r="D3228" s="22" t="s">
        <v>47</v>
      </c>
      <c r="E3228" s="24" t="s">
        <v>52</v>
      </c>
      <c r="F3228" s="22" t="s">
        <v>129</v>
      </c>
      <c r="G3228" s="25">
        <v>11052.6</v>
      </c>
      <c r="H3228" s="22" t="s">
        <v>22</v>
      </c>
      <c r="I3228" s="22">
        <v>0</v>
      </c>
      <c r="J3228" s="22" t="s">
        <v>129</v>
      </c>
      <c r="K3228" s="22" t="s">
        <v>23</v>
      </c>
      <c r="L3228" s="22">
        <v>1</v>
      </c>
      <c r="M3228" s="26">
        <v>121579</v>
      </c>
      <c r="N3228" s="26">
        <v>0</v>
      </c>
      <c r="O3228" s="15">
        <f t="shared" si="279"/>
        <v>121579</v>
      </c>
      <c r="P3228" s="15">
        <f t="shared" si="278"/>
        <v>11.000036190579591</v>
      </c>
      <c r="Q3228" s="25">
        <v>5000</v>
      </c>
      <c r="R3228" s="22">
        <v>100</v>
      </c>
      <c r="S3228" s="22" t="s">
        <v>3963</v>
      </c>
      <c r="T3228" s="22">
        <f t="shared" si="280"/>
        <v>9</v>
      </c>
      <c r="U3228" s="22">
        <f t="shared" si="281"/>
        <v>2021</v>
      </c>
      <c r="V3228" s="22" t="str">
        <f t="shared" si="282"/>
        <v>METROPOLITANA</v>
      </c>
    </row>
    <row r="3229" spans="1:22" x14ac:dyDescent="0.2">
      <c r="A3229" s="23" t="s">
        <v>3955</v>
      </c>
      <c r="B3229" s="22" t="s">
        <v>33</v>
      </c>
      <c r="C3229" s="22" t="s">
        <v>44</v>
      </c>
      <c r="D3229" s="22" t="s">
        <v>63</v>
      </c>
      <c r="E3229" s="24" t="s">
        <v>64</v>
      </c>
      <c r="F3229" s="22" t="s">
        <v>53</v>
      </c>
      <c r="G3229" s="25">
        <v>6402.4</v>
      </c>
      <c r="H3229" s="22" t="s">
        <v>65</v>
      </c>
      <c r="I3229" s="22">
        <v>0</v>
      </c>
      <c r="J3229" s="22" t="s">
        <v>53</v>
      </c>
      <c r="K3229" s="22" t="s">
        <v>23</v>
      </c>
      <c r="L3229" s="22">
        <v>3</v>
      </c>
      <c r="M3229" s="26">
        <v>70426</v>
      </c>
      <c r="N3229" s="26">
        <v>0</v>
      </c>
      <c r="O3229" s="15">
        <f t="shared" si="279"/>
        <v>70426</v>
      </c>
      <c r="P3229" s="15">
        <f t="shared" si="278"/>
        <v>10.999937523428715</v>
      </c>
      <c r="Q3229" s="25">
        <v>5000</v>
      </c>
      <c r="R3229" s="22">
        <v>100</v>
      </c>
      <c r="S3229" s="22" t="s">
        <v>3964</v>
      </c>
      <c r="T3229" s="22">
        <f t="shared" si="280"/>
        <v>9</v>
      </c>
      <c r="U3229" s="22">
        <f t="shared" si="281"/>
        <v>2021</v>
      </c>
      <c r="V3229" s="22" t="str">
        <f t="shared" si="282"/>
        <v>METROPOLITANA</v>
      </c>
    </row>
    <row r="3230" spans="1:22" x14ac:dyDescent="0.2">
      <c r="A3230" s="23" t="s">
        <v>3955</v>
      </c>
      <c r="B3230" s="22" t="s">
        <v>33</v>
      </c>
      <c r="C3230" s="22" t="s">
        <v>44</v>
      </c>
      <c r="D3230" s="22" t="s">
        <v>41</v>
      </c>
      <c r="E3230" s="24" t="s">
        <v>25</v>
      </c>
      <c r="F3230" s="22" t="s">
        <v>94</v>
      </c>
      <c r="G3230" s="25">
        <v>5499.4000000000005</v>
      </c>
      <c r="H3230" s="22" t="s">
        <v>43</v>
      </c>
      <c r="I3230" s="22">
        <v>0</v>
      </c>
      <c r="J3230" s="22" t="s">
        <v>59</v>
      </c>
      <c r="K3230" s="22" t="s">
        <v>78</v>
      </c>
      <c r="L3230" s="22">
        <v>0</v>
      </c>
      <c r="M3230" s="26">
        <v>180000</v>
      </c>
      <c r="N3230" s="26">
        <v>0</v>
      </c>
      <c r="O3230" s="15">
        <f t="shared" si="279"/>
        <v>180000</v>
      </c>
      <c r="P3230" s="15">
        <f t="shared" si="278"/>
        <v>32.730843364730696</v>
      </c>
      <c r="Q3230" s="25">
        <v>20000</v>
      </c>
      <c r="R3230" s="22">
        <v>65</v>
      </c>
      <c r="S3230" s="22" t="s">
        <v>3965</v>
      </c>
      <c r="T3230" s="22">
        <f t="shared" si="280"/>
        <v>9</v>
      </c>
      <c r="U3230" s="22">
        <f t="shared" si="281"/>
        <v>2021</v>
      </c>
      <c r="V3230" s="22" t="str">
        <f t="shared" si="282"/>
        <v>REGIONES</v>
      </c>
    </row>
    <row r="3231" spans="1:22" x14ac:dyDescent="0.2">
      <c r="A3231" s="23" t="s">
        <v>3955</v>
      </c>
      <c r="B3231" s="22" t="s">
        <v>33</v>
      </c>
      <c r="C3231" s="22" t="s">
        <v>44</v>
      </c>
      <c r="D3231" s="22" t="s">
        <v>20</v>
      </c>
      <c r="E3231" s="24" t="s">
        <v>21</v>
      </c>
      <c r="F3231" s="22" t="s">
        <v>48</v>
      </c>
      <c r="G3231" s="25">
        <v>9450.7999999999956</v>
      </c>
      <c r="H3231" s="22" t="s">
        <v>22</v>
      </c>
      <c r="I3231" s="22">
        <v>0</v>
      </c>
      <c r="J3231" s="22" t="s">
        <v>48</v>
      </c>
      <c r="K3231" s="22" t="s">
        <v>23</v>
      </c>
      <c r="L3231" s="22">
        <v>1</v>
      </c>
      <c r="M3231" s="26">
        <v>103959</v>
      </c>
      <c r="N3231" s="26">
        <v>0</v>
      </c>
      <c r="O3231" s="15">
        <f t="shared" si="279"/>
        <v>103959</v>
      </c>
      <c r="P3231" s="15">
        <f t="shared" si="278"/>
        <v>11.000021162229658</v>
      </c>
      <c r="Q3231" s="25">
        <v>5000</v>
      </c>
      <c r="R3231" s="22">
        <v>100</v>
      </c>
      <c r="S3231" s="22" t="s">
        <v>3966</v>
      </c>
      <c r="T3231" s="22">
        <f t="shared" si="280"/>
        <v>9</v>
      </c>
      <c r="U3231" s="22">
        <f t="shared" si="281"/>
        <v>2021</v>
      </c>
      <c r="V3231" s="22" t="str">
        <f t="shared" si="282"/>
        <v>METROPOLITANA</v>
      </c>
    </row>
    <row r="3232" spans="1:22" x14ac:dyDescent="0.2">
      <c r="A3232" s="23" t="s">
        <v>3955</v>
      </c>
      <c r="B3232" s="22" t="s">
        <v>33</v>
      </c>
      <c r="C3232" s="22" t="s">
        <v>3922</v>
      </c>
      <c r="D3232" s="22" t="s">
        <v>786</v>
      </c>
      <c r="E3232" s="24" t="s">
        <v>1891</v>
      </c>
      <c r="F3232" s="22" t="s">
        <v>129</v>
      </c>
      <c r="G3232" s="25">
        <v>13172</v>
      </c>
      <c r="H3232" s="22" t="s">
        <v>788</v>
      </c>
      <c r="I3232" s="22">
        <v>1</v>
      </c>
      <c r="J3232" s="22" t="s">
        <v>129</v>
      </c>
      <c r="K3232" s="22" t="s">
        <v>23</v>
      </c>
      <c r="L3232" s="22">
        <v>1</v>
      </c>
      <c r="M3232" s="26">
        <v>144892</v>
      </c>
      <c r="N3232" s="26">
        <v>0</v>
      </c>
      <c r="O3232" s="15">
        <f t="shared" si="279"/>
        <v>144892</v>
      </c>
      <c r="P3232" s="15">
        <f t="shared" si="278"/>
        <v>11</v>
      </c>
      <c r="Q3232" s="25">
        <v>5000</v>
      </c>
      <c r="R3232" s="22">
        <v>100</v>
      </c>
      <c r="S3232" s="22" t="s">
        <v>3967</v>
      </c>
      <c r="T3232" s="22">
        <f t="shared" si="280"/>
        <v>9</v>
      </c>
      <c r="U3232" s="22">
        <f t="shared" si="281"/>
        <v>2021</v>
      </c>
      <c r="V3232" s="22" t="str">
        <f t="shared" si="282"/>
        <v>METROPOLITANA</v>
      </c>
    </row>
    <row r="3233" spans="1:22" x14ac:dyDescent="0.2">
      <c r="A3233" s="11" t="s">
        <v>3969</v>
      </c>
      <c r="B3233" s="12" t="s">
        <v>33</v>
      </c>
      <c r="C3233" s="12" t="s">
        <v>60</v>
      </c>
      <c r="D3233" s="12" t="s">
        <v>37</v>
      </c>
      <c r="E3233" s="13" t="s">
        <v>40</v>
      </c>
      <c r="F3233" s="12" t="s">
        <v>51</v>
      </c>
      <c r="G3233" s="14">
        <f>5951.4+1700</f>
        <v>7651.4</v>
      </c>
      <c r="H3233" s="12" t="s">
        <v>22</v>
      </c>
      <c r="I3233" s="12">
        <v>0</v>
      </c>
      <c r="J3233" s="12" t="s">
        <v>51</v>
      </c>
      <c r="K3233" s="12" t="s">
        <v>23</v>
      </c>
      <c r="L3233" s="12">
        <v>4</v>
      </c>
      <c r="M3233" s="15">
        <v>65465</v>
      </c>
      <c r="N3233" s="15">
        <v>0</v>
      </c>
      <c r="O3233" s="15">
        <f t="shared" si="279"/>
        <v>65465</v>
      </c>
      <c r="P3233" s="15">
        <f t="shared" ref="P3233:P3296" si="283">O3233/G3233</f>
        <v>8.5559505449983018</v>
      </c>
      <c r="Q3233" s="14">
        <v>5000</v>
      </c>
      <c r="R3233" s="12">
        <v>100</v>
      </c>
      <c r="S3233" s="12" t="s">
        <v>3970</v>
      </c>
      <c r="T3233" s="22">
        <f t="shared" si="280"/>
        <v>10</v>
      </c>
      <c r="U3233" s="22">
        <f t="shared" si="281"/>
        <v>2021</v>
      </c>
      <c r="V3233" s="22" t="str">
        <f t="shared" si="282"/>
        <v>METROPOLITANA</v>
      </c>
    </row>
    <row r="3234" spans="1:22" x14ac:dyDescent="0.2">
      <c r="A3234" s="11" t="s">
        <v>3969</v>
      </c>
      <c r="B3234" s="12" t="s">
        <v>33</v>
      </c>
      <c r="C3234" s="12" t="s">
        <v>60</v>
      </c>
      <c r="D3234" s="12" t="s">
        <v>63</v>
      </c>
      <c r="E3234" s="13" t="s">
        <v>64</v>
      </c>
      <c r="F3234" s="12" t="s">
        <v>51</v>
      </c>
      <c r="G3234" s="14">
        <v>8502</v>
      </c>
      <c r="H3234" s="12" t="s">
        <v>65</v>
      </c>
      <c r="I3234" s="12">
        <v>0</v>
      </c>
      <c r="J3234" s="12" t="s">
        <v>51</v>
      </c>
      <c r="K3234" s="12" t="s">
        <v>23</v>
      </c>
      <c r="L3234" s="12">
        <v>4</v>
      </c>
      <c r="M3234" s="15">
        <v>93522</v>
      </c>
      <c r="N3234" s="15">
        <v>0</v>
      </c>
      <c r="O3234" s="15">
        <f t="shared" si="279"/>
        <v>93522</v>
      </c>
      <c r="P3234" s="15">
        <f t="shared" si="283"/>
        <v>11</v>
      </c>
      <c r="Q3234" s="14">
        <v>5000</v>
      </c>
      <c r="R3234" s="12">
        <v>100</v>
      </c>
      <c r="S3234" s="12" t="s">
        <v>3971</v>
      </c>
      <c r="T3234" s="22">
        <f t="shared" si="280"/>
        <v>10</v>
      </c>
      <c r="U3234" s="22">
        <f t="shared" si="281"/>
        <v>2021</v>
      </c>
      <c r="V3234" s="22" t="str">
        <f t="shared" si="282"/>
        <v>METROPOLITANA</v>
      </c>
    </row>
    <row r="3235" spans="1:22" x14ac:dyDescent="0.2">
      <c r="A3235" s="11" t="s">
        <v>3969</v>
      </c>
      <c r="B3235" s="12" t="s">
        <v>33</v>
      </c>
      <c r="C3235" s="12" t="s">
        <v>3460</v>
      </c>
      <c r="D3235" s="12" t="s">
        <v>164</v>
      </c>
      <c r="E3235" s="13" t="s">
        <v>28</v>
      </c>
      <c r="F3235" s="12" t="s">
        <v>170</v>
      </c>
      <c r="G3235" s="14">
        <v>16692.260000000009</v>
      </c>
      <c r="H3235" s="12" t="s">
        <v>22</v>
      </c>
      <c r="I3235" s="12">
        <v>1</v>
      </c>
      <c r="J3235" s="12" t="s">
        <v>170</v>
      </c>
      <c r="K3235" s="12" t="s">
        <v>171</v>
      </c>
      <c r="L3235" s="12">
        <v>0</v>
      </c>
      <c r="M3235" s="15">
        <v>230000</v>
      </c>
      <c r="N3235" s="15">
        <v>0</v>
      </c>
      <c r="O3235" s="15">
        <f t="shared" si="279"/>
        <v>230000</v>
      </c>
      <c r="P3235" s="15">
        <f t="shared" si="283"/>
        <v>13.778841211435712</v>
      </c>
      <c r="Q3235" s="14">
        <v>20000</v>
      </c>
      <c r="R3235" s="12">
        <v>83</v>
      </c>
      <c r="S3235" s="12" t="s">
        <v>3972</v>
      </c>
      <c r="T3235" s="22">
        <f t="shared" si="280"/>
        <v>10</v>
      </c>
      <c r="U3235" s="22">
        <f t="shared" si="281"/>
        <v>2021</v>
      </c>
      <c r="V3235" s="22" t="str">
        <f t="shared" si="282"/>
        <v>REGIONES</v>
      </c>
    </row>
    <row r="3236" spans="1:22" x14ac:dyDescent="0.2">
      <c r="A3236" s="11" t="s">
        <v>3969</v>
      </c>
      <c r="B3236" s="12" t="s">
        <v>33</v>
      </c>
      <c r="C3236" s="12" t="s">
        <v>128</v>
      </c>
      <c r="D3236" s="12" t="s">
        <v>37</v>
      </c>
      <c r="E3236" s="13" t="s">
        <v>40</v>
      </c>
      <c r="F3236" s="12" t="s">
        <v>34</v>
      </c>
      <c r="G3236" s="14">
        <v>5734.8</v>
      </c>
      <c r="H3236" s="12" t="s">
        <v>22</v>
      </c>
      <c r="I3236" s="12">
        <v>0</v>
      </c>
      <c r="J3236" s="12" t="s">
        <v>34</v>
      </c>
      <c r="K3236" s="12" t="s">
        <v>23</v>
      </c>
      <c r="L3236" s="12">
        <v>1</v>
      </c>
      <c r="M3236" s="15">
        <v>63083</v>
      </c>
      <c r="N3236" s="15">
        <v>0</v>
      </c>
      <c r="O3236" s="15">
        <f t="shared" si="279"/>
        <v>63083</v>
      </c>
      <c r="P3236" s="15">
        <f t="shared" si="283"/>
        <v>11.00003487479947</v>
      </c>
      <c r="Q3236" s="14">
        <v>5000</v>
      </c>
      <c r="R3236" s="12">
        <v>100</v>
      </c>
      <c r="S3236" s="12" t="s">
        <v>3973</v>
      </c>
      <c r="T3236" s="22">
        <f t="shared" si="280"/>
        <v>10</v>
      </c>
      <c r="U3236" s="22">
        <f t="shared" si="281"/>
        <v>2021</v>
      </c>
      <c r="V3236" s="22" t="str">
        <f t="shared" si="282"/>
        <v>METROPOLITANA</v>
      </c>
    </row>
    <row r="3237" spans="1:22" x14ac:dyDescent="0.2">
      <c r="A3237" s="11" t="s">
        <v>3969</v>
      </c>
      <c r="B3237" s="12" t="s">
        <v>33</v>
      </c>
      <c r="C3237" s="12" t="s">
        <v>29</v>
      </c>
      <c r="D3237" s="12" t="s">
        <v>27</v>
      </c>
      <c r="E3237" s="13" t="s">
        <v>28</v>
      </c>
      <c r="F3237" s="12" t="s">
        <v>39</v>
      </c>
      <c r="G3237" s="14">
        <v>8244.0000000000036</v>
      </c>
      <c r="H3237" s="12" t="s">
        <v>22</v>
      </c>
      <c r="I3237" s="12">
        <v>1</v>
      </c>
      <c r="J3237" s="12" t="s">
        <v>39</v>
      </c>
      <c r="K3237" s="12" t="s">
        <v>23</v>
      </c>
      <c r="L3237" s="12">
        <v>1</v>
      </c>
      <c r="M3237" s="15">
        <v>90684</v>
      </c>
      <c r="N3237" s="15">
        <v>0</v>
      </c>
      <c r="O3237" s="15">
        <f t="shared" si="279"/>
        <v>90684</v>
      </c>
      <c r="P3237" s="15">
        <f t="shared" si="283"/>
        <v>10.999999999999995</v>
      </c>
      <c r="Q3237" s="14">
        <v>5000</v>
      </c>
      <c r="R3237" s="12">
        <v>100</v>
      </c>
      <c r="S3237" s="12" t="s">
        <v>3974</v>
      </c>
      <c r="T3237" s="22">
        <f t="shared" si="280"/>
        <v>10</v>
      </c>
      <c r="U3237" s="22">
        <f t="shared" si="281"/>
        <v>2021</v>
      </c>
      <c r="V3237" s="22" t="str">
        <f t="shared" si="282"/>
        <v>METROPOLITANA</v>
      </c>
    </row>
    <row r="3238" spans="1:22" x14ac:dyDescent="0.2">
      <c r="A3238" s="11" t="s">
        <v>3969</v>
      </c>
      <c r="B3238" s="12" t="s">
        <v>33</v>
      </c>
      <c r="C3238" s="12" t="s">
        <v>29</v>
      </c>
      <c r="D3238" s="12" t="s">
        <v>30</v>
      </c>
      <c r="E3238" s="13" t="s">
        <v>31</v>
      </c>
      <c r="F3238" s="12" t="s">
        <v>39</v>
      </c>
      <c r="G3238" s="14">
        <v>2748</v>
      </c>
      <c r="H3238" s="12" t="s">
        <v>32</v>
      </c>
      <c r="I3238" s="12">
        <v>0</v>
      </c>
      <c r="J3238" s="12" t="s">
        <v>39</v>
      </c>
      <c r="K3238" s="12" t="s">
        <v>23</v>
      </c>
      <c r="L3238" s="12">
        <v>1</v>
      </c>
      <c r="M3238" s="15">
        <v>55000</v>
      </c>
      <c r="N3238" s="15">
        <v>0</v>
      </c>
      <c r="O3238" s="15">
        <f t="shared" si="279"/>
        <v>55000</v>
      </c>
      <c r="P3238" s="15">
        <f t="shared" si="283"/>
        <v>20.014556040756915</v>
      </c>
      <c r="Q3238" s="14">
        <v>5000</v>
      </c>
      <c r="R3238" s="12">
        <v>55</v>
      </c>
      <c r="S3238" s="12" t="s">
        <v>3975</v>
      </c>
      <c r="T3238" s="22">
        <f t="shared" si="280"/>
        <v>10</v>
      </c>
      <c r="U3238" s="22">
        <f t="shared" si="281"/>
        <v>2021</v>
      </c>
      <c r="V3238" s="22" t="str">
        <f t="shared" si="282"/>
        <v>METROPOLITANA</v>
      </c>
    </row>
    <row r="3239" spans="1:22" x14ac:dyDescent="0.2">
      <c r="A3239" s="11" t="s">
        <v>3969</v>
      </c>
      <c r="B3239" s="12" t="s">
        <v>33</v>
      </c>
      <c r="C3239" s="12" t="s">
        <v>29</v>
      </c>
      <c r="D3239" s="12" t="s">
        <v>41</v>
      </c>
      <c r="E3239" s="13" t="s">
        <v>25</v>
      </c>
      <c r="F3239" s="12" t="s">
        <v>39</v>
      </c>
      <c r="G3239" s="14">
        <v>2473.2000000000012</v>
      </c>
      <c r="H3239" s="12" t="s">
        <v>43</v>
      </c>
      <c r="I3239" s="12">
        <v>0</v>
      </c>
      <c r="J3239" s="12" t="s">
        <v>39</v>
      </c>
      <c r="K3239" s="12" t="s">
        <v>23</v>
      </c>
      <c r="L3239" s="12">
        <v>1</v>
      </c>
      <c r="M3239" s="15">
        <v>55000</v>
      </c>
      <c r="N3239" s="15">
        <v>0</v>
      </c>
      <c r="O3239" s="15">
        <f t="shared" si="279"/>
        <v>55000</v>
      </c>
      <c r="P3239" s="15">
        <f t="shared" si="283"/>
        <v>22.238395600841006</v>
      </c>
      <c r="Q3239" s="14">
        <v>5000</v>
      </c>
      <c r="R3239" s="12">
        <v>49</v>
      </c>
      <c r="S3239" s="12" t="s">
        <v>3976</v>
      </c>
      <c r="T3239" s="22">
        <f t="shared" si="280"/>
        <v>10</v>
      </c>
      <c r="U3239" s="22">
        <f t="shared" si="281"/>
        <v>2021</v>
      </c>
      <c r="V3239" s="22" t="str">
        <f t="shared" si="282"/>
        <v>METROPOLITANA</v>
      </c>
    </row>
    <row r="3240" spans="1:22" x14ac:dyDescent="0.2">
      <c r="A3240" s="11" t="s">
        <v>3969</v>
      </c>
      <c r="B3240" s="12" t="s">
        <v>33</v>
      </c>
      <c r="C3240" s="12" t="s">
        <v>29</v>
      </c>
      <c r="D3240" s="12" t="s">
        <v>41</v>
      </c>
      <c r="E3240" s="13" t="s">
        <v>25</v>
      </c>
      <c r="F3240" s="12" t="s">
        <v>134</v>
      </c>
      <c r="G3240" s="14">
        <v>7075.5000000000009</v>
      </c>
      <c r="H3240" s="12" t="s">
        <v>43</v>
      </c>
      <c r="I3240" s="12">
        <v>0</v>
      </c>
      <c r="J3240" s="12" t="s">
        <v>134</v>
      </c>
      <c r="K3240" s="12" t="s">
        <v>23</v>
      </c>
      <c r="L3240" s="12">
        <v>2</v>
      </c>
      <c r="M3240" s="15">
        <v>77831</v>
      </c>
      <c r="N3240" s="15">
        <v>0</v>
      </c>
      <c r="O3240" s="15">
        <f t="shared" si="279"/>
        <v>77831</v>
      </c>
      <c r="P3240" s="15">
        <f t="shared" si="283"/>
        <v>11.000070666384</v>
      </c>
      <c r="Q3240" s="14">
        <v>5000</v>
      </c>
      <c r="R3240" s="12">
        <v>100</v>
      </c>
      <c r="S3240" s="12" t="s">
        <v>3977</v>
      </c>
      <c r="T3240" s="22">
        <f t="shared" si="280"/>
        <v>10</v>
      </c>
      <c r="U3240" s="22">
        <f t="shared" si="281"/>
        <v>2021</v>
      </c>
      <c r="V3240" s="22" t="str">
        <f t="shared" si="282"/>
        <v>METROPOLITANA</v>
      </c>
    </row>
    <row r="3241" spans="1:22" x14ac:dyDescent="0.2">
      <c r="A3241" s="11" t="s">
        <v>3969</v>
      </c>
      <c r="B3241" s="12" t="s">
        <v>33</v>
      </c>
      <c r="C3241" s="12" t="s">
        <v>44</v>
      </c>
      <c r="D3241" s="12" t="s">
        <v>2262</v>
      </c>
      <c r="E3241" s="13" t="s">
        <v>83</v>
      </c>
      <c r="F3241" s="12" t="s">
        <v>84</v>
      </c>
      <c r="G3241" s="14">
        <f>8244+6952+3325+705</f>
        <v>19226</v>
      </c>
      <c r="H3241" s="12" t="s">
        <v>24</v>
      </c>
      <c r="I3241" s="12">
        <v>1</v>
      </c>
      <c r="J3241" s="12" t="s">
        <v>84</v>
      </c>
      <c r="K3241" s="12" t="s">
        <v>86</v>
      </c>
      <c r="L3241" s="12">
        <v>0</v>
      </c>
      <c r="M3241" s="15">
        <v>320000</v>
      </c>
      <c r="N3241" s="15">
        <v>0</v>
      </c>
      <c r="O3241" s="15">
        <f t="shared" si="279"/>
        <v>320000</v>
      </c>
      <c r="P3241" s="15">
        <f t="shared" si="283"/>
        <v>16.644127743680432</v>
      </c>
      <c r="Q3241" s="14">
        <v>20000</v>
      </c>
      <c r="R3241" s="12">
        <v>100</v>
      </c>
      <c r="S3241" s="12" t="s">
        <v>3982</v>
      </c>
      <c r="T3241" s="22">
        <f t="shared" si="280"/>
        <v>10</v>
      </c>
      <c r="U3241" s="22">
        <f t="shared" si="281"/>
        <v>2021</v>
      </c>
      <c r="V3241" s="22" t="str">
        <f t="shared" si="282"/>
        <v>REGIONES</v>
      </c>
    </row>
    <row r="3242" spans="1:22" x14ac:dyDescent="0.2">
      <c r="A3242" s="11" t="s">
        <v>3969</v>
      </c>
      <c r="B3242" s="12" t="s">
        <v>33</v>
      </c>
      <c r="C3242" s="12" t="s">
        <v>44</v>
      </c>
      <c r="D3242" s="12" t="s">
        <v>47</v>
      </c>
      <c r="E3242" s="13" t="s">
        <v>1576</v>
      </c>
      <c r="F3242" s="12" t="s">
        <v>129</v>
      </c>
      <c r="G3242" s="14">
        <v>6510</v>
      </c>
      <c r="H3242" s="12" t="s">
        <v>22</v>
      </c>
      <c r="I3242" s="12">
        <v>0</v>
      </c>
      <c r="J3242" s="12" t="s">
        <v>129</v>
      </c>
      <c r="K3242" s="12" t="s">
        <v>23</v>
      </c>
      <c r="L3242" s="12">
        <v>1</v>
      </c>
      <c r="M3242" s="15">
        <v>71610</v>
      </c>
      <c r="N3242" s="15">
        <v>0</v>
      </c>
      <c r="O3242" s="15">
        <f t="shared" si="279"/>
        <v>71610</v>
      </c>
      <c r="P3242" s="15">
        <f t="shared" si="283"/>
        <v>11</v>
      </c>
      <c r="Q3242" s="14">
        <v>5000</v>
      </c>
      <c r="R3242" s="12">
        <v>100</v>
      </c>
      <c r="S3242" s="12" t="s">
        <v>3978</v>
      </c>
      <c r="T3242" s="22">
        <f t="shared" si="280"/>
        <v>10</v>
      </c>
      <c r="U3242" s="22">
        <f t="shared" si="281"/>
        <v>2021</v>
      </c>
      <c r="V3242" s="22" t="str">
        <f t="shared" si="282"/>
        <v>METROPOLITANA</v>
      </c>
    </row>
    <row r="3243" spans="1:22" x14ac:dyDescent="0.2">
      <c r="A3243" s="11" t="s">
        <v>3969</v>
      </c>
      <c r="B3243" s="12" t="s">
        <v>33</v>
      </c>
      <c r="C3243" s="12" t="s">
        <v>44</v>
      </c>
      <c r="D3243" s="12" t="s">
        <v>3979</v>
      </c>
      <c r="E3243" s="13" t="s">
        <v>126</v>
      </c>
      <c r="F3243" s="12" t="s">
        <v>132</v>
      </c>
      <c r="G3243" s="14">
        <v>8244.0000000000036</v>
      </c>
      <c r="H3243" s="12" t="s">
        <v>24</v>
      </c>
      <c r="I3243" s="12">
        <v>1</v>
      </c>
      <c r="J3243" s="12" t="s">
        <v>132</v>
      </c>
      <c r="K3243" s="12" t="s">
        <v>124</v>
      </c>
      <c r="L3243" s="12">
        <v>0</v>
      </c>
      <c r="M3243" s="15">
        <v>350000</v>
      </c>
      <c r="N3243" s="15">
        <v>0</v>
      </c>
      <c r="O3243" s="15">
        <f t="shared" si="279"/>
        <v>350000</v>
      </c>
      <c r="P3243" s="15">
        <f t="shared" si="283"/>
        <v>42.455118874332832</v>
      </c>
      <c r="Q3243" s="14">
        <v>20000</v>
      </c>
      <c r="R3243" s="12">
        <v>41</v>
      </c>
      <c r="S3243" s="12" t="s">
        <v>3980</v>
      </c>
      <c r="T3243" s="22">
        <f t="shared" si="280"/>
        <v>10</v>
      </c>
      <c r="U3243" s="22">
        <f t="shared" si="281"/>
        <v>2021</v>
      </c>
      <c r="V3243" s="22" t="str">
        <f t="shared" si="282"/>
        <v>REGIONES</v>
      </c>
    </row>
    <row r="3244" spans="1:22" x14ac:dyDescent="0.2">
      <c r="A3244" s="11" t="s">
        <v>3969</v>
      </c>
      <c r="B3244" s="12" t="s">
        <v>33</v>
      </c>
      <c r="C3244" s="12" t="s">
        <v>3922</v>
      </c>
      <c r="D3244" s="12" t="s">
        <v>786</v>
      </c>
      <c r="E3244" s="13" t="s">
        <v>787</v>
      </c>
      <c r="F3244" s="12" t="s">
        <v>129</v>
      </c>
      <c r="G3244" s="14">
        <v>16596.159999999989</v>
      </c>
      <c r="H3244" s="12" t="s">
        <v>788</v>
      </c>
      <c r="I3244" s="12">
        <v>1</v>
      </c>
      <c r="J3244" s="12" t="s">
        <v>129</v>
      </c>
      <c r="K3244" s="12" t="s">
        <v>23</v>
      </c>
      <c r="L3244" s="12">
        <v>1</v>
      </c>
      <c r="M3244" s="15">
        <v>182558</v>
      </c>
      <c r="N3244" s="15">
        <v>0</v>
      </c>
      <c r="O3244" s="15">
        <f t="shared" si="279"/>
        <v>182558</v>
      </c>
      <c r="P3244" s="15">
        <f t="shared" si="283"/>
        <v>11.000014461176569</v>
      </c>
      <c r="Q3244" s="14">
        <v>5000</v>
      </c>
      <c r="R3244" s="12">
        <v>100</v>
      </c>
      <c r="S3244" s="12" t="s">
        <v>3981</v>
      </c>
      <c r="T3244" s="22">
        <f t="shared" si="280"/>
        <v>10</v>
      </c>
      <c r="U3244" s="22">
        <f t="shared" si="281"/>
        <v>2021</v>
      </c>
      <c r="V3244" s="22" t="str">
        <f t="shared" si="282"/>
        <v>METROPOLITANA</v>
      </c>
    </row>
    <row r="3245" spans="1:22" x14ac:dyDescent="0.2">
      <c r="A3245" s="23" t="s">
        <v>3983</v>
      </c>
      <c r="B3245" s="22" t="s">
        <v>18</v>
      </c>
      <c r="C3245" s="22" t="s">
        <v>57</v>
      </c>
      <c r="D3245" s="22" t="s">
        <v>37</v>
      </c>
      <c r="E3245" s="24" t="s">
        <v>40</v>
      </c>
      <c r="F3245" s="22" t="s">
        <v>58</v>
      </c>
      <c r="G3245" s="25">
        <v>7572.4899999999989</v>
      </c>
      <c r="H3245" s="22" t="s">
        <v>22</v>
      </c>
      <c r="I3245" s="22">
        <v>0</v>
      </c>
      <c r="J3245" s="22" t="s">
        <v>58</v>
      </c>
      <c r="K3245" s="22" t="s">
        <v>23</v>
      </c>
      <c r="L3245" s="22">
        <v>5</v>
      </c>
      <c r="M3245" s="26">
        <v>70000</v>
      </c>
      <c r="N3245" s="26">
        <v>0</v>
      </c>
      <c r="O3245" s="15">
        <f t="shared" si="279"/>
        <v>70000</v>
      </c>
      <c r="P3245" s="15">
        <f t="shared" si="283"/>
        <v>9.2439871165230993</v>
      </c>
      <c r="Q3245" s="25">
        <v>10000</v>
      </c>
      <c r="R3245" s="22">
        <v>76</v>
      </c>
      <c r="S3245" s="22" t="s">
        <v>3984</v>
      </c>
      <c r="T3245" s="22">
        <f t="shared" si="280"/>
        <v>10</v>
      </c>
      <c r="U3245" s="22">
        <f t="shared" si="281"/>
        <v>2021</v>
      </c>
      <c r="V3245" s="22" t="str">
        <f t="shared" si="282"/>
        <v>METROPOLITANA</v>
      </c>
    </row>
    <row r="3246" spans="1:22" x14ac:dyDescent="0.2">
      <c r="A3246" s="23" t="s">
        <v>3983</v>
      </c>
      <c r="B3246" s="22" t="s">
        <v>18</v>
      </c>
      <c r="C3246" s="22" t="s">
        <v>500</v>
      </c>
      <c r="D3246" s="22" t="s">
        <v>41</v>
      </c>
      <c r="E3246" s="24" t="s">
        <v>25</v>
      </c>
      <c r="F3246" s="22" t="s">
        <v>120</v>
      </c>
      <c r="G3246" s="25">
        <v>6930.82</v>
      </c>
      <c r="H3246" s="22" t="s">
        <v>43</v>
      </c>
      <c r="I3246" s="22">
        <v>0</v>
      </c>
      <c r="J3246" s="22" t="s">
        <v>120</v>
      </c>
      <c r="K3246" s="22" t="s">
        <v>23</v>
      </c>
      <c r="L3246" s="22">
        <v>5</v>
      </c>
      <c r="M3246" s="26">
        <v>70000</v>
      </c>
      <c r="N3246" s="26">
        <v>0</v>
      </c>
      <c r="O3246" s="15">
        <f t="shared" si="279"/>
        <v>70000</v>
      </c>
      <c r="P3246" s="15">
        <f t="shared" si="283"/>
        <v>10.099815029101896</v>
      </c>
      <c r="Q3246" s="25">
        <v>10000</v>
      </c>
      <c r="R3246" s="22">
        <v>69</v>
      </c>
      <c r="S3246" s="22" t="s">
        <v>3985</v>
      </c>
      <c r="T3246" s="22">
        <f t="shared" si="280"/>
        <v>10</v>
      </c>
      <c r="U3246" s="22">
        <f t="shared" si="281"/>
        <v>2021</v>
      </c>
      <c r="V3246" s="22" t="str">
        <f t="shared" si="282"/>
        <v>METROPOLITANA</v>
      </c>
    </row>
    <row r="3247" spans="1:22" x14ac:dyDescent="0.2">
      <c r="A3247" s="23" t="s">
        <v>3983</v>
      </c>
      <c r="B3247" s="22" t="s">
        <v>18</v>
      </c>
      <c r="C3247" s="22" t="s">
        <v>19</v>
      </c>
      <c r="D3247" s="22" t="s">
        <v>20</v>
      </c>
      <c r="E3247" s="24" t="s">
        <v>21</v>
      </c>
      <c r="F3247" s="22" t="s">
        <v>51</v>
      </c>
      <c r="G3247" s="25">
        <v>2830.11</v>
      </c>
      <c r="H3247" s="22" t="s">
        <v>22</v>
      </c>
      <c r="I3247" s="22">
        <v>0</v>
      </c>
      <c r="J3247" s="22" t="s">
        <v>51</v>
      </c>
      <c r="K3247" s="22" t="s">
        <v>23</v>
      </c>
      <c r="L3247" s="22">
        <v>4</v>
      </c>
      <c r="M3247" s="26">
        <v>55000</v>
      </c>
      <c r="N3247" s="26">
        <v>0</v>
      </c>
      <c r="O3247" s="15">
        <f t="shared" si="279"/>
        <v>55000</v>
      </c>
      <c r="P3247" s="15">
        <f t="shared" si="283"/>
        <v>19.433873595019275</v>
      </c>
      <c r="Q3247" s="25">
        <v>5000</v>
      </c>
      <c r="R3247" s="22">
        <v>57</v>
      </c>
      <c r="S3247" s="22" t="s">
        <v>3986</v>
      </c>
      <c r="T3247" s="22">
        <f t="shared" si="280"/>
        <v>10</v>
      </c>
      <c r="U3247" s="22">
        <f t="shared" si="281"/>
        <v>2021</v>
      </c>
      <c r="V3247" s="22" t="str">
        <f t="shared" si="282"/>
        <v>METROPOLITANA</v>
      </c>
    </row>
    <row r="3248" spans="1:22" x14ac:dyDescent="0.2">
      <c r="A3248" s="23" t="s">
        <v>3983</v>
      </c>
      <c r="B3248" s="22" t="s">
        <v>18</v>
      </c>
      <c r="C3248" s="22" t="s">
        <v>163</v>
      </c>
      <c r="D3248" s="22" t="s">
        <v>3987</v>
      </c>
      <c r="E3248" s="24" t="s">
        <v>40</v>
      </c>
      <c r="F3248" s="22" t="s">
        <v>165</v>
      </c>
      <c r="G3248" s="25">
        <v>13650.3</v>
      </c>
      <c r="H3248" s="22" t="s">
        <v>24</v>
      </c>
      <c r="I3248" s="22">
        <v>1</v>
      </c>
      <c r="J3248" s="22" t="s">
        <v>165</v>
      </c>
      <c r="K3248" s="22" t="s">
        <v>23</v>
      </c>
      <c r="L3248" s="22">
        <v>4</v>
      </c>
      <c r="M3248" s="26">
        <v>150153</v>
      </c>
      <c r="N3248" s="26">
        <v>0</v>
      </c>
      <c r="O3248" s="15">
        <f t="shared" si="279"/>
        <v>150153</v>
      </c>
      <c r="P3248" s="15">
        <f t="shared" si="283"/>
        <v>10.999978022461045</v>
      </c>
      <c r="Q3248" s="25">
        <v>5000</v>
      </c>
      <c r="R3248" s="22">
        <v>100</v>
      </c>
      <c r="S3248" s="22" t="s">
        <v>3988</v>
      </c>
      <c r="T3248" s="22">
        <f t="shared" si="280"/>
        <v>10</v>
      </c>
      <c r="U3248" s="22">
        <f t="shared" si="281"/>
        <v>2021</v>
      </c>
      <c r="V3248" s="22" t="str">
        <f t="shared" si="282"/>
        <v>METROPOLITANA</v>
      </c>
    </row>
    <row r="3249" spans="1:22" x14ac:dyDescent="0.2">
      <c r="A3249" s="23" t="s">
        <v>3983</v>
      </c>
      <c r="B3249" s="22" t="s">
        <v>33</v>
      </c>
      <c r="C3249" s="22" t="s">
        <v>29</v>
      </c>
      <c r="D3249" s="22" t="s">
        <v>27</v>
      </c>
      <c r="E3249" s="24" t="s">
        <v>28</v>
      </c>
      <c r="F3249" s="22" t="s">
        <v>39</v>
      </c>
      <c r="G3249" s="25">
        <v>17875</v>
      </c>
      <c r="H3249" s="22" t="s">
        <v>22</v>
      </c>
      <c r="I3249" s="22">
        <v>1</v>
      </c>
      <c r="J3249" s="22" t="s">
        <v>39</v>
      </c>
      <c r="K3249" s="22" t="s">
        <v>23</v>
      </c>
      <c r="L3249" s="22">
        <v>1</v>
      </c>
      <c r="M3249" s="26">
        <v>196625</v>
      </c>
      <c r="N3249" s="26">
        <v>0</v>
      </c>
      <c r="O3249" s="15">
        <f t="shared" si="279"/>
        <v>196625</v>
      </c>
      <c r="P3249" s="15">
        <f t="shared" si="283"/>
        <v>11</v>
      </c>
      <c r="Q3249" s="25">
        <v>5000</v>
      </c>
      <c r="R3249" s="22">
        <v>100</v>
      </c>
      <c r="S3249" s="22" t="s">
        <v>3989</v>
      </c>
      <c r="T3249" s="22">
        <f t="shared" si="280"/>
        <v>10</v>
      </c>
      <c r="U3249" s="22">
        <f t="shared" si="281"/>
        <v>2021</v>
      </c>
      <c r="V3249" s="22" t="str">
        <f t="shared" si="282"/>
        <v>METROPOLITANA</v>
      </c>
    </row>
    <row r="3250" spans="1:22" x14ac:dyDescent="0.2">
      <c r="A3250" s="23" t="s">
        <v>3983</v>
      </c>
      <c r="B3250" s="22" t="s">
        <v>33</v>
      </c>
      <c r="C3250" s="22" t="s">
        <v>29</v>
      </c>
      <c r="D3250" s="22" t="s">
        <v>45</v>
      </c>
      <c r="E3250" s="24" t="s">
        <v>52</v>
      </c>
      <c r="F3250" s="22" t="s">
        <v>134</v>
      </c>
      <c r="G3250" s="25">
        <v>2748</v>
      </c>
      <c r="H3250" s="22" t="s">
        <v>22</v>
      </c>
      <c r="I3250" s="22">
        <v>0</v>
      </c>
      <c r="J3250" s="22" t="s">
        <v>134</v>
      </c>
      <c r="K3250" s="22" t="s">
        <v>23</v>
      </c>
      <c r="L3250" s="22">
        <v>2</v>
      </c>
      <c r="M3250" s="26">
        <v>55000</v>
      </c>
      <c r="N3250" s="26">
        <v>0</v>
      </c>
      <c r="O3250" s="15">
        <f t="shared" si="279"/>
        <v>55000</v>
      </c>
      <c r="P3250" s="15">
        <f t="shared" si="283"/>
        <v>20.014556040756915</v>
      </c>
      <c r="Q3250" s="25">
        <v>5000</v>
      </c>
      <c r="R3250" s="22">
        <v>55</v>
      </c>
      <c r="S3250" s="22" t="s">
        <v>3990</v>
      </c>
      <c r="T3250" s="22">
        <f t="shared" si="280"/>
        <v>10</v>
      </c>
      <c r="U3250" s="22">
        <f t="shared" si="281"/>
        <v>2021</v>
      </c>
      <c r="V3250" s="22" t="str">
        <f t="shared" si="282"/>
        <v>METROPOLITANA</v>
      </c>
    </row>
    <row r="3251" spans="1:22" x14ac:dyDescent="0.2">
      <c r="A3251" s="23" t="s">
        <v>3983</v>
      </c>
      <c r="B3251" s="22" t="s">
        <v>33</v>
      </c>
      <c r="C3251" s="22" t="s">
        <v>29</v>
      </c>
      <c r="D3251" s="22" t="s">
        <v>41</v>
      </c>
      <c r="E3251" s="24" t="s">
        <v>25</v>
      </c>
      <c r="F3251" s="22" t="s">
        <v>39</v>
      </c>
      <c r="G3251" s="25">
        <v>13000</v>
      </c>
      <c r="H3251" s="22" t="s">
        <v>43</v>
      </c>
      <c r="I3251" s="22">
        <v>0</v>
      </c>
      <c r="J3251" s="22" t="s">
        <v>39</v>
      </c>
      <c r="K3251" s="22" t="s">
        <v>23</v>
      </c>
      <c r="L3251" s="22">
        <v>1</v>
      </c>
      <c r="M3251" s="26">
        <v>143000</v>
      </c>
      <c r="N3251" s="26">
        <v>0</v>
      </c>
      <c r="O3251" s="15">
        <f t="shared" si="279"/>
        <v>143000</v>
      </c>
      <c r="P3251" s="15">
        <f t="shared" si="283"/>
        <v>11</v>
      </c>
      <c r="Q3251" s="25">
        <v>5000</v>
      </c>
      <c r="R3251" s="22">
        <v>100</v>
      </c>
      <c r="S3251" s="22" t="s">
        <v>3991</v>
      </c>
      <c r="T3251" s="22">
        <f t="shared" si="280"/>
        <v>10</v>
      </c>
      <c r="U3251" s="22">
        <f t="shared" si="281"/>
        <v>2021</v>
      </c>
      <c r="V3251" s="22" t="str">
        <f t="shared" si="282"/>
        <v>METROPOLITANA</v>
      </c>
    </row>
    <row r="3252" spans="1:22" x14ac:dyDescent="0.2">
      <c r="A3252" s="23" t="s">
        <v>3983</v>
      </c>
      <c r="B3252" s="22" t="s">
        <v>33</v>
      </c>
      <c r="C3252" s="22" t="s">
        <v>2698</v>
      </c>
      <c r="D3252" s="22" t="s">
        <v>45</v>
      </c>
      <c r="E3252" s="24" t="s">
        <v>52</v>
      </c>
      <c r="F3252" s="22" t="s">
        <v>51</v>
      </c>
      <c r="G3252" s="25">
        <v>6801.5999999999995</v>
      </c>
      <c r="H3252" s="22" t="s">
        <v>22</v>
      </c>
      <c r="I3252" s="22">
        <v>0</v>
      </c>
      <c r="J3252" s="22" t="s">
        <v>51</v>
      </c>
      <c r="K3252" s="22" t="s">
        <v>23</v>
      </c>
      <c r="L3252" s="22">
        <v>4</v>
      </c>
      <c r="M3252" s="26">
        <v>74818</v>
      </c>
      <c r="N3252" s="26">
        <v>0</v>
      </c>
      <c r="O3252" s="15">
        <f t="shared" si="279"/>
        <v>74818</v>
      </c>
      <c r="P3252" s="15">
        <f t="shared" si="283"/>
        <v>11.000058809691838</v>
      </c>
      <c r="Q3252" s="25">
        <v>5000</v>
      </c>
      <c r="R3252" s="22">
        <v>100</v>
      </c>
      <c r="S3252" s="22" t="s">
        <v>3992</v>
      </c>
      <c r="T3252" s="22">
        <f t="shared" si="280"/>
        <v>10</v>
      </c>
      <c r="U3252" s="22">
        <f t="shared" si="281"/>
        <v>2021</v>
      </c>
      <c r="V3252" s="22" t="str">
        <f t="shared" si="282"/>
        <v>METROPOLITANA</v>
      </c>
    </row>
    <row r="3253" spans="1:22" x14ac:dyDescent="0.2">
      <c r="A3253" s="23" t="s">
        <v>3983</v>
      </c>
      <c r="B3253" s="22" t="s">
        <v>33</v>
      </c>
      <c r="C3253" s="22" t="s">
        <v>44</v>
      </c>
      <c r="D3253" s="22" t="s">
        <v>63</v>
      </c>
      <c r="E3253" s="24" t="s">
        <v>64</v>
      </c>
      <c r="F3253" s="22" t="s">
        <v>46</v>
      </c>
      <c r="G3253" s="25">
        <v>5203.3999999999996</v>
      </c>
      <c r="H3253" s="22" t="s">
        <v>65</v>
      </c>
      <c r="I3253" s="22">
        <v>0</v>
      </c>
      <c r="J3253" s="22" t="s">
        <v>46</v>
      </c>
      <c r="K3253" s="22" t="s">
        <v>23</v>
      </c>
      <c r="L3253" s="22">
        <v>2</v>
      </c>
      <c r="M3253" s="26">
        <v>57237</v>
      </c>
      <c r="N3253" s="26">
        <v>0</v>
      </c>
      <c r="O3253" s="15">
        <f t="shared" si="279"/>
        <v>57237</v>
      </c>
      <c r="P3253" s="15">
        <f t="shared" si="283"/>
        <v>10.999923127186072</v>
      </c>
      <c r="Q3253" s="25">
        <v>5000</v>
      </c>
      <c r="R3253" s="22">
        <v>100</v>
      </c>
      <c r="S3253" s="22" t="s">
        <v>3993</v>
      </c>
      <c r="T3253" s="22">
        <f t="shared" si="280"/>
        <v>10</v>
      </c>
      <c r="U3253" s="22">
        <f t="shared" si="281"/>
        <v>2021</v>
      </c>
      <c r="V3253" s="22" t="str">
        <f t="shared" si="282"/>
        <v>METROPOLITANA</v>
      </c>
    </row>
    <row r="3254" spans="1:22" x14ac:dyDescent="0.2">
      <c r="A3254" s="23" t="s">
        <v>3983</v>
      </c>
      <c r="B3254" s="22" t="s">
        <v>33</v>
      </c>
      <c r="C3254" s="22" t="s">
        <v>44</v>
      </c>
      <c r="D3254" s="22" t="s">
        <v>30</v>
      </c>
      <c r="E3254" s="24" t="s">
        <v>31</v>
      </c>
      <c r="F3254" s="22" t="s">
        <v>225</v>
      </c>
      <c r="G3254" s="25">
        <v>4928.2</v>
      </c>
      <c r="H3254" s="22" t="s">
        <v>32</v>
      </c>
      <c r="I3254" s="22">
        <v>0</v>
      </c>
      <c r="J3254" s="22" t="s">
        <v>225</v>
      </c>
      <c r="K3254" s="22" t="s">
        <v>23</v>
      </c>
      <c r="L3254" s="22">
        <v>3</v>
      </c>
      <c r="M3254" s="26">
        <v>55000</v>
      </c>
      <c r="N3254" s="26">
        <v>0</v>
      </c>
      <c r="O3254" s="15">
        <f t="shared" si="279"/>
        <v>55000</v>
      </c>
      <c r="P3254" s="15">
        <f t="shared" si="283"/>
        <v>11.160261353029505</v>
      </c>
      <c r="Q3254" s="25">
        <v>5000</v>
      </c>
      <c r="R3254" s="22">
        <v>99</v>
      </c>
      <c r="S3254" s="22" t="s">
        <v>3994</v>
      </c>
      <c r="T3254" s="22">
        <f t="shared" si="280"/>
        <v>10</v>
      </c>
      <c r="U3254" s="22">
        <f t="shared" si="281"/>
        <v>2021</v>
      </c>
      <c r="V3254" s="22" t="str">
        <f t="shared" si="282"/>
        <v>METROPOLITANA</v>
      </c>
    </row>
    <row r="3255" spans="1:22" x14ac:dyDescent="0.2">
      <c r="A3255" s="23" t="s">
        <v>3983</v>
      </c>
      <c r="B3255" s="22" t="s">
        <v>33</v>
      </c>
      <c r="C3255" s="22" t="s">
        <v>44</v>
      </c>
      <c r="D3255" s="22" t="s">
        <v>45</v>
      </c>
      <c r="E3255" s="24" t="s">
        <v>52</v>
      </c>
      <c r="F3255" s="22" t="s">
        <v>51</v>
      </c>
      <c r="G3255" s="25">
        <v>5523.2999999999984</v>
      </c>
      <c r="H3255" s="22" t="s">
        <v>22</v>
      </c>
      <c r="I3255" s="22">
        <v>0</v>
      </c>
      <c r="J3255" s="22" t="s">
        <v>51</v>
      </c>
      <c r="K3255" s="22" t="s">
        <v>23</v>
      </c>
      <c r="L3255" s="22">
        <v>4</v>
      </c>
      <c r="M3255" s="26">
        <v>60756</v>
      </c>
      <c r="N3255" s="26">
        <v>0</v>
      </c>
      <c r="O3255" s="15">
        <f t="shared" si="279"/>
        <v>60756</v>
      </c>
      <c r="P3255" s="15">
        <f t="shared" si="283"/>
        <v>10.999945684645052</v>
      </c>
      <c r="Q3255" s="25">
        <v>5000</v>
      </c>
      <c r="R3255" s="22">
        <v>100</v>
      </c>
      <c r="S3255" s="22" t="s">
        <v>3995</v>
      </c>
      <c r="T3255" s="22">
        <f t="shared" si="280"/>
        <v>10</v>
      </c>
      <c r="U3255" s="22">
        <f t="shared" si="281"/>
        <v>2021</v>
      </c>
      <c r="V3255" s="22" t="str">
        <f t="shared" si="282"/>
        <v>METROPOLITANA</v>
      </c>
    </row>
    <row r="3256" spans="1:22" x14ac:dyDescent="0.2">
      <c r="A3256" s="23" t="s">
        <v>3983</v>
      </c>
      <c r="B3256" s="22" t="s">
        <v>33</v>
      </c>
      <c r="C3256" s="22" t="s">
        <v>44</v>
      </c>
      <c r="D3256" s="22" t="s">
        <v>47</v>
      </c>
      <c r="E3256" s="24" t="s">
        <v>1576</v>
      </c>
      <c r="F3256" s="22" t="s">
        <v>134</v>
      </c>
      <c r="G3256" s="25">
        <v>4383.5</v>
      </c>
      <c r="H3256" s="22" t="s">
        <v>22</v>
      </c>
      <c r="I3256" s="22">
        <v>0</v>
      </c>
      <c r="J3256" s="22" t="s">
        <v>134</v>
      </c>
      <c r="K3256" s="22" t="s">
        <v>23</v>
      </c>
      <c r="L3256" s="22">
        <v>2</v>
      </c>
      <c r="M3256" s="26">
        <v>55000</v>
      </c>
      <c r="N3256" s="26">
        <v>0</v>
      </c>
      <c r="O3256" s="15">
        <f t="shared" si="279"/>
        <v>55000</v>
      </c>
      <c r="P3256" s="15">
        <f t="shared" si="283"/>
        <v>12.547051442910917</v>
      </c>
      <c r="Q3256" s="25">
        <v>5000</v>
      </c>
      <c r="R3256" s="22">
        <v>88</v>
      </c>
      <c r="S3256" s="22" t="s">
        <v>3996</v>
      </c>
      <c r="T3256" s="22">
        <f t="shared" si="280"/>
        <v>10</v>
      </c>
      <c r="U3256" s="22">
        <f t="shared" si="281"/>
        <v>2021</v>
      </c>
      <c r="V3256" s="22" t="str">
        <f t="shared" si="282"/>
        <v>METROPOLITANA</v>
      </c>
    </row>
    <row r="3257" spans="1:22" x14ac:dyDescent="0.2">
      <c r="A3257" s="23" t="s">
        <v>3983</v>
      </c>
      <c r="B3257" s="22" t="s">
        <v>33</v>
      </c>
      <c r="C3257" s="22" t="s">
        <v>44</v>
      </c>
      <c r="D3257" s="22" t="s">
        <v>41</v>
      </c>
      <c r="E3257" s="24" t="s">
        <v>25</v>
      </c>
      <c r="F3257" s="22" t="s">
        <v>53</v>
      </c>
      <c r="G3257" s="25">
        <v>8346.4999999999982</v>
      </c>
      <c r="H3257" s="22" t="s">
        <v>43</v>
      </c>
      <c r="I3257" s="22">
        <v>0</v>
      </c>
      <c r="J3257" s="22" t="s">
        <v>53</v>
      </c>
      <c r="K3257" s="22" t="s">
        <v>23</v>
      </c>
      <c r="L3257" s="22">
        <v>3</v>
      </c>
      <c r="M3257" s="26">
        <v>91811</v>
      </c>
      <c r="N3257" s="26">
        <v>0</v>
      </c>
      <c r="O3257" s="15">
        <f t="shared" si="279"/>
        <v>91811</v>
      </c>
      <c r="P3257" s="15">
        <f t="shared" si="283"/>
        <v>10.999940094650455</v>
      </c>
      <c r="Q3257" s="25">
        <v>5000</v>
      </c>
      <c r="R3257" s="22">
        <v>100</v>
      </c>
      <c r="S3257" s="22" t="s">
        <v>3997</v>
      </c>
      <c r="T3257" s="22">
        <f t="shared" si="280"/>
        <v>10</v>
      </c>
      <c r="U3257" s="22">
        <f t="shared" si="281"/>
        <v>2021</v>
      </c>
      <c r="V3257" s="22" t="str">
        <f t="shared" si="282"/>
        <v>METROPOLITANA</v>
      </c>
    </row>
    <row r="3258" spans="1:22" x14ac:dyDescent="0.2">
      <c r="A3258" s="11" t="s">
        <v>3998</v>
      </c>
      <c r="B3258" s="12" t="s">
        <v>18</v>
      </c>
      <c r="C3258" s="12" t="s">
        <v>57</v>
      </c>
      <c r="D3258" s="12" t="s">
        <v>30</v>
      </c>
      <c r="E3258" s="13" t="s">
        <v>31</v>
      </c>
      <c r="F3258" s="12" t="s">
        <v>3835</v>
      </c>
      <c r="G3258" s="14">
        <v>13290.87</v>
      </c>
      <c r="H3258" s="12" t="s">
        <v>32</v>
      </c>
      <c r="I3258" s="12">
        <v>0</v>
      </c>
      <c r="J3258" s="12" t="s">
        <v>3835</v>
      </c>
      <c r="K3258" s="12" t="s">
        <v>171</v>
      </c>
      <c r="L3258" s="12">
        <v>0</v>
      </c>
      <c r="M3258" s="15">
        <v>180000</v>
      </c>
      <c r="N3258" s="15">
        <v>0</v>
      </c>
      <c r="O3258" s="15">
        <f t="shared" si="279"/>
        <v>180000</v>
      </c>
      <c r="P3258" s="15">
        <f t="shared" si="283"/>
        <v>13.543131488006427</v>
      </c>
      <c r="Q3258" s="14">
        <v>20000</v>
      </c>
      <c r="R3258" s="12">
        <v>66</v>
      </c>
      <c r="S3258" s="12" t="s">
        <v>3999</v>
      </c>
      <c r="T3258" s="22">
        <f t="shared" si="280"/>
        <v>10</v>
      </c>
      <c r="U3258" s="22">
        <f t="shared" si="281"/>
        <v>2021</v>
      </c>
      <c r="V3258" s="22" t="str">
        <f t="shared" si="282"/>
        <v>REGIONES</v>
      </c>
    </row>
    <row r="3259" spans="1:22" x14ac:dyDescent="0.2">
      <c r="A3259" s="11" t="s">
        <v>3998</v>
      </c>
      <c r="B3259" s="12" t="s">
        <v>18</v>
      </c>
      <c r="C3259" s="12" t="s">
        <v>163</v>
      </c>
      <c r="D3259" s="12" t="s">
        <v>37</v>
      </c>
      <c r="E3259" s="13" t="s">
        <v>40</v>
      </c>
      <c r="F3259" s="12" t="s">
        <v>165</v>
      </c>
      <c r="G3259" s="14">
        <v>13709.599999999989</v>
      </c>
      <c r="H3259" s="12" t="s">
        <v>22</v>
      </c>
      <c r="I3259" s="12">
        <v>0</v>
      </c>
      <c r="J3259" s="12" t="s">
        <v>165</v>
      </c>
      <c r="K3259" s="12" t="s">
        <v>23</v>
      </c>
      <c r="L3259" s="12">
        <v>4</v>
      </c>
      <c r="M3259" s="15">
        <v>150806</v>
      </c>
      <c r="N3259" s="15">
        <v>0</v>
      </c>
      <c r="O3259" s="15">
        <f t="shared" si="279"/>
        <v>150806</v>
      </c>
      <c r="P3259" s="15">
        <f t="shared" si="283"/>
        <v>11.000029176635358</v>
      </c>
      <c r="Q3259" s="14">
        <v>5000</v>
      </c>
      <c r="R3259" s="12">
        <v>100</v>
      </c>
      <c r="S3259" s="12" t="s">
        <v>4000</v>
      </c>
      <c r="T3259" s="22">
        <f t="shared" si="280"/>
        <v>10</v>
      </c>
      <c r="U3259" s="22">
        <f t="shared" si="281"/>
        <v>2021</v>
      </c>
      <c r="V3259" s="22" t="str">
        <f t="shared" si="282"/>
        <v>METROPOLITANA</v>
      </c>
    </row>
    <row r="3260" spans="1:22" x14ac:dyDescent="0.2">
      <c r="A3260" s="11" t="s">
        <v>3998</v>
      </c>
      <c r="B3260" s="12" t="s">
        <v>18</v>
      </c>
      <c r="C3260" s="12" t="s">
        <v>163</v>
      </c>
      <c r="D3260" s="12" t="s">
        <v>41</v>
      </c>
      <c r="E3260" s="13" t="s">
        <v>25</v>
      </c>
      <c r="F3260" s="12" t="s">
        <v>165</v>
      </c>
      <c r="G3260" s="14">
        <v>9771.7199999999975</v>
      </c>
      <c r="H3260" s="12" t="s">
        <v>43</v>
      </c>
      <c r="I3260" s="12">
        <v>0</v>
      </c>
      <c r="J3260" s="12" t="s">
        <v>165</v>
      </c>
      <c r="K3260" s="12" t="s">
        <v>23</v>
      </c>
      <c r="L3260" s="12">
        <v>4</v>
      </c>
      <c r="M3260" s="15">
        <v>107489</v>
      </c>
      <c r="N3260" s="15">
        <v>0</v>
      </c>
      <c r="O3260" s="15">
        <f t="shared" si="279"/>
        <v>107489</v>
      </c>
      <c r="P3260" s="15">
        <f t="shared" si="283"/>
        <v>11.000008186890335</v>
      </c>
      <c r="Q3260" s="14">
        <v>5000</v>
      </c>
      <c r="R3260" s="12">
        <v>100</v>
      </c>
      <c r="S3260" s="12" t="s">
        <v>4001</v>
      </c>
      <c r="T3260" s="22">
        <f t="shared" si="280"/>
        <v>10</v>
      </c>
      <c r="U3260" s="22">
        <f t="shared" si="281"/>
        <v>2021</v>
      </c>
      <c r="V3260" s="22" t="str">
        <f t="shared" si="282"/>
        <v>METROPOLITANA</v>
      </c>
    </row>
    <row r="3261" spans="1:22" x14ac:dyDescent="0.2">
      <c r="A3261" s="11" t="s">
        <v>3998</v>
      </c>
      <c r="B3261" s="12" t="s">
        <v>33</v>
      </c>
      <c r="C3261" s="12" t="s">
        <v>1233</v>
      </c>
      <c r="D3261" s="12" t="s">
        <v>45</v>
      </c>
      <c r="E3261" s="13" t="s">
        <v>52</v>
      </c>
      <c r="F3261" s="12" t="s">
        <v>1234</v>
      </c>
      <c r="G3261" s="14">
        <v>3903</v>
      </c>
      <c r="H3261" s="12" t="s">
        <v>22</v>
      </c>
      <c r="I3261" s="12">
        <v>0</v>
      </c>
      <c r="J3261" s="12" t="s">
        <v>1234</v>
      </c>
      <c r="K3261" s="12" t="s">
        <v>23</v>
      </c>
      <c r="L3261" s="12">
        <v>3</v>
      </c>
      <c r="M3261" s="15">
        <v>55000</v>
      </c>
      <c r="N3261" s="15">
        <v>0</v>
      </c>
      <c r="O3261" s="15">
        <f t="shared" ref="O3261:O3324" si="284">SUM(M3261:N3261)</f>
        <v>55000</v>
      </c>
      <c r="P3261" s="15">
        <f t="shared" si="283"/>
        <v>14.091724314629772</v>
      </c>
      <c r="Q3261" s="14">
        <v>5000</v>
      </c>
      <c r="R3261" s="12">
        <v>78</v>
      </c>
      <c r="S3261" s="12" t="s">
        <v>4002</v>
      </c>
      <c r="T3261" s="22">
        <f t="shared" si="280"/>
        <v>10</v>
      </c>
      <c r="U3261" s="22">
        <f t="shared" si="281"/>
        <v>2021</v>
      </c>
      <c r="V3261" s="22" t="str">
        <f t="shared" si="282"/>
        <v>METROPOLITANA</v>
      </c>
    </row>
    <row r="3262" spans="1:22" x14ac:dyDescent="0.2">
      <c r="A3262" s="11" t="s">
        <v>3998</v>
      </c>
      <c r="B3262" s="12" t="s">
        <v>33</v>
      </c>
      <c r="C3262" s="12" t="s">
        <v>128</v>
      </c>
      <c r="D3262" s="12" t="s">
        <v>30</v>
      </c>
      <c r="E3262" s="13" t="s">
        <v>31</v>
      </c>
      <c r="F3262" s="12" t="s">
        <v>34</v>
      </c>
      <c r="G3262" s="14">
        <v>7503.9999999999973</v>
      </c>
      <c r="H3262" s="12" t="s">
        <v>32</v>
      </c>
      <c r="I3262" s="12">
        <v>0</v>
      </c>
      <c r="J3262" s="12" t="s">
        <v>34</v>
      </c>
      <c r="K3262" s="12" t="s">
        <v>23</v>
      </c>
      <c r="L3262" s="12">
        <v>1</v>
      </c>
      <c r="M3262" s="15">
        <v>82544</v>
      </c>
      <c r="N3262" s="15">
        <v>0</v>
      </c>
      <c r="O3262" s="15">
        <f t="shared" si="284"/>
        <v>82544</v>
      </c>
      <c r="P3262" s="15">
        <f t="shared" si="283"/>
        <v>11.000000000000004</v>
      </c>
      <c r="Q3262" s="14">
        <v>5000</v>
      </c>
      <c r="R3262" s="12">
        <v>100</v>
      </c>
      <c r="S3262" s="12" t="s">
        <v>4003</v>
      </c>
      <c r="T3262" s="22">
        <f t="shared" si="280"/>
        <v>10</v>
      </c>
      <c r="U3262" s="22">
        <f t="shared" si="281"/>
        <v>2021</v>
      </c>
      <c r="V3262" s="22" t="str">
        <f t="shared" si="282"/>
        <v>METROPOLITANA</v>
      </c>
    </row>
    <row r="3263" spans="1:22" x14ac:dyDescent="0.2">
      <c r="A3263" s="11" t="s">
        <v>3998</v>
      </c>
      <c r="B3263" s="12" t="s">
        <v>33</v>
      </c>
      <c r="C3263" s="12" t="s">
        <v>2862</v>
      </c>
      <c r="D3263" s="12" t="s">
        <v>20</v>
      </c>
      <c r="E3263" s="13" t="s">
        <v>21</v>
      </c>
      <c r="F3263" s="12" t="s">
        <v>129</v>
      </c>
      <c r="G3263" s="14">
        <v>8502</v>
      </c>
      <c r="H3263" s="12" t="s">
        <v>22</v>
      </c>
      <c r="I3263" s="12">
        <v>0</v>
      </c>
      <c r="J3263" s="12" t="s">
        <v>129</v>
      </c>
      <c r="K3263" s="12" t="s">
        <v>23</v>
      </c>
      <c r="L3263" s="12">
        <v>1</v>
      </c>
      <c r="M3263" s="15">
        <v>93522</v>
      </c>
      <c r="N3263" s="15">
        <v>0</v>
      </c>
      <c r="O3263" s="15">
        <f t="shared" si="284"/>
        <v>93522</v>
      </c>
      <c r="P3263" s="15">
        <f t="shared" si="283"/>
        <v>11</v>
      </c>
      <c r="Q3263" s="14">
        <v>5000</v>
      </c>
      <c r="R3263" s="12">
        <v>100</v>
      </c>
      <c r="S3263" s="12" t="s">
        <v>4004</v>
      </c>
      <c r="T3263" s="22">
        <f t="shared" si="280"/>
        <v>10</v>
      </c>
      <c r="U3263" s="22">
        <f t="shared" si="281"/>
        <v>2021</v>
      </c>
      <c r="V3263" s="22" t="str">
        <f t="shared" si="282"/>
        <v>METROPOLITANA</v>
      </c>
    </row>
    <row r="3264" spans="1:22" x14ac:dyDescent="0.2">
      <c r="A3264" s="11" t="s">
        <v>3998</v>
      </c>
      <c r="B3264" s="12" t="s">
        <v>33</v>
      </c>
      <c r="C3264" s="12" t="s">
        <v>29</v>
      </c>
      <c r="D3264" s="12" t="s">
        <v>37</v>
      </c>
      <c r="E3264" s="13" t="s">
        <v>40</v>
      </c>
      <c r="F3264" s="12" t="s">
        <v>39</v>
      </c>
      <c r="G3264" s="14">
        <v>8254.3999999999978</v>
      </c>
      <c r="H3264" s="12" t="s">
        <v>22</v>
      </c>
      <c r="I3264" s="12">
        <v>0</v>
      </c>
      <c r="J3264" s="12" t="s">
        <v>39</v>
      </c>
      <c r="K3264" s="12" t="s">
        <v>23</v>
      </c>
      <c r="L3264" s="12">
        <v>1</v>
      </c>
      <c r="M3264" s="15">
        <v>90798</v>
      </c>
      <c r="N3264" s="15">
        <v>0</v>
      </c>
      <c r="O3264" s="15">
        <f t="shared" si="284"/>
        <v>90798</v>
      </c>
      <c r="P3264" s="15">
        <f t="shared" si="283"/>
        <v>10.999951540996321</v>
      </c>
      <c r="Q3264" s="14">
        <v>5000</v>
      </c>
      <c r="R3264" s="12">
        <v>100</v>
      </c>
      <c r="S3264" s="12" t="s">
        <v>4005</v>
      </c>
      <c r="T3264" s="22">
        <f t="shared" si="280"/>
        <v>10</v>
      </c>
      <c r="U3264" s="22">
        <f t="shared" si="281"/>
        <v>2021</v>
      </c>
      <c r="V3264" s="22" t="str">
        <f t="shared" si="282"/>
        <v>METROPOLITANA</v>
      </c>
    </row>
    <row r="3265" spans="1:22" x14ac:dyDescent="0.2">
      <c r="A3265" s="11" t="s">
        <v>3998</v>
      </c>
      <c r="B3265" s="12" t="s">
        <v>33</v>
      </c>
      <c r="C3265" s="12" t="s">
        <v>29</v>
      </c>
      <c r="D3265" s="12" t="s">
        <v>41</v>
      </c>
      <c r="E3265" s="13" t="s">
        <v>25</v>
      </c>
      <c r="F3265" s="12" t="s">
        <v>39</v>
      </c>
      <c r="G3265" s="14">
        <v>8102.7999999999984</v>
      </c>
      <c r="H3265" s="12" t="s">
        <v>43</v>
      </c>
      <c r="I3265" s="12">
        <v>0</v>
      </c>
      <c r="J3265" s="12" t="s">
        <v>39</v>
      </c>
      <c r="K3265" s="12" t="s">
        <v>23</v>
      </c>
      <c r="L3265" s="12">
        <v>1</v>
      </c>
      <c r="M3265" s="15">
        <v>89131</v>
      </c>
      <c r="N3265" s="15">
        <v>0</v>
      </c>
      <c r="O3265" s="15">
        <f t="shared" si="284"/>
        <v>89131</v>
      </c>
      <c r="P3265" s="15">
        <f t="shared" si="283"/>
        <v>11.000024682825693</v>
      </c>
      <c r="Q3265" s="14">
        <v>5000</v>
      </c>
      <c r="R3265" s="12">
        <v>100</v>
      </c>
      <c r="S3265" s="12" t="s">
        <v>4006</v>
      </c>
      <c r="T3265" s="22">
        <f t="shared" si="280"/>
        <v>10</v>
      </c>
      <c r="U3265" s="22">
        <f t="shared" si="281"/>
        <v>2021</v>
      </c>
      <c r="V3265" s="22" t="str">
        <f t="shared" si="282"/>
        <v>METROPOLITANA</v>
      </c>
    </row>
    <row r="3266" spans="1:22" x14ac:dyDescent="0.2">
      <c r="A3266" s="11" t="s">
        <v>3998</v>
      </c>
      <c r="B3266" s="12" t="s">
        <v>33</v>
      </c>
      <c r="C3266" s="12" t="s">
        <v>29</v>
      </c>
      <c r="D3266" s="12" t="s">
        <v>164</v>
      </c>
      <c r="E3266" s="13" t="s">
        <v>28</v>
      </c>
      <c r="F3266" s="12" t="s">
        <v>39</v>
      </c>
      <c r="G3266" s="14">
        <v>17004.000000000011</v>
      </c>
      <c r="H3266" s="12" t="s">
        <v>22</v>
      </c>
      <c r="I3266" s="12">
        <v>1</v>
      </c>
      <c r="J3266" s="12" t="s">
        <v>39</v>
      </c>
      <c r="K3266" s="12" t="s">
        <v>23</v>
      </c>
      <c r="L3266" s="12">
        <v>1</v>
      </c>
      <c r="M3266" s="15">
        <v>187044</v>
      </c>
      <c r="N3266" s="15">
        <v>0</v>
      </c>
      <c r="O3266" s="15">
        <f t="shared" si="284"/>
        <v>187044</v>
      </c>
      <c r="P3266" s="15">
        <f t="shared" si="283"/>
        <v>10.999999999999993</v>
      </c>
      <c r="Q3266" s="14">
        <v>5000</v>
      </c>
      <c r="R3266" s="12">
        <v>100</v>
      </c>
      <c r="S3266" s="12" t="s">
        <v>4007</v>
      </c>
      <c r="T3266" s="22">
        <f t="shared" si="280"/>
        <v>10</v>
      </c>
      <c r="U3266" s="22">
        <f t="shared" si="281"/>
        <v>2021</v>
      </c>
      <c r="V3266" s="22" t="str">
        <f t="shared" si="282"/>
        <v>METROPOLITANA</v>
      </c>
    </row>
    <row r="3267" spans="1:22" x14ac:dyDescent="0.2">
      <c r="A3267" s="11" t="s">
        <v>3998</v>
      </c>
      <c r="B3267" s="12" t="s">
        <v>33</v>
      </c>
      <c r="C3267" s="12" t="s">
        <v>44</v>
      </c>
      <c r="D3267" s="12" t="s">
        <v>61</v>
      </c>
      <c r="E3267" s="13" t="s">
        <v>62</v>
      </c>
      <c r="F3267" s="12" t="s">
        <v>114</v>
      </c>
      <c r="G3267" s="14">
        <v>17692.3</v>
      </c>
      <c r="H3267" s="12" t="s">
        <v>85</v>
      </c>
      <c r="I3267" s="12">
        <v>1</v>
      </c>
      <c r="J3267" s="12" t="s">
        <v>114</v>
      </c>
      <c r="K3267" s="12" t="s">
        <v>75</v>
      </c>
      <c r="L3267" s="12">
        <v>0</v>
      </c>
      <c r="M3267" s="15">
        <v>380000</v>
      </c>
      <c r="N3267" s="15">
        <v>0</v>
      </c>
      <c r="O3267" s="15">
        <f t="shared" si="284"/>
        <v>380000</v>
      </c>
      <c r="P3267" s="15">
        <f t="shared" si="283"/>
        <v>21.47827020794357</v>
      </c>
      <c r="Q3267" s="14">
        <v>20000</v>
      </c>
      <c r="R3267" s="12">
        <v>88</v>
      </c>
      <c r="S3267" s="12" t="s">
        <v>4008</v>
      </c>
      <c r="T3267" s="22">
        <f t="shared" si="280"/>
        <v>10</v>
      </c>
      <c r="U3267" s="22">
        <f t="shared" si="281"/>
        <v>2021</v>
      </c>
      <c r="V3267" s="22" t="str">
        <f t="shared" si="282"/>
        <v>REGIONES</v>
      </c>
    </row>
    <row r="3268" spans="1:22" x14ac:dyDescent="0.2">
      <c r="A3268" s="11" t="s">
        <v>3998</v>
      </c>
      <c r="B3268" s="12" t="s">
        <v>33</v>
      </c>
      <c r="C3268" s="12" t="s">
        <v>44</v>
      </c>
      <c r="D3268" s="12" t="s">
        <v>63</v>
      </c>
      <c r="E3268" s="13" t="s">
        <v>64</v>
      </c>
      <c r="F3268" s="12" t="s">
        <v>129</v>
      </c>
      <c r="G3268" s="14">
        <v>4702</v>
      </c>
      <c r="H3268" s="12" t="s">
        <v>65</v>
      </c>
      <c r="I3268" s="12">
        <v>0</v>
      </c>
      <c r="J3268" s="12" t="s">
        <v>129</v>
      </c>
      <c r="K3268" s="12" t="s">
        <v>23</v>
      </c>
      <c r="L3268" s="12">
        <v>1</v>
      </c>
      <c r="M3268" s="15">
        <v>55000</v>
      </c>
      <c r="N3268" s="15">
        <v>0</v>
      </c>
      <c r="O3268" s="15">
        <f t="shared" si="284"/>
        <v>55000</v>
      </c>
      <c r="P3268" s="15">
        <f t="shared" si="283"/>
        <v>11.69715014887282</v>
      </c>
      <c r="Q3268" s="14">
        <v>5000</v>
      </c>
      <c r="R3268" s="12">
        <v>94</v>
      </c>
      <c r="S3268" s="12" t="s">
        <v>4009</v>
      </c>
      <c r="T3268" s="22">
        <f t="shared" si="280"/>
        <v>10</v>
      </c>
      <c r="U3268" s="22">
        <f t="shared" si="281"/>
        <v>2021</v>
      </c>
      <c r="V3268" s="22" t="str">
        <f t="shared" si="282"/>
        <v>METROPOLITANA</v>
      </c>
    </row>
    <row r="3269" spans="1:22" x14ac:dyDescent="0.2">
      <c r="A3269" s="11" t="s">
        <v>3998</v>
      </c>
      <c r="B3269" s="12" t="s">
        <v>33</v>
      </c>
      <c r="C3269" s="12" t="s">
        <v>44</v>
      </c>
      <c r="D3269" s="12" t="s">
        <v>45</v>
      </c>
      <c r="E3269" s="13" t="s">
        <v>52</v>
      </c>
      <c r="F3269" s="12" t="s">
        <v>26</v>
      </c>
      <c r="G3269" s="14">
        <v>4820.7</v>
      </c>
      <c r="H3269" s="12" t="s">
        <v>22</v>
      </c>
      <c r="I3269" s="12">
        <v>0</v>
      </c>
      <c r="J3269" s="12" t="s">
        <v>26</v>
      </c>
      <c r="K3269" s="12" t="s">
        <v>23</v>
      </c>
      <c r="L3269" s="12">
        <v>4</v>
      </c>
      <c r="M3269" s="15">
        <v>55000</v>
      </c>
      <c r="N3269" s="15">
        <v>0</v>
      </c>
      <c r="O3269" s="15">
        <f t="shared" si="284"/>
        <v>55000</v>
      </c>
      <c r="P3269" s="15">
        <f t="shared" si="283"/>
        <v>11.409131453938226</v>
      </c>
      <c r="Q3269" s="14">
        <v>5000</v>
      </c>
      <c r="R3269" s="12">
        <v>96</v>
      </c>
      <c r="S3269" s="12" t="s">
        <v>4010</v>
      </c>
      <c r="T3269" s="22">
        <f t="shared" si="280"/>
        <v>10</v>
      </c>
      <c r="U3269" s="22">
        <f t="shared" si="281"/>
        <v>2021</v>
      </c>
      <c r="V3269" s="22" t="str">
        <f t="shared" si="282"/>
        <v>METROPOLITANA</v>
      </c>
    </row>
    <row r="3270" spans="1:22" x14ac:dyDescent="0.2">
      <c r="A3270" s="11" t="s">
        <v>3998</v>
      </c>
      <c r="B3270" s="12" t="s">
        <v>33</v>
      </c>
      <c r="C3270" s="12" t="s">
        <v>44</v>
      </c>
      <c r="D3270" s="12" t="s">
        <v>47</v>
      </c>
      <c r="E3270" s="13" t="s">
        <v>1576</v>
      </c>
      <c r="F3270" s="12" t="s">
        <v>48</v>
      </c>
      <c r="G3270" s="14">
        <v>6722.7999999999984</v>
      </c>
      <c r="H3270" s="12" t="s">
        <v>22</v>
      </c>
      <c r="I3270" s="12">
        <v>0</v>
      </c>
      <c r="J3270" s="12" t="s">
        <v>48</v>
      </c>
      <c r="K3270" s="12" t="s">
        <v>23</v>
      </c>
      <c r="L3270" s="12">
        <v>1</v>
      </c>
      <c r="M3270" s="15">
        <v>73951</v>
      </c>
      <c r="N3270" s="15">
        <v>0</v>
      </c>
      <c r="O3270" s="15">
        <f t="shared" si="284"/>
        <v>73951</v>
      </c>
      <c r="P3270" s="15">
        <f t="shared" si="283"/>
        <v>11.000029749509135</v>
      </c>
      <c r="Q3270" s="14">
        <v>5000</v>
      </c>
      <c r="R3270" s="12">
        <v>100</v>
      </c>
      <c r="S3270" s="12" t="s">
        <v>4011</v>
      </c>
      <c r="T3270" s="22">
        <f t="shared" si="280"/>
        <v>10</v>
      </c>
      <c r="U3270" s="22">
        <f t="shared" si="281"/>
        <v>2021</v>
      </c>
      <c r="V3270" s="22" t="str">
        <f t="shared" si="282"/>
        <v>METROPOLITANA</v>
      </c>
    </row>
    <row r="3271" spans="1:22" x14ac:dyDescent="0.2">
      <c r="A3271" s="23" t="s">
        <v>4012</v>
      </c>
      <c r="B3271" s="22" t="s">
        <v>18</v>
      </c>
      <c r="C3271" s="22" t="s">
        <v>457</v>
      </c>
      <c r="D3271" s="22" t="s">
        <v>1869</v>
      </c>
      <c r="E3271" s="24" t="s">
        <v>1870</v>
      </c>
      <c r="F3271" s="22" t="s">
        <v>3223</v>
      </c>
      <c r="G3271" s="25">
        <f>8598.05+5723</f>
        <v>14321.05</v>
      </c>
      <c r="H3271" s="22" t="s">
        <v>24</v>
      </c>
      <c r="I3271" s="22">
        <v>1</v>
      </c>
      <c r="J3271" s="22" t="s">
        <v>3223</v>
      </c>
      <c r="K3271" s="22" t="s">
        <v>75</v>
      </c>
      <c r="L3271" s="22">
        <v>0</v>
      </c>
      <c r="M3271" s="26">
        <v>420000</v>
      </c>
      <c r="N3271" s="26">
        <v>0</v>
      </c>
      <c r="O3271" s="15">
        <f t="shared" si="284"/>
        <v>420000</v>
      </c>
      <c r="P3271" s="15">
        <f t="shared" si="283"/>
        <v>29.327458531322776</v>
      </c>
      <c r="Q3271" s="25">
        <v>20000</v>
      </c>
      <c r="R3271" s="22">
        <v>43</v>
      </c>
      <c r="S3271" s="22" t="s">
        <v>4013</v>
      </c>
      <c r="T3271" s="22">
        <f t="shared" si="280"/>
        <v>10</v>
      </c>
      <c r="U3271" s="22">
        <f t="shared" si="281"/>
        <v>2021</v>
      </c>
      <c r="V3271" s="22" t="str">
        <f t="shared" si="282"/>
        <v>REGIONES</v>
      </c>
    </row>
    <row r="3272" spans="1:22" x14ac:dyDescent="0.2">
      <c r="A3272" s="23" t="s">
        <v>4012</v>
      </c>
      <c r="B3272" s="22" t="s">
        <v>18</v>
      </c>
      <c r="C3272" s="22" t="s">
        <v>19</v>
      </c>
      <c r="D3272" s="22" t="s">
        <v>2955</v>
      </c>
      <c r="E3272" s="24" t="s">
        <v>2956</v>
      </c>
      <c r="F3272" s="22" t="s">
        <v>2554</v>
      </c>
      <c r="G3272" s="25">
        <v>26919.340000000011</v>
      </c>
      <c r="H3272" s="22" t="s">
        <v>24</v>
      </c>
      <c r="I3272" s="22">
        <v>1</v>
      </c>
      <c r="J3272" s="22" t="s">
        <v>2554</v>
      </c>
      <c r="K3272" s="22" t="s">
        <v>23</v>
      </c>
      <c r="L3272" s="22">
        <v>5</v>
      </c>
      <c r="M3272" s="26">
        <v>120000</v>
      </c>
      <c r="N3272" s="26">
        <v>0</v>
      </c>
      <c r="O3272" s="15">
        <f t="shared" si="284"/>
        <v>120000</v>
      </c>
      <c r="P3272" s="15">
        <f t="shared" si="283"/>
        <v>4.4577615944521654</v>
      </c>
      <c r="Q3272" s="25">
        <v>10000</v>
      </c>
      <c r="R3272" s="22">
        <v>100</v>
      </c>
      <c r="S3272" s="22" t="s">
        <v>4014</v>
      </c>
      <c r="T3272" s="22">
        <f t="shared" ref="T3272:T3335" si="285">MONTH(A3272)</f>
        <v>10</v>
      </c>
      <c r="U3272" s="22">
        <f t="shared" ref="U3272:U3335" si="286">YEAR(A3272)</f>
        <v>2021</v>
      </c>
      <c r="V3272" s="22" t="str">
        <f t="shared" ref="V3272:V3335" si="287">IF(K3272="METROPOLITANA DE SANTIAGO","METROPOLITANA","REGIONES")</f>
        <v>METROPOLITANA</v>
      </c>
    </row>
    <row r="3273" spans="1:22" x14ac:dyDescent="0.2">
      <c r="A3273" s="23" t="s">
        <v>4012</v>
      </c>
      <c r="B3273" s="22" t="s">
        <v>18</v>
      </c>
      <c r="C3273" s="22" t="s">
        <v>163</v>
      </c>
      <c r="D3273" s="22" t="s">
        <v>37</v>
      </c>
      <c r="E3273" s="24" t="s">
        <v>40</v>
      </c>
      <c r="F3273" s="22" t="s">
        <v>165</v>
      </c>
      <c r="G3273" s="25">
        <v>12799.2</v>
      </c>
      <c r="H3273" s="22" t="s">
        <v>22</v>
      </c>
      <c r="I3273" s="22">
        <v>0</v>
      </c>
      <c r="J3273" s="22" t="s">
        <v>165</v>
      </c>
      <c r="K3273" s="22" t="s">
        <v>23</v>
      </c>
      <c r="L3273" s="22">
        <v>4</v>
      </c>
      <c r="M3273" s="26">
        <v>140791</v>
      </c>
      <c r="N3273" s="26">
        <v>0</v>
      </c>
      <c r="O3273" s="15">
        <f t="shared" si="284"/>
        <v>140791</v>
      </c>
      <c r="P3273" s="15">
        <f t="shared" si="283"/>
        <v>10.999984374023375</v>
      </c>
      <c r="Q3273" s="25">
        <v>5000</v>
      </c>
      <c r="R3273" s="22">
        <v>100</v>
      </c>
      <c r="S3273" s="22" t="s">
        <v>4015</v>
      </c>
      <c r="T3273" s="22">
        <f t="shared" si="285"/>
        <v>10</v>
      </c>
      <c r="U3273" s="22">
        <f t="shared" si="286"/>
        <v>2021</v>
      </c>
      <c r="V3273" s="22" t="str">
        <f t="shared" si="287"/>
        <v>METROPOLITANA</v>
      </c>
    </row>
    <row r="3274" spans="1:22" x14ac:dyDescent="0.2">
      <c r="A3274" s="23" t="s">
        <v>4012</v>
      </c>
      <c r="B3274" s="22" t="s">
        <v>18</v>
      </c>
      <c r="C3274" s="22" t="s">
        <v>163</v>
      </c>
      <c r="D3274" s="22" t="s">
        <v>41</v>
      </c>
      <c r="E3274" s="24" t="s">
        <v>25</v>
      </c>
      <c r="F3274" s="22" t="s">
        <v>165</v>
      </c>
      <c r="G3274" s="25">
        <v>10237.040000000001</v>
      </c>
      <c r="H3274" s="22" t="s">
        <v>43</v>
      </c>
      <c r="I3274" s="22">
        <v>0</v>
      </c>
      <c r="J3274" s="22" t="s">
        <v>165</v>
      </c>
      <c r="K3274" s="22" t="s">
        <v>23</v>
      </c>
      <c r="L3274" s="22">
        <v>4</v>
      </c>
      <c r="M3274" s="26">
        <v>112607</v>
      </c>
      <c r="N3274" s="26">
        <v>0</v>
      </c>
      <c r="O3274" s="15">
        <f t="shared" si="284"/>
        <v>112607</v>
      </c>
      <c r="P3274" s="15">
        <f t="shared" si="283"/>
        <v>10.999957018825754</v>
      </c>
      <c r="Q3274" s="25">
        <v>5000</v>
      </c>
      <c r="R3274" s="22">
        <v>100</v>
      </c>
      <c r="S3274" s="22" t="s">
        <v>4016</v>
      </c>
      <c r="T3274" s="22">
        <f t="shared" si="285"/>
        <v>10</v>
      </c>
      <c r="U3274" s="22">
        <f t="shared" si="286"/>
        <v>2021</v>
      </c>
      <c r="V3274" s="22" t="str">
        <f t="shared" si="287"/>
        <v>METROPOLITANA</v>
      </c>
    </row>
    <row r="3275" spans="1:22" x14ac:dyDescent="0.2">
      <c r="A3275" s="23" t="s">
        <v>4012</v>
      </c>
      <c r="B3275" s="22" t="s">
        <v>33</v>
      </c>
      <c r="C3275" s="22" t="s">
        <v>87</v>
      </c>
      <c r="D3275" s="22" t="s">
        <v>47</v>
      </c>
      <c r="E3275" s="24" t="s">
        <v>1576</v>
      </c>
      <c r="F3275" s="22" t="s">
        <v>51</v>
      </c>
      <c r="G3275" s="25">
        <v>14234</v>
      </c>
      <c r="H3275" s="22" t="s">
        <v>22</v>
      </c>
      <c r="I3275" s="22">
        <v>0</v>
      </c>
      <c r="J3275" s="22" t="s">
        <v>51</v>
      </c>
      <c r="K3275" s="22" t="s">
        <v>23</v>
      </c>
      <c r="L3275" s="22">
        <v>4</v>
      </c>
      <c r="M3275" s="26">
        <v>156574</v>
      </c>
      <c r="N3275" s="26">
        <v>0</v>
      </c>
      <c r="O3275" s="15">
        <f t="shared" si="284"/>
        <v>156574</v>
      </c>
      <c r="P3275" s="15">
        <f t="shared" si="283"/>
        <v>11</v>
      </c>
      <c r="Q3275" s="25">
        <v>5000</v>
      </c>
      <c r="R3275" s="22">
        <v>100</v>
      </c>
      <c r="S3275" s="22" t="s">
        <v>4017</v>
      </c>
      <c r="T3275" s="22">
        <f t="shared" si="285"/>
        <v>10</v>
      </c>
      <c r="U3275" s="22">
        <f t="shared" si="286"/>
        <v>2021</v>
      </c>
      <c r="V3275" s="22" t="str">
        <f t="shared" si="287"/>
        <v>METROPOLITANA</v>
      </c>
    </row>
    <row r="3276" spans="1:22" x14ac:dyDescent="0.2">
      <c r="A3276" s="23" t="s">
        <v>4012</v>
      </c>
      <c r="B3276" s="22" t="s">
        <v>33</v>
      </c>
      <c r="C3276" s="22" t="s">
        <v>29</v>
      </c>
      <c r="D3276" s="22" t="s">
        <v>41</v>
      </c>
      <c r="E3276" s="24" t="s">
        <v>25</v>
      </c>
      <c r="F3276" s="22" t="s">
        <v>39</v>
      </c>
      <c r="G3276" s="25">
        <v>8502</v>
      </c>
      <c r="H3276" s="22" t="s">
        <v>43</v>
      </c>
      <c r="I3276" s="22">
        <v>0</v>
      </c>
      <c r="J3276" s="22" t="s">
        <v>39</v>
      </c>
      <c r="K3276" s="22" t="s">
        <v>23</v>
      </c>
      <c r="L3276" s="22">
        <v>1</v>
      </c>
      <c r="M3276" s="26">
        <v>93522</v>
      </c>
      <c r="N3276" s="26">
        <v>0</v>
      </c>
      <c r="O3276" s="15">
        <f t="shared" si="284"/>
        <v>93522</v>
      </c>
      <c r="P3276" s="15">
        <f t="shared" si="283"/>
        <v>11</v>
      </c>
      <c r="Q3276" s="25">
        <v>5000</v>
      </c>
      <c r="R3276" s="22">
        <v>100</v>
      </c>
      <c r="S3276" s="22" t="s">
        <v>4018</v>
      </c>
      <c r="T3276" s="22">
        <f t="shared" si="285"/>
        <v>10</v>
      </c>
      <c r="U3276" s="22">
        <f t="shared" si="286"/>
        <v>2021</v>
      </c>
      <c r="V3276" s="22" t="str">
        <f t="shared" si="287"/>
        <v>METROPOLITANA</v>
      </c>
    </row>
    <row r="3277" spans="1:22" x14ac:dyDescent="0.2">
      <c r="A3277" s="23" t="s">
        <v>4012</v>
      </c>
      <c r="B3277" s="22" t="s">
        <v>33</v>
      </c>
      <c r="C3277" s="22" t="s">
        <v>29</v>
      </c>
      <c r="D3277" s="22" t="s">
        <v>164</v>
      </c>
      <c r="E3277" s="24" t="s">
        <v>28</v>
      </c>
      <c r="F3277" s="22" t="s">
        <v>39</v>
      </c>
      <c r="G3277" s="25">
        <v>17004.000000000011</v>
      </c>
      <c r="H3277" s="22" t="s">
        <v>22</v>
      </c>
      <c r="I3277" s="22">
        <v>1</v>
      </c>
      <c r="J3277" s="22" t="s">
        <v>39</v>
      </c>
      <c r="K3277" s="22" t="s">
        <v>23</v>
      </c>
      <c r="L3277" s="22">
        <v>1</v>
      </c>
      <c r="M3277" s="26">
        <v>187044</v>
      </c>
      <c r="N3277" s="26">
        <v>0</v>
      </c>
      <c r="O3277" s="15">
        <f t="shared" si="284"/>
        <v>187044</v>
      </c>
      <c r="P3277" s="15">
        <f t="shared" si="283"/>
        <v>10.999999999999993</v>
      </c>
      <c r="Q3277" s="25">
        <v>5000</v>
      </c>
      <c r="R3277" s="22">
        <v>100</v>
      </c>
      <c r="S3277" s="22" t="s">
        <v>4019</v>
      </c>
      <c r="T3277" s="22">
        <f t="shared" si="285"/>
        <v>10</v>
      </c>
      <c r="U3277" s="22">
        <f t="shared" si="286"/>
        <v>2021</v>
      </c>
      <c r="V3277" s="22" t="str">
        <f t="shared" si="287"/>
        <v>METROPOLITANA</v>
      </c>
    </row>
    <row r="3278" spans="1:22" x14ac:dyDescent="0.2">
      <c r="A3278" s="23" t="s">
        <v>4012</v>
      </c>
      <c r="B3278" s="22" t="s">
        <v>33</v>
      </c>
      <c r="C3278" s="22" t="s">
        <v>44</v>
      </c>
      <c r="D3278" s="22" t="s">
        <v>63</v>
      </c>
      <c r="E3278" s="24" t="s">
        <v>64</v>
      </c>
      <c r="F3278" s="22" t="s">
        <v>94</v>
      </c>
      <c r="G3278" s="25">
        <v>8697.2000000000007</v>
      </c>
      <c r="H3278" s="22" t="s">
        <v>65</v>
      </c>
      <c r="I3278" s="22">
        <v>0</v>
      </c>
      <c r="J3278" s="22" t="s">
        <v>59</v>
      </c>
      <c r="K3278" s="22" t="s">
        <v>78</v>
      </c>
      <c r="L3278" s="22">
        <v>0</v>
      </c>
      <c r="M3278" s="26">
        <v>180000</v>
      </c>
      <c r="N3278" s="26">
        <v>0</v>
      </c>
      <c r="O3278" s="15">
        <f t="shared" si="284"/>
        <v>180000</v>
      </c>
      <c r="P3278" s="15">
        <f t="shared" si="283"/>
        <v>20.696316055742077</v>
      </c>
      <c r="Q3278" s="25">
        <v>20000</v>
      </c>
      <c r="R3278" s="22">
        <v>43</v>
      </c>
      <c r="S3278" s="22" t="s">
        <v>4020</v>
      </c>
      <c r="T3278" s="22">
        <f t="shared" si="285"/>
        <v>10</v>
      </c>
      <c r="U3278" s="22">
        <f t="shared" si="286"/>
        <v>2021</v>
      </c>
      <c r="V3278" s="22" t="str">
        <f t="shared" si="287"/>
        <v>REGIONES</v>
      </c>
    </row>
    <row r="3279" spans="1:22" x14ac:dyDescent="0.2">
      <c r="A3279" s="23" t="s">
        <v>4012</v>
      </c>
      <c r="B3279" s="22" t="s">
        <v>33</v>
      </c>
      <c r="C3279" s="22" t="s">
        <v>44</v>
      </c>
      <c r="D3279" s="22" t="s">
        <v>30</v>
      </c>
      <c r="E3279" s="24" t="s">
        <v>31</v>
      </c>
      <c r="F3279" s="22" t="s">
        <v>137</v>
      </c>
      <c r="G3279" s="25">
        <v>4131.8999999999996</v>
      </c>
      <c r="H3279" s="22" t="s">
        <v>32</v>
      </c>
      <c r="I3279" s="22">
        <v>0</v>
      </c>
      <c r="J3279" s="22" t="s">
        <v>137</v>
      </c>
      <c r="K3279" s="22" t="s">
        <v>23</v>
      </c>
      <c r="L3279" s="22">
        <v>1</v>
      </c>
      <c r="M3279" s="26">
        <v>55000</v>
      </c>
      <c r="N3279" s="26">
        <v>0</v>
      </c>
      <c r="O3279" s="15">
        <f t="shared" si="284"/>
        <v>55000</v>
      </c>
      <c r="P3279" s="15">
        <f t="shared" si="283"/>
        <v>13.31106754761732</v>
      </c>
      <c r="Q3279" s="25">
        <v>5000</v>
      </c>
      <c r="R3279" s="22">
        <v>83</v>
      </c>
      <c r="S3279" s="22" t="s">
        <v>4021</v>
      </c>
      <c r="T3279" s="22">
        <f t="shared" si="285"/>
        <v>10</v>
      </c>
      <c r="U3279" s="22">
        <f t="shared" si="286"/>
        <v>2021</v>
      </c>
      <c r="V3279" s="22" t="str">
        <f t="shared" si="287"/>
        <v>METROPOLITANA</v>
      </c>
    </row>
    <row r="3280" spans="1:22" x14ac:dyDescent="0.2">
      <c r="A3280" s="23" t="s">
        <v>4012</v>
      </c>
      <c r="B3280" s="22" t="s">
        <v>33</v>
      </c>
      <c r="C3280" s="22" t="s">
        <v>44</v>
      </c>
      <c r="D3280" s="22" t="s">
        <v>45</v>
      </c>
      <c r="E3280" s="24" t="s">
        <v>52</v>
      </c>
      <c r="F3280" s="22" t="s">
        <v>229</v>
      </c>
      <c r="G3280" s="25">
        <v>5392.2999999999984</v>
      </c>
      <c r="H3280" s="22" t="s">
        <v>22</v>
      </c>
      <c r="I3280" s="22">
        <v>0</v>
      </c>
      <c r="J3280" s="22" t="s">
        <v>230</v>
      </c>
      <c r="K3280" s="22" t="s">
        <v>23</v>
      </c>
      <c r="L3280" s="22">
        <v>4</v>
      </c>
      <c r="M3280" s="26">
        <v>59315</v>
      </c>
      <c r="N3280" s="26">
        <v>0</v>
      </c>
      <c r="O3280" s="15">
        <f t="shared" si="284"/>
        <v>59315</v>
      </c>
      <c r="P3280" s="15">
        <f t="shared" si="283"/>
        <v>10.999944365113221</v>
      </c>
      <c r="Q3280" s="25">
        <v>5000</v>
      </c>
      <c r="R3280" s="22">
        <v>100</v>
      </c>
      <c r="S3280" s="22" t="s">
        <v>4022</v>
      </c>
      <c r="T3280" s="22">
        <f t="shared" si="285"/>
        <v>10</v>
      </c>
      <c r="U3280" s="22">
        <f t="shared" si="286"/>
        <v>2021</v>
      </c>
      <c r="V3280" s="22" t="str">
        <f t="shared" si="287"/>
        <v>METROPOLITANA</v>
      </c>
    </row>
    <row r="3281" spans="1:22" x14ac:dyDescent="0.2">
      <c r="A3281" s="23" t="s">
        <v>4012</v>
      </c>
      <c r="B3281" s="22" t="s">
        <v>33</v>
      </c>
      <c r="C3281" s="22" t="s">
        <v>44</v>
      </c>
      <c r="D3281" s="22" t="s">
        <v>47</v>
      </c>
      <c r="E3281" s="24" t="s">
        <v>1576</v>
      </c>
      <c r="F3281" s="22" t="s">
        <v>48</v>
      </c>
      <c r="G3281" s="25">
        <v>6221.9999999999991</v>
      </c>
      <c r="H3281" s="22" t="s">
        <v>22</v>
      </c>
      <c r="I3281" s="22">
        <v>0</v>
      </c>
      <c r="J3281" s="22" t="s">
        <v>48</v>
      </c>
      <c r="K3281" s="22" t="s">
        <v>23</v>
      </c>
      <c r="L3281" s="22">
        <v>1</v>
      </c>
      <c r="M3281" s="26">
        <v>68442</v>
      </c>
      <c r="N3281" s="26">
        <v>0</v>
      </c>
      <c r="O3281" s="15">
        <f t="shared" si="284"/>
        <v>68442</v>
      </c>
      <c r="P3281" s="15">
        <f t="shared" si="283"/>
        <v>11.000000000000002</v>
      </c>
      <c r="Q3281" s="25">
        <v>5000</v>
      </c>
      <c r="R3281" s="22">
        <v>100</v>
      </c>
      <c r="S3281" s="22" t="s">
        <v>4023</v>
      </c>
      <c r="T3281" s="22">
        <f t="shared" si="285"/>
        <v>10</v>
      </c>
      <c r="U3281" s="22">
        <f t="shared" si="286"/>
        <v>2021</v>
      </c>
      <c r="V3281" s="22" t="str">
        <f t="shared" si="287"/>
        <v>METROPOLITANA</v>
      </c>
    </row>
    <row r="3282" spans="1:22" x14ac:dyDescent="0.2">
      <c r="A3282" s="23" t="s">
        <v>4012</v>
      </c>
      <c r="B3282" s="22" t="s">
        <v>33</v>
      </c>
      <c r="C3282" s="22" t="s">
        <v>3922</v>
      </c>
      <c r="D3282" s="22" t="s">
        <v>2262</v>
      </c>
      <c r="E3282" s="24" t="s">
        <v>83</v>
      </c>
      <c r="F3282" s="22" t="s">
        <v>129</v>
      </c>
      <c r="G3282" s="25">
        <v>16424.649999999991</v>
      </c>
      <c r="H3282" s="22" t="s">
        <v>24</v>
      </c>
      <c r="I3282" s="22">
        <v>1</v>
      </c>
      <c r="J3282" s="22" t="s">
        <v>129</v>
      </c>
      <c r="K3282" s="22" t="s">
        <v>23</v>
      </c>
      <c r="L3282" s="22">
        <v>1</v>
      </c>
      <c r="M3282" s="26">
        <v>180671</v>
      </c>
      <c r="N3282" s="26">
        <v>0</v>
      </c>
      <c r="O3282" s="15">
        <f t="shared" si="284"/>
        <v>180671</v>
      </c>
      <c r="P3282" s="15">
        <f t="shared" si="283"/>
        <v>10.999990867385309</v>
      </c>
      <c r="Q3282" s="25">
        <v>5000</v>
      </c>
      <c r="R3282" s="22">
        <v>100</v>
      </c>
      <c r="S3282" s="22" t="s">
        <v>4024</v>
      </c>
      <c r="T3282" s="22">
        <f t="shared" si="285"/>
        <v>10</v>
      </c>
      <c r="U3282" s="22">
        <f t="shared" si="286"/>
        <v>2021</v>
      </c>
      <c r="V3282" s="22" t="str">
        <f t="shared" si="287"/>
        <v>METROPOLITANA</v>
      </c>
    </row>
    <row r="3283" spans="1:22" x14ac:dyDescent="0.2">
      <c r="A3283" s="11" t="s">
        <v>4025</v>
      </c>
      <c r="B3283" s="12" t="s">
        <v>18</v>
      </c>
      <c r="C3283" s="12" t="s">
        <v>500</v>
      </c>
      <c r="D3283" s="12" t="s">
        <v>2955</v>
      </c>
      <c r="E3283" s="13" t="s">
        <v>2956</v>
      </c>
      <c r="F3283" s="12" t="s">
        <v>120</v>
      </c>
      <c r="G3283" s="14">
        <v>25695.25</v>
      </c>
      <c r="H3283" s="12" t="s">
        <v>24</v>
      </c>
      <c r="I3283" s="12">
        <v>1</v>
      </c>
      <c r="J3283" s="12" t="s">
        <v>120</v>
      </c>
      <c r="K3283" s="12" t="s">
        <v>23</v>
      </c>
      <c r="L3283" s="12">
        <v>5</v>
      </c>
      <c r="M3283" s="15">
        <v>120000</v>
      </c>
      <c r="N3283" s="15">
        <v>0</v>
      </c>
      <c r="O3283" s="15">
        <f t="shared" si="284"/>
        <v>120000</v>
      </c>
      <c r="P3283" s="15">
        <f t="shared" si="283"/>
        <v>4.6701238555764197</v>
      </c>
      <c r="Q3283" s="14">
        <v>10000</v>
      </c>
      <c r="R3283" s="12">
        <v>100</v>
      </c>
      <c r="S3283" s="12" t="s">
        <v>4026</v>
      </c>
      <c r="T3283" s="22">
        <f t="shared" si="285"/>
        <v>10</v>
      </c>
      <c r="U3283" s="22">
        <f t="shared" si="286"/>
        <v>2021</v>
      </c>
      <c r="V3283" s="22" t="str">
        <f t="shared" si="287"/>
        <v>METROPOLITANA</v>
      </c>
    </row>
    <row r="3284" spans="1:22" x14ac:dyDescent="0.2">
      <c r="A3284" s="11" t="s">
        <v>4025</v>
      </c>
      <c r="B3284" s="12" t="s">
        <v>18</v>
      </c>
      <c r="C3284" s="12" t="s">
        <v>19</v>
      </c>
      <c r="D3284" s="12" t="s">
        <v>786</v>
      </c>
      <c r="E3284" s="13" t="s">
        <v>787</v>
      </c>
      <c r="F3284" s="12" t="s">
        <v>2554</v>
      </c>
      <c r="G3284" s="14">
        <v>24211.30000000001</v>
      </c>
      <c r="H3284" s="12" t="s">
        <v>788</v>
      </c>
      <c r="I3284" s="12">
        <v>1</v>
      </c>
      <c r="J3284" s="12" t="s">
        <v>2554</v>
      </c>
      <c r="K3284" s="12" t="s">
        <v>23</v>
      </c>
      <c r="L3284" s="12">
        <v>5</v>
      </c>
      <c r="M3284" s="15">
        <v>120000</v>
      </c>
      <c r="N3284" s="15">
        <v>0</v>
      </c>
      <c r="O3284" s="15">
        <f t="shared" si="284"/>
        <v>120000</v>
      </c>
      <c r="P3284" s="15">
        <f t="shared" si="283"/>
        <v>4.9563633509972593</v>
      </c>
      <c r="Q3284" s="14">
        <v>10000</v>
      </c>
      <c r="R3284" s="12">
        <v>100</v>
      </c>
      <c r="S3284" s="12" t="s">
        <v>4027</v>
      </c>
      <c r="T3284" s="22">
        <f t="shared" si="285"/>
        <v>10</v>
      </c>
      <c r="U3284" s="22">
        <f t="shared" si="286"/>
        <v>2021</v>
      </c>
      <c r="V3284" s="22" t="str">
        <f t="shared" si="287"/>
        <v>METROPOLITANA</v>
      </c>
    </row>
    <row r="3285" spans="1:22" x14ac:dyDescent="0.2">
      <c r="A3285" s="11" t="s">
        <v>4025</v>
      </c>
      <c r="B3285" s="12" t="s">
        <v>18</v>
      </c>
      <c r="C3285" s="12" t="s">
        <v>163</v>
      </c>
      <c r="D3285" s="12" t="s">
        <v>37</v>
      </c>
      <c r="E3285" s="13" t="s">
        <v>40</v>
      </c>
      <c r="F3285" s="12" t="s">
        <v>165</v>
      </c>
      <c r="G3285" s="14">
        <v>13414.4</v>
      </c>
      <c r="H3285" s="12" t="s">
        <v>22</v>
      </c>
      <c r="I3285" s="12">
        <v>0</v>
      </c>
      <c r="J3285" s="12" t="s">
        <v>165</v>
      </c>
      <c r="K3285" s="12" t="s">
        <v>23</v>
      </c>
      <c r="L3285" s="12">
        <v>4</v>
      </c>
      <c r="M3285" s="15">
        <v>147558</v>
      </c>
      <c r="N3285" s="15">
        <v>0</v>
      </c>
      <c r="O3285" s="15">
        <f t="shared" si="284"/>
        <v>147558</v>
      </c>
      <c r="P3285" s="15">
        <f t="shared" si="283"/>
        <v>10.99997018129771</v>
      </c>
      <c r="Q3285" s="14">
        <v>5000</v>
      </c>
      <c r="R3285" s="12">
        <v>100</v>
      </c>
      <c r="S3285" s="12" t="s">
        <v>4028</v>
      </c>
      <c r="T3285" s="22">
        <f t="shared" si="285"/>
        <v>10</v>
      </c>
      <c r="U3285" s="22">
        <f t="shared" si="286"/>
        <v>2021</v>
      </c>
      <c r="V3285" s="22" t="str">
        <f t="shared" si="287"/>
        <v>METROPOLITANA</v>
      </c>
    </row>
    <row r="3286" spans="1:22" x14ac:dyDescent="0.2">
      <c r="A3286" s="11" t="s">
        <v>4025</v>
      </c>
      <c r="B3286" s="12" t="s">
        <v>18</v>
      </c>
      <c r="C3286" s="12" t="s">
        <v>163</v>
      </c>
      <c r="D3286" s="12" t="s">
        <v>41</v>
      </c>
      <c r="E3286" s="13" t="s">
        <v>25</v>
      </c>
      <c r="F3286" s="12" t="s">
        <v>165</v>
      </c>
      <c r="G3286" s="14">
        <v>9324.0400000000009</v>
      </c>
      <c r="H3286" s="12" t="s">
        <v>43</v>
      </c>
      <c r="I3286" s="12">
        <v>0</v>
      </c>
      <c r="J3286" s="12" t="s">
        <v>165</v>
      </c>
      <c r="K3286" s="12" t="s">
        <v>23</v>
      </c>
      <c r="L3286" s="12">
        <v>4</v>
      </c>
      <c r="M3286" s="15">
        <v>102564</v>
      </c>
      <c r="N3286" s="15">
        <v>0</v>
      </c>
      <c r="O3286" s="15">
        <f t="shared" si="284"/>
        <v>102564</v>
      </c>
      <c r="P3286" s="15">
        <f t="shared" si="283"/>
        <v>10.999952810155254</v>
      </c>
      <c r="Q3286" s="14">
        <v>5000</v>
      </c>
      <c r="R3286" s="12">
        <v>100</v>
      </c>
      <c r="S3286" s="12" t="s">
        <v>4029</v>
      </c>
      <c r="T3286" s="22">
        <f t="shared" si="285"/>
        <v>10</v>
      </c>
      <c r="U3286" s="22">
        <f t="shared" si="286"/>
        <v>2021</v>
      </c>
      <c r="V3286" s="22" t="str">
        <f t="shared" si="287"/>
        <v>METROPOLITANA</v>
      </c>
    </row>
    <row r="3287" spans="1:22" x14ac:dyDescent="0.2">
      <c r="A3287" s="11" t="s">
        <v>4025</v>
      </c>
      <c r="B3287" s="12" t="s">
        <v>33</v>
      </c>
      <c r="C3287" s="12" t="s">
        <v>540</v>
      </c>
      <c r="D3287" s="12" t="s">
        <v>30</v>
      </c>
      <c r="E3287" s="13" t="s">
        <v>31</v>
      </c>
      <c r="F3287" s="12" t="s">
        <v>995</v>
      </c>
      <c r="G3287" s="14">
        <v>3203.2</v>
      </c>
      <c r="H3287" s="12" t="s">
        <v>32</v>
      </c>
      <c r="I3287" s="12">
        <v>0</v>
      </c>
      <c r="J3287" s="12" t="s">
        <v>995</v>
      </c>
      <c r="K3287" s="12" t="s">
        <v>23</v>
      </c>
      <c r="L3287" s="12">
        <v>1</v>
      </c>
      <c r="M3287" s="15">
        <v>55000</v>
      </c>
      <c r="N3287" s="15">
        <v>0</v>
      </c>
      <c r="O3287" s="15">
        <f t="shared" si="284"/>
        <v>55000</v>
      </c>
      <c r="P3287" s="15">
        <f t="shared" si="283"/>
        <v>17.170329670329672</v>
      </c>
      <c r="Q3287" s="14">
        <v>5000</v>
      </c>
      <c r="R3287" s="12">
        <v>64</v>
      </c>
      <c r="S3287" s="12" t="s">
        <v>4030</v>
      </c>
      <c r="T3287" s="22">
        <f t="shared" si="285"/>
        <v>10</v>
      </c>
      <c r="U3287" s="22">
        <f t="shared" si="286"/>
        <v>2021</v>
      </c>
      <c r="V3287" s="22" t="str">
        <f t="shared" si="287"/>
        <v>METROPOLITANA</v>
      </c>
    </row>
    <row r="3288" spans="1:22" x14ac:dyDescent="0.2">
      <c r="A3288" s="11" t="s">
        <v>4025</v>
      </c>
      <c r="B3288" s="12" t="s">
        <v>33</v>
      </c>
      <c r="C3288" s="12" t="s">
        <v>128</v>
      </c>
      <c r="D3288" s="12" t="s">
        <v>786</v>
      </c>
      <c r="E3288" s="13" t="s">
        <v>787</v>
      </c>
      <c r="F3288" s="12" t="s">
        <v>129</v>
      </c>
      <c r="G3288" s="14">
        <v>9504.0000000000091</v>
      </c>
      <c r="H3288" s="12" t="s">
        <v>788</v>
      </c>
      <c r="I3288" s="12">
        <v>1</v>
      </c>
      <c r="J3288" s="12" t="s">
        <v>129</v>
      </c>
      <c r="K3288" s="12" t="s">
        <v>23</v>
      </c>
      <c r="L3288" s="12">
        <v>1</v>
      </c>
      <c r="M3288" s="15">
        <v>104544</v>
      </c>
      <c r="N3288" s="15">
        <v>0</v>
      </c>
      <c r="O3288" s="15">
        <f t="shared" si="284"/>
        <v>104544</v>
      </c>
      <c r="P3288" s="15">
        <f t="shared" si="283"/>
        <v>10.999999999999989</v>
      </c>
      <c r="Q3288" s="14">
        <v>5000</v>
      </c>
      <c r="R3288" s="12">
        <v>100</v>
      </c>
      <c r="S3288" s="12" t="s">
        <v>4031</v>
      </c>
      <c r="T3288" s="22">
        <f t="shared" si="285"/>
        <v>10</v>
      </c>
      <c r="U3288" s="22">
        <f t="shared" si="286"/>
        <v>2021</v>
      </c>
      <c r="V3288" s="22" t="str">
        <f t="shared" si="287"/>
        <v>METROPOLITANA</v>
      </c>
    </row>
    <row r="3289" spans="1:22" x14ac:dyDescent="0.2">
      <c r="A3289" s="11" t="s">
        <v>4025</v>
      </c>
      <c r="B3289" s="12" t="s">
        <v>33</v>
      </c>
      <c r="C3289" s="12" t="s">
        <v>29</v>
      </c>
      <c r="D3289" s="12" t="s">
        <v>30</v>
      </c>
      <c r="E3289" s="13" t="s">
        <v>31</v>
      </c>
      <c r="F3289" s="12" t="s">
        <v>39</v>
      </c>
      <c r="G3289" s="14">
        <v>8753.3999999999978</v>
      </c>
      <c r="H3289" s="12" t="s">
        <v>32</v>
      </c>
      <c r="I3289" s="12">
        <v>0</v>
      </c>
      <c r="J3289" s="12" t="s">
        <v>39</v>
      </c>
      <c r="K3289" s="12" t="s">
        <v>23</v>
      </c>
      <c r="L3289" s="12">
        <v>1</v>
      </c>
      <c r="M3289" s="15">
        <v>96287</v>
      </c>
      <c r="N3289" s="15">
        <v>0</v>
      </c>
      <c r="O3289" s="15">
        <f t="shared" si="284"/>
        <v>96287</v>
      </c>
      <c r="P3289" s="15">
        <f t="shared" si="283"/>
        <v>10.999954303470654</v>
      </c>
      <c r="Q3289" s="14">
        <v>5000</v>
      </c>
      <c r="R3289" s="12">
        <v>100</v>
      </c>
      <c r="S3289" s="12" t="s">
        <v>4032</v>
      </c>
      <c r="T3289" s="22">
        <f t="shared" si="285"/>
        <v>10</v>
      </c>
      <c r="U3289" s="22">
        <f t="shared" si="286"/>
        <v>2021</v>
      </c>
      <c r="V3289" s="22" t="str">
        <f t="shared" si="287"/>
        <v>METROPOLITANA</v>
      </c>
    </row>
    <row r="3290" spans="1:22" x14ac:dyDescent="0.2">
      <c r="A3290" s="11" t="s">
        <v>4025</v>
      </c>
      <c r="B3290" s="12" t="s">
        <v>33</v>
      </c>
      <c r="C3290" s="12" t="s">
        <v>29</v>
      </c>
      <c r="D3290" s="12" t="s">
        <v>125</v>
      </c>
      <c r="E3290" s="13" t="s">
        <v>126</v>
      </c>
      <c r="F3290" s="12" t="s">
        <v>132</v>
      </c>
      <c r="G3290" s="14">
        <v>10305</v>
      </c>
      <c r="H3290" s="12" t="s">
        <v>174</v>
      </c>
      <c r="I3290" s="12">
        <v>0</v>
      </c>
      <c r="J3290" s="12" t="s">
        <v>132</v>
      </c>
      <c r="K3290" s="12" t="s">
        <v>124</v>
      </c>
      <c r="L3290" s="12">
        <v>0</v>
      </c>
      <c r="M3290" s="15">
        <v>350000</v>
      </c>
      <c r="N3290" s="15">
        <v>0</v>
      </c>
      <c r="O3290" s="15">
        <f t="shared" si="284"/>
        <v>350000</v>
      </c>
      <c r="P3290" s="15">
        <f t="shared" si="283"/>
        <v>33.964095099466277</v>
      </c>
      <c r="Q3290" s="14">
        <v>20000</v>
      </c>
      <c r="R3290" s="12">
        <v>65</v>
      </c>
      <c r="S3290" s="12" t="s">
        <v>4033</v>
      </c>
      <c r="T3290" s="22">
        <f t="shared" si="285"/>
        <v>10</v>
      </c>
      <c r="U3290" s="22">
        <f t="shared" si="286"/>
        <v>2021</v>
      </c>
      <c r="V3290" s="22" t="str">
        <f t="shared" si="287"/>
        <v>REGIONES</v>
      </c>
    </row>
    <row r="3291" spans="1:22" x14ac:dyDescent="0.2">
      <c r="A3291" s="11" t="s">
        <v>4025</v>
      </c>
      <c r="B3291" s="12" t="s">
        <v>33</v>
      </c>
      <c r="C3291" s="12" t="s">
        <v>29</v>
      </c>
      <c r="D3291" s="12" t="s">
        <v>41</v>
      </c>
      <c r="E3291" s="13" t="s">
        <v>25</v>
      </c>
      <c r="F3291" s="12" t="s">
        <v>39</v>
      </c>
      <c r="G3291" s="14">
        <v>8502</v>
      </c>
      <c r="H3291" s="12" t="s">
        <v>43</v>
      </c>
      <c r="I3291" s="12">
        <v>0</v>
      </c>
      <c r="J3291" s="12" t="s">
        <v>39</v>
      </c>
      <c r="K3291" s="12" t="s">
        <v>23</v>
      </c>
      <c r="L3291" s="12">
        <v>1</v>
      </c>
      <c r="M3291" s="15">
        <v>93522</v>
      </c>
      <c r="N3291" s="15">
        <v>0</v>
      </c>
      <c r="O3291" s="15">
        <f t="shared" si="284"/>
        <v>93522</v>
      </c>
      <c r="P3291" s="15">
        <f t="shared" si="283"/>
        <v>11</v>
      </c>
      <c r="Q3291" s="14">
        <v>5000</v>
      </c>
      <c r="R3291" s="12">
        <v>100</v>
      </c>
      <c r="S3291" s="12" t="s">
        <v>4034</v>
      </c>
      <c r="T3291" s="22">
        <f t="shared" si="285"/>
        <v>10</v>
      </c>
      <c r="U3291" s="22">
        <f t="shared" si="286"/>
        <v>2021</v>
      </c>
      <c r="V3291" s="22" t="str">
        <f t="shared" si="287"/>
        <v>METROPOLITANA</v>
      </c>
    </row>
    <row r="3292" spans="1:22" x14ac:dyDescent="0.2">
      <c r="A3292" s="11" t="s">
        <v>4025</v>
      </c>
      <c r="B3292" s="12" t="s">
        <v>33</v>
      </c>
      <c r="C3292" s="12" t="s">
        <v>29</v>
      </c>
      <c r="D3292" s="12" t="s">
        <v>164</v>
      </c>
      <c r="E3292" s="13" t="s">
        <v>28</v>
      </c>
      <c r="F3292" s="12" t="s">
        <v>39</v>
      </c>
      <c r="G3292" s="14">
        <v>9504.0000000000091</v>
      </c>
      <c r="H3292" s="12" t="s">
        <v>22</v>
      </c>
      <c r="I3292" s="12">
        <v>1</v>
      </c>
      <c r="J3292" s="12" t="s">
        <v>39</v>
      </c>
      <c r="K3292" s="12" t="s">
        <v>23</v>
      </c>
      <c r="L3292" s="12">
        <v>1</v>
      </c>
      <c r="M3292" s="15">
        <v>104544</v>
      </c>
      <c r="N3292" s="15">
        <v>0</v>
      </c>
      <c r="O3292" s="15">
        <f t="shared" si="284"/>
        <v>104544</v>
      </c>
      <c r="P3292" s="15">
        <f t="shared" si="283"/>
        <v>10.999999999999989</v>
      </c>
      <c r="Q3292" s="14">
        <v>5000</v>
      </c>
      <c r="R3292" s="12">
        <v>100</v>
      </c>
      <c r="S3292" s="12" t="s">
        <v>4035</v>
      </c>
      <c r="T3292" s="22">
        <f t="shared" si="285"/>
        <v>10</v>
      </c>
      <c r="U3292" s="22">
        <f t="shared" si="286"/>
        <v>2021</v>
      </c>
      <c r="V3292" s="22" t="str">
        <f t="shared" si="287"/>
        <v>METROPOLITANA</v>
      </c>
    </row>
    <row r="3293" spans="1:22" x14ac:dyDescent="0.2">
      <c r="A3293" s="11" t="s">
        <v>4025</v>
      </c>
      <c r="B3293" s="12" t="s">
        <v>33</v>
      </c>
      <c r="C3293" s="12" t="s">
        <v>44</v>
      </c>
      <c r="D3293" s="12" t="s">
        <v>2825</v>
      </c>
      <c r="E3293" s="13" t="s">
        <v>639</v>
      </c>
      <c r="F3293" s="12" t="s">
        <v>114</v>
      </c>
      <c r="G3293" s="14">
        <f>6616+4578</f>
        <v>11194</v>
      </c>
      <c r="H3293" s="12" t="s">
        <v>24</v>
      </c>
      <c r="I3293" s="12">
        <v>1</v>
      </c>
      <c r="J3293" s="12" t="s">
        <v>114</v>
      </c>
      <c r="K3293" s="12" t="s">
        <v>75</v>
      </c>
      <c r="L3293" s="12">
        <v>0</v>
      </c>
      <c r="M3293" s="15">
        <v>380000</v>
      </c>
      <c r="N3293" s="15">
        <v>0</v>
      </c>
      <c r="O3293" s="15">
        <f t="shared" si="284"/>
        <v>380000</v>
      </c>
      <c r="P3293" s="15">
        <f t="shared" si="283"/>
        <v>33.946757191352511</v>
      </c>
      <c r="Q3293" s="14">
        <v>20000</v>
      </c>
      <c r="R3293" s="12">
        <v>85</v>
      </c>
      <c r="S3293" s="12" t="s">
        <v>4037</v>
      </c>
      <c r="T3293" s="22">
        <f t="shared" si="285"/>
        <v>10</v>
      </c>
      <c r="U3293" s="22">
        <f t="shared" si="286"/>
        <v>2021</v>
      </c>
      <c r="V3293" s="22" t="str">
        <f t="shared" si="287"/>
        <v>REGIONES</v>
      </c>
    </row>
    <row r="3294" spans="1:22" x14ac:dyDescent="0.2">
      <c r="A3294" s="11" t="s">
        <v>4025</v>
      </c>
      <c r="B3294" s="12" t="s">
        <v>33</v>
      </c>
      <c r="C3294" s="12" t="s">
        <v>44</v>
      </c>
      <c r="D3294" s="12" t="s">
        <v>45</v>
      </c>
      <c r="E3294" s="13" t="s">
        <v>52</v>
      </c>
      <c r="F3294" s="12" t="s">
        <v>48</v>
      </c>
      <c r="G3294" s="14">
        <v>3414</v>
      </c>
      <c r="H3294" s="12" t="s">
        <v>22</v>
      </c>
      <c r="I3294" s="12">
        <v>0</v>
      </c>
      <c r="J3294" s="12" t="s">
        <v>48</v>
      </c>
      <c r="K3294" s="12" t="s">
        <v>23</v>
      </c>
      <c r="L3294" s="12">
        <v>1</v>
      </c>
      <c r="M3294" s="15">
        <v>55000</v>
      </c>
      <c r="N3294" s="15">
        <v>0</v>
      </c>
      <c r="O3294" s="15">
        <f t="shared" si="284"/>
        <v>55000</v>
      </c>
      <c r="P3294" s="15">
        <f t="shared" si="283"/>
        <v>16.11013473930873</v>
      </c>
      <c r="Q3294" s="14">
        <v>5000</v>
      </c>
      <c r="R3294" s="12">
        <v>68</v>
      </c>
      <c r="S3294" s="12" t="s">
        <v>4036</v>
      </c>
      <c r="T3294" s="22">
        <f t="shared" si="285"/>
        <v>10</v>
      </c>
      <c r="U3294" s="22">
        <f t="shared" si="286"/>
        <v>2021</v>
      </c>
      <c r="V3294" s="22" t="str">
        <f t="shared" si="287"/>
        <v>METROPOLITANA</v>
      </c>
    </row>
    <row r="3295" spans="1:22" x14ac:dyDescent="0.2">
      <c r="A3295" s="11" t="s">
        <v>4025</v>
      </c>
      <c r="B3295" s="12" t="s">
        <v>33</v>
      </c>
      <c r="C3295" s="12" t="s">
        <v>44</v>
      </c>
      <c r="D3295" s="12" t="s">
        <v>47</v>
      </c>
      <c r="E3295" s="13" t="s">
        <v>1576</v>
      </c>
      <c r="F3295" s="12" t="s">
        <v>26</v>
      </c>
      <c r="G3295" s="14">
        <f>1944.1+4110</f>
        <v>6054.1</v>
      </c>
      <c r="H3295" s="12" t="s">
        <v>22</v>
      </c>
      <c r="I3295" s="12">
        <v>0</v>
      </c>
      <c r="J3295" s="12" t="s">
        <v>26</v>
      </c>
      <c r="K3295" s="12" t="s">
        <v>23</v>
      </c>
      <c r="L3295" s="12">
        <v>4</v>
      </c>
      <c r="M3295" s="15">
        <v>55000</v>
      </c>
      <c r="N3295" s="15">
        <v>0</v>
      </c>
      <c r="O3295" s="15">
        <f t="shared" si="284"/>
        <v>55000</v>
      </c>
      <c r="P3295" s="15">
        <f t="shared" si="283"/>
        <v>9.0847524817892005</v>
      </c>
      <c r="Q3295" s="14">
        <v>5000</v>
      </c>
      <c r="R3295" s="12">
        <v>88</v>
      </c>
      <c r="S3295" s="12" t="s">
        <v>4038</v>
      </c>
      <c r="T3295" s="22">
        <f t="shared" si="285"/>
        <v>10</v>
      </c>
      <c r="U3295" s="22">
        <f t="shared" si="286"/>
        <v>2021</v>
      </c>
      <c r="V3295" s="22" t="str">
        <f t="shared" si="287"/>
        <v>METROPOLITANA</v>
      </c>
    </row>
    <row r="3296" spans="1:22" x14ac:dyDescent="0.2">
      <c r="A3296" s="23" t="s">
        <v>4039</v>
      </c>
      <c r="B3296" s="22" t="s">
        <v>18</v>
      </c>
      <c r="C3296" s="22" t="s">
        <v>270</v>
      </c>
      <c r="D3296" s="22" t="s">
        <v>41</v>
      </c>
      <c r="E3296" s="24" t="s">
        <v>25</v>
      </c>
      <c r="F3296" s="22" t="s">
        <v>120</v>
      </c>
      <c r="G3296" s="25">
        <v>10395.84</v>
      </c>
      <c r="H3296" s="22" t="s">
        <v>43</v>
      </c>
      <c r="I3296" s="22">
        <v>0</v>
      </c>
      <c r="J3296" s="22" t="s">
        <v>120</v>
      </c>
      <c r="K3296" s="22" t="s">
        <v>23</v>
      </c>
      <c r="L3296" s="22">
        <v>5</v>
      </c>
      <c r="M3296" s="26">
        <v>70000</v>
      </c>
      <c r="N3296" s="26">
        <v>0</v>
      </c>
      <c r="O3296" s="15">
        <f t="shared" si="284"/>
        <v>70000</v>
      </c>
      <c r="P3296" s="15">
        <f t="shared" si="283"/>
        <v>6.7334626158155571</v>
      </c>
      <c r="Q3296" s="25">
        <v>10000</v>
      </c>
      <c r="R3296" s="22">
        <v>100</v>
      </c>
      <c r="S3296" s="22" t="s">
        <v>4040</v>
      </c>
      <c r="T3296" s="22">
        <f t="shared" si="285"/>
        <v>10</v>
      </c>
      <c r="U3296" s="22">
        <f t="shared" si="286"/>
        <v>2021</v>
      </c>
      <c r="V3296" s="22" t="str">
        <f t="shared" si="287"/>
        <v>METROPOLITANA</v>
      </c>
    </row>
    <row r="3297" spans="1:22" x14ac:dyDescent="0.2">
      <c r="A3297" s="23" t="s">
        <v>4039</v>
      </c>
      <c r="B3297" s="22" t="s">
        <v>18</v>
      </c>
      <c r="C3297" s="22" t="s">
        <v>270</v>
      </c>
      <c r="D3297" s="22" t="s">
        <v>20</v>
      </c>
      <c r="E3297" s="24" t="s">
        <v>21</v>
      </c>
      <c r="F3297" s="22" t="s">
        <v>120</v>
      </c>
      <c r="G3297" s="25">
        <v>11195.52</v>
      </c>
      <c r="H3297" s="22" t="s">
        <v>22</v>
      </c>
      <c r="I3297" s="22">
        <v>0</v>
      </c>
      <c r="J3297" s="22" t="s">
        <v>120</v>
      </c>
      <c r="K3297" s="22" t="s">
        <v>23</v>
      </c>
      <c r="L3297" s="22">
        <v>5</v>
      </c>
      <c r="M3297" s="26">
        <v>70000</v>
      </c>
      <c r="N3297" s="26">
        <v>0</v>
      </c>
      <c r="O3297" s="15">
        <f t="shared" si="284"/>
        <v>70000</v>
      </c>
      <c r="P3297" s="15">
        <f t="shared" ref="P3297:P3360" si="288">O3297/G3297</f>
        <v>6.2525010004001595</v>
      </c>
      <c r="Q3297" s="25">
        <v>10000</v>
      </c>
      <c r="R3297" s="22">
        <v>100</v>
      </c>
      <c r="S3297" s="22" t="s">
        <v>4041</v>
      </c>
      <c r="T3297" s="22">
        <f t="shared" si="285"/>
        <v>10</v>
      </c>
      <c r="U3297" s="22">
        <f t="shared" si="286"/>
        <v>2021</v>
      </c>
      <c r="V3297" s="22" t="str">
        <f t="shared" si="287"/>
        <v>METROPOLITANA</v>
      </c>
    </row>
    <row r="3298" spans="1:22" x14ac:dyDescent="0.2">
      <c r="A3298" s="23" t="s">
        <v>4039</v>
      </c>
      <c r="B3298" s="22" t="s">
        <v>18</v>
      </c>
      <c r="C3298" s="22" t="s">
        <v>1997</v>
      </c>
      <c r="D3298" s="22" t="s">
        <v>47</v>
      </c>
      <c r="E3298" s="24" t="s">
        <v>1576</v>
      </c>
      <c r="F3298" s="22" t="s">
        <v>58</v>
      </c>
      <c r="G3298" s="25">
        <v>2771.96</v>
      </c>
      <c r="H3298" s="22" t="s">
        <v>22</v>
      </c>
      <c r="I3298" s="22">
        <v>0</v>
      </c>
      <c r="J3298" s="22" t="s">
        <v>58</v>
      </c>
      <c r="K3298" s="22" t="s">
        <v>23</v>
      </c>
      <c r="L3298" s="22">
        <v>5</v>
      </c>
      <c r="M3298" s="26">
        <v>70000</v>
      </c>
      <c r="N3298" s="26">
        <v>0</v>
      </c>
      <c r="O3298" s="15">
        <f t="shared" si="284"/>
        <v>70000</v>
      </c>
      <c r="P3298" s="15">
        <f t="shared" si="288"/>
        <v>25.25288965208733</v>
      </c>
      <c r="Q3298" s="25">
        <v>10000</v>
      </c>
      <c r="R3298" s="22">
        <v>28</v>
      </c>
      <c r="S3298" s="22" t="s">
        <v>4042</v>
      </c>
      <c r="T3298" s="22">
        <f t="shared" si="285"/>
        <v>10</v>
      </c>
      <c r="U3298" s="22">
        <f t="shared" si="286"/>
        <v>2021</v>
      </c>
      <c r="V3298" s="22" t="str">
        <f t="shared" si="287"/>
        <v>METROPOLITANA</v>
      </c>
    </row>
    <row r="3299" spans="1:22" x14ac:dyDescent="0.2">
      <c r="A3299" s="23" t="s">
        <v>4039</v>
      </c>
      <c r="B3299" s="22" t="s">
        <v>18</v>
      </c>
      <c r="C3299" s="22" t="s">
        <v>500</v>
      </c>
      <c r="D3299" s="22" t="s">
        <v>63</v>
      </c>
      <c r="E3299" s="24" t="s">
        <v>64</v>
      </c>
      <c r="F3299" s="22" t="s">
        <v>120</v>
      </c>
      <c r="G3299" s="25">
        <f>9566.3+1047</f>
        <v>10613.3</v>
      </c>
      <c r="H3299" s="22" t="s">
        <v>65</v>
      </c>
      <c r="I3299" s="22">
        <v>0</v>
      </c>
      <c r="J3299" s="22" t="s">
        <v>120</v>
      </c>
      <c r="K3299" s="22" t="s">
        <v>23</v>
      </c>
      <c r="L3299" s="22">
        <v>5</v>
      </c>
      <c r="M3299" s="26">
        <v>70000</v>
      </c>
      <c r="N3299" s="26">
        <v>0</v>
      </c>
      <c r="O3299" s="15">
        <f t="shared" si="284"/>
        <v>70000</v>
      </c>
      <c r="P3299" s="15">
        <f t="shared" si="288"/>
        <v>6.5954981014387615</v>
      </c>
      <c r="Q3299" s="25">
        <v>10000</v>
      </c>
      <c r="R3299" s="22">
        <v>96</v>
      </c>
      <c r="S3299" s="22" t="s">
        <v>4053</v>
      </c>
      <c r="T3299" s="22">
        <f t="shared" si="285"/>
        <v>10</v>
      </c>
      <c r="U3299" s="22">
        <f t="shared" si="286"/>
        <v>2021</v>
      </c>
      <c r="V3299" s="22" t="str">
        <f t="shared" si="287"/>
        <v>METROPOLITANA</v>
      </c>
    </row>
    <row r="3300" spans="1:22" x14ac:dyDescent="0.2">
      <c r="A3300" s="23" t="s">
        <v>4039</v>
      </c>
      <c r="B3300" s="22" t="s">
        <v>18</v>
      </c>
      <c r="C3300" s="22" t="s">
        <v>160</v>
      </c>
      <c r="D3300" s="22" t="s">
        <v>2262</v>
      </c>
      <c r="E3300" s="24" t="s">
        <v>83</v>
      </c>
      <c r="F3300" s="22" t="s">
        <v>84</v>
      </c>
      <c r="G3300" s="25">
        <v>22013.94</v>
      </c>
      <c r="H3300" s="22" t="s">
        <v>24</v>
      </c>
      <c r="I3300" s="22">
        <v>1</v>
      </c>
      <c r="J3300" s="22" t="s">
        <v>84</v>
      </c>
      <c r="K3300" s="22" t="s">
        <v>86</v>
      </c>
      <c r="L3300" s="22">
        <v>0</v>
      </c>
      <c r="M3300" s="26">
        <v>320000</v>
      </c>
      <c r="N3300" s="26">
        <v>0</v>
      </c>
      <c r="O3300" s="15">
        <f t="shared" si="284"/>
        <v>320000</v>
      </c>
      <c r="P3300" s="15">
        <f t="shared" si="288"/>
        <v>14.536243852758753</v>
      </c>
      <c r="Q3300" s="25">
        <v>20000</v>
      </c>
      <c r="R3300" s="22">
        <v>100</v>
      </c>
      <c r="S3300" s="22" t="s">
        <v>4043</v>
      </c>
      <c r="T3300" s="22">
        <f t="shared" si="285"/>
        <v>10</v>
      </c>
      <c r="U3300" s="22">
        <f t="shared" si="286"/>
        <v>2021</v>
      </c>
      <c r="V3300" s="22" t="str">
        <f t="shared" si="287"/>
        <v>REGIONES</v>
      </c>
    </row>
    <row r="3301" spans="1:22" x14ac:dyDescent="0.2">
      <c r="A3301" s="23" t="s">
        <v>4039</v>
      </c>
      <c r="B3301" s="22" t="s">
        <v>18</v>
      </c>
      <c r="C3301" s="22" t="s">
        <v>19</v>
      </c>
      <c r="D3301" s="22" t="s">
        <v>30</v>
      </c>
      <c r="E3301" s="24" t="s">
        <v>31</v>
      </c>
      <c r="F3301" s="22" t="s">
        <v>2554</v>
      </c>
      <c r="G3301" s="25">
        <v>10327.9</v>
      </c>
      <c r="H3301" s="22" t="s">
        <v>32</v>
      </c>
      <c r="I3301" s="22">
        <v>0</v>
      </c>
      <c r="J3301" s="22" t="s">
        <v>2554</v>
      </c>
      <c r="K3301" s="22" t="s">
        <v>23</v>
      </c>
      <c r="L3301" s="22">
        <v>5</v>
      </c>
      <c r="M3301" s="26">
        <v>70000</v>
      </c>
      <c r="N3301" s="26">
        <v>0</v>
      </c>
      <c r="O3301" s="15">
        <f t="shared" si="284"/>
        <v>70000</v>
      </c>
      <c r="P3301" s="15">
        <f t="shared" si="288"/>
        <v>6.7777573369223179</v>
      </c>
      <c r="Q3301" s="25">
        <v>10000</v>
      </c>
      <c r="R3301" s="22">
        <v>100</v>
      </c>
      <c r="S3301" s="22" t="s">
        <v>4044</v>
      </c>
      <c r="T3301" s="22">
        <f t="shared" si="285"/>
        <v>10</v>
      </c>
      <c r="U3301" s="22">
        <f t="shared" si="286"/>
        <v>2021</v>
      </c>
      <c r="V3301" s="22" t="str">
        <f t="shared" si="287"/>
        <v>METROPOLITANA</v>
      </c>
    </row>
    <row r="3302" spans="1:22" x14ac:dyDescent="0.2">
      <c r="A3302" s="23" t="s">
        <v>4039</v>
      </c>
      <c r="B3302" s="22" t="s">
        <v>33</v>
      </c>
      <c r="C3302" s="22" t="s">
        <v>128</v>
      </c>
      <c r="D3302" s="22" t="s">
        <v>786</v>
      </c>
      <c r="E3302" s="24" t="s">
        <v>787</v>
      </c>
      <c r="F3302" s="22" t="s">
        <v>129</v>
      </c>
      <c r="G3302" s="25">
        <v>12305.600000000009</v>
      </c>
      <c r="H3302" s="22" t="s">
        <v>788</v>
      </c>
      <c r="I3302" s="22">
        <v>1</v>
      </c>
      <c r="J3302" s="22" t="s">
        <v>129</v>
      </c>
      <c r="K3302" s="22" t="s">
        <v>23</v>
      </c>
      <c r="L3302" s="22">
        <v>1</v>
      </c>
      <c r="M3302" s="26">
        <v>135362</v>
      </c>
      <c r="N3302" s="26">
        <v>0</v>
      </c>
      <c r="O3302" s="15">
        <f t="shared" si="284"/>
        <v>135362</v>
      </c>
      <c r="P3302" s="15">
        <f t="shared" si="288"/>
        <v>11.000032505525931</v>
      </c>
      <c r="Q3302" s="25">
        <v>5000</v>
      </c>
      <c r="R3302" s="22">
        <v>100</v>
      </c>
      <c r="S3302" s="22" t="s">
        <v>4045</v>
      </c>
      <c r="T3302" s="22">
        <f t="shared" si="285"/>
        <v>10</v>
      </c>
      <c r="U3302" s="22">
        <f t="shared" si="286"/>
        <v>2021</v>
      </c>
      <c r="V3302" s="22" t="str">
        <f t="shared" si="287"/>
        <v>METROPOLITANA</v>
      </c>
    </row>
    <row r="3303" spans="1:22" x14ac:dyDescent="0.2">
      <c r="A3303" s="23" t="s">
        <v>4039</v>
      </c>
      <c r="B3303" s="22" t="s">
        <v>33</v>
      </c>
      <c r="C3303" s="22" t="s">
        <v>36</v>
      </c>
      <c r="D3303" s="22" t="s">
        <v>45</v>
      </c>
      <c r="E3303" s="24" t="s">
        <v>52</v>
      </c>
      <c r="F3303" s="22" t="s">
        <v>67</v>
      </c>
      <c r="G3303" s="25">
        <v>3201.599999999999</v>
      </c>
      <c r="H3303" s="22" t="s">
        <v>22</v>
      </c>
      <c r="I3303" s="22">
        <v>0</v>
      </c>
      <c r="J3303" s="22" t="s">
        <v>67</v>
      </c>
      <c r="K3303" s="22" t="s">
        <v>23</v>
      </c>
      <c r="L3303" s="22">
        <v>2</v>
      </c>
      <c r="M3303" s="26">
        <v>55000</v>
      </c>
      <c r="N3303" s="26">
        <v>0</v>
      </c>
      <c r="O3303" s="15">
        <f t="shared" si="284"/>
        <v>55000</v>
      </c>
      <c r="P3303" s="15">
        <f t="shared" si="288"/>
        <v>17.178910544727643</v>
      </c>
      <c r="Q3303" s="25">
        <v>5000</v>
      </c>
      <c r="R3303" s="22">
        <v>64</v>
      </c>
      <c r="S3303" s="22" t="s">
        <v>4046</v>
      </c>
      <c r="T3303" s="22">
        <f t="shared" si="285"/>
        <v>10</v>
      </c>
      <c r="U3303" s="22">
        <f t="shared" si="286"/>
        <v>2021</v>
      </c>
      <c r="V3303" s="22" t="str">
        <f t="shared" si="287"/>
        <v>METROPOLITANA</v>
      </c>
    </row>
    <row r="3304" spans="1:22" x14ac:dyDescent="0.2">
      <c r="A3304" s="23" t="s">
        <v>4039</v>
      </c>
      <c r="B3304" s="22" t="s">
        <v>33</v>
      </c>
      <c r="C3304" s="22" t="s">
        <v>36</v>
      </c>
      <c r="D3304" s="22" t="s">
        <v>20</v>
      </c>
      <c r="E3304" s="24" t="s">
        <v>21</v>
      </c>
      <c r="F3304" s="22" t="s">
        <v>376</v>
      </c>
      <c r="G3304" s="25">
        <v>3001.6</v>
      </c>
      <c r="H3304" s="22" t="s">
        <v>22</v>
      </c>
      <c r="I3304" s="22">
        <v>0</v>
      </c>
      <c r="J3304" s="22" t="s">
        <v>377</v>
      </c>
      <c r="K3304" s="22" t="s">
        <v>23</v>
      </c>
      <c r="L3304" s="22">
        <v>4</v>
      </c>
      <c r="M3304" s="26">
        <v>55000</v>
      </c>
      <c r="N3304" s="26">
        <v>0</v>
      </c>
      <c r="O3304" s="15">
        <f t="shared" si="284"/>
        <v>55000</v>
      </c>
      <c r="P3304" s="15">
        <f t="shared" si="288"/>
        <v>18.323560767590617</v>
      </c>
      <c r="Q3304" s="25">
        <v>5000</v>
      </c>
      <c r="R3304" s="22">
        <v>60</v>
      </c>
      <c r="S3304" s="22" t="s">
        <v>4047</v>
      </c>
      <c r="T3304" s="22">
        <f t="shared" si="285"/>
        <v>10</v>
      </c>
      <c r="U3304" s="22">
        <f t="shared" si="286"/>
        <v>2021</v>
      </c>
      <c r="V3304" s="22" t="str">
        <f t="shared" si="287"/>
        <v>METROPOLITANA</v>
      </c>
    </row>
    <row r="3305" spans="1:22" x14ac:dyDescent="0.2">
      <c r="A3305" s="23" t="s">
        <v>4039</v>
      </c>
      <c r="B3305" s="22" t="s">
        <v>33</v>
      </c>
      <c r="C3305" s="22" t="s">
        <v>2605</v>
      </c>
      <c r="D3305" s="22" t="s">
        <v>45</v>
      </c>
      <c r="E3305" s="24" t="s">
        <v>52</v>
      </c>
      <c r="F3305" s="22" t="s">
        <v>129</v>
      </c>
      <c r="G3305" s="25">
        <v>3129.2</v>
      </c>
      <c r="H3305" s="22" t="s">
        <v>22</v>
      </c>
      <c r="I3305" s="22">
        <v>0</v>
      </c>
      <c r="J3305" s="22" t="s">
        <v>129</v>
      </c>
      <c r="K3305" s="22" t="s">
        <v>23</v>
      </c>
      <c r="L3305" s="22">
        <v>1</v>
      </c>
      <c r="M3305" s="26">
        <v>55000</v>
      </c>
      <c r="N3305" s="26">
        <v>0</v>
      </c>
      <c r="O3305" s="15">
        <f t="shared" si="284"/>
        <v>55000</v>
      </c>
      <c r="P3305" s="15">
        <f t="shared" si="288"/>
        <v>17.576377348843156</v>
      </c>
      <c r="Q3305" s="25">
        <v>5000</v>
      </c>
      <c r="R3305" s="22">
        <v>63</v>
      </c>
      <c r="S3305" s="22" t="s">
        <v>4048</v>
      </c>
      <c r="T3305" s="22">
        <f t="shared" si="285"/>
        <v>10</v>
      </c>
      <c r="U3305" s="22">
        <f t="shared" si="286"/>
        <v>2021</v>
      </c>
      <c r="V3305" s="22" t="str">
        <f t="shared" si="287"/>
        <v>METROPOLITANA</v>
      </c>
    </row>
    <row r="3306" spans="1:22" x14ac:dyDescent="0.2">
      <c r="A3306" s="23" t="s">
        <v>4039</v>
      </c>
      <c r="B3306" s="22" t="s">
        <v>33</v>
      </c>
      <c r="C3306" s="22" t="s">
        <v>29</v>
      </c>
      <c r="D3306" s="22" t="s">
        <v>30</v>
      </c>
      <c r="E3306" s="24" t="s">
        <v>31</v>
      </c>
      <c r="F3306" s="22" t="s">
        <v>39</v>
      </c>
      <c r="G3306" s="25">
        <v>2376</v>
      </c>
      <c r="H3306" s="22" t="s">
        <v>32</v>
      </c>
      <c r="I3306" s="22">
        <v>0</v>
      </c>
      <c r="J3306" s="22" t="s">
        <v>39</v>
      </c>
      <c r="K3306" s="22" t="s">
        <v>23</v>
      </c>
      <c r="L3306" s="22">
        <v>1</v>
      </c>
      <c r="M3306" s="26">
        <v>55000</v>
      </c>
      <c r="N3306" s="26">
        <v>0</v>
      </c>
      <c r="O3306" s="15">
        <f t="shared" si="284"/>
        <v>55000</v>
      </c>
      <c r="P3306" s="15">
        <f t="shared" si="288"/>
        <v>23.148148148148149</v>
      </c>
      <c r="Q3306" s="25">
        <v>5000</v>
      </c>
      <c r="R3306" s="22">
        <v>48</v>
      </c>
      <c r="S3306" s="22" t="s">
        <v>4049</v>
      </c>
      <c r="T3306" s="22">
        <f t="shared" si="285"/>
        <v>10</v>
      </c>
      <c r="U3306" s="22">
        <f t="shared" si="286"/>
        <v>2021</v>
      </c>
      <c r="V3306" s="22" t="str">
        <f t="shared" si="287"/>
        <v>METROPOLITANA</v>
      </c>
    </row>
    <row r="3307" spans="1:22" x14ac:dyDescent="0.2">
      <c r="A3307" s="23" t="s">
        <v>4039</v>
      </c>
      <c r="B3307" s="22" t="s">
        <v>33</v>
      </c>
      <c r="C3307" s="22" t="s">
        <v>29</v>
      </c>
      <c r="D3307" s="22" t="s">
        <v>41</v>
      </c>
      <c r="E3307" s="24" t="s">
        <v>25</v>
      </c>
      <c r="F3307" s="22" t="s">
        <v>39</v>
      </c>
      <c r="G3307" s="25">
        <v>2376</v>
      </c>
      <c r="H3307" s="22" t="s">
        <v>43</v>
      </c>
      <c r="I3307" s="22">
        <v>0</v>
      </c>
      <c r="J3307" s="22" t="s">
        <v>39</v>
      </c>
      <c r="K3307" s="22" t="s">
        <v>23</v>
      </c>
      <c r="L3307" s="22">
        <v>1</v>
      </c>
      <c r="M3307" s="26">
        <v>55000</v>
      </c>
      <c r="N3307" s="26">
        <v>0</v>
      </c>
      <c r="O3307" s="15">
        <f t="shared" si="284"/>
        <v>55000</v>
      </c>
      <c r="P3307" s="15">
        <f t="shared" si="288"/>
        <v>23.148148148148149</v>
      </c>
      <c r="Q3307" s="25">
        <v>5000</v>
      </c>
      <c r="R3307" s="22">
        <v>48</v>
      </c>
      <c r="S3307" s="22" t="s">
        <v>4050</v>
      </c>
      <c r="T3307" s="22">
        <f t="shared" si="285"/>
        <v>10</v>
      </c>
      <c r="U3307" s="22">
        <f t="shared" si="286"/>
        <v>2021</v>
      </c>
      <c r="V3307" s="22" t="str">
        <f t="shared" si="287"/>
        <v>METROPOLITANA</v>
      </c>
    </row>
    <row r="3308" spans="1:22" x14ac:dyDescent="0.2">
      <c r="A3308" s="23" t="s">
        <v>4039</v>
      </c>
      <c r="B3308" s="22" t="s">
        <v>33</v>
      </c>
      <c r="C3308" s="22" t="s">
        <v>29</v>
      </c>
      <c r="D3308" s="22" t="s">
        <v>164</v>
      </c>
      <c r="E3308" s="24" t="s">
        <v>28</v>
      </c>
      <c r="F3308" s="22" t="s">
        <v>39</v>
      </c>
      <c r="G3308" s="25">
        <v>9504.0000000000091</v>
      </c>
      <c r="H3308" s="22" t="s">
        <v>22</v>
      </c>
      <c r="I3308" s="22">
        <v>1</v>
      </c>
      <c r="J3308" s="22" t="s">
        <v>39</v>
      </c>
      <c r="K3308" s="22" t="s">
        <v>23</v>
      </c>
      <c r="L3308" s="22">
        <v>1</v>
      </c>
      <c r="M3308" s="26">
        <v>104544</v>
      </c>
      <c r="N3308" s="26">
        <v>0</v>
      </c>
      <c r="O3308" s="15">
        <f t="shared" si="284"/>
        <v>104544</v>
      </c>
      <c r="P3308" s="15">
        <f t="shared" si="288"/>
        <v>10.999999999999989</v>
      </c>
      <c r="Q3308" s="25">
        <v>5000</v>
      </c>
      <c r="R3308" s="22">
        <v>100</v>
      </c>
      <c r="S3308" s="22" t="s">
        <v>4051</v>
      </c>
      <c r="T3308" s="22">
        <f t="shared" si="285"/>
        <v>10</v>
      </c>
      <c r="U3308" s="22">
        <f t="shared" si="286"/>
        <v>2021</v>
      </c>
      <c r="V3308" s="22" t="str">
        <f t="shared" si="287"/>
        <v>METROPOLITANA</v>
      </c>
    </row>
    <row r="3309" spans="1:22" x14ac:dyDescent="0.2">
      <c r="A3309" s="23" t="s">
        <v>4039</v>
      </c>
      <c r="B3309" s="22" t="s">
        <v>33</v>
      </c>
      <c r="C3309" s="22" t="s">
        <v>44</v>
      </c>
      <c r="D3309" s="22" t="s">
        <v>37</v>
      </c>
      <c r="E3309" s="24" t="s">
        <v>40</v>
      </c>
      <c r="F3309" s="22" t="s">
        <v>251</v>
      </c>
      <c r="G3309" s="25">
        <v>8853.1999999999989</v>
      </c>
      <c r="H3309" s="22" t="s">
        <v>22</v>
      </c>
      <c r="I3309" s="22">
        <v>0</v>
      </c>
      <c r="J3309" s="22" t="s">
        <v>251</v>
      </c>
      <c r="K3309" s="22" t="s">
        <v>78</v>
      </c>
      <c r="L3309" s="22">
        <v>0</v>
      </c>
      <c r="M3309" s="26">
        <v>180000</v>
      </c>
      <c r="N3309" s="26">
        <v>0</v>
      </c>
      <c r="O3309" s="15">
        <f t="shared" si="284"/>
        <v>180000</v>
      </c>
      <c r="P3309" s="15">
        <f t="shared" si="288"/>
        <v>20.331631500474408</v>
      </c>
      <c r="Q3309" s="25">
        <v>20000</v>
      </c>
      <c r="R3309" s="22">
        <v>44</v>
      </c>
      <c r="S3309" s="22" t="s">
        <v>4052</v>
      </c>
      <c r="T3309" s="22">
        <f t="shared" si="285"/>
        <v>10</v>
      </c>
      <c r="U3309" s="22">
        <f t="shared" si="286"/>
        <v>2021</v>
      </c>
      <c r="V3309" s="22" t="str">
        <f t="shared" si="287"/>
        <v>REGIONES</v>
      </c>
    </row>
    <row r="3310" spans="1:22" x14ac:dyDescent="0.2">
      <c r="A3310" s="23" t="s">
        <v>4039</v>
      </c>
      <c r="B3310" s="22" t="s">
        <v>33</v>
      </c>
      <c r="C3310" s="22" t="s">
        <v>44</v>
      </c>
      <c r="D3310" s="22" t="s">
        <v>47</v>
      </c>
      <c r="E3310" s="24" t="s">
        <v>1576</v>
      </c>
      <c r="F3310" s="22" t="s">
        <v>48</v>
      </c>
      <c r="G3310" s="25">
        <f>5311.32+1633</f>
        <v>6944.32</v>
      </c>
      <c r="H3310" s="22" t="s">
        <v>22</v>
      </c>
      <c r="I3310" s="22">
        <v>0</v>
      </c>
      <c r="J3310" s="22" t="s">
        <v>48</v>
      </c>
      <c r="K3310" s="22" t="s">
        <v>23</v>
      </c>
      <c r="L3310" s="22">
        <v>1</v>
      </c>
      <c r="M3310" s="26">
        <v>58425</v>
      </c>
      <c r="N3310" s="26">
        <v>0</v>
      </c>
      <c r="O3310" s="15">
        <f t="shared" si="284"/>
        <v>58425</v>
      </c>
      <c r="P3310" s="15">
        <f t="shared" si="288"/>
        <v>8.413350767245749</v>
      </c>
      <c r="Q3310" s="25">
        <v>5000</v>
      </c>
      <c r="R3310" s="22">
        <v>100</v>
      </c>
      <c r="S3310" s="22" t="s">
        <v>4054</v>
      </c>
      <c r="T3310" s="22">
        <f t="shared" si="285"/>
        <v>10</v>
      </c>
      <c r="U3310" s="22">
        <f t="shared" si="286"/>
        <v>2021</v>
      </c>
      <c r="V3310" s="22" t="str">
        <f t="shared" si="287"/>
        <v>METROPOLITANA</v>
      </c>
    </row>
    <row r="3311" spans="1:22" x14ac:dyDescent="0.2">
      <c r="A3311" s="11" t="s">
        <v>4055</v>
      </c>
      <c r="B3311" s="12" t="s">
        <v>18</v>
      </c>
      <c r="C3311" s="12" t="s">
        <v>457</v>
      </c>
      <c r="D3311" s="12" t="s">
        <v>191</v>
      </c>
      <c r="E3311" s="13" t="s">
        <v>192</v>
      </c>
      <c r="F3311" s="12" t="s">
        <v>195</v>
      </c>
      <c r="G3311" s="14">
        <v>17436.310000000001</v>
      </c>
      <c r="H3311" s="12" t="s">
        <v>85</v>
      </c>
      <c r="I3311" s="12">
        <v>1</v>
      </c>
      <c r="J3311" s="12" t="s">
        <v>195</v>
      </c>
      <c r="K3311" s="12" t="s">
        <v>124</v>
      </c>
      <c r="L3311" s="12">
        <v>0</v>
      </c>
      <c r="M3311" s="15">
        <v>350000</v>
      </c>
      <c r="N3311" s="15">
        <v>0</v>
      </c>
      <c r="O3311" s="15">
        <f t="shared" si="284"/>
        <v>350000</v>
      </c>
      <c r="P3311" s="15">
        <f t="shared" si="288"/>
        <v>20.073054447873432</v>
      </c>
      <c r="Q3311" s="14">
        <v>20000</v>
      </c>
      <c r="R3311" s="12">
        <v>87</v>
      </c>
      <c r="S3311" s="12" t="s">
        <v>4056</v>
      </c>
      <c r="T3311" s="22">
        <f t="shared" si="285"/>
        <v>10</v>
      </c>
      <c r="U3311" s="22">
        <f t="shared" si="286"/>
        <v>2021</v>
      </c>
      <c r="V3311" s="22" t="str">
        <f t="shared" si="287"/>
        <v>REGIONES</v>
      </c>
    </row>
    <row r="3312" spans="1:22" x14ac:dyDescent="0.2">
      <c r="A3312" s="11" t="s">
        <v>4055</v>
      </c>
      <c r="B3312" s="12" t="s">
        <v>18</v>
      </c>
      <c r="C3312" s="12" t="s">
        <v>160</v>
      </c>
      <c r="D3312" s="12" t="s">
        <v>2955</v>
      </c>
      <c r="E3312" s="13" t="s">
        <v>2956</v>
      </c>
      <c r="F3312" s="12" t="s">
        <v>2554</v>
      </c>
      <c r="G3312" s="14">
        <v>19015.53999999999</v>
      </c>
      <c r="H3312" s="12" t="s">
        <v>24</v>
      </c>
      <c r="I3312" s="12">
        <v>1</v>
      </c>
      <c r="J3312" s="12" t="s">
        <v>2554</v>
      </c>
      <c r="K3312" s="12" t="s">
        <v>23</v>
      </c>
      <c r="L3312" s="12">
        <v>5</v>
      </c>
      <c r="M3312" s="15">
        <v>120000</v>
      </c>
      <c r="N3312" s="15">
        <v>0</v>
      </c>
      <c r="O3312" s="15">
        <f t="shared" si="284"/>
        <v>120000</v>
      </c>
      <c r="P3312" s="15">
        <f t="shared" si="288"/>
        <v>6.3106280442206772</v>
      </c>
      <c r="Q3312" s="14">
        <v>10000</v>
      </c>
      <c r="R3312" s="12">
        <v>100</v>
      </c>
      <c r="S3312" s="12" t="s">
        <v>4057</v>
      </c>
      <c r="T3312" s="22">
        <f t="shared" si="285"/>
        <v>10</v>
      </c>
      <c r="U3312" s="22">
        <f t="shared" si="286"/>
        <v>2021</v>
      </c>
      <c r="V3312" s="22" t="str">
        <f t="shared" si="287"/>
        <v>METROPOLITANA</v>
      </c>
    </row>
    <row r="3313" spans="1:22" x14ac:dyDescent="0.2">
      <c r="A3313" s="11" t="s">
        <v>4055</v>
      </c>
      <c r="B3313" s="12" t="s">
        <v>18</v>
      </c>
      <c r="C3313" s="12" t="s">
        <v>19</v>
      </c>
      <c r="D3313" s="12" t="s">
        <v>125</v>
      </c>
      <c r="E3313" s="13" t="s">
        <v>126</v>
      </c>
      <c r="F3313" s="12" t="s">
        <v>2554</v>
      </c>
      <c r="G3313" s="14">
        <v>20605.399999999991</v>
      </c>
      <c r="H3313" s="12" t="s">
        <v>174</v>
      </c>
      <c r="I3313" s="12">
        <v>0</v>
      </c>
      <c r="J3313" s="12" t="s">
        <v>2554</v>
      </c>
      <c r="K3313" s="12" t="s">
        <v>23</v>
      </c>
      <c r="L3313" s="12">
        <v>5</v>
      </c>
      <c r="M3313" s="15">
        <v>70000</v>
      </c>
      <c r="N3313" s="15">
        <v>0</v>
      </c>
      <c r="O3313" s="15">
        <f t="shared" si="284"/>
        <v>70000</v>
      </c>
      <c r="P3313" s="15">
        <f t="shared" si="288"/>
        <v>3.3971677327302565</v>
      </c>
      <c r="Q3313" s="14">
        <v>10000</v>
      </c>
      <c r="R3313" s="12">
        <v>100</v>
      </c>
      <c r="S3313" s="12" t="s">
        <v>4058</v>
      </c>
      <c r="T3313" s="22">
        <f t="shared" si="285"/>
        <v>10</v>
      </c>
      <c r="U3313" s="22">
        <f t="shared" si="286"/>
        <v>2021</v>
      </c>
      <c r="V3313" s="22" t="str">
        <f t="shared" si="287"/>
        <v>METROPOLITANA</v>
      </c>
    </row>
    <row r="3314" spans="1:22" x14ac:dyDescent="0.2">
      <c r="A3314" s="11" t="s">
        <v>4055</v>
      </c>
      <c r="B3314" s="12" t="s">
        <v>33</v>
      </c>
      <c r="C3314" s="12" t="s">
        <v>270</v>
      </c>
      <c r="D3314" s="12" t="s">
        <v>41</v>
      </c>
      <c r="E3314" s="13" t="s">
        <v>25</v>
      </c>
      <c r="F3314" s="12" t="s">
        <v>120</v>
      </c>
      <c r="G3314" s="14">
        <v>9556.2000000000044</v>
      </c>
      <c r="H3314" s="12" t="s">
        <v>43</v>
      </c>
      <c r="I3314" s="12">
        <v>0</v>
      </c>
      <c r="J3314" s="12" t="s">
        <v>120</v>
      </c>
      <c r="K3314" s="12" t="s">
        <v>23</v>
      </c>
      <c r="L3314" s="12">
        <v>5</v>
      </c>
      <c r="M3314" s="15">
        <v>70000</v>
      </c>
      <c r="N3314" s="15">
        <v>0</v>
      </c>
      <c r="O3314" s="15">
        <f t="shared" si="284"/>
        <v>70000</v>
      </c>
      <c r="P3314" s="15">
        <f t="shared" si="288"/>
        <v>7.3250873778280035</v>
      </c>
      <c r="Q3314" s="14">
        <v>10000</v>
      </c>
      <c r="R3314" s="12">
        <v>96</v>
      </c>
      <c r="S3314" s="12" t="s">
        <v>4059</v>
      </c>
      <c r="T3314" s="22">
        <f t="shared" si="285"/>
        <v>10</v>
      </c>
      <c r="U3314" s="22">
        <f t="shared" si="286"/>
        <v>2021</v>
      </c>
      <c r="V3314" s="22" t="str">
        <f t="shared" si="287"/>
        <v>METROPOLITANA</v>
      </c>
    </row>
    <row r="3315" spans="1:22" x14ac:dyDescent="0.2">
      <c r="A3315" s="11" t="s">
        <v>4055</v>
      </c>
      <c r="B3315" s="12" t="s">
        <v>33</v>
      </c>
      <c r="C3315" s="12" t="s">
        <v>270</v>
      </c>
      <c r="D3315" s="12" t="s">
        <v>20</v>
      </c>
      <c r="E3315" s="13" t="s">
        <v>21</v>
      </c>
      <c r="F3315" s="12" t="s">
        <v>120</v>
      </c>
      <c r="G3315" s="14">
        <f>8021.85+1257</f>
        <v>9278.85</v>
      </c>
      <c r="H3315" s="12" t="s">
        <v>22</v>
      </c>
      <c r="I3315" s="12">
        <v>0</v>
      </c>
      <c r="J3315" s="12" t="s">
        <v>120</v>
      </c>
      <c r="K3315" s="12" t="s">
        <v>23</v>
      </c>
      <c r="L3315" s="12">
        <v>5</v>
      </c>
      <c r="M3315" s="15">
        <v>70000</v>
      </c>
      <c r="N3315" s="15">
        <v>0</v>
      </c>
      <c r="O3315" s="15">
        <f t="shared" si="284"/>
        <v>70000</v>
      </c>
      <c r="P3315" s="15">
        <f t="shared" si="288"/>
        <v>7.544038323714684</v>
      </c>
      <c r="Q3315" s="14">
        <v>10000</v>
      </c>
      <c r="R3315" s="12">
        <v>87</v>
      </c>
      <c r="S3315" s="12" t="s">
        <v>4067</v>
      </c>
      <c r="T3315" s="22">
        <f t="shared" si="285"/>
        <v>10</v>
      </c>
      <c r="U3315" s="22">
        <f t="shared" si="286"/>
        <v>2021</v>
      </c>
      <c r="V3315" s="22" t="str">
        <f t="shared" si="287"/>
        <v>METROPOLITANA</v>
      </c>
    </row>
    <row r="3316" spans="1:22" x14ac:dyDescent="0.2">
      <c r="A3316" s="11" t="s">
        <v>4055</v>
      </c>
      <c r="B3316" s="12" t="s">
        <v>33</v>
      </c>
      <c r="C3316" s="12" t="s">
        <v>36</v>
      </c>
      <c r="D3316" s="12" t="s">
        <v>30</v>
      </c>
      <c r="E3316" s="13" t="s">
        <v>31</v>
      </c>
      <c r="F3316" s="12" t="s">
        <v>308</v>
      </c>
      <c r="G3316" s="14">
        <v>6302.5999999999995</v>
      </c>
      <c r="H3316" s="12" t="s">
        <v>32</v>
      </c>
      <c r="I3316" s="12">
        <v>0</v>
      </c>
      <c r="J3316" s="12" t="s">
        <v>308</v>
      </c>
      <c r="K3316" s="12" t="s">
        <v>78</v>
      </c>
      <c r="L3316" s="12">
        <v>0</v>
      </c>
      <c r="M3316" s="15">
        <v>180000</v>
      </c>
      <c r="N3316" s="15">
        <v>0</v>
      </c>
      <c r="O3316" s="15">
        <f t="shared" si="284"/>
        <v>180000</v>
      </c>
      <c r="P3316" s="15">
        <f t="shared" si="288"/>
        <v>28.559642052486279</v>
      </c>
      <c r="Q3316" s="14">
        <v>20000</v>
      </c>
      <c r="R3316" s="12">
        <v>32</v>
      </c>
      <c r="S3316" s="12" t="s">
        <v>4060</v>
      </c>
      <c r="T3316" s="22">
        <f t="shared" si="285"/>
        <v>10</v>
      </c>
      <c r="U3316" s="22">
        <f t="shared" si="286"/>
        <v>2021</v>
      </c>
      <c r="V3316" s="22" t="str">
        <f t="shared" si="287"/>
        <v>REGIONES</v>
      </c>
    </row>
    <row r="3317" spans="1:22" x14ac:dyDescent="0.2">
      <c r="A3317" s="11" t="s">
        <v>4055</v>
      </c>
      <c r="B3317" s="12" t="s">
        <v>33</v>
      </c>
      <c r="C3317" s="12" t="s">
        <v>29</v>
      </c>
      <c r="D3317" s="12" t="s">
        <v>37</v>
      </c>
      <c r="E3317" s="13" t="s">
        <v>40</v>
      </c>
      <c r="F3317" s="12" t="s">
        <v>39</v>
      </c>
      <c r="G3317" s="14">
        <v>5850</v>
      </c>
      <c r="H3317" s="12" t="s">
        <v>22</v>
      </c>
      <c r="I3317" s="12">
        <v>0</v>
      </c>
      <c r="J3317" s="12" t="s">
        <v>39</v>
      </c>
      <c r="K3317" s="12" t="s">
        <v>23</v>
      </c>
      <c r="L3317" s="12">
        <v>1</v>
      </c>
      <c r="M3317" s="15">
        <v>64350</v>
      </c>
      <c r="N3317" s="15">
        <v>0</v>
      </c>
      <c r="O3317" s="15">
        <f t="shared" si="284"/>
        <v>64350</v>
      </c>
      <c r="P3317" s="15">
        <f t="shared" si="288"/>
        <v>11</v>
      </c>
      <c r="Q3317" s="14">
        <v>5000</v>
      </c>
      <c r="R3317" s="12">
        <v>100</v>
      </c>
      <c r="S3317" s="12" t="s">
        <v>4061</v>
      </c>
      <c r="T3317" s="22">
        <f t="shared" si="285"/>
        <v>10</v>
      </c>
      <c r="U3317" s="22">
        <f t="shared" si="286"/>
        <v>2021</v>
      </c>
      <c r="V3317" s="22" t="str">
        <f t="shared" si="287"/>
        <v>METROPOLITANA</v>
      </c>
    </row>
    <row r="3318" spans="1:22" x14ac:dyDescent="0.2">
      <c r="A3318" s="11" t="s">
        <v>4055</v>
      </c>
      <c r="B3318" s="12" t="s">
        <v>33</v>
      </c>
      <c r="C3318" s="12" t="s">
        <v>44</v>
      </c>
      <c r="D3318" s="12" t="s">
        <v>1869</v>
      </c>
      <c r="E3318" s="13" t="s">
        <v>1870</v>
      </c>
      <c r="F3318" s="12" t="s">
        <v>876</v>
      </c>
      <c r="G3318" s="14">
        <v>14172.9</v>
      </c>
      <c r="H3318" s="12" t="s">
        <v>24</v>
      </c>
      <c r="I3318" s="12">
        <v>1</v>
      </c>
      <c r="J3318" s="12" t="s">
        <v>876</v>
      </c>
      <c r="K3318" s="12" t="s">
        <v>86</v>
      </c>
      <c r="L3318" s="12">
        <v>0</v>
      </c>
      <c r="M3318" s="15">
        <v>330000</v>
      </c>
      <c r="N3318" s="15">
        <v>0</v>
      </c>
      <c r="O3318" s="15">
        <f t="shared" si="284"/>
        <v>330000</v>
      </c>
      <c r="P3318" s="15">
        <f t="shared" si="288"/>
        <v>23.28387274305188</v>
      </c>
      <c r="Q3318" s="14">
        <v>20000</v>
      </c>
      <c r="R3318" s="12">
        <v>71</v>
      </c>
      <c r="S3318" s="12" t="s">
        <v>4062</v>
      </c>
      <c r="T3318" s="22">
        <f t="shared" si="285"/>
        <v>10</v>
      </c>
      <c r="U3318" s="22">
        <f t="shared" si="286"/>
        <v>2021</v>
      </c>
      <c r="V3318" s="22" t="str">
        <f t="shared" si="287"/>
        <v>REGIONES</v>
      </c>
    </row>
    <row r="3319" spans="1:22" x14ac:dyDescent="0.2">
      <c r="A3319" s="11" t="s">
        <v>4055</v>
      </c>
      <c r="B3319" s="12" t="s">
        <v>33</v>
      </c>
      <c r="C3319" s="12" t="s">
        <v>44</v>
      </c>
      <c r="D3319" s="12" t="s">
        <v>2262</v>
      </c>
      <c r="E3319" s="13" t="s">
        <v>83</v>
      </c>
      <c r="F3319" s="12" t="s">
        <v>84</v>
      </c>
      <c r="G3319" s="14">
        <v>10534.500000000009</v>
      </c>
      <c r="H3319" s="12" t="s">
        <v>24</v>
      </c>
      <c r="I3319" s="12">
        <v>1</v>
      </c>
      <c r="J3319" s="12" t="s">
        <v>84</v>
      </c>
      <c r="K3319" s="12" t="s">
        <v>86</v>
      </c>
      <c r="L3319" s="12">
        <v>0</v>
      </c>
      <c r="M3319" s="15">
        <v>320000</v>
      </c>
      <c r="N3319" s="15">
        <v>0</v>
      </c>
      <c r="O3319" s="15">
        <f t="shared" si="284"/>
        <v>320000</v>
      </c>
      <c r="P3319" s="15">
        <f t="shared" si="288"/>
        <v>30.376382362712963</v>
      </c>
      <c r="Q3319" s="14">
        <v>20000</v>
      </c>
      <c r="R3319" s="12">
        <v>53</v>
      </c>
      <c r="S3319" s="12" t="s">
        <v>4063</v>
      </c>
      <c r="T3319" s="22">
        <f t="shared" si="285"/>
        <v>10</v>
      </c>
      <c r="U3319" s="22">
        <f t="shared" si="286"/>
        <v>2021</v>
      </c>
      <c r="V3319" s="22" t="str">
        <f t="shared" si="287"/>
        <v>REGIONES</v>
      </c>
    </row>
    <row r="3320" spans="1:22" x14ac:dyDescent="0.2">
      <c r="A3320" s="11" t="s">
        <v>4055</v>
      </c>
      <c r="B3320" s="12" t="s">
        <v>33</v>
      </c>
      <c r="C3320" s="12" t="s">
        <v>44</v>
      </c>
      <c r="D3320" s="12" t="s">
        <v>786</v>
      </c>
      <c r="E3320" s="13" t="s">
        <v>787</v>
      </c>
      <c r="F3320" s="12" t="s">
        <v>4064</v>
      </c>
      <c r="G3320" s="14">
        <f>5740+5727</f>
        <v>11467</v>
      </c>
      <c r="H3320" s="12" t="s">
        <v>788</v>
      </c>
      <c r="I3320" s="12">
        <v>1</v>
      </c>
      <c r="J3320" s="12" t="s">
        <v>4064</v>
      </c>
      <c r="K3320" s="12" t="s">
        <v>171</v>
      </c>
      <c r="L3320" s="12">
        <v>0</v>
      </c>
      <c r="M3320" s="15">
        <v>280000</v>
      </c>
      <c r="N3320" s="15">
        <v>0</v>
      </c>
      <c r="O3320" s="15">
        <f t="shared" si="284"/>
        <v>280000</v>
      </c>
      <c r="P3320" s="15">
        <f t="shared" si="288"/>
        <v>24.417894828638701</v>
      </c>
      <c r="Q3320" s="14">
        <v>20000</v>
      </c>
      <c r="R3320" s="12">
        <v>65</v>
      </c>
      <c r="S3320" s="12" t="s">
        <v>4068</v>
      </c>
      <c r="T3320" s="22">
        <f t="shared" si="285"/>
        <v>10</v>
      </c>
      <c r="U3320" s="22">
        <f t="shared" si="286"/>
        <v>2021</v>
      </c>
      <c r="V3320" s="22" t="str">
        <f t="shared" si="287"/>
        <v>REGIONES</v>
      </c>
    </row>
    <row r="3321" spans="1:22" x14ac:dyDescent="0.2">
      <c r="A3321" s="11" t="s">
        <v>4055</v>
      </c>
      <c r="B3321" s="12" t="s">
        <v>33</v>
      </c>
      <c r="C3321" s="12" t="s">
        <v>44</v>
      </c>
      <c r="D3321" s="12" t="s">
        <v>45</v>
      </c>
      <c r="E3321" s="13" t="s">
        <v>52</v>
      </c>
      <c r="F3321" s="12" t="s">
        <v>95</v>
      </c>
      <c r="G3321" s="14">
        <v>6658.5999999999995</v>
      </c>
      <c r="H3321" s="12" t="s">
        <v>22</v>
      </c>
      <c r="I3321" s="12">
        <v>0</v>
      </c>
      <c r="J3321" s="12" t="s">
        <v>95</v>
      </c>
      <c r="K3321" s="12" t="s">
        <v>23</v>
      </c>
      <c r="L3321" s="12">
        <v>4</v>
      </c>
      <c r="M3321" s="15">
        <v>73245</v>
      </c>
      <c r="N3321" s="15">
        <v>0</v>
      </c>
      <c r="O3321" s="15">
        <f t="shared" si="284"/>
        <v>73245</v>
      </c>
      <c r="P3321" s="15">
        <f t="shared" si="288"/>
        <v>11.000060072687953</v>
      </c>
      <c r="Q3321" s="14">
        <v>5000</v>
      </c>
      <c r="R3321" s="12">
        <v>100</v>
      </c>
      <c r="S3321" s="12" t="s">
        <v>4065</v>
      </c>
      <c r="T3321" s="22">
        <f t="shared" si="285"/>
        <v>10</v>
      </c>
      <c r="U3321" s="22">
        <f t="shared" si="286"/>
        <v>2021</v>
      </c>
      <c r="V3321" s="22" t="str">
        <f t="shared" si="287"/>
        <v>METROPOLITANA</v>
      </c>
    </row>
    <row r="3322" spans="1:22" x14ac:dyDescent="0.2">
      <c r="A3322" s="11" t="s">
        <v>4055</v>
      </c>
      <c r="B3322" s="12" t="s">
        <v>33</v>
      </c>
      <c r="C3322" s="12" t="s">
        <v>44</v>
      </c>
      <c r="D3322" s="12" t="s">
        <v>47</v>
      </c>
      <c r="E3322" s="13" t="s">
        <v>1576</v>
      </c>
      <c r="F3322" s="12" t="s">
        <v>48</v>
      </c>
      <c r="G3322" s="14">
        <v>5993.9599999999991</v>
      </c>
      <c r="H3322" s="12" t="s">
        <v>22</v>
      </c>
      <c r="I3322" s="12">
        <v>0</v>
      </c>
      <c r="J3322" s="12" t="s">
        <v>48</v>
      </c>
      <c r="K3322" s="12" t="s">
        <v>23</v>
      </c>
      <c r="L3322" s="12">
        <v>1</v>
      </c>
      <c r="M3322" s="15">
        <v>65934</v>
      </c>
      <c r="N3322" s="15">
        <v>0</v>
      </c>
      <c r="O3322" s="15">
        <f t="shared" si="284"/>
        <v>65934</v>
      </c>
      <c r="P3322" s="15">
        <f t="shared" si="288"/>
        <v>11.000073407229946</v>
      </c>
      <c r="Q3322" s="14">
        <v>5000</v>
      </c>
      <c r="R3322" s="12">
        <v>100</v>
      </c>
      <c r="S3322" s="12" t="s">
        <v>4066</v>
      </c>
      <c r="T3322" s="22">
        <f t="shared" si="285"/>
        <v>10</v>
      </c>
      <c r="U3322" s="22">
        <f t="shared" si="286"/>
        <v>2021</v>
      </c>
      <c r="V3322" s="22" t="str">
        <f t="shared" si="287"/>
        <v>METROPOLITANA</v>
      </c>
    </row>
    <row r="3323" spans="1:22" x14ac:dyDescent="0.2">
      <c r="A3323" s="23" t="s">
        <v>4069</v>
      </c>
      <c r="B3323" s="22" t="s">
        <v>18</v>
      </c>
      <c r="C3323" s="22" t="s">
        <v>500</v>
      </c>
      <c r="D3323" s="22" t="s">
        <v>63</v>
      </c>
      <c r="E3323" s="24" t="s">
        <v>64</v>
      </c>
      <c r="F3323" s="22" t="s">
        <v>120</v>
      </c>
      <c r="G3323" s="25">
        <f>3282.86+1548</f>
        <v>4830.8600000000006</v>
      </c>
      <c r="H3323" s="22" t="s">
        <v>65</v>
      </c>
      <c r="I3323" s="22">
        <v>0</v>
      </c>
      <c r="J3323" s="22" t="s">
        <v>120</v>
      </c>
      <c r="K3323" s="22" t="s">
        <v>23</v>
      </c>
      <c r="L3323" s="22">
        <v>5</v>
      </c>
      <c r="M3323" s="26">
        <v>70000</v>
      </c>
      <c r="N3323" s="26">
        <v>0</v>
      </c>
      <c r="O3323" s="15">
        <f t="shared" si="284"/>
        <v>70000</v>
      </c>
      <c r="P3323" s="15">
        <f t="shared" si="288"/>
        <v>14.490173592279634</v>
      </c>
      <c r="Q3323" s="25">
        <v>10000</v>
      </c>
      <c r="R3323" s="22">
        <v>75</v>
      </c>
      <c r="S3323" s="22" t="s">
        <v>4076</v>
      </c>
      <c r="T3323" s="22">
        <f t="shared" si="285"/>
        <v>10</v>
      </c>
      <c r="U3323" s="22">
        <f t="shared" si="286"/>
        <v>2021</v>
      </c>
      <c r="V3323" s="22" t="str">
        <f t="shared" si="287"/>
        <v>METROPOLITANA</v>
      </c>
    </row>
    <row r="3324" spans="1:22" x14ac:dyDescent="0.2">
      <c r="A3324" s="23" t="s">
        <v>4069</v>
      </c>
      <c r="B3324" s="22" t="s">
        <v>18</v>
      </c>
      <c r="C3324" s="22" t="s">
        <v>160</v>
      </c>
      <c r="D3324" s="22" t="s">
        <v>125</v>
      </c>
      <c r="E3324" s="24" t="s">
        <v>126</v>
      </c>
      <c r="F3324" s="22" t="s">
        <v>2554</v>
      </c>
      <c r="G3324" s="25">
        <v>22272.509999999991</v>
      </c>
      <c r="H3324" s="22" t="s">
        <v>174</v>
      </c>
      <c r="I3324" s="22">
        <v>0</v>
      </c>
      <c r="J3324" s="22" t="s">
        <v>2554</v>
      </c>
      <c r="K3324" s="22" t="s">
        <v>23</v>
      </c>
      <c r="L3324" s="22">
        <v>5</v>
      </c>
      <c r="M3324" s="26">
        <v>70000</v>
      </c>
      <c r="N3324" s="26">
        <v>0</v>
      </c>
      <c r="O3324" s="15">
        <f t="shared" si="284"/>
        <v>70000</v>
      </c>
      <c r="P3324" s="15">
        <f t="shared" si="288"/>
        <v>3.1428878020483557</v>
      </c>
      <c r="Q3324" s="25">
        <v>10000</v>
      </c>
      <c r="R3324" s="22">
        <v>100</v>
      </c>
      <c r="S3324" s="22" t="s">
        <v>4070</v>
      </c>
      <c r="T3324" s="22">
        <f t="shared" si="285"/>
        <v>10</v>
      </c>
      <c r="U3324" s="22">
        <f t="shared" si="286"/>
        <v>2021</v>
      </c>
      <c r="V3324" s="22" t="str">
        <f t="shared" si="287"/>
        <v>METROPOLITANA</v>
      </c>
    </row>
    <row r="3325" spans="1:22" x14ac:dyDescent="0.2">
      <c r="A3325" s="23" t="s">
        <v>4069</v>
      </c>
      <c r="B3325" s="22" t="s">
        <v>33</v>
      </c>
      <c r="C3325" s="22" t="s">
        <v>270</v>
      </c>
      <c r="D3325" s="22" t="s">
        <v>164</v>
      </c>
      <c r="E3325" s="24" t="s">
        <v>126</v>
      </c>
      <c r="F3325" s="22" t="s">
        <v>120</v>
      </c>
      <c r="G3325" s="25">
        <v>15279</v>
      </c>
      <c r="H3325" s="22" t="s">
        <v>22</v>
      </c>
      <c r="I3325" s="22">
        <v>1</v>
      </c>
      <c r="J3325" s="22" t="s">
        <v>120</v>
      </c>
      <c r="K3325" s="22" t="s">
        <v>23</v>
      </c>
      <c r="L3325" s="22">
        <v>5</v>
      </c>
      <c r="M3325" s="26">
        <v>120000</v>
      </c>
      <c r="N3325" s="26">
        <v>0</v>
      </c>
      <c r="O3325" s="15">
        <f t="shared" ref="O3325:O3388" si="289">SUM(M3325:N3325)</f>
        <v>120000</v>
      </c>
      <c r="P3325" s="15">
        <f t="shared" si="288"/>
        <v>7.8539171411741604</v>
      </c>
      <c r="Q3325" s="25">
        <v>10000</v>
      </c>
      <c r="R3325" s="22">
        <v>100</v>
      </c>
      <c r="S3325" s="22" t="s">
        <v>4071</v>
      </c>
      <c r="T3325" s="22">
        <f t="shared" si="285"/>
        <v>10</v>
      </c>
      <c r="U3325" s="22">
        <f t="shared" si="286"/>
        <v>2021</v>
      </c>
      <c r="V3325" s="22" t="str">
        <f t="shared" si="287"/>
        <v>METROPOLITANA</v>
      </c>
    </row>
    <row r="3326" spans="1:22" x14ac:dyDescent="0.2">
      <c r="A3326" s="23" t="s">
        <v>4069</v>
      </c>
      <c r="B3326" s="22" t="s">
        <v>33</v>
      </c>
      <c r="C3326" s="22" t="s">
        <v>29</v>
      </c>
      <c r="D3326" s="22" t="s">
        <v>164</v>
      </c>
      <c r="E3326" s="24" t="s">
        <v>28</v>
      </c>
      <c r="F3326" s="22" t="s">
        <v>39</v>
      </c>
      <c r="G3326" s="25">
        <v>15426.2</v>
      </c>
      <c r="H3326" s="22" t="s">
        <v>22</v>
      </c>
      <c r="I3326" s="22">
        <v>1</v>
      </c>
      <c r="J3326" s="22" t="s">
        <v>39</v>
      </c>
      <c r="K3326" s="22" t="s">
        <v>23</v>
      </c>
      <c r="L3326" s="22">
        <v>1</v>
      </c>
      <c r="M3326" s="26">
        <v>169688</v>
      </c>
      <c r="N3326" s="26">
        <v>0</v>
      </c>
      <c r="O3326" s="15">
        <f t="shared" si="289"/>
        <v>169688</v>
      </c>
      <c r="P3326" s="15">
        <f t="shared" si="288"/>
        <v>10.999987035044274</v>
      </c>
      <c r="Q3326" s="25">
        <v>5000</v>
      </c>
      <c r="R3326" s="22">
        <v>100</v>
      </c>
      <c r="S3326" s="22" t="s">
        <v>4072</v>
      </c>
      <c r="T3326" s="22">
        <f t="shared" si="285"/>
        <v>10</v>
      </c>
      <c r="U3326" s="22">
        <f t="shared" si="286"/>
        <v>2021</v>
      </c>
      <c r="V3326" s="22" t="str">
        <f t="shared" si="287"/>
        <v>METROPOLITANA</v>
      </c>
    </row>
    <row r="3327" spans="1:22" x14ac:dyDescent="0.2">
      <c r="A3327" s="23" t="s">
        <v>4069</v>
      </c>
      <c r="B3327" s="22" t="s">
        <v>33</v>
      </c>
      <c r="C3327" s="22" t="s">
        <v>44</v>
      </c>
      <c r="D3327" s="22" t="s">
        <v>61</v>
      </c>
      <c r="E3327" s="24" t="s">
        <v>3920</v>
      </c>
      <c r="F3327" s="22" t="s">
        <v>132</v>
      </c>
      <c r="G3327" s="25">
        <v>11842.000000000009</v>
      </c>
      <c r="H3327" s="22" t="s">
        <v>85</v>
      </c>
      <c r="I3327" s="22">
        <v>1</v>
      </c>
      <c r="J3327" s="22" t="s">
        <v>132</v>
      </c>
      <c r="K3327" s="22" t="s">
        <v>124</v>
      </c>
      <c r="L3327" s="22">
        <v>0</v>
      </c>
      <c r="M3327" s="26">
        <v>350000</v>
      </c>
      <c r="N3327" s="26">
        <v>0</v>
      </c>
      <c r="O3327" s="15">
        <f t="shared" si="289"/>
        <v>350000</v>
      </c>
      <c r="P3327" s="15">
        <f t="shared" si="288"/>
        <v>29.55581827394019</v>
      </c>
      <c r="Q3327" s="25">
        <v>20000</v>
      </c>
      <c r="R3327" s="22">
        <v>59</v>
      </c>
      <c r="S3327" s="22" t="s">
        <v>4073</v>
      </c>
      <c r="T3327" s="22">
        <f t="shared" si="285"/>
        <v>10</v>
      </c>
      <c r="U3327" s="22">
        <f t="shared" si="286"/>
        <v>2021</v>
      </c>
      <c r="V3327" s="22" t="str">
        <f t="shared" si="287"/>
        <v>REGIONES</v>
      </c>
    </row>
    <row r="3328" spans="1:22" x14ac:dyDescent="0.2">
      <c r="A3328" s="23" t="s">
        <v>4069</v>
      </c>
      <c r="B3328" s="22" t="s">
        <v>33</v>
      </c>
      <c r="C3328" s="22" t="s">
        <v>44</v>
      </c>
      <c r="D3328" s="22" t="s">
        <v>130</v>
      </c>
      <c r="E3328" s="24" t="s">
        <v>131</v>
      </c>
      <c r="F3328" s="22" t="s">
        <v>132</v>
      </c>
      <c r="G3328" s="25">
        <v>10305</v>
      </c>
      <c r="H3328" s="22" t="s">
        <v>85</v>
      </c>
      <c r="I3328" s="22">
        <v>1</v>
      </c>
      <c r="J3328" s="22" t="s">
        <v>132</v>
      </c>
      <c r="K3328" s="22" t="s">
        <v>124</v>
      </c>
      <c r="L3328" s="22">
        <v>0</v>
      </c>
      <c r="M3328" s="26">
        <v>350000</v>
      </c>
      <c r="N3328" s="26">
        <v>0</v>
      </c>
      <c r="O3328" s="15">
        <f t="shared" si="289"/>
        <v>350000</v>
      </c>
      <c r="P3328" s="15">
        <f t="shared" si="288"/>
        <v>33.964095099466277</v>
      </c>
      <c r="Q3328" s="25">
        <v>20000</v>
      </c>
      <c r="R3328" s="22">
        <v>52</v>
      </c>
      <c r="S3328" s="22" t="s">
        <v>4074</v>
      </c>
      <c r="T3328" s="22">
        <f t="shared" si="285"/>
        <v>10</v>
      </c>
      <c r="U3328" s="22">
        <f t="shared" si="286"/>
        <v>2021</v>
      </c>
      <c r="V3328" s="22" t="str">
        <f t="shared" si="287"/>
        <v>REGIONES</v>
      </c>
    </row>
    <row r="3329" spans="1:22" x14ac:dyDescent="0.2">
      <c r="A3329" s="23" t="s">
        <v>4069</v>
      </c>
      <c r="B3329" s="22" t="s">
        <v>33</v>
      </c>
      <c r="C3329" s="22" t="s">
        <v>44</v>
      </c>
      <c r="D3329" s="22" t="s">
        <v>37</v>
      </c>
      <c r="E3329" s="24" t="s">
        <v>40</v>
      </c>
      <c r="F3329" s="22" t="s">
        <v>48</v>
      </c>
      <c r="G3329" s="25">
        <f>5814.74+475</f>
        <v>6289.74</v>
      </c>
      <c r="H3329" s="22" t="s">
        <v>22</v>
      </c>
      <c r="I3329" s="22">
        <v>0</v>
      </c>
      <c r="J3329" s="22" t="s">
        <v>48</v>
      </c>
      <c r="K3329" s="22" t="s">
        <v>23</v>
      </c>
      <c r="L3329" s="22">
        <v>1</v>
      </c>
      <c r="M3329" s="26">
        <v>63962</v>
      </c>
      <c r="N3329" s="26">
        <v>0</v>
      </c>
      <c r="O3329" s="15">
        <f t="shared" si="289"/>
        <v>63962</v>
      </c>
      <c r="P3329" s="15">
        <f t="shared" si="288"/>
        <v>10.1692597786236</v>
      </c>
      <c r="Q3329" s="25">
        <v>5000</v>
      </c>
      <c r="R3329" s="22">
        <v>100</v>
      </c>
      <c r="S3329" s="22" t="s">
        <v>4077</v>
      </c>
      <c r="T3329" s="22">
        <f t="shared" si="285"/>
        <v>10</v>
      </c>
      <c r="U3329" s="22">
        <f t="shared" si="286"/>
        <v>2021</v>
      </c>
      <c r="V3329" s="22" t="str">
        <f t="shared" si="287"/>
        <v>METROPOLITANA</v>
      </c>
    </row>
    <row r="3330" spans="1:22" x14ac:dyDescent="0.2">
      <c r="A3330" s="23" t="s">
        <v>4069</v>
      </c>
      <c r="B3330" s="22" t="s">
        <v>33</v>
      </c>
      <c r="C3330" s="22" t="s">
        <v>44</v>
      </c>
      <c r="D3330" s="22" t="s">
        <v>45</v>
      </c>
      <c r="E3330" s="24" t="s">
        <v>52</v>
      </c>
      <c r="F3330" s="22" t="s">
        <v>95</v>
      </c>
      <c r="G3330" s="25">
        <v>5118.1200000000008</v>
      </c>
      <c r="H3330" s="22" t="s">
        <v>22</v>
      </c>
      <c r="I3330" s="22">
        <v>0</v>
      </c>
      <c r="J3330" s="22" t="s">
        <v>95</v>
      </c>
      <c r="K3330" s="22" t="s">
        <v>23</v>
      </c>
      <c r="L3330" s="22">
        <v>4</v>
      </c>
      <c r="M3330" s="26">
        <v>56299</v>
      </c>
      <c r="N3330" s="26">
        <v>0</v>
      </c>
      <c r="O3330" s="15">
        <f t="shared" si="289"/>
        <v>56299</v>
      </c>
      <c r="P3330" s="15">
        <f t="shared" si="288"/>
        <v>10.99993747704235</v>
      </c>
      <c r="Q3330" s="25">
        <v>5000</v>
      </c>
      <c r="R3330" s="22">
        <v>100</v>
      </c>
      <c r="S3330" s="22" t="s">
        <v>4075</v>
      </c>
      <c r="T3330" s="22">
        <f t="shared" si="285"/>
        <v>10</v>
      </c>
      <c r="U3330" s="22">
        <f t="shared" si="286"/>
        <v>2021</v>
      </c>
      <c r="V3330" s="22" t="str">
        <f t="shared" si="287"/>
        <v>METROPOLITANA</v>
      </c>
    </row>
    <row r="3331" spans="1:22" x14ac:dyDescent="0.2">
      <c r="A3331" s="11" t="s">
        <v>4078</v>
      </c>
      <c r="B3331" s="12" t="s">
        <v>18</v>
      </c>
      <c r="C3331" s="12" t="s">
        <v>57</v>
      </c>
      <c r="D3331" s="12" t="s">
        <v>30</v>
      </c>
      <c r="E3331" s="13" t="s">
        <v>31</v>
      </c>
      <c r="F3331" s="12" t="s">
        <v>3835</v>
      </c>
      <c r="G3331" s="14">
        <v>9141.84</v>
      </c>
      <c r="H3331" s="12" t="s">
        <v>32</v>
      </c>
      <c r="I3331" s="12">
        <v>0</v>
      </c>
      <c r="J3331" s="12" t="s">
        <v>3835</v>
      </c>
      <c r="K3331" s="12" t="s">
        <v>171</v>
      </c>
      <c r="L3331" s="12">
        <v>0</v>
      </c>
      <c r="M3331" s="15">
        <v>180000</v>
      </c>
      <c r="N3331" s="15">
        <v>0</v>
      </c>
      <c r="O3331" s="15">
        <f t="shared" si="289"/>
        <v>180000</v>
      </c>
      <c r="P3331" s="15">
        <f t="shared" si="288"/>
        <v>19.689690478065685</v>
      </c>
      <c r="Q3331" s="14">
        <v>20000</v>
      </c>
      <c r="R3331" s="12">
        <v>46</v>
      </c>
      <c r="S3331" s="12" t="s">
        <v>4079</v>
      </c>
      <c r="T3331" s="22">
        <f t="shared" si="285"/>
        <v>10</v>
      </c>
      <c r="U3331" s="22">
        <f t="shared" si="286"/>
        <v>2021</v>
      </c>
      <c r="V3331" s="22" t="str">
        <f t="shared" si="287"/>
        <v>REGIONES</v>
      </c>
    </row>
    <row r="3332" spans="1:22" x14ac:dyDescent="0.2">
      <c r="A3332" s="11" t="s">
        <v>4078</v>
      </c>
      <c r="B3332" s="12" t="s">
        <v>18</v>
      </c>
      <c r="C3332" s="12" t="s">
        <v>500</v>
      </c>
      <c r="D3332" s="12" t="s">
        <v>63</v>
      </c>
      <c r="E3332" s="13" t="s">
        <v>4080</v>
      </c>
      <c r="F3332" s="12" t="s">
        <v>120</v>
      </c>
      <c r="G3332" s="14">
        <f>2946.86+477+2562</f>
        <v>5985.8600000000006</v>
      </c>
      <c r="H3332" s="12" t="s">
        <v>65</v>
      </c>
      <c r="I3332" s="12">
        <v>0</v>
      </c>
      <c r="J3332" s="12" t="s">
        <v>120</v>
      </c>
      <c r="K3332" s="12" t="s">
        <v>23</v>
      </c>
      <c r="L3332" s="12">
        <v>5</v>
      </c>
      <c r="M3332" s="15">
        <v>70000</v>
      </c>
      <c r="N3332" s="15">
        <v>0</v>
      </c>
      <c r="O3332" s="15">
        <f t="shared" si="289"/>
        <v>70000</v>
      </c>
      <c r="P3332" s="15">
        <f t="shared" si="288"/>
        <v>11.694226059413349</v>
      </c>
      <c r="Q3332" s="14">
        <v>10000</v>
      </c>
      <c r="R3332" s="12">
        <v>85</v>
      </c>
      <c r="S3332" s="12" t="s">
        <v>4086</v>
      </c>
      <c r="T3332" s="22">
        <f t="shared" si="285"/>
        <v>10</v>
      </c>
      <c r="U3332" s="22">
        <f t="shared" si="286"/>
        <v>2021</v>
      </c>
      <c r="V3332" s="22" t="str">
        <f t="shared" si="287"/>
        <v>METROPOLITANA</v>
      </c>
    </row>
    <row r="3333" spans="1:22" x14ac:dyDescent="0.2">
      <c r="A3333" s="11" t="s">
        <v>4078</v>
      </c>
      <c r="B3333" s="12" t="s">
        <v>18</v>
      </c>
      <c r="C3333" s="12" t="s">
        <v>160</v>
      </c>
      <c r="D3333" s="12" t="s">
        <v>2955</v>
      </c>
      <c r="E3333" s="13" t="s">
        <v>2956</v>
      </c>
      <c r="F3333" s="12" t="s">
        <v>2554</v>
      </c>
      <c r="G3333" s="14">
        <v>17195.14</v>
      </c>
      <c r="H3333" s="12" t="s">
        <v>24</v>
      </c>
      <c r="I3333" s="12">
        <v>1</v>
      </c>
      <c r="J3333" s="12" t="s">
        <v>2554</v>
      </c>
      <c r="K3333" s="12" t="s">
        <v>23</v>
      </c>
      <c r="L3333" s="12">
        <v>5</v>
      </c>
      <c r="M3333" s="15">
        <v>120000</v>
      </c>
      <c r="N3333" s="15">
        <v>0</v>
      </c>
      <c r="O3333" s="15">
        <f t="shared" si="289"/>
        <v>120000</v>
      </c>
      <c r="P3333" s="15">
        <f t="shared" si="288"/>
        <v>6.9787160790781586</v>
      </c>
      <c r="Q3333" s="14">
        <v>10000</v>
      </c>
      <c r="R3333" s="12">
        <v>100</v>
      </c>
      <c r="S3333" s="12" t="s">
        <v>4081</v>
      </c>
      <c r="T3333" s="22">
        <f t="shared" si="285"/>
        <v>10</v>
      </c>
      <c r="U3333" s="22">
        <f t="shared" si="286"/>
        <v>2021</v>
      </c>
      <c r="V3333" s="22" t="str">
        <f t="shared" si="287"/>
        <v>METROPOLITANA</v>
      </c>
    </row>
    <row r="3334" spans="1:22" x14ac:dyDescent="0.2">
      <c r="A3334" s="11" t="s">
        <v>4078</v>
      </c>
      <c r="B3334" s="12" t="s">
        <v>33</v>
      </c>
      <c r="C3334" s="12" t="s">
        <v>57</v>
      </c>
      <c r="D3334" s="12" t="s">
        <v>45</v>
      </c>
      <c r="E3334" s="13" t="s">
        <v>52</v>
      </c>
      <c r="F3334" s="12" t="s">
        <v>26</v>
      </c>
      <c r="G3334" s="14">
        <v>2550.6000000000008</v>
      </c>
      <c r="H3334" s="12" t="s">
        <v>22</v>
      </c>
      <c r="I3334" s="12">
        <v>0</v>
      </c>
      <c r="J3334" s="12" t="s">
        <v>26</v>
      </c>
      <c r="K3334" s="12" t="s">
        <v>23</v>
      </c>
      <c r="L3334" s="12">
        <v>4</v>
      </c>
      <c r="M3334" s="15">
        <v>55000</v>
      </c>
      <c r="N3334" s="15">
        <v>0</v>
      </c>
      <c r="O3334" s="15">
        <f t="shared" si="289"/>
        <v>55000</v>
      </c>
      <c r="P3334" s="15">
        <f t="shared" si="288"/>
        <v>21.563553673645409</v>
      </c>
      <c r="Q3334" s="14">
        <v>5000</v>
      </c>
      <c r="R3334" s="12">
        <v>51</v>
      </c>
      <c r="S3334" s="12" t="s">
        <v>4082</v>
      </c>
      <c r="T3334" s="22">
        <f t="shared" si="285"/>
        <v>10</v>
      </c>
      <c r="U3334" s="22">
        <f t="shared" si="286"/>
        <v>2021</v>
      </c>
      <c r="V3334" s="22" t="str">
        <f t="shared" si="287"/>
        <v>METROPOLITANA</v>
      </c>
    </row>
    <row r="3335" spans="1:22" x14ac:dyDescent="0.2">
      <c r="A3335" s="11" t="s">
        <v>4078</v>
      </c>
      <c r="B3335" s="12" t="s">
        <v>33</v>
      </c>
      <c r="C3335" s="12" t="s">
        <v>128</v>
      </c>
      <c r="D3335" s="12" t="s">
        <v>786</v>
      </c>
      <c r="E3335" s="13" t="s">
        <v>787</v>
      </c>
      <c r="F3335" s="12" t="s">
        <v>34</v>
      </c>
      <c r="G3335" s="14">
        <v>13507.2</v>
      </c>
      <c r="H3335" s="12" t="s">
        <v>788</v>
      </c>
      <c r="I3335" s="12">
        <v>1</v>
      </c>
      <c r="J3335" s="12" t="s">
        <v>34</v>
      </c>
      <c r="K3335" s="12" t="s">
        <v>23</v>
      </c>
      <c r="L3335" s="12">
        <v>1</v>
      </c>
      <c r="M3335" s="15">
        <v>148579</v>
      </c>
      <c r="N3335" s="15">
        <v>0</v>
      </c>
      <c r="O3335" s="15">
        <f t="shared" si="289"/>
        <v>148579</v>
      </c>
      <c r="P3335" s="15">
        <f t="shared" si="288"/>
        <v>10.999985193082207</v>
      </c>
      <c r="Q3335" s="14">
        <v>5000</v>
      </c>
      <c r="R3335" s="12">
        <v>100</v>
      </c>
      <c r="S3335" s="12" t="s">
        <v>4083</v>
      </c>
      <c r="T3335" s="22">
        <f t="shared" si="285"/>
        <v>10</v>
      </c>
      <c r="U3335" s="22">
        <f t="shared" si="286"/>
        <v>2021</v>
      </c>
      <c r="V3335" s="22" t="str">
        <f t="shared" si="287"/>
        <v>METROPOLITANA</v>
      </c>
    </row>
    <row r="3336" spans="1:22" x14ac:dyDescent="0.2">
      <c r="A3336" s="11" t="s">
        <v>4078</v>
      </c>
      <c r="B3336" s="12" t="s">
        <v>33</v>
      </c>
      <c r="C3336" s="12" t="s">
        <v>29</v>
      </c>
      <c r="D3336" s="12" t="s">
        <v>191</v>
      </c>
      <c r="E3336" s="13" t="s">
        <v>192</v>
      </c>
      <c r="F3336" s="12" t="s">
        <v>132</v>
      </c>
      <c r="G3336" s="14">
        <v>6045.6000000000022</v>
      </c>
      <c r="H3336" s="12" t="s">
        <v>85</v>
      </c>
      <c r="I3336" s="12">
        <v>1</v>
      </c>
      <c r="J3336" s="12" t="s">
        <v>132</v>
      </c>
      <c r="K3336" s="12" t="s">
        <v>124</v>
      </c>
      <c r="L3336" s="12">
        <v>0</v>
      </c>
      <c r="M3336" s="15">
        <v>350000</v>
      </c>
      <c r="N3336" s="15">
        <v>0</v>
      </c>
      <c r="O3336" s="15">
        <f t="shared" si="289"/>
        <v>350000</v>
      </c>
      <c r="P3336" s="15">
        <f t="shared" si="288"/>
        <v>57.893343919544769</v>
      </c>
      <c r="Q3336" s="14">
        <v>20000</v>
      </c>
      <c r="R3336" s="12">
        <v>30</v>
      </c>
      <c r="S3336" s="12" t="s">
        <v>4084</v>
      </c>
      <c r="T3336" s="22">
        <f t="shared" ref="T3336:T3399" si="290">MONTH(A3336)</f>
        <v>10</v>
      </c>
      <c r="U3336" s="22">
        <f t="shared" ref="U3336:U3399" si="291">YEAR(A3336)</f>
        <v>2021</v>
      </c>
      <c r="V3336" s="22" t="str">
        <f t="shared" ref="V3336:V3399" si="292">IF(K3336="METROPOLITANA DE SANTIAGO","METROPOLITANA","REGIONES")</f>
        <v>REGIONES</v>
      </c>
    </row>
    <row r="3337" spans="1:22" x14ac:dyDescent="0.2">
      <c r="A3337" s="11" t="s">
        <v>4078</v>
      </c>
      <c r="B3337" s="12" t="s">
        <v>33</v>
      </c>
      <c r="C3337" s="12" t="s">
        <v>29</v>
      </c>
      <c r="D3337" s="12" t="s">
        <v>164</v>
      </c>
      <c r="E3337" s="13" t="s">
        <v>28</v>
      </c>
      <c r="F3337" s="12" t="s">
        <v>39</v>
      </c>
      <c r="G3337" s="14">
        <v>18382.299999999988</v>
      </c>
      <c r="H3337" s="12" t="s">
        <v>22</v>
      </c>
      <c r="I3337" s="12">
        <v>1</v>
      </c>
      <c r="J3337" s="12" t="s">
        <v>39</v>
      </c>
      <c r="K3337" s="12" t="s">
        <v>23</v>
      </c>
      <c r="L3337" s="12">
        <v>1</v>
      </c>
      <c r="M3337" s="15">
        <v>202205</v>
      </c>
      <c r="N3337" s="15">
        <v>0</v>
      </c>
      <c r="O3337" s="15">
        <f t="shared" si="289"/>
        <v>202205</v>
      </c>
      <c r="P3337" s="15">
        <f t="shared" si="288"/>
        <v>10.999983679953004</v>
      </c>
      <c r="Q3337" s="14">
        <v>5000</v>
      </c>
      <c r="R3337" s="12">
        <v>100</v>
      </c>
      <c r="S3337" s="12" t="s">
        <v>4085</v>
      </c>
      <c r="T3337" s="22">
        <f t="shared" si="290"/>
        <v>10</v>
      </c>
      <c r="U3337" s="22">
        <f t="shared" si="291"/>
        <v>2021</v>
      </c>
      <c r="V3337" s="22" t="str">
        <f t="shared" si="292"/>
        <v>METROPOLITANA</v>
      </c>
    </row>
    <row r="3338" spans="1:22" x14ac:dyDescent="0.2">
      <c r="A3338" s="11" t="s">
        <v>4078</v>
      </c>
      <c r="B3338" s="12" t="s">
        <v>33</v>
      </c>
      <c r="C3338" s="12" t="s">
        <v>44</v>
      </c>
      <c r="D3338" s="12" t="s">
        <v>37</v>
      </c>
      <c r="E3338" s="13" t="s">
        <v>40</v>
      </c>
      <c r="F3338" s="12" t="s">
        <v>48</v>
      </c>
      <c r="G3338" s="14">
        <f>2937+1300</f>
        <v>4237</v>
      </c>
      <c r="H3338" s="12" t="s">
        <v>22</v>
      </c>
      <c r="I3338" s="12">
        <v>0</v>
      </c>
      <c r="J3338" s="12" t="s">
        <v>48</v>
      </c>
      <c r="K3338" s="12" t="s">
        <v>23</v>
      </c>
      <c r="L3338" s="12">
        <v>1</v>
      </c>
      <c r="M3338" s="15">
        <v>55000</v>
      </c>
      <c r="N3338" s="15">
        <v>0</v>
      </c>
      <c r="O3338" s="15">
        <f t="shared" si="289"/>
        <v>55000</v>
      </c>
      <c r="P3338" s="15">
        <f t="shared" si="288"/>
        <v>12.980882700023601</v>
      </c>
      <c r="Q3338" s="14">
        <v>5000</v>
      </c>
      <c r="R3338" s="12">
        <v>75</v>
      </c>
      <c r="S3338" s="12" t="s">
        <v>4087</v>
      </c>
      <c r="T3338" s="22">
        <f t="shared" si="290"/>
        <v>10</v>
      </c>
      <c r="U3338" s="22">
        <f t="shared" si="291"/>
        <v>2021</v>
      </c>
      <c r="V3338" s="22" t="str">
        <f t="shared" si="292"/>
        <v>METROPOLITANA</v>
      </c>
    </row>
    <row r="3339" spans="1:22" x14ac:dyDescent="0.2">
      <c r="A3339" s="11" t="s">
        <v>4078</v>
      </c>
      <c r="B3339" s="12" t="s">
        <v>33</v>
      </c>
      <c r="C3339" s="12" t="s">
        <v>44</v>
      </c>
      <c r="D3339" s="12" t="s">
        <v>47</v>
      </c>
      <c r="E3339" s="13" t="s">
        <v>1576</v>
      </c>
      <c r="F3339" s="12" t="s">
        <v>94</v>
      </c>
      <c r="G3339" s="14">
        <f>6637.64+1604</f>
        <v>8241.64</v>
      </c>
      <c r="H3339" s="12" t="s">
        <v>22</v>
      </c>
      <c r="I3339" s="12">
        <v>0</v>
      </c>
      <c r="J3339" s="12" t="s">
        <v>59</v>
      </c>
      <c r="K3339" s="12" t="s">
        <v>78</v>
      </c>
      <c r="L3339" s="12">
        <v>0</v>
      </c>
      <c r="M3339" s="15">
        <v>180000</v>
      </c>
      <c r="N3339" s="15">
        <v>0</v>
      </c>
      <c r="O3339" s="15">
        <f t="shared" si="289"/>
        <v>180000</v>
      </c>
      <c r="P3339" s="15">
        <f t="shared" si="288"/>
        <v>21.840313335695324</v>
      </c>
      <c r="Q3339" s="14">
        <v>20000</v>
      </c>
      <c r="R3339" s="12">
        <v>95</v>
      </c>
      <c r="S3339" s="12" t="s">
        <v>4088</v>
      </c>
      <c r="T3339" s="22">
        <f t="shared" si="290"/>
        <v>10</v>
      </c>
      <c r="U3339" s="22">
        <f t="shared" si="291"/>
        <v>2021</v>
      </c>
      <c r="V3339" s="22" t="str">
        <f t="shared" si="292"/>
        <v>REGIONES</v>
      </c>
    </row>
    <row r="3340" spans="1:22" x14ac:dyDescent="0.2">
      <c r="A3340" s="11" t="s">
        <v>4078</v>
      </c>
      <c r="B3340" s="12" t="s">
        <v>33</v>
      </c>
      <c r="C3340" s="12" t="s">
        <v>44</v>
      </c>
      <c r="D3340" s="12" t="s">
        <v>20</v>
      </c>
      <c r="E3340" s="13" t="s">
        <v>21</v>
      </c>
      <c r="F3340" s="12" t="s">
        <v>53</v>
      </c>
      <c r="G3340" s="14">
        <f>3787.3+2025</f>
        <v>5812.3</v>
      </c>
      <c r="H3340" s="12" t="s">
        <v>22</v>
      </c>
      <c r="I3340" s="12">
        <v>0</v>
      </c>
      <c r="J3340" s="12" t="s">
        <v>53</v>
      </c>
      <c r="K3340" s="12" t="s">
        <v>23</v>
      </c>
      <c r="L3340" s="12">
        <v>3</v>
      </c>
      <c r="M3340" s="15">
        <v>55000</v>
      </c>
      <c r="N3340" s="15">
        <v>0</v>
      </c>
      <c r="O3340" s="15">
        <f t="shared" si="289"/>
        <v>55000</v>
      </c>
      <c r="P3340" s="15">
        <f t="shared" si="288"/>
        <v>9.462691189374258</v>
      </c>
      <c r="Q3340" s="14">
        <v>5000</v>
      </c>
      <c r="R3340" s="12">
        <v>87</v>
      </c>
      <c r="S3340" s="12" t="s">
        <v>4089</v>
      </c>
      <c r="T3340" s="22">
        <f t="shared" si="290"/>
        <v>10</v>
      </c>
      <c r="U3340" s="22">
        <f t="shared" si="291"/>
        <v>2021</v>
      </c>
      <c r="V3340" s="22" t="str">
        <f t="shared" si="292"/>
        <v>METROPOLITANA</v>
      </c>
    </row>
    <row r="3341" spans="1:22" x14ac:dyDescent="0.2">
      <c r="A3341" s="23" t="s">
        <v>4090</v>
      </c>
      <c r="B3341" s="22" t="s">
        <v>18</v>
      </c>
      <c r="C3341" s="22" t="s">
        <v>160</v>
      </c>
      <c r="D3341" s="22" t="s">
        <v>63</v>
      </c>
      <c r="E3341" s="24" t="s">
        <v>64</v>
      </c>
      <c r="F3341" s="22" t="s">
        <v>2554</v>
      </c>
      <c r="G3341" s="25">
        <f>8879.39+1644</f>
        <v>10523.39</v>
      </c>
      <c r="H3341" s="22" t="s">
        <v>65</v>
      </c>
      <c r="I3341" s="22">
        <v>0</v>
      </c>
      <c r="J3341" s="22" t="s">
        <v>2554</v>
      </c>
      <c r="K3341" s="22" t="s">
        <v>23</v>
      </c>
      <c r="L3341" s="22">
        <v>5</v>
      </c>
      <c r="M3341" s="26">
        <v>70000</v>
      </c>
      <c r="N3341" s="26">
        <v>0</v>
      </c>
      <c r="O3341" s="15">
        <f t="shared" si="289"/>
        <v>70000</v>
      </c>
      <c r="P3341" s="15">
        <f t="shared" si="288"/>
        <v>6.6518488813965844</v>
      </c>
      <c r="Q3341" s="25">
        <v>10000</v>
      </c>
      <c r="R3341" s="22">
        <v>100</v>
      </c>
      <c r="S3341" s="22" t="s">
        <v>4097</v>
      </c>
      <c r="T3341" s="22">
        <f t="shared" si="290"/>
        <v>10</v>
      </c>
      <c r="U3341" s="22">
        <f t="shared" si="291"/>
        <v>2021</v>
      </c>
      <c r="V3341" s="22" t="str">
        <f t="shared" si="292"/>
        <v>METROPOLITANA</v>
      </c>
    </row>
    <row r="3342" spans="1:22" x14ac:dyDescent="0.2">
      <c r="A3342" s="23" t="s">
        <v>4090</v>
      </c>
      <c r="B3342" s="22" t="s">
        <v>18</v>
      </c>
      <c r="C3342" s="22" t="s">
        <v>4091</v>
      </c>
      <c r="D3342" s="22" t="s">
        <v>37</v>
      </c>
      <c r="E3342" s="24" t="s">
        <v>40</v>
      </c>
      <c r="F3342" s="22" t="s">
        <v>58</v>
      </c>
      <c r="G3342" s="25">
        <v>13714.84</v>
      </c>
      <c r="H3342" s="22" t="s">
        <v>22</v>
      </c>
      <c r="I3342" s="22">
        <v>0</v>
      </c>
      <c r="J3342" s="22" t="s">
        <v>58</v>
      </c>
      <c r="K3342" s="22" t="s">
        <v>23</v>
      </c>
      <c r="L3342" s="22">
        <v>5</v>
      </c>
      <c r="M3342" s="26">
        <v>70000</v>
      </c>
      <c r="N3342" s="26">
        <v>0</v>
      </c>
      <c r="O3342" s="15">
        <f t="shared" si="289"/>
        <v>70000</v>
      </c>
      <c r="P3342" s="15">
        <f t="shared" si="288"/>
        <v>5.1039603816012438</v>
      </c>
      <c r="Q3342" s="25">
        <v>10000</v>
      </c>
      <c r="R3342" s="22">
        <v>100</v>
      </c>
      <c r="S3342" s="22" t="s">
        <v>4092</v>
      </c>
      <c r="T3342" s="22">
        <f t="shared" si="290"/>
        <v>10</v>
      </c>
      <c r="U3342" s="22">
        <f t="shared" si="291"/>
        <v>2021</v>
      </c>
      <c r="V3342" s="22" t="str">
        <f t="shared" si="292"/>
        <v>METROPOLITANA</v>
      </c>
    </row>
    <row r="3343" spans="1:22" x14ac:dyDescent="0.2">
      <c r="A3343" s="23" t="s">
        <v>4090</v>
      </c>
      <c r="B3343" s="22" t="s">
        <v>33</v>
      </c>
      <c r="C3343" s="22" t="s">
        <v>2862</v>
      </c>
      <c r="D3343" s="22" t="s">
        <v>38</v>
      </c>
      <c r="E3343" s="24" t="s">
        <v>25</v>
      </c>
      <c r="F3343" s="22" t="s">
        <v>129</v>
      </c>
      <c r="G3343" s="25">
        <v>8502</v>
      </c>
      <c r="H3343" s="22" t="s">
        <v>43</v>
      </c>
      <c r="I3343" s="22">
        <v>0</v>
      </c>
      <c r="J3343" s="22" t="s">
        <v>129</v>
      </c>
      <c r="K3343" s="22" t="s">
        <v>23</v>
      </c>
      <c r="L3343" s="22">
        <v>1</v>
      </c>
      <c r="M3343" s="26">
        <v>93522</v>
      </c>
      <c r="N3343" s="26">
        <v>0</v>
      </c>
      <c r="O3343" s="15">
        <f t="shared" si="289"/>
        <v>93522</v>
      </c>
      <c r="P3343" s="15">
        <f t="shared" si="288"/>
        <v>11</v>
      </c>
      <c r="Q3343" s="25">
        <v>5000</v>
      </c>
      <c r="R3343" s="22">
        <v>100</v>
      </c>
      <c r="S3343" s="22" t="s">
        <v>4093</v>
      </c>
      <c r="T3343" s="22">
        <f t="shared" si="290"/>
        <v>10</v>
      </c>
      <c r="U3343" s="22">
        <f t="shared" si="291"/>
        <v>2021</v>
      </c>
      <c r="V3343" s="22" t="str">
        <f t="shared" si="292"/>
        <v>METROPOLITANA</v>
      </c>
    </row>
    <row r="3344" spans="1:22" x14ac:dyDescent="0.2">
      <c r="A3344" s="23" t="s">
        <v>4090</v>
      </c>
      <c r="B3344" s="22" t="s">
        <v>33</v>
      </c>
      <c r="C3344" s="22" t="s">
        <v>29</v>
      </c>
      <c r="D3344" s="22" t="s">
        <v>20</v>
      </c>
      <c r="E3344" s="24" t="s">
        <v>21</v>
      </c>
      <c r="F3344" s="22" t="s">
        <v>173</v>
      </c>
      <c r="G3344" s="25">
        <v>7649.6</v>
      </c>
      <c r="H3344" s="22" t="s">
        <v>22</v>
      </c>
      <c r="I3344" s="22">
        <v>0</v>
      </c>
      <c r="J3344" s="22" t="s">
        <v>173</v>
      </c>
      <c r="K3344" s="22" t="s">
        <v>23</v>
      </c>
      <c r="L3344" s="22">
        <v>5</v>
      </c>
      <c r="M3344" s="26">
        <v>90000</v>
      </c>
      <c r="N3344" s="26">
        <v>0</v>
      </c>
      <c r="O3344" s="15">
        <f t="shared" si="289"/>
        <v>90000</v>
      </c>
      <c r="P3344" s="15">
        <f t="shared" si="288"/>
        <v>11.765321062539217</v>
      </c>
      <c r="Q3344" s="25">
        <v>10000</v>
      </c>
      <c r="R3344" s="22">
        <v>76</v>
      </c>
      <c r="S3344" s="22" t="s">
        <v>4094</v>
      </c>
      <c r="T3344" s="22">
        <f t="shared" si="290"/>
        <v>10</v>
      </c>
      <c r="U3344" s="22">
        <f t="shared" si="291"/>
        <v>2021</v>
      </c>
      <c r="V3344" s="22" t="str">
        <f t="shared" si="292"/>
        <v>METROPOLITANA</v>
      </c>
    </row>
    <row r="3345" spans="1:22" x14ac:dyDescent="0.2">
      <c r="A3345" s="23" t="s">
        <v>4090</v>
      </c>
      <c r="B3345" s="22" t="s">
        <v>33</v>
      </c>
      <c r="C3345" s="22" t="s">
        <v>44</v>
      </c>
      <c r="D3345" s="22" t="s">
        <v>47</v>
      </c>
      <c r="E3345" s="24" t="s">
        <v>1576</v>
      </c>
      <c r="F3345" s="22" t="s">
        <v>48</v>
      </c>
      <c r="G3345" s="25">
        <v>6881.8</v>
      </c>
      <c r="H3345" s="22" t="s">
        <v>22</v>
      </c>
      <c r="I3345" s="22">
        <v>0</v>
      </c>
      <c r="J3345" s="22" t="s">
        <v>48</v>
      </c>
      <c r="K3345" s="22" t="s">
        <v>23</v>
      </c>
      <c r="L3345" s="22">
        <v>1</v>
      </c>
      <c r="M3345" s="26">
        <v>75700</v>
      </c>
      <c r="N3345" s="26">
        <v>0</v>
      </c>
      <c r="O3345" s="15">
        <f t="shared" si="289"/>
        <v>75700</v>
      </c>
      <c r="P3345" s="15">
        <f t="shared" si="288"/>
        <v>11.000029062163968</v>
      </c>
      <c r="Q3345" s="25">
        <v>5000</v>
      </c>
      <c r="R3345" s="22">
        <v>100</v>
      </c>
      <c r="S3345" s="22" t="s">
        <v>4095</v>
      </c>
      <c r="T3345" s="22">
        <f t="shared" si="290"/>
        <v>10</v>
      </c>
      <c r="U3345" s="22">
        <f t="shared" si="291"/>
        <v>2021</v>
      </c>
      <c r="V3345" s="22" t="str">
        <f t="shared" si="292"/>
        <v>METROPOLITANA</v>
      </c>
    </row>
    <row r="3346" spans="1:22" x14ac:dyDescent="0.2">
      <c r="A3346" s="23" t="s">
        <v>4090</v>
      </c>
      <c r="B3346" s="22" t="s">
        <v>33</v>
      </c>
      <c r="C3346" s="22" t="s">
        <v>3922</v>
      </c>
      <c r="D3346" s="22" t="s">
        <v>30</v>
      </c>
      <c r="E3346" s="24" t="s">
        <v>31</v>
      </c>
      <c r="F3346" s="22" t="s">
        <v>129</v>
      </c>
      <c r="G3346" s="25">
        <v>14632.8</v>
      </c>
      <c r="H3346" s="22" t="s">
        <v>32</v>
      </c>
      <c r="I3346" s="22">
        <v>0</v>
      </c>
      <c r="J3346" s="22" t="s">
        <v>129</v>
      </c>
      <c r="K3346" s="22" t="s">
        <v>23</v>
      </c>
      <c r="L3346" s="22">
        <v>1</v>
      </c>
      <c r="M3346" s="26">
        <v>160961</v>
      </c>
      <c r="N3346" s="26">
        <v>0</v>
      </c>
      <c r="O3346" s="15">
        <f t="shared" si="289"/>
        <v>160961</v>
      </c>
      <c r="P3346" s="15">
        <f t="shared" si="288"/>
        <v>11.000013667924117</v>
      </c>
      <c r="Q3346" s="25">
        <v>5000</v>
      </c>
      <c r="R3346" s="22">
        <v>100</v>
      </c>
      <c r="S3346" s="22" t="s">
        <v>4096</v>
      </c>
      <c r="T3346" s="22">
        <f t="shared" si="290"/>
        <v>10</v>
      </c>
      <c r="U3346" s="22">
        <f t="shared" si="291"/>
        <v>2021</v>
      </c>
      <c r="V3346" s="22" t="str">
        <f t="shared" si="292"/>
        <v>METROPOLITANA</v>
      </c>
    </row>
    <row r="3347" spans="1:22" x14ac:dyDescent="0.2">
      <c r="A3347" s="65" t="s">
        <v>4098</v>
      </c>
      <c r="B3347" s="66" t="s">
        <v>18</v>
      </c>
      <c r="C3347" s="66" t="s">
        <v>270</v>
      </c>
      <c r="D3347" s="66" t="s">
        <v>38</v>
      </c>
      <c r="E3347" s="67" t="s">
        <v>25</v>
      </c>
      <c r="F3347" s="66" t="s">
        <v>120</v>
      </c>
      <c r="G3347" s="68">
        <v>14164.41</v>
      </c>
      <c r="H3347" s="66" t="s">
        <v>43</v>
      </c>
      <c r="I3347" s="66">
        <v>0</v>
      </c>
      <c r="J3347" s="66" t="s">
        <v>120</v>
      </c>
      <c r="K3347" s="66" t="s">
        <v>23</v>
      </c>
      <c r="L3347" s="66">
        <v>5</v>
      </c>
      <c r="M3347" s="69">
        <v>70000</v>
      </c>
      <c r="N3347" s="69">
        <v>0</v>
      </c>
      <c r="O3347" s="15">
        <f t="shared" si="289"/>
        <v>70000</v>
      </c>
      <c r="P3347" s="15">
        <f t="shared" si="288"/>
        <v>4.9419636963346871</v>
      </c>
      <c r="Q3347" s="68">
        <v>10000</v>
      </c>
      <c r="R3347" s="66">
        <v>100</v>
      </c>
      <c r="S3347" s="66" t="s">
        <v>4099</v>
      </c>
      <c r="T3347" s="22">
        <f t="shared" si="290"/>
        <v>10</v>
      </c>
      <c r="U3347" s="22">
        <f t="shared" si="291"/>
        <v>2021</v>
      </c>
      <c r="V3347" s="22" t="str">
        <f t="shared" si="292"/>
        <v>METROPOLITANA</v>
      </c>
    </row>
    <row r="3348" spans="1:22" x14ac:dyDescent="0.2">
      <c r="A3348" s="65" t="s">
        <v>4098</v>
      </c>
      <c r="B3348" s="66" t="s">
        <v>18</v>
      </c>
      <c r="C3348" s="66" t="s">
        <v>270</v>
      </c>
      <c r="D3348" s="66" t="s">
        <v>37</v>
      </c>
      <c r="E3348" s="67" t="s">
        <v>40</v>
      </c>
      <c r="F3348" s="66" t="s">
        <v>120</v>
      </c>
      <c r="G3348" s="68">
        <v>7781.3400000000011</v>
      </c>
      <c r="H3348" s="66" t="s">
        <v>22</v>
      </c>
      <c r="I3348" s="66">
        <v>0</v>
      </c>
      <c r="J3348" s="66" t="s">
        <v>120</v>
      </c>
      <c r="K3348" s="66" t="s">
        <v>23</v>
      </c>
      <c r="L3348" s="66">
        <v>5</v>
      </c>
      <c r="M3348" s="69">
        <v>70000</v>
      </c>
      <c r="N3348" s="69">
        <v>0</v>
      </c>
      <c r="O3348" s="15">
        <f t="shared" si="289"/>
        <v>70000</v>
      </c>
      <c r="P3348" s="15">
        <f t="shared" si="288"/>
        <v>8.995879887011748</v>
      </c>
      <c r="Q3348" s="68">
        <v>10000</v>
      </c>
      <c r="R3348" s="66">
        <v>78</v>
      </c>
      <c r="S3348" s="66" t="s">
        <v>4100</v>
      </c>
      <c r="T3348" s="22">
        <f t="shared" si="290"/>
        <v>10</v>
      </c>
      <c r="U3348" s="22">
        <f t="shared" si="291"/>
        <v>2021</v>
      </c>
      <c r="V3348" s="22" t="str">
        <f t="shared" si="292"/>
        <v>METROPOLITANA</v>
      </c>
    </row>
    <row r="3349" spans="1:22" ht="10.5" customHeight="1" x14ac:dyDescent="0.2">
      <c r="A3349" s="65" t="s">
        <v>4098</v>
      </c>
      <c r="B3349" s="66" t="s">
        <v>18</v>
      </c>
      <c r="C3349" s="66" t="s">
        <v>457</v>
      </c>
      <c r="D3349" s="66" t="s">
        <v>3421</v>
      </c>
      <c r="E3349" s="67" t="s">
        <v>3822</v>
      </c>
      <c r="F3349" s="66" t="s">
        <v>195</v>
      </c>
      <c r="G3349" s="68">
        <v>7326.44</v>
      </c>
      <c r="H3349" s="66" t="s">
        <v>24</v>
      </c>
      <c r="I3349" s="66">
        <v>1</v>
      </c>
      <c r="J3349" s="66" t="s">
        <v>195</v>
      </c>
      <c r="K3349" s="66" t="s">
        <v>124</v>
      </c>
      <c r="L3349" s="66">
        <v>0</v>
      </c>
      <c r="M3349" s="69">
        <v>350000</v>
      </c>
      <c r="N3349" s="69">
        <v>0</v>
      </c>
      <c r="O3349" s="15">
        <f t="shared" si="289"/>
        <v>350000</v>
      </c>
      <c r="P3349" s="15">
        <f t="shared" si="288"/>
        <v>47.772178575133353</v>
      </c>
      <c r="Q3349" s="68">
        <v>20000</v>
      </c>
      <c r="R3349" s="66">
        <v>37</v>
      </c>
      <c r="S3349" s="66" t="s">
        <v>4101</v>
      </c>
      <c r="T3349" s="22">
        <f t="shared" si="290"/>
        <v>10</v>
      </c>
      <c r="U3349" s="22">
        <f t="shared" si="291"/>
        <v>2021</v>
      </c>
      <c r="V3349" s="22" t="str">
        <f t="shared" si="292"/>
        <v>REGIONES</v>
      </c>
    </row>
    <row r="3350" spans="1:22" x14ac:dyDescent="0.2">
      <c r="A3350" s="65" t="s">
        <v>4098</v>
      </c>
      <c r="B3350" s="66" t="s">
        <v>18</v>
      </c>
      <c r="C3350" s="66" t="s">
        <v>457</v>
      </c>
      <c r="D3350" s="66" t="s">
        <v>125</v>
      </c>
      <c r="E3350" s="67" t="s">
        <v>126</v>
      </c>
      <c r="F3350" s="66" t="s">
        <v>132</v>
      </c>
      <c r="G3350" s="68">
        <v>21498.04</v>
      </c>
      <c r="H3350" s="66" t="s">
        <v>174</v>
      </c>
      <c r="I3350" s="66">
        <v>0</v>
      </c>
      <c r="J3350" s="66" t="s">
        <v>132</v>
      </c>
      <c r="K3350" s="66" t="s">
        <v>124</v>
      </c>
      <c r="L3350" s="66">
        <v>0</v>
      </c>
      <c r="M3350" s="69">
        <v>350000</v>
      </c>
      <c r="N3350" s="69">
        <v>0</v>
      </c>
      <c r="O3350" s="15">
        <f t="shared" si="289"/>
        <v>350000</v>
      </c>
      <c r="P3350" s="15">
        <f t="shared" si="288"/>
        <v>16.280553948173878</v>
      </c>
      <c r="Q3350" s="68">
        <v>20000</v>
      </c>
      <c r="R3350" s="66">
        <v>100</v>
      </c>
      <c r="S3350" s="66" t="s">
        <v>4102</v>
      </c>
      <c r="T3350" s="22">
        <f t="shared" si="290"/>
        <v>10</v>
      </c>
      <c r="U3350" s="22">
        <f t="shared" si="291"/>
        <v>2021</v>
      </c>
      <c r="V3350" s="22" t="str">
        <f t="shared" si="292"/>
        <v>REGIONES</v>
      </c>
    </row>
    <row r="3351" spans="1:22" x14ac:dyDescent="0.2">
      <c r="A3351" s="65" t="s">
        <v>4098</v>
      </c>
      <c r="B3351" s="66" t="s">
        <v>18</v>
      </c>
      <c r="C3351" s="66" t="s">
        <v>160</v>
      </c>
      <c r="D3351" s="66" t="s">
        <v>2262</v>
      </c>
      <c r="E3351" s="67" t="s">
        <v>83</v>
      </c>
      <c r="F3351" s="66" t="s">
        <v>84</v>
      </c>
      <c r="G3351" s="68">
        <v>24247.73</v>
      </c>
      <c r="H3351" s="66" t="s">
        <v>24</v>
      </c>
      <c r="I3351" s="66">
        <v>1</v>
      </c>
      <c r="J3351" s="66" t="s">
        <v>84</v>
      </c>
      <c r="K3351" s="66" t="s">
        <v>86</v>
      </c>
      <c r="L3351" s="66">
        <v>0</v>
      </c>
      <c r="M3351" s="69">
        <v>320000</v>
      </c>
      <c r="N3351" s="69">
        <v>0</v>
      </c>
      <c r="O3351" s="15">
        <f t="shared" si="289"/>
        <v>320000</v>
      </c>
      <c r="P3351" s="15">
        <f t="shared" si="288"/>
        <v>13.197111647152125</v>
      </c>
      <c r="Q3351" s="68">
        <v>20000</v>
      </c>
      <c r="R3351" s="66">
        <v>100</v>
      </c>
      <c r="S3351" s="66" t="s">
        <v>4103</v>
      </c>
      <c r="T3351" s="22">
        <f t="shared" si="290"/>
        <v>10</v>
      </c>
      <c r="U3351" s="22">
        <f t="shared" si="291"/>
        <v>2021</v>
      </c>
      <c r="V3351" s="22" t="str">
        <f t="shared" si="292"/>
        <v>REGIONES</v>
      </c>
    </row>
    <row r="3352" spans="1:22" x14ac:dyDescent="0.2">
      <c r="A3352" s="65" t="s">
        <v>4098</v>
      </c>
      <c r="B3352" s="66" t="s">
        <v>18</v>
      </c>
      <c r="C3352" s="66" t="s">
        <v>160</v>
      </c>
      <c r="D3352" s="66" t="s">
        <v>2955</v>
      </c>
      <c r="E3352" s="67" t="s">
        <v>2956</v>
      </c>
      <c r="F3352" s="66" t="s">
        <v>2554</v>
      </c>
      <c r="G3352" s="68">
        <v>24271.1</v>
      </c>
      <c r="H3352" s="66" t="s">
        <v>24</v>
      </c>
      <c r="I3352" s="66">
        <v>1</v>
      </c>
      <c r="J3352" s="66" t="s">
        <v>2554</v>
      </c>
      <c r="K3352" s="66" t="s">
        <v>23</v>
      </c>
      <c r="L3352" s="66">
        <v>5</v>
      </c>
      <c r="M3352" s="69">
        <v>120000</v>
      </c>
      <c r="N3352" s="69">
        <v>0</v>
      </c>
      <c r="O3352" s="15">
        <f t="shared" si="289"/>
        <v>120000</v>
      </c>
      <c r="P3352" s="15">
        <f t="shared" si="288"/>
        <v>4.9441516865737443</v>
      </c>
      <c r="Q3352" s="68">
        <v>10000</v>
      </c>
      <c r="R3352" s="66">
        <v>100</v>
      </c>
      <c r="S3352" s="66" t="s">
        <v>4104</v>
      </c>
      <c r="T3352" s="22">
        <f t="shared" si="290"/>
        <v>10</v>
      </c>
      <c r="U3352" s="22">
        <f t="shared" si="291"/>
        <v>2021</v>
      </c>
      <c r="V3352" s="22" t="str">
        <f t="shared" si="292"/>
        <v>METROPOLITANA</v>
      </c>
    </row>
    <row r="3353" spans="1:22" x14ac:dyDescent="0.2">
      <c r="A3353" s="65" t="s">
        <v>4098</v>
      </c>
      <c r="B3353" s="66" t="s">
        <v>33</v>
      </c>
      <c r="C3353" s="66" t="s">
        <v>128</v>
      </c>
      <c r="D3353" s="66" t="s">
        <v>1170</v>
      </c>
      <c r="E3353" s="67" t="s">
        <v>81</v>
      </c>
      <c r="F3353" s="66" t="s">
        <v>66</v>
      </c>
      <c r="G3353" s="68">
        <v>8244.0000000000036</v>
      </c>
      <c r="H3353" s="66" t="s">
        <v>24</v>
      </c>
      <c r="I3353" s="66">
        <v>1</v>
      </c>
      <c r="J3353" s="66" t="s">
        <v>66</v>
      </c>
      <c r="K3353" s="66" t="s">
        <v>75</v>
      </c>
      <c r="L3353" s="66">
        <v>0</v>
      </c>
      <c r="M3353" s="69">
        <v>380000</v>
      </c>
      <c r="N3353" s="69">
        <v>0</v>
      </c>
      <c r="O3353" s="15">
        <f t="shared" si="289"/>
        <v>380000</v>
      </c>
      <c r="P3353" s="15">
        <f t="shared" si="288"/>
        <v>46.094129063561354</v>
      </c>
      <c r="Q3353" s="68">
        <v>20000</v>
      </c>
      <c r="R3353" s="66">
        <v>41</v>
      </c>
      <c r="S3353" s="66" t="s">
        <v>4105</v>
      </c>
      <c r="T3353" s="22">
        <f t="shared" si="290"/>
        <v>10</v>
      </c>
      <c r="U3353" s="22">
        <f t="shared" si="291"/>
        <v>2021</v>
      </c>
      <c r="V3353" s="22" t="str">
        <f t="shared" si="292"/>
        <v>REGIONES</v>
      </c>
    </row>
    <row r="3354" spans="1:22" x14ac:dyDescent="0.2">
      <c r="A3354" s="65" t="s">
        <v>4098</v>
      </c>
      <c r="B3354" s="66" t="s">
        <v>33</v>
      </c>
      <c r="C3354" s="66" t="s">
        <v>128</v>
      </c>
      <c r="D3354" s="66" t="s">
        <v>20</v>
      </c>
      <c r="E3354" s="67" t="s">
        <v>21</v>
      </c>
      <c r="F3354" s="66" t="s">
        <v>34</v>
      </c>
      <c r="G3354" s="68">
        <v>5327.92</v>
      </c>
      <c r="H3354" s="66" t="s">
        <v>22</v>
      </c>
      <c r="I3354" s="66">
        <v>0</v>
      </c>
      <c r="J3354" s="66" t="s">
        <v>34</v>
      </c>
      <c r="K3354" s="66" t="s">
        <v>23</v>
      </c>
      <c r="L3354" s="66">
        <v>1</v>
      </c>
      <c r="M3354" s="69">
        <v>58607</v>
      </c>
      <c r="N3354" s="69">
        <v>0</v>
      </c>
      <c r="O3354" s="15">
        <f t="shared" si="289"/>
        <v>58607</v>
      </c>
      <c r="P3354" s="15">
        <f t="shared" si="288"/>
        <v>10.999977477139296</v>
      </c>
      <c r="Q3354" s="68">
        <v>5000</v>
      </c>
      <c r="R3354" s="66">
        <v>100</v>
      </c>
      <c r="S3354" s="66" t="s">
        <v>4106</v>
      </c>
      <c r="T3354" s="22">
        <f t="shared" si="290"/>
        <v>10</v>
      </c>
      <c r="U3354" s="22">
        <f t="shared" si="291"/>
        <v>2021</v>
      </c>
      <c r="V3354" s="22" t="str">
        <f t="shared" si="292"/>
        <v>METROPOLITANA</v>
      </c>
    </row>
    <row r="3355" spans="1:22" x14ac:dyDescent="0.2">
      <c r="A3355" s="65" t="s">
        <v>4098</v>
      </c>
      <c r="B3355" s="66" t="s">
        <v>33</v>
      </c>
      <c r="C3355" s="66" t="s">
        <v>3961</v>
      </c>
      <c r="D3355" s="66" t="s">
        <v>786</v>
      </c>
      <c r="E3355" s="67" t="s">
        <v>787</v>
      </c>
      <c r="F3355" s="66" t="s">
        <v>129</v>
      </c>
      <c r="G3355" s="68">
        <v>15080.000000000009</v>
      </c>
      <c r="H3355" s="66" t="s">
        <v>788</v>
      </c>
      <c r="I3355" s="66">
        <v>1</v>
      </c>
      <c r="J3355" s="66" t="s">
        <v>129</v>
      </c>
      <c r="K3355" s="66" t="s">
        <v>23</v>
      </c>
      <c r="L3355" s="66">
        <v>1</v>
      </c>
      <c r="M3355" s="69">
        <v>165880</v>
      </c>
      <c r="N3355" s="69">
        <v>0</v>
      </c>
      <c r="O3355" s="15">
        <f t="shared" si="289"/>
        <v>165880</v>
      </c>
      <c r="P3355" s="15">
        <f t="shared" si="288"/>
        <v>10.999999999999993</v>
      </c>
      <c r="Q3355" s="68">
        <v>5000</v>
      </c>
      <c r="R3355" s="66">
        <v>100</v>
      </c>
      <c r="S3355" s="66" t="s">
        <v>4107</v>
      </c>
      <c r="T3355" s="22">
        <f t="shared" si="290"/>
        <v>10</v>
      </c>
      <c r="U3355" s="22">
        <f t="shared" si="291"/>
        <v>2021</v>
      </c>
      <c r="V3355" s="22" t="str">
        <f t="shared" si="292"/>
        <v>METROPOLITANA</v>
      </c>
    </row>
    <row r="3356" spans="1:22" x14ac:dyDescent="0.2">
      <c r="A3356" s="65" t="s">
        <v>4098</v>
      </c>
      <c r="B3356" s="66" t="s">
        <v>33</v>
      </c>
      <c r="C3356" s="66" t="s">
        <v>29</v>
      </c>
      <c r="D3356" s="66" t="s">
        <v>30</v>
      </c>
      <c r="E3356" s="67" t="s">
        <v>31</v>
      </c>
      <c r="F3356" s="66" t="s">
        <v>39</v>
      </c>
      <c r="G3356" s="68">
        <v>12201.8</v>
      </c>
      <c r="H3356" s="66" t="s">
        <v>32</v>
      </c>
      <c r="I3356" s="66">
        <v>0</v>
      </c>
      <c r="J3356" s="66" t="s">
        <v>39</v>
      </c>
      <c r="K3356" s="66" t="s">
        <v>23</v>
      </c>
      <c r="L3356" s="66">
        <v>1</v>
      </c>
      <c r="M3356" s="69">
        <v>134220</v>
      </c>
      <c r="N3356" s="69">
        <v>0</v>
      </c>
      <c r="O3356" s="15">
        <f t="shared" si="289"/>
        <v>134220</v>
      </c>
      <c r="P3356" s="15">
        <f t="shared" si="288"/>
        <v>11.000016391024277</v>
      </c>
      <c r="Q3356" s="68">
        <v>5000</v>
      </c>
      <c r="R3356" s="66">
        <v>100</v>
      </c>
      <c r="S3356" s="66" t="s">
        <v>4108</v>
      </c>
      <c r="T3356" s="22">
        <f t="shared" si="290"/>
        <v>10</v>
      </c>
      <c r="U3356" s="22">
        <f t="shared" si="291"/>
        <v>2021</v>
      </c>
      <c r="V3356" s="22" t="str">
        <f t="shared" si="292"/>
        <v>METROPOLITANA</v>
      </c>
    </row>
    <row r="3357" spans="1:22" x14ac:dyDescent="0.2">
      <c r="A3357" s="65" t="s">
        <v>4098</v>
      </c>
      <c r="B3357" s="66" t="s">
        <v>33</v>
      </c>
      <c r="C3357" s="66" t="s">
        <v>29</v>
      </c>
      <c r="D3357" s="66" t="s">
        <v>45</v>
      </c>
      <c r="E3357" s="67" t="s">
        <v>52</v>
      </c>
      <c r="F3357" s="66" t="s">
        <v>134</v>
      </c>
      <c r="G3357" s="68">
        <v>3005.7000000000012</v>
      </c>
      <c r="H3357" s="66" t="s">
        <v>22</v>
      </c>
      <c r="I3357" s="66">
        <v>0</v>
      </c>
      <c r="J3357" s="66" t="s">
        <v>134</v>
      </c>
      <c r="K3357" s="66" t="s">
        <v>23</v>
      </c>
      <c r="L3357" s="66">
        <v>2</v>
      </c>
      <c r="M3357" s="69">
        <v>55000</v>
      </c>
      <c r="N3357" s="69">
        <v>0</v>
      </c>
      <c r="O3357" s="15">
        <f t="shared" si="289"/>
        <v>55000</v>
      </c>
      <c r="P3357" s="15">
        <f t="shared" si="288"/>
        <v>18.298566057823461</v>
      </c>
      <c r="Q3357" s="68">
        <v>5000</v>
      </c>
      <c r="R3357" s="66">
        <v>60</v>
      </c>
      <c r="S3357" s="66" t="s">
        <v>4109</v>
      </c>
      <c r="T3357" s="22">
        <f t="shared" si="290"/>
        <v>10</v>
      </c>
      <c r="U3357" s="22">
        <f t="shared" si="291"/>
        <v>2021</v>
      </c>
      <c r="V3357" s="22" t="str">
        <f t="shared" si="292"/>
        <v>METROPOLITANA</v>
      </c>
    </row>
    <row r="3358" spans="1:22" x14ac:dyDescent="0.2">
      <c r="A3358" s="65" t="s">
        <v>4098</v>
      </c>
      <c r="B3358" s="66" t="s">
        <v>33</v>
      </c>
      <c r="C3358" s="66" t="s">
        <v>29</v>
      </c>
      <c r="D3358" s="66" t="s">
        <v>164</v>
      </c>
      <c r="E3358" s="67" t="s">
        <v>28</v>
      </c>
      <c r="F3358" s="66" t="s">
        <v>39</v>
      </c>
      <c r="G3358" s="68">
        <v>5496.0000000000018</v>
      </c>
      <c r="H3358" s="66" t="s">
        <v>22</v>
      </c>
      <c r="I3358" s="66">
        <v>1</v>
      </c>
      <c r="J3358" s="66" t="s">
        <v>39</v>
      </c>
      <c r="K3358" s="66" t="s">
        <v>23</v>
      </c>
      <c r="L3358" s="66">
        <v>1</v>
      </c>
      <c r="M3358" s="69">
        <v>60456</v>
      </c>
      <c r="N3358" s="69">
        <v>0</v>
      </c>
      <c r="O3358" s="15">
        <f t="shared" si="289"/>
        <v>60456</v>
      </c>
      <c r="P3358" s="15">
        <f t="shared" si="288"/>
        <v>10.999999999999996</v>
      </c>
      <c r="Q3358" s="68">
        <v>5000</v>
      </c>
      <c r="R3358" s="66">
        <v>100</v>
      </c>
      <c r="S3358" s="66" t="s">
        <v>4110</v>
      </c>
      <c r="T3358" s="22">
        <f t="shared" si="290"/>
        <v>10</v>
      </c>
      <c r="U3358" s="22">
        <f t="shared" si="291"/>
        <v>2021</v>
      </c>
      <c r="V3358" s="22" t="str">
        <f t="shared" si="292"/>
        <v>METROPOLITANA</v>
      </c>
    </row>
    <row r="3359" spans="1:22" x14ac:dyDescent="0.2">
      <c r="A3359" s="65" t="s">
        <v>4098</v>
      </c>
      <c r="B3359" s="66" t="s">
        <v>33</v>
      </c>
      <c r="C3359" s="66" t="s">
        <v>44</v>
      </c>
      <c r="D3359" s="66" t="s">
        <v>1869</v>
      </c>
      <c r="E3359" s="67" t="s">
        <v>1870</v>
      </c>
      <c r="F3359" s="66" t="s">
        <v>3438</v>
      </c>
      <c r="G3359" s="68">
        <v>13877.19999999999</v>
      </c>
      <c r="H3359" s="66" t="s">
        <v>24</v>
      </c>
      <c r="I3359" s="66">
        <v>1</v>
      </c>
      <c r="J3359" s="66" t="s">
        <v>3438</v>
      </c>
      <c r="K3359" s="66" t="s">
        <v>93</v>
      </c>
      <c r="L3359" s="66">
        <v>0</v>
      </c>
      <c r="M3359" s="69">
        <v>620000</v>
      </c>
      <c r="N3359" s="69">
        <v>0</v>
      </c>
      <c r="O3359" s="15">
        <f t="shared" si="289"/>
        <v>620000</v>
      </c>
      <c r="P3359" s="15">
        <f t="shared" si="288"/>
        <v>44.677600668722832</v>
      </c>
      <c r="Q3359" s="68">
        <v>20000</v>
      </c>
      <c r="R3359" s="66">
        <v>69</v>
      </c>
      <c r="S3359" s="66" t="s">
        <v>4111</v>
      </c>
      <c r="T3359" s="22">
        <f t="shared" si="290"/>
        <v>10</v>
      </c>
      <c r="U3359" s="22">
        <f t="shared" si="291"/>
        <v>2021</v>
      </c>
      <c r="V3359" s="22" t="str">
        <f t="shared" si="292"/>
        <v>REGIONES</v>
      </c>
    </row>
    <row r="3360" spans="1:22" x14ac:dyDescent="0.2">
      <c r="A3360" s="65" t="s">
        <v>4098</v>
      </c>
      <c r="B3360" s="66" t="s">
        <v>33</v>
      </c>
      <c r="C3360" s="66" t="s">
        <v>44</v>
      </c>
      <c r="D3360" s="66" t="s">
        <v>37</v>
      </c>
      <c r="E3360" s="67" t="s">
        <v>40</v>
      </c>
      <c r="F3360" s="66" t="s">
        <v>48</v>
      </c>
      <c r="G3360" s="68">
        <v>4922.16</v>
      </c>
      <c r="H3360" s="66" t="s">
        <v>22</v>
      </c>
      <c r="I3360" s="66">
        <v>0</v>
      </c>
      <c r="J3360" s="66" t="s">
        <v>48</v>
      </c>
      <c r="K3360" s="66" t="s">
        <v>23</v>
      </c>
      <c r="L3360" s="66">
        <v>1</v>
      </c>
      <c r="M3360" s="69">
        <v>55000</v>
      </c>
      <c r="N3360" s="69">
        <v>0</v>
      </c>
      <c r="O3360" s="15">
        <f t="shared" si="289"/>
        <v>55000</v>
      </c>
      <c r="P3360" s="15">
        <f t="shared" si="288"/>
        <v>11.173956149332813</v>
      </c>
      <c r="Q3360" s="68">
        <v>5000</v>
      </c>
      <c r="R3360" s="66">
        <v>98</v>
      </c>
      <c r="S3360" s="66" t="s">
        <v>4112</v>
      </c>
      <c r="T3360" s="22">
        <f t="shared" si="290"/>
        <v>10</v>
      </c>
      <c r="U3360" s="22">
        <f t="shared" si="291"/>
        <v>2021</v>
      </c>
      <c r="V3360" s="22" t="str">
        <f t="shared" si="292"/>
        <v>METROPOLITANA</v>
      </c>
    </row>
    <row r="3361" spans="1:22" x14ac:dyDescent="0.2">
      <c r="A3361" s="65" t="s">
        <v>4098</v>
      </c>
      <c r="B3361" s="66" t="s">
        <v>33</v>
      </c>
      <c r="C3361" s="66" t="s">
        <v>44</v>
      </c>
      <c r="D3361" s="66" t="s">
        <v>45</v>
      </c>
      <c r="E3361" s="67" t="s">
        <v>52</v>
      </c>
      <c r="F3361" s="66" t="s">
        <v>46</v>
      </c>
      <c r="G3361" s="68">
        <v>7357.7999999999975</v>
      </c>
      <c r="H3361" s="66" t="s">
        <v>22</v>
      </c>
      <c r="I3361" s="66">
        <v>0</v>
      </c>
      <c r="J3361" s="66" t="s">
        <v>46</v>
      </c>
      <c r="K3361" s="66" t="s">
        <v>23</v>
      </c>
      <c r="L3361" s="66">
        <v>2</v>
      </c>
      <c r="M3361" s="69">
        <v>80936</v>
      </c>
      <c r="N3361" s="69">
        <v>0</v>
      </c>
      <c r="O3361" s="15">
        <f t="shared" si="289"/>
        <v>80936</v>
      </c>
      <c r="P3361" s="15">
        <f t="shared" ref="P3361:P3424" si="293">O3361/G3361</f>
        <v>11.000027182038114</v>
      </c>
      <c r="Q3361" s="68">
        <v>5000</v>
      </c>
      <c r="R3361" s="66">
        <v>100</v>
      </c>
      <c r="S3361" s="66" t="s">
        <v>4113</v>
      </c>
      <c r="T3361" s="22">
        <f t="shared" si="290"/>
        <v>10</v>
      </c>
      <c r="U3361" s="22">
        <f t="shared" si="291"/>
        <v>2021</v>
      </c>
      <c r="V3361" s="22" t="str">
        <f t="shared" si="292"/>
        <v>METROPOLITANA</v>
      </c>
    </row>
    <row r="3362" spans="1:22" x14ac:dyDescent="0.2">
      <c r="A3362" s="65" t="s">
        <v>4098</v>
      </c>
      <c r="B3362" s="66" t="s">
        <v>33</v>
      </c>
      <c r="C3362" s="66" t="s">
        <v>44</v>
      </c>
      <c r="D3362" s="66" t="s">
        <v>47</v>
      </c>
      <c r="E3362" s="67" t="s">
        <v>1576</v>
      </c>
      <c r="F3362" s="66" t="s">
        <v>51</v>
      </c>
      <c r="G3362" s="68">
        <v>5912.8</v>
      </c>
      <c r="H3362" s="66" t="s">
        <v>22</v>
      </c>
      <c r="I3362" s="66">
        <v>0</v>
      </c>
      <c r="J3362" s="66" t="s">
        <v>51</v>
      </c>
      <c r="K3362" s="66" t="s">
        <v>23</v>
      </c>
      <c r="L3362" s="66">
        <v>4</v>
      </c>
      <c r="M3362" s="69">
        <v>65041</v>
      </c>
      <c r="N3362" s="69">
        <v>0</v>
      </c>
      <c r="O3362" s="15">
        <f t="shared" si="289"/>
        <v>65041</v>
      </c>
      <c r="P3362" s="15">
        <f t="shared" si="293"/>
        <v>11.000033824922202</v>
      </c>
      <c r="Q3362" s="68">
        <v>5000</v>
      </c>
      <c r="R3362" s="66">
        <v>100</v>
      </c>
      <c r="S3362" s="66" t="s">
        <v>4114</v>
      </c>
      <c r="T3362" s="22">
        <f t="shared" si="290"/>
        <v>10</v>
      </c>
      <c r="U3362" s="22">
        <f t="shared" si="291"/>
        <v>2021</v>
      </c>
      <c r="V3362" s="22" t="str">
        <f t="shared" si="292"/>
        <v>METROPOLITANA</v>
      </c>
    </row>
    <row r="3363" spans="1:22" x14ac:dyDescent="0.2">
      <c r="A3363" s="65" t="s">
        <v>4098</v>
      </c>
      <c r="B3363" s="66" t="s">
        <v>33</v>
      </c>
      <c r="C3363" s="66" t="s">
        <v>44</v>
      </c>
      <c r="D3363" s="66" t="s">
        <v>164</v>
      </c>
      <c r="E3363" s="67" t="s">
        <v>28</v>
      </c>
      <c r="F3363" s="66" t="s">
        <v>59</v>
      </c>
      <c r="G3363" s="68">
        <v>9910.2000000000007</v>
      </c>
      <c r="H3363" s="66" t="s">
        <v>22</v>
      </c>
      <c r="I3363" s="66">
        <v>1</v>
      </c>
      <c r="J3363" s="66" t="s">
        <v>59</v>
      </c>
      <c r="K3363" s="66" t="s">
        <v>78</v>
      </c>
      <c r="L3363" s="66">
        <v>0</v>
      </c>
      <c r="M3363" s="69">
        <v>230000</v>
      </c>
      <c r="N3363" s="69">
        <v>0</v>
      </c>
      <c r="O3363" s="15">
        <f t="shared" si="289"/>
        <v>230000</v>
      </c>
      <c r="P3363" s="15">
        <f t="shared" si="293"/>
        <v>23.208411535589594</v>
      </c>
      <c r="Q3363" s="68">
        <v>20000</v>
      </c>
      <c r="R3363" s="66">
        <v>50</v>
      </c>
      <c r="S3363" s="66" t="s">
        <v>4115</v>
      </c>
      <c r="T3363" s="22">
        <f t="shared" si="290"/>
        <v>10</v>
      </c>
      <c r="U3363" s="22">
        <f t="shared" si="291"/>
        <v>2021</v>
      </c>
      <c r="V3363" s="22" t="str">
        <f t="shared" si="292"/>
        <v>REGIONES</v>
      </c>
    </row>
    <row r="3364" spans="1:22" x14ac:dyDescent="0.2">
      <c r="A3364" s="23" t="s">
        <v>4116</v>
      </c>
      <c r="B3364" s="22" t="s">
        <v>18</v>
      </c>
      <c r="C3364" s="22" t="s">
        <v>160</v>
      </c>
      <c r="D3364" s="22" t="s">
        <v>786</v>
      </c>
      <c r="E3364" s="24" t="s">
        <v>787</v>
      </c>
      <c r="F3364" s="22" t="s">
        <v>2554</v>
      </c>
      <c r="G3364" s="25">
        <v>22610.84</v>
      </c>
      <c r="H3364" s="22" t="s">
        <v>788</v>
      </c>
      <c r="I3364" s="22">
        <v>1</v>
      </c>
      <c r="J3364" s="22" t="s">
        <v>2554</v>
      </c>
      <c r="K3364" s="22" t="s">
        <v>23</v>
      </c>
      <c r="L3364" s="22">
        <v>5</v>
      </c>
      <c r="M3364" s="26">
        <v>120000</v>
      </c>
      <c r="N3364" s="26">
        <v>0</v>
      </c>
      <c r="O3364" s="15">
        <f t="shared" si="289"/>
        <v>120000</v>
      </c>
      <c r="P3364" s="15">
        <f t="shared" si="293"/>
        <v>5.3071889412334965</v>
      </c>
      <c r="Q3364" s="25">
        <v>10000</v>
      </c>
      <c r="R3364" s="22">
        <v>100</v>
      </c>
      <c r="S3364" s="22" t="s">
        <v>4117</v>
      </c>
      <c r="T3364" s="22">
        <f t="shared" si="290"/>
        <v>10</v>
      </c>
      <c r="U3364" s="22">
        <f t="shared" si="291"/>
        <v>2021</v>
      </c>
      <c r="V3364" s="22" t="str">
        <f t="shared" si="292"/>
        <v>METROPOLITANA</v>
      </c>
    </row>
    <row r="3365" spans="1:22" x14ac:dyDescent="0.2">
      <c r="A3365" s="23" t="s">
        <v>4116</v>
      </c>
      <c r="B3365" s="22" t="s">
        <v>18</v>
      </c>
      <c r="C3365" s="22" t="s">
        <v>4091</v>
      </c>
      <c r="D3365" s="22" t="s">
        <v>37</v>
      </c>
      <c r="E3365" s="24" t="s">
        <v>40</v>
      </c>
      <c r="F3365" s="22" t="s">
        <v>58</v>
      </c>
      <c r="G3365" s="25">
        <v>13985.42</v>
      </c>
      <c r="H3365" s="22" t="s">
        <v>22</v>
      </c>
      <c r="I3365" s="22">
        <v>0</v>
      </c>
      <c r="J3365" s="22" t="s">
        <v>58</v>
      </c>
      <c r="K3365" s="22" t="s">
        <v>23</v>
      </c>
      <c r="L3365" s="22">
        <v>5</v>
      </c>
      <c r="M3365" s="26">
        <v>70000</v>
      </c>
      <c r="N3365" s="26">
        <v>0</v>
      </c>
      <c r="O3365" s="15">
        <f t="shared" si="289"/>
        <v>70000</v>
      </c>
      <c r="P3365" s="15">
        <f t="shared" si="293"/>
        <v>5.0052125713779061</v>
      </c>
      <c r="Q3365" s="25">
        <v>10000</v>
      </c>
      <c r="R3365" s="22">
        <v>100</v>
      </c>
      <c r="S3365" s="22" t="s">
        <v>4118</v>
      </c>
      <c r="T3365" s="22">
        <f t="shared" si="290"/>
        <v>10</v>
      </c>
      <c r="U3365" s="22">
        <f t="shared" si="291"/>
        <v>2021</v>
      </c>
      <c r="V3365" s="22" t="str">
        <f t="shared" si="292"/>
        <v>METROPOLITANA</v>
      </c>
    </row>
    <row r="3366" spans="1:22" x14ac:dyDescent="0.2">
      <c r="A3366" s="23" t="s">
        <v>4116</v>
      </c>
      <c r="B3366" s="22" t="s">
        <v>18</v>
      </c>
      <c r="C3366" s="22" t="s">
        <v>163</v>
      </c>
      <c r="D3366" s="22" t="s">
        <v>63</v>
      </c>
      <c r="E3366" s="24" t="s">
        <v>64</v>
      </c>
      <c r="F3366" s="22" t="s">
        <v>165</v>
      </c>
      <c r="G3366" s="25">
        <v>11051.349999999989</v>
      </c>
      <c r="H3366" s="22" t="s">
        <v>65</v>
      </c>
      <c r="I3366" s="22">
        <v>0</v>
      </c>
      <c r="J3366" s="22" t="s">
        <v>165</v>
      </c>
      <c r="K3366" s="22" t="s">
        <v>23</v>
      </c>
      <c r="L3366" s="22">
        <v>4</v>
      </c>
      <c r="M3366" s="26">
        <v>121565</v>
      </c>
      <c r="N3366" s="26">
        <v>0</v>
      </c>
      <c r="O3366" s="15">
        <f t="shared" si="289"/>
        <v>121565</v>
      </c>
      <c r="P3366" s="15">
        <f t="shared" si="293"/>
        <v>11.000013573002404</v>
      </c>
      <c r="Q3366" s="25">
        <v>5000</v>
      </c>
      <c r="R3366" s="22">
        <v>100</v>
      </c>
      <c r="S3366" s="22" t="s">
        <v>4119</v>
      </c>
      <c r="T3366" s="22">
        <f t="shared" si="290"/>
        <v>10</v>
      </c>
      <c r="U3366" s="22">
        <f t="shared" si="291"/>
        <v>2021</v>
      </c>
      <c r="V3366" s="22" t="str">
        <f t="shared" si="292"/>
        <v>METROPOLITANA</v>
      </c>
    </row>
    <row r="3367" spans="1:22" x14ac:dyDescent="0.2">
      <c r="A3367" s="23" t="s">
        <v>4116</v>
      </c>
      <c r="B3367" s="22" t="s">
        <v>33</v>
      </c>
      <c r="C3367" s="22" t="s">
        <v>270</v>
      </c>
      <c r="D3367" s="22" t="s">
        <v>63</v>
      </c>
      <c r="E3367" s="24" t="s">
        <v>4120</v>
      </c>
      <c r="F3367" s="22" t="s">
        <v>120</v>
      </c>
      <c r="G3367" s="25">
        <v>5309.0000000000009</v>
      </c>
      <c r="H3367" s="22" t="s">
        <v>65</v>
      </c>
      <c r="I3367" s="22">
        <v>0</v>
      </c>
      <c r="J3367" s="22" t="s">
        <v>120</v>
      </c>
      <c r="K3367" s="22" t="s">
        <v>23</v>
      </c>
      <c r="L3367" s="22">
        <v>5</v>
      </c>
      <c r="M3367" s="26">
        <v>70000</v>
      </c>
      <c r="N3367" s="26">
        <v>0</v>
      </c>
      <c r="O3367" s="15">
        <f t="shared" si="289"/>
        <v>70000</v>
      </c>
      <c r="P3367" s="15">
        <f t="shared" si="293"/>
        <v>13.18515728009041</v>
      </c>
      <c r="Q3367" s="25">
        <v>10000</v>
      </c>
      <c r="R3367" s="22">
        <v>53</v>
      </c>
      <c r="S3367" s="22" t="s">
        <v>4121</v>
      </c>
      <c r="T3367" s="22">
        <f t="shared" si="290"/>
        <v>10</v>
      </c>
      <c r="U3367" s="22">
        <f t="shared" si="291"/>
        <v>2021</v>
      </c>
      <c r="V3367" s="22" t="str">
        <f t="shared" si="292"/>
        <v>METROPOLITANA</v>
      </c>
    </row>
    <row r="3368" spans="1:22" x14ac:dyDescent="0.2">
      <c r="A3368" s="23" t="s">
        <v>4116</v>
      </c>
      <c r="B3368" s="22" t="s">
        <v>33</v>
      </c>
      <c r="C3368" s="22" t="s">
        <v>270</v>
      </c>
      <c r="D3368" s="22" t="s">
        <v>883</v>
      </c>
      <c r="E3368" s="24" t="s">
        <v>42</v>
      </c>
      <c r="F3368" s="22" t="s">
        <v>120</v>
      </c>
      <c r="G3368" s="25">
        <v>9896</v>
      </c>
      <c r="H3368" s="22" t="s">
        <v>43</v>
      </c>
      <c r="I3368" s="22">
        <v>0</v>
      </c>
      <c r="J3368" s="22" t="s">
        <v>120</v>
      </c>
      <c r="K3368" s="22" t="s">
        <v>23</v>
      </c>
      <c r="L3368" s="22">
        <v>5</v>
      </c>
      <c r="M3368" s="26">
        <v>70000</v>
      </c>
      <c r="N3368" s="26">
        <v>0</v>
      </c>
      <c r="O3368" s="15">
        <f t="shared" si="289"/>
        <v>70000</v>
      </c>
      <c r="P3368" s="15">
        <f t="shared" si="293"/>
        <v>7.0735650767987064</v>
      </c>
      <c r="Q3368" s="25">
        <v>10000</v>
      </c>
      <c r="R3368" s="22">
        <v>99</v>
      </c>
      <c r="S3368" s="22" t="s">
        <v>4122</v>
      </c>
      <c r="T3368" s="22">
        <f t="shared" si="290"/>
        <v>10</v>
      </c>
      <c r="U3368" s="22">
        <f t="shared" si="291"/>
        <v>2021</v>
      </c>
      <c r="V3368" s="22" t="str">
        <f t="shared" si="292"/>
        <v>METROPOLITANA</v>
      </c>
    </row>
    <row r="3369" spans="1:22" x14ac:dyDescent="0.2">
      <c r="A3369" s="23" t="s">
        <v>4116</v>
      </c>
      <c r="B3369" s="22" t="s">
        <v>33</v>
      </c>
      <c r="C3369" s="22" t="s">
        <v>128</v>
      </c>
      <c r="D3369" s="22" t="s">
        <v>2262</v>
      </c>
      <c r="E3369" s="24" t="s">
        <v>83</v>
      </c>
      <c r="F3369" s="22" t="s">
        <v>34</v>
      </c>
      <c r="G3369" s="25">
        <v>8244.0000000000036</v>
      </c>
      <c r="H3369" s="22" t="s">
        <v>24</v>
      </c>
      <c r="I3369" s="22">
        <v>1</v>
      </c>
      <c r="J3369" s="22" t="s">
        <v>34</v>
      </c>
      <c r="K3369" s="22" t="s">
        <v>23</v>
      </c>
      <c r="L3369" s="22">
        <v>1</v>
      </c>
      <c r="M3369" s="26">
        <v>90684</v>
      </c>
      <c r="N3369" s="26">
        <v>0</v>
      </c>
      <c r="O3369" s="15">
        <f t="shared" si="289"/>
        <v>90684</v>
      </c>
      <c r="P3369" s="15">
        <f t="shared" si="293"/>
        <v>10.999999999999995</v>
      </c>
      <c r="Q3369" s="25">
        <v>5000</v>
      </c>
      <c r="R3369" s="22">
        <v>100</v>
      </c>
      <c r="S3369" s="22" t="s">
        <v>4123</v>
      </c>
      <c r="T3369" s="22">
        <f t="shared" si="290"/>
        <v>10</v>
      </c>
      <c r="U3369" s="22">
        <f t="shared" si="291"/>
        <v>2021</v>
      </c>
      <c r="V3369" s="22" t="str">
        <f t="shared" si="292"/>
        <v>METROPOLITANA</v>
      </c>
    </row>
    <row r="3370" spans="1:22" x14ac:dyDescent="0.2">
      <c r="A3370" s="23" t="s">
        <v>4116</v>
      </c>
      <c r="B3370" s="22" t="s">
        <v>33</v>
      </c>
      <c r="C3370" s="22" t="s">
        <v>128</v>
      </c>
      <c r="D3370" s="22" t="s">
        <v>2955</v>
      </c>
      <c r="E3370" s="24" t="s">
        <v>2956</v>
      </c>
      <c r="F3370" s="22" t="s">
        <v>129</v>
      </c>
      <c r="G3370" s="25">
        <v>8244.0000000000036</v>
      </c>
      <c r="H3370" s="22" t="s">
        <v>24</v>
      </c>
      <c r="I3370" s="22">
        <v>1</v>
      </c>
      <c r="J3370" s="22" t="s">
        <v>129</v>
      </c>
      <c r="K3370" s="22" t="s">
        <v>23</v>
      </c>
      <c r="L3370" s="22">
        <v>1</v>
      </c>
      <c r="M3370" s="26">
        <v>90684</v>
      </c>
      <c r="N3370" s="26">
        <v>0</v>
      </c>
      <c r="O3370" s="15">
        <f t="shared" si="289"/>
        <v>90684</v>
      </c>
      <c r="P3370" s="15">
        <f t="shared" si="293"/>
        <v>10.999999999999995</v>
      </c>
      <c r="Q3370" s="25">
        <v>5000</v>
      </c>
      <c r="R3370" s="22">
        <v>100</v>
      </c>
      <c r="S3370" s="22" t="s">
        <v>4124</v>
      </c>
      <c r="T3370" s="22">
        <f t="shared" si="290"/>
        <v>10</v>
      </c>
      <c r="U3370" s="22">
        <f t="shared" si="291"/>
        <v>2021</v>
      </c>
      <c r="V3370" s="22" t="str">
        <f t="shared" si="292"/>
        <v>METROPOLITANA</v>
      </c>
    </row>
    <row r="3371" spans="1:22" x14ac:dyDescent="0.2">
      <c r="A3371" s="23" t="s">
        <v>4116</v>
      </c>
      <c r="B3371" s="22" t="s">
        <v>33</v>
      </c>
      <c r="C3371" s="22" t="s">
        <v>2862</v>
      </c>
      <c r="D3371" s="22" t="s">
        <v>38</v>
      </c>
      <c r="E3371" s="24" t="s">
        <v>42</v>
      </c>
      <c r="F3371" s="22" t="s">
        <v>129</v>
      </c>
      <c r="G3371" s="25">
        <v>8502</v>
      </c>
      <c r="H3371" s="22" t="s">
        <v>43</v>
      </c>
      <c r="I3371" s="22">
        <v>0</v>
      </c>
      <c r="J3371" s="22" t="s">
        <v>129</v>
      </c>
      <c r="K3371" s="22" t="s">
        <v>23</v>
      </c>
      <c r="L3371" s="22">
        <v>1</v>
      </c>
      <c r="M3371" s="26">
        <v>93522</v>
      </c>
      <c r="N3371" s="26">
        <v>0</v>
      </c>
      <c r="O3371" s="15">
        <f t="shared" si="289"/>
        <v>93522</v>
      </c>
      <c r="P3371" s="15">
        <f t="shared" si="293"/>
        <v>11</v>
      </c>
      <c r="Q3371" s="25">
        <v>5000</v>
      </c>
      <c r="R3371" s="22">
        <v>100</v>
      </c>
      <c r="S3371" s="22" t="s">
        <v>4125</v>
      </c>
      <c r="T3371" s="22">
        <f t="shared" si="290"/>
        <v>10</v>
      </c>
      <c r="U3371" s="22">
        <f t="shared" si="291"/>
        <v>2021</v>
      </c>
      <c r="V3371" s="22" t="str">
        <f t="shared" si="292"/>
        <v>METROPOLITANA</v>
      </c>
    </row>
    <row r="3372" spans="1:22" x14ac:dyDescent="0.2">
      <c r="A3372" s="23" t="s">
        <v>4116</v>
      </c>
      <c r="B3372" s="22" t="s">
        <v>33</v>
      </c>
      <c r="C3372" s="22" t="s">
        <v>29</v>
      </c>
      <c r="D3372" s="22" t="s">
        <v>37</v>
      </c>
      <c r="E3372" s="24" t="s">
        <v>40</v>
      </c>
      <c r="F3372" s="22" t="s">
        <v>39</v>
      </c>
      <c r="G3372" s="25">
        <v>13932.150000000011</v>
      </c>
      <c r="H3372" s="22" t="s">
        <v>22</v>
      </c>
      <c r="I3372" s="22">
        <v>0</v>
      </c>
      <c r="J3372" s="22" t="s">
        <v>39</v>
      </c>
      <c r="K3372" s="22" t="s">
        <v>23</v>
      </c>
      <c r="L3372" s="22">
        <v>1</v>
      </c>
      <c r="M3372" s="26">
        <v>153254</v>
      </c>
      <c r="N3372" s="26">
        <v>0</v>
      </c>
      <c r="O3372" s="15">
        <f t="shared" si="289"/>
        <v>153254</v>
      </c>
      <c r="P3372" s="15">
        <f t="shared" si="293"/>
        <v>11.000025121750763</v>
      </c>
      <c r="Q3372" s="25">
        <v>5000</v>
      </c>
      <c r="R3372" s="22">
        <v>100</v>
      </c>
      <c r="S3372" s="22" t="s">
        <v>4126</v>
      </c>
      <c r="T3372" s="22">
        <f t="shared" si="290"/>
        <v>10</v>
      </c>
      <c r="U3372" s="22">
        <f t="shared" si="291"/>
        <v>2021</v>
      </c>
      <c r="V3372" s="22" t="str">
        <f t="shared" si="292"/>
        <v>METROPOLITANA</v>
      </c>
    </row>
    <row r="3373" spans="1:22" x14ac:dyDescent="0.2">
      <c r="A3373" s="23" t="s">
        <v>4116</v>
      </c>
      <c r="B3373" s="22" t="s">
        <v>33</v>
      </c>
      <c r="C3373" s="22" t="s">
        <v>44</v>
      </c>
      <c r="D3373" s="22" t="s">
        <v>37</v>
      </c>
      <c r="E3373" s="24" t="s">
        <v>40</v>
      </c>
      <c r="F3373" s="22" t="s">
        <v>182</v>
      </c>
      <c r="G3373" s="25">
        <v>7233.2999999999984</v>
      </c>
      <c r="H3373" s="22" t="s">
        <v>22</v>
      </c>
      <c r="I3373" s="22">
        <v>0</v>
      </c>
      <c r="J3373" s="22" t="s">
        <v>182</v>
      </c>
      <c r="K3373" s="22" t="s">
        <v>23</v>
      </c>
      <c r="L3373" s="22">
        <v>4</v>
      </c>
      <c r="M3373" s="26">
        <v>79566</v>
      </c>
      <c r="N3373" s="26">
        <v>0</v>
      </c>
      <c r="O3373" s="15">
        <f t="shared" si="289"/>
        <v>79566</v>
      </c>
      <c r="P3373" s="15">
        <f t="shared" si="293"/>
        <v>10.999958525154497</v>
      </c>
      <c r="Q3373" s="25">
        <v>5000</v>
      </c>
      <c r="R3373" s="22">
        <v>100</v>
      </c>
      <c r="S3373" s="22" t="s">
        <v>4127</v>
      </c>
      <c r="T3373" s="22">
        <f t="shared" si="290"/>
        <v>10</v>
      </c>
      <c r="U3373" s="22">
        <f t="shared" si="291"/>
        <v>2021</v>
      </c>
      <c r="V3373" s="22" t="str">
        <f t="shared" si="292"/>
        <v>METROPOLITANA</v>
      </c>
    </row>
    <row r="3374" spans="1:22" x14ac:dyDescent="0.2">
      <c r="A3374" s="23" t="s">
        <v>4116</v>
      </c>
      <c r="B3374" s="22" t="s">
        <v>33</v>
      </c>
      <c r="C3374" s="22" t="s">
        <v>44</v>
      </c>
      <c r="D3374" s="22" t="s">
        <v>4128</v>
      </c>
      <c r="E3374" s="24" t="s">
        <v>4129</v>
      </c>
      <c r="F3374" s="22" t="s">
        <v>66</v>
      </c>
      <c r="G3374" s="25">
        <f>8534.5+3585</f>
        <v>12119.5</v>
      </c>
      <c r="H3374" s="22" t="s">
        <v>24</v>
      </c>
      <c r="I3374" s="22">
        <v>1</v>
      </c>
      <c r="J3374" s="22" t="s">
        <v>66</v>
      </c>
      <c r="K3374" s="22" t="s">
        <v>75</v>
      </c>
      <c r="L3374" s="22">
        <v>0</v>
      </c>
      <c r="M3374" s="26">
        <v>380000</v>
      </c>
      <c r="N3374" s="26">
        <v>0</v>
      </c>
      <c r="O3374" s="15">
        <f t="shared" si="289"/>
        <v>380000</v>
      </c>
      <c r="P3374" s="15">
        <f t="shared" si="293"/>
        <v>31.354428813069845</v>
      </c>
      <c r="Q3374" s="25">
        <v>20000</v>
      </c>
      <c r="R3374" s="22">
        <v>65</v>
      </c>
      <c r="S3374" s="22" t="s">
        <v>4132</v>
      </c>
      <c r="T3374" s="22">
        <f t="shared" si="290"/>
        <v>10</v>
      </c>
      <c r="U3374" s="22">
        <f t="shared" si="291"/>
        <v>2021</v>
      </c>
      <c r="V3374" s="22" t="str">
        <f t="shared" si="292"/>
        <v>REGIONES</v>
      </c>
    </row>
    <row r="3375" spans="1:22" x14ac:dyDescent="0.2">
      <c r="A3375" s="23" t="s">
        <v>4116</v>
      </c>
      <c r="B3375" s="22" t="s">
        <v>33</v>
      </c>
      <c r="C3375" s="22" t="s">
        <v>44</v>
      </c>
      <c r="D3375" s="22" t="s">
        <v>30</v>
      </c>
      <c r="E3375" s="24" t="s">
        <v>31</v>
      </c>
      <c r="F3375" s="22" t="s">
        <v>251</v>
      </c>
      <c r="G3375" s="25">
        <v>6450.5999999999995</v>
      </c>
      <c r="H3375" s="22" t="s">
        <v>32</v>
      </c>
      <c r="I3375" s="22">
        <v>0</v>
      </c>
      <c r="J3375" s="22" t="s">
        <v>251</v>
      </c>
      <c r="K3375" s="22" t="s">
        <v>78</v>
      </c>
      <c r="L3375" s="22">
        <v>0</v>
      </c>
      <c r="M3375" s="26">
        <v>180000</v>
      </c>
      <c r="N3375" s="26">
        <v>0</v>
      </c>
      <c r="O3375" s="15">
        <f t="shared" si="289"/>
        <v>180000</v>
      </c>
      <c r="P3375" s="15">
        <f t="shared" si="293"/>
        <v>27.904380987815088</v>
      </c>
      <c r="Q3375" s="25">
        <v>20000</v>
      </c>
      <c r="R3375" s="22">
        <v>32</v>
      </c>
      <c r="S3375" s="22" t="s">
        <v>4130</v>
      </c>
      <c r="T3375" s="22">
        <f t="shared" si="290"/>
        <v>10</v>
      </c>
      <c r="U3375" s="22">
        <f t="shared" si="291"/>
        <v>2021</v>
      </c>
      <c r="V3375" s="22" t="str">
        <f t="shared" si="292"/>
        <v>REGIONES</v>
      </c>
    </row>
    <row r="3376" spans="1:22" x14ac:dyDescent="0.2">
      <c r="A3376" s="23" t="s">
        <v>4116</v>
      </c>
      <c r="B3376" s="22" t="s">
        <v>33</v>
      </c>
      <c r="C3376" s="22" t="s">
        <v>44</v>
      </c>
      <c r="D3376" s="22" t="s">
        <v>47</v>
      </c>
      <c r="E3376" s="24" t="s">
        <v>1576</v>
      </c>
      <c r="F3376" s="22" t="s">
        <v>48</v>
      </c>
      <c r="G3376" s="25">
        <v>10804.2</v>
      </c>
      <c r="H3376" s="22" t="s">
        <v>22</v>
      </c>
      <c r="I3376" s="22">
        <v>0</v>
      </c>
      <c r="J3376" s="22" t="s">
        <v>48</v>
      </c>
      <c r="K3376" s="22" t="s">
        <v>23</v>
      </c>
      <c r="L3376" s="22">
        <v>1</v>
      </c>
      <c r="M3376" s="26">
        <v>118846</v>
      </c>
      <c r="N3376" s="26">
        <v>0</v>
      </c>
      <c r="O3376" s="15">
        <f t="shared" si="289"/>
        <v>118846</v>
      </c>
      <c r="P3376" s="15">
        <f t="shared" si="293"/>
        <v>10.999981488680326</v>
      </c>
      <c r="Q3376" s="25">
        <v>5000</v>
      </c>
      <c r="R3376" s="22">
        <v>100</v>
      </c>
      <c r="S3376" s="22" t="s">
        <v>4131</v>
      </c>
      <c r="T3376" s="22">
        <f t="shared" si="290"/>
        <v>10</v>
      </c>
      <c r="U3376" s="22">
        <f t="shared" si="291"/>
        <v>2021</v>
      </c>
      <c r="V3376" s="22" t="str">
        <f t="shared" si="292"/>
        <v>METROPOLITANA</v>
      </c>
    </row>
    <row r="3377" spans="1:22" x14ac:dyDescent="0.2">
      <c r="A3377" s="65" t="s">
        <v>4133</v>
      </c>
      <c r="B3377" s="66" t="s">
        <v>18</v>
      </c>
      <c r="C3377" s="66" t="s">
        <v>457</v>
      </c>
      <c r="D3377" s="66" t="s">
        <v>2825</v>
      </c>
      <c r="E3377" s="67" t="s">
        <v>639</v>
      </c>
      <c r="F3377" s="66" t="s">
        <v>195</v>
      </c>
      <c r="G3377" s="68">
        <v>8289</v>
      </c>
      <c r="H3377" s="66" t="s">
        <v>24</v>
      </c>
      <c r="I3377" s="66">
        <v>1</v>
      </c>
      <c r="J3377" s="66" t="s">
        <v>195</v>
      </c>
      <c r="K3377" s="66" t="s">
        <v>124</v>
      </c>
      <c r="L3377" s="66">
        <v>0</v>
      </c>
      <c r="M3377" s="69">
        <v>350000</v>
      </c>
      <c r="N3377" s="69">
        <v>0</v>
      </c>
      <c r="O3377" s="15">
        <f t="shared" si="289"/>
        <v>350000</v>
      </c>
      <c r="P3377" s="15">
        <f t="shared" si="293"/>
        <v>42.224635058511282</v>
      </c>
      <c r="Q3377" s="68">
        <v>20000</v>
      </c>
      <c r="R3377" s="66">
        <v>41</v>
      </c>
      <c r="S3377" s="66" t="s">
        <v>4134</v>
      </c>
      <c r="T3377" s="22">
        <f t="shared" si="290"/>
        <v>10</v>
      </c>
      <c r="U3377" s="22">
        <f t="shared" si="291"/>
        <v>2021</v>
      </c>
      <c r="V3377" s="22" t="str">
        <f t="shared" si="292"/>
        <v>REGIONES</v>
      </c>
    </row>
    <row r="3378" spans="1:22" x14ac:dyDescent="0.2">
      <c r="A3378" s="65" t="s">
        <v>4133</v>
      </c>
      <c r="B3378" s="66" t="s">
        <v>18</v>
      </c>
      <c r="C3378" s="66" t="s">
        <v>160</v>
      </c>
      <c r="D3378" s="66" t="s">
        <v>20</v>
      </c>
      <c r="E3378" s="67" t="s">
        <v>21</v>
      </c>
      <c r="F3378" s="66" t="s">
        <v>2554</v>
      </c>
      <c r="G3378" s="68">
        <v>3947.2199999999989</v>
      </c>
      <c r="H3378" s="66" t="s">
        <v>22</v>
      </c>
      <c r="I3378" s="66">
        <v>0</v>
      </c>
      <c r="J3378" s="66" t="s">
        <v>2554</v>
      </c>
      <c r="K3378" s="66" t="s">
        <v>23</v>
      </c>
      <c r="L3378" s="66">
        <v>5</v>
      </c>
      <c r="M3378" s="69">
        <v>70000</v>
      </c>
      <c r="N3378" s="69">
        <v>0</v>
      </c>
      <c r="O3378" s="15">
        <f t="shared" si="289"/>
        <v>70000</v>
      </c>
      <c r="P3378" s="15">
        <f t="shared" si="293"/>
        <v>17.734000131738291</v>
      </c>
      <c r="Q3378" s="68">
        <v>10000</v>
      </c>
      <c r="R3378" s="66">
        <v>39</v>
      </c>
      <c r="S3378" s="66" t="s">
        <v>4135</v>
      </c>
      <c r="T3378" s="22">
        <f t="shared" si="290"/>
        <v>10</v>
      </c>
      <c r="U3378" s="22">
        <f t="shared" si="291"/>
        <v>2021</v>
      </c>
      <c r="V3378" s="22" t="str">
        <f t="shared" si="292"/>
        <v>METROPOLITANA</v>
      </c>
    </row>
    <row r="3379" spans="1:22" x14ac:dyDescent="0.2">
      <c r="A3379" s="65" t="s">
        <v>4133</v>
      </c>
      <c r="B3379" s="66" t="s">
        <v>18</v>
      </c>
      <c r="C3379" s="66" t="s">
        <v>4091</v>
      </c>
      <c r="D3379" s="66" t="s">
        <v>37</v>
      </c>
      <c r="E3379" s="67" t="s">
        <v>40</v>
      </c>
      <c r="F3379" s="66" t="s">
        <v>58</v>
      </c>
      <c r="G3379" s="68">
        <v>15934.14</v>
      </c>
      <c r="H3379" s="66" t="s">
        <v>22</v>
      </c>
      <c r="I3379" s="66">
        <v>0</v>
      </c>
      <c r="J3379" s="66" t="s">
        <v>58</v>
      </c>
      <c r="K3379" s="66" t="s">
        <v>23</v>
      </c>
      <c r="L3379" s="66">
        <v>5</v>
      </c>
      <c r="M3379" s="69">
        <v>70000</v>
      </c>
      <c r="N3379" s="69">
        <v>0</v>
      </c>
      <c r="O3379" s="15">
        <f t="shared" si="289"/>
        <v>70000</v>
      </c>
      <c r="P3379" s="15">
        <f t="shared" si="293"/>
        <v>4.3930830280140629</v>
      </c>
      <c r="Q3379" s="68">
        <v>10000</v>
      </c>
      <c r="R3379" s="66">
        <v>100</v>
      </c>
      <c r="S3379" s="66" t="s">
        <v>4136</v>
      </c>
      <c r="T3379" s="22">
        <f t="shared" si="290"/>
        <v>10</v>
      </c>
      <c r="U3379" s="22">
        <f t="shared" si="291"/>
        <v>2021</v>
      </c>
      <c r="V3379" s="22" t="str">
        <f t="shared" si="292"/>
        <v>METROPOLITANA</v>
      </c>
    </row>
    <row r="3380" spans="1:22" x14ac:dyDescent="0.2">
      <c r="A3380" s="65" t="s">
        <v>4133</v>
      </c>
      <c r="B3380" s="66" t="s">
        <v>18</v>
      </c>
      <c r="C3380" s="66" t="s">
        <v>4091</v>
      </c>
      <c r="D3380" s="66" t="s">
        <v>30</v>
      </c>
      <c r="E3380" s="67" t="s">
        <v>31</v>
      </c>
      <c r="F3380" s="66" t="s">
        <v>58</v>
      </c>
      <c r="G3380" s="68">
        <v>16562</v>
      </c>
      <c r="H3380" s="66" t="s">
        <v>32</v>
      </c>
      <c r="I3380" s="66">
        <v>0</v>
      </c>
      <c r="J3380" s="66" t="s">
        <v>58</v>
      </c>
      <c r="K3380" s="66" t="s">
        <v>23</v>
      </c>
      <c r="L3380" s="66">
        <v>5</v>
      </c>
      <c r="M3380" s="69">
        <v>70000</v>
      </c>
      <c r="N3380" s="69">
        <v>0</v>
      </c>
      <c r="O3380" s="15">
        <f t="shared" si="289"/>
        <v>70000</v>
      </c>
      <c r="P3380" s="15">
        <f t="shared" si="293"/>
        <v>4.2265426880811496</v>
      </c>
      <c r="Q3380" s="68">
        <v>10000</v>
      </c>
      <c r="R3380" s="66">
        <v>100</v>
      </c>
      <c r="S3380" s="66" t="s">
        <v>4137</v>
      </c>
      <c r="T3380" s="22">
        <f t="shared" si="290"/>
        <v>10</v>
      </c>
      <c r="U3380" s="22">
        <f t="shared" si="291"/>
        <v>2021</v>
      </c>
      <c r="V3380" s="22" t="str">
        <f t="shared" si="292"/>
        <v>METROPOLITANA</v>
      </c>
    </row>
    <row r="3381" spans="1:22" x14ac:dyDescent="0.2">
      <c r="A3381" s="65" t="s">
        <v>4133</v>
      </c>
      <c r="B3381" s="66" t="s">
        <v>18</v>
      </c>
      <c r="C3381" s="66" t="s">
        <v>163</v>
      </c>
      <c r="D3381" s="66" t="s">
        <v>63</v>
      </c>
      <c r="E3381" s="67" t="s">
        <v>64</v>
      </c>
      <c r="F3381" s="66" t="s">
        <v>165</v>
      </c>
      <c r="G3381" s="68">
        <v>8957.409999999998</v>
      </c>
      <c r="H3381" s="66" t="s">
        <v>65</v>
      </c>
      <c r="I3381" s="66">
        <v>0</v>
      </c>
      <c r="J3381" s="66" t="s">
        <v>165</v>
      </c>
      <c r="K3381" s="66" t="s">
        <v>23</v>
      </c>
      <c r="L3381" s="66">
        <v>4</v>
      </c>
      <c r="M3381" s="69">
        <v>98532</v>
      </c>
      <c r="N3381" s="69">
        <v>0</v>
      </c>
      <c r="O3381" s="15">
        <f t="shared" si="289"/>
        <v>98532</v>
      </c>
      <c r="P3381" s="15">
        <f t="shared" si="293"/>
        <v>11.000054703312678</v>
      </c>
      <c r="Q3381" s="68">
        <v>5000</v>
      </c>
      <c r="R3381" s="66">
        <v>100</v>
      </c>
      <c r="S3381" s="66" t="s">
        <v>4138</v>
      </c>
      <c r="T3381" s="22">
        <f t="shared" si="290"/>
        <v>10</v>
      </c>
      <c r="U3381" s="22">
        <f t="shared" si="291"/>
        <v>2021</v>
      </c>
      <c r="V3381" s="22" t="str">
        <f t="shared" si="292"/>
        <v>METROPOLITANA</v>
      </c>
    </row>
    <row r="3382" spans="1:22" x14ac:dyDescent="0.2">
      <c r="A3382" s="65" t="s">
        <v>4133</v>
      </c>
      <c r="B3382" s="66" t="s">
        <v>33</v>
      </c>
      <c r="C3382" s="66" t="s">
        <v>128</v>
      </c>
      <c r="D3382" s="66" t="s">
        <v>191</v>
      </c>
      <c r="E3382" s="67" t="s">
        <v>192</v>
      </c>
      <c r="F3382" s="66" t="s">
        <v>66</v>
      </c>
      <c r="G3382" s="68">
        <v>8244.0000000000036</v>
      </c>
      <c r="H3382" s="66" t="s">
        <v>85</v>
      </c>
      <c r="I3382" s="66">
        <v>1</v>
      </c>
      <c r="J3382" s="66" t="s">
        <v>66</v>
      </c>
      <c r="K3382" s="66" t="s">
        <v>75</v>
      </c>
      <c r="L3382" s="66">
        <v>0</v>
      </c>
      <c r="M3382" s="69">
        <v>380000</v>
      </c>
      <c r="N3382" s="69">
        <v>0</v>
      </c>
      <c r="O3382" s="15">
        <f t="shared" si="289"/>
        <v>380000</v>
      </c>
      <c r="P3382" s="15">
        <f t="shared" si="293"/>
        <v>46.094129063561354</v>
      </c>
      <c r="Q3382" s="68">
        <v>20000</v>
      </c>
      <c r="R3382" s="66">
        <v>41</v>
      </c>
      <c r="S3382" s="66" t="s">
        <v>4139</v>
      </c>
      <c r="T3382" s="22">
        <f t="shared" si="290"/>
        <v>10</v>
      </c>
      <c r="U3382" s="22">
        <f t="shared" si="291"/>
        <v>2021</v>
      </c>
      <c r="V3382" s="22" t="str">
        <f t="shared" si="292"/>
        <v>REGIONES</v>
      </c>
    </row>
    <row r="3383" spans="1:22" x14ac:dyDescent="0.2">
      <c r="A3383" s="65" t="s">
        <v>4133</v>
      </c>
      <c r="B3383" s="66" t="s">
        <v>33</v>
      </c>
      <c r="C3383" s="66" t="s">
        <v>417</v>
      </c>
      <c r="D3383" s="66" t="s">
        <v>2028</v>
      </c>
      <c r="E3383" s="67" t="s">
        <v>126</v>
      </c>
      <c r="F3383" s="66" t="s">
        <v>418</v>
      </c>
      <c r="G3383" s="68">
        <v>7464.9500000000025</v>
      </c>
      <c r="H3383" s="66" t="s">
        <v>22</v>
      </c>
      <c r="I3383" s="66">
        <v>1</v>
      </c>
      <c r="J3383" s="66" t="s">
        <v>418</v>
      </c>
      <c r="K3383" s="66" t="s">
        <v>171</v>
      </c>
      <c r="L3383" s="66">
        <v>0</v>
      </c>
      <c r="M3383" s="69">
        <v>230000</v>
      </c>
      <c r="N3383" s="69">
        <v>0</v>
      </c>
      <c r="O3383" s="15">
        <f t="shared" si="289"/>
        <v>230000</v>
      </c>
      <c r="P3383" s="15">
        <f t="shared" si="293"/>
        <v>30.810655128299576</v>
      </c>
      <c r="Q3383" s="68">
        <v>20000</v>
      </c>
      <c r="R3383" s="66">
        <v>37</v>
      </c>
      <c r="S3383" s="66" t="s">
        <v>4140</v>
      </c>
      <c r="T3383" s="22">
        <f t="shared" si="290"/>
        <v>10</v>
      </c>
      <c r="U3383" s="22">
        <f t="shared" si="291"/>
        <v>2021</v>
      </c>
      <c r="V3383" s="22" t="str">
        <f t="shared" si="292"/>
        <v>REGIONES</v>
      </c>
    </row>
    <row r="3384" spans="1:22" x14ac:dyDescent="0.2">
      <c r="A3384" s="65" t="s">
        <v>4133</v>
      </c>
      <c r="B3384" s="66" t="s">
        <v>33</v>
      </c>
      <c r="C3384" s="66" t="s">
        <v>223</v>
      </c>
      <c r="D3384" s="66" t="s">
        <v>47</v>
      </c>
      <c r="E3384" s="67" t="s">
        <v>52</v>
      </c>
      <c r="F3384" s="66" t="s">
        <v>51</v>
      </c>
      <c r="G3384" s="68">
        <v>5433.3</v>
      </c>
      <c r="H3384" s="66" t="s">
        <v>22</v>
      </c>
      <c r="I3384" s="66">
        <v>0</v>
      </c>
      <c r="J3384" s="66" t="s">
        <v>51</v>
      </c>
      <c r="K3384" s="66" t="s">
        <v>23</v>
      </c>
      <c r="L3384" s="66">
        <v>4</v>
      </c>
      <c r="M3384" s="69">
        <v>59766</v>
      </c>
      <c r="N3384" s="69">
        <v>0</v>
      </c>
      <c r="O3384" s="15">
        <f t="shared" si="289"/>
        <v>59766</v>
      </c>
      <c r="P3384" s="15">
        <f t="shared" si="293"/>
        <v>10.99994478493733</v>
      </c>
      <c r="Q3384" s="68">
        <v>5000</v>
      </c>
      <c r="R3384" s="66">
        <v>100</v>
      </c>
      <c r="S3384" s="66" t="s">
        <v>4141</v>
      </c>
      <c r="T3384" s="22">
        <f t="shared" si="290"/>
        <v>10</v>
      </c>
      <c r="U3384" s="22">
        <f t="shared" si="291"/>
        <v>2021</v>
      </c>
      <c r="V3384" s="22" t="str">
        <f t="shared" si="292"/>
        <v>METROPOLITANA</v>
      </c>
    </row>
    <row r="3385" spans="1:22" x14ac:dyDescent="0.2">
      <c r="A3385" s="65" t="s">
        <v>4133</v>
      </c>
      <c r="B3385" s="66" t="s">
        <v>33</v>
      </c>
      <c r="C3385" s="66" t="s">
        <v>29</v>
      </c>
      <c r="D3385" s="66" t="s">
        <v>38</v>
      </c>
      <c r="E3385" s="67" t="s">
        <v>25</v>
      </c>
      <c r="F3385" s="66" t="s">
        <v>39</v>
      </c>
      <c r="G3385" s="68">
        <v>2748</v>
      </c>
      <c r="H3385" s="66" t="s">
        <v>43</v>
      </c>
      <c r="I3385" s="66">
        <v>0</v>
      </c>
      <c r="J3385" s="66" t="s">
        <v>39</v>
      </c>
      <c r="K3385" s="66" t="s">
        <v>23</v>
      </c>
      <c r="L3385" s="66">
        <v>1</v>
      </c>
      <c r="M3385" s="69">
        <v>55000</v>
      </c>
      <c r="N3385" s="69">
        <v>0</v>
      </c>
      <c r="O3385" s="15">
        <f t="shared" si="289"/>
        <v>55000</v>
      </c>
      <c r="P3385" s="15">
        <f t="shared" si="293"/>
        <v>20.014556040756915</v>
      </c>
      <c r="Q3385" s="68">
        <v>5000</v>
      </c>
      <c r="R3385" s="66">
        <v>55</v>
      </c>
      <c r="S3385" s="66" t="s">
        <v>4142</v>
      </c>
      <c r="T3385" s="22">
        <f t="shared" si="290"/>
        <v>10</v>
      </c>
      <c r="U3385" s="22">
        <f t="shared" si="291"/>
        <v>2021</v>
      </c>
      <c r="V3385" s="22" t="str">
        <f t="shared" si="292"/>
        <v>METROPOLITANA</v>
      </c>
    </row>
    <row r="3386" spans="1:22" x14ac:dyDescent="0.2">
      <c r="A3386" s="65" t="s">
        <v>4133</v>
      </c>
      <c r="B3386" s="66" t="s">
        <v>33</v>
      </c>
      <c r="C3386" s="66" t="s">
        <v>29</v>
      </c>
      <c r="D3386" s="66" t="s">
        <v>37</v>
      </c>
      <c r="E3386" s="67" t="s">
        <v>40</v>
      </c>
      <c r="F3386" s="66" t="s">
        <v>39</v>
      </c>
      <c r="G3386" s="68">
        <v>2748</v>
      </c>
      <c r="H3386" s="66" t="s">
        <v>22</v>
      </c>
      <c r="I3386" s="66">
        <v>0</v>
      </c>
      <c r="J3386" s="66" t="s">
        <v>39</v>
      </c>
      <c r="K3386" s="66" t="s">
        <v>23</v>
      </c>
      <c r="L3386" s="66">
        <v>1</v>
      </c>
      <c r="M3386" s="69">
        <v>55000</v>
      </c>
      <c r="N3386" s="69">
        <v>0</v>
      </c>
      <c r="O3386" s="15">
        <f t="shared" si="289"/>
        <v>55000</v>
      </c>
      <c r="P3386" s="15">
        <f t="shared" si="293"/>
        <v>20.014556040756915</v>
      </c>
      <c r="Q3386" s="68">
        <v>5000</v>
      </c>
      <c r="R3386" s="66">
        <v>55</v>
      </c>
      <c r="S3386" s="66" t="s">
        <v>4143</v>
      </c>
      <c r="T3386" s="22">
        <f t="shared" si="290"/>
        <v>10</v>
      </c>
      <c r="U3386" s="22">
        <f t="shared" si="291"/>
        <v>2021</v>
      </c>
      <c r="V3386" s="22" t="str">
        <f t="shared" si="292"/>
        <v>METROPOLITANA</v>
      </c>
    </row>
    <row r="3387" spans="1:22" x14ac:dyDescent="0.2">
      <c r="A3387" s="65" t="s">
        <v>4133</v>
      </c>
      <c r="B3387" s="66" t="s">
        <v>33</v>
      </c>
      <c r="C3387" s="66" t="s">
        <v>29</v>
      </c>
      <c r="D3387" s="66" t="s">
        <v>164</v>
      </c>
      <c r="E3387" s="67" t="s">
        <v>28</v>
      </c>
      <c r="F3387" s="66" t="s">
        <v>39</v>
      </c>
      <c r="G3387" s="68">
        <v>8244.0000000000036</v>
      </c>
      <c r="H3387" s="66" t="s">
        <v>22</v>
      </c>
      <c r="I3387" s="66">
        <v>1</v>
      </c>
      <c r="J3387" s="66" t="s">
        <v>39</v>
      </c>
      <c r="K3387" s="66" t="s">
        <v>23</v>
      </c>
      <c r="L3387" s="66">
        <v>1</v>
      </c>
      <c r="M3387" s="69">
        <v>90684</v>
      </c>
      <c r="N3387" s="69">
        <v>0</v>
      </c>
      <c r="O3387" s="15">
        <f t="shared" si="289"/>
        <v>90684</v>
      </c>
      <c r="P3387" s="15">
        <f t="shared" si="293"/>
        <v>10.999999999999995</v>
      </c>
      <c r="Q3387" s="68">
        <v>5000</v>
      </c>
      <c r="R3387" s="66">
        <v>100</v>
      </c>
      <c r="S3387" s="66" t="s">
        <v>4144</v>
      </c>
      <c r="T3387" s="22">
        <f t="shared" si="290"/>
        <v>10</v>
      </c>
      <c r="U3387" s="22">
        <f t="shared" si="291"/>
        <v>2021</v>
      </c>
      <c r="V3387" s="22" t="str">
        <f t="shared" si="292"/>
        <v>METROPOLITANA</v>
      </c>
    </row>
    <row r="3388" spans="1:22" x14ac:dyDescent="0.2">
      <c r="A3388" s="65" t="s">
        <v>4133</v>
      </c>
      <c r="B3388" s="66" t="s">
        <v>33</v>
      </c>
      <c r="C3388" s="66" t="s">
        <v>44</v>
      </c>
      <c r="D3388" s="66" t="s">
        <v>4145</v>
      </c>
      <c r="E3388" s="67" t="s">
        <v>131</v>
      </c>
      <c r="F3388" s="66" t="s">
        <v>815</v>
      </c>
      <c r="G3388" s="68">
        <v>8244.0000000000036</v>
      </c>
      <c r="H3388" s="66" t="s">
        <v>24</v>
      </c>
      <c r="I3388" s="66">
        <v>1</v>
      </c>
      <c r="J3388" s="66" t="s">
        <v>815</v>
      </c>
      <c r="K3388" s="66" t="s">
        <v>75</v>
      </c>
      <c r="L3388" s="66">
        <v>0</v>
      </c>
      <c r="M3388" s="69">
        <v>420000</v>
      </c>
      <c r="N3388" s="69">
        <v>0</v>
      </c>
      <c r="O3388" s="15">
        <f t="shared" si="289"/>
        <v>420000</v>
      </c>
      <c r="P3388" s="15">
        <f t="shared" si="293"/>
        <v>50.946142649199395</v>
      </c>
      <c r="Q3388" s="68">
        <v>20000</v>
      </c>
      <c r="R3388" s="66">
        <v>41</v>
      </c>
      <c r="S3388" s="66" t="s">
        <v>4146</v>
      </c>
      <c r="T3388" s="22">
        <f t="shared" si="290"/>
        <v>10</v>
      </c>
      <c r="U3388" s="22">
        <f t="shared" si="291"/>
        <v>2021</v>
      </c>
      <c r="V3388" s="22" t="str">
        <f t="shared" si="292"/>
        <v>REGIONES</v>
      </c>
    </row>
    <row r="3389" spans="1:22" x14ac:dyDescent="0.2">
      <c r="A3389" s="23" t="s">
        <v>4147</v>
      </c>
      <c r="B3389" s="22" t="s">
        <v>18</v>
      </c>
      <c r="C3389" s="22" t="s">
        <v>57</v>
      </c>
      <c r="D3389" s="22" t="s">
        <v>125</v>
      </c>
      <c r="E3389" s="24" t="s">
        <v>126</v>
      </c>
      <c r="F3389" s="22" t="s">
        <v>3835</v>
      </c>
      <c r="G3389" s="25">
        <v>23773.439999999999</v>
      </c>
      <c r="H3389" s="22" t="s">
        <v>174</v>
      </c>
      <c r="I3389" s="22">
        <v>0</v>
      </c>
      <c r="J3389" s="22" t="s">
        <v>3835</v>
      </c>
      <c r="K3389" s="22" t="s">
        <v>171</v>
      </c>
      <c r="L3389" s="22">
        <v>0</v>
      </c>
      <c r="M3389" s="26">
        <v>180000</v>
      </c>
      <c r="N3389" s="26">
        <v>0</v>
      </c>
      <c r="O3389" s="15">
        <f t="shared" ref="O3389:O3397" si="294">SUM(M3389:N3389)</f>
        <v>180000</v>
      </c>
      <c r="P3389" s="15">
        <f t="shared" si="293"/>
        <v>7.5714747213697304</v>
      </c>
      <c r="Q3389" s="25">
        <v>20000</v>
      </c>
      <c r="R3389" s="22">
        <v>100</v>
      </c>
      <c r="S3389" s="22" t="s">
        <v>4148</v>
      </c>
      <c r="T3389" s="22">
        <f t="shared" si="290"/>
        <v>10</v>
      </c>
      <c r="U3389" s="22">
        <f t="shared" si="291"/>
        <v>2021</v>
      </c>
      <c r="V3389" s="22" t="str">
        <f t="shared" si="292"/>
        <v>REGIONES</v>
      </c>
    </row>
    <row r="3390" spans="1:22" x14ac:dyDescent="0.2">
      <c r="A3390" s="23" t="s">
        <v>4147</v>
      </c>
      <c r="B3390" s="22" t="s">
        <v>18</v>
      </c>
      <c r="C3390" s="22" t="s">
        <v>4091</v>
      </c>
      <c r="D3390" s="22" t="s">
        <v>37</v>
      </c>
      <c r="E3390" s="24" t="s">
        <v>40</v>
      </c>
      <c r="F3390" s="22" t="s">
        <v>58</v>
      </c>
      <c r="G3390" s="25">
        <v>8971.7199999999993</v>
      </c>
      <c r="H3390" s="22" t="s">
        <v>22</v>
      </c>
      <c r="I3390" s="22">
        <v>0</v>
      </c>
      <c r="J3390" s="22" t="s">
        <v>58</v>
      </c>
      <c r="K3390" s="22" t="s">
        <v>23</v>
      </c>
      <c r="L3390" s="22">
        <v>5</v>
      </c>
      <c r="M3390" s="26">
        <v>70000</v>
      </c>
      <c r="N3390" s="26">
        <v>0</v>
      </c>
      <c r="O3390" s="15">
        <f t="shared" si="294"/>
        <v>70000</v>
      </c>
      <c r="P3390" s="15">
        <f t="shared" si="293"/>
        <v>7.802294320375581</v>
      </c>
      <c r="Q3390" s="25">
        <v>10000</v>
      </c>
      <c r="R3390" s="22">
        <v>90</v>
      </c>
      <c r="S3390" s="22" t="s">
        <v>4149</v>
      </c>
      <c r="T3390" s="22">
        <f t="shared" si="290"/>
        <v>10</v>
      </c>
      <c r="U3390" s="22">
        <f t="shared" si="291"/>
        <v>2021</v>
      </c>
      <c r="V3390" s="22" t="str">
        <f t="shared" si="292"/>
        <v>METROPOLITANA</v>
      </c>
    </row>
    <row r="3391" spans="1:22" x14ac:dyDescent="0.2">
      <c r="A3391" s="23" t="s">
        <v>4147</v>
      </c>
      <c r="B3391" s="22" t="s">
        <v>18</v>
      </c>
      <c r="C3391" s="22" t="s">
        <v>4091</v>
      </c>
      <c r="D3391" s="22" t="s">
        <v>4150</v>
      </c>
      <c r="E3391" s="24" t="s">
        <v>31</v>
      </c>
      <c r="F3391" s="22" t="s">
        <v>58</v>
      </c>
      <c r="G3391" s="25">
        <v>14244.66</v>
      </c>
      <c r="H3391" s="22" t="s">
        <v>24</v>
      </c>
      <c r="I3391" s="22">
        <v>1</v>
      </c>
      <c r="J3391" s="22" t="s">
        <v>58</v>
      </c>
      <c r="K3391" s="22" t="s">
        <v>23</v>
      </c>
      <c r="L3391" s="22">
        <v>5</v>
      </c>
      <c r="M3391" s="26">
        <v>120000</v>
      </c>
      <c r="N3391" s="26">
        <v>0</v>
      </c>
      <c r="O3391" s="15">
        <f t="shared" si="294"/>
        <v>120000</v>
      </c>
      <c r="P3391" s="15">
        <f t="shared" si="293"/>
        <v>8.424209493241678</v>
      </c>
      <c r="Q3391" s="25">
        <v>10000</v>
      </c>
      <c r="R3391" s="22">
        <v>100</v>
      </c>
      <c r="S3391" s="22" t="s">
        <v>4151</v>
      </c>
      <c r="T3391" s="22">
        <f t="shared" si="290"/>
        <v>10</v>
      </c>
      <c r="U3391" s="22">
        <f t="shared" si="291"/>
        <v>2021</v>
      </c>
      <c r="V3391" s="22" t="str">
        <f t="shared" si="292"/>
        <v>METROPOLITANA</v>
      </c>
    </row>
    <row r="3392" spans="1:22" x14ac:dyDescent="0.2">
      <c r="A3392" s="23" t="s">
        <v>4147</v>
      </c>
      <c r="B3392" s="22" t="s">
        <v>18</v>
      </c>
      <c r="C3392" s="22" t="s">
        <v>163</v>
      </c>
      <c r="D3392" s="22" t="s">
        <v>63</v>
      </c>
      <c r="E3392" s="24" t="s">
        <v>64</v>
      </c>
      <c r="F3392" s="22" t="s">
        <v>165</v>
      </c>
      <c r="G3392" s="25">
        <v>10840.74</v>
      </c>
      <c r="H3392" s="22" t="s">
        <v>65</v>
      </c>
      <c r="I3392" s="22">
        <v>0</v>
      </c>
      <c r="J3392" s="22" t="s">
        <v>165</v>
      </c>
      <c r="K3392" s="22" t="s">
        <v>23</v>
      </c>
      <c r="L3392" s="22">
        <v>4</v>
      </c>
      <c r="M3392" s="26">
        <v>119248</v>
      </c>
      <c r="N3392" s="26">
        <v>0</v>
      </c>
      <c r="O3392" s="15">
        <f t="shared" si="294"/>
        <v>119248</v>
      </c>
      <c r="P3392" s="15">
        <f t="shared" si="293"/>
        <v>10.99998708575245</v>
      </c>
      <c r="Q3392" s="25">
        <v>5000</v>
      </c>
      <c r="R3392" s="22">
        <v>100</v>
      </c>
      <c r="S3392" s="22" t="s">
        <v>4152</v>
      </c>
      <c r="T3392" s="22">
        <f t="shared" si="290"/>
        <v>10</v>
      </c>
      <c r="U3392" s="22">
        <f t="shared" si="291"/>
        <v>2021</v>
      </c>
      <c r="V3392" s="22" t="str">
        <f t="shared" si="292"/>
        <v>METROPOLITANA</v>
      </c>
    </row>
    <row r="3393" spans="1:22" x14ac:dyDescent="0.2">
      <c r="A3393" s="23" t="s">
        <v>4147</v>
      </c>
      <c r="B3393" s="22" t="s">
        <v>18</v>
      </c>
      <c r="C3393" s="22" t="s">
        <v>3665</v>
      </c>
      <c r="D3393" s="22" t="s">
        <v>1869</v>
      </c>
      <c r="E3393" s="24" t="s">
        <v>4153</v>
      </c>
      <c r="F3393" s="22" t="s">
        <v>436</v>
      </c>
      <c r="G3393" s="25">
        <v>19418.97</v>
      </c>
      <c r="H3393" s="22" t="s">
        <v>24</v>
      </c>
      <c r="I3393" s="22">
        <v>1</v>
      </c>
      <c r="J3393" s="22" t="s">
        <v>436</v>
      </c>
      <c r="K3393" s="22" t="s">
        <v>437</v>
      </c>
      <c r="L3393" s="22">
        <v>0</v>
      </c>
      <c r="M3393" s="26">
        <v>800000</v>
      </c>
      <c r="N3393" s="26">
        <v>0</v>
      </c>
      <c r="O3393" s="15">
        <f t="shared" si="294"/>
        <v>800000</v>
      </c>
      <c r="P3393" s="15">
        <f t="shared" si="293"/>
        <v>41.196829697970593</v>
      </c>
      <c r="Q3393" s="25">
        <v>20000</v>
      </c>
      <c r="R3393" s="22">
        <v>97</v>
      </c>
      <c r="S3393" s="22" t="s">
        <v>4154</v>
      </c>
      <c r="T3393" s="22">
        <f t="shared" si="290"/>
        <v>10</v>
      </c>
      <c r="U3393" s="22">
        <f t="shared" si="291"/>
        <v>2021</v>
      </c>
      <c r="V3393" s="22" t="str">
        <f t="shared" si="292"/>
        <v>REGIONES</v>
      </c>
    </row>
    <row r="3394" spans="1:22" x14ac:dyDescent="0.2">
      <c r="A3394" s="23" t="s">
        <v>4147</v>
      </c>
      <c r="B3394" s="22" t="s">
        <v>18</v>
      </c>
      <c r="C3394" s="22" t="s">
        <v>3665</v>
      </c>
      <c r="D3394" s="22" t="s">
        <v>1170</v>
      </c>
      <c r="E3394" s="24" t="s">
        <v>81</v>
      </c>
      <c r="F3394" s="22" t="s">
        <v>436</v>
      </c>
      <c r="G3394" s="25">
        <v>23033.999999999989</v>
      </c>
      <c r="H3394" s="22" t="s">
        <v>24</v>
      </c>
      <c r="I3394" s="22">
        <v>1</v>
      </c>
      <c r="J3394" s="22" t="s">
        <v>436</v>
      </c>
      <c r="K3394" s="22" t="s">
        <v>437</v>
      </c>
      <c r="L3394" s="22">
        <v>0</v>
      </c>
      <c r="M3394" s="26">
        <v>800000</v>
      </c>
      <c r="N3394" s="26">
        <v>0</v>
      </c>
      <c r="O3394" s="15">
        <f t="shared" si="294"/>
        <v>800000</v>
      </c>
      <c r="P3394" s="15">
        <f t="shared" si="293"/>
        <v>34.731266822957387</v>
      </c>
      <c r="Q3394" s="25">
        <v>20000</v>
      </c>
      <c r="R3394" s="22">
        <v>100</v>
      </c>
      <c r="S3394" s="22" t="s">
        <v>4155</v>
      </c>
      <c r="T3394" s="22">
        <f t="shared" si="290"/>
        <v>10</v>
      </c>
      <c r="U3394" s="22">
        <f t="shared" si="291"/>
        <v>2021</v>
      </c>
      <c r="V3394" s="22" t="str">
        <f t="shared" si="292"/>
        <v>REGIONES</v>
      </c>
    </row>
    <row r="3395" spans="1:22" x14ac:dyDescent="0.2">
      <c r="A3395" s="23" t="s">
        <v>4147</v>
      </c>
      <c r="B3395" s="22" t="s">
        <v>33</v>
      </c>
      <c r="C3395" s="22" t="s">
        <v>270</v>
      </c>
      <c r="D3395" s="22" t="s">
        <v>47</v>
      </c>
      <c r="E3395" s="24" t="s">
        <v>1576</v>
      </c>
      <c r="F3395" s="22" t="s">
        <v>120</v>
      </c>
      <c r="G3395" s="25">
        <v>7963.5000000000027</v>
      </c>
      <c r="H3395" s="22" t="s">
        <v>22</v>
      </c>
      <c r="I3395" s="22">
        <v>0</v>
      </c>
      <c r="J3395" s="22" t="s">
        <v>120</v>
      </c>
      <c r="K3395" s="22" t="s">
        <v>23</v>
      </c>
      <c r="L3395" s="22">
        <v>5</v>
      </c>
      <c r="M3395" s="26">
        <v>70000</v>
      </c>
      <c r="N3395" s="26">
        <v>0</v>
      </c>
      <c r="O3395" s="15">
        <f t="shared" si="294"/>
        <v>70000</v>
      </c>
      <c r="P3395" s="15">
        <f t="shared" si="293"/>
        <v>8.7901048533936059</v>
      </c>
      <c r="Q3395" s="25">
        <v>10000</v>
      </c>
      <c r="R3395" s="22">
        <v>80</v>
      </c>
      <c r="S3395" s="22" t="s">
        <v>4156</v>
      </c>
      <c r="T3395" s="22">
        <f t="shared" si="290"/>
        <v>10</v>
      </c>
      <c r="U3395" s="22">
        <f t="shared" si="291"/>
        <v>2021</v>
      </c>
      <c r="V3395" s="22" t="str">
        <f t="shared" si="292"/>
        <v>METROPOLITANA</v>
      </c>
    </row>
    <row r="3396" spans="1:22" x14ac:dyDescent="0.2">
      <c r="A3396" s="23" t="s">
        <v>4147</v>
      </c>
      <c r="B3396" s="22" t="s">
        <v>33</v>
      </c>
      <c r="C3396" s="22" t="s">
        <v>354</v>
      </c>
      <c r="D3396" s="22" t="s">
        <v>38</v>
      </c>
      <c r="E3396" s="24" t="s">
        <v>42</v>
      </c>
      <c r="F3396" s="22" t="s">
        <v>53</v>
      </c>
      <c r="G3396" s="25">
        <v>2376</v>
      </c>
      <c r="H3396" s="22" t="s">
        <v>43</v>
      </c>
      <c r="I3396" s="22">
        <v>0</v>
      </c>
      <c r="J3396" s="22" t="s">
        <v>53</v>
      </c>
      <c r="K3396" s="22" t="s">
        <v>23</v>
      </c>
      <c r="L3396" s="22">
        <v>3</v>
      </c>
      <c r="M3396" s="26">
        <v>55000</v>
      </c>
      <c r="N3396" s="26">
        <v>0</v>
      </c>
      <c r="O3396" s="15">
        <f t="shared" si="294"/>
        <v>55000</v>
      </c>
      <c r="P3396" s="15">
        <f t="shared" si="293"/>
        <v>23.148148148148149</v>
      </c>
      <c r="Q3396" s="25">
        <v>5000</v>
      </c>
      <c r="R3396" s="22">
        <v>48</v>
      </c>
      <c r="S3396" s="22" t="s">
        <v>4157</v>
      </c>
      <c r="T3396" s="22">
        <f t="shared" si="290"/>
        <v>10</v>
      </c>
      <c r="U3396" s="22">
        <f t="shared" si="291"/>
        <v>2021</v>
      </c>
      <c r="V3396" s="22" t="str">
        <f t="shared" si="292"/>
        <v>METROPOLITANA</v>
      </c>
    </row>
    <row r="3397" spans="1:22" x14ac:dyDescent="0.2">
      <c r="A3397" s="23" t="s">
        <v>4147</v>
      </c>
      <c r="B3397" s="22" t="s">
        <v>33</v>
      </c>
      <c r="C3397" s="22" t="s">
        <v>36</v>
      </c>
      <c r="D3397" s="22" t="s">
        <v>786</v>
      </c>
      <c r="E3397" s="24" t="s">
        <v>787</v>
      </c>
      <c r="F3397" s="22" t="s">
        <v>893</v>
      </c>
      <c r="G3397" s="25">
        <v>9626.399999999996</v>
      </c>
      <c r="H3397" s="22" t="s">
        <v>788</v>
      </c>
      <c r="I3397" s="22">
        <v>1</v>
      </c>
      <c r="J3397" s="22" t="s">
        <v>893</v>
      </c>
      <c r="K3397" s="22" t="s">
        <v>437</v>
      </c>
      <c r="L3397" s="22">
        <v>0</v>
      </c>
      <c r="M3397" s="26">
        <v>900000</v>
      </c>
      <c r="N3397" s="26">
        <v>0</v>
      </c>
      <c r="O3397" s="15">
        <f t="shared" si="294"/>
        <v>900000</v>
      </c>
      <c r="P3397" s="15">
        <f t="shared" si="293"/>
        <v>93.492894540015001</v>
      </c>
      <c r="Q3397" s="25">
        <v>20000</v>
      </c>
      <c r="R3397" s="22">
        <v>48</v>
      </c>
      <c r="S3397" s="22" t="s">
        <v>4158</v>
      </c>
      <c r="T3397" s="22">
        <f t="shared" si="290"/>
        <v>10</v>
      </c>
      <c r="U3397" s="22">
        <f t="shared" si="291"/>
        <v>2021</v>
      </c>
      <c r="V3397" s="22" t="str">
        <f t="shared" si="292"/>
        <v>REGIONES</v>
      </c>
    </row>
    <row r="3398" spans="1:22" x14ac:dyDescent="0.2">
      <c r="A3398" s="23" t="s">
        <v>4147</v>
      </c>
      <c r="B3398" s="22" t="s">
        <v>33</v>
      </c>
      <c r="C3398" s="22" t="s">
        <v>36</v>
      </c>
      <c r="D3398" s="22" t="s">
        <v>303</v>
      </c>
      <c r="E3398" s="24" t="s">
        <v>304</v>
      </c>
      <c r="F3398" s="22" t="s">
        <v>305</v>
      </c>
      <c r="G3398" s="25">
        <v>7450.4000000000024</v>
      </c>
      <c r="H3398" s="22" t="s">
        <v>24</v>
      </c>
      <c r="I3398" s="22">
        <v>1</v>
      </c>
      <c r="J3398" s="22" t="s">
        <v>305</v>
      </c>
      <c r="K3398" s="22" t="s">
        <v>306</v>
      </c>
      <c r="L3398" s="22">
        <v>0</v>
      </c>
      <c r="M3398" s="26">
        <v>1400000</v>
      </c>
      <c r="N3398" s="26">
        <v>0</v>
      </c>
      <c r="O3398" s="15">
        <f>G3398*35</f>
        <v>260764.00000000009</v>
      </c>
      <c r="P3398" s="15">
        <f t="shared" si="293"/>
        <v>35</v>
      </c>
      <c r="Q3398" s="25">
        <v>20000</v>
      </c>
      <c r="R3398" s="22">
        <v>55</v>
      </c>
      <c r="S3398" s="22" t="s">
        <v>4159</v>
      </c>
      <c r="T3398" s="22">
        <f t="shared" si="290"/>
        <v>10</v>
      </c>
      <c r="U3398" s="22">
        <f t="shared" si="291"/>
        <v>2021</v>
      </c>
      <c r="V3398" s="22" t="str">
        <f t="shared" si="292"/>
        <v>REGIONES</v>
      </c>
    </row>
    <row r="3399" spans="1:22" x14ac:dyDescent="0.2">
      <c r="A3399" s="23" t="s">
        <v>4147</v>
      </c>
      <c r="B3399" s="22" t="s">
        <v>33</v>
      </c>
      <c r="C3399" s="22" t="s">
        <v>29</v>
      </c>
      <c r="D3399" s="22" t="s">
        <v>164</v>
      </c>
      <c r="E3399" s="24" t="s">
        <v>28</v>
      </c>
      <c r="F3399" s="22" t="s">
        <v>39</v>
      </c>
      <c r="G3399" s="25">
        <f>15008+1501</f>
        <v>16509</v>
      </c>
      <c r="H3399" s="22" t="s">
        <v>22</v>
      </c>
      <c r="I3399" s="22">
        <v>1</v>
      </c>
      <c r="J3399" s="22" t="s">
        <v>39</v>
      </c>
      <c r="K3399" s="22" t="s">
        <v>23</v>
      </c>
      <c r="L3399" s="22">
        <v>1</v>
      </c>
      <c r="M3399" s="26">
        <v>165088</v>
      </c>
      <c r="N3399" s="26">
        <v>0</v>
      </c>
      <c r="O3399" s="15">
        <f t="shared" ref="O3399:O3430" si="295">SUM(M3399:N3399)</f>
        <v>165088</v>
      </c>
      <c r="P3399" s="15">
        <f t="shared" si="293"/>
        <v>9.9998788539584478</v>
      </c>
      <c r="Q3399" s="25">
        <v>5000</v>
      </c>
      <c r="R3399" s="22">
        <v>100</v>
      </c>
      <c r="S3399" s="22" t="s">
        <v>4162</v>
      </c>
      <c r="T3399" s="22">
        <f t="shared" si="290"/>
        <v>10</v>
      </c>
      <c r="U3399" s="22">
        <f t="shared" si="291"/>
        <v>2021</v>
      </c>
      <c r="V3399" s="22" t="str">
        <f t="shared" si="292"/>
        <v>METROPOLITANA</v>
      </c>
    </row>
    <row r="3400" spans="1:22" x14ac:dyDescent="0.2">
      <c r="A3400" s="23" t="s">
        <v>4147</v>
      </c>
      <c r="B3400" s="22" t="s">
        <v>33</v>
      </c>
      <c r="C3400" s="22" t="s">
        <v>29</v>
      </c>
      <c r="D3400" s="22" t="s">
        <v>20</v>
      </c>
      <c r="E3400" s="24" t="s">
        <v>21</v>
      </c>
      <c r="F3400" s="22" t="s">
        <v>39</v>
      </c>
      <c r="G3400" s="25">
        <v>5675.6000000000013</v>
      </c>
      <c r="H3400" s="22" t="s">
        <v>22</v>
      </c>
      <c r="I3400" s="22">
        <v>0</v>
      </c>
      <c r="J3400" s="22" t="s">
        <v>39</v>
      </c>
      <c r="K3400" s="22" t="s">
        <v>23</v>
      </c>
      <c r="L3400" s="22">
        <v>1</v>
      </c>
      <c r="M3400" s="26">
        <v>62432</v>
      </c>
      <c r="N3400" s="26">
        <v>0</v>
      </c>
      <c r="O3400" s="15">
        <f t="shared" si="295"/>
        <v>62432</v>
      </c>
      <c r="P3400" s="15">
        <f t="shared" si="293"/>
        <v>11.000070477130169</v>
      </c>
      <c r="Q3400" s="25">
        <v>5000</v>
      </c>
      <c r="R3400" s="22">
        <v>100</v>
      </c>
      <c r="S3400" s="22" t="s">
        <v>4160</v>
      </c>
      <c r="T3400" s="22">
        <f t="shared" ref="T3400:T3463" si="296">MONTH(A3400)</f>
        <v>10</v>
      </c>
      <c r="U3400" s="22">
        <f t="shared" ref="U3400:U3463" si="297">YEAR(A3400)</f>
        <v>2021</v>
      </c>
      <c r="V3400" s="22" t="str">
        <f t="shared" ref="V3400:V3463" si="298">IF(K3400="METROPOLITANA DE SANTIAGO","METROPOLITANA","REGIONES")</f>
        <v>METROPOLITANA</v>
      </c>
    </row>
    <row r="3401" spans="1:22" x14ac:dyDescent="0.2">
      <c r="A3401" s="23" t="s">
        <v>4147</v>
      </c>
      <c r="B3401" s="22" t="s">
        <v>33</v>
      </c>
      <c r="C3401" s="22" t="s">
        <v>44</v>
      </c>
      <c r="D3401" s="22" t="s">
        <v>2262</v>
      </c>
      <c r="E3401" s="24" t="s">
        <v>83</v>
      </c>
      <c r="F3401" s="22" t="s">
        <v>691</v>
      </c>
      <c r="G3401" s="25">
        <f>14352.4+3201</f>
        <v>17553.400000000001</v>
      </c>
      <c r="H3401" s="22" t="s">
        <v>24</v>
      </c>
      <c r="I3401" s="22">
        <v>1</v>
      </c>
      <c r="J3401" s="22" t="s">
        <v>691</v>
      </c>
      <c r="K3401" s="22" t="s">
        <v>873</v>
      </c>
      <c r="L3401" s="22">
        <v>0</v>
      </c>
      <c r="M3401" s="26">
        <v>1020000</v>
      </c>
      <c r="N3401" s="26">
        <v>0</v>
      </c>
      <c r="O3401" s="15">
        <f t="shared" si="295"/>
        <v>1020000</v>
      </c>
      <c r="P3401" s="15">
        <f t="shared" si="293"/>
        <v>58.108400651725589</v>
      </c>
      <c r="Q3401" s="25">
        <v>20000</v>
      </c>
      <c r="R3401" s="22">
        <v>88</v>
      </c>
      <c r="S3401" s="22" t="s">
        <v>4163</v>
      </c>
      <c r="T3401" s="22">
        <f t="shared" si="296"/>
        <v>10</v>
      </c>
      <c r="U3401" s="22">
        <f t="shared" si="297"/>
        <v>2021</v>
      </c>
      <c r="V3401" s="22" t="str">
        <f t="shared" si="298"/>
        <v>REGIONES</v>
      </c>
    </row>
    <row r="3402" spans="1:22" x14ac:dyDescent="0.2">
      <c r="A3402" s="23" t="s">
        <v>4147</v>
      </c>
      <c r="B3402" s="22" t="s">
        <v>33</v>
      </c>
      <c r="C3402" s="22" t="s">
        <v>44</v>
      </c>
      <c r="D3402" s="22" t="s">
        <v>45</v>
      </c>
      <c r="E3402" s="24" t="s">
        <v>52</v>
      </c>
      <c r="F3402" s="22" t="s">
        <v>48</v>
      </c>
      <c r="G3402" s="25">
        <v>4010.400000000001</v>
      </c>
      <c r="H3402" s="22" t="s">
        <v>22</v>
      </c>
      <c r="I3402" s="22">
        <v>0</v>
      </c>
      <c r="J3402" s="22" t="s">
        <v>48</v>
      </c>
      <c r="K3402" s="22" t="s">
        <v>23</v>
      </c>
      <c r="L3402" s="22">
        <v>1</v>
      </c>
      <c r="M3402" s="26">
        <v>55000</v>
      </c>
      <c r="N3402" s="26">
        <v>0</v>
      </c>
      <c r="O3402" s="15">
        <f t="shared" si="295"/>
        <v>55000</v>
      </c>
      <c r="P3402" s="15">
        <f t="shared" si="293"/>
        <v>13.714342708956709</v>
      </c>
      <c r="Q3402" s="25">
        <v>5000</v>
      </c>
      <c r="R3402" s="22">
        <v>80</v>
      </c>
      <c r="S3402" s="22" t="s">
        <v>4161</v>
      </c>
      <c r="T3402" s="22">
        <f t="shared" si="296"/>
        <v>10</v>
      </c>
      <c r="U3402" s="22">
        <f t="shared" si="297"/>
        <v>2021</v>
      </c>
      <c r="V3402" s="22" t="str">
        <f t="shared" si="298"/>
        <v>METROPOLITANA</v>
      </c>
    </row>
    <row r="3403" spans="1:22" x14ac:dyDescent="0.2">
      <c r="A3403" s="11" t="s">
        <v>4164</v>
      </c>
      <c r="B3403" s="12" t="s">
        <v>18</v>
      </c>
      <c r="C3403" s="12" t="s">
        <v>270</v>
      </c>
      <c r="D3403" s="12" t="s">
        <v>37</v>
      </c>
      <c r="E3403" s="13" t="s">
        <v>40</v>
      </c>
      <c r="F3403" s="12" t="s">
        <v>120</v>
      </c>
      <c r="G3403" s="14">
        <v>6330.96</v>
      </c>
      <c r="H3403" s="12" t="s">
        <v>22</v>
      </c>
      <c r="I3403" s="12">
        <v>0</v>
      </c>
      <c r="J3403" s="12" t="s">
        <v>120</v>
      </c>
      <c r="K3403" s="12" t="s">
        <v>23</v>
      </c>
      <c r="L3403" s="12">
        <v>5</v>
      </c>
      <c r="M3403" s="15">
        <v>70000</v>
      </c>
      <c r="N3403" s="15">
        <v>0</v>
      </c>
      <c r="O3403" s="15">
        <f t="shared" si="295"/>
        <v>70000</v>
      </c>
      <c r="P3403" s="15">
        <f t="shared" si="293"/>
        <v>11.056774959879702</v>
      </c>
      <c r="Q3403" s="14">
        <v>10000</v>
      </c>
      <c r="R3403" s="12">
        <v>63</v>
      </c>
      <c r="S3403" s="12" t="s">
        <v>4165</v>
      </c>
      <c r="T3403" s="22">
        <f t="shared" si="296"/>
        <v>10</v>
      </c>
      <c r="U3403" s="22">
        <f t="shared" si="297"/>
        <v>2021</v>
      </c>
      <c r="V3403" s="22" t="str">
        <f t="shared" si="298"/>
        <v>METROPOLITANA</v>
      </c>
    </row>
    <row r="3404" spans="1:22" x14ac:dyDescent="0.2">
      <c r="A3404" s="11" t="s">
        <v>4164</v>
      </c>
      <c r="B3404" s="12" t="s">
        <v>18</v>
      </c>
      <c r="C3404" s="12" t="s">
        <v>270</v>
      </c>
      <c r="D3404" s="12" t="s">
        <v>63</v>
      </c>
      <c r="E3404" s="13" t="s">
        <v>64</v>
      </c>
      <c r="F3404" s="12" t="s">
        <v>120</v>
      </c>
      <c r="G3404" s="14">
        <v>11673.900000000011</v>
      </c>
      <c r="H3404" s="12" t="s">
        <v>65</v>
      </c>
      <c r="I3404" s="12">
        <v>0</v>
      </c>
      <c r="J3404" s="12" t="s">
        <v>120</v>
      </c>
      <c r="K3404" s="12" t="s">
        <v>23</v>
      </c>
      <c r="L3404" s="12">
        <v>5</v>
      </c>
      <c r="M3404" s="15">
        <v>70000</v>
      </c>
      <c r="N3404" s="15">
        <v>0</v>
      </c>
      <c r="O3404" s="15">
        <f t="shared" si="295"/>
        <v>70000</v>
      </c>
      <c r="P3404" s="15">
        <f t="shared" si="293"/>
        <v>5.9962823049709124</v>
      </c>
      <c r="Q3404" s="14">
        <v>10000</v>
      </c>
      <c r="R3404" s="12">
        <v>100</v>
      </c>
      <c r="S3404" s="12" t="s">
        <v>4166</v>
      </c>
      <c r="T3404" s="22">
        <f t="shared" si="296"/>
        <v>10</v>
      </c>
      <c r="U3404" s="22">
        <f t="shared" si="297"/>
        <v>2021</v>
      </c>
      <c r="V3404" s="22" t="str">
        <f t="shared" si="298"/>
        <v>METROPOLITANA</v>
      </c>
    </row>
    <row r="3405" spans="1:22" x14ac:dyDescent="0.2">
      <c r="A3405" s="11" t="s">
        <v>4164</v>
      </c>
      <c r="B3405" s="12" t="s">
        <v>18</v>
      </c>
      <c r="C3405" s="12" t="s">
        <v>500</v>
      </c>
      <c r="D3405" s="12" t="s">
        <v>38</v>
      </c>
      <c r="E3405" s="13" t="s">
        <v>25</v>
      </c>
      <c r="F3405" s="12" t="s">
        <v>120</v>
      </c>
      <c r="G3405" s="14">
        <f>4834.07+215</f>
        <v>5049.07</v>
      </c>
      <c r="H3405" s="12" t="s">
        <v>43</v>
      </c>
      <c r="I3405" s="12">
        <v>0</v>
      </c>
      <c r="J3405" s="12" t="s">
        <v>120</v>
      </c>
      <c r="K3405" s="12" t="s">
        <v>23</v>
      </c>
      <c r="L3405" s="12">
        <v>5</v>
      </c>
      <c r="M3405" s="15">
        <v>70000</v>
      </c>
      <c r="N3405" s="15">
        <v>0</v>
      </c>
      <c r="O3405" s="15">
        <f t="shared" si="295"/>
        <v>70000</v>
      </c>
      <c r="P3405" s="15">
        <f t="shared" si="293"/>
        <v>13.863939299712621</v>
      </c>
      <c r="Q3405" s="14">
        <v>10000</v>
      </c>
      <c r="R3405" s="12">
        <v>48</v>
      </c>
      <c r="S3405" s="12" t="s">
        <v>4181</v>
      </c>
      <c r="T3405" s="22">
        <f t="shared" si="296"/>
        <v>10</v>
      </c>
      <c r="U3405" s="22">
        <f t="shared" si="297"/>
        <v>2021</v>
      </c>
      <c r="V3405" s="22" t="str">
        <f t="shared" si="298"/>
        <v>METROPOLITANA</v>
      </c>
    </row>
    <row r="3406" spans="1:22" x14ac:dyDescent="0.2">
      <c r="A3406" s="11" t="s">
        <v>4164</v>
      </c>
      <c r="B3406" s="12" t="s">
        <v>18</v>
      </c>
      <c r="C3406" s="12" t="s">
        <v>19</v>
      </c>
      <c r="D3406" s="12" t="s">
        <v>125</v>
      </c>
      <c r="E3406" s="13" t="s">
        <v>126</v>
      </c>
      <c r="F3406" s="12" t="s">
        <v>418</v>
      </c>
      <c r="G3406" s="14">
        <v>22217.19</v>
      </c>
      <c r="H3406" s="12" t="s">
        <v>174</v>
      </c>
      <c r="I3406" s="12">
        <v>0</v>
      </c>
      <c r="J3406" s="12" t="s">
        <v>418</v>
      </c>
      <c r="K3406" s="12" t="s">
        <v>171</v>
      </c>
      <c r="L3406" s="12">
        <v>0</v>
      </c>
      <c r="M3406" s="15">
        <v>230000</v>
      </c>
      <c r="N3406" s="15">
        <v>0</v>
      </c>
      <c r="O3406" s="15">
        <f t="shared" si="295"/>
        <v>230000</v>
      </c>
      <c r="P3406" s="15">
        <f t="shared" si="293"/>
        <v>10.352344288364101</v>
      </c>
      <c r="Q3406" s="14">
        <v>20000</v>
      </c>
      <c r="R3406" s="12">
        <v>100</v>
      </c>
      <c r="S3406" s="12" t="s">
        <v>4167</v>
      </c>
      <c r="T3406" s="22">
        <f t="shared" si="296"/>
        <v>10</v>
      </c>
      <c r="U3406" s="22">
        <f t="shared" si="297"/>
        <v>2021</v>
      </c>
      <c r="V3406" s="22" t="str">
        <f t="shared" si="298"/>
        <v>REGIONES</v>
      </c>
    </row>
    <row r="3407" spans="1:22" x14ac:dyDescent="0.2">
      <c r="A3407" s="11" t="s">
        <v>4164</v>
      </c>
      <c r="B3407" s="12" t="s">
        <v>18</v>
      </c>
      <c r="C3407" s="12" t="s">
        <v>163</v>
      </c>
      <c r="D3407" s="12" t="s">
        <v>30</v>
      </c>
      <c r="E3407" s="13" t="s">
        <v>31</v>
      </c>
      <c r="F3407" s="12" t="s">
        <v>165</v>
      </c>
      <c r="G3407" s="14">
        <v>16878.400000000001</v>
      </c>
      <c r="H3407" s="12" t="s">
        <v>32</v>
      </c>
      <c r="I3407" s="12">
        <v>0</v>
      </c>
      <c r="J3407" s="12" t="s">
        <v>165</v>
      </c>
      <c r="K3407" s="12" t="s">
        <v>23</v>
      </c>
      <c r="L3407" s="12">
        <v>4</v>
      </c>
      <c r="M3407" s="15">
        <v>185662</v>
      </c>
      <c r="N3407" s="15">
        <v>0</v>
      </c>
      <c r="O3407" s="15">
        <f t="shared" si="295"/>
        <v>185662</v>
      </c>
      <c r="P3407" s="15">
        <f t="shared" si="293"/>
        <v>10.999976301071191</v>
      </c>
      <c r="Q3407" s="14">
        <v>5000</v>
      </c>
      <c r="R3407" s="12">
        <v>100</v>
      </c>
      <c r="S3407" s="12" t="s">
        <v>4168</v>
      </c>
      <c r="T3407" s="22">
        <f t="shared" si="296"/>
        <v>10</v>
      </c>
      <c r="U3407" s="22">
        <f t="shared" si="297"/>
        <v>2021</v>
      </c>
      <c r="V3407" s="22" t="str">
        <f t="shared" si="298"/>
        <v>METROPOLITANA</v>
      </c>
    </row>
    <row r="3408" spans="1:22" x14ac:dyDescent="0.2">
      <c r="A3408" s="11" t="s">
        <v>4164</v>
      </c>
      <c r="B3408" s="12" t="s">
        <v>33</v>
      </c>
      <c r="C3408" s="12" t="s">
        <v>128</v>
      </c>
      <c r="D3408" s="12" t="s">
        <v>2955</v>
      </c>
      <c r="E3408" s="13" t="s">
        <v>2956</v>
      </c>
      <c r="F3408" s="12" t="s">
        <v>34</v>
      </c>
      <c r="G3408" s="14">
        <v>14257.599999999989</v>
      </c>
      <c r="H3408" s="12" t="s">
        <v>24</v>
      </c>
      <c r="I3408" s="12">
        <v>1</v>
      </c>
      <c r="J3408" s="12" t="s">
        <v>34</v>
      </c>
      <c r="K3408" s="12" t="s">
        <v>23</v>
      </c>
      <c r="L3408" s="12">
        <v>1</v>
      </c>
      <c r="M3408" s="15">
        <v>156834</v>
      </c>
      <c r="N3408" s="15">
        <v>0</v>
      </c>
      <c r="O3408" s="15">
        <f t="shared" si="295"/>
        <v>156834</v>
      </c>
      <c r="P3408" s="15">
        <f t="shared" si="293"/>
        <v>11.000028055212667</v>
      </c>
      <c r="Q3408" s="14">
        <v>5000</v>
      </c>
      <c r="R3408" s="12">
        <v>100</v>
      </c>
      <c r="S3408" s="12" t="s">
        <v>4169</v>
      </c>
      <c r="T3408" s="22">
        <f t="shared" si="296"/>
        <v>10</v>
      </c>
      <c r="U3408" s="22">
        <f t="shared" si="297"/>
        <v>2021</v>
      </c>
      <c r="V3408" s="22" t="str">
        <f t="shared" si="298"/>
        <v>METROPOLITANA</v>
      </c>
    </row>
    <row r="3409" spans="1:22" x14ac:dyDescent="0.2">
      <c r="A3409" s="11" t="s">
        <v>4164</v>
      </c>
      <c r="B3409" s="12" t="s">
        <v>33</v>
      </c>
      <c r="C3409" s="12" t="s">
        <v>128</v>
      </c>
      <c r="D3409" s="12" t="s">
        <v>2955</v>
      </c>
      <c r="E3409" s="13" t="s">
        <v>2956</v>
      </c>
      <c r="F3409" s="12" t="s">
        <v>129</v>
      </c>
      <c r="G3409" s="14">
        <v>8244.0000000000036</v>
      </c>
      <c r="H3409" s="12" t="s">
        <v>24</v>
      </c>
      <c r="I3409" s="12">
        <v>1</v>
      </c>
      <c r="J3409" s="12" t="s">
        <v>129</v>
      </c>
      <c r="K3409" s="12" t="s">
        <v>23</v>
      </c>
      <c r="L3409" s="12">
        <v>1</v>
      </c>
      <c r="M3409" s="15">
        <v>90684</v>
      </c>
      <c r="N3409" s="15">
        <v>0</v>
      </c>
      <c r="O3409" s="15">
        <f t="shared" si="295"/>
        <v>90684</v>
      </c>
      <c r="P3409" s="15">
        <f t="shared" si="293"/>
        <v>10.999999999999995</v>
      </c>
      <c r="Q3409" s="14">
        <v>5000</v>
      </c>
      <c r="R3409" s="12">
        <v>100</v>
      </c>
      <c r="S3409" s="12" t="s">
        <v>4170</v>
      </c>
      <c r="T3409" s="22">
        <f t="shared" si="296"/>
        <v>10</v>
      </c>
      <c r="U3409" s="22">
        <f t="shared" si="297"/>
        <v>2021</v>
      </c>
      <c r="V3409" s="22" t="str">
        <f t="shared" si="298"/>
        <v>METROPOLITANA</v>
      </c>
    </row>
    <row r="3410" spans="1:22" x14ac:dyDescent="0.2">
      <c r="A3410" s="11" t="s">
        <v>4164</v>
      </c>
      <c r="B3410" s="12" t="s">
        <v>33</v>
      </c>
      <c r="C3410" s="12" t="s">
        <v>2862</v>
      </c>
      <c r="D3410" s="12" t="s">
        <v>38</v>
      </c>
      <c r="E3410" s="13" t="s">
        <v>25</v>
      </c>
      <c r="F3410" s="12" t="s">
        <v>129</v>
      </c>
      <c r="G3410" s="14">
        <v>8502</v>
      </c>
      <c r="H3410" s="12" t="s">
        <v>43</v>
      </c>
      <c r="I3410" s="12">
        <v>0</v>
      </c>
      <c r="J3410" s="12" t="s">
        <v>129</v>
      </c>
      <c r="K3410" s="12" t="s">
        <v>23</v>
      </c>
      <c r="L3410" s="12">
        <v>1</v>
      </c>
      <c r="M3410" s="15">
        <v>93522</v>
      </c>
      <c r="N3410" s="15">
        <v>0</v>
      </c>
      <c r="O3410" s="15">
        <f t="shared" si="295"/>
        <v>93522</v>
      </c>
      <c r="P3410" s="15">
        <f t="shared" si="293"/>
        <v>11</v>
      </c>
      <c r="Q3410" s="14">
        <v>5000</v>
      </c>
      <c r="R3410" s="12">
        <v>100</v>
      </c>
      <c r="S3410" s="12" t="s">
        <v>4171</v>
      </c>
      <c r="T3410" s="22">
        <f t="shared" si="296"/>
        <v>10</v>
      </c>
      <c r="U3410" s="22">
        <f t="shared" si="297"/>
        <v>2021</v>
      </c>
      <c r="V3410" s="22" t="str">
        <f t="shared" si="298"/>
        <v>METROPOLITANA</v>
      </c>
    </row>
    <row r="3411" spans="1:22" x14ac:dyDescent="0.2">
      <c r="A3411" s="11" t="s">
        <v>4164</v>
      </c>
      <c r="B3411" s="12" t="s">
        <v>33</v>
      </c>
      <c r="C3411" s="12" t="s">
        <v>87</v>
      </c>
      <c r="D3411" s="12" t="s">
        <v>20</v>
      </c>
      <c r="E3411" s="13" t="s">
        <v>21</v>
      </c>
      <c r="F3411" s="12" t="s">
        <v>51</v>
      </c>
      <c r="G3411" s="14">
        <v>9065.0300000000007</v>
      </c>
      <c r="H3411" s="12" t="s">
        <v>22</v>
      </c>
      <c r="I3411" s="12">
        <v>0</v>
      </c>
      <c r="J3411" s="12" t="s">
        <v>51</v>
      </c>
      <c r="K3411" s="12" t="s">
        <v>23</v>
      </c>
      <c r="L3411" s="12">
        <v>4</v>
      </c>
      <c r="M3411" s="15">
        <v>99715</v>
      </c>
      <c r="N3411" s="15">
        <v>0</v>
      </c>
      <c r="O3411" s="15">
        <f t="shared" si="295"/>
        <v>99715</v>
      </c>
      <c r="P3411" s="15">
        <f t="shared" si="293"/>
        <v>10.999963596369785</v>
      </c>
      <c r="Q3411" s="14">
        <v>5000</v>
      </c>
      <c r="R3411" s="12">
        <v>100</v>
      </c>
      <c r="S3411" s="12" t="s">
        <v>4172</v>
      </c>
      <c r="T3411" s="22">
        <f t="shared" si="296"/>
        <v>10</v>
      </c>
      <c r="U3411" s="22">
        <f t="shared" si="297"/>
        <v>2021</v>
      </c>
      <c r="V3411" s="22" t="str">
        <f t="shared" si="298"/>
        <v>METROPOLITANA</v>
      </c>
    </row>
    <row r="3412" spans="1:22" x14ac:dyDescent="0.2">
      <c r="A3412" s="11" t="s">
        <v>4164</v>
      </c>
      <c r="B3412" s="12" t="s">
        <v>33</v>
      </c>
      <c r="C3412" s="12" t="s">
        <v>29</v>
      </c>
      <c r="D3412" s="12" t="s">
        <v>38</v>
      </c>
      <c r="E3412" s="13" t="s">
        <v>25</v>
      </c>
      <c r="F3412" s="12" t="s">
        <v>39</v>
      </c>
      <c r="G3412" s="14">
        <v>9122.6</v>
      </c>
      <c r="H3412" s="12" t="s">
        <v>43</v>
      </c>
      <c r="I3412" s="12">
        <v>0</v>
      </c>
      <c r="J3412" s="12" t="s">
        <v>39</v>
      </c>
      <c r="K3412" s="12" t="s">
        <v>23</v>
      </c>
      <c r="L3412" s="12">
        <v>1</v>
      </c>
      <c r="M3412" s="15">
        <v>100349</v>
      </c>
      <c r="N3412" s="15">
        <v>0</v>
      </c>
      <c r="O3412" s="15">
        <f t="shared" si="295"/>
        <v>100349</v>
      </c>
      <c r="P3412" s="15">
        <f t="shared" si="293"/>
        <v>11.000043847148838</v>
      </c>
      <c r="Q3412" s="14">
        <v>5000</v>
      </c>
      <c r="R3412" s="12">
        <v>100</v>
      </c>
      <c r="S3412" s="12" t="s">
        <v>4173</v>
      </c>
      <c r="T3412" s="22">
        <f t="shared" si="296"/>
        <v>10</v>
      </c>
      <c r="U3412" s="22">
        <f t="shared" si="297"/>
        <v>2021</v>
      </c>
      <c r="V3412" s="22" t="str">
        <f t="shared" si="298"/>
        <v>METROPOLITANA</v>
      </c>
    </row>
    <row r="3413" spans="1:22" x14ac:dyDescent="0.2">
      <c r="A3413" s="11" t="s">
        <v>4164</v>
      </c>
      <c r="B3413" s="12" t="s">
        <v>33</v>
      </c>
      <c r="C3413" s="12" t="s">
        <v>29</v>
      </c>
      <c r="D3413" s="12" t="s">
        <v>30</v>
      </c>
      <c r="E3413" s="13" t="s">
        <v>31</v>
      </c>
      <c r="F3413" s="12" t="s">
        <v>39</v>
      </c>
      <c r="G3413" s="14">
        <v>5645.2</v>
      </c>
      <c r="H3413" s="12" t="s">
        <v>32</v>
      </c>
      <c r="I3413" s="12">
        <v>0</v>
      </c>
      <c r="J3413" s="12" t="s">
        <v>39</v>
      </c>
      <c r="K3413" s="12" t="s">
        <v>23</v>
      </c>
      <c r="L3413" s="12">
        <v>1</v>
      </c>
      <c r="M3413" s="15">
        <v>62097</v>
      </c>
      <c r="N3413" s="15">
        <v>0</v>
      </c>
      <c r="O3413" s="15">
        <f t="shared" si="295"/>
        <v>62097</v>
      </c>
      <c r="P3413" s="15">
        <f t="shared" si="293"/>
        <v>10.999964571671509</v>
      </c>
      <c r="Q3413" s="14">
        <v>5000</v>
      </c>
      <c r="R3413" s="12">
        <v>100</v>
      </c>
      <c r="S3413" s="12" t="s">
        <v>4174</v>
      </c>
      <c r="T3413" s="22">
        <f t="shared" si="296"/>
        <v>10</v>
      </c>
      <c r="U3413" s="22">
        <f t="shared" si="297"/>
        <v>2021</v>
      </c>
      <c r="V3413" s="22" t="str">
        <f t="shared" si="298"/>
        <v>METROPOLITANA</v>
      </c>
    </row>
    <row r="3414" spans="1:22" x14ac:dyDescent="0.2">
      <c r="A3414" s="11" t="s">
        <v>4164</v>
      </c>
      <c r="B3414" s="12" t="s">
        <v>33</v>
      </c>
      <c r="C3414" s="12" t="s">
        <v>29</v>
      </c>
      <c r="D3414" s="12" t="s">
        <v>164</v>
      </c>
      <c r="E3414" s="13" t="s">
        <v>28</v>
      </c>
      <c r="F3414" s="12" t="s">
        <v>39</v>
      </c>
      <c r="G3414" s="14">
        <v>8244.0000000000036</v>
      </c>
      <c r="H3414" s="12" t="s">
        <v>22</v>
      </c>
      <c r="I3414" s="12">
        <v>1</v>
      </c>
      <c r="J3414" s="12" t="s">
        <v>39</v>
      </c>
      <c r="K3414" s="12" t="s">
        <v>23</v>
      </c>
      <c r="L3414" s="12">
        <v>1</v>
      </c>
      <c r="M3414" s="15">
        <v>90684</v>
      </c>
      <c r="N3414" s="15">
        <v>0</v>
      </c>
      <c r="O3414" s="15">
        <f t="shared" si="295"/>
        <v>90684</v>
      </c>
      <c r="P3414" s="15">
        <f t="shared" si="293"/>
        <v>10.999999999999995</v>
      </c>
      <c r="Q3414" s="14">
        <v>5000</v>
      </c>
      <c r="R3414" s="12">
        <v>100</v>
      </c>
      <c r="S3414" s="12" t="s">
        <v>4175</v>
      </c>
      <c r="T3414" s="22">
        <f t="shared" si="296"/>
        <v>10</v>
      </c>
      <c r="U3414" s="22">
        <f t="shared" si="297"/>
        <v>2021</v>
      </c>
      <c r="V3414" s="22" t="str">
        <f t="shared" si="298"/>
        <v>METROPOLITANA</v>
      </c>
    </row>
    <row r="3415" spans="1:22" x14ac:dyDescent="0.2">
      <c r="A3415" s="11" t="s">
        <v>4164</v>
      </c>
      <c r="B3415" s="12" t="s">
        <v>33</v>
      </c>
      <c r="C3415" s="12" t="s">
        <v>44</v>
      </c>
      <c r="D3415" s="12" t="s">
        <v>130</v>
      </c>
      <c r="E3415" s="13" t="s">
        <v>131</v>
      </c>
      <c r="F3415" s="12" t="s">
        <v>3139</v>
      </c>
      <c r="G3415" s="14">
        <v>7686.0000000000027</v>
      </c>
      <c r="H3415" s="12" t="s">
        <v>85</v>
      </c>
      <c r="I3415" s="12">
        <v>1</v>
      </c>
      <c r="J3415" s="12" t="s">
        <v>3139</v>
      </c>
      <c r="K3415" s="12" t="s">
        <v>93</v>
      </c>
      <c r="L3415" s="12">
        <v>0</v>
      </c>
      <c r="M3415" s="15">
        <v>620000</v>
      </c>
      <c r="N3415" s="15">
        <v>0</v>
      </c>
      <c r="O3415" s="15">
        <f t="shared" si="295"/>
        <v>620000</v>
      </c>
      <c r="P3415" s="15">
        <f t="shared" si="293"/>
        <v>80.666146239916699</v>
      </c>
      <c r="Q3415" s="14">
        <v>20000</v>
      </c>
      <c r="R3415" s="12">
        <v>38</v>
      </c>
      <c r="S3415" s="12" t="s">
        <v>4176</v>
      </c>
      <c r="T3415" s="22">
        <f t="shared" si="296"/>
        <v>10</v>
      </c>
      <c r="U3415" s="22">
        <f t="shared" si="297"/>
        <v>2021</v>
      </c>
      <c r="V3415" s="22" t="str">
        <f t="shared" si="298"/>
        <v>REGIONES</v>
      </c>
    </row>
    <row r="3416" spans="1:22" x14ac:dyDescent="0.2">
      <c r="A3416" s="11" t="s">
        <v>4164</v>
      </c>
      <c r="B3416" s="12" t="s">
        <v>33</v>
      </c>
      <c r="C3416" s="12" t="s">
        <v>44</v>
      </c>
      <c r="D3416" s="12" t="s">
        <v>38</v>
      </c>
      <c r="E3416" s="13" t="s">
        <v>25</v>
      </c>
      <c r="F3416" s="12" t="s">
        <v>34</v>
      </c>
      <c r="G3416" s="14">
        <v>5522.6</v>
      </c>
      <c r="H3416" s="12" t="s">
        <v>43</v>
      </c>
      <c r="I3416" s="12">
        <v>0</v>
      </c>
      <c r="J3416" s="12" t="s">
        <v>34</v>
      </c>
      <c r="K3416" s="12" t="s">
        <v>23</v>
      </c>
      <c r="L3416" s="12">
        <v>1</v>
      </c>
      <c r="M3416" s="15">
        <v>60749</v>
      </c>
      <c r="N3416" s="15">
        <v>0</v>
      </c>
      <c r="O3416" s="15">
        <f t="shared" si="295"/>
        <v>60749</v>
      </c>
      <c r="P3416" s="15">
        <f t="shared" si="293"/>
        <v>11.000072429652699</v>
      </c>
      <c r="Q3416" s="14">
        <v>5000</v>
      </c>
      <c r="R3416" s="12">
        <v>100</v>
      </c>
      <c r="S3416" s="12" t="s">
        <v>4177</v>
      </c>
      <c r="T3416" s="22">
        <f t="shared" si="296"/>
        <v>10</v>
      </c>
      <c r="U3416" s="22">
        <f t="shared" si="297"/>
        <v>2021</v>
      </c>
      <c r="V3416" s="22" t="str">
        <f t="shared" si="298"/>
        <v>METROPOLITANA</v>
      </c>
    </row>
    <row r="3417" spans="1:22" x14ac:dyDescent="0.2">
      <c r="A3417" s="11" t="s">
        <v>4164</v>
      </c>
      <c r="B3417" s="12" t="s">
        <v>33</v>
      </c>
      <c r="C3417" s="12" t="s">
        <v>44</v>
      </c>
      <c r="D3417" s="12" t="s">
        <v>37</v>
      </c>
      <c r="E3417" s="13" t="s">
        <v>40</v>
      </c>
      <c r="F3417" s="12" t="s">
        <v>48</v>
      </c>
      <c r="G3417" s="14">
        <v>5400.8000000000011</v>
      </c>
      <c r="H3417" s="12" t="s">
        <v>22</v>
      </c>
      <c r="I3417" s="12">
        <v>0</v>
      </c>
      <c r="J3417" s="12" t="s">
        <v>48</v>
      </c>
      <c r="K3417" s="12" t="s">
        <v>23</v>
      </c>
      <c r="L3417" s="12">
        <v>1</v>
      </c>
      <c r="M3417" s="15">
        <v>59409</v>
      </c>
      <c r="N3417" s="15">
        <v>0</v>
      </c>
      <c r="O3417" s="15">
        <f t="shared" si="295"/>
        <v>59409</v>
      </c>
      <c r="P3417" s="15">
        <f t="shared" si="293"/>
        <v>11.00003703155088</v>
      </c>
      <c r="Q3417" s="14">
        <v>5000</v>
      </c>
      <c r="R3417" s="12">
        <v>100</v>
      </c>
      <c r="S3417" s="12" t="s">
        <v>4178</v>
      </c>
      <c r="T3417" s="22">
        <f t="shared" si="296"/>
        <v>10</v>
      </c>
      <c r="U3417" s="22">
        <f t="shared" si="297"/>
        <v>2021</v>
      </c>
      <c r="V3417" s="22" t="str">
        <f t="shared" si="298"/>
        <v>METROPOLITANA</v>
      </c>
    </row>
    <row r="3418" spans="1:22" x14ac:dyDescent="0.2">
      <c r="A3418" s="11" t="s">
        <v>4164</v>
      </c>
      <c r="B3418" s="12" t="s">
        <v>33</v>
      </c>
      <c r="C3418" s="12" t="s">
        <v>44</v>
      </c>
      <c r="D3418" s="12" t="s">
        <v>47</v>
      </c>
      <c r="E3418" s="13" t="s">
        <v>1576</v>
      </c>
      <c r="F3418" s="12" t="s">
        <v>67</v>
      </c>
      <c r="G3418" s="14">
        <v>5981.4999999999991</v>
      </c>
      <c r="H3418" s="12" t="s">
        <v>22</v>
      </c>
      <c r="I3418" s="12">
        <v>0</v>
      </c>
      <c r="J3418" s="12" t="s">
        <v>67</v>
      </c>
      <c r="K3418" s="12" t="s">
        <v>23</v>
      </c>
      <c r="L3418" s="12">
        <v>2</v>
      </c>
      <c r="M3418" s="15">
        <v>65796</v>
      </c>
      <c r="N3418" s="15">
        <v>0</v>
      </c>
      <c r="O3418" s="15">
        <f t="shared" si="295"/>
        <v>65796</v>
      </c>
      <c r="P3418" s="15">
        <f t="shared" si="293"/>
        <v>10.999916408927529</v>
      </c>
      <c r="Q3418" s="14">
        <v>5000</v>
      </c>
      <c r="R3418" s="12">
        <v>100</v>
      </c>
      <c r="S3418" s="12" t="s">
        <v>4179</v>
      </c>
      <c r="T3418" s="22">
        <f t="shared" si="296"/>
        <v>10</v>
      </c>
      <c r="U3418" s="22">
        <f t="shared" si="297"/>
        <v>2021</v>
      </c>
      <c r="V3418" s="22" t="str">
        <f t="shared" si="298"/>
        <v>METROPOLITANA</v>
      </c>
    </row>
    <row r="3419" spans="1:22" x14ac:dyDescent="0.2">
      <c r="A3419" s="11" t="s">
        <v>4164</v>
      </c>
      <c r="B3419" s="12" t="s">
        <v>33</v>
      </c>
      <c r="C3419" s="12" t="s">
        <v>44</v>
      </c>
      <c r="D3419" s="12" t="s">
        <v>35</v>
      </c>
      <c r="E3419" s="13" t="s">
        <v>52</v>
      </c>
      <c r="F3419" s="12" t="s">
        <v>26</v>
      </c>
      <c r="G3419" s="14">
        <v>3976.54</v>
      </c>
      <c r="H3419" s="12" t="s">
        <v>22</v>
      </c>
      <c r="I3419" s="12">
        <v>0</v>
      </c>
      <c r="J3419" s="12" t="s">
        <v>26</v>
      </c>
      <c r="K3419" s="12" t="s">
        <v>23</v>
      </c>
      <c r="L3419" s="12">
        <v>4</v>
      </c>
      <c r="M3419" s="15">
        <v>55000</v>
      </c>
      <c r="N3419" s="15">
        <v>0</v>
      </c>
      <c r="O3419" s="15">
        <f t="shared" si="295"/>
        <v>55000</v>
      </c>
      <c r="P3419" s="15">
        <f t="shared" si="293"/>
        <v>13.831119515961111</v>
      </c>
      <c r="Q3419" s="14">
        <v>5000</v>
      </c>
      <c r="R3419" s="12">
        <v>80</v>
      </c>
      <c r="S3419" s="12" t="s">
        <v>4180</v>
      </c>
      <c r="T3419" s="22">
        <f t="shared" si="296"/>
        <v>10</v>
      </c>
      <c r="U3419" s="22">
        <f t="shared" si="297"/>
        <v>2021</v>
      </c>
      <c r="V3419" s="22" t="str">
        <f t="shared" si="298"/>
        <v>METROPOLITANA</v>
      </c>
    </row>
    <row r="3420" spans="1:22" x14ac:dyDescent="0.2">
      <c r="A3420" s="23" t="s">
        <v>4182</v>
      </c>
      <c r="B3420" s="22" t="s">
        <v>18</v>
      </c>
      <c r="C3420" s="22" t="s">
        <v>270</v>
      </c>
      <c r="D3420" s="22" t="s">
        <v>786</v>
      </c>
      <c r="E3420" s="24" t="s">
        <v>787</v>
      </c>
      <c r="F3420" s="22" t="s">
        <v>120</v>
      </c>
      <c r="G3420" s="25">
        <v>19051.470000000008</v>
      </c>
      <c r="H3420" s="22" t="s">
        <v>788</v>
      </c>
      <c r="I3420" s="22">
        <v>1</v>
      </c>
      <c r="J3420" s="22" t="s">
        <v>120</v>
      </c>
      <c r="K3420" s="22" t="s">
        <v>23</v>
      </c>
      <c r="L3420" s="22">
        <v>5</v>
      </c>
      <c r="M3420" s="26">
        <v>120000</v>
      </c>
      <c r="N3420" s="26">
        <v>0</v>
      </c>
      <c r="O3420" s="15">
        <f t="shared" si="295"/>
        <v>120000</v>
      </c>
      <c r="P3420" s="15">
        <f t="shared" si="293"/>
        <v>6.2987265549587486</v>
      </c>
      <c r="Q3420" s="25">
        <v>10000</v>
      </c>
      <c r="R3420" s="22">
        <v>100</v>
      </c>
      <c r="S3420" s="22" t="s">
        <v>4183</v>
      </c>
      <c r="T3420" s="22">
        <f t="shared" si="296"/>
        <v>10</v>
      </c>
      <c r="U3420" s="22">
        <f t="shared" si="297"/>
        <v>2021</v>
      </c>
      <c r="V3420" s="22" t="str">
        <f t="shared" si="298"/>
        <v>METROPOLITANA</v>
      </c>
    </row>
    <row r="3421" spans="1:22" x14ac:dyDescent="0.2">
      <c r="A3421" s="23" t="s">
        <v>4182</v>
      </c>
      <c r="B3421" s="22" t="s">
        <v>18</v>
      </c>
      <c r="C3421" s="22" t="s">
        <v>57</v>
      </c>
      <c r="D3421" s="22" t="s">
        <v>38</v>
      </c>
      <c r="E3421" s="24" t="s">
        <v>25</v>
      </c>
      <c r="F3421" s="22" t="s">
        <v>3835</v>
      </c>
      <c r="G3421" s="25">
        <v>8090.5200000000023</v>
      </c>
      <c r="H3421" s="22" t="s">
        <v>43</v>
      </c>
      <c r="I3421" s="22">
        <v>0</v>
      </c>
      <c r="J3421" s="22" t="s">
        <v>3835</v>
      </c>
      <c r="K3421" s="22" t="s">
        <v>171</v>
      </c>
      <c r="L3421" s="22">
        <v>0</v>
      </c>
      <c r="M3421" s="26">
        <v>180000</v>
      </c>
      <c r="N3421" s="26">
        <v>0</v>
      </c>
      <c r="O3421" s="15">
        <f t="shared" si="295"/>
        <v>180000</v>
      </c>
      <c r="P3421" s="15">
        <f t="shared" si="293"/>
        <v>22.248260927604154</v>
      </c>
      <c r="Q3421" s="25">
        <v>20000</v>
      </c>
      <c r="R3421" s="22">
        <v>40</v>
      </c>
      <c r="S3421" s="22" t="s">
        <v>4184</v>
      </c>
      <c r="T3421" s="22">
        <f t="shared" si="296"/>
        <v>10</v>
      </c>
      <c r="U3421" s="22">
        <f t="shared" si="297"/>
        <v>2021</v>
      </c>
      <c r="V3421" s="22" t="str">
        <f t="shared" si="298"/>
        <v>REGIONES</v>
      </c>
    </row>
    <row r="3422" spans="1:22" x14ac:dyDescent="0.2">
      <c r="A3422" s="23" t="s">
        <v>4182</v>
      </c>
      <c r="B3422" s="22" t="s">
        <v>18</v>
      </c>
      <c r="C3422" s="22" t="s">
        <v>19</v>
      </c>
      <c r="D3422" s="22" t="s">
        <v>37</v>
      </c>
      <c r="E3422" s="24" t="s">
        <v>40</v>
      </c>
      <c r="F3422" s="22" t="s">
        <v>418</v>
      </c>
      <c r="G3422" s="25">
        <v>7913.3199999999979</v>
      </c>
      <c r="H3422" s="22" t="s">
        <v>22</v>
      </c>
      <c r="I3422" s="22">
        <v>0</v>
      </c>
      <c r="J3422" s="22" t="s">
        <v>418</v>
      </c>
      <c r="K3422" s="22" t="s">
        <v>171</v>
      </c>
      <c r="L3422" s="22">
        <v>0</v>
      </c>
      <c r="M3422" s="26">
        <v>230000</v>
      </c>
      <c r="N3422" s="26">
        <v>0</v>
      </c>
      <c r="O3422" s="15">
        <f t="shared" si="295"/>
        <v>230000</v>
      </c>
      <c r="P3422" s="15">
        <f t="shared" si="293"/>
        <v>29.064918390763935</v>
      </c>
      <c r="Q3422" s="25">
        <v>20000</v>
      </c>
      <c r="R3422" s="22">
        <v>40</v>
      </c>
      <c r="S3422" s="22" t="s">
        <v>4185</v>
      </c>
      <c r="T3422" s="22">
        <f t="shared" si="296"/>
        <v>10</v>
      </c>
      <c r="U3422" s="22">
        <f t="shared" si="297"/>
        <v>2021</v>
      </c>
      <c r="V3422" s="22" t="str">
        <f t="shared" si="298"/>
        <v>REGIONES</v>
      </c>
    </row>
    <row r="3423" spans="1:22" x14ac:dyDescent="0.2">
      <c r="A3423" s="23" t="s">
        <v>4182</v>
      </c>
      <c r="B3423" s="22" t="s">
        <v>18</v>
      </c>
      <c r="C3423" s="22" t="s">
        <v>1722</v>
      </c>
      <c r="D3423" s="22" t="s">
        <v>20</v>
      </c>
      <c r="E3423" s="24" t="s">
        <v>21</v>
      </c>
      <c r="F3423" s="22" t="s">
        <v>26</v>
      </c>
      <c r="G3423" s="25">
        <v>7445.9999999999973</v>
      </c>
      <c r="H3423" s="22" t="s">
        <v>22</v>
      </c>
      <c r="I3423" s="22">
        <v>0</v>
      </c>
      <c r="J3423" s="22" t="s">
        <v>26</v>
      </c>
      <c r="K3423" s="22" t="s">
        <v>23</v>
      </c>
      <c r="L3423" s="22">
        <v>4</v>
      </c>
      <c r="M3423" s="26">
        <v>81906</v>
      </c>
      <c r="N3423" s="26">
        <v>0</v>
      </c>
      <c r="O3423" s="15">
        <f t="shared" si="295"/>
        <v>81906</v>
      </c>
      <c r="P3423" s="15">
        <f t="shared" si="293"/>
        <v>11.000000000000004</v>
      </c>
      <c r="Q3423" s="25">
        <v>5000</v>
      </c>
      <c r="R3423" s="22">
        <v>100</v>
      </c>
      <c r="S3423" s="22" t="s">
        <v>4186</v>
      </c>
      <c r="T3423" s="22">
        <f t="shared" si="296"/>
        <v>10</v>
      </c>
      <c r="U3423" s="22">
        <f t="shared" si="297"/>
        <v>2021</v>
      </c>
      <c r="V3423" s="22" t="str">
        <f t="shared" si="298"/>
        <v>METROPOLITANA</v>
      </c>
    </row>
    <row r="3424" spans="1:22" x14ac:dyDescent="0.2">
      <c r="A3424" s="23" t="s">
        <v>4182</v>
      </c>
      <c r="B3424" s="22" t="s">
        <v>33</v>
      </c>
      <c r="C3424" s="22" t="s">
        <v>223</v>
      </c>
      <c r="D3424" s="22" t="s">
        <v>867</v>
      </c>
      <c r="E3424" s="24" t="s">
        <v>868</v>
      </c>
      <c r="F3424" s="22" t="s">
        <v>92</v>
      </c>
      <c r="G3424" s="25">
        <v>8244.0000000000036</v>
      </c>
      <c r="H3424" s="22" t="s">
        <v>85</v>
      </c>
      <c r="I3424" s="22">
        <v>1</v>
      </c>
      <c r="J3424" s="22" t="s">
        <v>92</v>
      </c>
      <c r="K3424" s="22" t="s">
        <v>93</v>
      </c>
      <c r="L3424" s="22">
        <v>0</v>
      </c>
      <c r="M3424" s="26">
        <v>620000</v>
      </c>
      <c r="N3424" s="26">
        <v>0</v>
      </c>
      <c r="O3424" s="15">
        <f t="shared" si="295"/>
        <v>620000</v>
      </c>
      <c r="P3424" s="15">
        <f t="shared" si="293"/>
        <v>75.206210577389584</v>
      </c>
      <c r="Q3424" s="25">
        <v>20000</v>
      </c>
      <c r="R3424" s="22">
        <v>41</v>
      </c>
      <c r="S3424" s="22" t="s">
        <v>4187</v>
      </c>
      <c r="T3424" s="22">
        <f t="shared" si="296"/>
        <v>10</v>
      </c>
      <c r="U3424" s="22">
        <f t="shared" si="297"/>
        <v>2021</v>
      </c>
      <c r="V3424" s="22" t="str">
        <f t="shared" si="298"/>
        <v>REGIONES</v>
      </c>
    </row>
    <row r="3425" spans="1:22" x14ac:dyDescent="0.2">
      <c r="A3425" s="23" t="s">
        <v>4182</v>
      </c>
      <c r="B3425" s="22" t="s">
        <v>33</v>
      </c>
      <c r="C3425" s="22" t="s">
        <v>29</v>
      </c>
      <c r="D3425" s="22" t="s">
        <v>63</v>
      </c>
      <c r="E3425" s="24" t="s">
        <v>64</v>
      </c>
      <c r="F3425" s="22" t="s">
        <v>129</v>
      </c>
      <c r="G3425" s="25">
        <v>9004.7999999999975</v>
      </c>
      <c r="H3425" s="22" t="s">
        <v>65</v>
      </c>
      <c r="I3425" s="22">
        <v>0</v>
      </c>
      <c r="J3425" s="22" t="s">
        <v>129</v>
      </c>
      <c r="K3425" s="22" t="s">
        <v>23</v>
      </c>
      <c r="L3425" s="22">
        <v>1</v>
      </c>
      <c r="M3425" s="26">
        <v>99053</v>
      </c>
      <c r="N3425" s="26">
        <v>0</v>
      </c>
      <c r="O3425" s="15">
        <f t="shared" si="295"/>
        <v>99053</v>
      </c>
      <c r="P3425" s="15">
        <f t="shared" ref="P3425:P3488" si="299">O3425/G3425</f>
        <v>11.000022210376692</v>
      </c>
      <c r="Q3425" s="25">
        <v>5000</v>
      </c>
      <c r="R3425" s="22">
        <v>100</v>
      </c>
      <c r="S3425" s="22" t="s">
        <v>4188</v>
      </c>
      <c r="T3425" s="22">
        <f t="shared" si="296"/>
        <v>10</v>
      </c>
      <c r="U3425" s="22">
        <f t="shared" si="297"/>
        <v>2021</v>
      </c>
      <c r="V3425" s="22" t="str">
        <f t="shared" si="298"/>
        <v>METROPOLITANA</v>
      </c>
    </row>
    <row r="3426" spans="1:22" x14ac:dyDescent="0.2">
      <c r="A3426" s="23" t="s">
        <v>4182</v>
      </c>
      <c r="B3426" s="22" t="s">
        <v>33</v>
      </c>
      <c r="C3426" s="22" t="s">
        <v>29</v>
      </c>
      <c r="D3426" s="22" t="s">
        <v>47</v>
      </c>
      <c r="E3426" s="24" t="s">
        <v>1576</v>
      </c>
      <c r="F3426" s="22" t="s">
        <v>134</v>
      </c>
      <c r="G3426" s="25">
        <v>6003.1999999999989</v>
      </c>
      <c r="H3426" s="22" t="s">
        <v>22</v>
      </c>
      <c r="I3426" s="22">
        <v>0</v>
      </c>
      <c r="J3426" s="22" t="s">
        <v>134</v>
      </c>
      <c r="K3426" s="22" t="s">
        <v>23</v>
      </c>
      <c r="L3426" s="22">
        <v>2</v>
      </c>
      <c r="M3426" s="26">
        <v>66035</v>
      </c>
      <c r="N3426" s="26">
        <v>0</v>
      </c>
      <c r="O3426" s="15">
        <f t="shared" si="295"/>
        <v>66035</v>
      </c>
      <c r="P3426" s="15">
        <f t="shared" si="299"/>
        <v>10.99996668443497</v>
      </c>
      <c r="Q3426" s="25">
        <v>5000</v>
      </c>
      <c r="R3426" s="22">
        <v>100</v>
      </c>
      <c r="S3426" s="22" t="s">
        <v>4189</v>
      </c>
      <c r="T3426" s="22">
        <f t="shared" si="296"/>
        <v>10</v>
      </c>
      <c r="U3426" s="22">
        <f t="shared" si="297"/>
        <v>2021</v>
      </c>
      <c r="V3426" s="22" t="str">
        <f t="shared" si="298"/>
        <v>METROPOLITANA</v>
      </c>
    </row>
    <row r="3427" spans="1:22" x14ac:dyDescent="0.2">
      <c r="A3427" s="23" t="s">
        <v>4182</v>
      </c>
      <c r="B3427" s="22" t="s">
        <v>33</v>
      </c>
      <c r="C3427" s="22" t="s">
        <v>29</v>
      </c>
      <c r="D3427" s="22" t="s">
        <v>35</v>
      </c>
      <c r="E3427" s="24" t="s">
        <v>52</v>
      </c>
      <c r="F3427" s="22" t="s">
        <v>134</v>
      </c>
      <c r="G3427" s="25">
        <v>6801.5999999999995</v>
      </c>
      <c r="H3427" s="22" t="s">
        <v>22</v>
      </c>
      <c r="I3427" s="22">
        <v>0</v>
      </c>
      <c r="J3427" s="22" t="s">
        <v>134</v>
      </c>
      <c r="K3427" s="22" t="s">
        <v>23</v>
      </c>
      <c r="L3427" s="22">
        <v>2</v>
      </c>
      <c r="M3427" s="26">
        <v>74818</v>
      </c>
      <c r="N3427" s="26">
        <v>0</v>
      </c>
      <c r="O3427" s="15">
        <f t="shared" si="295"/>
        <v>74818</v>
      </c>
      <c r="P3427" s="15">
        <f t="shared" si="299"/>
        <v>11.000058809691838</v>
      </c>
      <c r="Q3427" s="25">
        <v>5000</v>
      </c>
      <c r="R3427" s="22">
        <v>100</v>
      </c>
      <c r="S3427" s="22" t="s">
        <v>4190</v>
      </c>
      <c r="T3427" s="22">
        <f t="shared" si="296"/>
        <v>10</v>
      </c>
      <c r="U3427" s="22">
        <f t="shared" si="297"/>
        <v>2021</v>
      </c>
      <c r="V3427" s="22" t="str">
        <f t="shared" si="298"/>
        <v>METROPOLITANA</v>
      </c>
    </row>
    <row r="3428" spans="1:22" x14ac:dyDescent="0.2">
      <c r="A3428" s="23" t="s">
        <v>4182</v>
      </c>
      <c r="B3428" s="22" t="s">
        <v>33</v>
      </c>
      <c r="C3428" s="22" t="s">
        <v>44</v>
      </c>
      <c r="D3428" s="22" t="s">
        <v>130</v>
      </c>
      <c r="E3428" s="24" t="s">
        <v>131</v>
      </c>
      <c r="F3428" s="22" t="s">
        <v>4191</v>
      </c>
      <c r="G3428" s="25">
        <v>7686.0000000000045</v>
      </c>
      <c r="H3428" s="22" t="s">
        <v>85</v>
      </c>
      <c r="I3428" s="22">
        <v>1</v>
      </c>
      <c r="J3428" s="22" t="s">
        <v>4191</v>
      </c>
      <c r="K3428" s="22" t="s">
        <v>93</v>
      </c>
      <c r="L3428" s="22">
        <v>0</v>
      </c>
      <c r="M3428" s="26">
        <v>620000</v>
      </c>
      <c r="N3428" s="26">
        <v>0</v>
      </c>
      <c r="O3428" s="15">
        <f t="shared" si="295"/>
        <v>620000</v>
      </c>
      <c r="P3428" s="15">
        <f t="shared" si="299"/>
        <v>80.666146239916685</v>
      </c>
      <c r="Q3428" s="25">
        <v>20000</v>
      </c>
      <c r="R3428" s="22">
        <v>38</v>
      </c>
      <c r="S3428" s="22" t="s">
        <v>4192</v>
      </c>
      <c r="T3428" s="22">
        <f t="shared" si="296"/>
        <v>10</v>
      </c>
      <c r="U3428" s="22">
        <f t="shared" si="297"/>
        <v>2021</v>
      </c>
      <c r="V3428" s="22" t="str">
        <f t="shared" si="298"/>
        <v>REGIONES</v>
      </c>
    </row>
    <row r="3429" spans="1:22" x14ac:dyDescent="0.2">
      <c r="A3429" s="23" t="s">
        <v>4182</v>
      </c>
      <c r="B3429" s="22" t="s">
        <v>33</v>
      </c>
      <c r="C3429" s="22" t="s">
        <v>44</v>
      </c>
      <c r="D3429" s="22" t="s">
        <v>1170</v>
      </c>
      <c r="E3429" s="24" t="s">
        <v>81</v>
      </c>
      <c r="F3429" s="22" t="s">
        <v>3139</v>
      </c>
      <c r="G3429" s="25">
        <v>14851.8</v>
      </c>
      <c r="H3429" s="22" t="s">
        <v>24</v>
      </c>
      <c r="I3429" s="22">
        <v>1</v>
      </c>
      <c r="J3429" s="22" t="s">
        <v>3139</v>
      </c>
      <c r="K3429" s="22" t="s">
        <v>93</v>
      </c>
      <c r="L3429" s="22">
        <v>0</v>
      </c>
      <c r="M3429" s="26">
        <v>620000</v>
      </c>
      <c r="N3429" s="26">
        <v>0</v>
      </c>
      <c r="O3429" s="15">
        <f t="shared" si="295"/>
        <v>620000</v>
      </c>
      <c r="P3429" s="15">
        <f t="shared" si="299"/>
        <v>41.745781656095559</v>
      </c>
      <c r="Q3429" s="25">
        <v>20000</v>
      </c>
      <c r="R3429" s="22">
        <v>74</v>
      </c>
      <c r="S3429" s="22" t="s">
        <v>4193</v>
      </c>
      <c r="T3429" s="22">
        <f t="shared" si="296"/>
        <v>10</v>
      </c>
      <c r="U3429" s="22">
        <f t="shared" si="297"/>
        <v>2021</v>
      </c>
      <c r="V3429" s="22" t="str">
        <f t="shared" si="298"/>
        <v>REGIONES</v>
      </c>
    </row>
    <row r="3430" spans="1:22" x14ac:dyDescent="0.2">
      <c r="A3430" s="65" t="s">
        <v>4182</v>
      </c>
      <c r="B3430" s="66" t="s">
        <v>33</v>
      </c>
      <c r="C3430" s="66" t="s">
        <v>44</v>
      </c>
      <c r="D3430" s="66" t="s">
        <v>35</v>
      </c>
      <c r="E3430" s="67" t="s">
        <v>52</v>
      </c>
      <c r="F3430" s="66" t="s">
        <v>134</v>
      </c>
      <c r="G3430" s="68">
        <v>5389.4</v>
      </c>
      <c r="H3430" s="66" t="s">
        <v>22</v>
      </c>
      <c r="I3430" s="66">
        <v>0</v>
      </c>
      <c r="J3430" s="66" t="s">
        <v>134</v>
      </c>
      <c r="K3430" s="66" t="s">
        <v>23</v>
      </c>
      <c r="L3430" s="66">
        <v>2</v>
      </c>
      <c r="M3430" s="69">
        <v>59283</v>
      </c>
      <c r="N3430" s="69">
        <v>0</v>
      </c>
      <c r="O3430" s="15">
        <f t="shared" si="295"/>
        <v>59283</v>
      </c>
      <c r="P3430" s="15">
        <f t="shared" si="299"/>
        <v>10.999925780235277</v>
      </c>
      <c r="Q3430" s="68">
        <v>5000</v>
      </c>
      <c r="R3430" s="66">
        <v>100</v>
      </c>
      <c r="S3430" s="66" t="s">
        <v>4194</v>
      </c>
      <c r="T3430" s="22">
        <f t="shared" si="296"/>
        <v>10</v>
      </c>
      <c r="U3430" s="22">
        <f t="shared" si="297"/>
        <v>2021</v>
      </c>
      <c r="V3430" s="22" t="str">
        <f t="shared" si="298"/>
        <v>METROPOLITANA</v>
      </c>
    </row>
    <row r="3431" spans="1:22" x14ac:dyDescent="0.2">
      <c r="A3431" s="65" t="s">
        <v>4195</v>
      </c>
      <c r="B3431" s="66" t="s">
        <v>18</v>
      </c>
      <c r="C3431" s="66" t="s">
        <v>163</v>
      </c>
      <c r="D3431" s="66" t="s">
        <v>37</v>
      </c>
      <c r="E3431" s="67" t="s">
        <v>2796</v>
      </c>
      <c r="F3431" s="66" t="s">
        <v>165</v>
      </c>
      <c r="G3431" s="68">
        <v>15167.000000000009</v>
      </c>
      <c r="H3431" s="66" t="s">
        <v>22</v>
      </c>
      <c r="I3431" s="66">
        <v>0</v>
      </c>
      <c r="J3431" s="66" t="s">
        <v>165</v>
      </c>
      <c r="K3431" s="66" t="s">
        <v>23</v>
      </c>
      <c r="L3431" s="66">
        <v>4</v>
      </c>
      <c r="M3431" s="69">
        <v>166837</v>
      </c>
      <c r="N3431" s="69">
        <v>0</v>
      </c>
      <c r="O3431" s="15">
        <f t="shared" ref="O3431:O3462" si="300">SUM(M3431:N3431)</f>
        <v>166837</v>
      </c>
      <c r="P3431" s="15">
        <f t="shared" si="299"/>
        <v>10.999999999999993</v>
      </c>
      <c r="Q3431" s="68">
        <v>5000</v>
      </c>
      <c r="R3431" s="66">
        <v>100</v>
      </c>
      <c r="S3431" s="66" t="s">
        <v>4196</v>
      </c>
      <c r="T3431" s="22">
        <f t="shared" si="296"/>
        <v>10</v>
      </c>
      <c r="U3431" s="22">
        <f t="shared" si="297"/>
        <v>2021</v>
      </c>
      <c r="V3431" s="22" t="str">
        <f t="shared" si="298"/>
        <v>METROPOLITANA</v>
      </c>
    </row>
    <row r="3432" spans="1:22" x14ac:dyDescent="0.2">
      <c r="A3432" s="65" t="s">
        <v>4195</v>
      </c>
      <c r="B3432" s="66" t="s">
        <v>33</v>
      </c>
      <c r="C3432" s="66" t="s">
        <v>36</v>
      </c>
      <c r="D3432" s="66" t="s">
        <v>35</v>
      </c>
      <c r="E3432" s="67" t="s">
        <v>52</v>
      </c>
      <c r="F3432" s="66" t="s">
        <v>51</v>
      </c>
      <c r="G3432" s="68">
        <v>4300.8</v>
      </c>
      <c r="H3432" s="66" t="s">
        <v>22</v>
      </c>
      <c r="I3432" s="66">
        <v>0</v>
      </c>
      <c r="J3432" s="66" t="s">
        <v>51</v>
      </c>
      <c r="K3432" s="66" t="s">
        <v>23</v>
      </c>
      <c r="L3432" s="66">
        <v>4</v>
      </c>
      <c r="M3432" s="69">
        <v>55000</v>
      </c>
      <c r="N3432" s="69">
        <v>0</v>
      </c>
      <c r="O3432" s="15">
        <f t="shared" si="300"/>
        <v>55000</v>
      </c>
      <c r="P3432" s="15">
        <f t="shared" si="299"/>
        <v>12.788318452380953</v>
      </c>
      <c r="Q3432" s="68">
        <v>5000</v>
      </c>
      <c r="R3432" s="66">
        <v>86</v>
      </c>
      <c r="S3432" s="66" t="s">
        <v>4197</v>
      </c>
      <c r="T3432" s="22">
        <f t="shared" si="296"/>
        <v>10</v>
      </c>
      <c r="U3432" s="22">
        <f t="shared" si="297"/>
        <v>2021</v>
      </c>
      <c r="V3432" s="22" t="str">
        <f t="shared" si="298"/>
        <v>METROPOLITANA</v>
      </c>
    </row>
    <row r="3433" spans="1:22" x14ac:dyDescent="0.2">
      <c r="A3433" s="65" t="s">
        <v>4195</v>
      </c>
      <c r="B3433" s="66" t="s">
        <v>33</v>
      </c>
      <c r="C3433" s="66" t="s">
        <v>2862</v>
      </c>
      <c r="D3433" s="66" t="s">
        <v>37</v>
      </c>
      <c r="E3433" s="67" t="s">
        <v>40</v>
      </c>
      <c r="F3433" s="66" t="s">
        <v>129</v>
      </c>
      <c r="G3433" s="68">
        <v>5951.4</v>
      </c>
      <c r="H3433" s="66" t="s">
        <v>22</v>
      </c>
      <c r="I3433" s="66">
        <v>0</v>
      </c>
      <c r="J3433" s="66" t="s">
        <v>129</v>
      </c>
      <c r="K3433" s="66" t="s">
        <v>23</v>
      </c>
      <c r="L3433" s="66">
        <v>1</v>
      </c>
      <c r="M3433" s="69">
        <v>65465</v>
      </c>
      <c r="N3433" s="69">
        <v>0</v>
      </c>
      <c r="O3433" s="15">
        <f t="shared" si="300"/>
        <v>65465</v>
      </c>
      <c r="P3433" s="15">
        <f t="shared" si="299"/>
        <v>10.999932788923616</v>
      </c>
      <c r="Q3433" s="68">
        <v>5000</v>
      </c>
      <c r="R3433" s="66">
        <v>100</v>
      </c>
      <c r="S3433" s="66" t="s">
        <v>4198</v>
      </c>
      <c r="T3433" s="22">
        <f t="shared" si="296"/>
        <v>10</v>
      </c>
      <c r="U3433" s="22">
        <f t="shared" si="297"/>
        <v>2021</v>
      </c>
      <c r="V3433" s="22" t="str">
        <f t="shared" si="298"/>
        <v>METROPOLITANA</v>
      </c>
    </row>
    <row r="3434" spans="1:22" x14ac:dyDescent="0.2">
      <c r="A3434" s="65" t="s">
        <v>4195</v>
      </c>
      <c r="B3434" s="66" t="s">
        <v>33</v>
      </c>
      <c r="C3434" s="66" t="s">
        <v>29</v>
      </c>
      <c r="D3434" s="66" t="s">
        <v>63</v>
      </c>
      <c r="E3434" s="67" t="s">
        <v>64</v>
      </c>
      <c r="F3434" s="66" t="s">
        <v>134</v>
      </c>
      <c r="G3434" s="68">
        <v>7503.9999999999973</v>
      </c>
      <c r="H3434" s="66" t="s">
        <v>65</v>
      </c>
      <c r="I3434" s="66">
        <v>0</v>
      </c>
      <c r="J3434" s="66" t="s">
        <v>134</v>
      </c>
      <c r="K3434" s="66" t="s">
        <v>23</v>
      </c>
      <c r="L3434" s="66">
        <v>2</v>
      </c>
      <c r="M3434" s="69">
        <v>82544</v>
      </c>
      <c r="N3434" s="69">
        <v>0</v>
      </c>
      <c r="O3434" s="15">
        <f t="shared" si="300"/>
        <v>82544</v>
      </c>
      <c r="P3434" s="15">
        <f t="shared" si="299"/>
        <v>11.000000000000004</v>
      </c>
      <c r="Q3434" s="68">
        <v>5000</v>
      </c>
      <c r="R3434" s="66">
        <v>100</v>
      </c>
      <c r="S3434" s="66" t="s">
        <v>4199</v>
      </c>
      <c r="T3434" s="22">
        <f t="shared" si="296"/>
        <v>10</v>
      </c>
      <c r="U3434" s="22">
        <f t="shared" si="297"/>
        <v>2021</v>
      </c>
      <c r="V3434" s="22" t="str">
        <f t="shared" si="298"/>
        <v>METROPOLITANA</v>
      </c>
    </row>
    <row r="3435" spans="1:22" x14ac:dyDescent="0.2">
      <c r="A3435" s="65" t="s">
        <v>4195</v>
      </c>
      <c r="B3435" s="66" t="s">
        <v>33</v>
      </c>
      <c r="C3435" s="66" t="s">
        <v>29</v>
      </c>
      <c r="D3435" s="66" t="s">
        <v>35</v>
      </c>
      <c r="E3435" s="67" t="s">
        <v>52</v>
      </c>
      <c r="F3435" s="66" t="s">
        <v>134</v>
      </c>
      <c r="G3435" s="68">
        <v>6801.5999999999995</v>
      </c>
      <c r="H3435" s="66" t="s">
        <v>22</v>
      </c>
      <c r="I3435" s="66">
        <v>0</v>
      </c>
      <c r="J3435" s="66" t="s">
        <v>134</v>
      </c>
      <c r="K3435" s="66" t="s">
        <v>23</v>
      </c>
      <c r="L3435" s="66">
        <v>2</v>
      </c>
      <c r="M3435" s="69">
        <v>74818</v>
      </c>
      <c r="N3435" s="69">
        <v>0</v>
      </c>
      <c r="O3435" s="15">
        <f t="shared" si="300"/>
        <v>74818</v>
      </c>
      <c r="P3435" s="15">
        <f t="shared" si="299"/>
        <v>11.000058809691838</v>
      </c>
      <c r="Q3435" s="68">
        <v>5000</v>
      </c>
      <c r="R3435" s="66">
        <v>100</v>
      </c>
      <c r="S3435" s="66" t="s">
        <v>4200</v>
      </c>
      <c r="T3435" s="22">
        <f t="shared" si="296"/>
        <v>10</v>
      </c>
      <c r="U3435" s="22">
        <f t="shared" si="297"/>
        <v>2021</v>
      </c>
      <c r="V3435" s="22" t="str">
        <f t="shared" si="298"/>
        <v>METROPOLITANA</v>
      </c>
    </row>
    <row r="3436" spans="1:22" x14ac:dyDescent="0.2">
      <c r="A3436" s="65" t="s">
        <v>4195</v>
      </c>
      <c r="B3436" s="66" t="s">
        <v>33</v>
      </c>
      <c r="C3436" s="66" t="s">
        <v>2698</v>
      </c>
      <c r="D3436" s="66" t="s">
        <v>38</v>
      </c>
      <c r="E3436" s="67" t="s">
        <v>25</v>
      </c>
      <c r="F3436" s="66" t="s">
        <v>51</v>
      </c>
      <c r="G3436" s="68">
        <v>10022.85</v>
      </c>
      <c r="H3436" s="66" t="s">
        <v>43</v>
      </c>
      <c r="I3436" s="66">
        <v>0</v>
      </c>
      <c r="J3436" s="66" t="s">
        <v>51</v>
      </c>
      <c r="K3436" s="66" t="s">
        <v>23</v>
      </c>
      <c r="L3436" s="66">
        <v>4</v>
      </c>
      <c r="M3436" s="69">
        <v>110251</v>
      </c>
      <c r="N3436" s="69">
        <v>0</v>
      </c>
      <c r="O3436" s="15">
        <f t="shared" si="300"/>
        <v>110251</v>
      </c>
      <c r="P3436" s="15">
        <f t="shared" si="299"/>
        <v>10.999965079792673</v>
      </c>
      <c r="Q3436" s="68">
        <v>5000</v>
      </c>
      <c r="R3436" s="66">
        <v>100</v>
      </c>
      <c r="S3436" s="66" t="s">
        <v>4201</v>
      </c>
      <c r="T3436" s="22">
        <f t="shared" si="296"/>
        <v>10</v>
      </c>
      <c r="U3436" s="22">
        <f t="shared" si="297"/>
        <v>2021</v>
      </c>
      <c r="V3436" s="22" t="str">
        <f t="shared" si="298"/>
        <v>METROPOLITANA</v>
      </c>
    </row>
    <row r="3437" spans="1:22" x14ac:dyDescent="0.2">
      <c r="A3437" s="65" t="s">
        <v>4195</v>
      </c>
      <c r="B3437" s="66" t="s">
        <v>33</v>
      </c>
      <c r="C3437" s="66" t="s">
        <v>2698</v>
      </c>
      <c r="D3437" s="66" t="s">
        <v>30</v>
      </c>
      <c r="E3437" s="67" t="s">
        <v>31</v>
      </c>
      <c r="F3437" s="66" t="s">
        <v>51</v>
      </c>
      <c r="G3437" s="68">
        <v>7945.25</v>
      </c>
      <c r="H3437" s="66" t="s">
        <v>32</v>
      </c>
      <c r="I3437" s="66">
        <v>0</v>
      </c>
      <c r="J3437" s="66" t="s">
        <v>51</v>
      </c>
      <c r="K3437" s="66" t="s">
        <v>23</v>
      </c>
      <c r="L3437" s="66">
        <v>4</v>
      </c>
      <c r="M3437" s="69">
        <v>87398</v>
      </c>
      <c r="N3437" s="69">
        <v>0</v>
      </c>
      <c r="O3437" s="15">
        <f t="shared" si="300"/>
        <v>87398</v>
      </c>
      <c r="P3437" s="15">
        <f t="shared" si="299"/>
        <v>11.000031465340927</v>
      </c>
      <c r="Q3437" s="68">
        <v>5000</v>
      </c>
      <c r="R3437" s="66">
        <v>100</v>
      </c>
      <c r="S3437" s="66" t="s">
        <v>4202</v>
      </c>
      <c r="T3437" s="22">
        <f t="shared" si="296"/>
        <v>10</v>
      </c>
      <c r="U3437" s="22">
        <f t="shared" si="297"/>
        <v>2021</v>
      </c>
      <c r="V3437" s="22" t="str">
        <f t="shared" si="298"/>
        <v>METROPOLITANA</v>
      </c>
    </row>
    <row r="3438" spans="1:22" x14ac:dyDescent="0.2">
      <c r="A3438" s="65" t="s">
        <v>4195</v>
      </c>
      <c r="B3438" s="66" t="s">
        <v>33</v>
      </c>
      <c r="C3438" s="66" t="s">
        <v>44</v>
      </c>
      <c r="D3438" s="66" t="s">
        <v>1869</v>
      </c>
      <c r="E3438" s="67" t="s">
        <v>1870</v>
      </c>
      <c r="F3438" s="66" t="s">
        <v>114</v>
      </c>
      <c r="G3438" s="68">
        <v>14503.4</v>
      </c>
      <c r="H3438" s="66" t="s">
        <v>24</v>
      </c>
      <c r="I3438" s="66">
        <v>1</v>
      </c>
      <c r="J3438" s="66" t="s">
        <v>114</v>
      </c>
      <c r="K3438" s="66" t="s">
        <v>75</v>
      </c>
      <c r="L3438" s="66">
        <v>0</v>
      </c>
      <c r="M3438" s="69">
        <v>380000</v>
      </c>
      <c r="N3438" s="69">
        <v>0</v>
      </c>
      <c r="O3438" s="15">
        <f t="shared" si="300"/>
        <v>380000</v>
      </c>
      <c r="P3438" s="15">
        <f t="shared" si="299"/>
        <v>26.200752926899899</v>
      </c>
      <c r="Q3438" s="68">
        <v>20000</v>
      </c>
      <c r="R3438" s="66">
        <v>73</v>
      </c>
      <c r="S3438" s="66" t="s">
        <v>4203</v>
      </c>
      <c r="T3438" s="22">
        <f t="shared" si="296"/>
        <v>10</v>
      </c>
      <c r="U3438" s="22">
        <f t="shared" si="297"/>
        <v>2021</v>
      </c>
      <c r="V3438" s="22" t="str">
        <f t="shared" si="298"/>
        <v>REGIONES</v>
      </c>
    </row>
    <row r="3439" spans="1:22" x14ac:dyDescent="0.2">
      <c r="A3439" s="65" t="s">
        <v>4195</v>
      </c>
      <c r="B3439" s="66" t="s">
        <v>33</v>
      </c>
      <c r="C3439" s="66" t="s">
        <v>44</v>
      </c>
      <c r="D3439" s="66" t="s">
        <v>30</v>
      </c>
      <c r="E3439" s="67" t="s">
        <v>31</v>
      </c>
      <c r="F3439" s="66" t="s">
        <v>94</v>
      </c>
      <c r="G3439" s="68">
        <v>8626.9999999999982</v>
      </c>
      <c r="H3439" s="66" t="s">
        <v>32</v>
      </c>
      <c r="I3439" s="66">
        <v>0</v>
      </c>
      <c r="J3439" s="66" t="s">
        <v>59</v>
      </c>
      <c r="K3439" s="66" t="s">
        <v>78</v>
      </c>
      <c r="L3439" s="66">
        <v>0</v>
      </c>
      <c r="M3439" s="69">
        <v>180000</v>
      </c>
      <c r="N3439" s="69">
        <v>0</v>
      </c>
      <c r="O3439" s="15">
        <f t="shared" si="300"/>
        <v>180000</v>
      </c>
      <c r="P3439" s="15">
        <f t="shared" si="299"/>
        <v>20.864727019821494</v>
      </c>
      <c r="Q3439" s="68">
        <v>20000</v>
      </c>
      <c r="R3439" s="66">
        <v>43</v>
      </c>
      <c r="S3439" s="66" t="s">
        <v>4204</v>
      </c>
      <c r="T3439" s="22">
        <f t="shared" si="296"/>
        <v>10</v>
      </c>
      <c r="U3439" s="22">
        <f t="shared" si="297"/>
        <v>2021</v>
      </c>
      <c r="V3439" s="22" t="str">
        <f t="shared" si="298"/>
        <v>REGIONES</v>
      </c>
    </row>
    <row r="3440" spans="1:22" x14ac:dyDescent="0.2">
      <c r="A3440" s="65" t="s">
        <v>4195</v>
      </c>
      <c r="B3440" s="66" t="s">
        <v>33</v>
      </c>
      <c r="C3440" s="66" t="s">
        <v>44</v>
      </c>
      <c r="D3440" s="66" t="s">
        <v>47</v>
      </c>
      <c r="E3440" s="67" t="s">
        <v>1576</v>
      </c>
      <c r="F3440" s="66" t="s">
        <v>48</v>
      </c>
      <c r="G3440" s="68">
        <v>9746.7000000000007</v>
      </c>
      <c r="H3440" s="66" t="s">
        <v>22</v>
      </c>
      <c r="I3440" s="66">
        <v>0</v>
      </c>
      <c r="J3440" s="66" t="s">
        <v>48</v>
      </c>
      <c r="K3440" s="66" t="s">
        <v>23</v>
      </c>
      <c r="L3440" s="66">
        <v>1</v>
      </c>
      <c r="M3440" s="69">
        <v>107214</v>
      </c>
      <c r="N3440" s="69">
        <v>0</v>
      </c>
      <c r="O3440" s="15">
        <f t="shared" si="300"/>
        <v>107214</v>
      </c>
      <c r="P3440" s="15">
        <f t="shared" si="299"/>
        <v>11.000030779648496</v>
      </c>
      <c r="Q3440" s="68">
        <v>5000</v>
      </c>
      <c r="R3440" s="66">
        <v>100</v>
      </c>
      <c r="S3440" s="66" t="s">
        <v>4205</v>
      </c>
      <c r="T3440" s="22">
        <f t="shared" si="296"/>
        <v>10</v>
      </c>
      <c r="U3440" s="22">
        <f t="shared" si="297"/>
        <v>2021</v>
      </c>
      <c r="V3440" s="22" t="str">
        <f t="shared" si="298"/>
        <v>METROPOLITANA</v>
      </c>
    </row>
    <row r="3441" spans="1:22" x14ac:dyDescent="0.2">
      <c r="A3441" s="23" t="s">
        <v>4206</v>
      </c>
      <c r="B3441" s="22" t="s">
        <v>18</v>
      </c>
      <c r="C3441" s="22" t="s">
        <v>270</v>
      </c>
      <c r="D3441" s="22" t="s">
        <v>38</v>
      </c>
      <c r="E3441" s="24" t="s">
        <v>25</v>
      </c>
      <c r="F3441" s="22" t="s">
        <v>120</v>
      </c>
      <c r="G3441" s="25">
        <v>13856</v>
      </c>
      <c r="H3441" s="22" t="s">
        <v>43</v>
      </c>
      <c r="I3441" s="22">
        <v>0</v>
      </c>
      <c r="J3441" s="22" t="s">
        <v>120</v>
      </c>
      <c r="K3441" s="22" t="s">
        <v>23</v>
      </c>
      <c r="L3441" s="22">
        <v>5</v>
      </c>
      <c r="M3441" s="26">
        <v>70000</v>
      </c>
      <c r="N3441" s="26">
        <v>0</v>
      </c>
      <c r="O3441" s="15">
        <f t="shared" si="300"/>
        <v>70000</v>
      </c>
      <c r="P3441" s="15">
        <f t="shared" si="299"/>
        <v>5.0519630484988456</v>
      </c>
      <c r="Q3441" s="25">
        <v>10000</v>
      </c>
      <c r="R3441" s="22">
        <v>100</v>
      </c>
      <c r="S3441" s="22" t="s">
        <v>4207</v>
      </c>
      <c r="T3441" s="22">
        <f t="shared" si="296"/>
        <v>10</v>
      </c>
      <c r="U3441" s="22">
        <f t="shared" si="297"/>
        <v>2021</v>
      </c>
      <c r="V3441" s="22" t="str">
        <f t="shared" si="298"/>
        <v>METROPOLITANA</v>
      </c>
    </row>
    <row r="3442" spans="1:22" x14ac:dyDescent="0.2">
      <c r="A3442" s="23" t="s">
        <v>4206</v>
      </c>
      <c r="B3442" s="22" t="s">
        <v>18</v>
      </c>
      <c r="C3442" s="22" t="s">
        <v>270</v>
      </c>
      <c r="D3442" s="22" t="s">
        <v>37</v>
      </c>
      <c r="E3442" s="24" t="s">
        <v>40</v>
      </c>
      <c r="F3442" s="22" t="s">
        <v>120</v>
      </c>
      <c r="G3442" s="25">
        <v>6040.93</v>
      </c>
      <c r="H3442" s="22" t="s">
        <v>22</v>
      </c>
      <c r="I3442" s="22">
        <v>0</v>
      </c>
      <c r="J3442" s="22" t="s">
        <v>120</v>
      </c>
      <c r="K3442" s="22" t="s">
        <v>23</v>
      </c>
      <c r="L3442" s="22">
        <v>5</v>
      </c>
      <c r="M3442" s="26">
        <v>70000</v>
      </c>
      <c r="N3442" s="26">
        <v>0</v>
      </c>
      <c r="O3442" s="15">
        <f t="shared" si="300"/>
        <v>70000</v>
      </c>
      <c r="P3442" s="15">
        <f t="shared" si="299"/>
        <v>11.587619787019548</v>
      </c>
      <c r="Q3442" s="25">
        <v>10000</v>
      </c>
      <c r="R3442" s="22">
        <v>60</v>
      </c>
      <c r="S3442" s="22" t="s">
        <v>4208</v>
      </c>
      <c r="T3442" s="22">
        <f t="shared" si="296"/>
        <v>10</v>
      </c>
      <c r="U3442" s="22">
        <f t="shared" si="297"/>
        <v>2021</v>
      </c>
      <c r="V3442" s="22" t="str">
        <f t="shared" si="298"/>
        <v>METROPOLITANA</v>
      </c>
    </row>
    <row r="3443" spans="1:22" x14ac:dyDescent="0.2">
      <c r="A3443" s="23" t="s">
        <v>4206</v>
      </c>
      <c r="B3443" s="22" t="s">
        <v>18</v>
      </c>
      <c r="C3443" s="22" t="s">
        <v>457</v>
      </c>
      <c r="D3443" s="22" t="s">
        <v>191</v>
      </c>
      <c r="E3443" s="24" t="s">
        <v>192</v>
      </c>
      <c r="F3443" s="22" t="s">
        <v>132</v>
      </c>
      <c r="G3443" s="25">
        <v>24401.42</v>
      </c>
      <c r="H3443" s="22" t="s">
        <v>85</v>
      </c>
      <c r="I3443" s="22">
        <v>1</v>
      </c>
      <c r="J3443" s="22" t="s">
        <v>132</v>
      </c>
      <c r="K3443" s="22" t="s">
        <v>124</v>
      </c>
      <c r="L3443" s="22">
        <v>0</v>
      </c>
      <c r="M3443" s="26">
        <v>350000</v>
      </c>
      <c r="N3443" s="26">
        <v>0</v>
      </c>
      <c r="O3443" s="15">
        <f t="shared" si="300"/>
        <v>350000</v>
      </c>
      <c r="P3443" s="15">
        <f t="shared" si="299"/>
        <v>14.34342755462592</v>
      </c>
      <c r="Q3443" s="25">
        <v>20000</v>
      </c>
      <c r="R3443" s="22">
        <v>100</v>
      </c>
      <c r="S3443" s="22" t="s">
        <v>4209</v>
      </c>
      <c r="T3443" s="22">
        <f t="shared" si="296"/>
        <v>10</v>
      </c>
      <c r="U3443" s="22">
        <f t="shared" si="297"/>
        <v>2021</v>
      </c>
      <c r="V3443" s="22" t="str">
        <f t="shared" si="298"/>
        <v>REGIONES</v>
      </c>
    </row>
    <row r="3444" spans="1:22" x14ac:dyDescent="0.2">
      <c r="A3444" s="23" t="s">
        <v>4206</v>
      </c>
      <c r="B3444" s="22" t="s">
        <v>18</v>
      </c>
      <c r="C3444" s="22" t="s">
        <v>457</v>
      </c>
      <c r="D3444" s="22" t="s">
        <v>130</v>
      </c>
      <c r="E3444" s="24" t="s">
        <v>131</v>
      </c>
      <c r="F3444" s="22" t="s">
        <v>132</v>
      </c>
      <c r="G3444" s="25">
        <v>19112.560000000001</v>
      </c>
      <c r="H3444" s="22" t="s">
        <v>85</v>
      </c>
      <c r="I3444" s="22">
        <v>1</v>
      </c>
      <c r="J3444" s="22" t="s">
        <v>132</v>
      </c>
      <c r="K3444" s="22" t="s">
        <v>124</v>
      </c>
      <c r="L3444" s="22">
        <v>0</v>
      </c>
      <c r="M3444" s="26">
        <v>350000</v>
      </c>
      <c r="N3444" s="26">
        <v>0</v>
      </c>
      <c r="O3444" s="15">
        <f t="shared" si="300"/>
        <v>350000</v>
      </c>
      <c r="P3444" s="15">
        <f t="shared" si="299"/>
        <v>18.312565140410285</v>
      </c>
      <c r="Q3444" s="25">
        <v>20000</v>
      </c>
      <c r="R3444" s="22">
        <v>96</v>
      </c>
      <c r="S3444" s="22" t="s">
        <v>4210</v>
      </c>
      <c r="T3444" s="22">
        <f t="shared" si="296"/>
        <v>10</v>
      </c>
      <c r="U3444" s="22">
        <f t="shared" si="297"/>
        <v>2021</v>
      </c>
      <c r="V3444" s="22" t="str">
        <f t="shared" si="298"/>
        <v>REGIONES</v>
      </c>
    </row>
    <row r="3445" spans="1:22" x14ac:dyDescent="0.2">
      <c r="A3445" s="23" t="s">
        <v>4206</v>
      </c>
      <c r="B3445" s="22" t="s">
        <v>33</v>
      </c>
      <c r="C3445" s="22" t="s">
        <v>36</v>
      </c>
      <c r="D3445" s="22" t="s">
        <v>30</v>
      </c>
      <c r="E3445" s="24" t="s">
        <v>31</v>
      </c>
      <c r="F3445" s="22" t="s">
        <v>855</v>
      </c>
      <c r="G3445" s="25">
        <f>3438.8+2300</f>
        <v>5738.8</v>
      </c>
      <c r="H3445" s="22" t="s">
        <v>32</v>
      </c>
      <c r="I3445" s="22">
        <v>0</v>
      </c>
      <c r="J3445" s="22" t="s">
        <v>855</v>
      </c>
      <c r="K3445" s="22" t="s">
        <v>78</v>
      </c>
      <c r="L3445" s="22">
        <v>0</v>
      </c>
      <c r="M3445" s="26">
        <v>180000</v>
      </c>
      <c r="N3445" s="26">
        <v>0</v>
      </c>
      <c r="O3445" s="15">
        <f t="shared" si="300"/>
        <v>180000</v>
      </c>
      <c r="P3445" s="15">
        <f t="shared" si="299"/>
        <v>31.365442252735761</v>
      </c>
      <c r="Q3445" s="25">
        <v>20000</v>
      </c>
      <c r="R3445" s="22">
        <v>55</v>
      </c>
      <c r="S3445" s="22" t="s">
        <v>4218</v>
      </c>
      <c r="T3445" s="22">
        <f t="shared" si="296"/>
        <v>10</v>
      </c>
      <c r="U3445" s="22">
        <f t="shared" si="297"/>
        <v>2021</v>
      </c>
      <c r="V3445" s="22" t="str">
        <f t="shared" si="298"/>
        <v>REGIONES</v>
      </c>
    </row>
    <row r="3446" spans="1:22" x14ac:dyDescent="0.2">
      <c r="A3446" s="23" t="s">
        <v>4206</v>
      </c>
      <c r="B3446" s="22" t="s">
        <v>33</v>
      </c>
      <c r="C3446" s="22" t="s">
        <v>29</v>
      </c>
      <c r="D3446" s="22" t="s">
        <v>2262</v>
      </c>
      <c r="E3446" s="24" t="s">
        <v>83</v>
      </c>
      <c r="F3446" s="22" t="s">
        <v>39</v>
      </c>
      <c r="G3446" s="25">
        <v>11388.3</v>
      </c>
      <c r="H3446" s="22" t="s">
        <v>24</v>
      </c>
      <c r="I3446" s="22">
        <v>1</v>
      </c>
      <c r="J3446" s="22" t="s">
        <v>39</v>
      </c>
      <c r="K3446" s="22" t="s">
        <v>23</v>
      </c>
      <c r="L3446" s="22">
        <v>1</v>
      </c>
      <c r="M3446" s="26">
        <v>125271</v>
      </c>
      <c r="N3446" s="26">
        <v>0</v>
      </c>
      <c r="O3446" s="15">
        <f t="shared" si="300"/>
        <v>125271</v>
      </c>
      <c r="P3446" s="15">
        <f t="shared" si="299"/>
        <v>10.999973657174468</v>
      </c>
      <c r="Q3446" s="25">
        <v>5000</v>
      </c>
      <c r="R3446" s="22">
        <v>100</v>
      </c>
      <c r="S3446" s="22" t="s">
        <v>4211</v>
      </c>
      <c r="T3446" s="22">
        <f t="shared" si="296"/>
        <v>10</v>
      </c>
      <c r="U3446" s="22">
        <f t="shared" si="297"/>
        <v>2021</v>
      </c>
      <c r="V3446" s="22" t="str">
        <f t="shared" si="298"/>
        <v>METROPOLITANA</v>
      </c>
    </row>
    <row r="3447" spans="1:22" x14ac:dyDescent="0.2">
      <c r="A3447" s="23" t="s">
        <v>4206</v>
      </c>
      <c r="B3447" s="22" t="s">
        <v>33</v>
      </c>
      <c r="C3447" s="22" t="s">
        <v>29</v>
      </c>
      <c r="D3447" s="22" t="s">
        <v>30</v>
      </c>
      <c r="E3447" s="24" t="s">
        <v>31</v>
      </c>
      <c r="F3447" s="22" t="s">
        <v>39</v>
      </c>
      <c r="G3447" s="25">
        <v>2748</v>
      </c>
      <c r="H3447" s="22" t="s">
        <v>32</v>
      </c>
      <c r="I3447" s="22">
        <v>0</v>
      </c>
      <c r="J3447" s="22" t="s">
        <v>39</v>
      </c>
      <c r="K3447" s="22" t="s">
        <v>23</v>
      </c>
      <c r="L3447" s="22">
        <v>1</v>
      </c>
      <c r="M3447" s="26">
        <v>55000</v>
      </c>
      <c r="N3447" s="26">
        <v>0</v>
      </c>
      <c r="O3447" s="15">
        <f t="shared" si="300"/>
        <v>55000</v>
      </c>
      <c r="P3447" s="15">
        <f t="shared" si="299"/>
        <v>20.014556040756915</v>
      </c>
      <c r="Q3447" s="25">
        <v>5000</v>
      </c>
      <c r="R3447" s="22">
        <v>55</v>
      </c>
      <c r="S3447" s="22" t="s">
        <v>4212</v>
      </c>
      <c r="T3447" s="22">
        <f t="shared" si="296"/>
        <v>10</v>
      </c>
      <c r="U3447" s="22">
        <f t="shared" si="297"/>
        <v>2021</v>
      </c>
      <c r="V3447" s="22" t="str">
        <f t="shared" si="298"/>
        <v>METROPOLITANA</v>
      </c>
    </row>
    <row r="3448" spans="1:22" x14ac:dyDescent="0.2">
      <c r="A3448" s="23" t="s">
        <v>4206</v>
      </c>
      <c r="B3448" s="22" t="s">
        <v>33</v>
      </c>
      <c r="C3448" s="22" t="s">
        <v>29</v>
      </c>
      <c r="D3448" s="22" t="s">
        <v>164</v>
      </c>
      <c r="E3448" s="24" t="s">
        <v>28</v>
      </c>
      <c r="F3448" s="22" t="s">
        <v>39</v>
      </c>
      <c r="G3448" s="25">
        <f>6045.6+550</f>
        <v>6595.6</v>
      </c>
      <c r="H3448" s="22" t="s">
        <v>22</v>
      </c>
      <c r="I3448" s="22">
        <v>1</v>
      </c>
      <c r="J3448" s="22" t="s">
        <v>39</v>
      </c>
      <c r="K3448" s="22" t="s">
        <v>23</v>
      </c>
      <c r="L3448" s="22">
        <v>1</v>
      </c>
      <c r="M3448" s="26">
        <v>66502</v>
      </c>
      <c r="N3448" s="26">
        <v>0</v>
      </c>
      <c r="O3448" s="15">
        <f t="shared" si="300"/>
        <v>66502</v>
      </c>
      <c r="P3448" s="15">
        <f t="shared" si="299"/>
        <v>10.082782461034629</v>
      </c>
      <c r="Q3448" s="25">
        <v>5000</v>
      </c>
      <c r="R3448" s="22">
        <v>100</v>
      </c>
      <c r="S3448" s="22" t="s">
        <v>4219</v>
      </c>
      <c r="T3448" s="22">
        <f t="shared" si="296"/>
        <v>10</v>
      </c>
      <c r="U3448" s="22">
        <f t="shared" si="297"/>
        <v>2021</v>
      </c>
      <c r="V3448" s="22" t="str">
        <f t="shared" si="298"/>
        <v>METROPOLITANA</v>
      </c>
    </row>
    <row r="3449" spans="1:22" x14ac:dyDescent="0.2">
      <c r="A3449" s="23" t="s">
        <v>4206</v>
      </c>
      <c r="B3449" s="22" t="s">
        <v>33</v>
      </c>
      <c r="C3449" s="22" t="s">
        <v>29</v>
      </c>
      <c r="D3449" s="22" t="s">
        <v>20</v>
      </c>
      <c r="E3449" s="24" t="s">
        <v>21</v>
      </c>
      <c r="F3449" s="22" t="s">
        <v>39</v>
      </c>
      <c r="G3449" s="25">
        <v>2748</v>
      </c>
      <c r="H3449" s="22" t="s">
        <v>22</v>
      </c>
      <c r="I3449" s="22">
        <v>0</v>
      </c>
      <c r="J3449" s="22" t="s">
        <v>39</v>
      </c>
      <c r="K3449" s="22" t="s">
        <v>23</v>
      </c>
      <c r="L3449" s="22">
        <v>1</v>
      </c>
      <c r="M3449" s="26">
        <v>55000</v>
      </c>
      <c r="N3449" s="26">
        <v>0</v>
      </c>
      <c r="O3449" s="15">
        <f t="shared" si="300"/>
        <v>55000</v>
      </c>
      <c r="P3449" s="15">
        <f t="shared" si="299"/>
        <v>20.014556040756915</v>
      </c>
      <c r="Q3449" s="25">
        <v>5000</v>
      </c>
      <c r="R3449" s="22">
        <v>55</v>
      </c>
      <c r="S3449" s="22" t="s">
        <v>4213</v>
      </c>
      <c r="T3449" s="22">
        <f t="shared" si="296"/>
        <v>10</v>
      </c>
      <c r="U3449" s="22">
        <f t="shared" si="297"/>
        <v>2021</v>
      </c>
      <c r="V3449" s="22" t="str">
        <f t="shared" si="298"/>
        <v>METROPOLITANA</v>
      </c>
    </row>
    <row r="3450" spans="1:22" x14ac:dyDescent="0.2">
      <c r="A3450" s="23" t="s">
        <v>4206</v>
      </c>
      <c r="B3450" s="22" t="s">
        <v>33</v>
      </c>
      <c r="C3450" s="22" t="s">
        <v>2698</v>
      </c>
      <c r="D3450" s="22" t="s">
        <v>45</v>
      </c>
      <c r="E3450" s="24" t="s">
        <v>52</v>
      </c>
      <c r="F3450" s="22" t="s">
        <v>51</v>
      </c>
      <c r="G3450" s="25">
        <v>6801.5999999999995</v>
      </c>
      <c r="H3450" s="22" t="s">
        <v>22</v>
      </c>
      <c r="I3450" s="22">
        <v>0</v>
      </c>
      <c r="J3450" s="22" t="s">
        <v>51</v>
      </c>
      <c r="K3450" s="22" t="s">
        <v>23</v>
      </c>
      <c r="L3450" s="22">
        <v>4</v>
      </c>
      <c r="M3450" s="26">
        <v>74818</v>
      </c>
      <c r="N3450" s="26">
        <v>0</v>
      </c>
      <c r="O3450" s="15">
        <f t="shared" si="300"/>
        <v>74818</v>
      </c>
      <c r="P3450" s="15">
        <f t="shared" si="299"/>
        <v>11.000058809691838</v>
      </c>
      <c r="Q3450" s="25">
        <v>5000</v>
      </c>
      <c r="R3450" s="22">
        <v>100</v>
      </c>
      <c r="S3450" s="22" t="s">
        <v>4214</v>
      </c>
      <c r="T3450" s="22">
        <f t="shared" si="296"/>
        <v>10</v>
      </c>
      <c r="U3450" s="22">
        <f t="shared" si="297"/>
        <v>2021</v>
      </c>
      <c r="V3450" s="22" t="str">
        <f t="shared" si="298"/>
        <v>METROPOLITANA</v>
      </c>
    </row>
    <row r="3451" spans="1:22" x14ac:dyDescent="0.2">
      <c r="A3451" s="23" t="s">
        <v>4206</v>
      </c>
      <c r="B3451" s="22" t="s">
        <v>33</v>
      </c>
      <c r="C3451" s="22" t="s">
        <v>2698</v>
      </c>
      <c r="D3451" s="22" t="s">
        <v>20</v>
      </c>
      <c r="E3451" s="24" t="s">
        <v>21</v>
      </c>
      <c r="F3451" s="22" t="s">
        <v>51</v>
      </c>
      <c r="G3451" s="25">
        <v>7503.9999999999973</v>
      </c>
      <c r="H3451" s="22" t="s">
        <v>22</v>
      </c>
      <c r="I3451" s="22">
        <v>0</v>
      </c>
      <c r="J3451" s="22" t="s">
        <v>51</v>
      </c>
      <c r="K3451" s="22" t="s">
        <v>23</v>
      </c>
      <c r="L3451" s="22">
        <v>4</v>
      </c>
      <c r="M3451" s="26">
        <v>82544</v>
      </c>
      <c r="N3451" s="26">
        <v>0</v>
      </c>
      <c r="O3451" s="15">
        <f t="shared" si="300"/>
        <v>82544</v>
      </c>
      <c r="P3451" s="15">
        <f t="shared" si="299"/>
        <v>11.000000000000004</v>
      </c>
      <c r="Q3451" s="25">
        <v>5000</v>
      </c>
      <c r="R3451" s="22">
        <v>100</v>
      </c>
      <c r="S3451" s="22" t="s">
        <v>4215</v>
      </c>
      <c r="T3451" s="22">
        <f t="shared" si="296"/>
        <v>10</v>
      </c>
      <c r="U3451" s="22">
        <f t="shared" si="297"/>
        <v>2021</v>
      </c>
      <c r="V3451" s="22" t="str">
        <f t="shared" si="298"/>
        <v>METROPOLITANA</v>
      </c>
    </row>
    <row r="3452" spans="1:22" x14ac:dyDescent="0.2">
      <c r="A3452" s="23" t="s">
        <v>4206</v>
      </c>
      <c r="B3452" s="22" t="s">
        <v>33</v>
      </c>
      <c r="C3452" s="22" t="s">
        <v>44</v>
      </c>
      <c r="D3452" s="22" t="s">
        <v>786</v>
      </c>
      <c r="E3452" s="24" t="s">
        <v>787</v>
      </c>
      <c r="F3452" s="22" t="s">
        <v>92</v>
      </c>
      <c r="G3452" s="25">
        <v>15377.999999999991</v>
      </c>
      <c r="H3452" s="22" t="s">
        <v>788</v>
      </c>
      <c r="I3452" s="22">
        <v>1</v>
      </c>
      <c r="J3452" s="22" t="s">
        <v>92</v>
      </c>
      <c r="K3452" s="22" t="s">
        <v>93</v>
      </c>
      <c r="L3452" s="22">
        <v>0</v>
      </c>
      <c r="M3452" s="26">
        <v>620000</v>
      </c>
      <c r="N3452" s="26">
        <v>0</v>
      </c>
      <c r="O3452" s="15">
        <f t="shared" si="300"/>
        <v>620000</v>
      </c>
      <c r="P3452" s="15">
        <f t="shared" si="299"/>
        <v>40.317336454675534</v>
      </c>
      <c r="Q3452" s="25">
        <v>20000</v>
      </c>
      <c r="R3452" s="22">
        <v>77</v>
      </c>
      <c r="S3452" s="22" t="s">
        <v>4216</v>
      </c>
      <c r="T3452" s="22">
        <f t="shared" si="296"/>
        <v>10</v>
      </c>
      <c r="U3452" s="22">
        <f t="shared" si="297"/>
        <v>2021</v>
      </c>
      <c r="V3452" s="22" t="str">
        <f t="shared" si="298"/>
        <v>REGIONES</v>
      </c>
    </row>
    <row r="3453" spans="1:22" x14ac:dyDescent="0.2">
      <c r="A3453" s="23" t="s">
        <v>4206</v>
      </c>
      <c r="B3453" s="22" t="s">
        <v>33</v>
      </c>
      <c r="C3453" s="22" t="s">
        <v>44</v>
      </c>
      <c r="D3453" s="22" t="s">
        <v>47</v>
      </c>
      <c r="E3453" s="24" t="s">
        <v>52</v>
      </c>
      <c r="F3453" s="22" t="s">
        <v>48</v>
      </c>
      <c r="G3453" s="25">
        <v>5468.3</v>
      </c>
      <c r="H3453" s="22" t="s">
        <v>22</v>
      </c>
      <c r="I3453" s="22">
        <v>0</v>
      </c>
      <c r="J3453" s="22" t="s">
        <v>48</v>
      </c>
      <c r="K3453" s="22" t="s">
        <v>23</v>
      </c>
      <c r="L3453" s="22">
        <v>1</v>
      </c>
      <c r="M3453" s="26">
        <v>60151</v>
      </c>
      <c r="N3453" s="26">
        <v>0</v>
      </c>
      <c r="O3453" s="15">
        <f t="shared" si="300"/>
        <v>60151</v>
      </c>
      <c r="P3453" s="15">
        <f t="shared" si="299"/>
        <v>10.999945138342811</v>
      </c>
      <c r="Q3453" s="25">
        <v>5000</v>
      </c>
      <c r="R3453" s="22">
        <v>100</v>
      </c>
      <c r="S3453" s="22" t="s">
        <v>4217</v>
      </c>
      <c r="T3453" s="22">
        <f t="shared" si="296"/>
        <v>10</v>
      </c>
      <c r="U3453" s="22">
        <f t="shared" si="297"/>
        <v>2021</v>
      </c>
      <c r="V3453" s="22" t="str">
        <f t="shared" si="298"/>
        <v>METROPOLITANA</v>
      </c>
    </row>
    <row r="3454" spans="1:22" x14ac:dyDescent="0.2">
      <c r="A3454" s="65" t="s">
        <v>4220</v>
      </c>
      <c r="B3454" s="66" t="s">
        <v>18</v>
      </c>
      <c r="C3454" s="66" t="s">
        <v>19</v>
      </c>
      <c r="D3454" s="66" t="s">
        <v>30</v>
      </c>
      <c r="E3454" s="67" t="s">
        <v>31</v>
      </c>
      <c r="F3454" s="66" t="s">
        <v>51</v>
      </c>
      <c r="G3454" s="68">
        <v>12173.84</v>
      </c>
      <c r="H3454" s="66" t="s">
        <v>32</v>
      </c>
      <c r="I3454" s="66">
        <v>0</v>
      </c>
      <c r="J3454" s="66" t="s">
        <v>51</v>
      </c>
      <c r="K3454" s="66" t="s">
        <v>23</v>
      </c>
      <c r="L3454" s="66">
        <v>4</v>
      </c>
      <c r="M3454" s="69">
        <v>133912</v>
      </c>
      <c r="N3454" s="69">
        <v>0</v>
      </c>
      <c r="O3454" s="15">
        <f t="shared" si="300"/>
        <v>133912</v>
      </c>
      <c r="P3454" s="15">
        <f t="shared" si="299"/>
        <v>10.999980285595999</v>
      </c>
      <c r="Q3454" s="68">
        <v>5000</v>
      </c>
      <c r="R3454" s="66">
        <v>100</v>
      </c>
      <c r="S3454" s="66" t="s">
        <v>4221</v>
      </c>
      <c r="T3454" s="22">
        <f t="shared" si="296"/>
        <v>10</v>
      </c>
      <c r="U3454" s="22">
        <f t="shared" si="297"/>
        <v>2021</v>
      </c>
      <c r="V3454" s="22" t="str">
        <f t="shared" si="298"/>
        <v>METROPOLITANA</v>
      </c>
    </row>
    <row r="3455" spans="1:22" x14ac:dyDescent="0.2">
      <c r="A3455" s="65" t="s">
        <v>4220</v>
      </c>
      <c r="B3455" s="66" t="s">
        <v>33</v>
      </c>
      <c r="C3455" s="66" t="s">
        <v>60</v>
      </c>
      <c r="D3455" s="66" t="s">
        <v>30</v>
      </c>
      <c r="E3455" s="67" t="s">
        <v>31</v>
      </c>
      <c r="F3455" s="66" t="s">
        <v>51</v>
      </c>
      <c r="G3455" s="68">
        <v>8354.1999999999989</v>
      </c>
      <c r="H3455" s="66" t="s">
        <v>32</v>
      </c>
      <c r="I3455" s="66">
        <v>0</v>
      </c>
      <c r="J3455" s="66" t="s">
        <v>51</v>
      </c>
      <c r="K3455" s="66" t="s">
        <v>23</v>
      </c>
      <c r="L3455" s="66">
        <v>4</v>
      </c>
      <c r="M3455" s="69">
        <v>91896</v>
      </c>
      <c r="N3455" s="69">
        <v>0</v>
      </c>
      <c r="O3455" s="15">
        <f t="shared" si="300"/>
        <v>91896</v>
      </c>
      <c r="P3455" s="15">
        <f t="shared" si="299"/>
        <v>10.999976059945897</v>
      </c>
      <c r="Q3455" s="68">
        <v>5000</v>
      </c>
      <c r="R3455" s="66">
        <v>100</v>
      </c>
      <c r="S3455" s="66" t="s">
        <v>4222</v>
      </c>
      <c r="T3455" s="22">
        <f t="shared" si="296"/>
        <v>10</v>
      </c>
      <c r="U3455" s="22">
        <f t="shared" si="297"/>
        <v>2021</v>
      </c>
      <c r="V3455" s="22" t="str">
        <f t="shared" si="298"/>
        <v>METROPOLITANA</v>
      </c>
    </row>
    <row r="3456" spans="1:22" x14ac:dyDescent="0.2">
      <c r="A3456" s="65" t="s">
        <v>4220</v>
      </c>
      <c r="B3456" s="66" t="s">
        <v>33</v>
      </c>
      <c r="C3456" s="66" t="s">
        <v>60</v>
      </c>
      <c r="D3456" s="66" t="s">
        <v>41</v>
      </c>
      <c r="E3456" s="67" t="s">
        <v>25</v>
      </c>
      <c r="F3456" s="66" t="s">
        <v>51</v>
      </c>
      <c r="G3456" s="68">
        <v>7651.7999999999984</v>
      </c>
      <c r="H3456" s="66" t="s">
        <v>43</v>
      </c>
      <c r="I3456" s="66">
        <v>0</v>
      </c>
      <c r="J3456" s="66" t="s">
        <v>51</v>
      </c>
      <c r="K3456" s="66" t="s">
        <v>23</v>
      </c>
      <c r="L3456" s="66">
        <v>4</v>
      </c>
      <c r="M3456" s="69">
        <v>84170</v>
      </c>
      <c r="N3456" s="69">
        <v>0</v>
      </c>
      <c r="O3456" s="15">
        <f t="shared" si="300"/>
        <v>84170</v>
      </c>
      <c r="P3456" s="15">
        <f t="shared" si="299"/>
        <v>11.00002613764082</v>
      </c>
      <c r="Q3456" s="68">
        <v>5000</v>
      </c>
      <c r="R3456" s="66">
        <v>100</v>
      </c>
      <c r="S3456" s="66" t="s">
        <v>4223</v>
      </c>
      <c r="T3456" s="22">
        <f t="shared" si="296"/>
        <v>10</v>
      </c>
      <c r="U3456" s="22">
        <f t="shared" si="297"/>
        <v>2021</v>
      </c>
      <c r="V3456" s="22" t="str">
        <f t="shared" si="298"/>
        <v>METROPOLITANA</v>
      </c>
    </row>
    <row r="3457" spans="1:22" x14ac:dyDescent="0.2">
      <c r="A3457" s="65" t="s">
        <v>4220</v>
      </c>
      <c r="B3457" s="66" t="s">
        <v>33</v>
      </c>
      <c r="C3457" s="66" t="s">
        <v>354</v>
      </c>
      <c r="D3457" s="66" t="s">
        <v>30</v>
      </c>
      <c r="E3457" s="67" t="s">
        <v>31</v>
      </c>
      <c r="F3457" s="66" t="s">
        <v>53</v>
      </c>
      <c r="G3457" s="68">
        <v>5668</v>
      </c>
      <c r="H3457" s="66" t="s">
        <v>32</v>
      </c>
      <c r="I3457" s="66">
        <v>0</v>
      </c>
      <c r="J3457" s="66" t="s">
        <v>53</v>
      </c>
      <c r="K3457" s="66" t="s">
        <v>23</v>
      </c>
      <c r="L3457" s="66">
        <v>3</v>
      </c>
      <c r="M3457" s="69">
        <v>62348</v>
      </c>
      <c r="N3457" s="69">
        <v>0</v>
      </c>
      <c r="O3457" s="15">
        <f t="shared" si="300"/>
        <v>62348</v>
      </c>
      <c r="P3457" s="15">
        <f t="shared" si="299"/>
        <v>11</v>
      </c>
      <c r="Q3457" s="68">
        <v>5000</v>
      </c>
      <c r="R3457" s="66">
        <v>100</v>
      </c>
      <c r="S3457" s="66" t="s">
        <v>4224</v>
      </c>
      <c r="T3457" s="22">
        <f t="shared" si="296"/>
        <v>10</v>
      </c>
      <c r="U3457" s="22">
        <f t="shared" si="297"/>
        <v>2021</v>
      </c>
      <c r="V3457" s="22" t="str">
        <f t="shared" si="298"/>
        <v>METROPOLITANA</v>
      </c>
    </row>
    <row r="3458" spans="1:22" x14ac:dyDescent="0.2">
      <c r="A3458" s="65" t="s">
        <v>4220</v>
      </c>
      <c r="B3458" s="66" t="s">
        <v>33</v>
      </c>
      <c r="C3458" s="66" t="s">
        <v>128</v>
      </c>
      <c r="D3458" s="66" t="s">
        <v>41</v>
      </c>
      <c r="E3458" s="67" t="s">
        <v>25</v>
      </c>
      <c r="F3458" s="66" t="s">
        <v>34</v>
      </c>
      <c r="G3458" s="68">
        <v>6933.6</v>
      </c>
      <c r="H3458" s="66" t="s">
        <v>43</v>
      </c>
      <c r="I3458" s="66">
        <v>0</v>
      </c>
      <c r="J3458" s="66" t="s">
        <v>34</v>
      </c>
      <c r="K3458" s="66" t="s">
        <v>23</v>
      </c>
      <c r="L3458" s="66">
        <v>1</v>
      </c>
      <c r="M3458" s="69">
        <v>76270</v>
      </c>
      <c r="N3458" s="69">
        <v>0</v>
      </c>
      <c r="O3458" s="15">
        <f t="shared" si="300"/>
        <v>76270</v>
      </c>
      <c r="P3458" s="15">
        <f t="shared" si="299"/>
        <v>11.000057690088843</v>
      </c>
      <c r="Q3458" s="68">
        <v>5000</v>
      </c>
      <c r="R3458" s="66">
        <v>100</v>
      </c>
      <c r="S3458" s="66" t="s">
        <v>4225</v>
      </c>
      <c r="T3458" s="22">
        <f t="shared" si="296"/>
        <v>10</v>
      </c>
      <c r="U3458" s="22">
        <f t="shared" si="297"/>
        <v>2021</v>
      </c>
      <c r="V3458" s="22" t="str">
        <f t="shared" si="298"/>
        <v>METROPOLITANA</v>
      </c>
    </row>
    <row r="3459" spans="1:22" x14ac:dyDescent="0.2">
      <c r="A3459" s="65" t="s">
        <v>4220</v>
      </c>
      <c r="B3459" s="66" t="s">
        <v>33</v>
      </c>
      <c r="C3459" s="66" t="s">
        <v>29</v>
      </c>
      <c r="D3459" s="66" t="s">
        <v>37</v>
      </c>
      <c r="E3459" s="67" t="s">
        <v>40</v>
      </c>
      <c r="F3459" s="66" t="s">
        <v>39</v>
      </c>
      <c r="G3459" s="68">
        <v>2748</v>
      </c>
      <c r="H3459" s="66" t="s">
        <v>22</v>
      </c>
      <c r="I3459" s="66">
        <v>0</v>
      </c>
      <c r="J3459" s="66" t="s">
        <v>39</v>
      </c>
      <c r="K3459" s="66" t="s">
        <v>23</v>
      </c>
      <c r="L3459" s="66">
        <v>1</v>
      </c>
      <c r="M3459" s="69">
        <v>55000</v>
      </c>
      <c r="N3459" s="69">
        <v>0</v>
      </c>
      <c r="O3459" s="15">
        <f t="shared" si="300"/>
        <v>55000</v>
      </c>
      <c r="P3459" s="15">
        <f t="shared" si="299"/>
        <v>20.014556040756915</v>
      </c>
      <c r="Q3459" s="68">
        <v>5000</v>
      </c>
      <c r="R3459" s="66">
        <v>55</v>
      </c>
      <c r="S3459" s="66" t="s">
        <v>4226</v>
      </c>
      <c r="T3459" s="22">
        <f t="shared" si="296"/>
        <v>10</v>
      </c>
      <c r="U3459" s="22">
        <f t="shared" si="297"/>
        <v>2021</v>
      </c>
      <c r="V3459" s="22" t="str">
        <f t="shared" si="298"/>
        <v>METROPOLITANA</v>
      </c>
    </row>
    <row r="3460" spans="1:22" x14ac:dyDescent="0.2">
      <c r="A3460" s="65" t="s">
        <v>4220</v>
      </c>
      <c r="B3460" s="66" t="s">
        <v>33</v>
      </c>
      <c r="C3460" s="66" t="s">
        <v>29</v>
      </c>
      <c r="D3460" s="66" t="s">
        <v>63</v>
      </c>
      <c r="E3460" s="67" t="s">
        <v>64</v>
      </c>
      <c r="F3460" s="66" t="s">
        <v>39</v>
      </c>
      <c r="G3460" s="68">
        <v>2748</v>
      </c>
      <c r="H3460" s="66" t="s">
        <v>65</v>
      </c>
      <c r="I3460" s="66">
        <v>0</v>
      </c>
      <c r="J3460" s="66" t="s">
        <v>39</v>
      </c>
      <c r="K3460" s="66" t="s">
        <v>23</v>
      </c>
      <c r="L3460" s="66">
        <v>1</v>
      </c>
      <c r="M3460" s="69">
        <v>55000</v>
      </c>
      <c r="N3460" s="69">
        <v>0</v>
      </c>
      <c r="O3460" s="15">
        <f t="shared" si="300"/>
        <v>55000</v>
      </c>
      <c r="P3460" s="15">
        <f t="shared" si="299"/>
        <v>20.014556040756915</v>
      </c>
      <c r="Q3460" s="68">
        <v>5000</v>
      </c>
      <c r="R3460" s="66">
        <v>55</v>
      </c>
      <c r="S3460" s="66" t="s">
        <v>4227</v>
      </c>
      <c r="T3460" s="22">
        <f t="shared" si="296"/>
        <v>10</v>
      </c>
      <c r="U3460" s="22">
        <f t="shared" si="297"/>
        <v>2021</v>
      </c>
      <c r="V3460" s="22" t="str">
        <f t="shared" si="298"/>
        <v>METROPOLITANA</v>
      </c>
    </row>
    <row r="3461" spans="1:22" x14ac:dyDescent="0.2">
      <c r="A3461" s="65" t="s">
        <v>4220</v>
      </c>
      <c r="B3461" s="66" t="s">
        <v>33</v>
      </c>
      <c r="C3461" s="66" t="s">
        <v>44</v>
      </c>
      <c r="D3461" s="66" t="s">
        <v>45</v>
      </c>
      <c r="E3461" s="67" t="s">
        <v>52</v>
      </c>
      <c r="F3461" s="66" t="s">
        <v>48</v>
      </c>
      <c r="G3461" s="68">
        <v>4100.8</v>
      </c>
      <c r="H3461" s="66" t="s">
        <v>22</v>
      </c>
      <c r="I3461" s="66">
        <v>0</v>
      </c>
      <c r="J3461" s="66" t="s">
        <v>48</v>
      </c>
      <c r="K3461" s="66" t="s">
        <v>23</v>
      </c>
      <c r="L3461" s="66">
        <v>1</v>
      </c>
      <c r="M3461" s="69">
        <v>55000</v>
      </c>
      <c r="N3461" s="69">
        <v>0</v>
      </c>
      <c r="O3461" s="15">
        <f t="shared" si="300"/>
        <v>55000</v>
      </c>
      <c r="P3461" s="15">
        <f t="shared" si="299"/>
        <v>13.412017167381974</v>
      </c>
      <c r="Q3461" s="68">
        <v>5000</v>
      </c>
      <c r="R3461" s="66">
        <v>82</v>
      </c>
      <c r="S3461" s="66" t="s">
        <v>4228</v>
      </c>
      <c r="T3461" s="22">
        <f t="shared" si="296"/>
        <v>10</v>
      </c>
      <c r="U3461" s="22">
        <f t="shared" si="297"/>
        <v>2021</v>
      </c>
      <c r="V3461" s="22" t="str">
        <f t="shared" si="298"/>
        <v>METROPOLITANA</v>
      </c>
    </row>
    <row r="3462" spans="1:22" x14ac:dyDescent="0.2">
      <c r="A3462" s="65" t="s">
        <v>4220</v>
      </c>
      <c r="B3462" s="66" t="s">
        <v>33</v>
      </c>
      <c r="C3462" s="66" t="s">
        <v>44</v>
      </c>
      <c r="D3462" s="66" t="s">
        <v>47</v>
      </c>
      <c r="E3462" s="67" t="s">
        <v>1576</v>
      </c>
      <c r="F3462" s="66" t="s">
        <v>95</v>
      </c>
      <c r="G3462" s="68">
        <v>7226.7999999999975</v>
      </c>
      <c r="H3462" s="66" t="s">
        <v>22</v>
      </c>
      <c r="I3462" s="66">
        <v>0</v>
      </c>
      <c r="J3462" s="66" t="s">
        <v>95</v>
      </c>
      <c r="K3462" s="66" t="s">
        <v>23</v>
      </c>
      <c r="L3462" s="66">
        <v>4</v>
      </c>
      <c r="M3462" s="69">
        <v>79495</v>
      </c>
      <c r="N3462" s="69">
        <v>0</v>
      </c>
      <c r="O3462" s="15">
        <f t="shared" si="300"/>
        <v>79495</v>
      </c>
      <c r="P3462" s="15">
        <f t="shared" si="299"/>
        <v>11.000027674766152</v>
      </c>
      <c r="Q3462" s="68">
        <v>5000</v>
      </c>
      <c r="R3462" s="66">
        <v>100</v>
      </c>
      <c r="S3462" s="66" t="s">
        <v>4229</v>
      </c>
      <c r="T3462" s="22">
        <f t="shared" si="296"/>
        <v>10</v>
      </c>
      <c r="U3462" s="22">
        <f t="shared" si="297"/>
        <v>2021</v>
      </c>
      <c r="V3462" s="22" t="str">
        <f t="shared" si="298"/>
        <v>METROPOLITANA</v>
      </c>
    </row>
    <row r="3463" spans="1:22" x14ac:dyDescent="0.2">
      <c r="A3463" s="23" t="s">
        <v>4230</v>
      </c>
      <c r="B3463" s="22" t="s">
        <v>18</v>
      </c>
      <c r="C3463" s="22" t="s">
        <v>500</v>
      </c>
      <c r="D3463" s="22" t="s">
        <v>63</v>
      </c>
      <c r="E3463" s="24" t="s">
        <v>64</v>
      </c>
      <c r="F3463" s="22" t="s">
        <v>120</v>
      </c>
      <c r="G3463" s="25">
        <f>3406.5+53</f>
        <v>3459.5</v>
      </c>
      <c r="H3463" s="22" t="s">
        <v>65</v>
      </c>
      <c r="I3463" s="22">
        <v>0</v>
      </c>
      <c r="J3463" s="22" t="s">
        <v>120</v>
      </c>
      <c r="K3463" s="22" t="s">
        <v>23</v>
      </c>
      <c r="L3463" s="22">
        <v>5</v>
      </c>
      <c r="M3463" s="26">
        <v>70000</v>
      </c>
      <c r="N3463" s="26">
        <v>0</v>
      </c>
      <c r="O3463" s="15">
        <f t="shared" ref="O3463:O3468" si="301">SUM(M3463:N3463)</f>
        <v>70000</v>
      </c>
      <c r="P3463" s="15">
        <f t="shared" si="299"/>
        <v>20.234137881196705</v>
      </c>
      <c r="Q3463" s="25">
        <v>10000</v>
      </c>
      <c r="R3463" s="22">
        <v>55</v>
      </c>
      <c r="S3463" s="22" t="s">
        <v>4238</v>
      </c>
      <c r="T3463" s="22">
        <f t="shared" si="296"/>
        <v>10</v>
      </c>
      <c r="U3463" s="22">
        <f t="shared" si="297"/>
        <v>2021</v>
      </c>
      <c r="V3463" s="22" t="str">
        <f t="shared" si="298"/>
        <v>METROPOLITANA</v>
      </c>
    </row>
    <row r="3464" spans="1:22" x14ac:dyDescent="0.2">
      <c r="A3464" s="23" t="s">
        <v>4230</v>
      </c>
      <c r="B3464" s="22" t="s">
        <v>33</v>
      </c>
      <c r="C3464" s="22" t="s">
        <v>4231</v>
      </c>
      <c r="D3464" s="22" t="s">
        <v>35</v>
      </c>
      <c r="E3464" s="24" t="s">
        <v>52</v>
      </c>
      <c r="F3464" s="22" t="s">
        <v>165</v>
      </c>
      <c r="G3464" s="25">
        <v>1700.4</v>
      </c>
      <c r="H3464" s="22" t="s">
        <v>22</v>
      </c>
      <c r="I3464" s="22">
        <v>0</v>
      </c>
      <c r="J3464" s="22" t="s">
        <v>165</v>
      </c>
      <c r="K3464" s="22" t="s">
        <v>23</v>
      </c>
      <c r="L3464" s="22">
        <v>4</v>
      </c>
      <c r="M3464" s="26">
        <v>55000</v>
      </c>
      <c r="N3464" s="26">
        <v>0</v>
      </c>
      <c r="O3464" s="15">
        <f t="shared" si="301"/>
        <v>55000</v>
      </c>
      <c r="P3464" s="15">
        <f t="shared" si="299"/>
        <v>32.345330510468123</v>
      </c>
      <c r="Q3464" s="25">
        <v>5000</v>
      </c>
      <c r="R3464" s="22">
        <v>34</v>
      </c>
      <c r="S3464" s="22" t="s">
        <v>4232</v>
      </c>
      <c r="T3464" s="22">
        <f t="shared" ref="T3464:T3527" si="302">MONTH(A3464)</f>
        <v>10</v>
      </c>
      <c r="U3464" s="22">
        <f t="shared" ref="U3464:U3527" si="303">YEAR(A3464)</f>
        <v>2021</v>
      </c>
      <c r="V3464" s="22" t="str">
        <f t="shared" ref="V3464:V3527" si="304">IF(K3464="METROPOLITANA DE SANTIAGO","METROPOLITANA","REGIONES")</f>
        <v>METROPOLITANA</v>
      </c>
    </row>
    <row r="3465" spans="1:22" x14ac:dyDescent="0.2">
      <c r="A3465" s="23" t="s">
        <v>4230</v>
      </c>
      <c r="B3465" s="22" t="s">
        <v>33</v>
      </c>
      <c r="C3465" s="22" t="s">
        <v>29</v>
      </c>
      <c r="D3465" s="22" t="s">
        <v>38</v>
      </c>
      <c r="E3465" s="24" t="s">
        <v>25</v>
      </c>
      <c r="F3465" s="22" t="s">
        <v>134</v>
      </c>
      <c r="G3465" s="25">
        <v>8302.4</v>
      </c>
      <c r="H3465" s="22" t="s">
        <v>43</v>
      </c>
      <c r="I3465" s="22">
        <v>0</v>
      </c>
      <c r="J3465" s="22" t="s">
        <v>134</v>
      </c>
      <c r="K3465" s="22" t="s">
        <v>23</v>
      </c>
      <c r="L3465" s="22">
        <v>2</v>
      </c>
      <c r="M3465" s="26">
        <v>91326</v>
      </c>
      <c r="N3465" s="26">
        <v>0</v>
      </c>
      <c r="O3465" s="15">
        <f t="shared" si="301"/>
        <v>91326</v>
      </c>
      <c r="P3465" s="15">
        <f t="shared" si="299"/>
        <v>10.999951821160147</v>
      </c>
      <c r="Q3465" s="25">
        <v>5000</v>
      </c>
      <c r="R3465" s="22">
        <v>100</v>
      </c>
      <c r="S3465" s="22" t="s">
        <v>4233</v>
      </c>
      <c r="T3465" s="22">
        <f t="shared" si="302"/>
        <v>10</v>
      </c>
      <c r="U3465" s="22">
        <f t="shared" si="303"/>
        <v>2021</v>
      </c>
      <c r="V3465" s="22" t="str">
        <f t="shared" si="304"/>
        <v>METROPOLITANA</v>
      </c>
    </row>
    <row r="3466" spans="1:22" x14ac:dyDescent="0.2">
      <c r="A3466" s="23" t="s">
        <v>4230</v>
      </c>
      <c r="B3466" s="22" t="s">
        <v>33</v>
      </c>
      <c r="C3466" s="22" t="s">
        <v>29</v>
      </c>
      <c r="D3466" s="22" t="s">
        <v>37</v>
      </c>
      <c r="E3466" s="24" t="s">
        <v>40</v>
      </c>
      <c r="F3466" s="22" t="s">
        <v>134</v>
      </c>
      <c r="G3466" s="25">
        <v>7551.9999999999991</v>
      </c>
      <c r="H3466" s="22" t="s">
        <v>22</v>
      </c>
      <c r="I3466" s="22">
        <v>0</v>
      </c>
      <c r="J3466" s="22" t="s">
        <v>134</v>
      </c>
      <c r="K3466" s="22" t="s">
        <v>23</v>
      </c>
      <c r="L3466" s="22">
        <v>2</v>
      </c>
      <c r="M3466" s="26">
        <v>83072</v>
      </c>
      <c r="N3466" s="26">
        <v>0</v>
      </c>
      <c r="O3466" s="15">
        <f t="shared" si="301"/>
        <v>83072</v>
      </c>
      <c r="P3466" s="15">
        <f t="shared" si="299"/>
        <v>11.000000000000002</v>
      </c>
      <c r="Q3466" s="25">
        <v>5000</v>
      </c>
      <c r="R3466" s="22">
        <v>100</v>
      </c>
      <c r="S3466" s="22" t="s">
        <v>4234</v>
      </c>
      <c r="T3466" s="22">
        <f t="shared" si="302"/>
        <v>10</v>
      </c>
      <c r="U3466" s="22">
        <f t="shared" si="303"/>
        <v>2021</v>
      </c>
      <c r="V3466" s="22" t="str">
        <f t="shared" si="304"/>
        <v>METROPOLITANA</v>
      </c>
    </row>
    <row r="3467" spans="1:22" x14ac:dyDescent="0.2">
      <c r="A3467" s="23" t="s">
        <v>4230</v>
      </c>
      <c r="B3467" s="22" t="s">
        <v>33</v>
      </c>
      <c r="C3467" s="22" t="s">
        <v>29</v>
      </c>
      <c r="D3467" s="22" t="s">
        <v>20</v>
      </c>
      <c r="E3467" s="24" t="s">
        <v>21</v>
      </c>
      <c r="F3467" s="22" t="s">
        <v>129</v>
      </c>
      <c r="G3467" s="25">
        <v>2251.1999999999998</v>
      </c>
      <c r="H3467" s="22" t="s">
        <v>22</v>
      </c>
      <c r="I3467" s="22">
        <v>0</v>
      </c>
      <c r="J3467" s="22" t="s">
        <v>129</v>
      </c>
      <c r="K3467" s="22" t="s">
        <v>23</v>
      </c>
      <c r="L3467" s="22">
        <v>1</v>
      </c>
      <c r="M3467" s="26">
        <v>55000</v>
      </c>
      <c r="N3467" s="26">
        <v>0</v>
      </c>
      <c r="O3467" s="15">
        <f t="shared" si="301"/>
        <v>55000</v>
      </c>
      <c r="P3467" s="15">
        <f t="shared" si="299"/>
        <v>24.431414356787492</v>
      </c>
      <c r="Q3467" s="25">
        <v>5000</v>
      </c>
      <c r="R3467" s="22">
        <v>45</v>
      </c>
      <c r="S3467" s="22" t="s">
        <v>4235</v>
      </c>
      <c r="T3467" s="22">
        <f t="shared" si="302"/>
        <v>10</v>
      </c>
      <c r="U3467" s="22">
        <f t="shared" si="303"/>
        <v>2021</v>
      </c>
      <c r="V3467" s="22" t="str">
        <f t="shared" si="304"/>
        <v>METROPOLITANA</v>
      </c>
    </row>
    <row r="3468" spans="1:22" x14ac:dyDescent="0.2">
      <c r="A3468" s="23" t="s">
        <v>4230</v>
      </c>
      <c r="B3468" s="22" t="s">
        <v>33</v>
      </c>
      <c r="C3468" s="22" t="s">
        <v>2698</v>
      </c>
      <c r="D3468" s="22" t="s">
        <v>130</v>
      </c>
      <c r="E3468" s="24" t="s">
        <v>131</v>
      </c>
      <c r="F3468" s="22" t="s">
        <v>2639</v>
      </c>
      <c r="G3468" s="25">
        <f>9140.1+5823</f>
        <v>14963.1</v>
      </c>
      <c r="H3468" s="22" t="s">
        <v>85</v>
      </c>
      <c r="I3468" s="22">
        <v>1</v>
      </c>
      <c r="J3468" s="22" t="s">
        <v>2639</v>
      </c>
      <c r="K3468" s="22" t="s">
        <v>75</v>
      </c>
      <c r="L3468" s="22">
        <v>0</v>
      </c>
      <c r="M3468" s="26">
        <v>380000</v>
      </c>
      <c r="N3468" s="26">
        <v>0</v>
      </c>
      <c r="O3468" s="15">
        <f t="shared" si="301"/>
        <v>380000</v>
      </c>
      <c r="P3468" s="15">
        <f t="shared" si="299"/>
        <v>25.395807018599086</v>
      </c>
      <c r="Q3468" s="25">
        <v>20000</v>
      </c>
      <c r="R3468" s="22">
        <v>85</v>
      </c>
      <c r="S3468" s="22" t="s">
        <v>4239</v>
      </c>
      <c r="T3468" s="22">
        <f t="shared" si="302"/>
        <v>10</v>
      </c>
      <c r="U3468" s="22">
        <f t="shared" si="303"/>
        <v>2021</v>
      </c>
      <c r="V3468" s="22" t="str">
        <f t="shared" si="304"/>
        <v>REGIONES</v>
      </c>
    </row>
    <row r="3469" spans="1:22" x14ac:dyDescent="0.2">
      <c r="A3469" s="23" t="s">
        <v>4230</v>
      </c>
      <c r="B3469" s="22" t="s">
        <v>33</v>
      </c>
      <c r="C3469" s="22" t="s">
        <v>44</v>
      </c>
      <c r="D3469" s="22" t="s">
        <v>191</v>
      </c>
      <c r="E3469" s="24" t="s">
        <v>192</v>
      </c>
      <c r="F3469" s="22" t="s">
        <v>3438</v>
      </c>
      <c r="G3469" s="25">
        <v>13799.599999999989</v>
      </c>
      <c r="H3469" s="22" t="s">
        <v>85</v>
      </c>
      <c r="I3469" s="22">
        <v>1</v>
      </c>
      <c r="J3469" s="22" t="s">
        <v>3438</v>
      </c>
      <c r="K3469" s="22" t="s">
        <v>93</v>
      </c>
      <c r="L3469" s="22">
        <v>0</v>
      </c>
      <c r="M3469" s="26">
        <v>620000</v>
      </c>
      <c r="N3469" s="26">
        <v>0</v>
      </c>
      <c r="O3469" s="15">
        <v>620000</v>
      </c>
      <c r="P3469" s="15">
        <f t="shared" si="299"/>
        <v>44.928838517058502</v>
      </c>
      <c r="Q3469" s="25">
        <v>20000</v>
      </c>
      <c r="R3469" s="22">
        <v>69</v>
      </c>
      <c r="S3469" s="22" t="s">
        <v>4236</v>
      </c>
      <c r="T3469" s="22">
        <f t="shared" si="302"/>
        <v>10</v>
      </c>
      <c r="U3469" s="22">
        <f t="shared" si="303"/>
        <v>2021</v>
      </c>
      <c r="V3469" s="22" t="str">
        <f t="shared" si="304"/>
        <v>REGIONES</v>
      </c>
    </row>
    <row r="3470" spans="1:22" x14ac:dyDescent="0.2">
      <c r="A3470" s="23" t="s">
        <v>4230</v>
      </c>
      <c r="B3470" s="22" t="s">
        <v>33</v>
      </c>
      <c r="C3470" s="22" t="s">
        <v>44</v>
      </c>
      <c r="D3470" s="22" t="s">
        <v>2262</v>
      </c>
      <c r="E3470" s="24" t="s">
        <v>83</v>
      </c>
      <c r="F3470" s="22" t="s">
        <v>84</v>
      </c>
      <c r="G3470" s="25">
        <v>11194.7</v>
      </c>
      <c r="H3470" s="22" t="s">
        <v>24</v>
      </c>
      <c r="I3470" s="22">
        <v>1</v>
      </c>
      <c r="J3470" s="22" t="s">
        <v>84</v>
      </c>
      <c r="K3470" s="22" t="s">
        <v>86</v>
      </c>
      <c r="L3470" s="22">
        <v>0</v>
      </c>
      <c r="M3470" s="26">
        <v>320000</v>
      </c>
      <c r="N3470" s="26">
        <v>0</v>
      </c>
      <c r="O3470" s="15">
        <f t="shared" ref="O3470:O3497" si="305">SUM(M3470:N3470)</f>
        <v>320000</v>
      </c>
      <c r="P3470" s="15">
        <f t="shared" si="299"/>
        <v>28.584955380671207</v>
      </c>
      <c r="Q3470" s="25">
        <v>20000</v>
      </c>
      <c r="R3470" s="22">
        <v>56</v>
      </c>
      <c r="S3470" s="22" t="s">
        <v>4237</v>
      </c>
      <c r="T3470" s="22">
        <f t="shared" si="302"/>
        <v>10</v>
      </c>
      <c r="U3470" s="22">
        <f t="shared" si="303"/>
        <v>2021</v>
      </c>
      <c r="V3470" s="22" t="str">
        <f t="shared" si="304"/>
        <v>REGIONES</v>
      </c>
    </row>
    <row r="3471" spans="1:22" x14ac:dyDescent="0.2">
      <c r="A3471" s="11" t="s">
        <v>4240</v>
      </c>
      <c r="B3471" s="12" t="s">
        <v>18</v>
      </c>
      <c r="C3471" s="12" t="s">
        <v>163</v>
      </c>
      <c r="D3471" s="12" t="s">
        <v>37</v>
      </c>
      <c r="E3471" s="13" t="s">
        <v>40</v>
      </c>
      <c r="F3471" s="12" t="s">
        <v>165</v>
      </c>
      <c r="G3471" s="14">
        <v>9522</v>
      </c>
      <c r="H3471" s="12" t="s">
        <v>22</v>
      </c>
      <c r="I3471" s="12">
        <v>0</v>
      </c>
      <c r="J3471" s="12" t="s">
        <v>165</v>
      </c>
      <c r="K3471" s="12" t="s">
        <v>23</v>
      </c>
      <c r="L3471" s="12">
        <v>4</v>
      </c>
      <c r="M3471" s="15">
        <v>104742</v>
      </c>
      <c r="N3471" s="15">
        <v>0</v>
      </c>
      <c r="O3471" s="15">
        <f t="shared" si="305"/>
        <v>104742</v>
      </c>
      <c r="P3471" s="15">
        <f t="shared" si="299"/>
        <v>11</v>
      </c>
      <c r="Q3471" s="14">
        <v>5000</v>
      </c>
      <c r="R3471" s="12">
        <v>100</v>
      </c>
      <c r="S3471" s="12" t="s">
        <v>4241</v>
      </c>
      <c r="T3471" s="22">
        <f t="shared" si="302"/>
        <v>11</v>
      </c>
      <c r="U3471" s="22">
        <f t="shared" si="303"/>
        <v>2021</v>
      </c>
      <c r="V3471" s="22" t="str">
        <f t="shared" si="304"/>
        <v>METROPOLITANA</v>
      </c>
    </row>
    <row r="3472" spans="1:22" x14ac:dyDescent="0.2">
      <c r="A3472" s="11" t="s">
        <v>4240</v>
      </c>
      <c r="B3472" s="12" t="s">
        <v>18</v>
      </c>
      <c r="C3472" s="12" t="s">
        <v>163</v>
      </c>
      <c r="D3472" s="12" t="s">
        <v>63</v>
      </c>
      <c r="E3472" s="13" t="s">
        <v>64</v>
      </c>
      <c r="F3472" s="12" t="s">
        <v>165</v>
      </c>
      <c r="G3472" s="14">
        <v>10580</v>
      </c>
      <c r="H3472" s="12" t="s">
        <v>65</v>
      </c>
      <c r="I3472" s="12">
        <v>0</v>
      </c>
      <c r="J3472" s="12" t="s">
        <v>165</v>
      </c>
      <c r="K3472" s="12" t="s">
        <v>23</v>
      </c>
      <c r="L3472" s="12">
        <v>4</v>
      </c>
      <c r="M3472" s="15">
        <v>116380</v>
      </c>
      <c r="N3472" s="15">
        <v>0</v>
      </c>
      <c r="O3472" s="15">
        <f t="shared" si="305"/>
        <v>116380</v>
      </c>
      <c r="P3472" s="15">
        <f t="shared" si="299"/>
        <v>11</v>
      </c>
      <c r="Q3472" s="14">
        <v>5000</v>
      </c>
      <c r="R3472" s="12">
        <v>100</v>
      </c>
      <c r="S3472" s="12" t="s">
        <v>4242</v>
      </c>
      <c r="T3472" s="22">
        <f t="shared" si="302"/>
        <v>11</v>
      </c>
      <c r="U3472" s="22">
        <f t="shared" si="303"/>
        <v>2021</v>
      </c>
      <c r="V3472" s="22" t="str">
        <f t="shared" si="304"/>
        <v>METROPOLITANA</v>
      </c>
    </row>
    <row r="3473" spans="1:22" x14ac:dyDescent="0.2">
      <c r="A3473" s="11" t="s">
        <v>4240</v>
      </c>
      <c r="B3473" s="12" t="s">
        <v>33</v>
      </c>
      <c r="C3473" s="12" t="s">
        <v>163</v>
      </c>
      <c r="D3473" s="12" t="s">
        <v>38</v>
      </c>
      <c r="E3473" s="13" t="s">
        <v>25</v>
      </c>
      <c r="F3473" s="12" t="s">
        <v>165</v>
      </c>
      <c r="G3473" s="14">
        <v>10416</v>
      </c>
      <c r="H3473" s="12" t="s">
        <v>43</v>
      </c>
      <c r="I3473" s="12">
        <v>0</v>
      </c>
      <c r="J3473" s="12" t="s">
        <v>165</v>
      </c>
      <c r="K3473" s="12" t="s">
        <v>23</v>
      </c>
      <c r="L3473" s="12">
        <v>4</v>
      </c>
      <c r="M3473" s="15">
        <v>114576</v>
      </c>
      <c r="N3473" s="15">
        <v>0</v>
      </c>
      <c r="O3473" s="15">
        <f t="shared" si="305"/>
        <v>114576</v>
      </c>
      <c r="P3473" s="15">
        <f t="shared" si="299"/>
        <v>11</v>
      </c>
      <c r="Q3473" s="14">
        <v>5000</v>
      </c>
      <c r="R3473" s="12">
        <v>100</v>
      </c>
      <c r="S3473" s="12" t="s">
        <v>4243</v>
      </c>
      <c r="T3473" s="22">
        <f t="shared" si="302"/>
        <v>11</v>
      </c>
      <c r="U3473" s="22">
        <f t="shared" si="303"/>
        <v>2021</v>
      </c>
      <c r="V3473" s="22" t="str">
        <f t="shared" si="304"/>
        <v>METROPOLITANA</v>
      </c>
    </row>
    <row r="3474" spans="1:22" x14ac:dyDescent="0.2">
      <c r="A3474" s="11" t="s">
        <v>4240</v>
      </c>
      <c r="B3474" s="12" t="s">
        <v>33</v>
      </c>
      <c r="C3474" s="12" t="s">
        <v>163</v>
      </c>
      <c r="D3474" s="12" t="s">
        <v>47</v>
      </c>
      <c r="E3474" s="13" t="s">
        <v>1576</v>
      </c>
      <c r="F3474" s="12" t="s">
        <v>165</v>
      </c>
      <c r="G3474" s="14">
        <v>10416</v>
      </c>
      <c r="H3474" s="12" t="s">
        <v>22</v>
      </c>
      <c r="I3474" s="12">
        <v>0</v>
      </c>
      <c r="J3474" s="12" t="s">
        <v>165</v>
      </c>
      <c r="K3474" s="12" t="s">
        <v>23</v>
      </c>
      <c r="L3474" s="12">
        <v>4</v>
      </c>
      <c r="M3474" s="15">
        <v>114576</v>
      </c>
      <c r="N3474" s="15">
        <v>0</v>
      </c>
      <c r="O3474" s="15">
        <f t="shared" si="305"/>
        <v>114576</v>
      </c>
      <c r="P3474" s="15">
        <f t="shared" si="299"/>
        <v>11</v>
      </c>
      <c r="Q3474" s="14">
        <v>5000</v>
      </c>
      <c r="R3474" s="12">
        <v>100</v>
      </c>
      <c r="S3474" s="12" t="s">
        <v>4244</v>
      </c>
      <c r="T3474" s="22">
        <f t="shared" si="302"/>
        <v>11</v>
      </c>
      <c r="U3474" s="22">
        <f t="shared" si="303"/>
        <v>2021</v>
      </c>
      <c r="V3474" s="22" t="str">
        <f t="shared" si="304"/>
        <v>METROPOLITANA</v>
      </c>
    </row>
    <row r="3475" spans="1:22" x14ac:dyDescent="0.2">
      <c r="A3475" s="11" t="s">
        <v>4240</v>
      </c>
      <c r="B3475" s="12" t="s">
        <v>33</v>
      </c>
      <c r="C3475" s="12" t="s">
        <v>29</v>
      </c>
      <c r="D3475" s="12" t="s">
        <v>38</v>
      </c>
      <c r="E3475" s="13" t="s">
        <v>25</v>
      </c>
      <c r="F3475" s="12" t="s">
        <v>129</v>
      </c>
      <c r="G3475" s="14">
        <v>4947.9500000000016</v>
      </c>
      <c r="H3475" s="12" t="s">
        <v>43</v>
      </c>
      <c r="I3475" s="12">
        <v>0</v>
      </c>
      <c r="J3475" s="12" t="s">
        <v>129</v>
      </c>
      <c r="K3475" s="12" t="s">
        <v>23</v>
      </c>
      <c r="L3475" s="12">
        <v>1</v>
      </c>
      <c r="M3475" s="15">
        <v>55000</v>
      </c>
      <c r="N3475" s="15">
        <v>0</v>
      </c>
      <c r="O3475" s="15">
        <f t="shared" si="305"/>
        <v>55000</v>
      </c>
      <c r="P3475" s="15">
        <f t="shared" si="299"/>
        <v>11.115714588870134</v>
      </c>
      <c r="Q3475" s="14">
        <v>5000</v>
      </c>
      <c r="R3475" s="12">
        <v>99</v>
      </c>
      <c r="S3475" s="12" t="s">
        <v>4245</v>
      </c>
      <c r="T3475" s="22">
        <f t="shared" si="302"/>
        <v>11</v>
      </c>
      <c r="U3475" s="22">
        <f t="shared" si="303"/>
        <v>2021</v>
      </c>
      <c r="V3475" s="22" t="str">
        <f t="shared" si="304"/>
        <v>METROPOLITANA</v>
      </c>
    </row>
    <row r="3476" spans="1:22" x14ac:dyDescent="0.2">
      <c r="A3476" s="11" t="s">
        <v>4240</v>
      </c>
      <c r="B3476" s="12" t="s">
        <v>33</v>
      </c>
      <c r="C3476" s="12" t="s">
        <v>29</v>
      </c>
      <c r="D3476" s="12" t="s">
        <v>20</v>
      </c>
      <c r="E3476" s="13" t="s">
        <v>21</v>
      </c>
      <c r="F3476" s="12" t="s">
        <v>134</v>
      </c>
      <c r="G3476" s="14">
        <v>3851.8</v>
      </c>
      <c r="H3476" s="12" t="s">
        <v>22</v>
      </c>
      <c r="I3476" s="12">
        <v>0</v>
      </c>
      <c r="J3476" s="12" t="s">
        <v>134</v>
      </c>
      <c r="K3476" s="12" t="s">
        <v>23</v>
      </c>
      <c r="L3476" s="12">
        <v>2</v>
      </c>
      <c r="M3476" s="15">
        <v>55000</v>
      </c>
      <c r="N3476" s="15">
        <v>0</v>
      </c>
      <c r="O3476" s="15">
        <f t="shared" si="305"/>
        <v>55000</v>
      </c>
      <c r="P3476" s="15">
        <f t="shared" si="299"/>
        <v>14.279038371670387</v>
      </c>
      <c r="Q3476" s="14">
        <v>5000</v>
      </c>
      <c r="R3476" s="12">
        <v>77</v>
      </c>
      <c r="S3476" s="12" t="s">
        <v>4246</v>
      </c>
      <c r="T3476" s="22">
        <f t="shared" si="302"/>
        <v>11</v>
      </c>
      <c r="U3476" s="22">
        <f t="shared" si="303"/>
        <v>2021</v>
      </c>
      <c r="V3476" s="22" t="str">
        <f t="shared" si="304"/>
        <v>METROPOLITANA</v>
      </c>
    </row>
    <row r="3477" spans="1:22" x14ac:dyDescent="0.2">
      <c r="A3477" s="11" t="s">
        <v>4240</v>
      </c>
      <c r="B3477" s="12" t="s">
        <v>33</v>
      </c>
      <c r="C3477" s="12" t="s">
        <v>44</v>
      </c>
      <c r="D3477" s="12" t="s">
        <v>4247</v>
      </c>
      <c r="E3477" s="13" t="s">
        <v>62</v>
      </c>
      <c r="F3477" s="12" t="s">
        <v>815</v>
      </c>
      <c r="G3477" s="14">
        <v>15492.7</v>
      </c>
      <c r="H3477" s="12" t="s">
        <v>24</v>
      </c>
      <c r="I3477" s="12">
        <v>1</v>
      </c>
      <c r="J3477" s="12" t="s">
        <v>815</v>
      </c>
      <c r="K3477" s="12" t="s">
        <v>75</v>
      </c>
      <c r="L3477" s="12">
        <v>0</v>
      </c>
      <c r="M3477" s="15">
        <v>420000</v>
      </c>
      <c r="N3477" s="15">
        <v>0</v>
      </c>
      <c r="O3477" s="15">
        <f t="shared" si="305"/>
        <v>420000</v>
      </c>
      <c r="P3477" s="15">
        <f t="shared" si="299"/>
        <v>27.109541913288194</v>
      </c>
      <c r="Q3477" s="14">
        <v>20000</v>
      </c>
      <c r="R3477" s="12">
        <v>77</v>
      </c>
      <c r="S3477" s="12" t="s">
        <v>4248</v>
      </c>
      <c r="T3477" s="22">
        <f t="shared" si="302"/>
        <v>11</v>
      </c>
      <c r="U3477" s="22">
        <f t="shared" si="303"/>
        <v>2021</v>
      </c>
      <c r="V3477" s="22" t="str">
        <f t="shared" si="304"/>
        <v>REGIONES</v>
      </c>
    </row>
    <row r="3478" spans="1:22" x14ac:dyDescent="0.2">
      <c r="A3478" s="23" t="s">
        <v>4249</v>
      </c>
      <c r="B3478" s="22" t="s">
        <v>18</v>
      </c>
      <c r="C3478" s="22" t="s">
        <v>19</v>
      </c>
      <c r="D3478" s="22" t="s">
        <v>20</v>
      </c>
      <c r="E3478" s="24">
        <v>154837728</v>
      </c>
      <c r="F3478" s="22" t="s">
        <v>418</v>
      </c>
      <c r="G3478" s="25">
        <v>5875.24</v>
      </c>
      <c r="H3478" s="22" t="s">
        <v>22</v>
      </c>
      <c r="I3478" s="22">
        <v>0</v>
      </c>
      <c r="J3478" s="22" t="s">
        <v>418</v>
      </c>
      <c r="K3478" s="22" t="s">
        <v>171</v>
      </c>
      <c r="L3478" s="22">
        <v>0</v>
      </c>
      <c r="M3478" s="26">
        <v>230000</v>
      </c>
      <c r="N3478" s="26">
        <v>0</v>
      </c>
      <c r="O3478" s="15">
        <f t="shared" si="305"/>
        <v>230000</v>
      </c>
      <c r="P3478" s="15">
        <f t="shared" si="299"/>
        <v>39.147336959851856</v>
      </c>
      <c r="Q3478" s="25">
        <v>20000</v>
      </c>
      <c r="R3478" s="22">
        <v>29</v>
      </c>
      <c r="S3478" s="22" t="s">
        <v>4250</v>
      </c>
      <c r="T3478" s="22">
        <f t="shared" si="302"/>
        <v>11</v>
      </c>
      <c r="U3478" s="22">
        <f t="shared" si="303"/>
        <v>2021</v>
      </c>
      <c r="V3478" s="22" t="str">
        <f t="shared" si="304"/>
        <v>REGIONES</v>
      </c>
    </row>
    <row r="3479" spans="1:22" x14ac:dyDescent="0.2">
      <c r="A3479" s="23" t="s">
        <v>4249</v>
      </c>
      <c r="B3479" s="22" t="s">
        <v>18</v>
      </c>
      <c r="C3479" s="22" t="s">
        <v>163</v>
      </c>
      <c r="D3479" s="22" t="s">
        <v>30</v>
      </c>
      <c r="E3479" s="24">
        <v>72564391</v>
      </c>
      <c r="F3479" s="22" t="s">
        <v>165</v>
      </c>
      <c r="G3479" s="25">
        <v>10580</v>
      </c>
      <c r="H3479" s="22" t="s">
        <v>32</v>
      </c>
      <c r="I3479" s="22">
        <v>0</v>
      </c>
      <c r="J3479" s="22" t="s">
        <v>165</v>
      </c>
      <c r="K3479" s="22" t="s">
        <v>23</v>
      </c>
      <c r="L3479" s="22">
        <v>4</v>
      </c>
      <c r="M3479" s="26">
        <v>116380</v>
      </c>
      <c r="N3479" s="26">
        <v>0</v>
      </c>
      <c r="O3479" s="15">
        <f t="shared" si="305"/>
        <v>116380</v>
      </c>
      <c r="P3479" s="15">
        <f t="shared" si="299"/>
        <v>11</v>
      </c>
      <c r="Q3479" s="25">
        <v>5000</v>
      </c>
      <c r="R3479" s="22">
        <v>100</v>
      </c>
      <c r="S3479" s="22" t="s">
        <v>4251</v>
      </c>
      <c r="T3479" s="22">
        <f t="shared" si="302"/>
        <v>11</v>
      </c>
      <c r="U3479" s="22">
        <f t="shared" si="303"/>
        <v>2021</v>
      </c>
      <c r="V3479" s="22" t="str">
        <f t="shared" si="304"/>
        <v>METROPOLITANA</v>
      </c>
    </row>
    <row r="3480" spans="1:22" x14ac:dyDescent="0.2">
      <c r="A3480" s="23" t="s">
        <v>4249</v>
      </c>
      <c r="B3480" s="22" t="s">
        <v>33</v>
      </c>
      <c r="C3480" s="22" t="s">
        <v>4252</v>
      </c>
      <c r="D3480" s="22" t="s">
        <v>125</v>
      </c>
      <c r="E3480" s="24">
        <v>172861164</v>
      </c>
      <c r="F3480" s="22" t="s">
        <v>170</v>
      </c>
      <c r="G3480" s="25">
        <v>5278.02</v>
      </c>
      <c r="H3480" s="22" t="s">
        <v>174</v>
      </c>
      <c r="I3480" s="22">
        <v>0</v>
      </c>
      <c r="J3480" s="22" t="s">
        <v>170</v>
      </c>
      <c r="K3480" s="22" t="s">
        <v>171</v>
      </c>
      <c r="L3480" s="22">
        <v>0</v>
      </c>
      <c r="M3480" s="26">
        <v>180000</v>
      </c>
      <c r="N3480" s="26">
        <v>0</v>
      </c>
      <c r="O3480" s="15">
        <f t="shared" si="305"/>
        <v>180000</v>
      </c>
      <c r="P3480" s="15">
        <f t="shared" si="299"/>
        <v>34.103697977650704</v>
      </c>
      <c r="Q3480" s="25">
        <v>20000</v>
      </c>
      <c r="R3480" s="22">
        <v>26</v>
      </c>
      <c r="S3480" s="22" t="s">
        <v>4253</v>
      </c>
      <c r="T3480" s="22">
        <f t="shared" si="302"/>
        <v>11</v>
      </c>
      <c r="U3480" s="22">
        <f t="shared" si="303"/>
        <v>2021</v>
      </c>
      <c r="V3480" s="22" t="str">
        <f t="shared" si="304"/>
        <v>REGIONES</v>
      </c>
    </row>
    <row r="3481" spans="1:22" x14ac:dyDescent="0.2">
      <c r="A3481" s="23" t="s">
        <v>4249</v>
      </c>
      <c r="B3481" s="22" t="s">
        <v>33</v>
      </c>
      <c r="C3481" s="22" t="s">
        <v>4252</v>
      </c>
      <c r="D3481" s="22" t="s">
        <v>125</v>
      </c>
      <c r="E3481" s="24">
        <v>172861164</v>
      </c>
      <c r="F3481" s="22" t="s">
        <v>129</v>
      </c>
      <c r="G3481" s="25">
        <v>5278.02</v>
      </c>
      <c r="H3481" s="22" t="s">
        <v>174</v>
      </c>
      <c r="I3481" s="22">
        <v>0</v>
      </c>
      <c r="J3481" s="22" t="s">
        <v>129</v>
      </c>
      <c r="K3481" s="22" t="s">
        <v>23</v>
      </c>
      <c r="L3481" s="22">
        <v>1</v>
      </c>
      <c r="M3481" s="26">
        <v>58058</v>
      </c>
      <c r="N3481" s="26">
        <v>0</v>
      </c>
      <c r="O3481" s="15">
        <f t="shared" si="305"/>
        <v>58058</v>
      </c>
      <c r="P3481" s="15">
        <f t="shared" si="299"/>
        <v>10.99995831770247</v>
      </c>
      <c r="Q3481" s="25">
        <v>5000</v>
      </c>
      <c r="R3481" s="22">
        <v>100</v>
      </c>
      <c r="S3481" s="22" t="s">
        <v>4254</v>
      </c>
      <c r="T3481" s="22">
        <f t="shared" si="302"/>
        <v>11</v>
      </c>
      <c r="U3481" s="22">
        <f t="shared" si="303"/>
        <v>2021</v>
      </c>
      <c r="V3481" s="22" t="str">
        <f t="shared" si="304"/>
        <v>METROPOLITANA</v>
      </c>
    </row>
    <row r="3482" spans="1:22" x14ac:dyDescent="0.2">
      <c r="A3482" s="23" t="s">
        <v>4249</v>
      </c>
      <c r="B3482" s="22" t="s">
        <v>33</v>
      </c>
      <c r="C3482" s="22" t="s">
        <v>128</v>
      </c>
      <c r="D3482" s="22" t="s">
        <v>2955</v>
      </c>
      <c r="E3482" s="24">
        <v>65941082</v>
      </c>
      <c r="F3482" s="22" t="s">
        <v>129</v>
      </c>
      <c r="G3482" s="25">
        <v>8244.0000000000036</v>
      </c>
      <c r="H3482" s="22" t="s">
        <v>24</v>
      </c>
      <c r="I3482" s="22">
        <v>1</v>
      </c>
      <c r="J3482" s="22" t="s">
        <v>129</v>
      </c>
      <c r="K3482" s="22" t="s">
        <v>23</v>
      </c>
      <c r="L3482" s="22">
        <v>1</v>
      </c>
      <c r="M3482" s="26">
        <v>90684</v>
      </c>
      <c r="N3482" s="26">
        <v>0</v>
      </c>
      <c r="O3482" s="15">
        <f t="shared" si="305"/>
        <v>90684</v>
      </c>
      <c r="P3482" s="15">
        <f t="shared" si="299"/>
        <v>10.999999999999995</v>
      </c>
      <c r="Q3482" s="25">
        <v>5000</v>
      </c>
      <c r="R3482" s="22">
        <v>100</v>
      </c>
      <c r="S3482" s="22" t="s">
        <v>4255</v>
      </c>
      <c r="T3482" s="22">
        <f t="shared" si="302"/>
        <v>11</v>
      </c>
      <c r="U3482" s="22">
        <f t="shared" si="303"/>
        <v>2021</v>
      </c>
      <c r="V3482" s="22" t="str">
        <f t="shared" si="304"/>
        <v>METROPOLITANA</v>
      </c>
    </row>
    <row r="3483" spans="1:22" x14ac:dyDescent="0.2">
      <c r="A3483" s="23" t="s">
        <v>4249</v>
      </c>
      <c r="B3483" s="22" t="s">
        <v>33</v>
      </c>
      <c r="C3483" s="22" t="s">
        <v>2862</v>
      </c>
      <c r="D3483" s="22" t="s">
        <v>37</v>
      </c>
      <c r="E3483" s="24">
        <v>78907355</v>
      </c>
      <c r="F3483" s="22" t="s">
        <v>800</v>
      </c>
      <c r="G3483" s="25">
        <v>5651.9999999999991</v>
      </c>
      <c r="H3483" s="22" t="s">
        <v>22</v>
      </c>
      <c r="I3483" s="22">
        <v>0</v>
      </c>
      <c r="J3483" s="22" t="s">
        <v>800</v>
      </c>
      <c r="K3483" s="22" t="s">
        <v>23</v>
      </c>
      <c r="L3483" s="22">
        <v>5</v>
      </c>
      <c r="M3483" s="26">
        <v>90000</v>
      </c>
      <c r="N3483" s="26">
        <v>0</v>
      </c>
      <c r="O3483" s="15">
        <f t="shared" si="305"/>
        <v>90000</v>
      </c>
      <c r="P3483" s="15">
        <f t="shared" si="299"/>
        <v>15.923566878980894</v>
      </c>
      <c r="Q3483" s="25">
        <v>10000</v>
      </c>
      <c r="R3483" s="22">
        <v>57</v>
      </c>
      <c r="S3483" s="22" t="s">
        <v>4256</v>
      </c>
      <c r="T3483" s="22">
        <f t="shared" si="302"/>
        <v>11</v>
      </c>
      <c r="U3483" s="22">
        <f t="shared" si="303"/>
        <v>2021</v>
      </c>
      <c r="V3483" s="22" t="str">
        <f t="shared" si="304"/>
        <v>METROPOLITANA</v>
      </c>
    </row>
    <row r="3484" spans="1:22" x14ac:dyDescent="0.2">
      <c r="A3484" s="23" t="s">
        <v>4249</v>
      </c>
      <c r="B3484" s="22" t="s">
        <v>33</v>
      </c>
      <c r="C3484" s="22" t="s">
        <v>29</v>
      </c>
      <c r="D3484" s="22" t="s">
        <v>786</v>
      </c>
      <c r="E3484" s="24">
        <v>95707734</v>
      </c>
      <c r="F3484" s="22" t="s">
        <v>173</v>
      </c>
      <c r="G3484" s="25">
        <v>18009.599999999999</v>
      </c>
      <c r="H3484" s="22" t="s">
        <v>788</v>
      </c>
      <c r="I3484" s="22">
        <v>1</v>
      </c>
      <c r="J3484" s="22" t="s">
        <v>173</v>
      </c>
      <c r="K3484" s="22" t="s">
        <v>23</v>
      </c>
      <c r="L3484" s="22">
        <v>5</v>
      </c>
      <c r="M3484" s="26">
        <v>120000</v>
      </c>
      <c r="N3484" s="26">
        <v>0</v>
      </c>
      <c r="O3484" s="15">
        <f t="shared" si="305"/>
        <v>120000</v>
      </c>
      <c r="P3484" s="15">
        <f t="shared" si="299"/>
        <v>6.6631130063965891</v>
      </c>
      <c r="Q3484" s="25">
        <v>10000</v>
      </c>
      <c r="R3484" s="22">
        <v>100</v>
      </c>
      <c r="S3484" s="22" t="s">
        <v>4257</v>
      </c>
      <c r="T3484" s="22">
        <f t="shared" si="302"/>
        <v>11</v>
      </c>
      <c r="U3484" s="22">
        <f t="shared" si="303"/>
        <v>2021</v>
      </c>
      <c r="V3484" s="22" t="str">
        <f t="shared" si="304"/>
        <v>METROPOLITANA</v>
      </c>
    </row>
    <row r="3485" spans="1:22" x14ac:dyDescent="0.2">
      <c r="A3485" s="23" t="s">
        <v>4249</v>
      </c>
      <c r="B3485" s="22" t="s">
        <v>33</v>
      </c>
      <c r="C3485" s="22" t="s">
        <v>29</v>
      </c>
      <c r="D3485" s="22" t="s">
        <v>63</v>
      </c>
      <c r="E3485" s="24">
        <v>138841065</v>
      </c>
      <c r="F3485" s="22" t="s">
        <v>39</v>
      </c>
      <c r="G3485" s="25">
        <v>8254.3999999999978</v>
      </c>
      <c r="H3485" s="22" t="s">
        <v>65</v>
      </c>
      <c r="I3485" s="22">
        <v>0</v>
      </c>
      <c r="J3485" s="22" t="s">
        <v>39</v>
      </c>
      <c r="K3485" s="22" t="s">
        <v>23</v>
      </c>
      <c r="L3485" s="22">
        <v>1</v>
      </c>
      <c r="M3485" s="26">
        <v>90798</v>
      </c>
      <c r="N3485" s="26">
        <v>0</v>
      </c>
      <c r="O3485" s="15">
        <f t="shared" si="305"/>
        <v>90798</v>
      </c>
      <c r="P3485" s="15">
        <f t="shared" si="299"/>
        <v>10.999951540996321</v>
      </c>
      <c r="Q3485" s="25">
        <v>5000</v>
      </c>
      <c r="R3485" s="22">
        <v>100</v>
      </c>
      <c r="S3485" s="22" t="s">
        <v>4258</v>
      </c>
      <c r="T3485" s="22">
        <f t="shared" si="302"/>
        <v>11</v>
      </c>
      <c r="U3485" s="22">
        <f t="shared" si="303"/>
        <v>2021</v>
      </c>
      <c r="V3485" s="22" t="str">
        <f t="shared" si="304"/>
        <v>METROPOLITANA</v>
      </c>
    </row>
    <row r="3486" spans="1:22" x14ac:dyDescent="0.2">
      <c r="A3486" s="23" t="s">
        <v>4249</v>
      </c>
      <c r="B3486" s="22" t="s">
        <v>33</v>
      </c>
      <c r="C3486" s="22" t="s">
        <v>29</v>
      </c>
      <c r="D3486" s="22" t="s">
        <v>164</v>
      </c>
      <c r="E3486" s="24">
        <v>81417709</v>
      </c>
      <c r="F3486" s="22" t="s">
        <v>39</v>
      </c>
      <c r="G3486" s="25">
        <v>10374</v>
      </c>
      <c r="H3486" s="22" t="s">
        <v>22</v>
      </c>
      <c r="I3486" s="22">
        <v>1</v>
      </c>
      <c r="J3486" s="22" t="s">
        <v>39</v>
      </c>
      <c r="K3486" s="22" t="s">
        <v>23</v>
      </c>
      <c r="L3486" s="22">
        <v>1</v>
      </c>
      <c r="M3486" s="26">
        <v>114114</v>
      </c>
      <c r="N3486" s="26">
        <v>0</v>
      </c>
      <c r="O3486" s="15">
        <f t="shared" si="305"/>
        <v>114114</v>
      </c>
      <c r="P3486" s="15">
        <f t="shared" si="299"/>
        <v>11</v>
      </c>
      <c r="Q3486" s="25">
        <v>5000</v>
      </c>
      <c r="R3486" s="22">
        <v>100</v>
      </c>
      <c r="S3486" s="22" t="s">
        <v>4259</v>
      </c>
      <c r="T3486" s="22">
        <f t="shared" si="302"/>
        <v>11</v>
      </c>
      <c r="U3486" s="22">
        <f t="shared" si="303"/>
        <v>2021</v>
      </c>
      <c r="V3486" s="22" t="str">
        <f t="shared" si="304"/>
        <v>METROPOLITANA</v>
      </c>
    </row>
    <row r="3487" spans="1:22" x14ac:dyDescent="0.2">
      <c r="A3487" s="23" t="s">
        <v>4249</v>
      </c>
      <c r="B3487" s="22" t="s">
        <v>33</v>
      </c>
      <c r="C3487" s="22" t="s">
        <v>2698</v>
      </c>
      <c r="D3487" s="22" t="s">
        <v>30</v>
      </c>
      <c r="E3487" s="24">
        <v>72564391</v>
      </c>
      <c r="F3487" s="22" t="s">
        <v>51</v>
      </c>
      <c r="G3487" s="25">
        <v>10358.6</v>
      </c>
      <c r="H3487" s="22" t="s">
        <v>32</v>
      </c>
      <c r="I3487" s="22">
        <v>0</v>
      </c>
      <c r="J3487" s="22" t="s">
        <v>51</v>
      </c>
      <c r="K3487" s="22" t="s">
        <v>23</v>
      </c>
      <c r="L3487" s="22">
        <v>4</v>
      </c>
      <c r="M3487" s="26">
        <v>113945</v>
      </c>
      <c r="N3487" s="26">
        <v>0</v>
      </c>
      <c r="O3487" s="15">
        <f t="shared" si="305"/>
        <v>113945</v>
      </c>
      <c r="P3487" s="15">
        <f t="shared" si="299"/>
        <v>11.000038615256887</v>
      </c>
      <c r="Q3487" s="25">
        <v>5000</v>
      </c>
      <c r="R3487" s="22">
        <v>100</v>
      </c>
      <c r="S3487" s="22" t="s">
        <v>4260</v>
      </c>
      <c r="T3487" s="22">
        <f t="shared" si="302"/>
        <v>11</v>
      </c>
      <c r="U3487" s="22">
        <f t="shared" si="303"/>
        <v>2021</v>
      </c>
      <c r="V3487" s="22" t="str">
        <f t="shared" si="304"/>
        <v>METROPOLITANA</v>
      </c>
    </row>
    <row r="3488" spans="1:22" x14ac:dyDescent="0.2">
      <c r="A3488" s="23" t="s">
        <v>4249</v>
      </c>
      <c r="B3488" s="22" t="s">
        <v>33</v>
      </c>
      <c r="C3488" s="22" t="s">
        <v>44</v>
      </c>
      <c r="D3488" s="22" t="s">
        <v>1869</v>
      </c>
      <c r="E3488" s="24">
        <v>125897258</v>
      </c>
      <c r="F3488" s="22" t="s">
        <v>66</v>
      </c>
      <c r="G3488" s="25">
        <v>13452</v>
      </c>
      <c r="H3488" s="22" t="s">
        <v>24</v>
      </c>
      <c r="I3488" s="22">
        <v>1</v>
      </c>
      <c r="J3488" s="22" t="s">
        <v>66</v>
      </c>
      <c r="K3488" s="22" t="s">
        <v>75</v>
      </c>
      <c r="L3488" s="22">
        <v>0</v>
      </c>
      <c r="M3488" s="26">
        <v>380000</v>
      </c>
      <c r="N3488" s="26">
        <v>0</v>
      </c>
      <c r="O3488" s="15">
        <f t="shared" si="305"/>
        <v>380000</v>
      </c>
      <c r="P3488" s="15">
        <f t="shared" si="299"/>
        <v>28.248587570621471</v>
      </c>
      <c r="Q3488" s="25">
        <v>20000</v>
      </c>
      <c r="R3488" s="22">
        <v>67</v>
      </c>
      <c r="S3488" s="22" t="s">
        <v>4261</v>
      </c>
      <c r="T3488" s="22">
        <f t="shared" si="302"/>
        <v>11</v>
      </c>
      <c r="U3488" s="22">
        <f t="shared" si="303"/>
        <v>2021</v>
      </c>
      <c r="V3488" s="22" t="str">
        <f t="shared" si="304"/>
        <v>REGIONES</v>
      </c>
    </row>
    <row r="3489" spans="1:22" x14ac:dyDescent="0.2">
      <c r="A3489" s="11" t="s">
        <v>4262</v>
      </c>
      <c r="B3489" s="12" t="s">
        <v>18</v>
      </c>
      <c r="C3489" s="12" t="s">
        <v>163</v>
      </c>
      <c r="D3489" s="12" t="s">
        <v>30</v>
      </c>
      <c r="E3489" s="13" t="s">
        <v>31</v>
      </c>
      <c r="F3489" s="12" t="s">
        <v>165</v>
      </c>
      <c r="G3489" s="14">
        <v>10580</v>
      </c>
      <c r="H3489" s="12" t="s">
        <v>32</v>
      </c>
      <c r="I3489" s="12">
        <v>0</v>
      </c>
      <c r="J3489" s="12" t="s">
        <v>165</v>
      </c>
      <c r="K3489" s="12" t="s">
        <v>23</v>
      </c>
      <c r="L3489" s="12">
        <v>4</v>
      </c>
      <c r="M3489" s="15">
        <v>116380</v>
      </c>
      <c r="N3489" s="15">
        <v>0</v>
      </c>
      <c r="O3489" s="15">
        <f t="shared" si="305"/>
        <v>116380</v>
      </c>
      <c r="P3489" s="15">
        <f t="shared" ref="P3489:P3552" si="306">O3489/G3489</f>
        <v>11</v>
      </c>
      <c r="Q3489" s="14">
        <v>5000</v>
      </c>
      <c r="R3489" s="12">
        <v>100</v>
      </c>
      <c r="S3489" s="12" t="s">
        <v>4263</v>
      </c>
      <c r="T3489" s="22">
        <f t="shared" si="302"/>
        <v>11</v>
      </c>
      <c r="U3489" s="22">
        <f t="shared" si="303"/>
        <v>2021</v>
      </c>
      <c r="V3489" s="22" t="str">
        <f t="shared" si="304"/>
        <v>METROPOLITANA</v>
      </c>
    </row>
    <row r="3490" spans="1:22" x14ac:dyDescent="0.2">
      <c r="A3490" s="11" t="s">
        <v>4262</v>
      </c>
      <c r="B3490" s="12" t="s">
        <v>33</v>
      </c>
      <c r="C3490" s="12" t="s">
        <v>128</v>
      </c>
      <c r="D3490" s="12" t="s">
        <v>786</v>
      </c>
      <c r="E3490" s="13" t="s">
        <v>787</v>
      </c>
      <c r="F3490" s="12" t="s">
        <v>129</v>
      </c>
      <c r="G3490" s="14">
        <v>15755.999999999991</v>
      </c>
      <c r="H3490" s="12" t="s">
        <v>788</v>
      </c>
      <c r="I3490" s="12">
        <v>1</v>
      </c>
      <c r="J3490" s="12" t="s">
        <v>129</v>
      </c>
      <c r="K3490" s="12" t="s">
        <v>23</v>
      </c>
      <c r="L3490" s="12">
        <v>1</v>
      </c>
      <c r="M3490" s="15">
        <v>173316</v>
      </c>
      <c r="N3490" s="15">
        <v>0</v>
      </c>
      <c r="O3490" s="15">
        <f t="shared" si="305"/>
        <v>173316</v>
      </c>
      <c r="P3490" s="15">
        <f t="shared" si="306"/>
        <v>11.000000000000007</v>
      </c>
      <c r="Q3490" s="14">
        <v>5000</v>
      </c>
      <c r="R3490" s="12">
        <v>100</v>
      </c>
      <c r="S3490" s="12" t="s">
        <v>4264</v>
      </c>
      <c r="T3490" s="22">
        <f t="shared" si="302"/>
        <v>11</v>
      </c>
      <c r="U3490" s="22">
        <f t="shared" si="303"/>
        <v>2021</v>
      </c>
      <c r="V3490" s="22" t="str">
        <f t="shared" si="304"/>
        <v>METROPOLITANA</v>
      </c>
    </row>
    <row r="3491" spans="1:22" x14ac:dyDescent="0.2">
      <c r="A3491" s="11" t="s">
        <v>4262</v>
      </c>
      <c r="B3491" s="12" t="s">
        <v>33</v>
      </c>
      <c r="C3491" s="12" t="s">
        <v>29</v>
      </c>
      <c r="D3491" s="12" t="s">
        <v>38</v>
      </c>
      <c r="E3491" s="13" t="s">
        <v>25</v>
      </c>
      <c r="F3491" s="12" t="s">
        <v>39</v>
      </c>
      <c r="G3491" s="14">
        <v>7483.35</v>
      </c>
      <c r="H3491" s="12" t="s">
        <v>43</v>
      </c>
      <c r="I3491" s="12">
        <v>0</v>
      </c>
      <c r="J3491" s="12" t="s">
        <v>39</v>
      </c>
      <c r="K3491" s="12" t="s">
        <v>23</v>
      </c>
      <c r="L3491" s="12">
        <v>1</v>
      </c>
      <c r="M3491" s="15">
        <v>82317</v>
      </c>
      <c r="N3491" s="15">
        <v>0</v>
      </c>
      <c r="O3491" s="15">
        <f t="shared" si="305"/>
        <v>82317</v>
      </c>
      <c r="P3491" s="15">
        <f t="shared" si="306"/>
        <v>11.000020044498786</v>
      </c>
      <c r="Q3491" s="14">
        <v>5000</v>
      </c>
      <c r="R3491" s="12">
        <v>100</v>
      </c>
      <c r="S3491" s="12" t="s">
        <v>4265</v>
      </c>
      <c r="T3491" s="22">
        <f t="shared" si="302"/>
        <v>11</v>
      </c>
      <c r="U3491" s="22">
        <f t="shared" si="303"/>
        <v>2021</v>
      </c>
      <c r="V3491" s="22" t="str">
        <f t="shared" si="304"/>
        <v>METROPOLITANA</v>
      </c>
    </row>
    <row r="3492" spans="1:22" x14ac:dyDescent="0.2">
      <c r="A3492" s="11" t="s">
        <v>4262</v>
      </c>
      <c r="B3492" s="12" t="s">
        <v>33</v>
      </c>
      <c r="C3492" s="12" t="s">
        <v>29</v>
      </c>
      <c r="D3492" s="12" t="s">
        <v>164</v>
      </c>
      <c r="E3492" s="13" t="s">
        <v>28</v>
      </c>
      <c r="F3492" s="12" t="s">
        <v>39</v>
      </c>
      <c r="G3492" s="14">
        <f>6595.2+1649</f>
        <v>8244.2000000000007</v>
      </c>
      <c r="H3492" s="12" t="s">
        <v>22</v>
      </c>
      <c r="I3492" s="12">
        <v>1</v>
      </c>
      <c r="J3492" s="12" t="s">
        <v>39</v>
      </c>
      <c r="K3492" s="12" t="s">
        <v>23</v>
      </c>
      <c r="L3492" s="12">
        <v>1</v>
      </c>
      <c r="M3492" s="15">
        <v>72547</v>
      </c>
      <c r="N3492" s="15">
        <v>0</v>
      </c>
      <c r="O3492" s="15">
        <f t="shared" si="305"/>
        <v>72547</v>
      </c>
      <c r="P3492" s="15">
        <f t="shared" si="306"/>
        <v>8.7997622571019622</v>
      </c>
      <c r="Q3492" s="14">
        <v>5000</v>
      </c>
      <c r="R3492" s="12">
        <v>100</v>
      </c>
      <c r="S3492" s="12" t="s">
        <v>4271</v>
      </c>
      <c r="T3492" s="22">
        <f t="shared" si="302"/>
        <v>11</v>
      </c>
      <c r="U3492" s="22">
        <f t="shared" si="303"/>
        <v>2021</v>
      </c>
      <c r="V3492" s="22" t="str">
        <f t="shared" si="304"/>
        <v>METROPOLITANA</v>
      </c>
    </row>
    <row r="3493" spans="1:22" x14ac:dyDescent="0.2">
      <c r="A3493" s="11" t="s">
        <v>4262</v>
      </c>
      <c r="B3493" s="12" t="s">
        <v>33</v>
      </c>
      <c r="C3493" s="12" t="s">
        <v>44</v>
      </c>
      <c r="D3493" s="12" t="s">
        <v>2825</v>
      </c>
      <c r="E3493" s="13" t="s">
        <v>639</v>
      </c>
      <c r="F3493" s="12" t="s">
        <v>66</v>
      </c>
      <c r="G3493" s="14">
        <v>14800.2</v>
      </c>
      <c r="H3493" s="12" t="s">
        <v>24</v>
      </c>
      <c r="I3493" s="12">
        <v>1</v>
      </c>
      <c r="J3493" s="12" t="s">
        <v>66</v>
      </c>
      <c r="K3493" s="12" t="s">
        <v>75</v>
      </c>
      <c r="L3493" s="12">
        <v>0</v>
      </c>
      <c r="M3493" s="15">
        <v>380000</v>
      </c>
      <c r="N3493" s="15">
        <v>0</v>
      </c>
      <c r="O3493" s="15">
        <f t="shared" si="305"/>
        <v>380000</v>
      </c>
      <c r="P3493" s="15">
        <f t="shared" si="306"/>
        <v>25.675328711774164</v>
      </c>
      <c r="Q3493" s="14">
        <v>20000</v>
      </c>
      <c r="R3493" s="12">
        <v>74</v>
      </c>
      <c r="S3493" s="12" t="s">
        <v>4266</v>
      </c>
      <c r="T3493" s="22">
        <f t="shared" si="302"/>
        <v>11</v>
      </c>
      <c r="U3493" s="22">
        <f t="shared" si="303"/>
        <v>2021</v>
      </c>
      <c r="V3493" s="22" t="str">
        <f t="shared" si="304"/>
        <v>REGIONES</v>
      </c>
    </row>
    <row r="3494" spans="1:22" x14ac:dyDescent="0.2">
      <c r="A3494" s="11" t="s">
        <v>4262</v>
      </c>
      <c r="B3494" s="12" t="s">
        <v>33</v>
      </c>
      <c r="C3494" s="12" t="s">
        <v>44</v>
      </c>
      <c r="D3494" s="12" t="s">
        <v>37</v>
      </c>
      <c r="E3494" s="13" t="s">
        <v>40</v>
      </c>
      <c r="F3494" s="12" t="s">
        <v>67</v>
      </c>
      <c r="G3494" s="14">
        <v>5721.24</v>
      </c>
      <c r="H3494" s="12" t="s">
        <v>22</v>
      </c>
      <c r="I3494" s="12">
        <v>0</v>
      </c>
      <c r="J3494" s="12" t="s">
        <v>67</v>
      </c>
      <c r="K3494" s="12" t="s">
        <v>23</v>
      </c>
      <c r="L3494" s="12">
        <v>2</v>
      </c>
      <c r="M3494" s="15">
        <v>62934</v>
      </c>
      <c r="N3494" s="15">
        <v>0</v>
      </c>
      <c r="O3494" s="15">
        <f t="shared" si="305"/>
        <v>62934</v>
      </c>
      <c r="P3494" s="15">
        <f t="shared" si="306"/>
        <v>11.000062923422195</v>
      </c>
      <c r="Q3494" s="14">
        <v>5000</v>
      </c>
      <c r="R3494" s="12">
        <v>100</v>
      </c>
      <c r="S3494" s="12" t="s">
        <v>4267</v>
      </c>
      <c r="T3494" s="22">
        <f t="shared" si="302"/>
        <v>11</v>
      </c>
      <c r="U3494" s="22">
        <f t="shared" si="303"/>
        <v>2021</v>
      </c>
      <c r="V3494" s="22" t="str">
        <f t="shared" si="304"/>
        <v>METROPOLITANA</v>
      </c>
    </row>
    <row r="3495" spans="1:22" x14ac:dyDescent="0.2">
      <c r="A3495" s="11" t="s">
        <v>4262</v>
      </c>
      <c r="B3495" s="12" t="s">
        <v>33</v>
      </c>
      <c r="C3495" s="12" t="s">
        <v>44</v>
      </c>
      <c r="D3495" s="12" t="s">
        <v>47</v>
      </c>
      <c r="E3495" s="13" t="s">
        <v>1576</v>
      </c>
      <c r="F3495" s="12" t="s">
        <v>46</v>
      </c>
      <c r="G3495" s="14">
        <v>4067.04</v>
      </c>
      <c r="H3495" s="12" t="s">
        <v>22</v>
      </c>
      <c r="I3495" s="12">
        <v>0</v>
      </c>
      <c r="J3495" s="12" t="s">
        <v>46</v>
      </c>
      <c r="K3495" s="12" t="s">
        <v>23</v>
      </c>
      <c r="L3495" s="12">
        <v>2</v>
      </c>
      <c r="M3495" s="15">
        <v>55000</v>
      </c>
      <c r="N3495" s="15">
        <v>0</v>
      </c>
      <c r="O3495" s="15">
        <f t="shared" si="305"/>
        <v>55000</v>
      </c>
      <c r="P3495" s="15">
        <f t="shared" si="306"/>
        <v>13.523348676187105</v>
      </c>
      <c r="Q3495" s="14">
        <v>5000</v>
      </c>
      <c r="R3495" s="12">
        <v>81</v>
      </c>
      <c r="S3495" s="12" t="s">
        <v>4268</v>
      </c>
      <c r="T3495" s="22">
        <f t="shared" si="302"/>
        <v>11</v>
      </c>
      <c r="U3495" s="22">
        <f t="shared" si="303"/>
        <v>2021</v>
      </c>
      <c r="V3495" s="22" t="str">
        <f t="shared" si="304"/>
        <v>METROPOLITANA</v>
      </c>
    </row>
    <row r="3496" spans="1:22" x14ac:dyDescent="0.2">
      <c r="A3496" s="11" t="s">
        <v>4262</v>
      </c>
      <c r="B3496" s="12" t="s">
        <v>33</v>
      </c>
      <c r="C3496" s="12" t="s">
        <v>44</v>
      </c>
      <c r="D3496" s="12" t="s">
        <v>35</v>
      </c>
      <c r="E3496" s="13" t="s">
        <v>52</v>
      </c>
      <c r="F3496" s="12" t="s">
        <v>137</v>
      </c>
      <c r="G3496" s="14">
        <v>3651</v>
      </c>
      <c r="H3496" s="12" t="s">
        <v>22</v>
      </c>
      <c r="I3496" s="12">
        <v>0</v>
      </c>
      <c r="J3496" s="12" t="s">
        <v>137</v>
      </c>
      <c r="K3496" s="12" t="s">
        <v>23</v>
      </c>
      <c r="L3496" s="12">
        <v>1</v>
      </c>
      <c r="M3496" s="15">
        <v>55000</v>
      </c>
      <c r="N3496" s="15">
        <v>0</v>
      </c>
      <c r="O3496" s="15">
        <f t="shared" si="305"/>
        <v>55000</v>
      </c>
      <c r="P3496" s="15">
        <f t="shared" si="306"/>
        <v>15.064365927143248</v>
      </c>
      <c r="Q3496" s="14">
        <v>5000</v>
      </c>
      <c r="R3496" s="12">
        <v>73</v>
      </c>
      <c r="S3496" s="12" t="s">
        <v>4269</v>
      </c>
      <c r="T3496" s="22">
        <f t="shared" si="302"/>
        <v>11</v>
      </c>
      <c r="U3496" s="22">
        <f t="shared" si="303"/>
        <v>2021</v>
      </c>
      <c r="V3496" s="22" t="str">
        <f t="shared" si="304"/>
        <v>METROPOLITANA</v>
      </c>
    </row>
    <row r="3497" spans="1:22" x14ac:dyDescent="0.2">
      <c r="A3497" s="11" t="s">
        <v>4262</v>
      </c>
      <c r="B3497" s="12" t="s">
        <v>33</v>
      </c>
      <c r="C3497" s="12" t="s">
        <v>44</v>
      </c>
      <c r="D3497" s="12" t="s">
        <v>20</v>
      </c>
      <c r="E3497" s="13" t="s">
        <v>21</v>
      </c>
      <c r="F3497" s="12" t="s">
        <v>95</v>
      </c>
      <c r="G3497" s="14">
        <v>3216.84</v>
      </c>
      <c r="H3497" s="12" t="s">
        <v>22</v>
      </c>
      <c r="I3497" s="12">
        <v>0</v>
      </c>
      <c r="J3497" s="12" t="s">
        <v>95</v>
      </c>
      <c r="K3497" s="12" t="s">
        <v>23</v>
      </c>
      <c r="L3497" s="12">
        <v>4</v>
      </c>
      <c r="M3497" s="15">
        <v>55000</v>
      </c>
      <c r="N3497" s="15">
        <v>0</v>
      </c>
      <c r="O3497" s="15">
        <f t="shared" si="305"/>
        <v>55000</v>
      </c>
      <c r="P3497" s="15">
        <f t="shared" si="306"/>
        <v>17.097524278484475</v>
      </c>
      <c r="Q3497" s="14">
        <v>5000</v>
      </c>
      <c r="R3497" s="12">
        <v>64</v>
      </c>
      <c r="S3497" s="12" t="s">
        <v>4270</v>
      </c>
      <c r="T3497" s="22">
        <f t="shared" si="302"/>
        <v>11</v>
      </c>
      <c r="U3497" s="22">
        <f t="shared" si="303"/>
        <v>2021</v>
      </c>
      <c r="V3497" s="22" t="str">
        <f t="shared" si="304"/>
        <v>METROPOLITANA</v>
      </c>
    </row>
    <row r="3498" spans="1:22" x14ac:dyDescent="0.2">
      <c r="A3498" s="23" t="s">
        <v>4272</v>
      </c>
      <c r="B3498" s="22" t="s">
        <v>18</v>
      </c>
      <c r="C3498" s="22" t="s">
        <v>270</v>
      </c>
      <c r="D3498" s="22" t="s">
        <v>2955</v>
      </c>
      <c r="E3498" s="24" t="s">
        <v>2956</v>
      </c>
      <c r="F3498" s="22" t="s">
        <v>120</v>
      </c>
      <c r="G3498" s="25">
        <v>22848</v>
      </c>
      <c r="H3498" s="22" t="s">
        <v>24</v>
      </c>
      <c r="I3498" s="22">
        <v>1</v>
      </c>
      <c r="J3498" s="22" t="s">
        <v>120</v>
      </c>
      <c r="K3498" s="22" t="s">
        <v>23</v>
      </c>
      <c r="L3498" s="22">
        <v>5</v>
      </c>
      <c r="M3498" s="26">
        <v>120000</v>
      </c>
      <c r="N3498" s="26">
        <v>0</v>
      </c>
      <c r="O3498" s="15">
        <f>G3498*11</f>
        <v>251328</v>
      </c>
      <c r="P3498" s="15">
        <f t="shared" si="306"/>
        <v>11</v>
      </c>
      <c r="Q3498" s="25">
        <v>10000</v>
      </c>
      <c r="R3498" s="22">
        <v>100</v>
      </c>
      <c r="S3498" s="22" t="s">
        <v>4273</v>
      </c>
      <c r="T3498" s="22">
        <f t="shared" si="302"/>
        <v>11</v>
      </c>
      <c r="U3498" s="22">
        <f t="shared" si="303"/>
        <v>2021</v>
      </c>
      <c r="V3498" s="22" t="str">
        <f t="shared" si="304"/>
        <v>METROPOLITANA</v>
      </c>
    </row>
    <row r="3499" spans="1:22" x14ac:dyDescent="0.2">
      <c r="A3499" s="23" t="s">
        <v>4272</v>
      </c>
      <c r="B3499" s="22" t="s">
        <v>18</v>
      </c>
      <c r="C3499" s="22" t="s">
        <v>163</v>
      </c>
      <c r="D3499" s="22" t="s">
        <v>30</v>
      </c>
      <c r="E3499" s="24" t="s">
        <v>31</v>
      </c>
      <c r="F3499" s="22" t="s">
        <v>165</v>
      </c>
      <c r="G3499" s="25">
        <v>14467.2</v>
      </c>
      <c r="H3499" s="22" t="s">
        <v>32</v>
      </c>
      <c r="I3499" s="22">
        <v>0</v>
      </c>
      <c r="J3499" s="22" t="s">
        <v>165</v>
      </c>
      <c r="K3499" s="22" t="s">
        <v>23</v>
      </c>
      <c r="L3499" s="22">
        <v>4</v>
      </c>
      <c r="M3499" s="26">
        <v>159139</v>
      </c>
      <c r="N3499" s="26">
        <v>0</v>
      </c>
      <c r="O3499" s="15">
        <f t="shared" ref="O3499:O3562" si="307">SUM(M3499:N3499)</f>
        <v>159139</v>
      </c>
      <c r="P3499" s="15">
        <f t="shared" si="306"/>
        <v>10.999986175624862</v>
      </c>
      <c r="Q3499" s="25">
        <v>5000</v>
      </c>
      <c r="R3499" s="22">
        <v>100</v>
      </c>
      <c r="S3499" s="22" t="s">
        <v>4274</v>
      </c>
      <c r="T3499" s="22">
        <f t="shared" si="302"/>
        <v>11</v>
      </c>
      <c r="U3499" s="22">
        <f t="shared" si="303"/>
        <v>2021</v>
      </c>
      <c r="V3499" s="22" t="str">
        <f t="shared" si="304"/>
        <v>METROPOLITANA</v>
      </c>
    </row>
    <row r="3500" spans="1:22" x14ac:dyDescent="0.2">
      <c r="A3500" s="23" t="s">
        <v>4272</v>
      </c>
      <c r="B3500" s="22" t="s">
        <v>18</v>
      </c>
      <c r="C3500" s="22" t="s">
        <v>29</v>
      </c>
      <c r="D3500" s="22" t="s">
        <v>63</v>
      </c>
      <c r="E3500" s="24" t="s">
        <v>64</v>
      </c>
      <c r="F3500" s="22" t="s">
        <v>182</v>
      </c>
      <c r="G3500" s="25">
        <v>3654</v>
      </c>
      <c r="H3500" s="22" t="s">
        <v>65</v>
      </c>
      <c r="I3500" s="22">
        <v>0</v>
      </c>
      <c r="J3500" s="22" t="s">
        <v>182</v>
      </c>
      <c r="K3500" s="22" t="s">
        <v>23</v>
      </c>
      <c r="L3500" s="22">
        <v>4</v>
      </c>
      <c r="M3500" s="26">
        <v>55000</v>
      </c>
      <c r="N3500" s="26">
        <v>0</v>
      </c>
      <c r="O3500" s="15">
        <f t="shared" si="307"/>
        <v>55000</v>
      </c>
      <c r="P3500" s="15">
        <f t="shared" si="306"/>
        <v>15.0519978106185</v>
      </c>
      <c r="Q3500" s="25">
        <v>5000</v>
      </c>
      <c r="R3500" s="22">
        <v>73</v>
      </c>
      <c r="S3500" s="22" t="s">
        <v>4275</v>
      </c>
      <c r="T3500" s="22">
        <f t="shared" si="302"/>
        <v>11</v>
      </c>
      <c r="U3500" s="22">
        <f t="shared" si="303"/>
        <v>2021</v>
      </c>
      <c r="V3500" s="22" t="str">
        <f t="shared" si="304"/>
        <v>METROPOLITANA</v>
      </c>
    </row>
    <row r="3501" spans="1:22" x14ac:dyDescent="0.2">
      <c r="A3501" s="23" t="s">
        <v>4272</v>
      </c>
      <c r="B3501" s="22" t="s">
        <v>33</v>
      </c>
      <c r="C3501" s="22" t="s">
        <v>60</v>
      </c>
      <c r="D3501" s="22" t="s">
        <v>38</v>
      </c>
      <c r="E3501" s="24" t="s">
        <v>25</v>
      </c>
      <c r="F3501" s="22" t="s">
        <v>51</v>
      </c>
      <c r="G3501" s="25">
        <v>7503.9999999999973</v>
      </c>
      <c r="H3501" s="22" t="s">
        <v>43</v>
      </c>
      <c r="I3501" s="22">
        <v>0</v>
      </c>
      <c r="J3501" s="22" t="s">
        <v>51</v>
      </c>
      <c r="K3501" s="22" t="s">
        <v>23</v>
      </c>
      <c r="L3501" s="22">
        <v>4</v>
      </c>
      <c r="M3501" s="26">
        <v>82544</v>
      </c>
      <c r="N3501" s="26">
        <v>0</v>
      </c>
      <c r="O3501" s="15">
        <f t="shared" si="307"/>
        <v>82544</v>
      </c>
      <c r="P3501" s="15">
        <f t="shared" si="306"/>
        <v>11.000000000000004</v>
      </c>
      <c r="Q3501" s="25">
        <v>5000</v>
      </c>
      <c r="R3501" s="22">
        <v>100</v>
      </c>
      <c r="S3501" s="22" t="s">
        <v>4276</v>
      </c>
      <c r="T3501" s="22">
        <f t="shared" si="302"/>
        <v>11</v>
      </c>
      <c r="U3501" s="22">
        <f t="shared" si="303"/>
        <v>2021</v>
      </c>
      <c r="V3501" s="22" t="str">
        <f t="shared" si="304"/>
        <v>METROPOLITANA</v>
      </c>
    </row>
    <row r="3502" spans="1:22" x14ac:dyDescent="0.2">
      <c r="A3502" s="23" t="s">
        <v>4272</v>
      </c>
      <c r="B3502" s="22" t="s">
        <v>33</v>
      </c>
      <c r="C3502" s="22" t="s">
        <v>44</v>
      </c>
      <c r="D3502" s="22" t="s">
        <v>37</v>
      </c>
      <c r="E3502" s="24" t="s">
        <v>40</v>
      </c>
      <c r="F3502" s="22" t="s">
        <v>554</v>
      </c>
      <c r="G3502" s="25">
        <v>4076.84</v>
      </c>
      <c r="H3502" s="22" t="s">
        <v>22</v>
      </c>
      <c r="I3502" s="22">
        <v>0</v>
      </c>
      <c r="J3502" s="22" t="s">
        <v>554</v>
      </c>
      <c r="K3502" s="22" t="s">
        <v>23</v>
      </c>
      <c r="L3502" s="22">
        <v>4</v>
      </c>
      <c r="M3502" s="26">
        <v>55000</v>
      </c>
      <c r="N3502" s="26">
        <v>0</v>
      </c>
      <c r="O3502" s="15">
        <f t="shared" si="307"/>
        <v>55000</v>
      </c>
      <c r="P3502" s="15">
        <f t="shared" si="306"/>
        <v>13.490840945438134</v>
      </c>
      <c r="Q3502" s="25">
        <v>5000</v>
      </c>
      <c r="R3502" s="22">
        <v>82</v>
      </c>
      <c r="S3502" s="22" t="s">
        <v>4277</v>
      </c>
      <c r="T3502" s="22">
        <f t="shared" si="302"/>
        <v>11</v>
      </c>
      <c r="U3502" s="22">
        <f t="shared" si="303"/>
        <v>2021</v>
      </c>
      <c r="V3502" s="22" t="str">
        <f t="shared" si="304"/>
        <v>METROPOLITANA</v>
      </c>
    </row>
    <row r="3503" spans="1:22" x14ac:dyDescent="0.2">
      <c r="A3503" s="23" t="s">
        <v>4272</v>
      </c>
      <c r="B3503" s="22" t="s">
        <v>33</v>
      </c>
      <c r="C3503" s="22" t="s">
        <v>44</v>
      </c>
      <c r="D3503" s="22" t="s">
        <v>63</v>
      </c>
      <c r="E3503" s="24" t="s">
        <v>64</v>
      </c>
      <c r="F3503" s="22" t="s">
        <v>94</v>
      </c>
      <c r="G3503" s="25">
        <v>6349.9999999999991</v>
      </c>
      <c r="H3503" s="22" t="s">
        <v>65</v>
      </c>
      <c r="I3503" s="22">
        <v>0</v>
      </c>
      <c r="J3503" s="22" t="s">
        <v>59</v>
      </c>
      <c r="K3503" s="22" t="s">
        <v>78</v>
      </c>
      <c r="L3503" s="22">
        <v>0</v>
      </c>
      <c r="M3503" s="26">
        <v>180000</v>
      </c>
      <c r="N3503" s="26">
        <v>0</v>
      </c>
      <c r="O3503" s="15">
        <f t="shared" si="307"/>
        <v>180000</v>
      </c>
      <c r="P3503" s="15">
        <f t="shared" si="306"/>
        <v>28.346456692913389</v>
      </c>
      <c r="Q3503" s="25">
        <v>20000</v>
      </c>
      <c r="R3503" s="22">
        <v>32</v>
      </c>
      <c r="S3503" s="22" t="s">
        <v>4278</v>
      </c>
      <c r="T3503" s="22">
        <f t="shared" si="302"/>
        <v>11</v>
      </c>
      <c r="U3503" s="22">
        <f t="shared" si="303"/>
        <v>2021</v>
      </c>
      <c r="V3503" s="22" t="str">
        <f t="shared" si="304"/>
        <v>REGIONES</v>
      </c>
    </row>
    <row r="3504" spans="1:22" x14ac:dyDescent="0.2">
      <c r="A3504" s="23" t="s">
        <v>4272</v>
      </c>
      <c r="B3504" s="22" t="s">
        <v>33</v>
      </c>
      <c r="C3504" s="22" t="s">
        <v>44</v>
      </c>
      <c r="D3504" s="22" t="s">
        <v>47</v>
      </c>
      <c r="E3504" s="24" t="s">
        <v>1576</v>
      </c>
      <c r="F3504" s="22" t="s">
        <v>48</v>
      </c>
      <c r="G3504" s="25">
        <v>10417</v>
      </c>
      <c r="H3504" s="22" t="s">
        <v>22</v>
      </c>
      <c r="I3504" s="22">
        <v>0</v>
      </c>
      <c r="J3504" s="22" t="s">
        <v>48</v>
      </c>
      <c r="K3504" s="22" t="s">
        <v>23</v>
      </c>
      <c r="L3504" s="22">
        <v>1</v>
      </c>
      <c r="M3504" s="26">
        <v>114587</v>
      </c>
      <c r="N3504" s="26">
        <v>0</v>
      </c>
      <c r="O3504" s="15">
        <f t="shared" si="307"/>
        <v>114587</v>
      </c>
      <c r="P3504" s="15">
        <f t="shared" si="306"/>
        <v>11</v>
      </c>
      <c r="Q3504" s="25">
        <v>5000</v>
      </c>
      <c r="R3504" s="22">
        <v>100</v>
      </c>
      <c r="S3504" s="22" t="s">
        <v>4279</v>
      </c>
      <c r="T3504" s="22">
        <f t="shared" si="302"/>
        <v>11</v>
      </c>
      <c r="U3504" s="22">
        <f t="shared" si="303"/>
        <v>2021</v>
      </c>
      <c r="V3504" s="22" t="str">
        <f t="shared" si="304"/>
        <v>METROPOLITANA</v>
      </c>
    </row>
    <row r="3505" spans="1:22" x14ac:dyDescent="0.2">
      <c r="A3505" s="23" t="s">
        <v>4272</v>
      </c>
      <c r="B3505" s="22" t="s">
        <v>33</v>
      </c>
      <c r="C3505" s="22" t="s">
        <v>44</v>
      </c>
      <c r="D3505" s="22" t="s">
        <v>35</v>
      </c>
      <c r="E3505" s="24" t="s">
        <v>52</v>
      </c>
      <c r="F3505" s="22" t="s">
        <v>53</v>
      </c>
      <c r="G3505" s="25">
        <v>4078.44</v>
      </c>
      <c r="H3505" s="22" t="s">
        <v>22</v>
      </c>
      <c r="I3505" s="22">
        <v>0</v>
      </c>
      <c r="J3505" s="22" t="s">
        <v>53</v>
      </c>
      <c r="K3505" s="22" t="s">
        <v>23</v>
      </c>
      <c r="L3505" s="22">
        <v>3</v>
      </c>
      <c r="M3505" s="26">
        <v>55000</v>
      </c>
      <c r="N3505" s="26">
        <v>0</v>
      </c>
      <c r="O3505" s="15">
        <f t="shared" si="307"/>
        <v>55000</v>
      </c>
      <c r="P3505" s="15">
        <f t="shared" si="306"/>
        <v>13.485548395955316</v>
      </c>
      <c r="Q3505" s="25">
        <v>5000</v>
      </c>
      <c r="R3505" s="22">
        <v>82</v>
      </c>
      <c r="S3505" s="22" t="s">
        <v>4280</v>
      </c>
      <c r="T3505" s="22">
        <f t="shared" si="302"/>
        <v>11</v>
      </c>
      <c r="U3505" s="22">
        <f t="shared" si="303"/>
        <v>2021</v>
      </c>
      <c r="V3505" s="22" t="str">
        <f t="shared" si="304"/>
        <v>METROPOLITANA</v>
      </c>
    </row>
    <row r="3506" spans="1:22" x14ac:dyDescent="0.2">
      <c r="A3506" s="23" t="s">
        <v>4272</v>
      </c>
      <c r="B3506" s="22" t="s">
        <v>33</v>
      </c>
      <c r="C3506" s="22" t="s">
        <v>44</v>
      </c>
      <c r="D3506" s="22" t="s">
        <v>41</v>
      </c>
      <c r="E3506" s="24" t="s">
        <v>25</v>
      </c>
      <c r="F3506" s="22" t="s">
        <v>26</v>
      </c>
      <c r="G3506" s="25">
        <v>5076.5999999999995</v>
      </c>
      <c r="H3506" s="22" t="s">
        <v>43</v>
      </c>
      <c r="I3506" s="22">
        <v>0</v>
      </c>
      <c r="J3506" s="22" t="s">
        <v>26</v>
      </c>
      <c r="K3506" s="22" t="s">
        <v>23</v>
      </c>
      <c r="L3506" s="22">
        <v>4</v>
      </c>
      <c r="M3506" s="26">
        <v>55843</v>
      </c>
      <c r="N3506" s="26">
        <v>0</v>
      </c>
      <c r="O3506" s="15">
        <f t="shared" si="307"/>
        <v>55843</v>
      </c>
      <c r="P3506" s="15">
        <f t="shared" si="306"/>
        <v>11.000078792892882</v>
      </c>
      <c r="Q3506" s="25">
        <v>5000</v>
      </c>
      <c r="R3506" s="22">
        <v>100</v>
      </c>
      <c r="S3506" s="22" t="s">
        <v>4281</v>
      </c>
      <c r="T3506" s="22">
        <f t="shared" si="302"/>
        <v>11</v>
      </c>
      <c r="U3506" s="22">
        <f t="shared" si="303"/>
        <v>2021</v>
      </c>
      <c r="V3506" s="22" t="str">
        <f t="shared" si="304"/>
        <v>METROPOLITANA</v>
      </c>
    </row>
    <row r="3507" spans="1:22" x14ac:dyDescent="0.2">
      <c r="A3507" s="23" t="s">
        <v>4282</v>
      </c>
      <c r="B3507" s="22" t="s">
        <v>18</v>
      </c>
      <c r="C3507" s="22" t="s">
        <v>270</v>
      </c>
      <c r="D3507" s="22" t="s">
        <v>786</v>
      </c>
      <c r="E3507" s="24" t="s">
        <v>787</v>
      </c>
      <c r="F3507" s="22" t="s">
        <v>120</v>
      </c>
      <c r="G3507" s="25">
        <v>7894.7999999999984</v>
      </c>
      <c r="H3507" s="22" t="s">
        <v>788</v>
      </c>
      <c r="I3507" s="22">
        <v>1</v>
      </c>
      <c r="J3507" s="22" t="s">
        <v>120</v>
      </c>
      <c r="K3507" s="22" t="s">
        <v>23</v>
      </c>
      <c r="L3507" s="22">
        <v>5</v>
      </c>
      <c r="M3507" s="26">
        <v>120000</v>
      </c>
      <c r="N3507" s="26">
        <v>0</v>
      </c>
      <c r="O3507" s="15">
        <f t="shared" si="307"/>
        <v>120000</v>
      </c>
      <c r="P3507" s="15">
        <f t="shared" si="306"/>
        <v>15.199878400972795</v>
      </c>
      <c r="Q3507" s="25">
        <v>10000</v>
      </c>
      <c r="R3507" s="22">
        <v>79</v>
      </c>
      <c r="S3507" s="22" t="s">
        <v>4283</v>
      </c>
      <c r="T3507" s="22">
        <f t="shared" si="302"/>
        <v>11</v>
      </c>
      <c r="U3507" s="22">
        <f t="shared" si="303"/>
        <v>2021</v>
      </c>
      <c r="V3507" s="22" t="str">
        <f t="shared" si="304"/>
        <v>METROPOLITANA</v>
      </c>
    </row>
    <row r="3508" spans="1:22" x14ac:dyDescent="0.2">
      <c r="A3508" s="23" t="s">
        <v>4282</v>
      </c>
      <c r="B3508" s="22" t="s">
        <v>18</v>
      </c>
      <c r="C3508" s="22" t="s">
        <v>163</v>
      </c>
      <c r="D3508" s="22" t="s">
        <v>63</v>
      </c>
      <c r="E3508" s="24" t="s">
        <v>64</v>
      </c>
      <c r="F3508" s="22" t="s">
        <v>165</v>
      </c>
      <c r="G3508" s="25">
        <v>13828.2</v>
      </c>
      <c r="H3508" s="22" t="s">
        <v>65</v>
      </c>
      <c r="I3508" s="22">
        <v>0</v>
      </c>
      <c r="J3508" s="22" t="s">
        <v>165</v>
      </c>
      <c r="K3508" s="22" t="s">
        <v>23</v>
      </c>
      <c r="L3508" s="22">
        <v>4</v>
      </c>
      <c r="M3508" s="26">
        <v>152110</v>
      </c>
      <c r="N3508" s="26">
        <v>0</v>
      </c>
      <c r="O3508" s="15">
        <f t="shared" si="307"/>
        <v>152110</v>
      </c>
      <c r="P3508" s="15">
        <f t="shared" si="306"/>
        <v>10.999985536801608</v>
      </c>
      <c r="Q3508" s="25">
        <v>5000</v>
      </c>
      <c r="R3508" s="22">
        <v>100</v>
      </c>
      <c r="S3508" s="22" t="s">
        <v>4284</v>
      </c>
      <c r="T3508" s="22">
        <f t="shared" si="302"/>
        <v>11</v>
      </c>
      <c r="U3508" s="22">
        <f t="shared" si="303"/>
        <v>2021</v>
      </c>
      <c r="V3508" s="22" t="str">
        <f t="shared" si="304"/>
        <v>METROPOLITANA</v>
      </c>
    </row>
    <row r="3509" spans="1:22" x14ac:dyDescent="0.2">
      <c r="A3509" s="23" t="s">
        <v>4282</v>
      </c>
      <c r="B3509" s="22" t="s">
        <v>33</v>
      </c>
      <c r="C3509" s="22" t="s">
        <v>270</v>
      </c>
      <c r="D3509" s="22" t="s">
        <v>786</v>
      </c>
      <c r="E3509" s="24" t="s">
        <v>787</v>
      </c>
      <c r="F3509" s="22" t="s">
        <v>120</v>
      </c>
      <c r="G3509" s="25">
        <v>10183</v>
      </c>
      <c r="H3509" s="22" t="s">
        <v>788</v>
      </c>
      <c r="I3509" s="22">
        <v>1</v>
      </c>
      <c r="J3509" s="22" t="s">
        <v>120</v>
      </c>
      <c r="K3509" s="22" t="s">
        <v>23</v>
      </c>
      <c r="L3509" s="22">
        <v>5</v>
      </c>
      <c r="M3509" s="26">
        <v>120000</v>
      </c>
      <c r="N3509" s="26">
        <v>0</v>
      </c>
      <c r="O3509" s="15">
        <f t="shared" si="307"/>
        <v>120000</v>
      </c>
      <c r="P3509" s="15">
        <f t="shared" si="306"/>
        <v>11.784346459785917</v>
      </c>
      <c r="Q3509" s="25">
        <v>10000</v>
      </c>
      <c r="R3509" s="22">
        <v>100</v>
      </c>
      <c r="S3509" s="22" t="s">
        <v>4285</v>
      </c>
      <c r="T3509" s="22">
        <f t="shared" si="302"/>
        <v>11</v>
      </c>
      <c r="U3509" s="22">
        <f t="shared" si="303"/>
        <v>2021</v>
      </c>
      <c r="V3509" s="22" t="str">
        <f t="shared" si="304"/>
        <v>METROPOLITANA</v>
      </c>
    </row>
    <row r="3510" spans="1:22" x14ac:dyDescent="0.2">
      <c r="A3510" s="23" t="s">
        <v>4282</v>
      </c>
      <c r="B3510" s="22" t="s">
        <v>33</v>
      </c>
      <c r="C3510" s="22" t="s">
        <v>60</v>
      </c>
      <c r="D3510" s="22" t="s">
        <v>47</v>
      </c>
      <c r="E3510" s="24" t="s">
        <v>1576</v>
      </c>
      <c r="F3510" s="22" t="s">
        <v>51</v>
      </c>
      <c r="G3510" s="25">
        <v>6003.1999999999989</v>
      </c>
      <c r="H3510" s="22" t="s">
        <v>22</v>
      </c>
      <c r="I3510" s="22">
        <v>0</v>
      </c>
      <c r="J3510" s="22" t="s">
        <v>51</v>
      </c>
      <c r="K3510" s="22" t="s">
        <v>23</v>
      </c>
      <c r="L3510" s="22">
        <v>4</v>
      </c>
      <c r="M3510" s="26">
        <v>66035</v>
      </c>
      <c r="N3510" s="26">
        <v>0</v>
      </c>
      <c r="O3510" s="15">
        <f t="shared" si="307"/>
        <v>66035</v>
      </c>
      <c r="P3510" s="15">
        <f t="shared" si="306"/>
        <v>10.99996668443497</v>
      </c>
      <c r="Q3510" s="25">
        <v>5000</v>
      </c>
      <c r="R3510" s="22">
        <v>100</v>
      </c>
      <c r="S3510" s="22" t="s">
        <v>4286</v>
      </c>
      <c r="T3510" s="22">
        <f t="shared" si="302"/>
        <v>11</v>
      </c>
      <c r="U3510" s="22">
        <f t="shared" si="303"/>
        <v>2021</v>
      </c>
      <c r="V3510" s="22" t="str">
        <f t="shared" si="304"/>
        <v>METROPOLITANA</v>
      </c>
    </row>
    <row r="3511" spans="1:22" x14ac:dyDescent="0.2">
      <c r="A3511" s="23" t="s">
        <v>4282</v>
      </c>
      <c r="B3511" s="22" t="s">
        <v>33</v>
      </c>
      <c r="C3511" s="22" t="s">
        <v>60</v>
      </c>
      <c r="D3511" s="22" t="s">
        <v>35</v>
      </c>
      <c r="E3511" s="24" t="s">
        <v>52</v>
      </c>
      <c r="F3511" s="22" t="s">
        <v>51</v>
      </c>
      <c r="G3511" s="25">
        <v>5252.7999999999984</v>
      </c>
      <c r="H3511" s="22" t="s">
        <v>22</v>
      </c>
      <c r="I3511" s="22">
        <v>0</v>
      </c>
      <c r="J3511" s="22" t="s">
        <v>51</v>
      </c>
      <c r="K3511" s="22" t="s">
        <v>23</v>
      </c>
      <c r="L3511" s="22">
        <v>4</v>
      </c>
      <c r="M3511" s="26">
        <v>57781</v>
      </c>
      <c r="N3511" s="26">
        <v>0</v>
      </c>
      <c r="O3511" s="15">
        <f t="shared" si="307"/>
        <v>57781</v>
      </c>
      <c r="P3511" s="15">
        <f t="shared" si="306"/>
        <v>11.000038074931469</v>
      </c>
      <c r="Q3511" s="25">
        <v>5000</v>
      </c>
      <c r="R3511" s="22">
        <v>100</v>
      </c>
      <c r="S3511" s="22" t="s">
        <v>4287</v>
      </c>
      <c r="T3511" s="22">
        <f t="shared" si="302"/>
        <v>11</v>
      </c>
      <c r="U3511" s="22">
        <f t="shared" si="303"/>
        <v>2021</v>
      </c>
      <c r="V3511" s="22" t="str">
        <f t="shared" si="304"/>
        <v>METROPOLITANA</v>
      </c>
    </row>
    <row r="3512" spans="1:22" x14ac:dyDescent="0.2">
      <c r="A3512" s="23" t="s">
        <v>4282</v>
      </c>
      <c r="B3512" s="22" t="s">
        <v>33</v>
      </c>
      <c r="C3512" s="22" t="s">
        <v>128</v>
      </c>
      <c r="D3512" s="22" t="s">
        <v>2955</v>
      </c>
      <c r="E3512" s="24" t="s">
        <v>2956</v>
      </c>
      <c r="F3512" s="22" t="s">
        <v>34</v>
      </c>
      <c r="G3512" s="25">
        <v>12975.19999999999</v>
      </c>
      <c r="H3512" s="22" t="s">
        <v>24</v>
      </c>
      <c r="I3512" s="22">
        <v>1</v>
      </c>
      <c r="J3512" s="22" t="s">
        <v>34</v>
      </c>
      <c r="K3512" s="22" t="s">
        <v>23</v>
      </c>
      <c r="L3512" s="22">
        <v>1</v>
      </c>
      <c r="M3512" s="26">
        <v>142727</v>
      </c>
      <c r="N3512" s="26">
        <v>0</v>
      </c>
      <c r="O3512" s="15">
        <f t="shared" si="307"/>
        <v>142727</v>
      </c>
      <c r="P3512" s="15">
        <f t="shared" si="306"/>
        <v>10.999984585979416</v>
      </c>
      <c r="Q3512" s="25">
        <v>5000</v>
      </c>
      <c r="R3512" s="22">
        <v>100</v>
      </c>
      <c r="S3512" s="22" t="s">
        <v>4288</v>
      </c>
      <c r="T3512" s="22">
        <f t="shared" si="302"/>
        <v>11</v>
      </c>
      <c r="U3512" s="22">
        <f t="shared" si="303"/>
        <v>2021</v>
      </c>
      <c r="V3512" s="22" t="str">
        <f t="shared" si="304"/>
        <v>METROPOLITANA</v>
      </c>
    </row>
    <row r="3513" spans="1:22" x14ac:dyDescent="0.2">
      <c r="A3513" s="23" t="s">
        <v>4282</v>
      </c>
      <c r="B3513" s="22" t="s">
        <v>33</v>
      </c>
      <c r="C3513" s="22" t="s">
        <v>29</v>
      </c>
      <c r="D3513" s="22" t="s">
        <v>37</v>
      </c>
      <c r="E3513" s="24" t="s">
        <v>40</v>
      </c>
      <c r="F3513" s="22" t="s">
        <v>39</v>
      </c>
      <c r="G3513" s="25">
        <v>13000</v>
      </c>
      <c r="H3513" s="22" t="s">
        <v>22</v>
      </c>
      <c r="I3513" s="22">
        <v>0</v>
      </c>
      <c r="J3513" s="22" t="s">
        <v>39</v>
      </c>
      <c r="K3513" s="22" t="s">
        <v>23</v>
      </c>
      <c r="L3513" s="22">
        <v>1</v>
      </c>
      <c r="M3513" s="26">
        <v>143000</v>
      </c>
      <c r="N3513" s="26">
        <v>0</v>
      </c>
      <c r="O3513" s="15">
        <f t="shared" si="307"/>
        <v>143000</v>
      </c>
      <c r="P3513" s="15">
        <f t="shared" si="306"/>
        <v>11</v>
      </c>
      <c r="Q3513" s="25">
        <v>5000</v>
      </c>
      <c r="R3513" s="22">
        <v>100</v>
      </c>
      <c r="S3513" s="22" t="s">
        <v>4289</v>
      </c>
      <c r="T3513" s="22">
        <f t="shared" si="302"/>
        <v>11</v>
      </c>
      <c r="U3513" s="22">
        <f t="shared" si="303"/>
        <v>2021</v>
      </c>
      <c r="V3513" s="22" t="str">
        <f t="shared" si="304"/>
        <v>METROPOLITANA</v>
      </c>
    </row>
    <row r="3514" spans="1:22" x14ac:dyDescent="0.2">
      <c r="A3514" s="23" t="s">
        <v>4282</v>
      </c>
      <c r="B3514" s="22" t="s">
        <v>33</v>
      </c>
      <c r="C3514" s="22" t="s">
        <v>29</v>
      </c>
      <c r="D3514" s="22" t="s">
        <v>27</v>
      </c>
      <c r="E3514" s="24" t="s">
        <v>28</v>
      </c>
      <c r="F3514" s="22" t="s">
        <v>39</v>
      </c>
      <c r="G3514" s="25">
        <v>8244.0000000000036</v>
      </c>
      <c r="H3514" s="22" t="s">
        <v>22</v>
      </c>
      <c r="I3514" s="22">
        <v>1</v>
      </c>
      <c r="J3514" s="22" t="s">
        <v>39</v>
      </c>
      <c r="K3514" s="22" t="s">
        <v>23</v>
      </c>
      <c r="L3514" s="22">
        <v>1</v>
      </c>
      <c r="M3514" s="26">
        <v>90684</v>
      </c>
      <c r="N3514" s="26">
        <v>0</v>
      </c>
      <c r="O3514" s="15">
        <f t="shared" si="307"/>
        <v>90684</v>
      </c>
      <c r="P3514" s="15">
        <f t="shared" si="306"/>
        <v>10.999999999999995</v>
      </c>
      <c r="Q3514" s="25">
        <v>5000</v>
      </c>
      <c r="R3514" s="22">
        <v>100</v>
      </c>
      <c r="S3514" s="22" t="s">
        <v>4290</v>
      </c>
      <c r="T3514" s="22">
        <f t="shared" si="302"/>
        <v>11</v>
      </c>
      <c r="U3514" s="22">
        <f t="shared" si="303"/>
        <v>2021</v>
      </c>
      <c r="V3514" s="22" t="str">
        <f t="shared" si="304"/>
        <v>METROPOLITANA</v>
      </c>
    </row>
    <row r="3515" spans="1:22" x14ac:dyDescent="0.2">
      <c r="A3515" s="23" t="s">
        <v>4282</v>
      </c>
      <c r="B3515" s="22" t="s">
        <v>33</v>
      </c>
      <c r="C3515" s="22" t="s">
        <v>44</v>
      </c>
      <c r="D3515" s="22" t="s">
        <v>38</v>
      </c>
      <c r="E3515" s="24" t="s">
        <v>25</v>
      </c>
      <c r="F3515" s="22" t="s">
        <v>26</v>
      </c>
      <c r="G3515" s="25">
        <v>4609.7</v>
      </c>
      <c r="H3515" s="22" t="s">
        <v>43</v>
      </c>
      <c r="I3515" s="22">
        <v>0</v>
      </c>
      <c r="J3515" s="22" t="s">
        <v>26</v>
      </c>
      <c r="K3515" s="22" t="s">
        <v>23</v>
      </c>
      <c r="L3515" s="22">
        <v>4</v>
      </c>
      <c r="M3515" s="26">
        <v>55000</v>
      </c>
      <c r="N3515" s="26">
        <v>0</v>
      </c>
      <c r="O3515" s="15">
        <f t="shared" si="307"/>
        <v>55000</v>
      </c>
      <c r="P3515" s="15">
        <f t="shared" si="306"/>
        <v>11.931362127687269</v>
      </c>
      <c r="Q3515" s="25">
        <v>5000</v>
      </c>
      <c r="R3515" s="22">
        <v>92</v>
      </c>
      <c r="S3515" s="22" t="s">
        <v>4291</v>
      </c>
      <c r="T3515" s="22">
        <f t="shared" si="302"/>
        <v>11</v>
      </c>
      <c r="U3515" s="22">
        <f t="shared" si="303"/>
        <v>2021</v>
      </c>
      <c r="V3515" s="22" t="str">
        <f t="shared" si="304"/>
        <v>METROPOLITANA</v>
      </c>
    </row>
    <row r="3516" spans="1:22" x14ac:dyDescent="0.2">
      <c r="A3516" s="23" t="s">
        <v>4282</v>
      </c>
      <c r="B3516" s="22" t="s">
        <v>33</v>
      </c>
      <c r="C3516" s="22" t="s">
        <v>44</v>
      </c>
      <c r="D3516" s="22" t="s">
        <v>63</v>
      </c>
      <c r="E3516" s="24" t="s">
        <v>64</v>
      </c>
      <c r="F3516" s="22" t="s">
        <v>134</v>
      </c>
      <c r="G3516" s="25">
        <v>4059.7</v>
      </c>
      <c r="H3516" s="22" t="s">
        <v>65</v>
      </c>
      <c r="I3516" s="22">
        <v>0</v>
      </c>
      <c r="J3516" s="22" t="s">
        <v>134</v>
      </c>
      <c r="K3516" s="22" t="s">
        <v>23</v>
      </c>
      <c r="L3516" s="22">
        <v>2</v>
      </c>
      <c r="M3516" s="26">
        <v>55000</v>
      </c>
      <c r="N3516" s="26">
        <v>0</v>
      </c>
      <c r="O3516" s="15">
        <f t="shared" si="307"/>
        <v>55000</v>
      </c>
      <c r="P3516" s="15">
        <f t="shared" si="306"/>
        <v>13.547799098455551</v>
      </c>
      <c r="Q3516" s="25">
        <v>5000</v>
      </c>
      <c r="R3516" s="22">
        <v>81</v>
      </c>
      <c r="S3516" s="22" t="s">
        <v>4292</v>
      </c>
      <c r="T3516" s="22">
        <f t="shared" si="302"/>
        <v>11</v>
      </c>
      <c r="U3516" s="22">
        <f t="shared" si="303"/>
        <v>2021</v>
      </c>
      <c r="V3516" s="22" t="str">
        <f t="shared" si="304"/>
        <v>METROPOLITANA</v>
      </c>
    </row>
    <row r="3517" spans="1:22" x14ac:dyDescent="0.2">
      <c r="A3517" s="23" t="s">
        <v>4282</v>
      </c>
      <c r="B3517" s="22" t="s">
        <v>33</v>
      </c>
      <c r="C3517" s="22" t="s">
        <v>44</v>
      </c>
      <c r="D3517" s="22" t="s">
        <v>47</v>
      </c>
      <c r="E3517" s="24" t="s">
        <v>1576</v>
      </c>
      <c r="F3517" s="22" t="s">
        <v>48</v>
      </c>
      <c r="G3517" s="25">
        <v>8607.5999999999985</v>
      </c>
      <c r="H3517" s="22" t="s">
        <v>22</v>
      </c>
      <c r="I3517" s="22">
        <v>0</v>
      </c>
      <c r="J3517" s="22" t="s">
        <v>48</v>
      </c>
      <c r="K3517" s="22" t="s">
        <v>23</v>
      </c>
      <c r="L3517" s="22">
        <v>1</v>
      </c>
      <c r="M3517" s="26">
        <v>94684</v>
      </c>
      <c r="N3517" s="26">
        <v>0</v>
      </c>
      <c r="O3517" s="15">
        <f t="shared" si="307"/>
        <v>94684</v>
      </c>
      <c r="P3517" s="15">
        <f t="shared" si="306"/>
        <v>11.000046470560902</v>
      </c>
      <c r="Q3517" s="25">
        <v>5000</v>
      </c>
      <c r="R3517" s="22">
        <v>100</v>
      </c>
      <c r="S3517" s="22" t="s">
        <v>4293</v>
      </c>
      <c r="T3517" s="22">
        <f t="shared" si="302"/>
        <v>11</v>
      </c>
      <c r="U3517" s="22">
        <f t="shared" si="303"/>
        <v>2021</v>
      </c>
      <c r="V3517" s="22" t="str">
        <f t="shared" si="304"/>
        <v>METROPOLITANA</v>
      </c>
    </row>
    <row r="3518" spans="1:22" x14ac:dyDescent="0.2">
      <c r="A3518" s="23" t="s">
        <v>4282</v>
      </c>
      <c r="B3518" s="22" t="s">
        <v>33</v>
      </c>
      <c r="C3518" s="22" t="s">
        <v>44</v>
      </c>
      <c r="D3518" s="22" t="s">
        <v>35</v>
      </c>
      <c r="E3518" s="24" t="s">
        <v>52</v>
      </c>
      <c r="F3518" s="22" t="s">
        <v>225</v>
      </c>
      <c r="G3518" s="25">
        <v>4320.8999999999996</v>
      </c>
      <c r="H3518" s="22" t="s">
        <v>22</v>
      </c>
      <c r="I3518" s="22">
        <v>0</v>
      </c>
      <c r="J3518" s="22" t="s">
        <v>225</v>
      </c>
      <c r="K3518" s="22" t="s">
        <v>23</v>
      </c>
      <c r="L3518" s="22">
        <v>3</v>
      </c>
      <c r="M3518" s="26">
        <v>55000</v>
      </c>
      <c r="N3518" s="26">
        <v>0</v>
      </c>
      <c r="O3518" s="15">
        <f t="shared" si="307"/>
        <v>55000</v>
      </c>
      <c r="P3518" s="15">
        <f t="shared" si="306"/>
        <v>12.728829641972737</v>
      </c>
      <c r="Q3518" s="25">
        <v>5000</v>
      </c>
      <c r="R3518" s="22">
        <v>86</v>
      </c>
      <c r="S3518" s="22" t="s">
        <v>4294</v>
      </c>
      <c r="T3518" s="22">
        <f t="shared" si="302"/>
        <v>11</v>
      </c>
      <c r="U3518" s="22">
        <f t="shared" si="303"/>
        <v>2021</v>
      </c>
      <c r="V3518" s="22" t="str">
        <f t="shared" si="304"/>
        <v>METROPOLITANA</v>
      </c>
    </row>
    <row r="3519" spans="1:22" x14ac:dyDescent="0.2">
      <c r="A3519" s="23" t="s">
        <v>4282</v>
      </c>
      <c r="B3519" s="22" t="s">
        <v>33</v>
      </c>
      <c r="C3519" s="22" t="s">
        <v>3922</v>
      </c>
      <c r="D3519" s="22" t="s">
        <v>38</v>
      </c>
      <c r="E3519" s="24" t="s">
        <v>25</v>
      </c>
      <c r="F3519" s="22" t="s">
        <v>129</v>
      </c>
      <c r="G3519" s="25">
        <v>10353</v>
      </c>
      <c r="H3519" s="22" t="s">
        <v>43</v>
      </c>
      <c r="I3519" s="22">
        <v>0</v>
      </c>
      <c r="J3519" s="22" t="s">
        <v>129</v>
      </c>
      <c r="K3519" s="22" t="s">
        <v>23</v>
      </c>
      <c r="L3519" s="22">
        <v>1</v>
      </c>
      <c r="M3519" s="26">
        <v>113883</v>
      </c>
      <c r="N3519" s="26">
        <v>0</v>
      </c>
      <c r="O3519" s="15">
        <f t="shared" si="307"/>
        <v>113883</v>
      </c>
      <c r="P3519" s="15">
        <f t="shared" si="306"/>
        <v>11</v>
      </c>
      <c r="Q3519" s="25">
        <v>5000</v>
      </c>
      <c r="R3519" s="22">
        <v>100</v>
      </c>
      <c r="S3519" s="22" t="s">
        <v>4295</v>
      </c>
      <c r="T3519" s="22">
        <f t="shared" si="302"/>
        <v>11</v>
      </c>
      <c r="U3519" s="22">
        <f t="shared" si="303"/>
        <v>2021</v>
      </c>
      <c r="V3519" s="22" t="str">
        <f t="shared" si="304"/>
        <v>METROPOLITANA</v>
      </c>
    </row>
    <row r="3520" spans="1:22" x14ac:dyDescent="0.2">
      <c r="A3520" s="11" t="s">
        <v>4296</v>
      </c>
      <c r="B3520" s="12" t="s">
        <v>18</v>
      </c>
      <c r="C3520" s="12" t="s">
        <v>19</v>
      </c>
      <c r="D3520" s="12" t="s">
        <v>63</v>
      </c>
      <c r="E3520" s="13">
        <v>138841065</v>
      </c>
      <c r="F3520" s="12" t="s">
        <v>67</v>
      </c>
      <c r="G3520" s="14">
        <v>8388.5200000000023</v>
      </c>
      <c r="H3520" s="12" t="s">
        <v>65</v>
      </c>
      <c r="I3520" s="12">
        <v>0</v>
      </c>
      <c r="J3520" s="12" t="s">
        <v>67</v>
      </c>
      <c r="K3520" s="12" t="s">
        <v>23</v>
      </c>
      <c r="L3520" s="12">
        <v>2</v>
      </c>
      <c r="M3520" s="15">
        <v>92274</v>
      </c>
      <c r="N3520" s="15">
        <v>0</v>
      </c>
      <c r="O3520" s="15">
        <f t="shared" si="307"/>
        <v>92274</v>
      </c>
      <c r="P3520" s="15">
        <f t="shared" si="306"/>
        <v>11.00003337895123</v>
      </c>
      <c r="Q3520" s="14">
        <v>5000</v>
      </c>
      <c r="R3520" s="12">
        <v>100</v>
      </c>
      <c r="S3520" s="12" t="s">
        <v>4297</v>
      </c>
      <c r="T3520" s="22">
        <f t="shared" si="302"/>
        <v>11</v>
      </c>
      <c r="U3520" s="22">
        <f t="shared" si="303"/>
        <v>2021</v>
      </c>
      <c r="V3520" s="22" t="str">
        <f t="shared" si="304"/>
        <v>METROPOLITANA</v>
      </c>
    </row>
    <row r="3521" spans="1:22" x14ac:dyDescent="0.2">
      <c r="A3521" s="11" t="s">
        <v>4296</v>
      </c>
      <c r="B3521" s="12" t="s">
        <v>18</v>
      </c>
      <c r="C3521" s="12" t="s">
        <v>163</v>
      </c>
      <c r="D3521" s="12" t="s">
        <v>63</v>
      </c>
      <c r="E3521" s="13">
        <v>138841065</v>
      </c>
      <c r="F3521" s="12" t="s">
        <v>165</v>
      </c>
      <c r="G3521" s="14">
        <v>18437.599999999999</v>
      </c>
      <c r="H3521" s="12" t="s">
        <v>65</v>
      </c>
      <c r="I3521" s="12">
        <v>0</v>
      </c>
      <c r="J3521" s="12" t="s">
        <v>165</v>
      </c>
      <c r="K3521" s="12" t="s">
        <v>23</v>
      </c>
      <c r="L3521" s="12">
        <v>4</v>
      </c>
      <c r="M3521" s="15">
        <v>202814</v>
      </c>
      <c r="N3521" s="15">
        <v>0</v>
      </c>
      <c r="O3521" s="15">
        <f t="shared" si="307"/>
        <v>202814</v>
      </c>
      <c r="P3521" s="15">
        <f t="shared" si="306"/>
        <v>11.000021694797589</v>
      </c>
      <c r="Q3521" s="14">
        <v>5000</v>
      </c>
      <c r="R3521" s="12">
        <v>100</v>
      </c>
      <c r="S3521" s="12" t="s">
        <v>4298</v>
      </c>
      <c r="T3521" s="22">
        <f t="shared" si="302"/>
        <v>11</v>
      </c>
      <c r="U3521" s="22">
        <f t="shared" si="303"/>
        <v>2021</v>
      </c>
      <c r="V3521" s="22" t="str">
        <f t="shared" si="304"/>
        <v>METROPOLITANA</v>
      </c>
    </row>
    <row r="3522" spans="1:22" x14ac:dyDescent="0.2">
      <c r="A3522" s="11" t="s">
        <v>4296</v>
      </c>
      <c r="B3522" s="12" t="s">
        <v>33</v>
      </c>
      <c r="C3522" s="12" t="s">
        <v>60</v>
      </c>
      <c r="D3522" s="12" t="s">
        <v>47</v>
      </c>
      <c r="E3522" s="13">
        <v>154837728</v>
      </c>
      <c r="F3522" s="12" t="s">
        <v>51</v>
      </c>
      <c r="G3522" s="14">
        <v>7503.9999999999973</v>
      </c>
      <c r="H3522" s="12" t="s">
        <v>22</v>
      </c>
      <c r="I3522" s="12">
        <v>0</v>
      </c>
      <c r="J3522" s="12" t="s">
        <v>51</v>
      </c>
      <c r="K3522" s="12" t="s">
        <v>23</v>
      </c>
      <c r="L3522" s="12">
        <v>4</v>
      </c>
      <c r="M3522" s="15">
        <v>82544</v>
      </c>
      <c r="N3522" s="15">
        <v>0</v>
      </c>
      <c r="O3522" s="15">
        <f t="shared" si="307"/>
        <v>82544</v>
      </c>
      <c r="P3522" s="15">
        <f t="shared" si="306"/>
        <v>11.000000000000004</v>
      </c>
      <c r="Q3522" s="14">
        <v>5000</v>
      </c>
      <c r="R3522" s="12">
        <v>100</v>
      </c>
      <c r="S3522" s="12" t="s">
        <v>4299</v>
      </c>
      <c r="T3522" s="22">
        <f t="shared" si="302"/>
        <v>11</v>
      </c>
      <c r="U3522" s="22">
        <f t="shared" si="303"/>
        <v>2021</v>
      </c>
      <c r="V3522" s="22" t="str">
        <f t="shared" si="304"/>
        <v>METROPOLITANA</v>
      </c>
    </row>
    <row r="3523" spans="1:22" x14ac:dyDescent="0.2">
      <c r="A3523" s="11" t="s">
        <v>4296</v>
      </c>
      <c r="B3523" s="12" t="s">
        <v>33</v>
      </c>
      <c r="C3523" s="12" t="s">
        <v>1233</v>
      </c>
      <c r="D3523" s="12" t="s">
        <v>38</v>
      </c>
      <c r="E3523" s="13">
        <v>125108660</v>
      </c>
      <c r="F3523" s="12" t="s">
        <v>1234</v>
      </c>
      <c r="G3523" s="14">
        <v>4042.2</v>
      </c>
      <c r="H3523" s="12" t="s">
        <v>43</v>
      </c>
      <c r="I3523" s="12">
        <v>0</v>
      </c>
      <c r="J3523" s="12" t="s">
        <v>1234</v>
      </c>
      <c r="K3523" s="12" t="s">
        <v>23</v>
      </c>
      <c r="L3523" s="12">
        <v>3</v>
      </c>
      <c r="M3523" s="15">
        <v>55000</v>
      </c>
      <c r="N3523" s="15">
        <v>0</v>
      </c>
      <c r="O3523" s="15">
        <f t="shared" si="307"/>
        <v>55000</v>
      </c>
      <c r="P3523" s="15">
        <f t="shared" si="306"/>
        <v>13.606451932116174</v>
      </c>
      <c r="Q3523" s="14">
        <v>5000</v>
      </c>
      <c r="R3523" s="12">
        <v>81</v>
      </c>
      <c r="S3523" s="12" t="s">
        <v>4300</v>
      </c>
      <c r="T3523" s="22">
        <f t="shared" si="302"/>
        <v>11</v>
      </c>
      <c r="U3523" s="22">
        <f t="shared" si="303"/>
        <v>2021</v>
      </c>
      <c r="V3523" s="22" t="str">
        <f t="shared" si="304"/>
        <v>METROPOLITANA</v>
      </c>
    </row>
    <row r="3524" spans="1:22" x14ac:dyDescent="0.2">
      <c r="A3524" s="11" t="s">
        <v>4296</v>
      </c>
      <c r="B3524" s="12" t="s">
        <v>33</v>
      </c>
      <c r="C3524" s="12" t="s">
        <v>128</v>
      </c>
      <c r="D3524" s="12" t="s">
        <v>2955</v>
      </c>
      <c r="E3524" s="13">
        <v>65941082</v>
      </c>
      <c r="F3524" s="12" t="s">
        <v>34</v>
      </c>
      <c r="G3524" s="14">
        <v>9504.0000000000091</v>
      </c>
      <c r="H3524" s="12" t="s">
        <v>24</v>
      </c>
      <c r="I3524" s="12">
        <v>1</v>
      </c>
      <c r="J3524" s="12" t="s">
        <v>34</v>
      </c>
      <c r="K3524" s="12" t="s">
        <v>23</v>
      </c>
      <c r="L3524" s="12">
        <v>1</v>
      </c>
      <c r="M3524" s="15">
        <v>104544</v>
      </c>
      <c r="N3524" s="15">
        <v>0</v>
      </c>
      <c r="O3524" s="15">
        <f t="shared" si="307"/>
        <v>104544</v>
      </c>
      <c r="P3524" s="15">
        <f t="shared" si="306"/>
        <v>10.999999999999989</v>
      </c>
      <c r="Q3524" s="14">
        <v>5000</v>
      </c>
      <c r="R3524" s="12">
        <v>100</v>
      </c>
      <c r="S3524" s="12" t="s">
        <v>4301</v>
      </c>
      <c r="T3524" s="22">
        <f t="shared" si="302"/>
        <v>11</v>
      </c>
      <c r="U3524" s="22">
        <f t="shared" si="303"/>
        <v>2021</v>
      </c>
      <c r="V3524" s="22" t="str">
        <f t="shared" si="304"/>
        <v>METROPOLITANA</v>
      </c>
    </row>
    <row r="3525" spans="1:22" x14ac:dyDescent="0.2">
      <c r="A3525" s="11" t="s">
        <v>4296</v>
      </c>
      <c r="B3525" s="12" t="s">
        <v>33</v>
      </c>
      <c r="C3525" s="12" t="s">
        <v>36</v>
      </c>
      <c r="D3525" s="12" t="s">
        <v>38</v>
      </c>
      <c r="E3525" s="13">
        <v>125108660</v>
      </c>
      <c r="F3525" s="12" t="s">
        <v>53</v>
      </c>
      <c r="G3525" s="14">
        <v>5343.2200000000012</v>
      </c>
      <c r="H3525" s="12" t="s">
        <v>43</v>
      </c>
      <c r="I3525" s="12">
        <v>0</v>
      </c>
      <c r="J3525" s="12" t="s">
        <v>53</v>
      </c>
      <c r="K3525" s="12" t="s">
        <v>23</v>
      </c>
      <c r="L3525" s="12">
        <v>3</v>
      </c>
      <c r="M3525" s="15">
        <v>58775</v>
      </c>
      <c r="N3525" s="15">
        <v>0</v>
      </c>
      <c r="O3525" s="15">
        <f t="shared" si="307"/>
        <v>58775</v>
      </c>
      <c r="P3525" s="15">
        <f t="shared" si="306"/>
        <v>10.999921395712695</v>
      </c>
      <c r="Q3525" s="14">
        <v>5000</v>
      </c>
      <c r="R3525" s="12">
        <v>100</v>
      </c>
      <c r="S3525" s="12" t="s">
        <v>4302</v>
      </c>
      <c r="T3525" s="22">
        <f t="shared" si="302"/>
        <v>11</v>
      </c>
      <c r="U3525" s="22">
        <f t="shared" si="303"/>
        <v>2021</v>
      </c>
      <c r="V3525" s="22" t="str">
        <f t="shared" si="304"/>
        <v>METROPOLITANA</v>
      </c>
    </row>
    <row r="3526" spans="1:22" x14ac:dyDescent="0.2">
      <c r="A3526" s="11" t="s">
        <v>4296</v>
      </c>
      <c r="B3526" s="12" t="s">
        <v>33</v>
      </c>
      <c r="C3526" s="12" t="s">
        <v>36</v>
      </c>
      <c r="D3526" s="12" t="s">
        <v>35</v>
      </c>
      <c r="E3526" s="13">
        <v>99626232</v>
      </c>
      <c r="F3526" s="12" t="s">
        <v>67</v>
      </c>
      <c r="G3526" s="14">
        <v>5573.2000000000025</v>
      </c>
      <c r="H3526" s="12" t="s">
        <v>22</v>
      </c>
      <c r="I3526" s="12">
        <v>0</v>
      </c>
      <c r="J3526" s="12" t="s">
        <v>67</v>
      </c>
      <c r="K3526" s="12" t="s">
        <v>23</v>
      </c>
      <c r="L3526" s="12">
        <v>2</v>
      </c>
      <c r="M3526" s="15">
        <v>61305</v>
      </c>
      <c r="N3526" s="15">
        <v>0</v>
      </c>
      <c r="O3526" s="15">
        <f t="shared" si="307"/>
        <v>61305</v>
      </c>
      <c r="P3526" s="15">
        <f t="shared" si="306"/>
        <v>10.999964113974013</v>
      </c>
      <c r="Q3526" s="14">
        <v>5000</v>
      </c>
      <c r="R3526" s="12">
        <v>100</v>
      </c>
      <c r="S3526" s="12" t="s">
        <v>4303</v>
      </c>
      <c r="T3526" s="22">
        <f t="shared" si="302"/>
        <v>11</v>
      </c>
      <c r="U3526" s="22">
        <f t="shared" si="303"/>
        <v>2021</v>
      </c>
      <c r="V3526" s="22" t="str">
        <f t="shared" si="304"/>
        <v>METROPOLITANA</v>
      </c>
    </row>
    <row r="3527" spans="1:22" x14ac:dyDescent="0.2">
      <c r="A3527" s="11" t="s">
        <v>4296</v>
      </c>
      <c r="B3527" s="12" t="s">
        <v>33</v>
      </c>
      <c r="C3527" s="12" t="s">
        <v>44</v>
      </c>
      <c r="D3527" s="12" t="s">
        <v>2825</v>
      </c>
      <c r="E3527" s="13">
        <v>113693568</v>
      </c>
      <c r="F3527" s="12" t="s">
        <v>2639</v>
      </c>
      <c r="G3527" s="14">
        <v>16169.2</v>
      </c>
      <c r="H3527" s="12" t="s">
        <v>24</v>
      </c>
      <c r="I3527" s="12">
        <v>1</v>
      </c>
      <c r="J3527" s="12" t="s">
        <v>2639</v>
      </c>
      <c r="K3527" s="12" t="s">
        <v>75</v>
      </c>
      <c r="L3527" s="12">
        <v>0</v>
      </c>
      <c r="M3527" s="15">
        <v>380000</v>
      </c>
      <c r="N3527" s="15">
        <v>0</v>
      </c>
      <c r="O3527" s="15">
        <f t="shared" si="307"/>
        <v>380000</v>
      </c>
      <c r="P3527" s="15">
        <f t="shared" si="306"/>
        <v>23.50147193429483</v>
      </c>
      <c r="Q3527" s="14">
        <v>20000</v>
      </c>
      <c r="R3527" s="12">
        <v>81</v>
      </c>
      <c r="S3527" s="12" t="s">
        <v>4304</v>
      </c>
      <c r="T3527" s="22">
        <f t="shared" si="302"/>
        <v>11</v>
      </c>
      <c r="U3527" s="22">
        <f t="shared" si="303"/>
        <v>2021</v>
      </c>
      <c r="V3527" s="22" t="str">
        <f t="shared" si="304"/>
        <v>REGIONES</v>
      </c>
    </row>
    <row r="3528" spans="1:22" x14ac:dyDescent="0.2">
      <c r="A3528" s="11" t="s">
        <v>4296</v>
      </c>
      <c r="B3528" s="12" t="s">
        <v>33</v>
      </c>
      <c r="C3528" s="12" t="s">
        <v>44</v>
      </c>
      <c r="D3528" s="12" t="s">
        <v>47</v>
      </c>
      <c r="E3528" s="13">
        <v>154837728</v>
      </c>
      <c r="F3528" s="12" t="s">
        <v>48</v>
      </c>
      <c r="G3528" s="14">
        <v>12180.6</v>
      </c>
      <c r="H3528" s="12" t="s">
        <v>22</v>
      </c>
      <c r="I3528" s="12">
        <v>0</v>
      </c>
      <c r="J3528" s="12" t="s">
        <v>48</v>
      </c>
      <c r="K3528" s="12" t="s">
        <v>23</v>
      </c>
      <c r="L3528" s="12">
        <v>1</v>
      </c>
      <c r="M3528" s="15">
        <v>133987</v>
      </c>
      <c r="N3528" s="15">
        <v>0</v>
      </c>
      <c r="O3528" s="15">
        <f t="shared" si="307"/>
        <v>133987</v>
      </c>
      <c r="P3528" s="15">
        <f t="shared" si="306"/>
        <v>11.000032839104806</v>
      </c>
      <c r="Q3528" s="14">
        <v>5000</v>
      </c>
      <c r="R3528" s="12">
        <v>100</v>
      </c>
      <c r="S3528" s="12" t="s">
        <v>4305</v>
      </c>
      <c r="T3528" s="22">
        <f t="shared" ref="T3528:T3591" si="308">MONTH(A3528)</f>
        <v>11</v>
      </c>
      <c r="U3528" s="22">
        <f t="shared" ref="U3528:U3591" si="309">YEAR(A3528)</f>
        <v>2021</v>
      </c>
      <c r="V3528" s="22" t="str">
        <f t="shared" ref="V3528:V3591" si="310">IF(K3528="METROPOLITANA DE SANTIAGO","METROPOLITANA","REGIONES")</f>
        <v>METROPOLITANA</v>
      </c>
    </row>
    <row r="3529" spans="1:22" x14ac:dyDescent="0.2">
      <c r="A3529" s="11" t="s">
        <v>4296</v>
      </c>
      <c r="B3529" s="12" t="s">
        <v>33</v>
      </c>
      <c r="C3529" s="12" t="s">
        <v>44</v>
      </c>
      <c r="D3529" s="12" t="s">
        <v>41</v>
      </c>
      <c r="E3529" s="13">
        <v>125108660</v>
      </c>
      <c r="F3529" s="12" t="s">
        <v>94</v>
      </c>
      <c r="G3529" s="14">
        <v>7954.7999999999975</v>
      </c>
      <c r="H3529" s="12" t="s">
        <v>43</v>
      </c>
      <c r="I3529" s="12">
        <v>0</v>
      </c>
      <c r="J3529" s="12" t="s">
        <v>59</v>
      </c>
      <c r="K3529" s="12" t="s">
        <v>78</v>
      </c>
      <c r="L3529" s="12">
        <v>0</v>
      </c>
      <c r="M3529" s="15">
        <v>180000</v>
      </c>
      <c r="N3529" s="15">
        <v>0</v>
      </c>
      <c r="O3529" s="15">
        <f t="shared" si="307"/>
        <v>180000</v>
      </c>
      <c r="P3529" s="15">
        <f t="shared" si="306"/>
        <v>22.627847337456636</v>
      </c>
      <c r="Q3529" s="14">
        <v>20000</v>
      </c>
      <c r="R3529" s="12">
        <v>40</v>
      </c>
      <c r="S3529" s="12" t="s">
        <v>4306</v>
      </c>
      <c r="T3529" s="22">
        <f t="shared" si="308"/>
        <v>11</v>
      </c>
      <c r="U3529" s="22">
        <f t="shared" si="309"/>
        <v>2021</v>
      </c>
      <c r="V3529" s="22" t="str">
        <f t="shared" si="310"/>
        <v>REGIONES</v>
      </c>
    </row>
    <row r="3530" spans="1:22" x14ac:dyDescent="0.2">
      <c r="A3530" s="23" t="s">
        <v>4307</v>
      </c>
      <c r="B3530" s="22" t="s">
        <v>18</v>
      </c>
      <c r="C3530" s="22" t="s">
        <v>457</v>
      </c>
      <c r="D3530" s="22" t="s">
        <v>4308</v>
      </c>
      <c r="E3530" s="24">
        <v>115613677</v>
      </c>
      <c r="F3530" s="22" t="s">
        <v>195</v>
      </c>
      <c r="G3530" s="25">
        <v>4931.42</v>
      </c>
      <c r="H3530" s="22" t="s">
        <v>24</v>
      </c>
      <c r="I3530" s="22">
        <v>1</v>
      </c>
      <c r="J3530" s="22" t="s">
        <v>195</v>
      </c>
      <c r="K3530" s="22" t="s">
        <v>124</v>
      </c>
      <c r="L3530" s="22">
        <v>0</v>
      </c>
      <c r="M3530" s="26">
        <v>350000</v>
      </c>
      <c r="N3530" s="26">
        <v>0</v>
      </c>
      <c r="O3530" s="15">
        <f t="shared" si="307"/>
        <v>350000</v>
      </c>
      <c r="P3530" s="15">
        <f t="shared" si="306"/>
        <v>70.973472143926088</v>
      </c>
      <c r="Q3530" s="25">
        <v>20000</v>
      </c>
      <c r="R3530" s="22">
        <v>25</v>
      </c>
      <c r="S3530" s="22" t="s">
        <v>4309</v>
      </c>
      <c r="T3530" s="22">
        <f t="shared" si="308"/>
        <v>11</v>
      </c>
      <c r="U3530" s="22">
        <f t="shared" si="309"/>
        <v>2021</v>
      </c>
      <c r="V3530" s="22" t="str">
        <f t="shared" si="310"/>
        <v>REGIONES</v>
      </c>
    </row>
    <row r="3531" spans="1:22" x14ac:dyDescent="0.2">
      <c r="A3531" s="23" t="s">
        <v>4307</v>
      </c>
      <c r="B3531" s="22" t="s">
        <v>18</v>
      </c>
      <c r="C3531" s="22" t="s">
        <v>4310</v>
      </c>
      <c r="D3531" s="22" t="s">
        <v>125</v>
      </c>
      <c r="E3531" s="24">
        <v>172861164</v>
      </c>
      <c r="F3531" s="22" t="s">
        <v>3438</v>
      </c>
      <c r="G3531" s="25">
        <v>18305</v>
      </c>
      <c r="H3531" s="22" t="s">
        <v>174</v>
      </c>
      <c r="I3531" s="22">
        <v>0</v>
      </c>
      <c r="J3531" s="22" t="s">
        <v>3438</v>
      </c>
      <c r="K3531" s="22" t="s">
        <v>93</v>
      </c>
      <c r="L3531" s="22">
        <v>0</v>
      </c>
      <c r="M3531" s="26">
        <v>620000</v>
      </c>
      <c r="N3531" s="26">
        <v>0</v>
      </c>
      <c r="O3531" s="15">
        <f t="shared" si="307"/>
        <v>620000</v>
      </c>
      <c r="P3531" s="15">
        <f t="shared" si="306"/>
        <v>33.870527178366565</v>
      </c>
      <c r="Q3531" s="25">
        <v>20000</v>
      </c>
      <c r="R3531" s="22">
        <v>92</v>
      </c>
      <c r="S3531" s="22" t="s">
        <v>4311</v>
      </c>
      <c r="T3531" s="22">
        <f t="shared" si="308"/>
        <v>11</v>
      </c>
      <c r="U3531" s="22">
        <f t="shared" si="309"/>
        <v>2021</v>
      </c>
      <c r="V3531" s="22" t="str">
        <f t="shared" si="310"/>
        <v>REGIONES</v>
      </c>
    </row>
    <row r="3532" spans="1:22" x14ac:dyDescent="0.2">
      <c r="A3532" s="23" t="s">
        <v>4307</v>
      </c>
      <c r="B3532" s="22" t="s">
        <v>18</v>
      </c>
      <c r="C3532" s="22" t="s">
        <v>163</v>
      </c>
      <c r="D3532" s="22" t="s">
        <v>63</v>
      </c>
      <c r="E3532" s="24">
        <v>131053657</v>
      </c>
      <c r="F3532" s="22" t="s">
        <v>165</v>
      </c>
      <c r="G3532" s="25">
        <f>18437.6+922</f>
        <v>19359.599999999999</v>
      </c>
      <c r="H3532" s="22" t="s">
        <v>65</v>
      </c>
      <c r="I3532" s="22">
        <v>0</v>
      </c>
      <c r="J3532" s="22" t="s">
        <v>165</v>
      </c>
      <c r="K3532" s="22" t="s">
        <v>23</v>
      </c>
      <c r="L3532" s="22">
        <v>4</v>
      </c>
      <c r="M3532" s="26">
        <v>202814</v>
      </c>
      <c r="N3532" s="26">
        <v>0</v>
      </c>
      <c r="O3532" s="15">
        <f t="shared" si="307"/>
        <v>202814</v>
      </c>
      <c r="P3532" s="15">
        <f t="shared" si="306"/>
        <v>10.476146201367797</v>
      </c>
      <c r="Q3532" s="25">
        <v>5000</v>
      </c>
      <c r="R3532" s="22">
        <v>100</v>
      </c>
      <c r="S3532" s="22" t="s">
        <v>4319</v>
      </c>
      <c r="T3532" s="22">
        <f t="shared" si="308"/>
        <v>11</v>
      </c>
      <c r="U3532" s="22">
        <f t="shared" si="309"/>
        <v>2021</v>
      </c>
      <c r="V3532" s="22" t="str">
        <f t="shared" si="310"/>
        <v>METROPOLITANA</v>
      </c>
    </row>
    <row r="3533" spans="1:22" x14ac:dyDescent="0.2">
      <c r="A3533" s="23" t="s">
        <v>4307</v>
      </c>
      <c r="B3533" s="22" t="s">
        <v>33</v>
      </c>
      <c r="C3533" s="22" t="s">
        <v>128</v>
      </c>
      <c r="D3533" s="22" t="s">
        <v>164</v>
      </c>
      <c r="E3533" s="24">
        <v>81417709</v>
      </c>
      <c r="F3533" s="22" t="s">
        <v>129</v>
      </c>
      <c r="G3533" s="25">
        <v>18009.599999999999</v>
      </c>
      <c r="H3533" s="22" t="s">
        <v>22</v>
      </c>
      <c r="I3533" s="22">
        <v>1</v>
      </c>
      <c r="J3533" s="22" t="s">
        <v>129</v>
      </c>
      <c r="K3533" s="22" t="s">
        <v>23</v>
      </c>
      <c r="L3533" s="22">
        <v>1</v>
      </c>
      <c r="M3533" s="26">
        <v>198106</v>
      </c>
      <c r="N3533" s="26">
        <v>0</v>
      </c>
      <c r="O3533" s="15">
        <f t="shared" si="307"/>
        <v>198106</v>
      </c>
      <c r="P3533" s="15">
        <f t="shared" si="306"/>
        <v>11.000022210376688</v>
      </c>
      <c r="Q3533" s="25">
        <v>5000</v>
      </c>
      <c r="R3533" s="22">
        <v>100</v>
      </c>
      <c r="S3533" s="22" t="s">
        <v>4312</v>
      </c>
      <c r="T3533" s="22">
        <f t="shared" si="308"/>
        <v>11</v>
      </c>
      <c r="U3533" s="22">
        <f t="shared" si="309"/>
        <v>2021</v>
      </c>
      <c r="V3533" s="22" t="str">
        <f t="shared" si="310"/>
        <v>METROPOLITANA</v>
      </c>
    </row>
    <row r="3534" spans="1:22" x14ac:dyDescent="0.2">
      <c r="A3534" s="23" t="s">
        <v>4307</v>
      </c>
      <c r="B3534" s="22" t="s">
        <v>33</v>
      </c>
      <c r="C3534" s="22" t="s">
        <v>36</v>
      </c>
      <c r="D3534" s="22" t="s">
        <v>38</v>
      </c>
      <c r="E3534" s="24">
        <v>125108660</v>
      </c>
      <c r="F3534" s="22" t="s">
        <v>376</v>
      </c>
      <c r="G3534" s="25">
        <v>4163.7999999999984</v>
      </c>
      <c r="H3534" s="22" t="s">
        <v>43</v>
      </c>
      <c r="I3534" s="22">
        <v>0</v>
      </c>
      <c r="J3534" s="22" t="s">
        <v>377</v>
      </c>
      <c r="K3534" s="22" t="s">
        <v>23</v>
      </c>
      <c r="L3534" s="22">
        <v>4</v>
      </c>
      <c r="M3534" s="26">
        <v>55000</v>
      </c>
      <c r="N3534" s="26">
        <v>0</v>
      </c>
      <c r="O3534" s="15">
        <f t="shared" si="307"/>
        <v>55000</v>
      </c>
      <c r="P3534" s="15">
        <f t="shared" si="306"/>
        <v>13.209087852442485</v>
      </c>
      <c r="Q3534" s="25">
        <v>5000</v>
      </c>
      <c r="R3534" s="22">
        <v>83</v>
      </c>
      <c r="S3534" s="22" t="s">
        <v>4313</v>
      </c>
      <c r="T3534" s="22">
        <f t="shared" si="308"/>
        <v>11</v>
      </c>
      <c r="U3534" s="22">
        <f t="shared" si="309"/>
        <v>2021</v>
      </c>
      <c r="V3534" s="22" t="str">
        <f t="shared" si="310"/>
        <v>METROPOLITANA</v>
      </c>
    </row>
    <row r="3535" spans="1:22" x14ac:dyDescent="0.2">
      <c r="A3535" s="23" t="s">
        <v>4307</v>
      </c>
      <c r="B3535" s="22" t="s">
        <v>33</v>
      </c>
      <c r="C3535" s="22" t="s">
        <v>36</v>
      </c>
      <c r="D3535" s="22" t="s">
        <v>47</v>
      </c>
      <c r="E3535" s="24">
        <v>154837728</v>
      </c>
      <c r="F3535" s="22" t="s">
        <v>230</v>
      </c>
      <c r="G3535" s="25">
        <v>4301.1999999999989</v>
      </c>
      <c r="H3535" s="22" t="s">
        <v>22</v>
      </c>
      <c r="I3535" s="22">
        <v>0</v>
      </c>
      <c r="J3535" s="22" t="s">
        <v>230</v>
      </c>
      <c r="K3535" s="22" t="s">
        <v>23</v>
      </c>
      <c r="L3535" s="22">
        <v>4</v>
      </c>
      <c r="M3535" s="26">
        <v>55000</v>
      </c>
      <c r="N3535" s="26">
        <v>0</v>
      </c>
      <c r="O3535" s="15">
        <f t="shared" si="307"/>
        <v>55000</v>
      </c>
      <c r="P3535" s="15">
        <f t="shared" si="306"/>
        <v>12.787129173253978</v>
      </c>
      <c r="Q3535" s="25">
        <v>5000</v>
      </c>
      <c r="R3535" s="22">
        <v>86</v>
      </c>
      <c r="S3535" s="22" t="s">
        <v>4314</v>
      </c>
      <c r="T3535" s="22">
        <f t="shared" si="308"/>
        <v>11</v>
      </c>
      <c r="U3535" s="22">
        <f t="shared" si="309"/>
        <v>2021</v>
      </c>
      <c r="V3535" s="22" t="str">
        <f t="shared" si="310"/>
        <v>METROPOLITANA</v>
      </c>
    </row>
    <row r="3536" spans="1:22" x14ac:dyDescent="0.2">
      <c r="A3536" s="23" t="s">
        <v>4307</v>
      </c>
      <c r="B3536" s="22" t="s">
        <v>33</v>
      </c>
      <c r="C3536" s="22" t="s">
        <v>29</v>
      </c>
      <c r="D3536" s="22" t="s">
        <v>47</v>
      </c>
      <c r="E3536" s="24">
        <v>154837728</v>
      </c>
      <c r="F3536" s="22" t="s">
        <v>129</v>
      </c>
      <c r="G3536" s="25">
        <v>6003.1999999999989</v>
      </c>
      <c r="H3536" s="22" t="s">
        <v>22</v>
      </c>
      <c r="I3536" s="22">
        <v>0</v>
      </c>
      <c r="J3536" s="22" t="s">
        <v>129</v>
      </c>
      <c r="K3536" s="22" t="s">
        <v>23</v>
      </c>
      <c r="L3536" s="22">
        <v>1</v>
      </c>
      <c r="M3536" s="26">
        <v>66035</v>
      </c>
      <c r="N3536" s="26">
        <v>0</v>
      </c>
      <c r="O3536" s="15">
        <f t="shared" si="307"/>
        <v>66035</v>
      </c>
      <c r="P3536" s="15">
        <f t="shared" si="306"/>
        <v>10.99996668443497</v>
      </c>
      <c r="Q3536" s="25">
        <v>5000</v>
      </c>
      <c r="R3536" s="22">
        <v>100</v>
      </c>
      <c r="S3536" s="22" t="s">
        <v>4315</v>
      </c>
      <c r="T3536" s="22">
        <f t="shared" si="308"/>
        <v>11</v>
      </c>
      <c r="U3536" s="22">
        <f t="shared" si="309"/>
        <v>2021</v>
      </c>
      <c r="V3536" s="22" t="str">
        <f t="shared" si="310"/>
        <v>METROPOLITANA</v>
      </c>
    </row>
    <row r="3537" spans="1:22" x14ac:dyDescent="0.2">
      <c r="A3537" s="23" t="s">
        <v>4307</v>
      </c>
      <c r="B3537" s="22" t="s">
        <v>33</v>
      </c>
      <c r="C3537" s="22" t="s">
        <v>29</v>
      </c>
      <c r="D3537" s="22" t="s">
        <v>41</v>
      </c>
      <c r="E3537" s="24">
        <v>125108660</v>
      </c>
      <c r="F3537" s="22" t="s">
        <v>129</v>
      </c>
      <c r="G3537" s="25">
        <v>5942.9999999999991</v>
      </c>
      <c r="H3537" s="22" t="s">
        <v>43</v>
      </c>
      <c r="I3537" s="22">
        <v>0</v>
      </c>
      <c r="J3537" s="22" t="s">
        <v>129</v>
      </c>
      <c r="K3537" s="22" t="s">
        <v>23</v>
      </c>
      <c r="L3537" s="22">
        <v>1</v>
      </c>
      <c r="M3537" s="26">
        <v>65373</v>
      </c>
      <c r="N3537" s="26">
        <v>0</v>
      </c>
      <c r="O3537" s="15">
        <f t="shared" si="307"/>
        <v>65373</v>
      </c>
      <c r="P3537" s="15">
        <f t="shared" si="306"/>
        <v>11.000000000000002</v>
      </c>
      <c r="Q3537" s="25">
        <v>5000</v>
      </c>
      <c r="R3537" s="22">
        <v>100</v>
      </c>
      <c r="S3537" s="22" t="s">
        <v>4316</v>
      </c>
      <c r="T3537" s="22">
        <f t="shared" si="308"/>
        <v>11</v>
      </c>
      <c r="U3537" s="22">
        <f t="shared" si="309"/>
        <v>2021</v>
      </c>
      <c r="V3537" s="22" t="str">
        <f t="shared" si="310"/>
        <v>METROPOLITANA</v>
      </c>
    </row>
    <row r="3538" spans="1:22" x14ac:dyDescent="0.2">
      <c r="A3538" s="23" t="s">
        <v>4307</v>
      </c>
      <c r="B3538" s="22" t="s">
        <v>33</v>
      </c>
      <c r="C3538" s="22" t="s">
        <v>44</v>
      </c>
      <c r="D3538" s="22" t="s">
        <v>35</v>
      </c>
      <c r="E3538" s="24">
        <v>78907355</v>
      </c>
      <c r="F3538" s="22" t="s">
        <v>46</v>
      </c>
      <c r="G3538" s="25">
        <v>6375.3000000000011</v>
      </c>
      <c r="H3538" s="22" t="s">
        <v>22</v>
      </c>
      <c r="I3538" s="22">
        <v>0</v>
      </c>
      <c r="J3538" s="22" t="s">
        <v>46</v>
      </c>
      <c r="K3538" s="22" t="s">
        <v>23</v>
      </c>
      <c r="L3538" s="22">
        <v>2</v>
      </c>
      <c r="M3538" s="26">
        <v>70128</v>
      </c>
      <c r="N3538" s="26">
        <v>0</v>
      </c>
      <c r="O3538" s="15">
        <f t="shared" si="307"/>
        <v>70128</v>
      </c>
      <c r="P3538" s="15">
        <f t="shared" si="306"/>
        <v>10.999952943390898</v>
      </c>
      <c r="Q3538" s="25">
        <v>5000</v>
      </c>
      <c r="R3538" s="22">
        <v>100</v>
      </c>
      <c r="S3538" s="22" t="s">
        <v>4317</v>
      </c>
      <c r="T3538" s="22">
        <f t="shared" si="308"/>
        <v>11</v>
      </c>
      <c r="U3538" s="22">
        <f t="shared" si="309"/>
        <v>2021</v>
      </c>
      <c r="V3538" s="22" t="str">
        <f t="shared" si="310"/>
        <v>METROPOLITANA</v>
      </c>
    </row>
    <row r="3539" spans="1:22" x14ac:dyDescent="0.2">
      <c r="A3539" s="23" t="s">
        <v>4307</v>
      </c>
      <c r="B3539" s="22" t="s">
        <v>33</v>
      </c>
      <c r="C3539" s="22" t="s">
        <v>44</v>
      </c>
      <c r="D3539" s="22" t="s">
        <v>164</v>
      </c>
      <c r="E3539" s="24">
        <v>78907355</v>
      </c>
      <c r="F3539" s="22" t="s">
        <v>48</v>
      </c>
      <c r="G3539" s="25">
        <v>13453.2</v>
      </c>
      <c r="H3539" s="22" t="s">
        <v>22</v>
      </c>
      <c r="I3539" s="22">
        <v>1</v>
      </c>
      <c r="J3539" s="22" t="s">
        <v>48</v>
      </c>
      <c r="K3539" s="22" t="s">
        <v>23</v>
      </c>
      <c r="L3539" s="22">
        <v>1</v>
      </c>
      <c r="M3539" s="26">
        <v>147985</v>
      </c>
      <c r="N3539" s="26">
        <v>0</v>
      </c>
      <c r="O3539" s="15">
        <f t="shared" si="307"/>
        <v>147985</v>
      </c>
      <c r="P3539" s="15">
        <f t="shared" si="306"/>
        <v>10.999985133648499</v>
      </c>
      <c r="Q3539" s="25">
        <v>5000</v>
      </c>
      <c r="R3539" s="22">
        <v>100</v>
      </c>
      <c r="S3539" s="22" t="s">
        <v>4318</v>
      </c>
      <c r="T3539" s="22">
        <f t="shared" si="308"/>
        <v>11</v>
      </c>
      <c r="U3539" s="22">
        <f t="shared" si="309"/>
        <v>2021</v>
      </c>
      <c r="V3539" s="22" t="str">
        <f t="shared" si="310"/>
        <v>METROPOLITANA</v>
      </c>
    </row>
    <row r="3540" spans="1:22" x14ac:dyDescent="0.2">
      <c r="A3540" s="11" t="s">
        <v>4320</v>
      </c>
      <c r="B3540" s="12" t="s">
        <v>18</v>
      </c>
      <c r="C3540" s="12" t="s">
        <v>44</v>
      </c>
      <c r="D3540" s="12" t="s">
        <v>786</v>
      </c>
      <c r="E3540" s="13" t="s">
        <v>787</v>
      </c>
      <c r="F3540" s="12" t="s">
        <v>1026</v>
      </c>
      <c r="G3540" s="14">
        <f>11400+3380</f>
        <v>14780</v>
      </c>
      <c r="H3540" s="12" t="s">
        <v>788</v>
      </c>
      <c r="I3540" s="12">
        <v>1</v>
      </c>
      <c r="J3540" s="12" t="s">
        <v>1026</v>
      </c>
      <c r="K3540" s="12" t="s">
        <v>408</v>
      </c>
      <c r="L3540" s="12">
        <v>0</v>
      </c>
      <c r="M3540" s="15">
        <v>600000</v>
      </c>
      <c r="N3540" s="15">
        <v>0</v>
      </c>
      <c r="O3540" s="15">
        <f t="shared" si="307"/>
        <v>600000</v>
      </c>
      <c r="P3540" s="15">
        <f t="shared" si="306"/>
        <v>40.595399188092017</v>
      </c>
      <c r="Q3540" s="14">
        <v>20000</v>
      </c>
      <c r="R3540" s="12">
        <v>57</v>
      </c>
      <c r="S3540" s="12" t="s">
        <v>4328</v>
      </c>
      <c r="T3540" s="22">
        <f t="shared" si="308"/>
        <v>11</v>
      </c>
      <c r="U3540" s="22">
        <f t="shared" si="309"/>
        <v>2021</v>
      </c>
      <c r="V3540" s="22" t="str">
        <f t="shared" si="310"/>
        <v>REGIONES</v>
      </c>
    </row>
    <row r="3541" spans="1:22" x14ac:dyDescent="0.2">
      <c r="A3541" s="11" t="s">
        <v>4320</v>
      </c>
      <c r="B3541" s="12" t="s">
        <v>33</v>
      </c>
      <c r="C3541" s="12" t="s">
        <v>44</v>
      </c>
      <c r="D3541" s="12" t="s">
        <v>130</v>
      </c>
      <c r="E3541" s="13" t="s">
        <v>131</v>
      </c>
      <c r="F3541" s="12" t="s">
        <v>2308</v>
      </c>
      <c r="G3541" s="14">
        <v>12802.599999999989</v>
      </c>
      <c r="H3541" s="12" t="s">
        <v>85</v>
      </c>
      <c r="I3541" s="12">
        <v>1</v>
      </c>
      <c r="J3541" s="12" t="s">
        <v>2308</v>
      </c>
      <c r="K3541" s="12" t="s">
        <v>2309</v>
      </c>
      <c r="L3541" s="12">
        <v>0</v>
      </c>
      <c r="M3541" s="15">
        <v>750000</v>
      </c>
      <c r="N3541" s="15">
        <v>0</v>
      </c>
      <c r="O3541" s="15">
        <f t="shared" si="307"/>
        <v>750000</v>
      </c>
      <c r="P3541" s="15">
        <f t="shared" si="306"/>
        <v>58.581850561604725</v>
      </c>
      <c r="Q3541" s="14">
        <v>20000</v>
      </c>
      <c r="R3541" s="12">
        <v>64</v>
      </c>
      <c r="S3541" s="12" t="s">
        <v>4321</v>
      </c>
      <c r="T3541" s="22">
        <f t="shared" si="308"/>
        <v>11</v>
      </c>
      <c r="U3541" s="22">
        <f t="shared" si="309"/>
        <v>2021</v>
      </c>
      <c r="V3541" s="22" t="str">
        <f t="shared" si="310"/>
        <v>REGIONES</v>
      </c>
    </row>
    <row r="3542" spans="1:22" x14ac:dyDescent="0.2">
      <c r="A3542" s="11" t="s">
        <v>4320</v>
      </c>
      <c r="B3542" s="12" t="s">
        <v>33</v>
      </c>
      <c r="C3542" s="12" t="s">
        <v>44</v>
      </c>
      <c r="D3542" s="12" t="s">
        <v>63</v>
      </c>
      <c r="E3542" s="13" t="s">
        <v>64</v>
      </c>
      <c r="F3542" s="12" t="s">
        <v>51</v>
      </c>
      <c r="G3542" s="14">
        <v>5567.24</v>
      </c>
      <c r="H3542" s="12" t="s">
        <v>65</v>
      </c>
      <c r="I3542" s="12">
        <v>0</v>
      </c>
      <c r="J3542" s="12" t="s">
        <v>51</v>
      </c>
      <c r="K3542" s="12" t="s">
        <v>23</v>
      </c>
      <c r="L3542" s="12">
        <v>4</v>
      </c>
      <c r="M3542" s="15">
        <v>61240</v>
      </c>
      <c r="N3542" s="15">
        <v>0</v>
      </c>
      <c r="O3542" s="15">
        <f t="shared" si="307"/>
        <v>61240</v>
      </c>
      <c r="P3542" s="15">
        <f t="shared" si="306"/>
        <v>11.000064663998678</v>
      </c>
      <c r="Q3542" s="14">
        <v>5000</v>
      </c>
      <c r="R3542" s="12">
        <v>100</v>
      </c>
      <c r="S3542" s="12" t="s">
        <v>4322</v>
      </c>
      <c r="T3542" s="22">
        <f t="shared" si="308"/>
        <v>11</v>
      </c>
      <c r="U3542" s="22">
        <f t="shared" si="309"/>
        <v>2021</v>
      </c>
      <c r="V3542" s="22" t="str">
        <f t="shared" si="310"/>
        <v>METROPOLITANA</v>
      </c>
    </row>
    <row r="3543" spans="1:22" x14ac:dyDescent="0.2">
      <c r="A3543" s="11" t="s">
        <v>4320</v>
      </c>
      <c r="B3543" s="12" t="s">
        <v>33</v>
      </c>
      <c r="C3543" s="12" t="s">
        <v>44</v>
      </c>
      <c r="D3543" s="12" t="s">
        <v>47</v>
      </c>
      <c r="E3543" s="13" t="s">
        <v>52</v>
      </c>
      <c r="F3543" s="12" t="s">
        <v>95</v>
      </c>
      <c r="G3543" s="14">
        <v>5059.5</v>
      </c>
      <c r="H3543" s="12" t="s">
        <v>22</v>
      </c>
      <c r="I3543" s="12">
        <v>0</v>
      </c>
      <c r="J3543" s="12" t="s">
        <v>95</v>
      </c>
      <c r="K3543" s="12" t="s">
        <v>23</v>
      </c>
      <c r="L3543" s="12">
        <v>4</v>
      </c>
      <c r="M3543" s="15">
        <v>55654</v>
      </c>
      <c r="N3543" s="15">
        <v>0</v>
      </c>
      <c r="O3543" s="15">
        <f t="shared" si="307"/>
        <v>55654</v>
      </c>
      <c r="P3543" s="15">
        <f t="shared" si="306"/>
        <v>10.999901176005535</v>
      </c>
      <c r="Q3543" s="14">
        <v>5000</v>
      </c>
      <c r="R3543" s="12">
        <v>100</v>
      </c>
      <c r="S3543" s="12" t="s">
        <v>4323</v>
      </c>
      <c r="T3543" s="22">
        <f t="shared" si="308"/>
        <v>11</v>
      </c>
      <c r="U3543" s="22">
        <f t="shared" si="309"/>
        <v>2021</v>
      </c>
      <c r="V3543" s="22" t="str">
        <f t="shared" si="310"/>
        <v>METROPOLITANA</v>
      </c>
    </row>
    <row r="3544" spans="1:22" x14ac:dyDescent="0.2">
      <c r="A3544" s="11" t="s">
        <v>4320</v>
      </c>
      <c r="B3544" s="12" t="s">
        <v>33</v>
      </c>
      <c r="C3544" s="12" t="s">
        <v>44</v>
      </c>
      <c r="D3544" s="12" t="s">
        <v>35</v>
      </c>
      <c r="E3544" s="13" t="s">
        <v>1576</v>
      </c>
      <c r="F3544" s="12" t="s">
        <v>53</v>
      </c>
      <c r="G3544" s="14">
        <v>3960.3</v>
      </c>
      <c r="H3544" s="12" t="s">
        <v>22</v>
      </c>
      <c r="I3544" s="12">
        <v>0</v>
      </c>
      <c r="J3544" s="12" t="s">
        <v>53</v>
      </c>
      <c r="K3544" s="12" t="s">
        <v>23</v>
      </c>
      <c r="L3544" s="12">
        <v>3</v>
      </c>
      <c r="M3544" s="15">
        <v>55000</v>
      </c>
      <c r="N3544" s="15">
        <v>0</v>
      </c>
      <c r="O3544" s="15">
        <f t="shared" si="307"/>
        <v>55000</v>
      </c>
      <c r="P3544" s="15">
        <f t="shared" si="306"/>
        <v>13.887836780041916</v>
      </c>
      <c r="Q3544" s="14">
        <v>5000</v>
      </c>
      <c r="R3544" s="12">
        <v>79</v>
      </c>
      <c r="S3544" s="12" t="s">
        <v>4324</v>
      </c>
      <c r="T3544" s="22">
        <f t="shared" si="308"/>
        <v>11</v>
      </c>
      <c r="U3544" s="22">
        <f t="shared" si="309"/>
        <v>2021</v>
      </c>
      <c r="V3544" s="22" t="str">
        <f t="shared" si="310"/>
        <v>METROPOLITANA</v>
      </c>
    </row>
    <row r="3545" spans="1:22" x14ac:dyDescent="0.2">
      <c r="A3545" s="11" t="s">
        <v>4325</v>
      </c>
      <c r="B3545" s="12" t="s">
        <v>33</v>
      </c>
      <c r="C3545" s="12" t="s">
        <v>44</v>
      </c>
      <c r="D3545" s="12" t="s">
        <v>1869</v>
      </c>
      <c r="E3545" s="13" t="s">
        <v>1870</v>
      </c>
      <c r="F3545" s="12" t="s">
        <v>1105</v>
      </c>
      <c r="G3545" s="14">
        <v>11966.04</v>
      </c>
      <c r="H3545" s="12" t="s">
        <v>24</v>
      </c>
      <c r="I3545" s="12">
        <v>1</v>
      </c>
      <c r="J3545" s="12" t="s">
        <v>1105</v>
      </c>
      <c r="K3545" s="12" t="s">
        <v>873</v>
      </c>
      <c r="L3545" s="12">
        <v>0</v>
      </c>
      <c r="M3545" s="15">
        <v>900000</v>
      </c>
      <c r="N3545" s="15">
        <v>0</v>
      </c>
      <c r="O3545" s="15">
        <f t="shared" si="307"/>
        <v>900000</v>
      </c>
      <c r="P3545" s="15">
        <f t="shared" si="306"/>
        <v>75.212852372213362</v>
      </c>
      <c r="Q3545" s="14">
        <v>20000</v>
      </c>
      <c r="R3545" s="12">
        <v>60</v>
      </c>
      <c r="S3545" s="12" t="s">
        <v>4326</v>
      </c>
      <c r="T3545" s="22">
        <f t="shared" si="308"/>
        <v>11</v>
      </c>
      <c r="U3545" s="22">
        <f t="shared" si="309"/>
        <v>2021</v>
      </c>
      <c r="V3545" s="22" t="str">
        <f t="shared" si="310"/>
        <v>REGIONES</v>
      </c>
    </row>
    <row r="3546" spans="1:22" x14ac:dyDescent="0.2">
      <c r="A3546" s="11" t="s">
        <v>4325</v>
      </c>
      <c r="B3546" s="12" t="s">
        <v>33</v>
      </c>
      <c r="C3546" s="12" t="s">
        <v>44</v>
      </c>
      <c r="D3546" s="12" t="s">
        <v>191</v>
      </c>
      <c r="E3546" s="13" t="s">
        <v>192</v>
      </c>
      <c r="F3546" s="12" t="s">
        <v>3438</v>
      </c>
      <c r="G3546" s="14">
        <f>6945.26+7927</f>
        <v>14872.26</v>
      </c>
      <c r="H3546" s="12" t="s">
        <v>85</v>
      </c>
      <c r="I3546" s="12">
        <v>1</v>
      </c>
      <c r="J3546" s="12" t="s">
        <v>3438</v>
      </c>
      <c r="K3546" s="12" t="s">
        <v>93</v>
      </c>
      <c r="L3546" s="12">
        <v>0</v>
      </c>
      <c r="M3546" s="15">
        <v>620000</v>
      </c>
      <c r="N3546" s="15">
        <v>0</v>
      </c>
      <c r="O3546" s="15">
        <f t="shared" si="307"/>
        <v>620000</v>
      </c>
      <c r="P3546" s="15">
        <f t="shared" si="306"/>
        <v>41.688351333287613</v>
      </c>
      <c r="Q3546" s="14">
        <v>20000</v>
      </c>
      <c r="R3546" s="12">
        <v>35</v>
      </c>
      <c r="S3546" s="12" t="s">
        <v>4329</v>
      </c>
      <c r="T3546" s="22">
        <f t="shared" si="308"/>
        <v>11</v>
      </c>
      <c r="U3546" s="22">
        <f t="shared" si="309"/>
        <v>2021</v>
      </c>
      <c r="V3546" s="22" t="str">
        <f t="shared" si="310"/>
        <v>REGIONES</v>
      </c>
    </row>
    <row r="3547" spans="1:22" x14ac:dyDescent="0.2">
      <c r="A3547" s="11" t="s">
        <v>4325</v>
      </c>
      <c r="B3547" s="12" t="s">
        <v>33</v>
      </c>
      <c r="C3547" s="12" t="s">
        <v>44</v>
      </c>
      <c r="D3547" s="12" t="s">
        <v>47</v>
      </c>
      <c r="E3547" s="13" t="s">
        <v>1576</v>
      </c>
      <c r="F3547" s="12" t="s">
        <v>95</v>
      </c>
      <c r="G3547" s="14">
        <v>7103.3999999999987</v>
      </c>
      <c r="H3547" s="12" t="s">
        <v>22</v>
      </c>
      <c r="I3547" s="12">
        <v>0</v>
      </c>
      <c r="J3547" s="12" t="s">
        <v>95</v>
      </c>
      <c r="K3547" s="12" t="s">
        <v>23</v>
      </c>
      <c r="L3547" s="12">
        <v>4</v>
      </c>
      <c r="M3547" s="15">
        <v>78137</v>
      </c>
      <c r="N3547" s="15">
        <v>0</v>
      </c>
      <c r="O3547" s="15">
        <f t="shared" si="307"/>
        <v>78137</v>
      </c>
      <c r="P3547" s="15">
        <f t="shared" si="306"/>
        <v>10.999943688937694</v>
      </c>
      <c r="Q3547" s="14">
        <v>5000</v>
      </c>
      <c r="R3547" s="12">
        <v>100</v>
      </c>
      <c r="S3547" s="12" t="s">
        <v>4327</v>
      </c>
      <c r="T3547" s="22">
        <f t="shared" si="308"/>
        <v>11</v>
      </c>
      <c r="U3547" s="22">
        <f t="shared" si="309"/>
        <v>2021</v>
      </c>
      <c r="V3547" s="22" t="str">
        <f t="shared" si="310"/>
        <v>METROPOLITANA</v>
      </c>
    </row>
    <row r="3548" spans="1:22" x14ac:dyDescent="0.2">
      <c r="A3548" s="23" t="s">
        <v>4330</v>
      </c>
      <c r="B3548" s="22" t="s">
        <v>18</v>
      </c>
      <c r="C3548" s="22" t="s">
        <v>270</v>
      </c>
      <c r="D3548" s="22" t="s">
        <v>164</v>
      </c>
      <c r="E3548" s="24" t="s">
        <v>28</v>
      </c>
      <c r="F3548" s="22" t="s">
        <v>120</v>
      </c>
      <c r="G3548" s="25">
        <f>9662.52+5267</f>
        <v>14929.52</v>
      </c>
      <c r="H3548" s="22" t="s">
        <v>22</v>
      </c>
      <c r="I3548" s="22">
        <v>1</v>
      </c>
      <c r="J3548" s="22" t="s">
        <v>120</v>
      </c>
      <c r="K3548" s="22" t="s">
        <v>23</v>
      </c>
      <c r="L3548" s="22">
        <v>5</v>
      </c>
      <c r="M3548" s="26">
        <v>120000</v>
      </c>
      <c r="N3548" s="26">
        <v>0</v>
      </c>
      <c r="O3548" s="15">
        <f t="shared" si="307"/>
        <v>120000</v>
      </c>
      <c r="P3548" s="15">
        <f t="shared" si="306"/>
        <v>8.0377667868759346</v>
      </c>
      <c r="Q3548" s="25">
        <v>10000</v>
      </c>
      <c r="R3548" s="22">
        <v>97</v>
      </c>
      <c r="S3548" s="22" t="s">
        <v>4342</v>
      </c>
      <c r="T3548" s="22">
        <f t="shared" si="308"/>
        <v>11</v>
      </c>
      <c r="U3548" s="22">
        <f t="shared" si="309"/>
        <v>2021</v>
      </c>
      <c r="V3548" s="22" t="str">
        <f t="shared" si="310"/>
        <v>METROPOLITANA</v>
      </c>
    </row>
    <row r="3549" spans="1:22" x14ac:dyDescent="0.2">
      <c r="A3549" s="23" t="s">
        <v>4330</v>
      </c>
      <c r="B3549" s="22" t="s">
        <v>18</v>
      </c>
      <c r="C3549" s="22" t="s">
        <v>4331</v>
      </c>
      <c r="D3549" s="22" t="s">
        <v>30</v>
      </c>
      <c r="E3549" s="24" t="s">
        <v>31</v>
      </c>
      <c r="F3549" s="22" t="s">
        <v>161</v>
      </c>
      <c r="G3549" s="25">
        <v>11760.16</v>
      </c>
      <c r="H3549" s="22" t="s">
        <v>32</v>
      </c>
      <c r="I3549" s="22">
        <v>0</v>
      </c>
      <c r="J3549" s="22" t="s">
        <v>161</v>
      </c>
      <c r="K3549" s="22" t="s">
        <v>23</v>
      </c>
      <c r="L3549" s="22">
        <v>5</v>
      </c>
      <c r="M3549" s="26">
        <v>70000</v>
      </c>
      <c r="N3549" s="26">
        <v>0</v>
      </c>
      <c r="O3549" s="15">
        <f t="shared" si="307"/>
        <v>70000</v>
      </c>
      <c r="P3549" s="15">
        <f t="shared" si="306"/>
        <v>5.9522999687079086</v>
      </c>
      <c r="Q3549" s="25">
        <v>10000</v>
      </c>
      <c r="R3549" s="22">
        <v>100</v>
      </c>
      <c r="S3549" s="22" t="s">
        <v>4332</v>
      </c>
      <c r="T3549" s="22">
        <f t="shared" si="308"/>
        <v>11</v>
      </c>
      <c r="U3549" s="22">
        <f t="shared" si="309"/>
        <v>2021</v>
      </c>
      <c r="V3549" s="22" t="str">
        <f t="shared" si="310"/>
        <v>METROPOLITANA</v>
      </c>
    </row>
    <row r="3550" spans="1:22" x14ac:dyDescent="0.2">
      <c r="A3550" s="23" t="s">
        <v>4330</v>
      </c>
      <c r="B3550" s="22" t="s">
        <v>18</v>
      </c>
      <c r="C3550" s="22" t="s">
        <v>163</v>
      </c>
      <c r="D3550" s="22" t="s">
        <v>63</v>
      </c>
      <c r="E3550" s="24" t="s">
        <v>64</v>
      </c>
      <c r="F3550" s="22" t="s">
        <v>165</v>
      </c>
      <c r="G3550" s="25">
        <v>13828.2</v>
      </c>
      <c r="H3550" s="22" t="s">
        <v>65</v>
      </c>
      <c r="I3550" s="22">
        <v>0</v>
      </c>
      <c r="J3550" s="22" t="s">
        <v>165</v>
      </c>
      <c r="K3550" s="22" t="s">
        <v>23</v>
      </c>
      <c r="L3550" s="22">
        <v>4</v>
      </c>
      <c r="M3550" s="26">
        <v>152110</v>
      </c>
      <c r="N3550" s="26">
        <v>0</v>
      </c>
      <c r="O3550" s="15">
        <f t="shared" si="307"/>
        <v>152110</v>
      </c>
      <c r="P3550" s="15">
        <f t="shared" si="306"/>
        <v>10.999985536801608</v>
      </c>
      <c r="Q3550" s="25">
        <v>5000</v>
      </c>
      <c r="R3550" s="22">
        <v>100</v>
      </c>
      <c r="S3550" s="22" t="s">
        <v>4333</v>
      </c>
      <c r="T3550" s="22">
        <f t="shared" si="308"/>
        <v>11</v>
      </c>
      <c r="U3550" s="22">
        <f t="shared" si="309"/>
        <v>2021</v>
      </c>
      <c r="V3550" s="22" t="str">
        <f t="shared" si="310"/>
        <v>METROPOLITANA</v>
      </c>
    </row>
    <row r="3551" spans="1:22" x14ac:dyDescent="0.2">
      <c r="A3551" s="23" t="s">
        <v>4330</v>
      </c>
      <c r="B3551" s="22" t="s">
        <v>18</v>
      </c>
      <c r="C3551" s="22" t="s">
        <v>4334</v>
      </c>
      <c r="D3551" s="22" t="s">
        <v>1170</v>
      </c>
      <c r="E3551" s="24" t="s">
        <v>81</v>
      </c>
      <c r="F3551" s="22" t="s">
        <v>4335</v>
      </c>
      <c r="G3551" s="25">
        <f>13060.2+6667</f>
        <v>19727.2</v>
      </c>
      <c r="H3551" s="22" t="s">
        <v>24</v>
      </c>
      <c r="I3551" s="22">
        <v>1</v>
      </c>
      <c r="J3551" s="22" t="s">
        <v>4335</v>
      </c>
      <c r="K3551" s="22" t="s">
        <v>437</v>
      </c>
      <c r="L3551" s="22">
        <v>0</v>
      </c>
      <c r="M3551" s="26">
        <v>900000</v>
      </c>
      <c r="N3551" s="26">
        <v>0</v>
      </c>
      <c r="O3551" s="15">
        <f t="shared" si="307"/>
        <v>900000</v>
      </c>
      <c r="P3551" s="15">
        <f t="shared" si="306"/>
        <v>45.622288008435049</v>
      </c>
      <c r="Q3551" s="25">
        <v>20000</v>
      </c>
      <c r="R3551" s="22">
        <v>65</v>
      </c>
      <c r="S3551" s="22" t="s">
        <v>4343</v>
      </c>
      <c r="T3551" s="22">
        <f t="shared" si="308"/>
        <v>11</v>
      </c>
      <c r="U3551" s="22">
        <f t="shared" si="309"/>
        <v>2021</v>
      </c>
      <c r="V3551" s="22" t="str">
        <f t="shared" si="310"/>
        <v>REGIONES</v>
      </c>
    </row>
    <row r="3552" spans="1:22" x14ac:dyDescent="0.2">
      <c r="A3552" s="23" t="s">
        <v>4330</v>
      </c>
      <c r="B3552" s="22" t="s">
        <v>33</v>
      </c>
      <c r="C3552" s="22" t="s">
        <v>270</v>
      </c>
      <c r="D3552" s="22" t="s">
        <v>164</v>
      </c>
      <c r="E3552" s="24" t="s">
        <v>28</v>
      </c>
      <c r="F3552" s="22" t="s">
        <v>120</v>
      </c>
      <c r="G3552" s="25">
        <v>7963.5000000000027</v>
      </c>
      <c r="H3552" s="22" t="s">
        <v>22</v>
      </c>
      <c r="I3552" s="22">
        <v>1</v>
      </c>
      <c r="J3552" s="22" t="s">
        <v>120</v>
      </c>
      <c r="K3552" s="22" t="s">
        <v>23</v>
      </c>
      <c r="L3552" s="22">
        <v>5</v>
      </c>
      <c r="M3552" s="26">
        <v>120000</v>
      </c>
      <c r="N3552" s="26">
        <v>0</v>
      </c>
      <c r="O3552" s="15">
        <f t="shared" si="307"/>
        <v>120000</v>
      </c>
      <c r="P3552" s="15">
        <f t="shared" si="306"/>
        <v>15.068751177246181</v>
      </c>
      <c r="Q3552" s="25">
        <v>10000</v>
      </c>
      <c r="R3552" s="22">
        <v>80</v>
      </c>
      <c r="S3552" s="22" t="s">
        <v>4336</v>
      </c>
      <c r="T3552" s="22">
        <f t="shared" si="308"/>
        <v>11</v>
      </c>
      <c r="U3552" s="22">
        <f t="shared" si="309"/>
        <v>2021</v>
      </c>
      <c r="V3552" s="22" t="str">
        <f t="shared" si="310"/>
        <v>METROPOLITANA</v>
      </c>
    </row>
    <row r="3553" spans="1:22" x14ac:dyDescent="0.2">
      <c r="A3553" s="23" t="s">
        <v>4330</v>
      </c>
      <c r="B3553" s="22" t="s">
        <v>33</v>
      </c>
      <c r="C3553" s="22" t="s">
        <v>128</v>
      </c>
      <c r="D3553" s="22" t="s">
        <v>2955</v>
      </c>
      <c r="E3553" s="24" t="s">
        <v>2956</v>
      </c>
      <c r="F3553" s="22" t="s">
        <v>129</v>
      </c>
      <c r="G3553" s="25">
        <v>27461.799999999941</v>
      </c>
      <c r="H3553" s="22" t="s">
        <v>24</v>
      </c>
      <c r="I3553" s="22">
        <v>1</v>
      </c>
      <c r="J3553" s="22" t="s">
        <v>129</v>
      </c>
      <c r="K3553" s="22" t="s">
        <v>23</v>
      </c>
      <c r="L3553" s="22">
        <v>1</v>
      </c>
      <c r="M3553" s="26">
        <v>302080</v>
      </c>
      <c r="N3553" s="26">
        <v>0</v>
      </c>
      <c r="O3553" s="15">
        <f t="shared" si="307"/>
        <v>302080</v>
      </c>
      <c r="P3553" s="15">
        <f t="shared" ref="P3553:P3616" si="311">O3553/G3553</f>
        <v>11.000007282843828</v>
      </c>
      <c r="Q3553" s="25">
        <v>5000</v>
      </c>
      <c r="R3553" s="22">
        <v>100</v>
      </c>
      <c r="S3553" s="22" t="s">
        <v>4337</v>
      </c>
      <c r="T3553" s="22">
        <f t="shared" si="308"/>
        <v>11</v>
      </c>
      <c r="U3553" s="22">
        <f t="shared" si="309"/>
        <v>2021</v>
      </c>
      <c r="V3553" s="22" t="str">
        <f t="shared" si="310"/>
        <v>METROPOLITANA</v>
      </c>
    </row>
    <row r="3554" spans="1:22" x14ac:dyDescent="0.2">
      <c r="A3554" s="23" t="s">
        <v>4330</v>
      </c>
      <c r="B3554" s="22" t="s">
        <v>33</v>
      </c>
      <c r="C3554" s="22" t="s">
        <v>1066</v>
      </c>
      <c r="D3554" s="22" t="s">
        <v>164</v>
      </c>
      <c r="E3554" s="24" t="s">
        <v>21</v>
      </c>
      <c r="F3554" s="22" t="s">
        <v>173</v>
      </c>
      <c r="G3554" s="25">
        <v>5360.4</v>
      </c>
      <c r="H3554" s="22" t="s">
        <v>22</v>
      </c>
      <c r="I3554" s="22">
        <v>1</v>
      </c>
      <c r="J3554" s="22" t="s">
        <v>173</v>
      </c>
      <c r="K3554" s="22" t="s">
        <v>23</v>
      </c>
      <c r="L3554" s="22">
        <v>5</v>
      </c>
      <c r="M3554" s="26">
        <v>120000</v>
      </c>
      <c r="N3554" s="26">
        <v>0</v>
      </c>
      <c r="O3554" s="15">
        <f t="shared" si="307"/>
        <v>120000</v>
      </c>
      <c r="P3554" s="15">
        <f t="shared" si="311"/>
        <v>22.386389075442132</v>
      </c>
      <c r="Q3554" s="25">
        <v>10000</v>
      </c>
      <c r="R3554" s="22">
        <v>54</v>
      </c>
      <c r="S3554" s="22" t="s">
        <v>4338</v>
      </c>
      <c r="T3554" s="22">
        <f t="shared" si="308"/>
        <v>11</v>
      </c>
      <c r="U3554" s="22">
        <f t="shared" si="309"/>
        <v>2021</v>
      </c>
      <c r="V3554" s="22" t="str">
        <f t="shared" si="310"/>
        <v>METROPOLITANA</v>
      </c>
    </row>
    <row r="3555" spans="1:22" x14ac:dyDescent="0.2">
      <c r="A3555" s="23" t="s">
        <v>4330</v>
      </c>
      <c r="B3555" s="22" t="s">
        <v>33</v>
      </c>
      <c r="C3555" s="22" t="s">
        <v>29</v>
      </c>
      <c r="D3555" s="22" t="s">
        <v>38</v>
      </c>
      <c r="E3555" s="24" t="s">
        <v>42</v>
      </c>
      <c r="F3555" s="22" t="s">
        <v>39</v>
      </c>
      <c r="G3555" s="25">
        <v>13000</v>
      </c>
      <c r="H3555" s="22" t="s">
        <v>43</v>
      </c>
      <c r="I3555" s="22">
        <v>0</v>
      </c>
      <c r="J3555" s="22" t="s">
        <v>39</v>
      </c>
      <c r="K3555" s="22" t="s">
        <v>23</v>
      </c>
      <c r="L3555" s="22">
        <v>1</v>
      </c>
      <c r="M3555" s="26">
        <v>143000</v>
      </c>
      <c r="N3555" s="26">
        <v>0</v>
      </c>
      <c r="O3555" s="15">
        <f t="shared" si="307"/>
        <v>143000</v>
      </c>
      <c r="P3555" s="15">
        <f t="shared" si="311"/>
        <v>11</v>
      </c>
      <c r="Q3555" s="25">
        <v>5000</v>
      </c>
      <c r="R3555" s="22">
        <v>100</v>
      </c>
      <c r="S3555" s="22" t="s">
        <v>4339</v>
      </c>
      <c r="T3555" s="22">
        <f t="shared" si="308"/>
        <v>11</v>
      </c>
      <c r="U3555" s="22">
        <f t="shared" si="309"/>
        <v>2021</v>
      </c>
      <c r="V3555" s="22" t="str">
        <f t="shared" si="310"/>
        <v>METROPOLITANA</v>
      </c>
    </row>
    <row r="3556" spans="1:22" x14ac:dyDescent="0.2">
      <c r="A3556" s="23" t="s">
        <v>4330</v>
      </c>
      <c r="B3556" s="22" t="s">
        <v>33</v>
      </c>
      <c r="C3556" s="22" t="s">
        <v>29</v>
      </c>
      <c r="D3556" s="22" t="s">
        <v>164</v>
      </c>
      <c r="E3556" s="24" t="s">
        <v>28</v>
      </c>
      <c r="F3556" s="22" t="s">
        <v>39</v>
      </c>
      <c r="G3556" s="25">
        <v>9504.0000000000091</v>
      </c>
      <c r="H3556" s="22" t="s">
        <v>22</v>
      </c>
      <c r="I3556" s="22">
        <v>1</v>
      </c>
      <c r="J3556" s="22" t="s">
        <v>39</v>
      </c>
      <c r="K3556" s="22" t="s">
        <v>23</v>
      </c>
      <c r="L3556" s="22">
        <v>1</v>
      </c>
      <c r="M3556" s="26">
        <v>104544</v>
      </c>
      <c r="N3556" s="26">
        <v>0</v>
      </c>
      <c r="O3556" s="15">
        <f t="shared" si="307"/>
        <v>104544</v>
      </c>
      <c r="P3556" s="15">
        <f t="shared" si="311"/>
        <v>10.999999999999989</v>
      </c>
      <c r="Q3556" s="25">
        <v>5000</v>
      </c>
      <c r="R3556" s="22">
        <v>100</v>
      </c>
      <c r="S3556" s="22" t="s">
        <v>4340</v>
      </c>
      <c r="T3556" s="22">
        <f t="shared" si="308"/>
        <v>11</v>
      </c>
      <c r="U3556" s="22">
        <f t="shared" si="309"/>
        <v>2021</v>
      </c>
      <c r="V3556" s="22" t="str">
        <f t="shared" si="310"/>
        <v>METROPOLITANA</v>
      </c>
    </row>
    <row r="3557" spans="1:22" x14ac:dyDescent="0.2">
      <c r="A3557" s="23" t="s">
        <v>4330</v>
      </c>
      <c r="B3557" s="22" t="s">
        <v>33</v>
      </c>
      <c r="C3557" s="22" t="s">
        <v>44</v>
      </c>
      <c r="D3557" s="22" t="s">
        <v>47</v>
      </c>
      <c r="E3557" s="24" t="s">
        <v>1576</v>
      </c>
      <c r="F3557" s="22" t="s">
        <v>48</v>
      </c>
      <c r="G3557" s="25">
        <v>9271.1000000000058</v>
      </c>
      <c r="H3557" s="22" t="s">
        <v>22</v>
      </c>
      <c r="I3557" s="22">
        <v>0</v>
      </c>
      <c r="J3557" s="22" t="s">
        <v>48</v>
      </c>
      <c r="K3557" s="22" t="s">
        <v>23</v>
      </c>
      <c r="L3557" s="22">
        <v>1</v>
      </c>
      <c r="M3557" s="26">
        <v>101982</v>
      </c>
      <c r="N3557" s="26">
        <v>0</v>
      </c>
      <c r="O3557" s="15">
        <f t="shared" si="307"/>
        <v>101982</v>
      </c>
      <c r="P3557" s="15">
        <f t="shared" si="311"/>
        <v>10.999989213793395</v>
      </c>
      <c r="Q3557" s="25">
        <v>5000</v>
      </c>
      <c r="R3557" s="22">
        <v>100</v>
      </c>
      <c r="S3557" s="22" t="s">
        <v>4341</v>
      </c>
      <c r="T3557" s="22">
        <f t="shared" si="308"/>
        <v>11</v>
      </c>
      <c r="U3557" s="22">
        <f t="shared" si="309"/>
        <v>2021</v>
      </c>
      <c r="V3557" s="22" t="str">
        <f t="shared" si="310"/>
        <v>METROPOLITANA</v>
      </c>
    </row>
    <row r="3558" spans="1:22" x14ac:dyDescent="0.2">
      <c r="A3558" s="11" t="s">
        <v>4344</v>
      </c>
      <c r="B3558" s="12" t="s">
        <v>18</v>
      </c>
      <c r="C3558" s="12" t="s">
        <v>163</v>
      </c>
      <c r="D3558" s="12" t="s">
        <v>63</v>
      </c>
      <c r="E3558" s="13" t="s">
        <v>64</v>
      </c>
      <c r="F3558" s="12" t="s">
        <v>165</v>
      </c>
      <c r="G3558" s="14">
        <v>15672.8</v>
      </c>
      <c r="H3558" s="12" t="s">
        <v>65</v>
      </c>
      <c r="I3558" s="12">
        <v>0</v>
      </c>
      <c r="J3558" s="12" t="s">
        <v>165</v>
      </c>
      <c r="K3558" s="12" t="s">
        <v>23</v>
      </c>
      <c r="L3558" s="12">
        <v>4</v>
      </c>
      <c r="M3558" s="15">
        <v>172401</v>
      </c>
      <c r="N3558" s="15">
        <v>0</v>
      </c>
      <c r="O3558" s="15">
        <f t="shared" si="307"/>
        <v>172401</v>
      </c>
      <c r="P3558" s="15">
        <f t="shared" si="311"/>
        <v>11.000012760961667</v>
      </c>
      <c r="Q3558" s="14">
        <v>5000</v>
      </c>
      <c r="R3558" s="12">
        <v>100</v>
      </c>
      <c r="S3558" s="12" t="s">
        <v>4345</v>
      </c>
      <c r="T3558" s="22">
        <f t="shared" si="308"/>
        <v>11</v>
      </c>
      <c r="U3558" s="22">
        <f t="shared" si="309"/>
        <v>2021</v>
      </c>
      <c r="V3558" s="22" t="str">
        <f t="shared" si="310"/>
        <v>METROPOLITANA</v>
      </c>
    </row>
    <row r="3559" spans="1:22" x14ac:dyDescent="0.2">
      <c r="A3559" s="11" t="s">
        <v>4344</v>
      </c>
      <c r="B3559" s="12" t="s">
        <v>33</v>
      </c>
      <c r="C3559" s="12" t="s">
        <v>163</v>
      </c>
      <c r="D3559" s="12" t="s">
        <v>41</v>
      </c>
      <c r="E3559" s="13" t="s">
        <v>25</v>
      </c>
      <c r="F3559" s="12" t="s">
        <v>165</v>
      </c>
      <c r="G3559" s="14">
        <v>17048.2</v>
      </c>
      <c r="H3559" s="12" t="s">
        <v>43</v>
      </c>
      <c r="I3559" s="12">
        <v>0</v>
      </c>
      <c r="J3559" s="12" t="s">
        <v>165</v>
      </c>
      <c r="K3559" s="12" t="s">
        <v>23</v>
      </c>
      <c r="L3559" s="12">
        <v>4</v>
      </c>
      <c r="M3559" s="15">
        <v>187530</v>
      </c>
      <c r="N3559" s="15">
        <v>0</v>
      </c>
      <c r="O3559" s="15">
        <f t="shared" si="307"/>
        <v>187530</v>
      </c>
      <c r="P3559" s="15">
        <f t="shared" si="311"/>
        <v>10.99998826855621</v>
      </c>
      <c r="Q3559" s="14">
        <v>5000</v>
      </c>
      <c r="R3559" s="12">
        <v>100</v>
      </c>
      <c r="S3559" s="12" t="s">
        <v>4346</v>
      </c>
      <c r="T3559" s="22">
        <f t="shared" si="308"/>
        <v>11</v>
      </c>
      <c r="U3559" s="22">
        <f t="shared" si="309"/>
        <v>2021</v>
      </c>
      <c r="V3559" s="22" t="str">
        <f t="shared" si="310"/>
        <v>METROPOLITANA</v>
      </c>
    </row>
    <row r="3560" spans="1:22" x14ac:dyDescent="0.2">
      <c r="A3560" s="11" t="s">
        <v>4344</v>
      </c>
      <c r="B3560" s="12" t="s">
        <v>33</v>
      </c>
      <c r="C3560" s="12" t="s">
        <v>87</v>
      </c>
      <c r="D3560" s="12" t="s">
        <v>37</v>
      </c>
      <c r="E3560" s="13" t="s">
        <v>40</v>
      </c>
      <c r="F3560" s="12" t="s">
        <v>51</v>
      </c>
      <c r="G3560" s="14">
        <v>8502</v>
      </c>
      <c r="H3560" s="12" t="s">
        <v>22</v>
      </c>
      <c r="I3560" s="12">
        <v>0</v>
      </c>
      <c r="J3560" s="12" t="s">
        <v>51</v>
      </c>
      <c r="K3560" s="12" t="s">
        <v>23</v>
      </c>
      <c r="L3560" s="12">
        <v>4</v>
      </c>
      <c r="M3560" s="15">
        <v>93522</v>
      </c>
      <c r="N3560" s="15">
        <v>0</v>
      </c>
      <c r="O3560" s="15">
        <f t="shared" si="307"/>
        <v>93522</v>
      </c>
      <c r="P3560" s="15">
        <f t="shared" si="311"/>
        <v>11</v>
      </c>
      <c r="Q3560" s="14">
        <v>5000</v>
      </c>
      <c r="R3560" s="12">
        <v>100</v>
      </c>
      <c r="S3560" s="12" t="s">
        <v>4347</v>
      </c>
      <c r="T3560" s="22">
        <f t="shared" si="308"/>
        <v>11</v>
      </c>
      <c r="U3560" s="22">
        <f t="shared" si="309"/>
        <v>2021</v>
      </c>
      <c r="V3560" s="22" t="str">
        <f t="shared" si="310"/>
        <v>METROPOLITANA</v>
      </c>
    </row>
    <row r="3561" spans="1:22" x14ac:dyDescent="0.2">
      <c r="A3561" s="11" t="s">
        <v>4344</v>
      </c>
      <c r="B3561" s="12" t="s">
        <v>33</v>
      </c>
      <c r="C3561" s="12" t="s">
        <v>87</v>
      </c>
      <c r="D3561" s="12" t="s">
        <v>27</v>
      </c>
      <c r="E3561" s="13" t="s">
        <v>28</v>
      </c>
      <c r="F3561" s="12" t="s">
        <v>51</v>
      </c>
      <c r="G3561" s="14">
        <f>20000.43+2852</f>
        <v>22852.43</v>
      </c>
      <c r="H3561" s="12" t="s">
        <v>22</v>
      </c>
      <c r="I3561" s="12">
        <v>1</v>
      </c>
      <c r="J3561" s="12" t="s">
        <v>51</v>
      </c>
      <c r="K3561" s="12" t="s">
        <v>23</v>
      </c>
      <c r="L3561" s="12">
        <v>4</v>
      </c>
      <c r="M3561" s="15">
        <v>220005</v>
      </c>
      <c r="N3561" s="15">
        <v>0</v>
      </c>
      <c r="O3561" s="15">
        <f t="shared" si="307"/>
        <v>220005</v>
      </c>
      <c r="P3561" s="15">
        <f t="shared" si="311"/>
        <v>9.6272037590750745</v>
      </c>
      <c r="Q3561" s="14">
        <v>5000</v>
      </c>
      <c r="R3561" s="12">
        <v>100</v>
      </c>
      <c r="S3561" s="12" t="s">
        <v>4357</v>
      </c>
      <c r="T3561" s="22">
        <f t="shared" si="308"/>
        <v>11</v>
      </c>
      <c r="U3561" s="22">
        <f t="shared" si="309"/>
        <v>2021</v>
      </c>
      <c r="V3561" s="22" t="str">
        <f t="shared" si="310"/>
        <v>METROPOLITANA</v>
      </c>
    </row>
    <row r="3562" spans="1:22" x14ac:dyDescent="0.2">
      <c r="A3562" s="11" t="s">
        <v>4344</v>
      </c>
      <c r="B3562" s="12" t="s">
        <v>33</v>
      </c>
      <c r="C3562" s="12" t="s">
        <v>29</v>
      </c>
      <c r="D3562" s="12" t="s">
        <v>27</v>
      </c>
      <c r="E3562" s="13" t="s">
        <v>28</v>
      </c>
      <c r="F3562" s="12" t="s">
        <v>39</v>
      </c>
      <c r="G3562" s="14">
        <v>18009.599999999999</v>
      </c>
      <c r="H3562" s="12" t="s">
        <v>22</v>
      </c>
      <c r="I3562" s="12">
        <v>1</v>
      </c>
      <c r="J3562" s="12" t="s">
        <v>39</v>
      </c>
      <c r="K3562" s="12" t="s">
        <v>23</v>
      </c>
      <c r="L3562" s="12">
        <v>1</v>
      </c>
      <c r="M3562" s="15">
        <v>198106</v>
      </c>
      <c r="N3562" s="15">
        <v>0</v>
      </c>
      <c r="O3562" s="15">
        <f t="shared" si="307"/>
        <v>198106</v>
      </c>
      <c r="P3562" s="15">
        <f t="shared" si="311"/>
        <v>11.000022210376688</v>
      </c>
      <c r="Q3562" s="14">
        <v>5000</v>
      </c>
      <c r="R3562" s="12">
        <v>100</v>
      </c>
      <c r="S3562" s="12" t="s">
        <v>4348</v>
      </c>
      <c r="T3562" s="22">
        <f t="shared" si="308"/>
        <v>11</v>
      </c>
      <c r="U3562" s="22">
        <f t="shared" si="309"/>
        <v>2021</v>
      </c>
      <c r="V3562" s="22" t="str">
        <f t="shared" si="310"/>
        <v>METROPOLITANA</v>
      </c>
    </row>
    <row r="3563" spans="1:22" x14ac:dyDescent="0.2">
      <c r="A3563" s="11" t="s">
        <v>4344</v>
      </c>
      <c r="B3563" s="12" t="s">
        <v>33</v>
      </c>
      <c r="C3563" s="12" t="s">
        <v>29</v>
      </c>
      <c r="D3563" s="12" t="s">
        <v>30</v>
      </c>
      <c r="E3563" s="13" t="s">
        <v>31</v>
      </c>
      <c r="F3563" s="12" t="s">
        <v>173</v>
      </c>
      <c r="G3563" s="14">
        <v>9004.7999999999975</v>
      </c>
      <c r="H3563" s="12" t="s">
        <v>32</v>
      </c>
      <c r="I3563" s="12">
        <v>0</v>
      </c>
      <c r="J3563" s="12" t="s">
        <v>173</v>
      </c>
      <c r="K3563" s="12" t="s">
        <v>23</v>
      </c>
      <c r="L3563" s="12">
        <v>5</v>
      </c>
      <c r="M3563" s="15">
        <v>90000</v>
      </c>
      <c r="N3563" s="15">
        <v>0</v>
      </c>
      <c r="O3563" s="15">
        <f t="shared" ref="O3563:O3626" si="312">SUM(M3563:N3563)</f>
        <v>90000</v>
      </c>
      <c r="P3563" s="15">
        <f t="shared" si="311"/>
        <v>9.9946695095948854</v>
      </c>
      <c r="Q3563" s="14">
        <v>10000</v>
      </c>
      <c r="R3563" s="12">
        <v>90</v>
      </c>
      <c r="S3563" s="12" t="s">
        <v>4349</v>
      </c>
      <c r="T3563" s="22">
        <f t="shared" si="308"/>
        <v>11</v>
      </c>
      <c r="U3563" s="22">
        <f t="shared" si="309"/>
        <v>2021</v>
      </c>
      <c r="V3563" s="22" t="str">
        <f t="shared" si="310"/>
        <v>METROPOLITANA</v>
      </c>
    </row>
    <row r="3564" spans="1:22" x14ac:dyDescent="0.2">
      <c r="A3564" s="11" t="s">
        <v>4344</v>
      </c>
      <c r="B3564" s="12" t="s">
        <v>33</v>
      </c>
      <c r="C3564" s="12" t="s">
        <v>29</v>
      </c>
      <c r="D3564" s="12" t="s">
        <v>30</v>
      </c>
      <c r="E3564" s="13" t="s">
        <v>31</v>
      </c>
      <c r="F3564" s="12" t="s">
        <v>39</v>
      </c>
      <c r="G3564" s="14">
        <v>9288.7199999999993</v>
      </c>
      <c r="H3564" s="12" t="s">
        <v>32</v>
      </c>
      <c r="I3564" s="12">
        <v>0</v>
      </c>
      <c r="J3564" s="12" t="s">
        <v>39</v>
      </c>
      <c r="K3564" s="12" t="s">
        <v>23</v>
      </c>
      <c r="L3564" s="12">
        <v>1</v>
      </c>
      <c r="M3564" s="15">
        <v>102176</v>
      </c>
      <c r="N3564" s="15">
        <v>0</v>
      </c>
      <c r="O3564" s="15">
        <f t="shared" si="312"/>
        <v>102176</v>
      </c>
      <c r="P3564" s="15">
        <f t="shared" si="311"/>
        <v>11.000008612596785</v>
      </c>
      <c r="Q3564" s="14">
        <v>5000</v>
      </c>
      <c r="R3564" s="12">
        <v>100</v>
      </c>
      <c r="S3564" s="12" t="s">
        <v>4350</v>
      </c>
      <c r="T3564" s="22">
        <f t="shared" si="308"/>
        <v>11</v>
      </c>
      <c r="U3564" s="22">
        <f t="shared" si="309"/>
        <v>2021</v>
      </c>
      <c r="V3564" s="22" t="str">
        <f t="shared" si="310"/>
        <v>METROPOLITANA</v>
      </c>
    </row>
    <row r="3565" spans="1:22" x14ac:dyDescent="0.2">
      <c r="A3565" s="11" t="s">
        <v>4344</v>
      </c>
      <c r="B3565" s="12" t="s">
        <v>33</v>
      </c>
      <c r="C3565" s="12" t="s">
        <v>29</v>
      </c>
      <c r="D3565" s="12" t="s">
        <v>41</v>
      </c>
      <c r="E3565" s="13" t="s">
        <v>25</v>
      </c>
      <c r="F3565" s="12" t="s">
        <v>39</v>
      </c>
      <c r="G3565" s="14">
        <v>8853.35</v>
      </c>
      <c r="H3565" s="12" t="s">
        <v>43</v>
      </c>
      <c r="I3565" s="12">
        <v>0</v>
      </c>
      <c r="J3565" s="12" t="s">
        <v>39</v>
      </c>
      <c r="K3565" s="12" t="s">
        <v>23</v>
      </c>
      <c r="L3565" s="12">
        <v>1</v>
      </c>
      <c r="M3565" s="15">
        <v>97387</v>
      </c>
      <c r="N3565" s="15">
        <v>0</v>
      </c>
      <c r="O3565" s="15">
        <f t="shared" si="312"/>
        <v>97387</v>
      </c>
      <c r="P3565" s="15">
        <f t="shared" si="311"/>
        <v>11.000016942739189</v>
      </c>
      <c r="Q3565" s="14">
        <v>5000</v>
      </c>
      <c r="R3565" s="12">
        <v>100</v>
      </c>
      <c r="S3565" s="12" t="s">
        <v>4351</v>
      </c>
      <c r="T3565" s="22">
        <f t="shared" si="308"/>
        <v>11</v>
      </c>
      <c r="U3565" s="22">
        <f t="shared" si="309"/>
        <v>2021</v>
      </c>
      <c r="V3565" s="22" t="str">
        <f t="shared" si="310"/>
        <v>METROPOLITANA</v>
      </c>
    </row>
    <row r="3566" spans="1:22" x14ac:dyDescent="0.2">
      <c r="A3566" s="11" t="s">
        <v>4344</v>
      </c>
      <c r="B3566" s="12" t="s">
        <v>33</v>
      </c>
      <c r="C3566" s="12" t="s">
        <v>44</v>
      </c>
      <c r="D3566" s="12" t="s">
        <v>2262</v>
      </c>
      <c r="E3566" s="13" t="s">
        <v>83</v>
      </c>
      <c r="F3566" s="12" t="s">
        <v>84</v>
      </c>
      <c r="G3566" s="14">
        <v>7981.2000000000062</v>
      </c>
      <c r="H3566" s="12" t="s">
        <v>24</v>
      </c>
      <c r="I3566" s="12">
        <v>1</v>
      </c>
      <c r="J3566" s="12" t="s">
        <v>84</v>
      </c>
      <c r="K3566" s="12" t="s">
        <v>86</v>
      </c>
      <c r="L3566" s="12">
        <v>0</v>
      </c>
      <c r="M3566" s="15">
        <v>320000</v>
      </c>
      <c r="N3566" s="15">
        <v>0</v>
      </c>
      <c r="O3566" s="15">
        <f t="shared" si="312"/>
        <v>320000</v>
      </c>
      <c r="P3566" s="15">
        <f t="shared" si="311"/>
        <v>40.09422142033776</v>
      </c>
      <c r="Q3566" s="14">
        <v>20000</v>
      </c>
      <c r="R3566" s="12">
        <v>40</v>
      </c>
      <c r="S3566" s="12" t="s">
        <v>4352</v>
      </c>
      <c r="T3566" s="22">
        <f t="shared" si="308"/>
        <v>11</v>
      </c>
      <c r="U3566" s="22">
        <f t="shared" si="309"/>
        <v>2021</v>
      </c>
      <c r="V3566" s="22" t="str">
        <f t="shared" si="310"/>
        <v>REGIONES</v>
      </c>
    </row>
    <row r="3567" spans="1:22" x14ac:dyDescent="0.2">
      <c r="A3567" s="11" t="s">
        <v>4344</v>
      </c>
      <c r="B3567" s="12" t="s">
        <v>33</v>
      </c>
      <c r="C3567" s="12" t="s">
        <v>44</v>
      </c>
      <c r="D3567" s="12" t="s">
        <v>38</v>
      </c>
      <c r="E3567" s="13" t="s">
        <v>42</v>
      </c>
      <c r="F3567" s="12" t="s">
        <v>26</v>
      </c>
      <c r="G3567" s="14">
        <v>3602.4</v>
      </c>
      <c r="H3567" s="12" t="s">
        <v>43</v>
      </c>
      <c r="I3567" s="12">
        <v>0</v>
      </c>
      <c r="J3567" s="12" t="s">
        <v>26</v>
      </c>
      <c r="K3567" s="12" t="s">
        <v>23</v>
      </c>
      <c r="L3567" s="12">
        <v>4</v>
      </c>
      <c r="M3567" s="15">
        <v>55000</v>
      </c>
      <c r="N3567" s="15">
        <v>0</v>
      </c>
      <c r="O3567" s="15">
        <f t="shared" si="312"/>
        <v>55000</v>
      </c>
      <c r="P3567" s="15">
        <f t="shared" si="311"/>
        <v>15.267599378192315</v>
      </c>
      <c r="Q3567" s="14">
        <v>5000</v>
      </c>
      <c r="R3567" s="12">
        <v>72</v>
      </c>
      <c r="S3567" s="12" t="s">
        <v>4353</v>
      </c>
      <c r="T3567" s="22">
        <f t="shared" si="308"/>
        <v>11</v>
      </c>
      <c r="U3567" s="22">
        <f t="shared" si="309"/>
        <v>2021</v>
      </c>
      <c r="V3567" s="22" t="str">
        <f t="shared" si="310"/>
        <v>METROPOLITANA</v>
      </c>
    </row>
    <row r="3568" spans="1:22" x14ac:dyDescent="0.2">
      <c r="A3568" s="11" t="s">
        <v>4344</v>
      </c>
      <c r="B3568" s="12" t="s">
        <v>33</v>
      </c>
      <c r="C3568" s="12" t="s">
        <v>44</v>
      </c>
      <c r="D3568" s="12" t="s">
        <v>37</v>
      </c>
      <c r="E3568" s="13" t="s">
        <v>40</v>
      </c>
      <c r="F3568" s="12" t="s">
        <v>48</v>
      </c>
      <c r="G3568" s="14">
        <v>2900.6</v>
      </c>
      <c r="H3568" s="12" t="s">
        <v>22</v>
      </c>
      <c r="I3568" s="12">
        <v>0</v>
      </c>
      <c r="J3568" s="12" t="s">
        <v>48</v>
      </c>
      <c r="K3568" s="12" t="s">
        <v>23</v>
      </c>
      <c r="L3568" s="12">
        <v>1</v>
      </c>
      <c r="M3568" s="15">
        <v>55000</v>
      </c>
      <c r="N3568" s="15">
        <v>0</v>
      </c>
      <c r="O3568" s="15">
        <f t="shared" si="312"/>
        <v>55000</v>
      </c>
      <c r="P3568" s="15">
        <f t="shared" si="311"/>
        <v>18.961594152933877</v>
      </c>
      <c r="Q3568" s="14">
        <v>5000</v>
      </c>
      <c r="R3568" s="12">
        <v>58</v>
      </c>
      <c r="S3568" s="12" t="s">
        <v>4354</v>
      </c>
      <c r="T3568" s="22">
        <f t="shared" si="308"/>
        <v>11</v>
      </c>
      <c r="U3568" s="22">
        <f t="shared" si="309"/>
        <v>2021</v>
      </c>
      <c r="V3568" s="22" t="str">
        <f t="shared" si="310"/>
        <v>METROPOLITANA</v>
      </c>
    </row>
    <row r="3569" spans="1:22" x14ac:dyDescent="0.2">
      <c r="A3569" s="11" t="s">
        <v>4344</v>
      </c>
      <c r="B3569" s="12" t="s">
        <v>33</v>
      </c>
      <c r="C3569" s="12" t="s">
        <v>44</v>
      </c>
      <c r="D3569" s="12" t="s">
        <v>30</v>
      </c>
      <c r="E3569" s="13" t="s">
        <v>31</v>
      </c>
      <c r="F3569" s="12" t="s">
        <v>95</v>
      </c>
      <c r="G3569" s="14">
        <v>5028</v>
      </c>
      <c r="H3569" s="12" t="s">
        <v>32</v>
      </c>
      <c r="I3569" s="12">
        <v>0</v>
      </c>
      <c r="J3569" s="12" t="s">
        <v>95</v>
      </c>
      <c r="K3569" s="12" t="s">
        <v>23</v>
      </c>
      <c r="L3569" s="12">
        <v>4</v>
      </c>
      <c r="M3569" s="15">
        <v>55308</v>
      </c>
      <c r="N3569" s="15">
        <v>0</v>
      </c>
      <c r="O3569" s="15">
        <f t="shared" si="312"/>
        <v>55308</v>
      </c>
      <c r="P3569" s="15">
        <f t="shared" si="311"/>
        <v>11</v>
      </c>
      <c r="Q3569" s="14">
        <v>5000</v>
      </c>
      <c r="R3569" s="12">
        <v>100</v>
      </c>
      <c r="S3569" s="12" t="s">
        <v>4355</v>
      </c>
      <c r="T3569" s="22">
        <f t="shared" si="308"/>
        <v>11</v>
      </c>
      <c r="U3569" s="22">
        <f t="shared" si="309"/>
        <v>2021</v>
      </c>
      <c r="V3569" s="22" t="str">
        <f t="shared" si="310"/>
        <v>METROPOLITANA</v>
      </c>
    </row>
    <row r="3570" spans="1:22" x14ac:dyDescent="0.2">
      <c r="A3570" s="11" t="s">
        <v>4344</v>
      </c>
      <c r="B3570" s="12" t="s">
        <v>33</v>
      </c>
      <c r="C3570" s="12" t="s">
        <v>44</v>
      </c>
      <c r="D3570" s="12" t="s">
        <v>47</v>
      </c>
      <c r="E3570" s="13" t="s">
        <v>1576</v>
      </c>
      <c r="F3570" s="12" t="s">
        <v>229</v>
      </c>
      <c r="G3570" s="14">
        <v>7263.4999999999991</v>
      </c>
      <c r="H3570" s="12" t="s">
        <v>22</v>
      </c>
      <c r="I3570" s="12">
        <v>0</v>
      </c>
      <c r="J3570" s="12" t="s">
        <v>230</v>
      </c>
      <c r="K3570" s="12" t="s">
        <v>23</v>
      </c>
      <c r="L3570" s="12">
        <v>4</v>
      </c>
      <c r="M3570" s="15">
        <v>79898</v>
      </c>
      <c r="N3570" s="15">
        <v>0</v>
      </c>
      <c r="O3570" s="15">
        <f t="shared" si="312"/>
        <v>79898</v>
      </c>
      <c r="P3570" s="15">
        <f t="shared" si="311"/>
        <v>10.99993116266263</v>
      </c>
      <c r="Q3570" s="14">
        <v>5000</v>
      </c>
      <c r="R3570" s="12">
        <v>100</v>
      </c>
      <c r="S3570" s="12" t="s">
        <v>4356</v>
      </c>
      <c r="T3570" s="22">
        <f t="shared" si="308"/>
        <v>11</v>
      </c>
      <c r="U3570" s="22">
        <f t="shared" si="309"/>
        <v>2021</v>
      </c>
      <c r="V3570" s="22" t="str">
        <f t="shared" si="310"/>
        <v>METROPOLITANA</v>
      </c>
    </row>
    <row r="3571" spans="1:22" x14ac:dyDescent="0.2">
      <c r="A3571" s="23" t="s">
        <v>4358</v>
      </c>
      <c r="B3571" s="22" t="s">
        <v>18</v>
      </c>
      <c r="C3571" s="22" t="s">
        <v>4310</v>
      </c>
      <c r="D3571" s="22" t="s">
        <v>3842</v>
      </c>
      <c r="E3571" s="24" t="s">
        <v>4359</v>
      </c>
      <c r="F3571" s="22" t="s">
        <v>691</v>
      </c>
      <c r="G3571" s="25">
        <v>19023.36</v>
      </c>
      <c r="H3571" s="22" t="s">
        <v>24</v>
      </c>
      <c r="I3571" s="22">
        <v>1</v>
      </c>
      <c r="J3571" s="22" t="s">
        <v>691</v>
      </c>
      <c r="K3571" s="22" t="s">
        <v>873</v>
      </c>
      <c r="L3571" s="22">
        <v>0</v>
      </c>
      <c r="M3571" s="26">
        <v>1020000</v>
      </c>
      <c r="N3571" s="26">
        <v>0</v>
      </c>
      <c r="O3571" s="15">
        <f t="shared" si="312"/>
        <v>1020000</v>
      </c>
      <c r="P3571" s="15">
        <f t="shared" si="311"/>
        <v>53.61828825191764</v>
      </c>
      <c r="Q3571" s="25">
        <v>20000</v>
      </c>
      <c r="R3571" s="22">
        <v>95</v>
      </c>
      <c r="S3571" s="22" t="s">
        <v>4360</v>
      </c>
      <c r="T3571" s="22">
        <f t="shared" si="308"/>
        <v>11</v>
      </c>
      <c r="U3571" s="22">
        <f t="shared" si="309"/>
        <v>2021</v>
      </c>
      <c r="V3571" s="22" t="str">
        <f t="shared" si="310"/>
        <v>REGIONES</v>
      </c>
    </row>
    <row r="3572" spans="1:22" x14ac:dyDescent="0.2">
      <c r="A3572" s="23" t="s">
        <v>4358</v>
      </c>
      <c r="B3572" s="22" t="s">
        <v>18</v>
      </c>
      <c r="C3572" s="22" t="s">
        <v>4310</v>
      </c>
      <c r="D3572" s="22" t="s">
        <v>4361</v>
      </c>
      <c r="E3572" s="24" t="s">
        <v>4362</v>
      </c>
      <c r="F3572" s="22" t="s">
        <v>3438</v>
      </c>
      <c r="G3572" s="25">
        <f>23865.26+4251</f>
        <v>28116.26</v>
      </c>
      <c r="H3572" s="22" t="s">
        <v>85</v>
      </c>
      <c r="I3572" s="22">
        <v>1</v>
      </c>
      <c r="J3572" s="22" t="s">
        <v>3438</v>
      </c>
      <c r="K3572" s="22" t="s">
        <v>93</v>
      </c>
      <c r="L3572" s="22">
        <v>0</v>
      </c>
      <c r="M3572" s="26">
        <v>620000</v>
      </c>
      <c r="N3572" s="26">
        <v>0</v>
      </c>
      <c r="O3572" s="15">
        <f t="shared" si="312"/>
        <v>620000</v>
      </c>
      <c r="P3572" s="15">
        <f t="shared" si="311"/>
        <v>22.051297007496732</v>
      </c>
      <c r="Q3572" s="25">
        <v>20000</v>
      </c>
      <c r="R3572" s="22">
        <v>100</v>
      </c>
      <c r="S3572" s="22" t="s">
        <v>4376</v>
      </c>
      <c r="T3572" s="22">
        <f t="shared" si="308"/>
        <v>11</v>
      </c>
      <c r="U3572" s="22">
        <f t="shared" si="309"/>
        <v>2021</v>
      </c>
      <c r="V3572" s="22" t="str">
        <f t="shared" si="310"/>
        <v>REGIONES</v>
      </c>
    </row>
    <row r="3573" spans="1:22" x14ac:dyDescent="0.2">
      <c r="A3573" s="23" t="s">
        <v>4358</v>
      </c>
      <c r="B3573" s="22" t="s">
        <v>18</v>
      </c>
      <c r="C3573" s="22" t="s">
        <v>4310</v>
      </c>
      <c r="D3573" s="22" t="s">
        <v>4363</v>
      </c>
      <c r="E3573" s="24" t="s">
        <v>126</v>
      </c>
      <c r="F3573" s="22" t="s">
        <v>3438</v>
      </c>
      <c r="G3573" s="25">
        <f>25781.14+907</f>
        <v>26688.14</v>
      </c>
      <c r="H3573" s="22" t="s">
        <v>24</v>
      </c>
      <c r="I3573" s="22">
        <v>1</v>
      </c>
      <c r="J3573" s="22" t="s">
        <v>3438</v>
      </c>
      <c r="K3573" s="22" t="s">
        <v>93</v>
      </c>
      <c r="L3573" s="22">
        <v>0</v>
      </c>
      <c r="M3573" s="26">
        <v>620000</v>
      </c>
      <c r="N3573" s="26">
        <v>0</v>
      </c>
      <c r="O3573" s="15">
        <f t="shared" si="312"/>
        <v>620000</v>
      </c>
      <c r="P3573" s="15">
        <f t="shared" si="311"/>
        <v>23.231293001310696</v>
      </c>
      <c r="Q3573" s="25">
        <v>20000</v>
      </c>
      <c r="R3573" s="22">
        <v>100</v>
      </c>
      <c r="S3573" s="22" t="s">
        <v>4377</v>
      </c>
      <c r="T3573" s="22">
        <f t="shared" si="308"/>
        <v>11</v>
      </c>
      <c r="U3573" s="22">
        <f t="shared" si="309"/>
        <v>2021</v>
      </c>
      <c r="V3573" s="22" t="str">
        <f t="shared" si="310"/>
        <v>REGIONES</v>
      </c>
    </row>
    <row r="3574" spans="1:22" x14ac:dyDescent="0.2">
      <c r="A3574" s="23" t="s">
        <v>4358</v>
      </c>
      <c r="B3574" s="22" t="s">
        <v>18</v>
      </c>
      <c r="C3574" s="22" t="s">
        <v>19</v>
      </c>
      <c r="D3574" s="22" t="s">
        <v>30</v>
      </c>
      <c r="E3574" s="24" t="s">
        <v>31</v>
      </c>
      <c r="F3574" s="22" t="s">
        <v>67</v>
      </c>
      <c r="G3574" s="25">
        <v>12914.23</v>
      </c>
      <c r="H3574" s="22" t="s">
        <v>32</v>
      </c>
      <c r="I3574" s="22">
        <v>0</v>
      </c>
      <c r="J3574" s="22" t="s">
        <v>67</v>
      </c>
      <c r="K3574" s="22" t="s">
        <v>23</v>
      </c>
      <c r="L3574" s="22">
        <v>2</v>
      </c>
      <c r="M3574" s="26">
        <v>142057</v>
      </c>
      <c r="N3574" s="26">
        <v>0</v>
      </c>
      <c r="O3574" s="15">
        <f t="shared" si="312"/>
        <v>142057</v>
      </c>
      <c r="P3574" s="15">
        <f t="shared" si="311"/>
        <v>11.00003639396232</v>
      </c>
      <c r="Q3574" s="25">
        <v>5000</v>
      </c>
      <c r="R3574" s="22">
        <v>100</v>
      </c>
      <c r="S3574" s="22" t="s">
        <v>4364</v>
      </c>
      <c r="T3574" s="22">
        <f t="shared" si="308"/>
        <v>11</v>
      </c>
      <c r="U3574" s="22">
        <f t="shared" si="309"/>
        <v>2021</v>
      </c>
      <c r="V3574" s="22" t="str">
        <f t="shared" si="310"/>
        <v>METROPOLITANA</v>
      </c>
    </row>
    <row r="3575" spans="1:22" x14ac:dyDescent="0.2">
      <c r="A3575" s="23" t="s">
        <v>4358</v>
      </c>
      <c r="B3575" s="22" t="s">
        <v>18</v>
      </c>
      <c r="C3575" s="22" t="s">
        <v>163</v>
      </c>
      <c r="D3575" s="22" t="s">
        <v>63</v>
      </c>
      <c r="E3575" s="24" t="s">
        <v>4365</v>
      </c>
      <c r="F3575" s="22" t="s">
        <v>165</v>
      </c>
      <c r="G3575" s="25">
        <v>15672.8</v>
      </c>
      <c r="H3575" s="22" t="s">
        <v>65</v>
      </c>
      <c r="I3575" s="22">
        <v>0</v>
      </c>
      <c r="J3575" s="22" t="s">
        <v>165</v>
      </c>
      <c r="K3575" s="22" t="s">
        <v>23</v>
      </c>
      <c r="L3575" s="22">
        <v>4</v>
      </c>
      <c r="M3575" s="26">
        <v>172401</v>
      </c>
      <c r="N3575" s="26">
        <v>0</v>
      </c>
      <c r="O3575" s="15">
        <f t="shared" si="312"/>
        <v>172401</v>
      </c>
      <c r="P3575" s="15">
        <f t="shared" si="311"/>
        <v>11.000012760961667</v>
      </c>
      <c r="Q3575" s="25">
        <v>5000</v>
      </c>
      <c r="R3575" s="22">
        <v>100</v>
      </c>
      <c r="S3575" s="22" t="s">
        <v>4366</v>
      </c>
      <c r="T3575" s="22">
        <f t="shared" si="308"/>
        <v>11</v>
      </c>
      <c r="U3575" s="22">
        <f t="shared" si="309"/>
        <v>2021</v>
      </c>
      <c r="V3575" s="22" t="str">
        <f t="shared" si="310"/>
        <v>METROPOLITANA</v>
      </c>
    </row>
    <row r="3576" spans="1:22" x14ac:dyDescent="0.2">
      <c r="A3576" s="23" t="s">
        <v>4358</v>
      </c>
      <c r="B3576" s="22" t="s">
        <v>33</v>
      </c>
      <c r="C3576" s="22" t="s">
        <v>270</v>
      </c>
      <c r="D3576" s="22" t="s">
        <v>37</v>
      </c>
      <c r="E3576" s="24" t="s">
        <v>40</v>
      </c>
      <c r="F3576" s="22" t="s">
        <v>120</v>
      </c>
      <c r="G3576" s="25">
        <v>8274</v>
      </c>
      <c r="H3576" s="22" t="s">
        <v>22</v>
      </c>
      <c r="I3576" s="22">
        <v>0</v>
      </c>
      <c r="J3576" s="22" t="s">
        <v>120</v>
      </c>
      <c r="K3576" s="22" t="s">
        <v>23</v>
      </c>
      <c r="L3576" s="22">
        <v>5</v>
      </c>
      <c r="M3576" s="26">
        <v>70000</v>
      </c>
      <c r="N3576" s="26">
        <v>0</v>
      </c>
      <c r="O3576" s="15">
        <f t="shared" si="312"/>
        <v>70000</v>
      </c>
      <c r="P3576" s="15">
        <f t="shared" si="311"/>
        <v>8.4602368866328259</v>
      </c>
      <c r="Q3576" s="25">
        <v>10000</v>
      </c>
      <c r="R3576" s="22">
        <v>83</v>
      </c>
      <c r="S3576" s="22" t="s">
        <v>4367</v>
      </c>
      <c r="T3576" s="22">
        <f t="shared" si="308"/>
        <v>11</v>
      </c>
      <c r="U3576" s="22">
        <f t="shared" si="309"/>
        <v>2021</v>
      </c>
      <c r="V3576" s="22" t="str">
        <f t="shared" si="310"/>
        <v>METROPOLITANA</v>
      </c>
    </row>
    <row r="3577" spans="1:22" x14ac:dyDescent="0.2">
      <c r="A3577" s="23" t="s">
        <v>4358</v>
      </c>
      <c r="B3577" s="22" t="s">
        <v>33</v>
      </c>
      <c r="C3577" s="22" t="s">
        <v>909</v>
      </c>
      <c r="D3577" s="22" t="s">
        <v>38</v>
      </c>
      <c r="E3577" s="24" t="s">
        <v>25</v>
      </c>
      <c r="F3577" s="22" t="s">
        <v>2919</v>
      </c>
      <c r="G3577" s="25">
        <v>11174.2</v>
      </c>
      <c r="H3577" s="22" t="s">
        <v>43</v>
      </c>
      <c r="I3577" s="22">
        <v>0</v>
      </c>
      <c r="J3577" s="22" t="s">
        <v>2919</v>
      </c>
      <c r="K3577" s="22" t="s">
        <v>23</v>
      </c>
      <c r="L3577" s="22">
        <v>3</v>
      </c>
      <c r="M3577" s="26">
        <v>122916</v>
      </c>
      <c r="N3577" s="26">
        <v>0</v>
      </c>
      <c r="O3577" s="15">
        <f t="shared" si="312"/>
        <v>122916</v>
      </c>
      <c r="P3577" s="15">
        <f t="shared" si="311"/>
        <v>10.999982101626962</v>
      </c>
      <c r="Q3577" s="25">
        <v>5000</v>
      </c>
      <c r="R3577" s="22">
        <v>100</v>
      </c>
      <c r="S3577" s="22" t="s">
        <v>4368</v>
      </c>
      <c r="T3577" s="22">
        <f t="shared" si="308"/>
        <v>11</v>
      </c>
      <c r="U3577" s="22">
        <f t="shared" si="309"/>
        <v>2021</v>
      </c>
      <c r="V3577" s="22" t="str">
        <f t="shared" si="310"/>
        <v>METROPOLITANA</v>
      </c>
    </row>
    <row r="3578" spans="1:22" x14ac:dyDescent="0.2">
      <c r="A3578" s="23" t="s">
        <v>4358</v>
      </c>
      <c r="B3578" s="22" t="s">
        <v>33</v>
      </c>
      <c r="C3578" s="22" t="s">
        <v>909</v>
      </c>
      <c r="D3578" s="22" t="s">
        <v>2955</v>
      </c>
      <c r="E3578" s="24" t="s">
        <v>4369</v>
      </c>
      <c r="F3578" s="22" t="s">
        <v>120</v>
      </c>
      <c r="G3578" s="25">
        <v>2970</v>
      </c>
      <c r="H3578" s="22" t="s">
        <v>24</v>
      </c>
      <c r="I3578" s="22">
        <v>1</v>
      </c>
      <c r="J3578" s="22" t="s">
        <v>120</v>
      </c>
      <c r="K3578" s="22" t="s">
        <v>23</v>
      </c>
      <c r="L3578" s="22">
        <v>5</v>
      </c>
      <c r="M3578" s="26">
        <v>120000</v>
      </c>
      <c r="N3578" s="26">
        <v>0</v>
      </c>
      <c r="O3578" s="15">
        <f t="shared" si="312"/>
        <v>120000</v>
      </c>
      <c r="P3578" s="15">
        <f t="shared" si="311"/>
        <v>40.404040404040401</v>
      </c>
      <c r="Q3578" s="25">
        <v>10000</v>
      </c>
      <c r="R3578" s="22">
        <v>30</v>
      </c>
      <c r="S3578" s="22" t="s">
        <v>4370</v>
      </c>
      <c r="T3578" s="22">
        <f t="shared" si="308"/>
        <v>11</v>
      </c>
      <c r="U3578" s="22">
        <f t="shared" si="309"/>
        <v>2021</v>
      </c>
      <c r="V3578" s="22" t="str">
        <f t="shared" si="310"/>
        <v>METROPOLITANA</v>
      </c>
    </row>
    <row r="3579" spans="1:22" x14ac:dyDescent="0.2">
      <c r="A3579" s="23" t="s">
        <v>4358</v>
      </c>
      <c r="B3579" s="22" t="s">
        <v>33</v>
      </c>
      <c r="C3579" s="22" t="s">
        <v>909</v>
      </c>
      <c r="D3579" s="22" t="s">
        <v>2955</v>
      </c>
      <c r="E3579" s="24" t="s">
        <v>2956</v>
      </c>
      <c r="F3579" s="22" t="s">
        <v>2919</v>
      </c>
      <c r="G3579" s="25">
        <v>5811</v>
      </c>
      <c r="H3579" s="22" t="s">
        <v>24</v>
      </c>
      <c r="I3579" s="22">
        <v>1</v>
      </c>
      <c r="J3579" s="22" t="s">
        <v>2919</v>
      </c>
      <c r="K3579" s="22" t="s">
        <v>23</v>
      </c>
      <c r="L3579" s="22">
        <v>3</v>
      </c>
      <c r="M3579" s="26">
        <v>63921</v>
      </c>
      <c r="N3579" s="26">
        <v>0</v>
      </c>
      <c r="O3579" s="15">
        <f t="shared" si="312"/>
        <v>63921</v>
      </c>
      <c r="P3579" s="15">
        <f t="shared" si="311"/>
        <v>11</v>
      </c>
      <c r="Q3579" s="25">
        <v>5000</v>
      </c>
      <c r="R3579" s="22">
        <v>100</v>
      </c>
      <c r="S3579" s="22" t="s">
        <v>4371</v>
      </c>
      <c r="T3579" s="22">
        <f t="shared" si="308"/>
        <v>11</v>
      </c>
      <c r="U3579" s="22">
        <f t="shared" si="309"/>
        <v>2021</v>
      </c>
      <c r="V3579" s="22" t="str">
        <f t="shared" si="310"/>
        <v>METROPOLITANA</v>
      </c>
    </row>
    <row r="3580" spans="1:22" x14ac:dyDescent="0.2">
      <c r="A3580" s="23" t="s">
        <v>4358</v>
      </c>
      <c r="B3580" s="22" t="s">
        <v>33</v>
      </c>
      <c r="C3580" s="22" t="s">
        <v>44</v>
      </c>
      <c r="D3580" s="22" t="s">
        <v>4372</v>
      </c>
      <c r="E3580" s="24" t="s">
        <v>4373</v>
      </c>
      <c r="F3580" s="22" t="s">
        <v>59</v>
      </c>
      <c r="G3580" s="25">
        <v>9614.360000000006</v>
      </c>
      <c r="H3580" s="22" t="s">
        <v>24</v>
      </c>
      <c r="I3580" s="22">
        <v>1</v>
      </c>
      <c r="J3580" s="22" t="s">
        <v>59</v>
      </c>
      <c r="K3580" s="22" t="s">
        <v>78</v>
      </c>
      <c r="L3580" s="22">
        <v>0</v>
      </c>
      <c r="M3580" s="26">
        <v>230000</v>
      </c>
      <c r="N3580" s="26">
        <v>0</v>
      </c>
      <c r="O3580" s="15">
        <f t="shared" si="312"/>
        <v>230000</v>
      </c>
      <c r="P3580" s="15">
        <f t="shared" si="311"/>
        <v>23.922549186841334</v>
      </c>
      <c r="Q3580" s="25">
        <v>20000</v>
      </c>
      <c r="R3580" s="22">
        <v>48</v>
      </c>
      <c r="S3580" s="22" t="s">
        <v>4374</v>
      </c>
      <c r="T3580" s="22">
        <f t="shared" si="308"/>
        <v>11</v>
      </c>
      <c r="U3580" s="22">
        <f t="shared" si="309"/>
        <v>2021</v>
      </c>
      <c r="V3580" s="22" t="str">
        <f t="shared" si="310"/>
        <v>REGIONES</v>
      </c>
    </row>
    <row r="3581" spans="1:22" x14ac:dyDescent="0.2">
      <c r="A3581" s="23" t="s">
        <v>4358</v>
      </c>
      <c r="B3581" s="22" t="s">
        <v>33</v>
      </c>
      <c r="C3581" s="22" t="s">
        <v>44</v>
      </c>
      <c r="D3581" s="22" t="s">
        <v>47</v>
      </c>
      <c r="E3581" s="24" t="s">
        <v>1576</v>
      </c>
      <c r="F3581" s="22" t="s">
        <v>48</v>
      </c>
      <c r="G3581" s="25">
        <v>8551.8000000000011</v>
      </c>
      <c r="H3581" s="22" t="s">
        <v>22</v>
      </c>
      <c r="I3581" s="22">
        <v>0</v>
      </c>
      <c r="J3581" s="22" t="s">
        <v>48</v>
      </c>
      <c r="K3581" s="22" t="s">
        <v>23</v>
      </c>
      <c r="L3581" s="22">
        <v>1</v>
      </c>
      <c r="M3581" s="26">
        <v>94070</v>
      </c>
      <c r="N3581" s="26">
        <v>0</v>
      </c>
      <c r="O3581" s="15">
        <f t="shared" si="312"/>
        <v>94070</v>
      </c>
      <c r="P3581" s="15">
        <f t="shared" si="311"/>
        <v>11.000023386889309</v>
      </c>
      <c r="Q3581" s="25">
        <v>5000</v>
      </c>
      <c r="R3581" s="22">
        <v>100</v>
      </c>
      <c r="S3581" s="22" t="s">
        <v>4375</v>
      </c>
      <c r="T3581" s="22">
        <f t="shared" si="308"/>
        <v>11</v>
      </c>
      <c r="U3581" s="22">
        <f t="shared" si="309"/>
        <v>2021</v>
      </c>
      <c r="V3581" s="22" t="str">
        <f t="shared" si="310"/>
        <v>METROPOLITANA</v>
      </c>
    </row>
    <row r="3582" spans="1:22" x14ac:dyDescent="0.2">
      <c r="A3582" s="11" t="s">
        <v>4378</v>
      </c>
      <c r="B3582" s="12" t="s">
        <v>18</v>
      </c>
      <c r="C3582" s="12" t="s">
        <v>4310</v>
      </c>
      <c r="D3582" s="12" t="s">
        <v>1869</v>
      </c>
      <c r="E3582" s="13" t="s">
        <v>1870</v>
      </c>
      <c r="F3582" s="12" t="s">
        <v>691</v>
      </c>
      <c r="G3582" s="14">
        <v>24843.679999999989</v>
      </c>
      <c r="H3582" s="12" t="s">
        <v>24</v>
      </c>
      <c r="I3582" s="12">
        <v>1</v>
      </c>
      <c r="J3582" s="12" t="s">
        <v>691</v>
      </c>
      <c r="K3582" s="12" t="s">
        <v>873</v>
      </c>
      <c r="L3582" s="12">
        <v>0</v>
      </c>
      <c r="M3582" s="15">
        <v>1020000</v>
      </c>
      <c r="N3582" s="15">
        <v>0</v>
      </c>
      <c r="O3582" s="15">
        <f t="shared" si="312"/>
        <v>1020000</v>
      </c>
      <c r="P3582" s="15">
        <f t="shared" si="311"/>
        <v>41.056719455410807</v>
      </c>
      <c r="Q3582" s="14">
        <v>20000</v>
      </c>
      <c r="R3582" s="12">
        <v>100</v>
      </c>
      <c r="S3582" s="12" t="s">
        <v>4379</v>
      </c>
      <c r="T3582" s="22">
        <f t="shared" si="308"/>
        <v>11</v>
      </c>
      <c r="U3582" s="22">
        <f t="shared" si="309"/>
        <v>2021</v>
      </c>
      <c r="V3582" s="22" t="str">
        <f t="shared" si="310"/>
        <v>REGIONES</v>
      </c>
    </row>
    <row r="3583" spans="1:22" x14ac:dyDescent="0.2">
      <c r="A3583" s="11" t="s">
        <v>4378</v>
      </c>
      <c r="B3583" s="12" t="s">
        <v>18</v>
      </c>
      <c r="C3583" s="12" t="s">
        <v>160</v>
      </c>
      <c r="D3583" s="12" t="s">
        <v>61</v>
      </c>
      <c r="E3583" s="13" t="s">
        <v>3920</v>
      </c>
      <c r="F3583" s="12" t="s">
        <v>84</v>
      </c>
      <c r="G3583" s="14">
        <v>23579.350000000009</v>
      </c>
      <c r="H3583" s="12" t="s">
        <v>85</v>
      </c>
      <c r="I3583" s="12">
        <v>1</v>
      </c>
      <c r="J3583" s="12" t="s">
        <v>84</v>
      </c>
      <c r="K3583" s="12" t="s">
        <v>86</v>
      </c>
      <c r="L3583" s="12">
        <v>0</v>
      </c>
      <c r="M3583" s="15">
        <v>320000</v>
      </c>
      <c r="N3583" s="15">
        <v>0</v>
      </c>
      <c r="O3583" s="15">
        <f t="shared" si="312"/>
        <v>320000</v>
      </c>
      <c r="P3583" s="15">
        <f t="shared" si="311"/>
        <v>13.571196831125535</v>
      </c>
      <c r="Q3583" s="14">
        <v>20000</v>
      </c>
      <c r="R3583" s="12">
        <v>100</v>
      </c>
      <c r="S3583" s="12" t="s">
        <v>4380</v>
      </c>
      <c r="T3583" s="22">
        <f t="shared" si="308"/>
        <v>11</v>
      </c>
      <c r="U3583" s="22">
        <f t="shared" si="309"/>
        <v>2021</v>
      </c>
      <c r="V3583" s="22" t="str">
        <f t="shared" si="310"/>
        <v>REGIONES</v>
      </c>
    </row>
    <row r="3584" spans="1:22" x14ac:dyDescent="0.2">
      <c r="A3584" s="11" t="s">
        <v>4378</v>
      </c>
      <c r="B3584" s="12" t="s">
        <v>18</v>
      </c>
      <c r="C3584" s="12" t="s">
        <v>19</v>
      </c>
      <c r="D3584" s="12" t="s">
        <v>2262</v>
      </c>
      <c r="E3584" s="13" t="s">
        <v>83</v>
      </c>
      <c r="F3584" s="12" t="s">
        <v>84</v>
      </c>
      <c r="G3584" s="14">
        <v>23790.85</v>
      </c>
      <c r="H3584" s="12" t="s">
        <v>24</v>
      </c>
      <c r="I3584" s="12">
        <v>1</v>
      </c>
      <c r="J3584" s="12" t="s">
        <v>84</v>
      </c>
      <c r="K3584" s="12" t="s">
        <v>86</v>
      </c>
      <c r="L3584" s="12">
        <v>0</v>
      </c>
      <c r="M3584" s="15">
        <v>320000</v>
      </c>
      <c r="N3584" s="15">
        <v>0</v>
      </c>
      <c r="O3584" s="15">
        <f t="shared" si="312"/>
        <v>320000</v>
      </c>
      <c r="P3584" s="15">
        <f t="shared" si="311"/>
        <v>13.45054926578916</v>
      </c>
      <c r="Q3584" s="14">
        <v>20000</v>
      </c>
      <c r="R3584" s="12">
        <v>100</v>
      </c>
      <c r="S3584" s="12" t="s">
        <v>4381</v>
      </c>
      <c r="T3584" s="22">
        <f t="shared" si="308"/>
        <v>11</v>
      </c>
      <c r="U3584" s="22">
        <f t="shared" si="309"/>
        <v>2021</v>
      </c>
      <c r="V3584" s="22" t="str">
        <f t="shared" si="310"/>
        <v>REGIONES</v>
      </c>
    </row>
    <row r="3585" spans="1:22" x14ac:dyDescent="0.2">
      <c r="A3585" s="11" t="s">
        <v>4378</v>
      </c>
      <c r="B3585" s="12" t="s">
        <v>18</v>
      </c>
      <c r="C3585" s="12" t="s">
        <v>19</v>
      </c>
      <c r="D3585" s="12" t="s">
        <v>37</v>
      </c>
      <c r="E3585" s="13" t="s">
        <v>4382</v>
      </c>
      <c r="F3585" s="12" t="s">
        <v>727</v>
      </c>
      <c r="G3585" s="14">
        <v>6956.0000000000009</v>
      </c>
      <c r="H3585" s="12" t="s">
        <v>22</v>
      </c>
      <c r="I3585" s="12">
        <v>0</v>
      </c>
      <c r="J3585" s="12" t="s">
        <v>727</v>
      </c>
      <c r="K3585" s="12" t="s">
        <v>23</v>
      </c>
      <c r="L3585" s="12">
        <v>2</v>
      </c>
      <c r="M3585" s="15">
        <v>76516</v>
      </c>
      <c r="N3585" s="15">
        <v>0</v>
      </c>
      <c r="O3585" s="15">
        <f t="shared" si="312"/>
        <v>76516</v>
      </c>
      <c r="P3585" s="15">
        <f t="shared" si="311"/>
        <v>10.999999999999998</v>
      </c>
      <c r="Q3585" s="14">
        <v>5000</v>
      </c>
      <c r="R3585" s="12">
        <v>100</v>
      </c>
      <c r="S3585" s="12" t="s">
        <v>4383</v>
      </c>
      <c r="T3585" s="22">
        <f t="shared" si="308"/>
        <v>11</v>
      </c>
      <c r="U3585" s="22">
        <f t="shared" si="309"/>
        <v>2021</v>
      </c>
      <c r="V3585" s="22" t="str">
        <f t="shared" si="310"/>
        <v>METROPOLITANA</v>
      </c>
    </row>
    <row r="3586" spans="1:22" x14ac:dyDescent="0.2">
      <c r="A3586" s="11" t="s">
        <v>4378</v>
      </c>
      <c r="B3586" s="12" t="s">
        <v>18</v>
      </c>
      <c r="C3586" s="12" t="s">
        <v>163</v>
      </c>
      <c r="D3586" s="12" t="s">
        <v>63</v>
      </c>
      <c r="E3586" s="13" t="s">
        <v>4365</v>
      </c>
      <c r="F3586" s="12" t="s">
        <v>165</v>
      </c>
      <c r="G3586" s="14">
        <v>15672.8</v>
      </c>
      <c r="H3586" s="12" t="s">
        <v>65</v>
      </c>
      <c r="I3586" s="12">
        <v>0</v>
      </c>
      <c r="J3586" s="12" t="s">
        <v>165</v>
      </c>
      <c r="K3586" s="12" t="s">
        <v>23</v>
      </c>
      <c r="L3586" s="12">
        <v>4</v>
      </c>
      <c r="M3586" s="15">
        <v>172401</v>
      </c>
      <c r="N3586" s="15">
        <v>0</v>
      </c>
      <c r="O3586" s="15">
        <f t="shared" si="312"/>
        <v>172401</v>
      </c>
      <c r="P3586" s="15">
        <f t="shared" si="311"/>
        <v>11.000012760961667</v>
      </c>
      <c r="Q3586" s="14">
        <v>5000</v>
      </c>
      <c r="R3586" s="12">
        <v>100</v>
      </c>
      <c r="S3586" s="12" t="s">
        <v>4384</v>
      </c>
      <c r="T3586" s="22">
        <f t="shared" si="308"/>
        <v>11</v>
      </c>
      <c r="U3586" s="22">
        <f t="shared" si="309"/>
        <v>2021</v>
      </c>
      <c r="V3586" s="22" t="str">
        <f t="shared" si="310"/>
        <v>METROPOLITANA</v>
      </c>
    </row>
    <row r="3587" spans="1:22" x14ac:dyDescent="0.2">
      <c r="A3587" s="11" t="s">
        <v>4378</v>
      </c>
      <c r="B3587" s="12" t="s">
        <v>33</v>
      </c>
      <c r="C3587" s="12" t="s">
        <v>163</v>
      </c>
      <c r="D3587" s="12" t="s">
        <v>30</v>
      </c>
      <c r="E3587" s="13" t="s">
        <v>31</v>
      </c>
      <c r="F3587" s="12" t="s">
        <v>165</v>
      </c>
      <c r="G3587" s="14">
        <v>17048.2</v>
      </c>
      <c r="H3587" s="12" t="s">
        <v>32</v>
      </c>
      <c r="I3587" s="12">
        <v>0</v>
      </c>
      <c r="J3587" s="12" t="s">
        <v>165</v>
      </c>
      <c r="K3587" s="12" t="s">
        <v>23</v>
      </c>
      <c r="L3587" s="12">
        <v>4</v>
      </c>
      <c r="M3587" s="15">
        <v>187530</v>
      </c>
      <c r="N3587" s="15">
        <v>0</v>
      </c>
      <c r="O3587" s="15">
        <f t="shared" si="312"/>
        <v>187530</v>
      </c>
      <c r="P3587" s="15">
        <f t="shared" si="311"/>
        <v>10.99998826855621</v>
      </c>
      <c r="Q3587" s="14">
        <v>5000</v>
      </c>
      <c r="R3587" s="12">
        <v>100</v>
      </c>
      <c r="S3587" s="12" t="s">
        <v>4385</v>
      </c>
      <c r="T3587" s="22">
        <f t="shared" si="308"/>
        <v>11</v>
      </c>
      <c r="U3587" s="22">
        <f t="shared" si="309"/>
        <v>2021</v>
      </c>
      <c r="V3587" s="22" t="str">
        <f t="shared" si="310"/>
        <v>METROPOLITANA</v>
      </c>
    </row>
    <row r="3588" spans="1:22" x14ac:dyDescent="0.2">
      <c r="A3588" s="11" t="s">
        <v>4378</v>
      </c>
      <c r="B3588" s="12" t="s">
        <v>33</v>
      </c>
      <c r="C3588" s="12" t="s">
        <v>29</v>
      </c>
      <c r="D3588" s="12" t="s">
        <v>38</v>
      </c>
      <c r="E3588" s="13" t="s">
        <v>25</v>
      </c>
      <c r="F3588" s="12" t="s">
        <v>39</v>
      </c>
      <c r="G3588" s="14">
        <v>2748</v>
      </c>
      <c r="H3588" s="12" t="s">
        <v>43</v>
      </c>
      <c r="I3588" s="12">
        <v>0</v>
      </c>
      <c r="J3588" s="12" t="s">
        <v>39</v>
      </c>
      <c r="K3588" s="12" t="s">
        <v>23</v>
      </c>
      <c r="L3588" s="12">
        <v>1</v>
      </c>
      <c r="M3588" s="15">
        <v>55000</v>
      </c>
      <c r="N3588" s="15">
        <v>0</v>
      </c>
      <c r="O3588" s="15">
        <f t="shared" si="312"/>
        <v>55000</v>
      </c>
      <c r="P3588" s="15">
        <f t="shared" si="311"/>
        <v>20.014556040756915</v>
      </c>
      <c r="Q3588" s="14">
        <v>5000</v>
      </c>
      <c r="R3588" s="12">
        <v>55</v>
      </c>
      <c r="S3588" s="12" t="s">
        <v>4386</v>
      </c>
      <c r="T3588" s="22">
        <f t="shared" si="308"/>
        <v>11</v>
      </c>
      <c r="U3588" s="22">
        <f t="shared" si="309"/>
        <v>2021</v>
      </c>
      <c r="V3588" s="22" t="str">
        <f t="shared" si="310"/>
        <v>METROPOLITANA</v>
      </c>
    </row>
    <row r="3589" spans="1:22" x14ac:dyDescent="0.2">
      <c r="A3589" s="11" t="s">
        <v>4378</v>
      </c>
      <c r="B3589" s="12" t="s">
        <v>33</v>
      </c>
      <c r="C3589" s="12" t="s">
        <v>29</v>
      </c>
      <c r="D3589" s="12" t="s">
        <v>2955</v>
      </c>
      <c r="E3589" s="13" t="s">
        <v>2956</v>
      </c>
      <c r="F3589" s="12" t="s">
        <v>173</v>
      </c>
      <c r="G3589" s="14">
        <v>12302.399999999991</v>
      </c>
      <c r="H3589" s="12" t="s">
        <v>24</v>
      </c>
      <c r="I3589" s="12">
        <v>1</v>
      </c>
      <c r="J3589" s="12" t="s">
        <v>173</v>
      </c>
      <c r="K3589" s="12" t="s">
        <v>23</v>
      </c>
      <c r="L3589" s="12">
        <v>5</v>
      </c>
      <c r="M3589" s="15">
        <v>120000</v>
      </c>
      <c r="N3589" s="15">
        <v>0</v>
      </c>
      <c r="O3589" s="15">
        <f t="shared" si="312"/>
        <v>120000</v>
      </c>
      <c r="P3589" s="15">
        <f t="shared" si="311"/>
        <v>9.7541943035505341</v>
      </c>
      <c r="Q3589" s="14">
        <v>10000</v>
      </c>
      <c r="R3589" s="12">
        <v>100</v>
      </c>
      <c r="S3589" s="12" t="s">
        <v>4387</v>
      </c>
      <c r="T3589" s="22">
        <f t="shared" si="308"/>
        <v>11</v>
      </c>
      <c r="U3589" s="22">
        <f t="shared" si="309"/>
        <v>2021</v>
      </c>
      <c r="V3589" s="22" t="str">
        <f t="shared" si="310"/>
        <v>METROPOLITANA</v>
      </c>
    </row>
    <row r="3590" spans="1:22" x14ac:dyDescent="0.2">
      <c r="A3590" s="11" t="s">
        <v>4378</v>
      </c>
      <c r="B3590" s="12" t="s">
        <v>33</v>
      </c>
      <c r="C3590" s="12" t="s">
        <v>29</v>
      </c>
      <c r="D3590" s="12" t="s">
        <v>164</v>
      </c>
      <c r="E3590" s="13" t="s">
        <v>28</v>
      </c>
      <c r="F3590" s="12" t="s">
        <v>173</v>
      </c>
      <c r="G3590" s="14">
        <v>12302.399999999991</v>
      </c>
      <c r="H3590" s="12" t="s">
        <v>22</v>
      </c>
      <c r="I3590" s="12">
        <v>1</v>
      </c>
      <c r="J3590" s="12" t="s">
        <v>173</v>
      </c>
      <c r="K3590" s="12" t="s">
        <v>23</v>
      </c>
      <c r="L3590" s="12">
        <v>5</v>
      </c>
      <c r="M3590" s="15">
        <v>120000</v>
      </c>
      <c r="N3590" s="15">
        <v>0</v>
      </c>
      <c r="O3590" s="15">
        <f t="shared" si="312"/>
        <v>120000</v>
      </c>
      <c r="P3590" s="15">
        <f t="shared" si="311"/>
        <v>9.7541943035505341</v>
      </c>
      <c r="Q3590" s="14">
        <v>10000</v>
      </c>
      <c r="R3590" s="12">
        <v>100</v>
      </c>
      <c r="S3590" s="12" t="s">
        <v>4388</v>
      </c>
      <c r="T3590" s="22">
        <f t="shared" si="308"/>
        <v>11</v>
      </c>
      <c r="U3590" s="22">
        <f t="shared" si="309"/>
        <v>2021</v>
      </c>
      <c r="V3590" s="22" t="str">
        <f t="shared" si="310"/>
        <v>METROPOLITANA</v>
      </c>
    </row>
    <row r="3591" spans="1:22" x14ac:dyDescent="0.2">
      <c r="A3591" s="11" t="s">
        <v>4378</v>
      </c>
      <c r="B3591" s="12" t="s">
        <v>33</v>
      </c>
      <c r="C3591" s="12" t="s">
        <v>29</v>
      </c>
      <c r="D3591" s="12" t="s">
        <v>164</v>
      </c>
      <c r="E3591" s="13" t="s">
        <v>28</v>
      </c>
      <c r="F3591" s="12" t="s">
        <v>39</v>
      </c>
      <c r="G3591" s="14">
        <v>19393.400000000009</v>
      </c>
      <c r="H3591" s="12" t="s">
        <v>22</v>
      </c>
      <c r="I3591" s="12">
        <v>1</v>
      </c>
      <c r="J3591" s="12" t="s">
        <v>39</v>
      </c>
      <c r="K3591" s="12" t="s">
        <v>23</v>
      </c>
      <c r="L3591" s="12">
        <v>1</v>
      </c>
      <c r="M3591" s="15">
        <v>213327</v>
      </c>
      <c r="N3591" s="15">
        <v>0</v>
      </c>
      <c r="O3591" s="15">
        <f t="shared" si="312"/>
        <v>213327</v>
      </c>
      <c r="P3591" s="15">
        <f t="shared" si="311"/>
        <v>10.999979374426346</v>
      </c>
      <c r="Q3591" s="14">
        <v>5000</v>
      </c>
      <c r="R3591" s="12">
        <v>100</v>
      </c>
      <c r="S3591" s="12" t="s">
        <v>4389</v>
      </c>
      <c r="T3591" s="22">
        <f t="shared" si="308"/>
        <v>11</v>
      </c>
      <c r="U3591" s="22">
        <f t="shared" si="309"/>
        <v>2021</v>
      </c>
      <c r="V3591" s="22" t="str">
        <f t="shared" si="310"/>
        <v>METROPOLITANA</v>
      </c>
    </row>
    <row r="3592" spans="1:22" x14ac:dyDescent="0.2">
      <c r="A3592" s="11" t="s">
        <v>4378</v>
      </c>
      <c r="B3592" s="12" t="s">
        <v>33</v>
      </c>
      <c r="C3592" s="12" t="s">
        <v>44</v>
      </c>
      <c r="D3592" s="12" t="s">
        <v>30</v>
      </c>
      <c r="E3592" s="13" t="s">
        <v>31</v>
      </c>
      <c r="F3592" s="12" t="s">
        <v>94</v>
      </c>
      <c r="G3592" s="14">
        <v>8192.1999999999989</v>
      </c>
      <c r="H3592" s="12" t="s">
        <v>32</v>
      </c>
      <c r="I3592" s="12">
        <v>0</v>
      </c>
      <c r="J3592" s="12" t="s">
        <v>59</v>
      </c>
      <c r="K3592" s="12" t="s">
        <v>78</v>
      </c>
      <c r="L3592" s="12">
        <v>0</v>
      </c>
      <c r="M3592" s="15">
        <v>180000</v>
      </c>
      <c r="N3592" s="15">
        <v>0</v>
      </c>
      <c r="O3592" s="15">
        <f t="shared" si="312"/>
        <v>180000</v>
      </c>
      <c r="P3592" s="15">
        <f t="shared" si="311"/>
        <v>21.972119821293429</v>
      </c>
      <c r="Q3592" s="14">
        <v>20000</v>
      </c>
      <c r="R3592" s="12">
        <v>41</v>
      </c>
      <c r="S3592" s="12" t="s">
        <v>4390</v>
      </c>
      <c r="T3592" s="22">
        <f t="shared" ref="T3592:T3655" si="313">MONTH(A3592)</f>
        <v>11</v>
      </c>
      <c r="U3592" s="22">
        <f t="shared" ref="U3592:U3655" si="314">YEAR(A3592)</f>
        <v>2021</v>
      </c>
      <c r="V3592" s="22" t="str">
        <f t="shared" ref="V3592:V3655" si="315">IF(K3592="METROPOLITANA DE SANTIAGO","METROPOLITANA","REGIONES")</f>
        <v>REGIONES</v>
      </c>
    </row>
    <row r="3593" spans="1:22" x14ac:dyDescent="0.2">
      <c r="A3593" s="11" t="s">
        <v>4378</v>
      </c>
      <c r="B3593" s="12" t="s">
        <v>33</v>
      </c>
      <c r="C3593" s="12" t="s">
        <v>44</v>
      </c>
      <c r="D3593" s="12" t="s">
        <v>47</v>
      </c>
      <c r="E3593" s="13" t="s">
        <v>1576</v>
      </c>
      <c r="F3593" s="12" t="s">
        <v>48</v>
      </c>
      <c r="G3593" s="14">
        <v>5181.2</v>
      </c>
      <c r="H3593" s="12" t="s">
        <v>22</v>
      </c>
      <c r="I3593" s="12">
        <v>0</v>
      </c>
      <c r="J3593" s="12" t="s">
        <v>48</v>
      </c>
      <c r="K3593" s="12" t="s">
        <v>23</v>
      </c>
      <c r="L3593" s="12">
        <v>1</v>
      </c>
      <c r="M3593" s="15">
        <v>56993</v>
      </c>
      <c r="N3593" s="15">
        <v>0</v>
      </c>
      <c r="O3593" s="15">
        <f t="shared" si="312"/>
        <v>56993</v>
      </c>
      <c r="P3593" s="15">
        <f t="shared" si="311"/>
        <v>10.999961398903729</v>
      </c>
      <c r="Q3593" s="14">
        <v>5000</v>
      </c>
      <c r="R3593" s="12">
        <v>100</v>
      </c>
      <c r="S3593" s="12" t="s">
        <v>4391</v>
      </c>
      <c r="T3593" s="22">
        <f t="shared" si="313"/>
        <v>11</v>
      </c>
      <c r="U3593" s="22">
        <f t="shared" si="314"/>
        <v>2021</v>
      </c>
      <c r="V3593" s="22" t="str">
        <f t="shared" si="315"/>
        <v>METROPOLITANA</v>
      </c>
    </row>
    <row r="3594" spans="1:22" x14ac:dyDescent="0.2">
      <c r="A3594" s="23" t="s">
        <v>4392</v>
      </c>
      <c r="B3594" s="22" t="s">
        <v>18</v>
      </c>
      <c r="C3594" s="22" t="s">
        <v>500</v>
      </c>
      <c r="D3594" s="22" t="s">
        <v>164</v>
      </c>
      <c r="E3594" s="24" t="s">
        <v>28</v>
      </c>
      <c r="F3594" s="22" t="s">
        <v>120</v>
      </c>
      <c r="G3594" s="25">
        <v>20454.639999999989</v>
      </c>
      <c r="H3594" s="22" t="s">
        <v>22</v>
      </c>
      <c r="I3594" s="22">
        <v>1</v>
      </c>
      <c r="J3594" s="22" t="s">
        <v>120</v>
      </c>
      <c r="K3594" s="22" t="s">
        <v>23</v>
      </c>
      <c r="L3594" s="22">
        <v>5</v>
      </c>
      <c r="M3594" s="26">
        <v>120000</v>
      </c>
      <c r="N3594" s="26">
        <v>0</v>
      </c>
      <c r="O3594" s="15">
        <f t="shared" si="312"/>
        <v>120000</v>
      </c>
      <c r="P3594" s="15">
        <f t="shared" si="311"/>
        <v>5.8666395497549733</v>
      </c>
      <c r="Q3594" s="25">
        <v>10000</v>
      </c>
      <c r="R3594" s="22">
        <v>100</v>
      </c>
      <c r="S3594" s="22" t="s">
        <v>4393</v>
      </c>
      <c r="T3594" s="22">
        <f t="shared" si="313"/>
        <v>11</v>
      </c>
      <c r="U3594" s="22">
        <f t="shared" si="314"/>
        <v>2021</v>
      </c>
      <c r="V3594" s="22" t="str">
        <f t="shared" si="315"/>
        <v>METROPOLITANA</v>
      </c>
    </row>
    <row r="3595" spans="1:22" x14ac:dyDescent="0.2">
      <c r="A3595" s="23" t="s">
        <v>4392</v>
      </c>
      <c r="B3595" s="22" t="s">
        <v>18</v>
      </c>
      <c r="C3595" s="22" t="s">
        <v>4310</v>
      </c>
      <c r="D3595" s="22" t="s">
        <v>4247</v>
      </c>
      <c r="E3595" s="24" t="s">
        <v>62</v>
      </c>
      <c r="F3595" s="22" t="s">
        <v>691</v>
      </c>
      <c r="G3595" s="25">
        <v>15082.420000000009</v>
      </c>
      <c r="H3595" s="22" t="s">
        <v>24</v>
      </c>
      <c r="I3595" s="22">
        <v>1</v>
      </c>
      <c r="J3595" s="22" t="s">
        <v>691</v>
      </c>
      <c r="K3595" s="22" t="s">
        <v>873</v>
      </c>
      <c r="L3595" s="22">
        <v>0</v>
      </c>
      <c r="M3595" s="26">
        <v>1020000</v>
      </c>
      <c r="N3595" s="26">
        <v>0</v>
      </c>
      <c r="O3595" s="15">
        <f t="shared" si="312"/>
        <v>1020000</v>
      </c>
      <c r="P3595" s="15">
        <f t="shared" si="311"/>
        <v>67.628404460292145</v>
      </c>
      <c r="Q3595" s="25">
        <v>20000</v>
      </c>
      <c r="R3595" s="22">
        <v>75</v>
      </c>
      <c r="S3595" s="22" t="s">
        <v>4394</v>
      </c>
      <c r="T3595" s="22">
        <f t="shared" si="313"/>
        <v>11</v>
      </c>
      <c r="U3595" s="22">
        <f t="shared" si="314"/>
        <v>2021</v>
      </c>
      <c r="V3595" s="22" t="str">
        <f t="shared" si="315"/>
        <v>REGIONES</v>
      </c>
    </row>
    <row r="3596" spans="1:22" x14ac:dyDescent="0.2">
      <c r="A3596" s="23" t="s">
        <v>4392</v>
      </c>
      <c r="B3596" s="22" t="s">
        <v>18</v>
      </c>
      <c r="C3596" s="22" t="s">
        <v>4310</v>
      </c>
      <c r="D3596" s="22" t="s">
        <v>4395</v>
      </c>
      <c r="E3596" s="24" t="s">
        <v>4396</v>
      </c>
      <c r="F3596" s="22" t="s">
        <v>3438</v>
      </c>
      <c r="G3596" s="25">
        <v>13996.48</v>
      </c>
      <c r="H3596" s="22" t="s">
        <v>24</v>
      </c>
      <c r="I3596" s="22">
        <v>1</v>
      </c>
      <c r="J3596" s="22" t="s">
        <v>3438</v>
      </c>
      <c r="K3596" s="22" t="s">
        <v>93</v>
      </c>
      <c r="L3596" s="22">
        <v>0</v>
      </c>
      <c r="M3596" s="26">
        <v>620000</v>
      </c>
      <c r="N3596" s="26">
        <v>0</v>
      </c>
      <c r="O3596" s="15">
        <f t="shared" si="312"/>
        <v>620000</v>
      </c>
      <c r="P3596" s="15">
        <f t="shared" si="311"/>
        <v>44.296851779876086</v>
      </c>
      <c r="Q3596" s="25">
        <v>20000</v>
      </c>
      <c r="R3596" s="22">
        <v>70</v>
      </c>
      <c r="S3596" s="22" t="s">
        <v>4397</v>
      </c>
      <c r="T3596" s="22">
        <f t="shared" si="313"/>
        <v>11</v>
      </c>
      <c r="U3596" s="22">
        <f t="shared" si="314"/>
        <v>2021</v>
      </c>
      <c r="V3596" s="22" t="str">
        <f t="shared" si="315"/>
        <v>REGIONES</v>
      </c>
    </row>
    <row r="3597" spans="1:22" x14ac:dyDescent="0.2">
      <c r="A3597" s="23" t="s">
        <v>4392</v>
      </c>
      <c r="B3597" s="22" t="s">
        <v>18</v>
      </c>
      <c r="C3597" s="22" t="s">
        <v>19</v>
      </c>
      <c r="D3597" s="22" t="s">
        <v>37</v>
      </c>
      <c r="E3597" s="24" t="s">
        <v>40</v>
      </c>
      <c r="F3597" s="22" t="s">
        <v>727</v>
      </c>
      <c r="G3597" s="25">
        <v>10123.049999999999</v>
      </c>
      <c r="H3597" s="22" t="s">
        <v>22</v>
      </c>
      <c r="I3597" s="22">
        <v>0</v>
      </c>
      <c r="J3597" s="22" t="s">
        <v>727</v>
      </c>
      <c r="K3597" s="22" t="s">
        <v>23</v>
      </c>
      <c r="L3597" s="22">
        <v>2</v>
      </c>
      <c r="M3597" s="26">
        <v>111354</v>
      </c>
      <c r="N3597" s="26">
        <v>0</v>
      </c>
      <c r="O3597" s="15">
        <f t="shared" si="312"/>
        <v>111354</v>
      </c>
      <c r="P3597" s="15">
        <f t="shared" si="311"/>
        <v>11.000044453005765</v>
      </c>
      <c r="Q3597" s="25">
        <v>5000</v>
      </c>
      <c r="R3597" s="22">
        <v>100</v>
      </c>
      <c r="S3597" s="22" t="s">
        <v>4398</v>
      </c>
      <c r="T3597" s="22">
        <f t="shared" si="313"/>
        <v>11</v>
      </c>
      <c r="U3597" s="22">
        <f t="shared" si="314"/>
        <v>2021</v>
      </c>
      <c r="V3597" s="22" t="str">
        <f t="shared" si="315"/>
        <v>METROPOLITANA</v>
      </c>
    </row>
    <row r="3598" spans="1:22" x14ac:dyDescent="0.2">
      <c r="A3598" s="23" t="s">
        <v>4392</v>
      </c>
      <c r="B3598" s="22" t="s">
        <v>18</v>
      </c>
      <c r="C3598" s="22" t="s">
        <v>163</v>
      </c>
      <c r="D3598" s="22" t="s">
        <v>63</v>
      </c>
      <c r="E3598" s="24" t="s">
        <v>64</v>
      </c>
      <c r="F3598" s="22" t="s">
        <v>165</v>
      </c>
      <c r="G3598" s="25">
        <v>15672.8</v>
      </c>
      <c r="H3598" s="22" t="s">
        <v>65</v>
      </c>
      <c r="I3598" s="22">
        <v>0</v>
      </c>
      <c r="J3598" s="22" t="s">
        <v>165</v>
      </c>
      <c r="K3598" s="22" t="s">
        <v>23</v>
      </c>
      <c r="L3598" s="22">
        <v>4</v>
      </c>
      <c r="M3598" s="26">
        <v>172401</v>
      </c>
      <c r="N3598" s="26">
        <v>0</v>
      </c>
      <c r="O3598" s="15">
        <f t="shared" si="312"/>
        <v>172401</v>
      </c>
      <c r="P3598" s="15">
        <f t="shared" si="311"/>
        <v>11.000012760961667</v>
      </c>
      <c r="Q3598" s="25">
        <v>5000</v>
      </c>
      <c r="R3598" s="22">
        <v>100</v>
      </c>
      <c r="S3598" s="22" t="s">
        <v>4399</v>
      </c>
      <c r="T3598" s="22">
        <f t="shared" si="313"/>
        <v>11</v>
      </c>
      <c r="U3598" s="22">
        <f t="shared" si="314"/>
        <v>2021</v>
      </c>
      <c r="V3598" s="22" t="str">
        <f t="shared" si="315"/>
        <v>METROPOLITANA</v>
      </c>
    </row>
    <row r="3599" spans="1:22" x14ac:dyDescent="0.2">
      <c r="A3599" s="23" t="s">
        <v>4392</v>
      </c>
      <c r="B3599" s="22" t="s">
        <v>18</v>
      </c>
      <c r="C3599" s="22" t="s">
        <v>4400</v>
      </c>
      <c r="D3599" s="22" t="s">
        <v>41</v>
      </c>
      <c r="E3599" s="24" t="s">
        <v>25</v>
      </c>
      <c r="F3599" s="22" t="s">
        <v>452</v>
      </c>
      <c r="G3599" s="25">
        <v>10700.42</v>
      </c>
      <c r="H3599" s="22" t="s">
        <v>43</v>
      </c>
      <c r="I3599" s="22">
        <v>0</v>
      </c>
      <c r="J3599" s="22" t="s">
        <v>452</v>
      </c>
      <c r="K3599" s="22" t="s">
        <v>171</v>
      </c>
      <c r="L3599" s="22">
        <v>0</v>
      </c>
      <c r="M3599" s="26">
        <v>230000</v>
      </c>
      <c r="N3599" s="26">
        <v>0</v>
      </c>
      <c r="O3599" s="15">
        <f t="shared" si="312"/>
        <v>230000</v>
      </c>
      <c r="P3599" s="15">
        <f t="shared" si="311"/>
        <v>21.494483394109764</v>
      </c>
      <c r="Q3599" s="25">
        <v>20000</v>
      </c>
      <c r="R3599" s="22">
        <v>54</v>
      </c>
      <c r="S3599" s="22" t="s">
        <v>4401</v>
      </c>
      <c r="T3599" s="22">
        <f t="shared" si="313"/>
        <v>11</v>
      </c>
      <c r="U3599" s="22">
        <f t="shared" si="314"/>
        <v>2021</v>
      </c>
      <c r="V3599" s="22" t="str">
        <f t="shared" si="315"/>
        <v>REGIONES</v>
      </c>
    </row>
    <row r="3600" spans="1:22" x14ac:dyDescent="0.2">
      <c r="A3600" s="23" t="s">
        <v>4392</v>
      </c>
      <c r="B3600" s="22" t="s">
        <v>33</v>
      </c>
      <c r="C3600" s="22" t="s">
        <v>60</v>
      </c>
      <c r="D3600" s="22" t="s">
        <v>45</v>
      </c>
      <c r="E3600" s="24" t="s">
        <v>52</v>
      </c>
      <c r="F3600" s="22" t="s">
        <v>51</v>
      </c>
      <c r="G3600" s="25">
        <v>6753.5999999999995</v>
      </c>
      <c r="H3600" s="22" t="s">
        <v>22</v>
      </c>
      <c r="I3600" s="22">
        <v>0</v>
      </c>
      <c r="J3600" s="22" t="s">
        <v>51</v>
      </c>
      <c r="K3600" s="22" t="s">
        <v>23</v>
      </c>
      <c r="L3600" s="22">
        <v>4</v>
      </c>
      <c r="M3600" s="26">
        <v>74290</v>
      </c>
      <c r="N3600" s="26">
        <v>0</v>
      </c>
      <c r="O3600" s="15">
        <f t="shared" si="312"/>
        <v>74290</v>
      </c>
      <c r="P3600" s="15">
        <f t="shared" si="311"/>
        <v>11.000059227671169</v>
      </c>
      <c r="Q3600" s="25">
        <v>5000</v>
      </c>
      <c r="R3600" s="22">
        <v>100</v>
      </c>
      <c r="S3600" s="22" t="s">
        <v>4402</v>
      </c>
      <c r="T3600" s="22">
        <f t="shared" si="313"/>
        <v>11</v>
      </c>
      <c r="U3600" s="22">
        <f t="shared" si="314"/>
        <v>2021</v>
      </c>
      <c r="V3600" s="22" t="str">
        <f t="shared" si="315"/>
        <v>METROPOLITANA</v>
      </c>
    </row>
    <row r="3601" spans="1:22" x14ac:dyDescent="0.2">
      <c r="A3601" s="23" t="s">
        <v>4392</v>
      </c>
      <c r="B3601" s="22" t="s">
        <v>33</v>
      </c>
      <c r="C3601" s="22" t="s">
        <v>60</v>
      </c>
      <c r="D3601" s="22" t="s">
        <v>47</v>
      </c>
      <c r="E3601" s="24" t="s">
        <v>1576</v>
      </c>
      <c r="F3601" s="22" t="s">
        <v>51</v>
      </c>
      <c r="G3601" s="25">
        <v>6753.5999999999995</v>
      </c>
      <c r="H3601" s="22" t="s">
        <v>22</v>
      </c>
      <c r="I3601" s="22">
        <v>0</v>
      </c>
      <c r="J3601" s="22" t="s">
        <v>51</v>
      </c>
      <c r="K3601" s="22" t="s">
        <v>23</v>
      </c>
      <c r="L3601" s="22">
        <v>4</v>
      </c>
      <c r="M3601" s="26">
        <v>74290</v>
      </c>
      <c r="N3601" s="26">
        <v>0</v>
      </c>
      <c r="O3601" s="15">
        <f t="shared" si="312"/>
        <v>74290</v>
      </c>
      <c r="P3601" s="15">
        <f t="shared" si="311"/>
        <v>11.000059227671169</v>
      </c>
      <c r="Q3601" s="25">
        <v>5000</v>
      </c>
      <c r="R3601" s="22">
        <v>100</v>
      </c>
      <c r="S3601" s="22" t="s">
        <v>4403</v>
      </c>
      <c r="T3601" s="22">
        <f t="shared" si="313"/>
        <v>11</v>
      </c>
      <c r="U3601" s="22">
        <f t="shared" si="314"/>
        <v>2021</v>
      </c>
      <c r="V3601" s="22" t="str">
        <f t="shared" si="315"/>
        <v>METROPOLITANA</v>
      </c>
    </row>
    <row r="3602" spans="1:22" x14ac:dyDescent="0.2">
      <c r="A3602" s="23" t="s">
        <v>4392</v>
      </c>
      <c r="B3602" s="22" t="s">
        <v>33</v>
      </c>
      <c r="C3602" s="22" t="s">
        <v>163</v>
      </c>
      <c r="D3602" s="22" t="s">
        <v>30</v>
      </c>
      <c r="E3602" s="24" t="s">
        <v>4404</v>
      </c>
      <c r="F3602" s="22" t="s">
        <v>165</v>
      </c>
      <c r="G3602" s="25">
        <v>9551.1000000000022</v>
      </c>
      <c r="H3602" s="22" t="s">
        <v>32</v>
      </c>
      <c r="I3602" s="22">
        <v>0</v>
      </c>
      <c r="J3602" s="22" t="s">
        <v>165</v>
      </c>
      <c r="K3602" s="22" t="s">
        <v>23</v>
      </c>
      <c r="L3602" s="22">
        <v>4</v>
      </c>
      <c r="M3602" s="26">
        <v>105062</v>
      </c>
      <c r="N3602" s="26">
        <v>0</v>
      </c>
      <c r="O3602" s="15">
        <f t="shared" si="312"/>
        <v>105062</v>
      </c>
      <c r="P3602" s="15">
        <f t="shared" si="311"/>
        <v>10.999989530001777</v>
      </c>
      <c r="Q3602" s="25">
        <v>5000</v>
      </c>
      <c r="R3602" s="22">
        <v>100</v>
      </c>
      <c r="S3602" s="22" t="s">
        <v>4405</v>
      </c>
      <c r="T3602" s="22">
        <f t="shared" si="313"/>
        <v>11</v>
      </c>
      <c r="U3602" s="22">
        <f t="shared" si="314"/>
        <v>2021</v>
      </c>
      <c r="V3602" s="22" t="str">
        <f t="shared" si="315"/>
        <v>METROPOLITANA</v>
      </c>
    </row>
    <row r="3603" spans="1:22" x14ac:dyDescent="0.2">
      <c r="A3603" s="23" t="s">
        <v>4392</v>
      </c>
      <c r="B3603" s="22" t="s">
        <v>33</v>
      </c>
      <c r="C3603" s="22" t="s">
        <v>29</v>
      </c>
      <c r="D3603" s="22" t="s">
        <v>38</v>
      </c>
      <c r="E3603" s="24" t="s">
        <v>25</v>
      </c>
      <c r="F3603" s="22" t="s">
        <v>39</v>
      </c>
      <c r="G3603" s="25">
        <v>2748</v>
      </c>
      <c r="H3603" s="22" t="s">
        <v>43</v>
      </c>
      <c r="I3603" s="22">
        <v>0</v>
      </c>
      <c r="J3603" s="22" t="s">
        <v>39</v>
      </c>
      <c r="K3603" s="22" t="s">
        <v>23</v>
      </c>
      <c r="L3603" s="22">
        <v>1</v>
      </c>
      <c r="M3603" s="26">
        <v>55000</v>
      </c>
      <c r="N3603" s="26">
        <v>0</v>
      </c>
      <c r="O3603" s="15">
        <f t="shared" si="312"/>
        <v>55000</v>
      </c>
      <c r="P3603" s="15">
        <f t="shared" si="311"/>
        <v>20.014556040756915</v>
      </c>
      <c r="Q3603" s="25">
        <v>5000</v>
      </c>
      <c r="R3603" s="22">
        <v>55</v>
      </c>
      <c r="S3603" s="22" t="s">
        <v>4406</v>
      </c>
      <c r="T3603" s="22">
        <f t="shared" si="313"/>
        <v>11</v>
      </c>
      <c r="U3603" s="22">
        <f t="shared" si="314"/>
        <v>2021</v>
      </c>
      <c r="V3603" s="22" t="str">
        <f t="shared" si="315"/>
        <v>METROPOLITANA</v>
      </c>
    </row>
    <row r="3604" spans="1:22" x14ac:dyDescent="0.2">
      <c r="A3604" s="23" t="s">
        <v>4392</v>
      </c>
      <c r="B3604" s="22" t="s">
        <v>33</v>
      </c>
      <c r="C3604" s="22" t="s">
        <v>29</v>
      </c>
      <c r="D3604" s="22" t="s">
        <v>37</v>
      </c>
      <c r="E3604" s="24" t="s">
        <v>40</v>
      </c>
      <c r="F3604" s="22" t="s">
        <v>39</v>
      </c>
      <c r="G3604" s="25">
        <v>2748</v>
      </c>
      <c r="H3604" s="22" t="s">
        <v>22</v>
      </c>
      <c r="I3604" s="22">
        <v>0</v>
      </c>
      <c r="J3604" s="22" t="s">
        <v>39</v>
      </c>
      <c r="K3604" s="22" t="s">
        <v>23</v>
      </c>
      <c r="L3604" s="22">
        <v>1</v>
      </c>
      <c r="M3604" s="26">
        <v>55000</v>
      </c>
      <c r="N3604" s="26">
        <v>0</v>
      </c>
      <c r="O3604" s="15">
        <f t="shared" si="312"/>
        <v>55000</v>
      </c>
      <c r="P3604" s="15">
        <f t="shared" si="311"/>
        <v>20.014556040756915</v>
      </c>
      <c r="Q3604" s="25">
        <v>5000</v>
      </c>
      <c r="R3604" s="22">
        <v>55</v>
      </c>
      <c r="S3604" s="22" t="s">
        <v>4407</v>
      </c>
      <c r="T3604" s="22">
        <f t="shared" si="313"/>
        <v>11</v>
      </c>
      <c r="U3604" s="22">
        <f t="shared" si="314"/>
        <v>2021</v>
      </c>
      <c r="V3604" s="22" t="str">
        <f t="shared" si="315"/>
        <v>METROPOLITANA</v>
      </c>
    </row>
    <row r="3605" spans="1:22" x14ac:dyDescent="0.2">
      <c r="A3605" s="23" t="s">
        <v>4392</v>
      </c>
      <c r="B3605" s="22" t="s">
        <v>33</v>
      </c>
      <c r="C3605" s="22" t="s">
        <v>29</v>
      </c>
      <c r="D3605" s="22" t="s">
        <v>27</v>
      </c>
      <c r="E3605" s="24" t="s">
        <v>28</v>
      </c>
      <c r="F3605" s="22" t="s">
        <v>39</v>
      </c>
      <c r="G3605" s="25">
        <v>8244.0000000000036</v>
      </c>
      <c r="H3605" s="22" t="s">
        <v>22</v>
      </c>
      <c r="I3605" s="22">
        <v>1</v>
      </c>
      <c r="J3605" s="22" t="s">
        <v>39</v>
      </c>
      <c r="K3605" s="22" t="s">
        <v>23</v>
      </c>
      <c r="L3605" s="22">
        <v>1</v>
      </c>
      <c r="M3605" s="26">
        <v>90684</v>
      </c>
      <c r="N3605" s="26">
        <v>0</v>
      </c>
      <c r="O3605" s="15">
        <f t="shared" si="312"/>
        <v>90684</v>
      </c>
      <c r="P3605" s="15">
        <f t="shared" si="311"/>
        <v>10.999999999999995</v>
      </c>
      <c r="Q3605" s="25">
        <v>5000</v>
      </c>
      <c r="R3605" s="22">
        <v>100</v>
      </c>
      <c r="S3605" s="22" t="s">
        <v>4408</v>
      </c>
      <c r="T3605" s="22">
        <f t="shared" si="313"/>
        <v>11</v>
      </c>
      <c r="U3605" s="22">
        <f t="shared" si="314"/>
        <v>2021</v>
      </c>
      <c r="V3605" s="22" t="str">
        <f t="shared" si="315"/>
        <v>METROPOLITANA</v>
      </c>
    </row>
    <row r="3606" spans="1:22" x14ac:dyDescent="0.2">
      <c r="A3606" s="23" t="s">
        <v>4392</v>
      </c>
      <c r="B3606" s="22" t="s">
        <v>33</v>
      </c>
      <c r="C3606" s="22" t="s">
        <v>44</v>
      </c>
      <c r="D3606" s="22" t="s">
        <v>45</v>
      </c>
      <c r="E3606" s="24" t="s">
        <v>52</v>
      </c>
      <c r="F3606" s="22" t="s">
        <v>46</v>
      </c>
      <c r="G3606" s="25">
        <v>4669.7</v>
      </c>
      <c r="H3606" s="22" t="s">
        <v>22</v>
      </c>
      <c r="I3606" s="22">
        <v>0</v>
      </c>
      <c r="J3606" s="22" t="s">
        <v>46</v>
      </c>
      <c r="K3606" s="22" t="s">
        <v>23</v>
      </c>
      <c r="L3606" s="22">
        <v>2</v>
      </c>
      <c r="M3606" s="26">
        <v>55000</v>
      </c>
      <c r="N3606" s="26">
        <v>0</v>
      </c>
      <c r="O3606" s="15">
        <f t="shared" si="312"/>
        <v>55000</v>
      </c>
      <c r="P3606" s="15">
        <f t="shared" si="311"/>
        <v>11.778058547658308</v>
      </c>
      <c r="Q3606" s="25">
        <v>5000</v>
      </c>
      <c r="R3606" s="22">
        <v>93</v>
      </c>
      <c r="S3606" s="22" t="s">
        <v>4409</v>
      </c>
      <c r="T3606" s="22">
        <f t="shared" si="313"/>
        <v>11</v>
      </c>
      <c r="U3606" s="22">
        <f t="shared" si="314"/>
        <v>2021</v>
      </c>
      <c r="V3606" s="22" t="str">
        <f t="shared" si="315"/>
        <v>METROPOLITANA</v>
      </c>
    </row>
    <row r="3607" spans="1:22" x14ac:dyDescent="0.2">
      <c r="A3607" s="23" t="s">
        <v>4392</v>
      </c>
      <c r="B3607" s="22" t="s">
        <v>33</v>
      </c>
      <c r="C3607" s="22" t="s">
        <v>44</v>
      </c>
      <c r="D3607" s="22" t="s">
        <v>47</v>
      </c>
      <c r="E3607" s="24" t="s">
        <v>1576</v>
      </c>
      <c r="F3607" s="22" t="s">
        <v>48</v>
      </c>
      <c r="G3607" s="25">
        <v>5585.9000000000005</v>
      </c>
      <c r="H3607" s="22" t="s">
        <v>22</v>
      </c>
      <c r="I3607" s="22">
        <v>0</v>
      </c>
      <c r="J3607" s="22" t="s">
        <v>48</v>
      </c>
      <c r="K3607" s="22" t="s">
        <v>23</v>
      </c>
      <c r="L3607" s="22">
        <v>1</v>
      </c>
      <c r="M3607" s="26">
        <v>61445</v>
      </c>
      <c r="N3607" s="26">
        <v>0</v>
      </c>
      <c r="O3607" s="15">
        <f t="shared" si="312"/>
        <v>61445</v>
      </c>
      <c r="P3607" s="15">
        <f t="shared" si="311"/>
        <v>11.000017902218083</v>
      </c>
      <c r="Q3607" s="25">
        <v>5000</v>
      </c>
      <c r="R3607" s="22">
        <v>100</v>
      </c>
      <c r="S3607" s="22" t="s">
        <v>4410</v>
      </c>
      <c r="T3607" s="22">
        <f t="shared" si="313"/>
        <v>11</v>
      </c>
      <c r="U3607" s="22">
        <f t="shared" si="314"/>
        <v>2021</v>
      </c>
      <c r="V3607" s="22" t="str">
        <f t="shared" si="315"/>
        <v>METROPOLITANA</v>
      </c>
    </row>
    <row r="3608" spans="1:22" x14ac:dyDescent="0.2">
      <c r="A3608" s="11" t="s">
        <v>4411</v>
      </c>
      <c r="B3608" s="12" t="s">
        <v>18</v>
      </c>
      <c r="C3608" s="12" t="s">
        <v>500</v>
      </c>
      <c r="D3608" s="12" t="s">
        <v>2262</v>
      </c>
      <c r="E3608" s="13" t="s">
        <v>83</v>
      </c>
      <c r="F3608" s="12" t="s">
        <v>120</v>
      </c>
      <c r="G3608" s="14">
        <v>14182.26999999999</v>
      </c>
      <c r="H3608" s="12" t="s">
        <v>24</v>
      </c>
      <c r="I3608" s="12">
        <v>1</v>
      </c>
      <c r="J3608" s="12" t="s">
        <v>120</v>
      </c>
      <c r="K3608" s="12" t="s">
        <v>23</v>
      </c>
      <c r="L3608" s="12">
        <v>5</v>
      </c>
      <c r="M3608" s="15">
        <v>120000</v>
      </c>
      <c r="N3608" s="15">
        <v>0</v>
      </c>
      <c r="O3608" s="15">
        <f t="shared" si="312"/>
        <v>120000</v>
      </c>
      <c r="P3608" s="15">
        <f t="shared" si="311"/>
        <v>8.4612688941897236</v>
      </c>
      <c r="Q3608" s="14">
        <v>10000</v>
      </c>
      <c r="R3608" s="12">
        <v>100</v>
      </c>
      <c r="S3608" s="12" t="s">
        <v>4412</v>
      </c>
      <c r="T3608" s="22">
        <f t="shared" si="313"/>
        <v>11</v>
      </c>
      <c r="U3608" s="22">
        <f t="shared" si="314"/>
        <v>2021</v>
      </c>
      <c r="V3608" s="22" t="str">
        <f t="shared" si="315"/>
        <v>METROPOLITANA</v>
      </c>
    </row>
    <row r="3609" spans="1:22" x14ac:dyDescent="0.2">
      <c r="A3609" s="11" t="s">
        <v>4411</v>
      </c>
      <c r="B3609" s="12" t="s">
        <v>18</v>
      </c>
      <c r="C3609" s="12" t="s">
        <v>19</v>
      </c>
      <c r="D3609" s="12" t="s">
        <v>191</v>
      </c>
      <c r="E3609" s="13" t="s">
        <v>192</v>
      </c>
      <c r="F3609" s="12" t="s">
        <v>407</v>
      </c>
      <c r="G3609" s="14">
        <v>16188.01999999999</v>
      </c>
      <c r="H3609" s="12" t="s">
        <v>85</v>
      </c>
      <c r="I3609" s="12">
        <v>1</v>
      </c>
      <c r="J3609" s="12" t="s">
        <v>407</v>
      </c>
      <c r="K3609" s="12" t="s">
        <v>408</v>
      </c>
      <c r="L3609" s="12">
        <v>0</v>
      </c>
      <c r="M3609" s="15">
        <v>600000</v>
      </c>
      <c r="N3609" s="15">
        <v>0</v>
      </c>
      <c r="O3609" s="15">
        <f t="shared" si="312"/>
        <v>600000</v>
      </c>
      <c r="P3609" s="15">
        <f t="shared" si="311"/>
        <v>37.064446423960462</v>
      </c>
      <c r="Q3609" s="14">
        <v>20000</v>
      </c>
      <c r="R3609" s="12">
        <v>81</v>
      </c>
      <c r="S3609" s="12" t="s">
        <v>4413</v>
      </c>
      <c r="T3609" s="22">
        <f t="shared" si="313"/>
        <v>11</v>
      </c>
      <c r="U3609" s="22">
        <f t="shared" si="314"/>
        <v>2021</v>
      </c>
      <c r="V3609" s="22" t="str">
        <f t="shared" si="315"/>
        <v>REGIONES</v>
      </c>
    </row>
    <row r="3610" spans="1:22" x14ac:dyDescent="0.2">
      <c r="A3610" s="11" t="s">
        <v>4411</v>
      </c>
      <c r="B3610" s="12" t="s">
        <v>18</v>
      </c>
      <c r="C3610" s="12" t="s">
        <v>19</v>
      </c>
      <c r="D3610" s="12" t="s">
        <v>37</v>
      </c>
      <c r="E3610" s="13" t="s">
        <v>40</v>
      </c>
      <c r="F3610" s="12" t="s">
        <v>67</v>
      </c>
      <c r="G3610" s="14">
        <v>15734.88</v>
      </c>
      <c r="H3610" s="12" t="s">
        <v>22</v>
      </c>
      <c r="I3610" s="12">
        <v>0</v>
      </c>
      <c r="J3610" s="12" t="s">
        <v>67</v>
      </c>
      <c r="K3610" s="12" t="s">
        <v>23</v>
      </c>
      <c r="L3610" s="12">
        <v>2</v>
      </c>
      <c r="M3610" s="15">
        <v>173084</v>
      </c>
      <c r="N3610" s="15">
        <v>0</v>
      </c>
      <c r="O3610" s="15">
        <f t="shared" si="312"/>
        <v>173084</v>
      </c>
      <c r="P3610" s="15">
        <f t="shared" si="311"/>
        <v>11.000020336983823</v>
      </c>
      <c r="Q3610" s="14">
        <v>5000</v>
      </c>
      <c r="R3610" s="12">
        <v>100</v>
      </c>
      <c r="S3610" s="12" t="s">
        <v>4414</v>
      </c>
      <c r="T3610" s="22">
        <f t="shared" si="313"/>
        <v>11</v>
      </c>
      <c r="U3610" s="22">
        <f t="shared" si="314"/>
        <v>2021</v>
      </c>
      <c r="V3610" s="22" t="str">
        <f t="shared" si="315"/>
        <v>METROPOLITANA</v>
      </c>
    </row>
    <row r="3611" spans="1:22" x14ac:dyDescent="0.2">
      <c r="A3611" s="11" t="s">
        <v>4411</v>
      </c>
      <c r="B3611" s="12" t="s">
        <v>18</v>
      </c>
      <c r="C3611" s="12" t="s">
        <v>19</v>
      </c>
      <c r="D3611" s="12" t="s">
        <v>41</v>
      </c>
      <c r="E3611" s="13" t="s">
        <v>25</v>
      </c>
      <c r="F3611" s="12" t="s">
        <v>727</v>
      </c>
      <c r="G3611" s="14">
        <v>3235.2</v>
      </c>
      <c r="H3611" s="12" t="s">
        <v>43</v>
      </c>
      <c r="I3611" s="12">
        <v>0</v>
      </c>
      <c r="J3611" s="12" t="s">
        <v>727</v>
      </c>
      <c r="K3611" s="12" t="s">
        <v>23</v>
      </c>
      <c r="L3611" s="12">
        <v>2</v>
      </c>
      <c r="M3611" s="15">
        <v>55000</v>
      </c>
      <c r="N3611" s="15">
        <v>0</v>
      </c>
      <c r="O3611" s="15">
        <f t="shared" si="312"/>
        <v>55000</v>
      </c>
      <c r="P3611" s="15">
        <f t="shared" si="311"/>
        <v>17.000494559841741</v>
      </c>
      <c r="Q3611" s="14">
        <v>5000</v>
      </c>
      <c r="R3611" s="12">
        <v>65</v>
      </c>
      <c r="S3611" s="12" t="s">
        <v>4415</v>
      </c>
      <c r="T3611" s="22">
        <f t="shared" si="313"/>
        <v>11</v>
      </c>
      <c r="U3611" s="22">
        <f t="shared" si="314"/>
        <v>2021</v>
      </c>
      <c r="V3611" s="22" t="str">
        <f t="shared" si="315"/>
        <v>METROPOLITANA</v>
      </c>
    </row>
    <row r="3612" spans="1:22" x14ac:dyDescent="0.2">
      <c r="A3612" s="11" t="s">
        <v>4411</v>
      </c>
      <c r="B3612" s="12" t="s">
        <v>18</v>
      </c>
      <c r="C3612" s="12" t="s">
        <v>163</v>
      </c>
      <c r="D3612" s="12" t="s">
        <v>63</v>
      </c>
      <c r="E3612" s="13" t="s">
        <v>64</v>
      </c>
      <c r="F3612" s="12" t="s">
        <v>165</v>
      </c>
      <c r="G3612" s="14">
        <v>11908.4</v>
      </c>
      <c r="H3612" s="12" t="s">
        <v>65</v>
      </c>
      <c r="I3612" s="12">
        <v>0</v>
      </c>
      <c r="J3612" s="12" t="s">
        <v>165</v>
      </c>
      <c r="K3612" s="12" t="s">
        <v>23</v>
      </c>
      <c r="L3612" s="12">
        <v>4</v>
      </c>
      <c r="M3612" s="15">
        <v>130992</v>
      </c>
      <c r="N3612" s="15">
        <v>0</v>
      </c>
      <c r="O3612" s="15">
        <f t="shared" si="312"/>
        <v>130992</v>
      </c>
      <c r="P3612" s="15">
        <f t="shared" si="311"/>
        <v>10.999966410265023</v>
      </c>
      <c r="Q3612" s="14">
        <v>5000</v>
      </c>
      <c r="R3612" s="12">
        <v>100</v>
      </c>
      <c r="S3612" s="12" t="s">
        <v>4416</v>
      </c>
      <c r="T3612" s="22">
        <f t="shared" si="313"/>
        <v>11</v>
      </c>
      <c r="U3612" s="22">
        <f t="shared" si="314"/>
        <v>2021</v>
      </c>
      <c r="V3612" s="22" t="str">
        <f t="shared" si="315"/>
        <v>METROPOLITANA</v>
      </c>
    </row>
    <row r="3613" spans="1:22" x14ac:dyDescent="0.2">
      <c r="A3613" s="11" t="s">
        <v>4411</v>
      </c>
      <c r="B3613" s="12" t="s">
        <v>33</v>
      </c>
      <c r="C3613" s="12" t="s">
        <v>128</v>
      </c>
      <c r="D3613" s="12" t="s">
        <v>27</v>
      </c>
      <c r="E3613" s="13" t="s">
        <v>28</v>
      </c>
      <c r="F3613" s="12" t="s">
        <v>129</v>
      </c>
      <c r="G3613" s="14">
        <v>15007.999999999991</v>
      </c>
      <c r="H3613" s="12" t="s">
        <v>22</v>
      </c>
      <c r="I3613" s="12">
        <v>1</v>
      </c>
      <c r="J3613" s="12" t="s">
        <v>129</v>
      </c>
      <c r="K3613" s="12" t="s">
        <v>23</v>
      </c>
      <c r="L3613" s="12">
        <v>1</v>
      </c>
      <c r="M3613" s="15">
        <v>165088</v>
      </c>
      <c r="N3613" s="15">
        <v>0</v>
      </c>
      <c r="O3613" s="15">
        <f t="shared" si="312"/>
        <v>165088</v>
      </c>
      <c r="P3613" s="15">
        <f t="shared" si="311"/>
        <v>11.000000000000007</v>
      </c>
      <c r="Q3613" s="14">
        <v>5000</v>
      </c>
      <c r="R3613" s="12">
        <v>100</v>
      </c>
      <c r="S3613" s="12" t="s">
        <v>4417</v>
      </c>
      <c r="T3613" s="22">
        <f t="shared" si="313"/>
        <v>11</v>
      </c>
      <c r="U3613" s="22">
        <f t="shared" si="314"/>
        <v>2021</v>
      </c>
      <c r="V3613" s="22" t="str">
        <f t="shared" si="315"/>
        <v>METROPOLITANA</v>
      </c>
    </row>
    <row r="3614" spans="1:22" x14ac:dyDescent="0.2">
      <c r="A3614" s="11" t="s">
        <v>4411</v>
      </c>
      <c r="B3614" s="12" t="s">
        <v>33</v>
      </c>
      <c r="C3614" s="12" t="s">
        <v>29</v>
      </c>
      <c r="D3614" s="12" t="s">
        <v>38</v>
      </c>
      <c r="E3614" s="13" t="s">
        <v>25</v>
      </c>
      <c r="F3614" s="12" t="s">
        <v>39</v>
      </c>
      <c r="G3614" s="14">
        <v>2748</v>
      </c>
      <c r="H3614" s="12" t="s">
        <v>43</v>
      </c>
      <c r="I3614" s="12">
        <v>0</v>
      </c>
      <c r="J3614" s="12" t="s">
        <v>39</v>
      </c>
      <c r="K3614" s="12" t="s">
        <v>23</v>
      </c>
      <c r="L3614" s="12">
        <v>1</v>
      </c>
      <c r="M3614" s="15">
        <v>55000</v>
      </c>
      <c r="N3614" s="15">
        <v>0</v>
      </c>
      <c r="O3614" s="15">
        <f t="shared" si="312"/>
        <v>55000</v>
      </c>
      <c r="P3614" s="15">
        <f t="shared" si="311"/>
        <v>20.014556040756915</v>
      </c>
      <c r="Q3614" s="14">
        <v>5000</v>
      </c>
      <c r="R3614" s="12">
        <v>55</v>
      </c>
      <c r="S3614" s="12" t="s">
        <v>4418</v>
      </c>
      <c r="T3614" s="22">
        <f t="shared" si="313"/>
        <v>11</v>
      </c>
      <c r="U3614" s="22">
        <f t="shared" si="314"/>
        <v>2021</v>
      </c>
      <c r="V3614" s="22" t="str">
        <f t="shared" si="315"/>
        <v>METROPOLITANA</v>
      </c>
    </row>
    <row r="3615" spans="1:22" x14ac:dyDescent="0.2">
      <c r="A3615" s="11" t="s">
        <v>4411</v>
      </c>
      <c r="B3615" s="12" t="s">
        <v>33</v>
      </c>
      <c r="C3615" s="12" t="s">
        <v>29</v>
      </c>
      <c r="D3615" s="12" t="s">
        <v>27</v>
      </c>
      <c r="E3615" s="13" t="s">
        <v>28</v>
      </c>
      <c r="F3615" s="12" t="s">
        <v>39</v>
      </c>
      <c r="G3615" s="14">
        <v>8244.0000000000036</v>
      </c>
      <c r="H3615" s="12" t="s">
        <v>22</v>
      </c>
      <c r="I3615" s="12">
        <v>1</v>
      </c>
      <c r="J3615" s="12" t="s">
        <v>39</v>
      </c>
      <c r="K3615" s="12" t="s">
        <v>23</v>
      </c>
      <c r="L3615" s="12">
        <v>1</v>
      </c>
      <c r="M3615" s="15">
        <v>90684</v>
      </c>
      <c r="N3615" s="15">
        <v>0</v>
      </c>
      <c r="O3615" s="15">
        <f t="shared" si="312"/>
        <v>90684</v>
      </c>
      <c r="P3615" s="15">
        <f t="shared" si="311"/>
        <v>10.999999999999995</v>
      </c>
      <c r="Q3615" s="14">
        <v>5000</v>
      </c>
      <c r="R3615" s="12">
        <v>100</v>
      </c>
      <c r="S3615" s="12" t="s">
        <v>4419</v>
      </c>
      <c r="T3615" s="22">
        <f t="shared" si="313"/>
        <v>11</v>
      </c>
      <c r="U3615" s="22">
        <f t="shared" si="314"/>
        <v>2021</v>
      </c>
      <c r="V3615" s="22" t="str">
        <f t="shared" si="315"/>
        <v>METROPOLITANA</v>
      </c>
    </row>
    <row r="3616" spans="1:22" x14ac:dyDescent="0.2">
      <c r="A3616" s="11" t="s">
        <v>4411</v>
      </c>
      <c r="B3616" s="12" t="s">
        <v>33</v>
      </c>
      <c r="C3616" s="12" t="s">
        <v>29</v>
      </c>
      <c r="D3616" s="12" t="s">
        <v>30</v>
      </c>
      <c r="E3616" s="13" t="s">
        <v>31</v>
      </c>
      <c r="F3616" s="12" t="s">
        <v>39</v>
      </c>
      <c r="G3616" s="14">
        <v>2748</v>
      </c>
      <c r="H3616" s="12" t="s">
        <v>32</v>
      </c>
      <c r="I3616" s="12">
        <v>0</v>
      </c>
      <c r="J3616" s="12" t="s">
        <v>39</v>
      </c>
      <c r="K3616" s="12" t="s">
        <v>23</v>
      </c>
      <c r="L3616" s="12">
        <v>1</v>
      </c>
      <c r="M3616" s="15">
        <v>55000</v>
      </c>
      <c r="N3616" s="15">
        <v>0</v>
      </c>
      <c r="O3616" s="15">
        <f t="shared" si="312"/>
        <v>55000</v>
      </c>
      <c r="P3616" s="15">
        <f t="shared" si="311"/>
        <v>20.014556040756915</v>
      </c>
      <c r="Q3616" s="14">
        <v>5000</v>
      </c>
      <c r="R3616" s="12">
        <v>55</v>
      </c>
      <c r="S3616" s="12" t="s">
        <v>4420</v>
      </c>
      <c r="T3616" s="22">
        <f t="shared" si="313"/>
        <v>11</v>
      </c>
      <c r="U3616" s="22">
        <f t="shared" si="314"/>
        <v>2021</v>
      </c>
      <c r="V3616" s="22" t="str">
        <f t="shared" si="315"/>
        <v>METROPOLITANA</v>
      </c>
    </row>
    <row r="3617" spans="1:22" x14ac:dyDescent="0.2">
      <c r="A3617" s="11" t="s">
        <v>4411</v>
      </c>
      <c r="B3617" s="12" t="s">
        <v>33</v>
      </c>
      <c r="C3617" s="12" t="s">
        <v>4421</v>
      </c>
      <c r="D3617" s="12" t="s">
        <v>2955</v>
      </c>
      <c r="E3617" s="13" t="s">
        <v>2956</v>
      </c>
      <c r="F3617" s="12" t="s">
        <v>58</v>
      </c>
      <c r="G3617" s="14">
        <v>18734.400000000001</v>
      </c>
      <c r="H3617" s="12" t="s">
        <v>24</v>
      </c>
      <c r="I3617" s="12">
        <v>1</v>
      </c>
      <c r="J3617" s="12" t="s">
        <v>58</v>
      </c>
      <c r="K3617" s="12" t="s">
        <v>23</v>
      </c>
      <c r="L3617" s="12">
        <v>5</v>
      </c>
      <c r="M3617" s="15">
        <v>120000</v>
      </c>
      <c r="N3617" s="15">
        <v>0</v>
      </c>
      <c r="O3617" s="15">
        <f t="shared" si="312"/>
        <v>120000</v>
      </c>
      <c r="P3617" s="15">
        <f t="shared" ref="P3617:P3680" si="316">O3617/G3617</f>
        <v>6.4053292339226235</v>
      </c>
      <c r="Q3617" s="14">
        <v>10000</v>
      </c>
      <c r="R3617" s="12">
        <v>100</v>
      </c>
      <c r="S3617" s="12" t="s">
        <v>4422</v>
      </c>
      <c r="T3617" s="22">
        <f t="shared" si="313"/>
        <v>11</v>
      </c>
      <c r="U3617" s="22">
        <f t="shared" si="314"/>
        <v>2021</v>
      </c>
      <c r="V3617" s="22" t="str">
        <f t="shared" si="315"/>
        <v>METROPOLITANA</v>
      </c>
    </row>
    <row r="3618" spans="1:22" x14ac:dyDescent="0.2">
      <c r="A3618" s="11" t="s">
        <v>4411</v>
      </c>
      <c r="B3618" s="12" t="s">
        <v>33</v>
      </c>
      <c r="C3618" s="12" t="s">
        <v>4421</v>
      </c>
      <c r="D3618" s="12" t="s">
        <v>30</v>
      </c>
      <c r="E3618" s="13" t="s">
        <v>31</v>
      </c>
      <c r="F3618" s="12" t="s">
        <v>58</v>
      </c>
      <c r="G3618" s="14">
        <v>6635.1000000000013</v>
      </c>
      <c r="H3618" s="12" t="s">
        <v>32</v>
      </c>
      <c r="I3618" s="12">
        <v>0</v>
      </c>
      <c r="J3618" s="12" t="s">
        <v>58</v>
      </c>
      <c r="K3618" s="12" t="s">
        <v>23</v>
      </c>
      <c r="L3618" s="12">
        <v>5</v>
      </c>
      <c r="M3618" s="15">
        <v>70000</v>
      </c>
      <c r="N3618" s="15">
        <v>0</v>
      </c>
      <c r="O3618" s="15">
        <f t="shared" si="312"/>
        <v>70000</v>
      </c>
      <c r="P3618" s="15">
        <f t="shared" si="316"/>
        <v>10.549954032343143</v>
      </c>
      <c r="Q3618" s="14">
        <v>10000</v>
      </c>
      <c r="R3618" s="12">
        <v>66</v>
      </c>
      <c r="S3618" s="12" t="s">
        <v>4423</v>
      </c>
      <c r="T3618" s="22">
        <f t="shared" si="313"/>
        <v>11</v>
      </c>
      <c r="U3618" s="22">
        <f t="shared" si="314"/>
        <v>2021</v>
      </c>
      <c r="V3618" s="22" t="str">
        <f t="shared" si="315"/>
        <v>METROPOLITANA</v>
      </c>
    </row>
    <row r="3619" spans="1:22" x14ac:dyDescent="0.2">
      <c r="A3619" s="23" t="s">
        <v>4424</v>
      </c>
      <c r="B3619" s="22" t="s">
        <v>18</v>
      </c>
      <c r="C3619" s="22" t="s">
        <v>270</v>
      </c>
      <c r="D3619" s="22" t="s">
        <v>45</v>
      </c>
      <c r="E3619" s="24" t="s">
        <v>1576</v>
      </c>
      <c r="F3619" s="22" t="s">
        <v>120</v>
      </c>
      <c r="G3619" s="25">
        <v>4298.2800000000016</v>
      </c>
      <c r="H3619" s="22" t="s">
        <v>22</v>
      </c>
      <c r="I3619" s="22">
        <v>0</v>
      </c>
      <c r="J3619" s="22" t="s">
        <v>120</v>
      </c>
      <c r="K3619" s="22" t="s">
        <v>23</v>
      </c>
      <c r="L3619" s="22">
        <v>5</v>
      </c>
      <c r="M3619" s="26">
        <v>70000</v>
      </c>
      <c r="N3619" s="26">
        <v>0</v>
      </c>
      <c r="O3619" s="15">
        <f t="shared" si="312"/>
        <v>70000</v>
      </c>
      <c r="P3619" s="15">
        <f t="shared" si="316"/>
        <v>16.28558400104227</v>
      </c>
      <c r="Q3619" s="25">
        <v>10000</v>
      </c>
      <c r="R3619" s="22">
        <v>43</v>
      </c>
      <c r="S3619" s="22" t="s">
        <v>4425</v>
      </c>
      <c r="T3619" s="22">
        <f t="shared" si="313"/>
        <v>11</v>
      </c>
      <c r="U3619" s="22">
        <f t="shared" si="314"/>
        <v>2021</v>
      </c>
      <c r="V3619" s="22" t="str">
        <f t="shared" si="315"/>
        <v>METROPOLITANA</v>
      </c>
    </row>
    <row r="3620" spans="1:22" x14ac:dyDescent="0.2">
      <c r="A3620" s="23" t="s">
        <v>4424</v>
      </c>
      <c r="B3620" s="22" t="s">
        <v>18</v>
      </c>
      <c r="C3620" s="22" t="s">
        <v>4252</v>
      </c>
      <c r="D3620" s="22" t="s">
        <v>1869</v>
      </c>
      <c r="E3620" s="24" t="s">
        <v>4153</v>
      </c>
      <c r="F3620" s="22" t="s">
        <v>129</v>
      </c>
      <c r="G3620" s="25">
        <v>19418.97</v>
      </c>
      <c r="H3620" s="22" t="s">
        <v>24</v>
      </c>
      <c r="I3620" s="22">
        <v>1</v>
      </c>
      <c r="J3620" s="22" t="s">
        <v>129</v>
      </c>
      <c r="K3620" s="22" t="s">
        <v>23</v>
      </c>
      <c r="L3620" s="22">
        <v>1</v>
      </c>
      <c r="M3620" s="26">
        <v>213609</v>
      </c>
      <c r="N3620" s="26">
        <v>0</v>
      </c>
      <c r="O3620" s="15">
        <f t="shared" si="312"/>
        <v>213609</v>
      </c>
      <c r="P3620" s="15">
        <f t="shared" si="316"/>
        <v>11.000016993692249</v>
      </c>
      <c r="Q3620" s="25">
        <v>5000</v>
      </c>
      <c r="R3620" s="22">
        <v>100</v>
      </c>
      <c r="S3620" s="22" t="s">
        <v>4426</v>
      </c>
      <c r="T3620" s="22">
        <f t="shared" si="313"/>
        <v>11</v>
      </c>
      <c r="U3620" s="22">
        <f t="shared" si="314"/>
        <v>2021</v>
      </c>
      <c r="V3620" s="22" t="str">
        <f t="shared" si="315"/>
        <v>METROPOLITANA</v>
      </c>
    </row>
    <row r="3621" spans="1:22" x14ac:dyDescent="0.2">
      <c r="A3621" s="23" t="s">
        <v>4424</v>
      </c>
      <c r="B3621" s="22" t="s">
        <v>18</v>
      </c>
      <c r="C3621" s="22" t="s">
        <v>4252</v>
      </c>
      <c r="D3621" s="22" t="s">
        <v>1170</v>
      </c>
      <c r="E3621" s="24" t="s">
        <v>81</v>
      </c>
      <c r="F3621" s="22" t="s">
        <v>129</v>
      </c>
      <c r="G3621" s="25">
        <v>23033.999999999989</v>
      </c>
      <c r="H3621" s="22" t="s">
        <v>24</v>
      </c>
      <c r="I3621" s="22">
        <v>1</v>
      </c>
      <c r="J3621" s="22" t="s">
        <v>129</v>
      </c>
      <c r="K3621" s="22" t="s">
        <v>23</v>
      </c>
      <c r="L3621" s="22">
        <v>1</v>
      </c>
      <c r="M3621" s="26">
        <v>253374</v>
      </c>
      <c r="N3621" s="26">
        <v>0</v>
      </c>
      <c r="O3621" s="15">
        <f t="shared" si="312"/>
        <v>253374</v>
      </c>
      <c r="P3621" s="15">
        <f t="shared" si="316"/>
        <v>11.000000000000005</v>
      </c>
      <c r="Q3621" s="25">
        <v>5000</v>
      </c>
      <c r="R3621" s="22">
        <v>100</v>
      </c>
      <c r="S3621" s="22" t="s">
        <v>4427</v>
      </c>
      <c r="T3621" s="22">
        <f t="shared" si="313"/>
        <v>11</v>
      </c>
      <c r="U3621" s="22">
        <f t="shared" si="314"/>
        <v>2021</v>
      </c>
      <c r="V3621" s="22" t="str">
        <f t="shared" si="315"/>
        <v>METROPOLITANA</v>
      </c>
    </row>
    <row r="3622" spans="1:22" x14ac:dyDescent="0.2">
      <c r="A3622" s="23" t="s">
        <v>4424</v>
      </c>
      <c r="B3622" s="22" t="s">
        <v>18</v>
      </c>
      <c r="C3622" s="22" t="s">
        <v>500</v>
      </c>
      <c r="D3622" s="22" t="s">
        <v>27</v>
      </c>
      <c r="E3622" s="24" t="s">
        <v>28</v>
      </c>
      <c r="F3622" s="22" t="s">
        <v>120</v>
      </c>
      <c r="G3622" s="25">
        <v>11056.95</v>
      </c>
      <c r="H3622" s="22" t="s">
        <v>22</v>
      </c>
      <c r="I3622" s="22">
        <v>1</v>
      </c>
      <c r="J3622" s="22" t="s">
        <v>120</v>
      </c>
      <c r="K3622" s="22" t="s">
        <v>23</v>
      </c>
      <c r="L3622" s="22">
        <v>5</v>
      </c>
      <c r="M3622" s="26">
        <v>120000</v>
      </c>
      <c r="N3622" s="26">
        <v>0</v>
      </c>
      <c r="O3622" s="15">
        <f t="shared" si="312"/>
        <v>120000</v>
      </c>
      <c r="P3622" s="15">
        <f t="shared" si="316"/>
        <v>10.85290247310515</v>
      </c>
      <c r="Q3622" s="25">
        <v>10000</v>
      </c>
      <c r="R3622" s="22">
        <v>100</v>
      </c>
      <c r="S3622" s="22" t="s">
        <v>4428</v>
      </c>
      <c r="T3622" s="22">
        <f t="shared" si="313"/>
        <v>11</v>
      </c>
      <c r="U3622" s="22">
        <f t="shared" si="314"/>
        <v>2021</v>
      </c>
      <c r="V3622" s="22" t="str">
        <f t="shared" si="315"/>
        <v>METROPOLITANA</v>
      </c>
    </row>
    <row r="3623" spans="1:22" x14ac:dyDescent="0.2">
      <c r="A3623" s="23" t="s">
        <v>4424</v>
      </c>
      <c r="B3623" s="22" t="s">
        <v>18</v>
      </c>
      <c r="C3623" s="22" t="s">
        <v>19</v>
      </c>
      <c r="D3623" s="22" t="s">
        <v>30</v>
      </c>
      <c r="E3623" s="24" t="s">
        <v>31</v>
      </c>
      <c r="F3623" s="22" t="s">
        <v>2554</v>
      </c>
      <c r="G3623" s="25">
        <v>12598.079999999991</v>
      </c>
      <c r="H3623" s="22" t="s">
        <v>32</v>
      </c>
      <c r="I3623" s="22">
        <v>0</v>
      </c>
      <c r="J3623" s="22" t="s">
        <v>2554</v>
      </c>
      <c r="K3623" s="22" t="s">
        <v>23</v>
      </c>
      <c r="L3623" s="22">
        <v>5</v>
      </c>
      <c r="M3623" s="26">
        <v>70000</v>
      </c>
      <c r="N3623" s="26">
        <v>0</v>
      </c>
      <c r="O3623" s="15">
        <f t="shared" si="312"/>
        <v>70000</v>
      </c>
      <c r="P3623" s="15">
        <f t="shared" si="316"/>
        <v>5.5564022454215287</v>
      </c>
      <c r="Q3623" s="25">
        <v>10000</v>
      </c>
      <c r="R3623" s="22">
        <v>100</v>
      </c>
      <c r="S3623" s="22" t="s">
        <v>4429</v>
      </c>
      <c r="T3623" s="22">
        <f t="shared" si="313"/>
        <v>11</v>
      </c>
      <c r="U3623" s="22">
        <f t="shared" si="314"/>
        <v>2021</v>
      </c>
      <c r="V3623" s="22" t="str">
        <f t="shared" si="315"/>
        <v>METROPOLITANA</v>
      </c>
    </row>
    <row r="3624" spans="1:22" x14ac:dyDescent="0.2">
      <c r="A3624" s="23" t="s">
        <v>4424</v>
      </c>
      <c r="B3624" s="22" t="s">
        <v>18</v>
      </c>
      <c r="C3624" s="22" t="s">
        <v>19</v>
      </c>
      <c r="D3624" s="22" t="s">
        <v>41</v>
      </c>
      <c r="E3624" s="24" t="s">
        <v>25</v>
      </c>
      <c r="F3624" s="22" t="s">
        <v>2554</v>
      </c>
      <c r="G3624" s="25">
        <v>14029.679999999989</v>
      </c>
      <c r="H3624" s="22" t="s">
        <v>43</v>
      </c>
      <c r="I3624" s="22">
        <v>0</v>
      </c>
      <c r="J3624" s="22" t="s">
        <v>2554</v>
      </c>
      <c r="K3624" s="22" t="s">
        <v>23</v>
      </c>
      <c r="L3624" s="22">
        <v>5</v>
      </c>
      <c r="M3624" s="26">
        <v>70000</v>
      </c>
      <c r="N3624" s="26">
        <v>0</v>
      </c>
      <c r="O3624" s="15">
        <f t="shared" si="312"/>
        <v>70000</v>
      </c>
      <c r="P3624" s="15">
        <f t="shared" si="316"/>
        <v>4.9894224244601482</v>
      </c>
      <c r="Q3624" s="25">
        <v>10000</v>
      </c>
      <c r="R3624" s="22">
        <v>100</v>
      </c>
      <c r="S3624" s="22" t="s">
        <v>4430</v>
      </c>
      <c r="T3624" s="22">
        <f t="shared" si="313"/>
        <v>11</v>
      </c>
      <c r="U3624" s="22">
        <f t="shared" si="314"/>
        <v>2021</v>
      </c>
      <c r="V3624" s="22" t="str">
        <f t="shared" si="315"/>
        <v>METROPOLITANA</v>
      </c>
    </row>
    <row r="3625" spans="1:22" x14ac:dyDescent="0.2">
      <c r="A3625" s="23" t="s">
        <v>4424</v>
      </c>
      <c r="B3625" s="22" t="s">
        <v>33</v>
      </c>
      <c r="C3625" s="22" t="s">
        <v>270</v>
      </c>
      <c r="D3625" s="22" t="s">
        <v>4431</v>
      </c>
      <c r="E3625" s="24" t="s">
        <v>1576</v>
      </c>
      <c r="F3625" s="22" t="s">
        <v>120</v>
      </c>
      <c r="G3625" s="25">
        <v>3594.5</v>
      </c>
      <c r="H3625" s="22" t="s">
        <v>24</v>
      </c>
      <c r="I3625" s="22">
        <v>1</v>
      </c>
      <c r="J3625" s="22" t="s">
        <v>120</v>
      </c>
      <c r="K3625" s="22" t="s">
        <v>23</v>
      </c>
      <c r="L3625" s="22">
        <v>5</v>
      </c>
      <c r="M3625" s="26">
        <v>120000</v>
      </c>
      <c r="N3625" s="26">
        <v>0</v>
      </c>
      <c r="O3625" s="15">
        <f t="shared" si="312"/>
        <v>120000</v>
      </c>
      <c r="P3625" s="15">
        <f t="shared" si="316"/>
        <v>33.384337181805535</v>
      </c>
      <c r="Q3625" s="25">
        <v>10000</v>
      </c>
      <c r="R3625" s="22">
        <v>36</v>
      </c>
      <c r="S3625" s="22" t="s">
        <v>4432</v>
      </c>
      <c r="T3625" s="22">
        <f t="shared" si="313"/>
        <v>11</v>
      </c>
      <c r="U3625" s="22">
        <f t="shared" si="314"/>
        <v>2021</v>
      </c>
      <c r="V3625" s="22" t="str">
        <f t="shared" si="315"/>
        <v>METROPOLITANA</v>
      </c>
    </row>
    <row r="3626" spans="1:22" x14ac:dyDescent="0.2">
      <c r="A3626" s="23" t="s">
        <v>4424</v>
      </c>
      <c r="B3626" s="22" t="s">
        <v>33</v>
      </c>
      <c r="C3626" s="22" t="s">
        <v>128</v>
      </c>
      <c r="D3626" s="22" t="s">
        <v>1170</v>
      </c>
      <c r="E3626" s="24" t="s">
        <v>81</v>
      </c>
      <c r="F3626" s="22" t="s">
        <v>66</v>
      </c>
      <c r="G3626" s="25">
        <v>8244.0000000000036</v>
      </c>
      <c r="H3626" s="22" t="s">
        <v>24</v>
      </c>
      <c r="I3626" s="22">
        <v>1</v>
      </c>
      <c r="J3626" s="22" t="s">
        <v>66</v>
      </c>
      <c r="K3626" s="22" t="s">
        <v>75</v>
      </c>
      <c r="L3626" s="22">
        <v>0</v>
      </c>
      <c r="M3626" s="26">
        <v>380000</v>
      </c>
      <c r="N3626" s="26">
        <v>0</v>
      </c>
      <c r="O3626" s="15">
        <f t="shared" si="312"/>
        <v>380000</v>
      </c>
      <c r="P3626" s="15">
        <f t="shared" si="316"/>
        <v>46.094129063561354</v>
      </c>
      <c r="Q3626" s="25">
        <v>20000</v>
      </c>
      <c r="R3626" s="22">
        <v>41</v>
      </c>
      <c r="S3626" s="22" t="s">
        <v>4433</v>
      </c>
      <c r="T3626" s="22">
        <f t="shared" si="313"/>
        <v>11</v>
      </c>
      <c r="U3626" s="22">
        <f t="shared" si="314"/>
        <v>2021</v>
      </c>
      <c r="V3626" s="22" t="str">
        <f t="shared" si="315"/>
        <v>REGIONES</v>
      </c>
    </row>
    <row r="3627" spans="1:22" x14ac:dyDescent="0.2">
      <c r="A3627" s="23" t="s">
        <v>4424</v>
      </c>
      <c r="B3627" s="22" t="s">
        <v>33</v>
      </c>
      <c r="C3627" s="22" t="s">
        <v>128</v>
      </c>
      <c r="D3627" s="22" t="s">
        <v>2955</v>
      </c>
      <c r="E3627" s="24" t="s">
        <v>2956</v>
      </c>
      <c r="F3627" s="22" t="s">
        <v>34</v>
      </c>
      <c r="G3627" s="25">
        <v>14494.2</v>
      </c>
      <c r="H3627" s="22" t="s">
        <v>24</v>
      </c>
      <c r="I3627" s="22">
        <v>1</v>
      </c>
      <c r="J3627" s="22" t="s">
        <v>34</v>
      </c>
      <c r="K3627" s="22" t="s">
        <v>23</v>
      </c>
      <c r="L3627" s="22">
        <v>1</v>
      </c>
      <c r="M3627" s="26">
        <v>159436</v>
      </c>
      <c r="N3627" s="26">
        <v>0</v>
      </c>
      <c r="O3627" s="15">
        <f t="shared" ref="O3627:O3690" si="317">SUM(M3627:N3627)</f>
        <v>159436</v>
      </c>
      <c r="P3627" s="15">
        <f t="shared" si="316"/>
        <v>10.999986201377101</v>
      </c>
      <c r="Q3627" s="25">
        <v>5000</v>
      </c>
      <c r="R3627" s="22">
        <v>100</v>
      </c>
      <c r="S3627" s="22" t="s">
        <v>4434</v>
      </c>
      <c r="T3627" s="22">
        <f t="shared" si="313"/>
        <v>11</v>
      </c>
      <c r="U3627" s="22">
        <f t="shared" si="314"/>
        <v>2021</v>
      </c>
      <c r="V3627" s="22" t="str">
        <f t="shared" si="315"/>
        <v>METROPOLITANA</v>
      </c>
    </row>
    <row r="3628" spans="1:22" x14ac:dyDescent="0.2">
      <c r="A3628" s="23" t="s">
        <v>4424</v>
      </c>
      <c r="B3628" s="22" t="s">
        <v>33</v>
      </c>
      <c r="C3628" s="22" t="s">
        <v>29</v>
      </c>
      <c r="D3628" s="22" t="s">
        <v>27</v>
      </c>
      <c r="E3628" s="24" t="s">
        <v>28</v>
      </c>
      <c r="F3628" s="22" t="s">
        <v>39</v>
      </c>
      <c r="G3628" s="25">
        <v>8244.0000000000036</v>
      </c>
      <c r="H3628" s="22" t="s">
        <v>22</v>
      </c>
      <c r="I3628" s="22">
        <v>1</v>
      </c>
      <c r="J3628" s="22" t="s">
        <v>39</v>
      </c>
      <c r="K3628" s="22" t="s">
        <v>23</v>
      </c>
      <c r="L3628" s="22">
        <v>1</v>
      </c>
      <c r="M3628" s="26">
        <v>90684</v>
      </c>
      <c r="N3628" s="26">
        <v>0</v>
      </c>
      <c r="O3628" s="15">
        <f t="shared" si="317"/>
        <v>90684</v>
      </c>
      <c r="P3628" s="15">
        <f t="shared" si="316"/>
        <v>10.999999999999995</v>
      </c>
      <c r="Q3628" s="25">
        <v>5000</v>
      </c>
      <c r="R3628" s="22">
        <v>100</v>
      </c>
      <c r="S3628" s="22" t="s">
        <v>4435</v>
      </c>
      <c r="T3628" s="22">
        <f t="shared" si="313"/>
        <v>11</v>
      </c>
      <c r="U3628" s="22">
        <f t="shared" si="314"/>
        <v>2021</v>
      </c>
      <c r="V3628" s="22" t="str">
        <f t="shared" si="315"/>
        <v>METROPOLITANA</v>
      </c>
    </row>
    <row r="3629" spans="1:22" x14ac:dyDescent="0.2">
      <c r="A3629" s="23" t="s">
        <v>4424</v>
      </c>
      <c r="B3629" s="22" t="s">
        <v>33</v>
      </c>
      <c r="C3629" s="22" t="s">
        <v>29</v>
      </c>
      <c r="D3629" s="22" t="s">
        <v>63</v>
      </c>
      <c r="E3629" s="24" t="s">
        <v>64</v>
      </c>
      <c r="F3629" s="22" t="s">
        <v>39</v>
      </c>
      <c r="G3629" s="25">
        <v>2748</v>
      </c>
      <c r="H3629" s="22" t="s">
        <v>65</v>
      </c>
      <c r="I3629" s="22">
        <v>0</v>
      </c>
      <c r="J3629" s="22" t="s">
        <v>39</v>
      </c>
      <c r="K3629" s="22" t="s">
        <v>23</v>
      </c>
      <c r="L3629" s="22">
        <v>1</v>
      </c>
      <c r="M3629" s="26">
        <v>55000</v>
      </c>
      <c r="N3629" s="26">
        <v>0</v>
      </c>
      <c r="O3629" s="15">
        <f t="shared" si="317"/>
        <v>55000</v>
      </c>
      <c r="P3629" s="15">
        <f t="shared" si="316"/>
        <v>20.014556040756915</v>
      </c>
      <c r="Q3629" s="25">
        <v>5000</v>
      </c>
      <c r="R3629" s="22">
        <v>55</v>
      </c>
      <c r="S3629" s="22" t="s">
        <v>4436</v>
      </c>
      <c r="T3629" s="22">
        <f t="shared" si="313"/>
        <v>11</v>
      </c>
      <c r="U3629" s="22">
        <f t="shared" si="314"/>
        <v>2021</v>
      </c>
      <c r="V3629" s="22" t="str">
        <f t="shared" si="315"/>
        <v>METROPOLITANA</v>
      </c>
    </row>
    <row r="3630" spans="1:22" x14ac:dyDescent="0.2">
      <c r="A3630" s="23" t="s">
        <v>4424</v>
      </c>
      <c r="B3630" s="22" t="s">
        <v>33</v>
      </c>
      <c r="C3630" s="22" t="s">
        <v>29</v>
      </c>
      <c r="D3630" s="22" t="s">
        <v>41</v>
      </c>
      <c r="E3630" s="24" t="s">
        <v>25</v>
      </c>
      <c r="F3630" s="22" t="s">
        <v>39</v>
      </c>
      <c r="G3630" s="25">
        <v>2748</v>
      </c>
      <c r="H3630" s="22" t="s">
        <v>43</v>
      </c>
      <c r="I3630" s="22">
        <v>0</v>
      </c>
      <c r="J3630" s="22" t="s">
        <v>39</v>
      </c>
      <c r="K3630" s="22" t="s">
        <v>23</v>
      </c>
      <c r="L3630" s="22">
        <v>1</v>
      </c>
      <c r="M3630" s="26">
        <v>55000</v>
      </c>
      <c r="N3630" s="26">
        <v>0</v>
      </c>
      <c r="O3630" s="15">
        <f t="shared" si="317"/>
        <v>55000</v>
      </c>
      <c r="P3630" s="15">
        <f t="shared" si="316"/>
        <v>20.014556040756915</v>
      </c>
      <c r="Q3630" s="25">
        <v>5000</v>
      </c>
      <c r="R3630" s="22">
        <v>55</v>
      </c>
      <c r="S3630" s="22" t="s">
        <v>4437</v>
      </c>
      <c r="T3630" s="22">
        <f t="shared" si="313"/>
        <v>11</v>
      </c>
      <c r="U3630" s="22">
        <f t="shared" si="314"/>
        <v>2021</v>
      </c>
      <c r="V3630" s="22" t="str">
        <f t="shared" si="315"/>
        <v>METROPOLITANA</v>
      </c>
    </row>
    <row r="3631" spans="1:22" x14ac:dyDescent="0.2">
      <c r="A3631" s="23" t="s">
        <v>4424</v>
      </c>
      <c r="B3631" s="22" t="s">
        <v>33</v>
      </c>
      <c r="C3631" s="22" t="s">
        <v>2698</v>
      </c>
      <c r="D3631" s="22" t="s">
        <v>37</v>
      </c>
      <c r="E3631" s="24" t="s">
        <v>40</v>
      </c>
      <c r="F3631" s="22" t="s">
        <v>51</v>
      </c>
      <c r="G3631" s="25">
        <v>8833.3999999999978</v>
      </c>
      <c r="H3631" s="22" t="s">
        <v>22</v>
      </c>
      <c r="I3631" s="22">
        <v>0</v>
      </c>
      <c r="J3631" s="22" t="s">
        <v>51</v>
      </c>
      <c r="K3631" s="22" t="s">
        <v>23</v>
      </c>
      <c r="L3631" s="22">
        <v>4</v>
      </c>
      <c r="M3631" s="26">
        <v>97167</v>
      </c>
      <c r="N3631" s="26">
        <v>0</v>
      </c>
      <c r="O3631" s="15">
        <f t="shared" si="317"/>
        <v>97167</v>
      </c>
      <c r="P3631" s="15">
        <f t="shared" si="316"/>
        <v>10.999954717322892</v>
      </c>
      <c r="Q3631" s="25">
        <v>5000</v>
      </c>
      <c r="R3631" s="22">
        <v>100</v>
      </c>
      <c r="S3631" s="22" t="s">
        <v>4438</v>
      </c>
      <c r="T3631" s="22">
        <f t="shared" si="313"/>
        <v>11</v>
      </c>
      <c r="U3631" s="22">
        <f t="shared" si="314"/>
        <v>2021</v>
      </c>
      <c r="V3631" s="22" t="str">
        <f t="shared" si="315"/>
        <v>METROPOLITANA</v>
      </c>
    </row>
    <row r="3632" spans="1:22" x14ac:dyDescent="0.2">
      <c r="A3632" s="23" t="s">
        <v>4424</v>
      </c>
      <c r="B3632" s="22" t="s">
        <v>33</v>
      </c>
      <c r="C3632" s="22" t="s">
        <v>2698</v>
      </c>
      <c r="D3632" s="22" t="s">
        <v>47</v>
      </c>
      <c r="E3632" s="24" t="s">
        <v>1576</v>
      </c>
      <c r="F3632" s="22" t="s">
        <v>51</v>
      </c>
      <c r="G3632" s="25">
        <v>6753.5999999999995</v>
      </c>
      <c r="H3632" s="22" t="s">
        <v>22</v>
      </c>
      <c r="I3632" s="22">
        <v>0</v>
      </c>
      <c r="J3632" s="22" t="s">
        <v>51</v>
      </c>
      <c r="K3632" s="22" t="s">
        <v>23</v>
      </c>
      <c r="L3632" s="22">
        <v>4</v>
      </c>
      <c r="M3632" s="26">
        <v>74290</v>
      </c>
      <c r="N3632" s="26">
        <v>0</v>
      </c>
      <c r="O3632" s="15">
        <f t="shared" si="317"/>
        <v>74290</v>
      </c>
      <c r="P3632" s="15">
        <f t="shared" si="316"/>
        <v>11.000059227671169</v>
      </c>
      <c r="Q3632" s="25">
        <v>5000</v>
      </c>
      <c r="R3632" s="22">
        <v>100</v>
      </c>
      <c r="S3632" s="22" t="s">
        <v>4439</v>
      </c>
      <c r="T3632" s="22">
        <f t="shared" si="313"/>
        <v>11</v>
      </c>
      <c r="U3632" s="22">
        <f t="shared" si="314"/>
        <v>2021</v>
      </c>
      <c r="V3632" s="22" t="str">
        <f t="shared" si="315"/>
        <v>METROPOLITANA</v>
      </c>
    </row>
    <row r="3633" spans="1:22" x14ac:dyDescent="0.2">
      <c r="A3633" s="23" t="s">
        <v>4424</v>
      </c>
      <c r="B3633" s="22" t="s">
        <v>33</v>
      </c>
      <c r="C3633" s="22" t="s">
        <v>44</v>
      </c>
      <c r="D3633" s="22" t="s">
        <v>45</v>
      </c>
      <c r="E3633" s="24" t="s">
        <v>21</v>
      </c>
      <c r="F3633" s="22" t="s">
        <v>51</v>
      </c>
      <c r="G3633" s="25">
        <v>4976.7999999999984</v>
      </c>
      <c r="H3633" s="22" t="s">
        <v>22</v>
      </c>
      <c r="I3633" s="22">
        <v>0</v>
      </c>
      <c r="J3633" s="22" t="s">
        <v>51</v>
      </c>
      <c r="K3633" s="22" t="s">
        <v>23</v>
      </c>
      <c r="L3633" s="22">
        <v>4</v>
      </c>
      <c r="M3633" s="26">
        <v>55000</v>
      </c>
      <c r="N3633" s="26">
        <v>0</v>
      </c>
      <c r="O3633" s="15">
        <f t="shared" si="317"/>
        <v>55000</v>
      </c>
      <c r="P3633" s="15">
        <f t="shared" si="316"/>
        <v>11.051277929593317</v>
      </c>
      <c r="Q3633" s="25">
        <v>5000</v>
      </c>
      <c r="R3633" s="22">
        <v>100</v>
      </c>
      <c r="S3633" s="22" t="s">
        <v>4440</v>
      </c>
      <c r="T3633" s="22">
        <f t="shared" si="313"/>
        <v>11</v>
      </c>
      <c r="U3633" s="22">
        <f t="shared" si="314"/>
        <v>2021</v>
      </c>
      <c r="V3633" s="22" t="str">
        <f t="shared" si="315"/>
        <v>METROPOLITANA</v>
      </c>
    </row>
    <row r="3634" spans="1:22" x14ac:dyDescent="0.2">
      <c r="A3634" s="23" t="s">
        <v>4424</v>
      </c>
      <c r="B3634" s="22" t="s">
        <v>33</v>
      </c>
      <c r="C3634" s="22" t="s">
        <v>44</v>
      </c>
      <c r="D3634" s="22" t="s">
        <v>47</v>
      </c>
      <c r="E3634" s="24" t="s">
        <v>1576</v>
      </c>
      <c r="F3634" s="22" t="s">
        <v>48</v>
      </c>
      <c r="G3634" s="25">
        <v>4083.7000000000012</v>
      </c>
      <c r="H3634" s="22" t="s">
        <v>22</v>
      </c>
      <c r="I3634" s="22">
        <v>0</v>
      </c>
      <c r="J3634" s="22" t="s">
        <v>48</v>
      </c>
      <c r="K3634" s="22" t="s">
        <v>23</v>
      </c>
      <c r="L3634" s="22">
        <v>1</v>
      </c>
      <c r="M3634" s="26">
        <v>55000</v>
      </c>
      <c r="N3634" s="26">
        <v>0</v>
      </c>
      <c r="O3634" s="15">
        <f t="shared" si="317"/>
        <v>55000</v>
      </c>
      <c r="P3634" s="15">
        <f t="shared" si="316"/>
        <v>13.468178367656778</v>
      </c>
      <c r="Q3634" s="25">
        <v>5000</v>
      </c>
      <c r="R3634" s="22">
        <v>82</v>
      </c>
      <c r="S3634" s="22" t="s">
        <v>4441</v>
      </c>
      <c r="T3634" s="22">
        <f t="shared" si="313"/>
        <v>11</v>
      </c>
      <c r="U3634" s="22">
        <f t="shared" si="314"/>
        <v>2021</v>
      </c>
      <c r="V3634" s="22" t="str">
        <f t="shared" si="315"/>
        <v>METROPOLITANA</v>
      </c>
    </row>
    <row r="3635" spans="1:22" x14ac:dyDescent="0.2">
      <c r="A3635" s="11" t="s">
        <v>4442</v>
      </c>
      <c r="B3635" s="12" t="s">
        <v>18</v>
      </c>
      <c r="C3635" s="12" t="s">
        <v>500</v>
      </c>
      <c r="D3635" s="12" t="s">
        <v>27</v>
      </c>
      <c r="E3635" s="13" t="s">
        <v>28</v>
      </c>
      <c r="F3635" s="12" t="s">
        <v>120</v>
      </c>
      <c r="G3635" s="14">
        <v>8591.1699999999983</v>
      </c>
      <c r="H3635" s="12" t="s">
        <v>22</v>
      </c>
      <c r="I3635" s="12">
        <v>1</v>
      </c>
      <c r="J3635" s="12" t="s">
        <v>120</v>
      </c>
      <c r="K3635" s="12" t="s">
        <v>23</v>
      </c>
      <c r="L3635" s="12">
        <v>5</v>
      </c>
      <c r="M3635" s="15">
        <v>120000</v>
      </c>
      <c r="N3635" s="15">
        <v>0</v>
      </c>
      <c r="O3635" s="15">
        <f t="shared" si="317"/>
        <v>120000</v>
      </c>
      <c r="P3635" s="15">
        <f t="shared" si="316"/>
        <v>13.967829760090886</v>
      </c>
      <c r="Q3635" s="14">
        <v>10000</v>
      </c>
      <c r="R3635" s="12">
        <v>86</v>
      </c>
      <c r="S3635" s="12" t="s">
        <v>4443</v>
      </c>
      <c r="T3635" s="22">
        <f t="shared" si="313"/>
        <v>11</v>
      </c>
      <c r="U3635" s="22">
        <f t="shared" si="314"/>
        <v>2021</v>
      </c>
      <c r="V3635" s="22" t="str">
        <f t="shared" si="315"/>
        <v>METROPOLITANA</v>
      </c>
    </row>
    <row r="3636" spans="1:22" x14ac:dyDescent="0.2">
      <c r="A3636" s="11" t="s">
        <v>4442</v>
      </c>
      <c r="B3636" s="12" t="s">
        <v>18</v>
      </c>
      <c r="C3636" s="12" t="s">
        <v>19</v>
      </c>
      <c r="D3636" s="12" t="s">
        <v>37</v>
      </c>
      <c r="E3636" s="13" t="s">
        <v>40</v>
      </c>
      <c r="F3636" s="12" t="s">
        <v>67</v>
      </c>
      <c r="G3636" s="14">
        <v>14669.240000000011</v>
      </c>
      <c r="H3636" s="12" t="s">
        <v>22</v>
      </c>
      <c r="I3636" s="12">
        <v>0</v>
      </c>
      <c r="J3636" s="12" t="s">
        <v>67</v>
      </c>
      <c r="K3636" s="12" t="s">
        <v>23</v>
      </c>
      <c r="L3636" s="12">
        <v>2</v>
      </c>
      <c r="M3636" s="15">
        <v>161362</v>
      </c>
      <c r="N3636" s="15">
        <v>0</v>
      </c>
      <c r="O3636" s="15">
        <f t="shared" si="317"/>
        <v>161362</v>
      </c>
      <c r="P3636" s="15">
        <f t="shared" si="316"/>
        <v>11.000024541148681</v>
      </c>
      <c r="Q3636" s="14">
        <v>5000</v>
      </c>
      <c r="R3636" s="12">
        <v>100</v>
      </c>
      <c r="S3636" s="12" t="s">
        <v>4444</v>
      </c>
      <c r="T3636" s="22">
        <f t="shared" si="313"/>
        <v>11</v>
      </c>
      <c r="U3636" s="22">
        <f t="shared" si="314"/>
        <v>2021</v>
      </c>
      <c r="V3636" s="22" t="str">
        <f t="shared" si="315"/>
        <v>METROPOLITANA</v>
      </c>
    </row>
    <row r="3637" spans="1:22" x14ac:dyDescent="0.2">
      <c r="A3637" s="11" t="s">
        <v>4442</v>
      </c>
      <c r="B3637" s="12" t="s">
        <v>33</v>
      </c>
      <c r="C3637" s="12" t="s">
        <v>60</v>
      </c>
      <c r="D3637" s="12" t="s">
        <v>47</v>
      </c>
      <c r="E3637" s="13" t="s">
        <v>1576</v>
      </c>
      <c r="F3637" s="12" t="s">
        <v>129</v>
      </c>
      <c r="G3637" s="14">
        <v>4683.6000000000004</v>
      </c>
      <c r="H3637" s="12" t="s">
        <v>22</v>
      </c>
      <c r="I3637" s="12">
        <v>0</v>
      </c>
      <c r="J3637" s="12" t="s">
        <v>129</v>
      </c>
      <c r="K3637" s="12" t="s">
        <v>23</v>
      </c>
      <c r="L3637" s="12">
        <v>1</v>
      </c>
      <c r="M3637" s="15">
        <v>55000</v>
      </c>
      <c r="N3637" s="15">
        <v>0</v>
      </c>
      <c r="O3637" s="15">
        <f t="shared" si="317"/>
        <v>55000</v>
      </c>
      <c r="P3637" s="15">
        <f t="shared" si="316"/>
        <v>11.74310359552481</v>
      </c>
      <c r="Q3637" s="14">
        <v>5000</v>
      </c>
      <c r="R3637" s="12">
        <v>94</v>
      </c>
      <c r="S3637" s="12" t="s">
        <v>4445</v>
      </c>
      <c r="T3637" s="22">
        <f t="shared" si="313"/>
        <v>11</v>
      </c>
      <c r="U3637" s="22">
        <f t="shared" si="314"/>
        <v>2021</v>
      </c>
      <c r="V3637" s="22" t="str">
        <f t="shared" si="315"/>
        <v>METROPOLITANA</v>
      </c>
    </row>
    <row r="3638" spans="1:22" x14ac:dyDescent="0.2">
      <c r="A3638" s="11" t="s">
        <v>4442</v>
      </c>
      <c r="B3638" s="12" t="s">
        <v>33</v>
      </c>
      <c r="C3638" s="12" t="s">
        <v>29</v>
      </c>
      <c r="D3638" s="12" t="s">
        <v>37</v>
      </c>
      <c r="E3638" s="13" t="s">
        <v>40</v>
      </c>
      <c r="F3638" s="12" t="s">
        <v>39</v>
      </c>
      <c r="G3638" s="14">
        <v>2748</v>
      </c>
      <c r="H3638" s="12" t="s">
        <v>22</v>
      </c>
      <c r="I3638" s="12">
        <v>0</v>
      </c>
      <c r="J3638" s="12" t="s">
        <v>39</v>
      </c>
      <c r="K3638" s="12" t="s">
        <v>23</v>
      </c>
      <c r="L3638" s="12">
        <v>1</v>
      </c>
      <c r="M3638" s="15">
        <v>55000</v>
      </c>
      <c r="N3638" s="15">
        <v>0</v>
      </c>
      <c r="O3638" s="15">
        <f t="shared" si="317"/>
        <v>55000</v>
      </c>
      <c r="P3638" s="15">
        <f t="shared" si="316"/>
        <v>20.014556040756915</v>
      </c>
      <c r="Q3638" s="14">
        <v>5000</v>
      </c>
      <c r="R3638" s="12">
        <v>55</v>
      </c>
      <c r="S3638" s="12" t="s">
        <v>4446</v>
      </c>
      <c r="T3638" s="22">
        <f t="shared" si="313"/>
        <v>11</v>
      </c>
      <c r="U3638" s="22">
        <f t="shared" si="314"/>
        <v>2021</v>
      </c>
      <c r="V3638" s="22" t="str">
        <f t="shared" si="315"/>
        <v>METROPOLITANA</v>
      </c>
    </row>
    <row r="3639" spans="1:22" x14ac:dyDescent="0.2">
      <c r="A3639" s="11" t="s">
        <v>4442</v>
      </c>
      <c r="B3639" s="12" t="s">
        <v>33</v>
      </c>
      <c r="C3639" s="12" t="s">
        <v>29</v>
      </c>
      <c r="D3639" s="12" t="s">
        <v>27</v>
      </c>
      <c r="E3639" s="13" t="s">
        <v>28</v>
      </c>
      <c r="F3639" s="12" t="s">
        <v>39</v>
      </c>
      <c r="G3639" s="14">
        <v>8244.0000000000036</v>
      </c>
      <c r="H3639" s="12" t="s">
        <v>22</v>
      </c>
      <c r="I3639" s="12">
        <v>1</v>
      </c>
      <c r="J3639" s="12" t="s">
        <v>39</v>
      </c>
      <c r="K3639" s="12" t="s">
        <v>23</v>
      </c>
      <c r="L3639" s="12">
        <v>1</v>
      </c>
      <c r="M3639" s="15">
        <v>90684</v>
      </c>
      <c r="N3639" s="15">
        <v>0</v>
      </c>
      <c r="O3639" s="15">
        <f t="shared" si="317"/>
        <v>90684</v>
      </c>
      <c r="P3639" s="15">
        <f t="shared" si="316"/>
        <v>10.999999999999995</v>
      </c>
      <c r="Q3639" s="14">
        <v>5000</v>
      </c>
      <c r="R3639" s="12">
        <v>100</v>
      </c>
      <c r="S3639" s="12" t="s">
        <v>4447</v>
      </c>
      <c r="T3639" s="22">
        <f t="shared" si="313"/>
        <v>11</v>
      </c>
      <c r="U3639" s="22">
        <f t="shared" si="314"/>
        <v>2021</v>
      </c>
      <c r="V3639" s="22" t="str">
        <f t="shared" si="315"/>
        <v>METROPOLITANA</v>
      </c>
    </row>
    <row r="3640" spans="1:22" x14ac:dyDescent="0.2">
      <c r="A3640" s="11" t="s">
        <v>4442</v>
      </c>
      <c r="B3640" s="12" t="s">
        <v>33</v>
      </c>
      <c r="C3640" s="12" t="s">
        <v>29</v>
      </c>
      <c r="D3640" s="12" t="s">
        <v>41</v>
      </c>
      <c r="E3640" s="13" t="s">
        <v>25</v>
      </c>
      <c r="F3640" s="12" t="s">
        <v>39</v>
      </c>
      <c r="G3640" s="14">
        <v>13000</v>
      </c>
      <c r="H3640" s="12" t="s">
        <v>43</v>
      </c>
      <c r="I3640" s="12">
        <v>0</v>
      </c>
      <c r="J3640" s="12" t="s">
        <v>39</v>
      </c>
      <c r="K3640" s="12" t="s">
        <v>23</v>
      </c>
      <c r="L3640" s="12">
        <v>1</v>
      </c>
      <c r="M3640" s="15">
        <v>143000</v>
      </c>
      <c r="N3640" s="15">
        <v>0</v>
      </c>
      <c r="O3640" s="15">
        <f t="shared" si="317"/>
        <v>143000</v>
      </c>
      <c r="P3640" s="15">
        <f t="shared" si="316"/>
        <v>11</v>
      </c>
      <c r="Q3640" s="14">
        <v>5000</v>
      </c>
      <c r="R3640" s="12">
        <v>100</v>
      </c>
      <c r="S3640" s="12" t="s">
        <v>4448</v>
      </c>
      <c r="T3640" s="22">
        <f t="shared" si="313"/>
        <v>11</v>
      </c>
      <c r="U3640" s="22">
        <f t="shared" si="314"/>
        <v>2021</v>
      </c>
      <c r="V3640" s="22" t="str">
        <f t="shared" si="315"/>
        <v>METROPOLITANA</v>
      </c>
    </row>
    <row r="3641" spans="1:22" x14ac:dyDescent="0.2">
      <c r="A3641" s="11" t="s">
        <v>4442</v>
      </c>
      <c r="B3641" s="12" t="s">
        <v>33</v>
      </c>
      <c r="C3641" s="12" t="s">
        <v>44</v>
      </c>
      <c r="D3641" s="12" t="s">
        <v>2262</v>
      </c>
      <c r="E3641" s="13" t="s">
        <v>83</v>
      </c>
      <c r="F3641" s="12" t="s">
        <v>876</v>
      </c>
      <c r="G3641" s="14">
        <v>10297.799999999999</v>
      </c>
      <c r="H3641" s="12" t="s">
        <v>24</v>
      </c>
      <c r="I3641" s="12">
        <v>1</v>
      </c>
      <c r="J3641" s="12" t="s">
        <v>876</v>
      </c>
      <c r="K3641" s="12" t="s">
        <v>86</v>
      </c>
      <c r="L3641" s="12">
        <v>0</v>
      </c>
      <c r="M3641" s="15">
        <v>330000</v>
      </c>
      <c r="N3641" s="15">
        <v>0</v>
      </c>
      <c r="O3641" s="15">
        <f t="shared" si="317"/>
        <v>330000</v>
      </c>
      <c r="P3641" s="15">
        <f t="shared" si="316"/>
        <v>32.045679659733146</v>
      </c>
      <c r="Q3641" s="14">
        <v>20000</v>
      </c>
      <c r="R3641" s="12">
        <v>51</v>
      </c>
      <c r="S3641" s="12" t="s">
        <v>4449</v>
      </c>
      <c r="T3641" s="22">
        <f t="shared" si="313"/>
        <v>11</v>
      </c>
      <c r="U3641" s="22">
        <f t="shared" si="314"/>
        <v>2021</v>
      </c>
      <c r="V3641" s="22" t="str">
        <f t="shared" si="315"/>
        <v>REGIONES</v>
      </c>
    </row>
    <row r="3642" spans="1:22" x14ac:dyDescent="0.2">
      <c r="A3642" s="11" t="s">
        <v>4442</v>
      </c>
      <c r="B3642" s="12" t="s">
        <v>33</v>
      </c>
      <c r="C3642" s="12" t="s">
        <v>44</v>
      </c>
      <c r="D3642" s="12" t="s">
        <v>45</v>
      </c>
      <c r="E3642" s="13" t="s">
        <v>52</v>
      </c>
      <c r="F3642" s="12" t="s">
        <v>48</v>
      </c>
      <c r="G3642" s="14">
        <v>5097.16</v>
      </c>
      <c r="H3642" s="12" t="s">
        <v>22</v>
      </c>
      <c r="I3642" s="12">
        <v>0</v>
      </c>
      <c r="J3642" s="12" t="s">
        <v>48</v>
      </c>
      <c r="K3642" s="12" t="s">
        <v>23</v>
      </c>
      <c r="L3642" s="12">
        <v>1</v>
      </c>
      <c r="M3642" s="15">
        <v>56069</v>
      </c>
      <c r="N3642" s="15">
        <v>0</v>
      </c>
      <c r="O3642" s="15">
        <f t="shared" si="317"/>
        <v>56069</v>
      </c>
      <c r="P3642" s="15">
        <f t="shared" si="316"/>
        <v>11.000047085043436</v>
      </c>
      <c r="Q3642" s="14">
        <v>5000</v>
      </c>
      <c r="R3642" s="12">
        <v>100</v>
      </c>
      <c r="S3642" s="12" t="s">
        <v>4450</v>
      </c>
      <c r="T3642" s="22">
        <f t="shared" si="313"/>
        <v>11</v>
      </c>
      <c r="U3642" s="22">
        <f t="shared" si="314"/>
        <v>2021</v>
      </c>
      <c r="V3642" s="22" t="str">
        <f t="shared" si="315"/>
        <v>METROPOLITANA</v>
      </c>
    </row>
    <row r="3643" spans="1:22" x14ac:dyDescent="0.2">
      <c r="A3643" s="23" t="s">
        <v>4451</v>
      </c>
      <c r="B3643" s="22" t="s">
        <v>18</v>
      </c>
      <c r="C3643" s="22" t="s">
        <v>500</v>
      </c>
      <c r="D3643" s="22" t="s">
        <v>30</v>
      </c>
      <c r="E3643" s="24">
        <v>72564391</v>
      </c>
      <c r="F3643" s="22" t="s">
        <v>120</v>
      </c>
      <c r="G3643" s="25">
        <v>4644.7999999999984</v>
      </c>
      <c r="H3643" s="22" t="s">
        <v>32</v>
      </c>
      <c r="I3643" s="22">
        <v>0</v>
      </c>
      <c r="J3643" s="22" t="s">
        <v>120</v>
      </c>
      <c r="K3643" s="22" t="s">
        <v>23</v>
      </c>
      <c r="L3643" s="22">
        <v>5</v>
      </c>
      <c r="M3643" s="26">
        <v>70000</v>
      </c>
      <c r="N3643" s="26">
        <v>0</v>
      </c>
      <c r="O3643" s="15">
        <f t="shared" si="317"/>
        <v>70000</v>
      </c>
      <c r="P3643" s="15">
        <f t="shared" si="316"/>
        <v>15.070616603513612</v>
      </c>
      <c r="Q3643" s="25">
        <v>10000</v>
      </c>
      <c r="R3643" s="22">
        <v>46</v>
      </c>
      <c r="S3643" s="22" t="s">
        <v>4452</v>
      </c>
      <c r="T3643" s="22">
        <f t="shared" si="313"/>
        <v>11</v>
      </c>
      <c r="U3643" s="22">
        <f t="shared" si="314"/>
        <v>2021</v>
      </c>
      <c r="V3643" s="22" t="str">
        <f t="shared" si="315"/>
        <v>METROPOLITANA</v>
      </c>
    </row>
    <row r="3644" spans="1:22" x14ac:dyDescent="0.2">
      <c r="A3644" s="23" t="s">
        <v>4451</v>
      </c>
      <c r="B3644" s="22" t="s">
        <v>18</v>
      </c>
      <c r="C3644" s="22" t="s">
        <v>163</v>
      </c>
      <c r="D3644" s="22" t="s">
        <v>63</v>
      </c>
      <c r="E3644" s="24">
        <v>138841065</v>
      </c>
      <c r="F3644" s="22" t="s">
        <v>165</v>
      </c>
      <c r="G3644" s="25">
        <v>6676.7999999999984</v>
      </c>
      <c r="H3644" s="22" t="s">
        <v>65</v>
      </c>
      <c r="I3644" s="22">
        <v>0</v>
      </c>
      <c r="J3644" s="22" t="s">
        <v>165</v>
      </c>
      <c r="K3644" s="22" t="s">
        <v>23</v>
      </c>
      <c r="L3644" s="22">
        <v>4</v>
      </c>
      <c r="M3644" s="26">
        <v>73445</v>
      </c>
      <c r="N3644" s="26">
        <v>0</v>
      </c>
      <c r="O3644" s="15">
        <f t="shared" si="317"/>
        <v>73445</v>
      </c>
      <c r="P3644" s="15">
        <f t="shared" si="316"/>
        <v>11.000029954469209</v>
      </c>
      <c r="Q3644" s="25">
        <v>5000</v>
      </c>
      <c r="R3644" s="22">
        <v>100</v>
      </c>
      <c r="S3644" s="22" t="s">
        <v>4453</v>
      </c>
      <c r="T3644" s="22">
        <f t="shared" si="313"/>
        <v>11</v>
      </c>
      <c r="U3644" s="22">
        <f t="shared" si="314"/>
        <v>2021</v>
      </c>
      <c r="V3644" s="22" t="str">
        <f t="shared" si="315"/>
        <v>METROPOLITANA</v>
      </c>
    </row>
    <row r="3645" spans="1:22" x14ac:dyDescent="0.2">
      <c r="A3645" s="23" t="s">
        <v>4451</v>
      </c>
      <c r="B3645" s="22" t="s">
        <v>33</v>
      </c>
      <c r="C3645" s="22" t="s">
        <v>223</v>
      </c>
      <c r="D3645" s="22" t="s">
        <v>1869</v>
      </c>
      <c r="E3645" s="24">
        <v>125897258</v>
      </c>
      <c r="F3645" s="22" t="s">
        <v>2308</v>
      </c>
      <c r="G3645" s="25">
        <v>8244.0000000000036</v>
      </c>
      <c r="H3645" s="22" t="s">
        <v>24</v>
      </c>
      <c r="I3645" s="22">
        <v>1</v>
      </c>
      <c r="J3645" s="22" t="s">
        <v>2308</v>
      </c>
      <c r="K3645" s="22" t="s">
        <v>2309</v>
      </c>
      <c r="L3645" s="22">
        <v>0</v>
      </c>
      <c r="M3645" s="26">
        <v>750000</v>
      </c>
      <c r="N3645" s="26">
        <v>0</v>
      </c>
      <c r="O3645" s="15">
        <f t="shared" si="317"/>
        <v>750000</v>
      </c>
      <c r="P3645" s="15">
        <f t="shared" si="316"/>
        <v>90.975254730713203</v>
      </c>
      <c r="Q3645" s="25">
        <v>20000</v>
      </c>
      <c r="R3645" s="22">
        <v>41</v>
      </c>
      <c r="S3645" s="22" t="s">
        <v>4454</v>
      </c>
      <c r="T3645" s="22">
        <f t="shared" si="313"/>
        <v>11</v>
      </c>
      <c r="U3645" s="22">
        <f t="shared" si="314"/>
        <v>2021</v>
      </c>
      <c r="V3645" s="22" t="str">
        <f t="shared" si="315"/>
        <v>REGIONES</v>
      </c>
    </row>
    <row r="3646" spans="1:22" x14ac:dyDescent="0.2">
      <c r="A3646" s="23" t="s">
        <v>4451</v>
      </c>
      <c r="B3646" s="22" t="s">
        <v>33</v>
      </c>
      <c r="C3646" s="22" t="s">
        <v>29</v>
      </c>
      <c r="D3646" s="22" t="s">
        <v>27</v>
      </c>
      <c r="E3646" s="24">
        <v>81417709</v>
      </c>
      <c r="F3646" s="22" t="s">
        <v>39</v>
      </c>
      <c r="G3646" s="25">
        <v>20027.849999999999</v>
      </c>
      <c r="H3646" s="22" t="s">
        <v>22</v>
      </c>
      <c r="I3646" s="22">
        <v>1</v>
      </c>
      <c r="J3646" s="22" t="s">
        <v>39</v>
      </c>
      <c r="K3646" s="22" t="s">
        <v>23</v>
      </c>
      <c r="L3646" s="22">
        <v>1</v>
      </c>
      <c r="M3646" s="26">
        <v>220306</v>
      </c>
      <c r="N3646" s="26">
        <v>0</v>
      </c>
      <c r="O3646" s="15">
        <f t="shared" si="317"/>
        <v>220306</v>
      </c>
      <c r="P3646" s="15">
        <f t="shared" si="316"/>
        <v>10.999982524334865</v>
      </c>
      <c r="Q3646" s="25">
        <v>5000</v>
      </c>
      <c r="R3646" s="22">
        <v>100</v>
      </c>
      <c r="S3646" s="22" t="s">
        <v>4455</v>
      </c>
      <c r="T3646" s="22">
        <f t="shared" si="313"/>
        <v>11</v>
      </c>
      <c r="U3646" s="22">
        <f t="shared" si="314"/>
        <v>2021</v>
      </c>
      <c r="V3646" s="22" t="str">
        <f t="shared" si="315"/>
        <v>METROPOLITANA</v>
      </c>
    </row>
    <row r="3647" spans="1:22" x14ac:dyDescent="0.2">
      <c r="A3647" s="23" t="s">
        <v>4451</v>
      </c>
      <c r="B3647" s="22" t="s">
        <v>33</v>
      </c>
      <c r="C3647" s="22" t="s">
        <v>29</v>
      </c>
      <c r="D3647" s="22" t="s">
        <v>41</v>
      </c>
      <c r="E3647" s="24">
        <v>125108660</v>
      </c>
      <c r="F3647" s="22" t="s">
        <v>39</v>
      </c>
      <c r="G3647" s="25">
        <v>10886.65</v>
      </c>
      <c r="H3647" s="22" t="s">
        <v>43</v>
      </c>
      <c r="I3647" s="22">
        <v>0</v>
      </c>
      <c r="J3647" s="22" t="s">
        <v>39</v>
      </c>
      <c r="K3647" s="22" t="s">
        <v>23</v>
      </c>
      <c r="L3647" s="22">
        <v>1</v>
      </c>
      <c r="M3647" s="26">
        <v>119753</v>
      </c>
      <c r="N3647" s="26">
        <v>0</v>
      </c>
      <c r="O3647" s="15">
        <f t="shared" si="317"/>
        <v>119753</v>
      </c>
      <c r="P3647" s="15">
        <f t="shared" si="316"/>
        <v>10.999986221656799</v>
      </c>
      <c r="Q3647" s="25">
        <v>5000</v>
      </c>
      <c r="R3647" s="22">
        <v>100</v>
      </c>
      <c r="S3647" s="22" t="s">
        <v>4456</v>
      </c>
      <c r="T3647" s="22">
        <f t="shared" si="313"/>
        <v>11</v>
      </c>
      <c r="U3647" s="22">
        <f t="shared" si="314"/>
        <v>2021</v>
      </c>
      <c r="V3647" s="22" t="str">
        <f t="shared" si="315"/>
        <v>METROPOLITANA</v>
      </c>
    </row>
    <row r="3648" spans="1:22" x14ac:dyDescent="0.2">
      <c r="A3648" s="23" t="s">
        <v>4451</v>
      </c>
      <c r="B3648" s="22" t="s">
        <v>33</v>
      </c>
      <c r="C3648" s="22" t="s">
        <v>44</v>
      </c>
      <c r="D3648" s="22" t="s">
        <v>2262</v>
      </c>
      <c r="E3648" s="24">
        <v>122975819</v>
      </c>
      <c r="F3648" s="22" t="s">
        <v>876</v>
      </c>
      <c r="G3648" s="25">
        <v>5496.0000000000018</v>
      </c>
      <c r="H3648" s="22" t="s">
        <v>24</v>
      </c>
      <c r="I3648" s="22">
        <v>1</v>
      </c>
      <c r="J3648" s="22" t="s">
        <v>876</v>
      </c>
      <c r="K3648" s="22" t="s">
        <v>86</v>
      </c>
      <c r="L3648" s="22">
        <v>0</v>
      </c>
      <c r="M3648" s="26">
        <v>330000</v>
      </c>
      <c r="N3648" s="26">
        <v>0</v>
      </c>
      <c r="O3648" s="15">
        <f t="shared" si="317"/>
        <v>330000</v>
      </c>
      <c r="P3648" s="15">
        <f t="shared" si="316"/>
        <v>60.043668122270724</v>
      </c>
      <c r="Q3648" s="25">
        <v>20000</v>
      </c>
      <c r="R3648" s="22">
        <v>27</v>
      </c>
      <c r="S3648" s="22" t="s">
        <v>4457</v>
      </c>
      <c r="T3648" s="22">
        <f t="shared" si="313"/>
        <v>11</v>
      </c>
      <c r="U3648" s="22">
        <f t="shared" si="314"/>
        <v>2021</v>
      </c>
      <c r="V3648" s="22" t="str">
        <f t="shared" si="315"/>
        <v>REGIONES</v>
      </c>
    </row>
    <row r="3649" spans="1:22" x14ac:dyDescent="0.2">
      <c r="A3649" s="23" t="s">
        <v>4451</v>
      </c>
      <c r="B3649" s="22" t="s">
        <v>33</v>
      </c>
      <c r="C3649" s="22" t="s">
        <v>44</v>
      </c>
      <c r="D3649" s="22" t="s">
        <v>956</v>
      </c>
      <c r="E3649" s="24">
        <v>93321006</v>
      </c>
      <c r="F3649" s="22" t="s">
        <v>132</v>
      </c>
      <c r="G3649" s="25">
        <v>9277.26</v>
      </c>
      <c r="H3649" s="22" t="s">
        <v>85</v>
      </c>
      <c r="I3649" s="22">
        <v>1</v>
      </c>
      <c r="J3649" s="22" t="s">
        <v>132</v>
      </c>
      <c r="K3649" s="22" t="s">
        <v>124</v>
      </c>
      <c r="L3649" s="22">
        <v>0</v>
      </c>
      <c r="M3649" s="26">
        <v>350000</v>
      </c>
      <c r="N3649" s="26">
        <v>0</v>
      </c>
      <c r="O3649" s="15">
        <f t="shared" si="317"/>
        <v>350000</v>
      </c>
      <c r="P3649" s="15">
        <f t="shared" si="316"/>
        <v>37.726656361899956</v>
      </c>
      <c r="Q3649" s="25">
        <v>20000</v>
      </c>
      <c r="R3649" s="22">
        <v>46</v>
      </c>
      <c r="S3649" s="22" t="s">
        <v>4458</v>
      </c>
      <c r="T3649" s="22">
        <f t="shared" si="313"/>
        <v>11</v>
      </c>
      <c r="U3649" s="22">
        <f t="shared" si="314"/>
        <v>2021</v>
      </c>
      <c r="V3649" s="22" t="str">
        <f t="shared" si="315"/>
        <v>REGIONES</v>
      </c>
    </row>
    <row r="3650" spans="1:22" x14ac:dyDescent="0.2">
      <c r="A3650" s="23" t="s">
        <v>4451</v>
      </c>
      <c r="B3650" s="22" t="s">
        <v>33</v>
      </c>
      <c r="C3650" s="22" t="s">
        <v>44</v>
      </c>
      <c r="D3650" s="22" t="s">
        <v>47</v>
      </c>
      <c r="E3650" s="24">
        <v>154837728</v>
      </c>
      <c r="F3650" s="22" t="s">
        <v>48</v>
      </c>
      <c r="G3650" s="25">
        <v>5572.48</v>
      </c>
      <c r="H3650" s="22" t="s">
        <v>22</v>
      </c>
      <c r="I3650" s="22">
        <v>0</v>
      </c>
      <c r="J3650" s="22" t="s">
        <v>48</v>
      </c>
      <c r="K3650" s="22" t="s">
        <v>23</v>
      </c>
      <c r="L3650" s="22">
        <v>1</v>
      </c>
      <c r="M3650" s="26">
        <v>61297</v>
      </c>
      <c r="N3650" s="26">
        <v>0</v>
      </c>
      <c r="O3650" s="15">
        <f t="shared" si="317"/>
        <v>61297</v>
      </c>
      <c r="P3650" s="15">
        <f t="shared" si="316"/>
        <v>10.999949753072242</v>
      </c>
      <c r="Q3650" s="25">
        <v>5000</v>
      </c>
      <c r="R3650" s="22">
        <v>100</v>
      </c>
      <c r="S3650" s="22" t="s">
        <v>4459</v>
      </c>
      <c r="T3650" s="22">
        <f t="shared" si="313"/>
        <v>11</v>
      </c>
      <c r="U3650" s="22">
        <f t="shared" si="314"/>
        <v>2021</v>
      </c>
      <c r="V3650" s="22" t="str">
        <f t="shared" si="315"/>
        <v>METROPOLITANA</v>
      </c>
    </row>
    <row r="3651" spans="1:22" x14ac:dyDescent="0.2">
      <c r="A3651" s="11" t="s">
        <v>4460</v>
      </c>
      <c r="B3651" s="12" t="s">
        <v>18</v>
      </c>
      <c r="C3651" s="12" t="s">
        <v>270</v>
      </c>
      <c r="D3651" s="12" t="s">
        <v>2955</v>
      </c>
      <c r="E3651" s="13" t="s">
        <v>2956</v>
      </c>
      <c r="F3651" s="12" t="s">
        <v>120</v>
      </c>
      <c r="G3651" s="14">
        <v>19435.919999999998</v>
      </c>
      <c r="H3651" s="12" t="s">
        <v>24</v>
      </c>
      <c r="I3651" s="12">
        <v>1</v>
      </c>
      <c r="J3651" s="12" t="s">
        <v>120</v>
      </c>
      <c r="K3651" s="12" t="s">
        <v>23</v>
      </c>
      <c r="L3651" s="12">
        <v>5</v>
      </c>
      <c r="M3651" s="15">
        <v>120000</v>
      </c>
      <c r="N3651" s="15">
        <v>0</v>
      </c>
      <c r="O3651" s="15">
        <f t="shared" si="317"/>
        <v>120000</v>
      </c>
      <c r="P3651" s="15">
        <f t="shared" si="316"/>
        <v>6.174135312349506</v>
      </c>
      <c r="Q3651" s="14">
        <v>10000</v>
      </c>
      <c r="R3651" s="12">
        <v>100</v>
      </c>
      <c r="S3651" s="12" t="s">
        <v>4461</v>
      </c>
      <c r="T3651" s="22">
        <f t="shared" si="313"/>
        <v>11</v>
      </c>
      <c r="U3651" s="22">
        <f t="shared" si="314"/>
        <v>2021</v>
      </c>
      <c r="V3651" s="22" t="str">
        <f t="shared" si="315"/>
        <v>METROPOLITANA</v>
      </c>
    </row>
    <row r="3652" spans="1:22" x14ac:dyDescent="0.2">
      <c r="A3652" s="11" t="s">
        <v>4460</v>
      </c>
      <c r="B3652" s="12" t="s">
        <v>18</v>
      </c>
      <c r="C3652" s="12" t="s">
        <v>19</v>
      </c>
      <c r="D3652" s="12" t="s">
        <v>2262</v>
      </c>
      <c r="E3652" s="13" t="s">
        <v>83</v>
      </c>
      <c r="F3652" s="12" t="s">
        <v>84</v>
      </c>
      <c r="G3652" s="14">
        <v>12511.739999999991</v>
      </c>
      <c r="H3652" s="12" t="s">
        <v>24</v>
      </c>
      <c r="I3652" s="12">
        <v>1</v>
      </c>
      <c r="J3652" s="12" t="s">
        <v>84</v>
      </c>
      <c r="K3652" s="12" t="s">
        <v>86</v>
      </c>
      <c r="L3652" s="12">
        <v>0</v>
      </c>
      <c r="M3652" s="15">
        <v>320000</v>
      </c>
      <c r="N3652" s="15">
        <v>0</v>
      </c>
      <c r="O3652" s="15">
        <f t="shared" si="317"/>
        <v>320000</v>
      </c>
      <c r="P3652" s="15">
        <f t="shared" si="316"/>
        <v>25.575979040485194</v>
      </c>
      <c r="Q3652" s="14">
        <v>20000</v>
      </c>
      <c r="R3652" s="12">
        <v>63</v>
      </c>
      <c r="S3652" s="12" t="s">
        <v>4462</v>
      </c>
      <c r="T3652" s="22">
        <f t="shared" si="313"/>
        <v>11</v>
      </c>
      <c r="U3652" s="22">
        <f t="shared" si="314"/>
        <v>2021</v>
      </c>
      <c r="V3652" s="22" t="str">
        <f t="shared" si="315"/>
        <v>REGIONES</v>
      </c>
    </row>
    <row r="3653" spans="1:22" x14ac:dyDescent="0.2">
      <c r="A3653" s="11" t="s">
        <v>4460</v>
      </c>
      <c r="B3653" s="12" t="s">
        <v>18</v>
      </c>
      <c r="C3653" s="12" t="s">
        <v>19</v>
      </c>
      <c r="D3653" s="12" t="s">
        <v>4247</v>
      </c>
      <c r="E3653" s="13" t="s">
        <v>62</v>
      </c>
      <c r="F3653" s="12" t="s">
        <v>407</v>
      </c>
      <c r="G3653" s="14">
        <v>25354.51999999999</v>
      </c>
      <c r="H3653" s="12" t="s">
        <v>24</v>
      </c>
      <c r="I3653" s="12">
        <v>1</v>
      </c>
      <c r="J3653" s="12" t="s">
        <v>407</v>
      </c>
      <c r="K3653" s="12" t="s">
        <v>408</v>
      </c>
      <c r="L3653" s="12">
        <v>0</v>
      </c>
      <c r="M3653" s="15">
        <v>600000</v>
      </c>
      <c r="N3653" s="15">
        <v>0</v>
      </c>
      <c r="O3653" s="15">
        <f t="shared" si="317"/>
        <v>600000</v>
      </c>
      <c r="P3653" s="15">
        <f t="shared" si="316"/>
        <v>23.664419598556794</v>
      </c>
      <c r="Q3653" s="14">
        <v>20000</v>
      </c>
      <c r="R3653" s="12">
        <v>100</v>
      </c>
      <c r="S3653" s="12" t="s">
        <v>4463</v>
      </c>
      <c r="T3653" s="22">
        <f t="shared" si="313"/>
        <v>11</v>
      </c>
      <c r="U3653" s="22">
        <f t="shared" si="314"/>
        <v>2021</v>
      </c>
      <c r="V3653" s="22" t="str">
        <f t="shared" si="315"/>
        <v>REGIONES</v>
      </c>
    </row>
    <row r="3654" spans="1:22" x14ac:dyDescent="0.2">
      <c r="A3654" s="11" t="s">
        <v>4460</v>
      </c>
      <c r="B3654" s="12" t="s">
        <v>33</v>
      </c>
      <c r="C3654" s="12" t="s">
        <v>270</v>
      </c>
      <c r="D3654" s="12" t="s">
        <v>2955</v>
      </c>
      <c r="E3654" s="13" t="s">
        <v>2956</v>
      </c>
      <c r="F3654" s="12" t="s">
        <v>120</v>
      </c>
      <c r="G3654" s="14">
        <v>4778.1000000000004</v>
      </c>
      <c r="H3654" s="12" t="s">
        <v>24</v>
      </c>
      <c r="I3654" s="12">
        <v>1</v>
      </c>
      <c r="J3654" s="12" t="s">
        <v>120</v>
      </c>
      <c r="K3654" s="12" t="s">
        <v>23</v>
      </c>
      <c r="L3654" s="12">
        <v>5</v>
      </c>
      <c r="M3654" s="15">
        <v>120000</v>
      </c>
      <c r="N3654" s="15">
        <v>0</v>
      </c>
      <c r="O3654" s="15">
        <f t="shared" si="317"/>
        <v>120000</v>
      </c>
      <c r="P3654" s="15">
        <f t="shared" si="316"/>
        <v>25.114585295410308</v>
      </c>
      <c r="Q3654" s="14">
        <v>10000</v>
      </c>
      <c r="R3654" s="12">
        <v>48</v>
      </c>
      <c r="S3654" s="12" t="s">
        <v>4464</v>
      </c>
      <c r="T3654" s="22">
        <f t="shared" si="313"/>
        <v>11</v>
      </c>
      <c r="U3654" s="22">
        <f t="shared" si="314"/>
        <v>2021</v>
      </c>
      <c r="V3654" s="22" t="str">
        <f t="shared" si="315"/>
        <v>METROPOLITANA</v>
      </c>
    </row>
    <row r="3655" spans="1:22" x14ac:dyDescent="0.2">
      <c r="A3655" s="11" t="s">
        <v>4460</v>
      </c>
      <c r="B3655" s="12" t="s">
        <v>33</v>
      </c>
      <c r="C3655" s="12" t="s">
        <v>163</v>
      </c>
      <c r="D3655" s="12" t="s">
        <v>30</v>
      </c>
      <c r="E3655" s="13" t="s">
        <v>31</v>
      </c>
      <c r="F3655" s="12" t="s">
        <v>165</v>
      </c>
      <c r="G3655" s="14">
        <v>10278.24</v>
      </c>
      <c r="H3655" s="12" t="s">
        <v>32</v>
      </c>
      <c r="I3655" s="12">
        <v>0</v>
      </c>
      <c r="J3655" s="12" t="s">
        <v>165</v>
      </c>
      <c r="K3655" s="12" t="s">
        <v>23</v>
      </c>
      <c r="L3655" s="12">
        <v>4</v>
      </c>
      <c r="M3655" s="15">
        <v>113061</v>
      </c>
      <c r="N3655" s="15">
        <v>0</v>
      </c>
      <c r="O3655" s="15">
        <f t="shared" si="317"/>
        <v>113061</v>
      </c>
      <c r="P3655" s="15">
        <f t="shared" si="316"/>
        <v>11.000035025451828</v>
      </c>
      <c r="Q3655" s="14">
        <v>5000</v>
      </c>
      <c r="R3655" s="12">
        <v>100</v>
      </c>
      <c r="S3655" s="12" t="s">
        <v>4465</v>
      </c>
      <c r="T3655" s="22">
        <f t="shared" si="313"/>
        <v>11</v>
      </c>
      <c r="U3655" s="22">
        <f t="shared" si="314"/>
        <v>2021</v>
      </c>
      <c r="V3655" s="22" t="str">
        <f t="shared" si="315"/>
        <v>METROPOLITANA</v>
      </c>
    </row>
    <row r="3656" spans="1:22" x14ac:dyDescent="0.2">
      <c r="A3656" s="11" t="s">
        <v>4460</v>
      </c>
      <c r="B3656" s="12" t="s">
        <v>33</v>
      </c>
      <c r="C3656" s="12" t="s">
        <v>163</v>
      </c>
      <c r="D3656" s="12" t="s">
        <v>41</v>
      </c>
      <c r="E3656" s="13" t="s">
        <v>25</v>
      </c>
      <c r="F3656" s="12" t="s">
        <v>165</v>
      </c>
      <c r="G3656" s="14">
        <v>9911.16</v>
      </c>
      <c r="H3656" s="12" t="s">
        <v>43</v>
      </c>
      <c r="I3656" s="12">
        <v>0</v>
      </c>
      <c r="J3656" s="12" t="s">
        <v>165</v>
      </c>
      <c r="K3656" s="12" t="s">
        <v>23</v>
      </c>
      <c r="L3656" s="12">
        <v>4</v>
      </c>
      <c r="M3656" s="15">
        <v>109023</v>
      </c>
      <c r="N3656" s="15">
        <v>0</v>
      </c>
      <c r="O3656" s="15">
        <f t="shared" si="317"/>
        <v>109023</v>
      </c>
      <c r="P3656" s="15">
        <f t="shared" si="316"/>
        <v>11.000024215127191</v>
      </c>
      <c r="Q3656" s="14">
        <v>5000</v>
      </c>
      <c r="R3656" s="12">
        <v>100</v>
      </c>
      <c r="S3656" s="12" t="s">
        <v>4466</v>
      </c>
      <c r="T3656" s="22">
        <f t="shared" ref="T3656:T3719" si="318">MONTH(A3656)</f>
        <v>11</v>
      </c>
      <c r="U3656" s="22">
        <f t="shared" ref="U3656:U3719" si="319">YEAR(A3656)</f>
        <v>2021</v>
      </c>
      <c r="V3656" s="22" t="str">
        <f t="shared" ref="V3656:V3719" si="320">IF(K3656="METROPOLITANA DE SANTIAGO","METROPOLITANA","REGIONES")</f>
        <v>METROPOLITANA</v>
      </c>
    </row>
    <row r="3657" spans="1:22" x14ac:dyDescent="0.2">
      <c r="A3657" s="11" t="s">
        <v>4460</v>
      </c>
      <c r="B3657" s="12" t="s">
        <v>33</v>
      </c>
      <c r="C3657" s="12" t="s">
        <v>128</v>
      </c>
      <c r="D3657" s="12" t="s">
        <v>786</v>
      </c>
      <c r="E3657" s="13" t="s">
        <v>787</v>
      </c>
      <c r="F3657" s="12" t="s">
        <v>34</v>
      </c>
      <c r="G3657" s="14">
        <v>8518.8000000000029</v>
      </c>
      <c r="H3657" s="12" t="s">
        <v>788</v>
      </c>
      <c r="I3657" s="12">
        <v>1</v>
      </c>
      <c r="J3657" s="12" t="s">
        <v>34</v>
      </c>
      <c r="K3657" s="12" t="s">
        <v>23</v>
      </c>
      <c r="L3657" s="12">
        <v>1</v>
      </c>
      <c r="M3657" s="15">
        <v>93707</v>
      </c>
      <c r="N3657" s="15">
        <v>0</v>
      </c>
      <c r="O3657" s="15">
        <f t="shared" si="317"/>
        <v>93707</v>
      </c>
      <c r="P3657" s="15">
        <f t="shared" si="316"/>
        <v>11.000023477485088</v>
      </c>
      <c r="Q3657" s="14">
        <v>5000</v>
      </c>
      <c r="R3657" s="12">
        <v>100</v>
      </c>
      <c r="S3657" s="12" t="s">
        <v>4467</v>
      </c>
      <c r="T3657" s="22">
        <f t="shared" si="318"/>
        <v>11</v>
      </c>
      <c r="U3657" s="22">
        <f t="shared" si="319"/>
        <v>2021</v>
      </c>
      <c r="V3657" s="22" t="str">
        <f t="shared" si="320"/>
        <v>METROPOLITANA</v>
      </c>
    </row>
    <row r="3658" spans="1:22" x14ac:dyDescent="0.2">
      <c r="A3658" s="11" t="s">
        <v>4460</v>
      </c>
      <c r="B3658" s="12" t="s">
        <v>33</v>
      </c>
      <c r="C3658" s="12" t="s">
        <v>128</v>
      </c>
      <c r="D3658" s="12" t="s">
        <v>786</v>
      </c>
      <c r="E3658" s="13" t="s">
        <v>787</v>
      </c>
      <c r="F3658" s="12" t="s">
        <v>129</v>
      </c>
      <c r="G3658" s="14">
        <v>8244.0000000000036</v>
      </c>
      <c r="H3658" s="12" t="s">
        <v>788</v>
      </c>
      <c r="I3658" s="12">
        <v>1</v>
      </c>
      <c r="J3658" s="12" t="s">
        <v>129</v>
      </c>
      <c r="K3658" s="12" t="s">
        <v>23</v>
      </c>
      <c r="L3658" s="12">
        <v>1</v>
      </c>
      <c r="M3658" s="15">
        <v>90684</v>
      </c>
      <c r="N3658" s="15">
        <v>0</v>
      </c>
      <c r="O3658" s="15">
        <f t="shared" si="317"/>
        <v>90684</v>
      </c>
      <c r="P3658" s="15">
        <f t="shared" si="316"/>
        <v>10.999999999999995</v>
      </c>
      <c r="Q3658" s="14">
        <v>5000</v>
      </c>
      <c r="R3658" s="12">
        <v>100</v>
      </c>
      <c r="S3658" s="12" t="s">
        <v>4468</v>
      </c>
      <c r="T3658" s="22">
        <f t="shared" si="318"/>
        <v>11</v>
      </c>
      <c r="U3658" s="22">
        <f t="shared" si="319"/>
        <v>2021</v>
      </c>
      <c r="V3658" s="22" t="str">
        <f t="shared" si="320"/>
        <v>METROPOLITANA</v>
      </c>
    </row>
    <row r="3659" spans="1:22" x14ac:dyDescent="0.2">
      <c r="A3659" s="11" t="s">
        <v>4460</v>
      </c>
      <c r="B3659" s="12" t="s">
        <v>33</v>
      </c>
      <c r="C3659" s="12" t="s">
        <v>128</v>
      </c>
      <c r="D3659" s="12" t="s">
        <v>2955</v>
      </c>
      <c r="E3659" s="13" t="s">
        <v>2956</v>
      </c>
      <c r="F3659" s="12" t="s">
        <v>34</v>
      </c>
      <c r="G3659" s="14">
        <v>18009.599999999999</v>
      </c>
      <c r="H3659" s="12" t="s">
        <v>24</v>
      </c>
      <c r="I3659" s="12">
        <v>1</v>
      </c>
      <c r="J3659" s="12" t="s">
        <v>34</v>
      </c>
      <c r="K3659" s="12" t="s">
        <v>23</v>
      </c>
      <c r="L3659" s="12">
        <v>1</v>
      </c>
      <c r="M3659" s="15">
        <v>198106</v>
      </c>
      <c r="N3659" s="15">
        <v>0</v>
      </c>
      <c r="O3659" s="15">
        <f t="shared" si="317"/>
        <v>198106</v>
      </c>
      <c r="P3659" s="15">
        <f t="shared" si="316"/>
        <v>11.000022210376688</v>
      </c>
      <c r="Q3659" s="14">
        <v>5000</v>
      </c>
      <c r="R3659" s="12">
        <v>100</v>
      </c>
      <c r="S3659" s="12" t="s">
        <v>4469</v>
      </c>
      <c r="T3659" s="22">
        <f t="shared" si="318"/>
        <v>11</v>
      </c>
      <c r="U3659" s="22">
        <f t="shared" si="319"/>
        <v>2021</v>
      </c>
      <c r="V3659" s="22" t="str">
        <f t="shared" si="320"/>
        <v>METROPOLITANA</v>
      </c>
    </row>
    <row r="3660" spans="1:22" x14ac:dyDescent="0.2">
      <c r="A3660" s="11" t="s">
        <v>4460</v>
      </c>
      <c r="B3660" s="12" t="s">
        <v>33</v>
      </c>
      <c r="C3660" s="12" t="s">
        <v>2698</v>
      </c>
      <c r="D3660" s="12" t="s">
        <v>37</v>
      </c>
      <c r="E3660" s="13" t="s">
        <v>40</v>
      </c>
      <c r="F3660" s="12" t="s">
        <v>51</v>
      </c>
      <c r="G3660" s="14">
        <v>15007.999999999991</v>
      </c>
      <c r="H3660" s="12" t="s">
        <v>22</v>
      </c>
      <c r="I3660" s="12">
        <v>0</v>
      </c>
      <c r="J3660" s="12" t="s">
        <v>51</v>
      </c>
      <c r="K3660" s="12" t="s">
        <v>23</v>
      </c>
      <c r="L3660" s="12">
        <v>4</v>
      </c>
      <c r="M3660" s="15">
        <v>165088</v>
      </c>
      <c r="N3660" s="15">
        <v>0</v>
      </c>
      <c r="O3660" s="15">
        <f t="shared" si="317"/>
        <v>165088</v>
      </c>
      <c r="P3660" s="15">
        <f t="shared" si="316"/>
        <v>11.000000000000007</v>
      </c>
      <c r="Q3660" s="14">
        <v>5000</v>
      </c>
      <c r="R3660" s="12">
        <v>100</v>
      </c>
      <c r="S3660" s="12" t="s">
        <v>4470</v>
      </c>
      <c r="T3660" s="22">
        <f t="shared" si="318"/>
        <v>11</v>
      </c>
      <c r="U3660" s="22">
        <f t="shared" si="319"/>
        <v>2021</v>
      </c>
      <c r="V3660" s="22" t="str">
        <f t="shared" si="320"/>
        <v>METROPOLITANA</v>
      </c>
    </row>
    <row r="3661" spans="1:22" x14ac:dyDescent="0.2">
      <c r="A3661" s="11" t="s">
        <v>4460</v>
      </c>
      <c r="B3661" s="12" t="s">
        <v>33</v>
      </c>
      <c r="C3661" s="12" t="s">
        <v>2698</v>
      </c>
      <c r="D3661" s="12" t="s">
        <v>63</v>
      </c>
      <c r="E3661" s="13" t="s">
        <v>4365</v>
      </c>
      <c r="F3661" s="12" t="s">
        <v>51</v>
      </c>
      <c r="G3661" s="14">
        <v>7503.9999999999973</v>
      </c>
      <c r="H3661" s="12" t="s">
        <v>65</v>
      </c>
      <c r="I3661" s="12">
        <v>0</v>
      </c>
      <c r="J3661" s="12" t="s">
        <v>51</v>
      </c>
      <c r="K3661" s="12" t="s">
        <v>23</v>
      </c>
      <c r="L3661" s="12">
        <v>4</v>
      </c>
      <c r="M3661" s="15">
        <v>82544</v>
      </c>
      <c r="N3661" s="15">
        <v>0</v>
      </c>
      <c r="O3661" s="15">
        <f t="shared" si="317"/>
        <v>82544</v>
      </c>
      <c r="P3661" s="15">
        <f t="shared" si="316"/>
        <v>11.000000000000004</v>
      </c>
      <c r="Q3661" s="14">
        <v>5000</v>
      </c>
      <c r="R3661" s="12">
        <v>100</v>
      </c>
      <c r="S3661" s="12" t="s">
        <v>4471</v>
      </c>
      <c r="T3661" s="22">
        <f t="shared" si="318"/>
        <v>11</v>
      </c>
      <c r="U3661" s="22">
        <f t="shared" si="319"/>
        <v>2021</v>
      </c>
      <c r="V3661" s="22" t="str">
        <f t="shared" si="320"/>
        <v>METROPOLITANA</v>
      </c>
    </row>
    <row r="3662" spans="1:22" x14ac:dyDescent="0.2">
      <c r="A3662" s="11" t="s">
        <v>4460</v>
      </c>
      <c r="B3662" s="12" t="s">
        <v>33</v>
      </c>
      <c r="C3662" s="12" t="s">
        <v>2698</v>
      </c>
      <c r="D3662" s="12" t="s">
        <v>63</v>
      </c>
      <c r="E3662" s="13" t="s">
        <v>64</v>
      </c>
      <c r="F3662" s="12" t="s">
        <v>51</v>
      </c>
      <c r="G3662" s="14">
        <v>7503.9999999999973</v>
      </c>
      <c r="H3662" s="12" t="s">
        <v>65</v>
      </c>
      <c r="I3662" s="12">
        <v>0</v>
      </c>
      <c r="J3662" s="12" t="s">
        <v>51</v>
      </c>
      <c r="K3662" s="12" t="s">
        <v>23</v>
      </c>
      <c r="L3662" s="12">
        <v>4</v>
      </c>
      <c r="M3662" s="15">
        <v>82544</v>
      </c>
      <c r="N3662" s="15">
        <v>0</v>
      </c>
      <c r="O3662" s="15">
        <f t="shared" si="317"/>
        <v>82544</v>
      </c>
      <c r="P3662" s="15">
        <f t="shared" si="316"/>
        <v>11.000000000000004</v>
      </c>
      <c r="Q3662" s="14">
        <v>5000</v>
      </c>
      <c r="R3662" s="12">
        <v>100</v>
      </c>
      <c r="S3662" s="12" t="s">
        <v>4472</v>
      </c>
      <c r="T3662" s="22">
        <f t="shared" si="318"/>
        <v>11</v>
      </c>
      <c r="U3662" s="22">
        <f t="shared" si="319"/>
        <v>2021</v>
      </c>
      <c r="V3662" s="22" t="str">
        <f t="shared" si="320"/>
        <v>METROPOLITANA</v>
      </c>
    </row>
    <row r="3663" spans="1:22" x14ac:dyDescent="0.2">
      <c r="A3663" s="23" t="s">
        <v>4473</v>
      </c>
      <c r="B3663" s="22" t="s">
        <v>18</v>
      </c>
      <c r="C3663" s="22" t="s">
        <v>19</v>
      </c>
      <c r="D3663" s="22" t="s">
        <v>37</v>
      </c>
      <c r="E3663" s="24" t="s">
        <v>4474</v>
      </c>
      <c r="F3663" s="22" t="s">
        <v>67</v>
      </c>
      <c r="G3663" s="25">
        <v>11169.24</v>
      </c>
      <c r="H3663" s="22" t="s">
        <v>22</v>
      </c>
      <c r="I3663" s="22">
        <v>0</v>
      </c>
      <c r="J3663" s="22" t="s">
        <v>67</v>
      </c>
      <c r="K3663" s="22" t="s">
        <v>23</v>
      </c>
      <c r="L3663" s="22">
        <v>2</v>
      </c>
      <c r="M3663" s="26">
        <v>122862</v>
      </c>
      <c r="N3663" s="26">
        <v>0</v>
      </c>
      <c r="O3663" s="15">
        <f t="shared" si="317"/>
        <v>122862</v>
      </c>
      <c r="P3663" s="15">
        <f t="shared" si="316"/>
        <v>11.000032231378322</v>
      </c>
      <c r="Q3663" s="25">
        <v>5000</v>
      </c>
      <c r="R3663" s="22">
        <v>100</v>
      </c>
      <c r="S3663" s="22" t="s">
        <v>4475</v>
      </c>
      <c r="T3663" s="22">
        <f t="shared" si="318"/>
        <v>11</v>
      </c>
      <c r="U3663" s="22">
        <f t="shared" si="319"/>
        <v>2021</v>
      </c>
      <c r="V3663" s="22" t="str">
        <f t="shared" si="320"/>
        <v>METROPOLITANA</v>
      </c>
    </row>
    <row r="3664" spans="1:22" x14ac:dyDescent="0.2">
      <c r="A3664" s="23" t="s">
        <v>4473</v>
      </c>
      <c r="B3664" s="22" t="s">
        <v>18</v>
      </c>
      <c r="C3664" s="22" t="s">
        <v>19</v>
      </c>
      <c r="D3664" s="22" t="s">
        <v>63</v>
      </c>
      <c r="E3664" s="24" t="s">
        <v>64</v>
      </c>
      <c r="F3664" s="22" t="s">
        <v>2554</v>
      </c>
      <c r="G3664" s="25">
        <v>9415.68</v>
      </c>
      <c r="H3664" s="22" t="s">
        <v>65</v>
      </c>
      <c r="I3664" s="22">
        <v>0</v>
      </c>
      <c r="J3664" s="22" t="s">
        <v>2554</v>
      </c>
      <c r="K3664" s="22" t="s">
        <v>23</v>
      </c>
      <c r="L3664" s="22">
        <v>5</v>
      </c>
      <c r="M3664" s="26">
        <v>70000</v>
      </c>
      <c r="N3664" s="26">
        <v>0</v>
      </c>
      <c r="O3664" s="15">
        <f t="shared" si="317"/>
        <v>70000</v>
      </c>
      <c r="P3664" s="15">
        <f t="shared" si="316"/>
        <v>7.4344072865687876</v>
      </c>
      <c r="Q3664" s="25">
        <v>10000</v>
      </c>
      <c r="R3664" s="22">
        <v>94</v>
      </c>
      <c r="S3664" s="22" t="s">
        <v>4476</v>
      </c>
      <c r="T3664" s="22">
        <f t="shared" si="318"/>
        <v>11</v>
      </c>
      <c r="U3664" s="22">
        <f t="shared" si="319"/>
        <v>2021</v>
      </c>
      <c r="V3664" s="22" t="str">
        <f t="shared" si="320"/>
        <v>METROPOLITANA</v>
      </c>
    </row>
    <row r="3665" spans="1:22" x14ac:dyDescent="0.2">
      <c r="A3665" s="23" t="s">
        <v>4473</v>
      </c>
      <c r="B3665" s="22" t="s">
        <v>18</v>
      </c>
      <c r="C3665" s="22" t="s">
        <v>163</v>
      </c>
      <c r="D3665" s="22" t="s">
        <v>63</v>
      </c>
      <c r="E3665" s="24" t="s">
        <v>64</v>
      </c>
      <c r="F3665" s="22" t="s">
        <v>165</v>
      </c>
      <c r="G3665" s="25">
        <v>6163.1999999999989</v>
      </c>
      <c r="H3665" s="22" t="s">
        <v>65</v>
      </c>
      <c r="I3665" s="22">
        <v>0</v>
      </c>
      <c r="J3665" s="22" t="s">
        <v>165</v>
      </c>
      <c r="K3665" s="22" t="s">
        <v>23</v>
      </c>
      <c r="L3665" s="22">
        <v>4</v>
      </c>
      <c r="M3665" s="26">
        <v>67795</v>
      </c>
      <c r="N3665" s="26">
        <v>0</v>
      </c>
      <c r="O3665" s="15">
        <f t="shared" si="317"/>
        <v>67795</v>
      </c>
      <c r="P3665" s="15">
        <f t="shared" si="316"/>
        <v>10.999967549325028</v>
      </c>
      <c r="Q3665" s="25">
        <v>5000</v>
      </c>
      <c r="R3665" s="22">
        <v>100</v>
      </c>
      <c r="S3665" s="22" t="s">
        <v>4477</v>
      </c>
      <c r="T3665" s="22">
        <f t="shared" si="318"/>
        <v>11</v>
      </c>
      <c r="U3665" s="22">
        <f t="shared" si="319"/>
        <v>2021</v>
      </c>
      <c r="V3665" s="22" t="str">
        <f t="shared" si="320"/>
        <v>METROPOLITANA</v>
      </c>
    </row>
    <row r="3666" spans="1:22" x14ac:dyDescent="0.2">
      <c r="A3666" s="23" t="s">
        <v>4473</v>
      </c>
      <c r="B3666" s="22" t="s">
        <v>33</v>
      </c>
      <c r="C3666" s="22" t="s">
        <v>163</v>
      </c>
      <c r="D3666" s="22" t="s">
        <v>41</v>
      </c>
      <c r="E3666" s="24" t="s">
        <v>25</v>
      </c>
      <c r="F3666" s="22" t="s">
        <v>165</v>
      </c>
      <c r="G3666" s="25">
        <v>5566.1100000000006</v>
      </c>
      <c r="H3666" s="22" t="s">
        <v>43</v>
      </c>
      <c r="I3666" s="22">
        <v>0</v>
      </c>
      <c r="J3666" s="22" t="s">
        <v>165</v>
      </c>
      <c r="K3666" s="22" t="s">
        <v>23</v>
      </c>
      <c r="L3666" s="22">
        <v>4</v>
      </c>
      <c r="M3666" s="26">
        <v>61227</v>
      </c>
      <c r="N3666" s="26">
        <v>0</v>
      </c>
      <c r="O3666" s="15">
        <f t="shared" si="317"/>
        <v>61227</v>
      </c>
      <c r="P3666" s="15">
        <f t="shared" si="316"/>
        <v>10.999962271676269</v>
      </c>
      <c r="Q3666" s="25">
        <v>5000</v>
      </c>
      <c r="R3666" s="22">
        <v>100</v>
      </c>
      <c r="S3666" s="22" t="s">
        <v>4478</v>
      </c>
      <c r="T3666" s="22">
        <f t="shared" si="318"/>
        <v>11</v>
      </c>
      <c r="U3666" s="22">
        <f t="shared" si="319"/>
        <v>2021</v>
      </c>
      <c r="V3666" s="22" t="str">
        <f t="shared" si="320"/>
        <v>METROPOLITANA</v>
      </c>
    </row>
    <row r="3667" spans="1:22" x14ac:dyDescent="0.2">
      <c r="A3667" s="23" t="s">
        <v>4473</v>
      </c>
      <c r="B3667" s="22" t="s">
        <v>33</v>
      </c>
      <c r="C3667" s="22" t="s">
        <v>3334</v>
      </c>
      <c r="D3667" s="22" t="s">
        <v>30</v>
      </c>
      <c r="E3667" s="24" t="s">
        <v>31</v>
      </c>
      <c r="F3667" s="22" t="s">
        <v>129</v>
      </c>
      <c r="G3667" s="25">
        <v>6801.5999999999995</v>
      </c>
      <c r="H3667" s="22" t="s">
        <v>32</v>
      </c>
      <c r="I3667" s="22">
        <v>0</v>
      </c>
      <c r="J3667" s="22" t="s">
        <v>129</v>
      </c>
      <c r="K3667" s="22" t="s">
        <v>23</v>
      </c>
      <c r="L3667" s="22">
        <v>1</v>
      </c>
      <c r="M3667" s="26">
        <v>74818</v>
      </c>
      <c r="N3667" s="26">
        <v>0</v>
      </c>
      <c r="O3667" s="15">
        <f t="shared" si="317"/>
        <v>74818</v>
      </c>
      <c r="P3667" s="15">
        <f t="shared" si="316"/>
        <v>11.000058809691838</v>
      </c>
      <c r="Q3667" s="25">
        <v>5000</v>
      </c>
      <c r="R3667" s="22">
        <v>100</v>
      </c>
      <c r="S3667" s="22" t="s">
        <v>4479</v>
      </c>
      <c r="T3667" s="22">
        <f t="shared" si="318"/>
        <v>11</v>
      </c>
      <c r="U3667" s="22">
        <f t="shared" si="319"/>
        <v>2021</v>
      </c>
      <c r="V3667" s="22" t="str">
        <f t="shared" si="320"/>
        <v>METROPOLITANA</v>
      </c>
    </row>
    <row r="3668" spans="1:22" x14ac:dyDescent="0.2">
      <c r="A3668" s="23" t="s">
        <v>4473</v>
      </c>
      <c r="B3668" s="22" t="s">
        <v>33</v>
      </c>
      <c r="C3668" s="22" t="s">
        <v>29</v>
      </c>
      <c r="D3668" s="22" t="s">
        <v>27</v>
      </c>
      <c r="E3668" s="24" t="s">
        <v>28</v>
      </c>
      <c r="F3668" s="22" t="s">
        <v>39</v>
      </c>
      <c r="G3668" s="25">
        <v>8244.0000000000036</v>
      </c>
      <c r="H3668" s="22" t="s">
        <v>22</v>
      </c>
      <c r="I3668" s="22">
        <v>1</v>
      </c>
      <c r="J3668" s="22" t="s">
        <v>39</v>
      </c>
      <c r="K3668" s="22" t="s">
        <v>23</v>
      </c>
      <c r="L3668" s="22">
        <v>1</v>
      </c>
      <c r="M3668" s="26">
        <v>90684</v>
      </c>
      <c r="N3668" s="26">
        <v>0</v>
      </c>
      <c r="O3668" s="15">
        <f t="shared" si="317"/>
        <v>90684</v>
      </c>
      <c r="P3668" s="15">
        <f t="shared" si="316"/>
        <v>10.999999999999995</v>
      </c>
      <c r="Q3668" s="25">
        <v>5000</v>
      </c>
      <c r="R3668" s="22">
        <v>100</v>
      </c>
      <c r="S3668" s="22" t="s">
        <v>4480</v>
      </c>
      <c r="T3668" s="22">
        <f t="shared" si="318"/>
        <v>11</v>
      </c>
      <c r="U3668" s="22">
        <f t="shared" si="319"/>
        <v>2021</v>
      </c>
      <c r="V3668" s="22" t="str">
        <f t="shared" si="320"/>
        <v>METROPOLITANA</v>
      </c>
    </row>
    <row r="3669" spans="1:22" x14ac:dyDescent="0.2">
      <c r="A3669" s="23" t="s">
        <v>4473</v>
      </c>
      <c r="B3669" s="22" t="s">
        <v>33</v>
      </c>
      <c r="C3669" s="22" t="s">
        <v>29</v>
      </c>
      <c r="D3669" s="22" t="s">
        <v>30</v>
      </c>
      <c r="E3669" s="24" t="s">
        <v>31</v>
      </c>
      <c r="F3669" s="22" t="s">
        <v>39</v>
      </c>
      <c r="G3669" s="25">
        <v>18178.169999999998</v>
      </c>
      <c r="H3669" s="22" t="s">
        <v>32</v>
      </c>
      <c r="I3669" s="22">
        <v>0</v>
      </c>
      <c r="J3669" s="22" t="s">
        <v>39</v>
      </c>
      <c r="K3669" s="22" t="s">
        <v>23</v>
      </c>
      <c r="L3669" s="22">
        <v>1</v>
      </c>
      <c r="M3669" s="26">
        <v>199960</v>
      </c>
      <c r="N3669" s="26">
        <v>0</v>
      </c>
      <c r="O3669" s="15">
        <f t="shared" si="317"/>
        <v>199960</v>
      </c>
      <c r="P3669" s="15">
        <f t="shared" si="316"/>
        <v>11.000007151434936</v>
      </c>
      <c r="Q3669" s="25">
        <v>5000</v>
      </c>
      <c r="R3669" s="22">
        <v>100</v>
      </c>
      <c r="S3669" s="22" t="s">
        <v>4481</v>
      </c>
      <c r="T3669" s="22">
        <f t="shared" si="318"/>
        <v>11</v>
      </c>
      <c r="U3669" s="22">
        <f t="shared" si="319"/>
        <v>2021</v>
      </c>
      <c r="V3669" s="22" t="str">
        <f t="shared" si="320"/>
        <v>METROPOLITANA</v>
      </c>
    </row>
    <row r="3670" spans="1:22" x14ac:dyDescent="0.2">
      <c r="A3670" s="23" t="s">
        <v>4473</v>
      </c>
      <c r="B3670" s="22" t="s">
        <v>33</v>
      </c>
      <c r="C3670" s="22" t="s">
        <v>29</v>
      </c>
      <c r="D3670" s="22" t="s">
        <v>41</v>
      </c>
      <c r="E3670" s="24" t="s">
        <v>25</v>
      </c>
      <c r="F3670" s="22" t="s">
        <v>39</v>
      </c>
      <c r="G3670" s="25">
        <v>2748</v>
      </c>
      <c r="H3670" s="22" t="s">
        <v>43</v>
      </c>
      <c r="I3670" s="22">
        <v>0</v>
      </c>
      <c r="J3670" s="22" t="s">
        <v>39</v>
      </c>
      <c r="K3670" s="22" t="s">
        <v>23</v>
      </c>
      <c r="L3670" s="22">
        <v>1</v>
      </c>
      <c r="M3670" s="26">
        <v>55000</v>
      </c>
      <c r="N3670" s="26">
        <v>0</v>
      </c>
      <c r="O3670" s="15">
        <f t="shared" si="317"/>
        <v>55000</v>
      </c>
      <c r="P3670" s="15">
        <f t="shared" si="316"/>
        <v>20.014556040756915</v>
      </c>
      <c r="Q3670" s="25">
        <v>5000</v>
      </c>
      <c r="R3670" s="22">
        <v>55</v>
      </c>
      <c r="S3670" s="22" t="s">
        <v>4482</v>
      </c>
      <c r="T3670" s="22">
        <f t="shared" si="318"/>
        <v>11</v>
      </c>
      <c r="U3670" s="22">
        <f t="shared" si="319"/>
        <v>2021</v>
      </c>
      <c r="V3670" s="22" t="str">
        <f t="shared" si="320"/>
        <v>METROPOLITANA</v>
      </c>
    </row>
    <row r="3671" spans="1:22" x14ac:dyDescent="0.2">
      <c r="A3671" s="23" t="s">
        <v>4473</v>
      </c>
      <c r="B3671" s="22" t="s">
        <v>33</v>
      </c>
      <c r="C3671" s="22" t="s">
        <v>44</v>
      </c>
      <c r="D3671" s="22" t="s">
        <v>191</v>
      </c>
      <c r="E3671" s="24" t="s">
        <v>192</v>
      </c>
      <c r="F3671" s="22" t="s">
        <v>92</v>
      </c>
      <c r="G3671" s="25">
        <f>11774+14152</f>
        <v>25926</v>
      </c>
      <c r="H3671" s="22" t="s">
        <v>85</v>
      </c>
      <c r="I3671" s="22">
        <v>1</v>
      </c>
      <c r="J3671" s="22" t="s">
        <v>92</v>
      </c>
      <c r="K3671" s="22" t="s">
        <v>93</v>
      </c>
      <c r="L3671" s="22">
        <v>0</v>
      </c>
      <c r="M3671" s="26">
        <v>620000</v>
      </c>
      <c r="N3671" s="26">
        <v>0</v>
      </c>
      <c r="O3671" s="15">
        <f t="shared" si="317"/>
        <v>620000</v>
      </c>
      <c r="P3671" s="15">
        <f t="shared" si="316"/>
        <v>23.91421738795032</v>
      </c>
      <c r="Q3671" s="25">
        <v>20000</v>
      </c>
      <c r="R3671" s="22">
        <v>100</v>
      </c>
      <c r="S3671" s="22" t="s">
        <v>4485</v>
      </c>
      <c r="T3671" s="22">
        <f t="shared" si="318"/>
        <v>11</v>
      </c>
      <c r="U3671" s="22">
        <f t="shared" si="319"/>
        <v>2021</v>
      </c>
      <c r="V3671" s="22" t="str">
        <f t="shared" si="320"/>
        <v>REGIONES</v>
      </c>
    </row>
    <row r="3672" spans="1:22" x14ac:dyDescent="0.2">
      <c r="A3672" s="23" t="s">
        <v>4473</v>
      </c>
      <c r="B3672" s="22" t="s">
        <v>33</v>
      </c>
      <c r="C3672" s="22" t="s">
        <v>44</v>
      </c>
      <c r="D3672" s="22" t="s">
        <v>45</v>
      </c>
      <c r="E3672" s="24" t="s">
        <v>52</v>
      </c>
      <c r="F3672" s="22" t="s">
        <v>48</v>
      </c>
      <c r="G3672" s="25">
        <v>2457.4</v>
      </c>
      <c r="H3672" s="22" t="s">
        <v>22</v>
      </c>
      <c r="I3672" s="22">
        <v>0</v>
      </c>
      <c r="J3672" s="22" t="s">
        <v>48</v>
      </c>
      <c r="K3672" s="22" t="s">
        <v>23</v>
      </c>
      <c r="L3672" s="22">
        <v>1</v>
      </c>
      <c r="M3672" s="26">
        <v>55000</v>
      </c>
      <c r="N3672" s="26">
        <v>0</v>
      </c>
      <c r="O3672" s="15">
        <f t="shared" si="317"/>
        <v>55000</v>
      </c>
      <c r="P3672" s="15">
        <f t="shared" si="316"/>
        <v>22.381378692927484</v>
      </c>
      <c r="Q3672" s="25">
        <v>5000</v>
      </c>
      <c r="R3672" s="22">
        <v>49</v>
      </c>
      <c r="S3672" s="22" t="s">
        <v>4483</v>
      </c>
      <c r="T3672" s="22">
        <f t="shared" si="318"/>
        <v>11</v>
      </c>
      <c r="U3672" s="22">
        <f t="shared" si="319"/>
        <v>2021</v>
      </c>
      <c r="V3672" s="22" t="str">
        <f t="shared" si="320"/>
        <v>METROPOLITANA</v>
      </c>
    </row>
    <row r="3673" spans="1:22" x14ac:dyDescent="0.2">
      <c r="A3673" s="23" t="s">
        <v>4473</v>
      </c>
      <c r="B3673" s="22" t="s">
        <v>33</v>
      </c>
      <c r="C3673" s="22" t="s">
        <v>44</v>
      </c>
      <c r="D3673" s="22" t="s">
        <v>47</v>
      </c>
      <c r="E3673" s="24" t="s">
        <v>1576</v>
      </c>
      <c r="F3673" s="22" t="s">
        <v>229</v>
      </c>
      <c r="G3673" s="25">
        <v>6592.8199999999988</v>
      </c>
      <c r="H3673" s="22" t="s">
        <v>22</v>
      </c>
      <c r="I3673" s="22">
        <v>0</v>
      </c>
      <c r="J3673" s="22" t="s">
        <v>230</v>
      </c>
      <c r="K3673" s="22" t="s">
        <v>23</v>
      </c>
      <c r="L3673" s="22">
        <v>4</v>
      </c>
      <c r="M3673" s="26">
        <v>72521</v>
      </c>
      <c r="N3673" s="26">
        <v>0</v>
      </c>
      <c r="O3673" s="15">
        <f t="shared" si="317"/>
        <v>72521</v>
      </c>
      <c r="P3673" s="15">
        <f t="shared" si="316"/>
        <v>10.999996966396779</v>
      </c>
      <c r="Q3673" s="25">
        <v>5000</v>
      </c>
      <c r="R3673" s="22">
        <v>100</v>
      </c>
      <c r="S3673" s="22" t="s">
        <v>4484</v>
      </c>
      <c r="T3673" s="22">
        <f t="shared" si="318"/>
        <v>11</v>
      </c>
      <c r="U3673" s="22">
        <f t="shared" si="319"/>
        <v>2021</v>
      </c>
      <c r="V3673" s="22" t="str">
        <f t="shared" si="320"/>
        <v>METROPOLITANA</v>
      </c>
    </row>
    <row r="3674" spans="1:22" x14ac:dyDescent="0.2">
      <c r="A3674" s="11" t="s">
        <v>4486</v>
      </c>
      <c r="B3674" s="12" t="s">
        <v>18</v>
      </c>
      <c r="C3674" s="12" t="s">
        <v>500</v>
      </c>
      <c r="D3674" s="12" t="s">
        <v>30</v>
      </c>
      <c r="E3674" s="13" t="s">
        <v>31</v>
      </c>
      <c r="F3674" s="12" t="s">
        <v>120</v>
      </c>
      <c r="G3674" s="14">
        <v>6935.73</v>
      </c>
      <c r="H3674" s="12" t="s">
        <v>32</v>
      </c>
      <c r="I3674" s="12">
        <v>0</v>
      </c>
      <c r="J3674" s="12" t="s">
        <v>120</v>
      </c>
      <c r="K3674" s="12" t="s">
        <v>23</v>
      </c>
      <c r="L3674" s="12">
        <v>5</v>
      </c>
      <c r="M3674" s="15">
        <v>70000</v>
      </c>
      <c r="N3674" s="15">
        <v>0</v>
      </c>
      <c r="O3674" s="15">
        <f t="shared" si="317"/>
        <v>70000</v>
      </c>
      <c r="P3674" s="15">
        <f t="shared" si="316"/>
        <v>10.092665083560059</v>
      </c>
      <c r="Q3674" s="14">
        <v>10000</v>
      </c>
      <c r="R3674" s="12">
        <v>69</v>
      </c>
      <c r="S3674" s="12" t="s">
        <v>4487</v>
      </c>
      <c r="T3674" s="22">
        <f t="shared" si="318"/>
        <v>12</v>
      </c>
      <c r="U3674" s="22">
        <f t="shared" si="319"/>
        <v>2021</v>
      </c>
      <c r="V3674" s="22" t="str">
        <f t="shared" si="320"/>
        <v>METROPOLITANA</v>
      </c>
    </row>
    <row r="3675" spans="1:22" x14ac:dyDescent="0.2">
      <c r="A3675" s="11" t="s">
        <v>4486</v>
      </c>
      <c r="B3675" s="12" t="s">
        <v>18</v>
      </c>
      <c r="C3675" s="12" t="s">
        <v>19</v>
      </c>
      <c r="D3675" s="12" t="s">
        <v>4488</v>
      </c>
      <c r="E3675" s="13" t="s">
        <v>25</v>
      </c>
      <c r="F3675" s="12" t="s">
        <v>2554</v>
      </c>
      <c r="G3675" s="14">
        <v>7962.1200000000026</v>
      </c>
      <c r="H3675" s="12" t="s">
        <v>24</v>
      </c>
      <c r="I3675" s="12">
        <v>1</v>
      </c>
      <c r="J3675" s="12" t="s">
        <v>2554</v>
      </c>
      <c r="K3675" s="12" t="s">
        <v>23</v>
      </c>
      <c r="L3675" s="12">
        <v>5</v>
      </c>
      <c r="M3675" s="15">
        <v>120000</v>
      </c>
      <c r="N3675" s="15">
        <v>0</v>
      </c>
      <c r="O3675" s="15">
        <f t="shared" si="317"/>
        <v>120000</v>
      </c>
      <c r="P3675" s="15">
        <f t="shared" si="316"/>
        <v>15.071362903347344</v>
      </c>
      <c r="Q3675" s="14">
        <v>10000</v>
      </c>
      <c r="R3675" s="12">
        <v>80</v>
      </c>
      <c r="S3675" s="12" t="s">
        <v>4489</v>
      </c>
      <c r="T3675" s="22">
        <f t="shared" si="318"/>
        <v>12</v>
      </c>
      <c r="U3675" s="22">
        <f t="shared" si="319"/>
        <v>2021</v>
      </c>
      <c r="V3675" s="22" t="str">
        <f t="shared" si="320"/>
        <v>METROPOLITANA</v>
      </c>
    </row>
    <row r="3676" spans="1:22" x14ac:dyDescent="0.2">
      <c r="A3676" s="11" t="s">
        <v>4486</v>
      </c>
      <c r="B3676" s="12" t="s">
        <v>33</v>
      </c>
      <c r="C3676" s="12" t="s">
        <v>163</v>
      </c>
      <c r="D3676" s="12" t="s">
        <v>37</v>
      </c>
      <c r="E3676" s="13" t="s">
        <v>40</v>
      </c>
      <c r="F3676" s="12" t="s">
        <v>165</v>
      </c>
      <c r="G3676" s="14">
        <v>9027.1999999999971</v>
      </c>
      <c r="H3676" s="12" t="s">
        <v>22</v>
      </c>
      <c r="I3676" s="12">
        <v>0</v>
      </c>
      <c r="J3676" s="12" t="s">
        <v>165</v>
      </c>
      <c r="K3676" s="12" t="s">
        <v>23</v>
      </c>
      <c r="L3676" s="12">
        <v>4</v>
      </c>
      <c r="M3676" s="15">
        <v>99299</v>
      </c>
      <c r="N3676" s="15">
        <v>0</v>
      </c>
      <c r="O3676" s="15">
        <f t="shared" si="317"/>
        <v>99299</v>
      </c>
      <c r="P3676" s="15">
        <f t="shared" si="316"/>
        <v>10.999977844735913</v>
      </c>
      <c r="Q3676" s="14">
        <v>5000</v>
      </c>
      <c r="R3676" s="12">
        <v>100</v>
      </c>
      <c r="S3676" s="12" t="s">
        <v>4490</v>
      </c>
      <c r="T3676" s="22">
        <f t="shared" si="318"/>
        <v>12</v>
      </c>
      <c r="U3676" s="22">
        <f t="shared" si="319"/>
        <v>2021</v>
      </c>
      <c r="V3676" s="22" t="str">
        <f t="shared" si="320"/>
        <v>METROPOLITANA</v>
      </c>
    </row>
    <row r="3677" spans="1:22" x14ac:dyDescent="0.2">
      <c r="A3677" s="11" t="s">
        <v>4486</v>
      </c>
      <c r="B3677" s="12" t="s">
        <v>33</v>
      </c>
      <c r="C3677" s="12" t="s">
        <v>29</v>
      </c>
      <c r="D3677" s="12" t="s">
        <v>47</v>
      </c>
      <c r="E3677" s="13" t="s">
        <v>1576</v>
      </c>
      <c r="F3677" s="12" t="s">
        <v>134</v>
      </c>
      <c r="G3677" s="14">
        <f>2473.2+2198</f>
        <v>4671.2</v>
      </c>
      <c r="H3677" s="12" t="s">
        <v>22</v>
      </c>
      <c r="I3677" s="12">
        <v>0</v>
      </c>
      <c r="J3677" s="12" t="s">
        <v>134</v>
      </c>
      <c r="K3677" s="12" t="s">
        <v>23</v>
      </c>
      <c r="L3677" s="12">
        <v>2</v>
      </c>
      <c r="M3677" s="15">
        <v>55000</v>
      </c>
      <c r="N3677" s="15">
        <v>0</v>
      </c>
      <c r="O3677" s="15">
        <f t="shared" si="317"/>
        <v>55000</v>
      </c>
      <c r="P3677" s="15">
        <f t="shared" si="316"/>
        <v>11.774276417194725</v>
      </c>
      <c r="Q3677" s="14">
        <v>5000</v>
      </c>
      <c r="R3677" s="12">
        <v>49</v>
      </c>
      <c r="S3677" s="12" t="s">
        <v>4494</v>
      </c>
      <c r="T3677" s="22">
        <f t="shared" si="318"/>
        <v>12</v>
      </c>
      <c r="U3677" s="22">
        <f t="shared" si="319"/>
        <v>2021</v>
      </c>
      <c r="V3677" s="22" t="str">
        <f t="shared" si="320"/>
        <v>METROPOLITANA</v>
      </c>
    </row>
    <row r="3678" spans="1:22" x14ac:dyDescent="0.2">
      <c r="A3678" s="11" t="s">
        <v>4486</v>
      </c>
      <c r="B3678" s="12" t="s">
        <v>33</v>
      </c>
      <c r="C3678" s="12" t="s">
        <v>44</v>
      </c>
      <c r="D3678" s="12" t="s">
        <v>45</v>
      </c>
      <c r="E3678" s="13" t="s">
        <v>52</v>
      </c>
      <c r="F3678" s="12" t="s">
        <v>138</v>
      </c>
      <c r="G3678" s="14">
        <v>5552.2</v>
      </c>
      <c r="H3678" s="12" t="s">
        <v>22</v>
      </c>
      <c r="I3678" s="12">
        <v>0</v>
      </c>
      <c r="J3678" s="12" t="s">
        <v>138</v>
      </c>
      <c r="K3678" s="12" t="s">
        <v>23</v>
      </c>
      <c r="L3678" s="12">
        <v>3</v>
      </c>
      <c r="M3678" s="15">
        <v>61074</v>
      </c>
      <c r="N3678" s="15">
        <v>0</v>
      </c>
      <c r="O3678" s="15">
        <f t="shared" si="317"/>
        <v>61074</v>
      </c>
      <c r="P3678" s="15">
        <f t="shared" si="316"/>
        <v>10.999963978242858</v>
      </c>
      <c r="Q3678" s="14">
        <v>5000</v>
      </c>
      <c r="R3678" s="12">
        <v>100</v>
      </c>
      <c r="S3678" s="12" t="s">
        <v>4491</v>
      </c>
      <c r="T3678" s="22">
        <f t="shared" si="318"/>
        <v>12</v>
      </c>
      <c r="U3678" s="22">
        <f t="shared" si="319"/>
        <v>2021</v>
      </c>
      <c r="V3678" s="22" t="str">
        <f t="shared" si="320"/>
        <v>METROPOLITANA</v>
      </c>
    </row>
    <row r="3679" spans="1:22" x14ac:dyDescent="0.2">
      <c r="A3679" s="11" t="s">
        <v>4486</v>
      </c>
      <c r="B3679" s="12" t="s">
        <v>33</v>
      </c>
      <c r="C3679" s="12" t="s">
        <v>44</v>
      </c>
      <c r="D3679" s="12" t="s">
        <v>47</v>
      </c>
      <c r="E3679" s="13" t="s">
        <v>1576</v>
      </c>
      <c r="F3679" s="12" t="s">
        <v>48</v>
      </c>
      <c r="G3679" s="14">
        <v>3280</v>
      </c>
      <c r="H3679" s="12" t="s">
        <v>22</v>
      </c>
      <c r="I3679" s="12">
        <v>0</v>
      </c>
      <c r="J3679" s="12" t="s">
        <v>48</v>
      </c>
      <c r="K3679" s="12" t="s">
        <v>23</v>
      </c>
      <c r="L3679" s="12">
        <v>1</v>
      </c>
      <c r="M3679" s="15">
        <v>55000</v>
      </c>
      <c r="N3679" s="15">
        <v>0</v>
      </c>
      <c r="O3679" s="15">
        <f t="shared" si="317"/>
        <v>55000</v>
      </c>
      <c r="P3679" s="15">
        <f t="shared" si="316"/>
        <v>16.76829268292683</v>
      </c>
      <c r="Q3679" s="14">
        <v>5000</v>
      </c>
      <c r="R3679" s="12">
        <v>66</v>
      </c>
      <c r="S3679" s="12" t="s">
        <v>4492</v>
      </c>
      <c r="T3679" s="22">
        <f t="shared" si="318"/>
        <v>12</v>
      </c>
      <c r="U3679" s="22">
        <f t="shared" si="319"/>
        <v>2021</v>
      </c>
      <c r="V3679" s="22" t="str">
        <f t="shared" si="320"/>
        <v>METROPOLITANA</v>
      </c>
    </row>
    <row r="3680" spans="1:22" x14ac:dyDescent="0.2">
      <c r="A3680" s="11" t="s">
        <v>4486</v>
      </c>
      <c r="B3680" s="12" t="s">
        <v>33</v>
      </c>
      <c r="C3680" s="12" t="s">
        <v>44</v>
      </c>
      <c r="D3680" s="12" t="s">
        <v>41</v>
      </c>
      <c r="E3680" s="13" t="s">
        <v>25</v>
      </c>
      <c r="F3680" s="12" t="s">
        <v>51</v>
      </c>
      <c r="G3680" s="14">
        <v>3075.6000000000008</v>
      </c>
      <c r="H3680" s="12" t="s">
        <v>43</v>
      </c>
      <c r="I3680" s="12">
        <v>0</v>
      </c>
      <c r="J3680" s="12" t="s">
        <v>51</v>
      </c>
      <c r="K3680" s="12" t="s">
        <v>23</v>
      </c>
      <c r="L3680" s="12">
        <v>4</v>
      </c>
      <c r="M3680" s="15">
        <v>55000</v>
      </c>
      <c r="N3680" s="15">
        <v>0</v>
      </c>
      <c r="O3680" s="15">
        <f t="shared" si="317"/>
        <v>55000</v>
      </c>
      <c r="P3680" s="15">
        <f t="shared" si="316"/>
        <v>17.882689556509295</v>
      </c>
      <c r="Q3680" s="14">
        <v>5000</v>
      </c>
      <c r="R3680" s="12">
        <v>62</v>
      </c>
      <c r="S3680" s="12" t="s">
        <v>4493</v>
      </c>
      <c r="T3680" s="22">
        <f t="shared" si="318"/>
        <v>12</v>
      </c>
      <c r="U3680" s="22">
        <f t="shared" si="319"/>
        <v>2021</v>
      </c>
      <c r="V3680" s="22" t="str">
        <f t="shared" si="320"/>
        <v>METROPOLITANA</v>
      </c>
    </row>
    <row r="3681" spans="1:22" x14ac:dyDescent="0.2">
      <c r="A3681" s="23" t="s">
        <v>4495</v>
      </c>
      <c r="B3681" s="22" t="s">
        <v>33</v>
      </c>
      <c r="C3681" s="22" t="s">
        <v>270</v>
      </c>
      <c r="D3681" s="22" t="s">
        <v>30</v>
      </c>
      <c r="E3681" s="24" t="s">
        <v>31</v>
      </c>
      <c r="F3681" s="22" t="s">
        <v>120</v>
      </c>
      <c r="G3681" s="25">
        <v>10015</v>
      </c>
      <c r="H3681" s="22" t="s">
        <v>32</v>
      </c>
      <c r="I3681" s="22">
        <v>0</v>
      </c>
      <c r="J3681" s="22" t="s">
        <v>120</v>
      </c>
      <c r="K3681" s="22" t="s">
        <v>23</v>
      </c>
      <c r="L3681" s="22">
        <v>5</v>
      </c>
      <c r="M3681" s="26">
        <v>70000</v>
      </c>
      <c r="N3681" s="26">
        <v>0</v>
      </c>
      <c r="O3681" s="15">
        <f t="shared" si="317"/>
        <v>70000</v>
      </c>
      <c r="P3681" s="15">
        <f t="shared" ref="P3681:P3744" si="321">O3681/G3681</f>
        <v>6.9895157264103842</v>
      </c>
      <c r="Q3681" s="25">
        <v>10000</v>
      </c>
      <c r="R3681" s="22">
        <v>100</v>
      </c>
      <c r="S3681" s="22" t="s">
        <v>4496</v>
      </c>
      <c r="T3681" s="22">
        <f t="shared" si="318"/>
        <v>12</v>
      </c>
      <c r="U3681" s="22">
        <f t="shared" si="319"/>
        <v>2021</v>
      </c>
      <c r="V3681" s="22" t="str">
        <f t="shared" si="320"/>
        <v>METROPOLITANA</v>
      </c>
    </row>
    <row r="3682" spans="1:22" x14ac:dyDescent="0.2">
      <c r="A3682" s="23" t="s">
        <v>4495</v>
      </c>
      <c r="B3682" s="22" t="s">
        <v>33</v>
      </c>
      <c r="C3682" s="22" t="s">
        <v>36</v>
      </c>
      <c r="D3682" s="22" t="s">
        <v>2262</v>
      </c>
      <c r="E3682" s="24" t="s">
        <v>83</v>
      </c>
      <c r="F3682" s="22" t="s">
        <v>84</v>
      </c>
      <c r="G3682" s="25">
        <f>3938.22+3728</f>
        <v>7666.2199999999993</v>
      </c>
      <c r="H3682" s="22" t="s">
        <v>24</v>
      </c>
      <c r="I3682" s="22">
        <v>1</v>
      </c>
      <c r="J3682" s="22" t="s">
        <v>84</v>
      </c>
      <c r="K3682" s="22" t="s">
        <v>86</v>
      </c>
      <c r="L3682" s="22">
        <v>0</v>
      </c>
      <c r="M3682" s="26">
        <v>320000</v>
      </c>
      <c r="N3682" s="26">
        <v>0</v>
      </c>
      <c r="O3682" s="15">
        <f t="shared" si="317"/>
        <v>320000</v>
      </c>
      <c r="P3682" s="15">
        <f t="shared" si="321"/>
        <v>41.741562334501232</v>
      </c>
      <c r="Q3682" s="25">
        <v>20000</v>
      </c>
      <c r="R3682" s="22">
        <v>65</v>
      </c>
      <c r="S3682" s="22" t="s">
        <v>4499</v>
      </c>
      <c r="T3682" s="22">
        <f t="shared" si="318"/>
        <v>12</v>
      </c>
      <c r="U3682" s="22">
        <f t="shared" si="319"/>
        <v>2021</v>
      </c>
      <c r="V3682" s="22" t="str">
        <f t="shared" si="320"/>
        <v>REGIONES</v>
      </c>
    </row>
    <row r="3683" spans="1:22" x14ac:dyDescent="0.2">
      <c r="A3683" s="23" t="s">
        <v>4495</v>
      </c>
      <c r="B3683" s="22" t="s">
        <v>33</v>
      </c>
      <c r="C3683" s="22" t="s">
        <v>36</v>
      </c>
      <c r="D3683" s="22" t="s">
        <v>786</v>
      </c>
      <c r="E3683" s="24" t="s">
        <v>787</v>
      </c>
      <c r="F3683" s="22" t="s">
        <v>59</v>
      </c>
      <c r="G3683" s="25">
        <f>2740.62+2523</f>
        <v>5263.62</v>
      </c>
      <c r="H3683" s="22" t="s">
        <v>788</v>
      </c>
      <c r="I3683" s="22">
        <v>1</v>
      </c>
      <c r="J3683" s="22" t="s">
        <v>59</v>
      </c>
      <c r="K3683" s="22" t="s">
        <v>78</v>
      </c>
      <c r="L3683" s="22">
        <v>0</v>
      </c>
      <c r="M3683" s="26">
        <v>230000</v>
      </c>
      <c r="N3683" s="26">
        <v>0</v>
      </c>
      <c r="O3683" s="15">
        <f t="shared" si="317"/>
        <v>230000</v>
      </c>
      <c r="P3683" s="15">
        <f t="shared" si="321"/>
        <v>43.696163476846735</v>
      </c>
      <c r="Q3683" s="25">
        <v>20000</v>
      </c>
      <c r="R3683" s="22">
        <v>80</v>
      </c>
      <c r="S3683" s="22" t="s">
        <v>4500</v>
      </c>
      <c r="T3683" s="22">
        <f t="shared" si="318"/>
        <v>12</v>
      </c>
      <c r="U3683" s="22">
        <f t="shared" si="319"/>
        <v>2021</v>
      </c>
      <c r="V3683" s="22" t="str">
        <f t="shared" si="320"/>
        <v>REGIONES</v>
      </c>
    </row>
    <row r="3684" spans="1:22" x14ac:dyDescent="0.2">
      <c r="A3684" s="23" t="s">
        <v>4495</v>
      </c>
      <c r="B3684" s="22" t="s">
        <v>33</v>
      </c>
      <c r="C3684" s="22" t="s">
        <v>29</v>
      </c>
      <c r="D3684" s="22" t="s">
        <v>37</v>
      </c>
      <c r="E3684" s="24" t="s">
        <v>40</v>
      </c>
      <c r="F3684" s="22" t="s">
        <v>39</v>
      </c>
      <c r="G3684" s="25">
        <v>4752</v>
      </c>
      <c r="H3684" s="22" t="s">
        <v>22</v>
      </c>
      <c r="I3684" s="22">
        <v>0</v>
      </c>
      <c r="J3684" s="22" t="s">
        <v>39</v>
      </c>
      <c r="K3684" s="22" t="s">
        <v>23</v>
      </c>
      <c r="L3684" s="22">
        <v>1</v>
      </c>
      <c r="M3684" s="26">
        <v>55000</v>
      </c>
      <c r="N3684" s="26">
        <v>0</v>
      </c>
      <c r="O3684" s="15">
        <f t="shared" si="317"/>
        <v>55000</v>
      </c>
      <c r="P3684" s="15">
        <f t="shared" si="321"/>
        <v>11.574074074074074</v>
      </c>
      <c r="Q3684" s="25">
        <v>5000</v>
      </c>
      <c r="R3684" s="22">
        <v>95</v>
      </c>
      <c r="S3684" s="22" t="s">
        <v>4497</v>
      </c>
      <c r="T3684" s="22">
        <f t="shared" si="318"/>
        <v>12</v>
      </c>
      <c r="U3684" s="22">
        <f t="shared" si="319"/>
        <v>2021</v>
      </c>
      <c r="V3684" s="22" t="str">
        <f t="shared" si="320"/>
        <v>METROPOLITANA</v>
      </c>
    </row>
    <row r="3685" spans="1:22" x14ac:dyDescent="0.2">
      <c r="A3685" s="23" t="s">
        <v>4495</v>
      </c>
      <c r="B3685" s="22" t="s">
        <v>33</v>
      </c>
      <c r="C3685" s="22" t="s">
        <v>44</v>
      </c>
      <c r="D3685" s="22" t="s">
        <v>47</v>
      </c>
      <c r="E3685" s="24" t="s">
        <v>1576</v>
      </c>
      <c r="F3685" s="22" t="s">
        <v>48</v>
      </c>
      <c r="G3685" s="25">
        <v>8142.04</v>
      </c>
      <c r="H3685" s="22" t="s">
        <v>22</v>
      </c>
      <c r="I3685" s="22">
        <v>0</v>
      </c>
      <c r="J3685" s="22" t="s">
        <v>48</v>
      </c>
      <c r="K3685" s="22" t="s">
        <v>23</v>
      </c>
      <c r="L3685" s="22">
        <v>1</v>
      </c>
      <c r="M3685" s="26">
        <v>89562</v>
      </c>
      <c r="N3685" s="26">
        <v>0</v>
      </c>
      <c r="O3685" s="15">
        <f t="shared" si="317"/>
        <v>89562</v>
      </c>
      <c r="P3685" s="15">
        <f t="shared" si="321"/>
        <v>10.999945959489269</v>
      </c>
      <c r="Q3685" s="25">
        <v>5000</v>
      </c>
      <c r="R3685" s="22">
        <v>100</v>
      </c>
      <c r="S3685" s="22" t="s">
        <v>4498</v>
      </c>
      <c r="T3685" s="22">
        <f t="shared" si="318"/>
        <v>12</v>
      </c>
      <c r="U3685" s="22">
        <f t="shared" si="319"/>
        <v>2021</v>
      </c>
      <c r="V3685" s="22" t="str">
        <f t="shared" si="320"/>
        <v>METROPOLITANA</v>
      </c>
    </row>
    <row r="3686" spans="1:22" x14ac:dyDescent="0.2">
      <c r="A3686" s="11" t="s">
        <v>4501</v>
      </c>
      <c r="B3686" s="12" t="s">
        <v>18</v>
      </c>
      <c r="C3686" s="12" t="s">
        <v>19</v>
      </c>
      <c r="D3686" s="12" t="s">
        <v>61</v>
      </c>
      <c r="E3686" s="13" t="s">
        <v>3920</v>
      </c>
      <c r="F3686" s="12" t="s">
        <v>84</v>
      </c>
      <c r="G3686" s="14">
        <v>16793.900000000009</v>
      </c>
      <c r="H3686" s="12" t="s">
        <v>85</v>
      </c>
      <c r="I3686" s="12">
        <v>1</v>
      </c>
      <c r="J3686" s="12" t="s">
        <v>84</v>
      </c>
      <c r="K3686" s="12" t="s">
        <v>86</v>
      </c>
      <c r="L3686" s="12">
        <v>0</v>
      </c>
      <c r="M3686" s="15">
        <v>320000</v>
      </c>
      <c r="N3686" s="15">
        <v>0</v>
      </c>
      <c r="O3686" s="15">
        <f t="shared" si="317"/>
        <v>320000</v>
      </c>
      <c r="P3686" s="15">
        <f t="shared" si="321"/>
        <v>19.054537659507311</v>
      </c>
      <c r="Q3686" s="14">
        <v>20000</v>
      </c>
      <c r="R3686" s="12">
        <v>84</v>
      </c>
      <c r="S3686" s="12" t="s">
        <v>4502</v>
      </c>
      <c r="T3686" s="22">
        <f t="shared" si="318"/>
        <v>12</v>
      </c>
      <c r="U3686" s="22">
        <f t="shared" si="319"/>
        <v>2021</v>
      </c>
      <c r="V3686" s="22" t="str">
        <f t="shared" si="320"/>
        <v>REGIONES</v>
      </c>
    </row>
    <row r="3687" spans="1:22" x14ac:dyDescent="0.2">
      <c r="A3687" s="11" t="s">
        <v>4501</v>
      </c>
      <c r="B3687" s="12" t="s">
        <v>33</v>
      </c>
      <c r="C3687" s="12" t="s">
        <v>128</v>
      </c>
      <c r="D3687" s="12" t="s">
        <v>4361</v>
      </c>
      <c r="E3687" s="13" t="s">
        <v>4362</v>
      </c>
      <c r="F3687" s="12" t="s">
        <v>66</v>
      </c>
      <c r="G3687" s="14">
        <v>9022.7999999999993</v>
      </c>
      <c r="H3687" s="12" t="s">
        <v>85</v>
      </c>
      <c r="I3687" s="12">
        <v>1</v>
      </c>
      <c r="J3687" s="12" t="s">
        <v>66</v>
      </c>
      <c r="K3687" s="12" t="s">
        <v>75</v>
      </c>
      <c r="L3687" s="12">
        <v>0</v>
      </c>
      <c r="M3687" s="15">
        <v>380000</v>
      </c>
      <c r="N3687" s="15">
        <v>0</v>
      </c>
      <c r="O3687" s="15">
        <f t="shared" si="317"/>
        <v>380000</v>
      </c>
      <c r="P3687" s="15">
        <f t="shared" si="321"/>
        <v>42.115529547368894</v>
      </c>
      <c r="Q3687" s="14">
        <v>20000</v>
      </c>
      <c r="R3687" s="12">
        <v>45</v>
      </c>
      <c r="S3687" s="12" t="s">
        <v>4503</v>
      </c>
      <c r="T3687" s="22">
        <f t="shared" si="318"/>
        <v>12</v>
      </c>
      <c r="U3687" s="22">
        <f t="shared" si="319"/>
        <v>2021</v>
      </c>
      <c r="V3687" s="22" t="str">
        <f t="shared" si="320"/>
        <v>REGIONES</v>
      </c>
    </row>
    <row r="3688" spans="1:22" x14ac:dyDescent="0.2">
      <c r="A3688" s="11" t="s">
        <v>4501</v>
      </c>
      <c r="B3688" s="12" t="s">
        <v>33</v>
      </c>
      <c r="C3688" s="12" t="s">
        <v>128</v>
      </c>
      <c r="D3688" s="12" t="s">
        <v>786</v>
      </c>
      <c r="E3688" s="13" t="s">
        <v>787</v>
      </c>
      <c r="F3688" s="12" t="s">
        <v>34</v>
      </c>
      <c r="G3688" s="14">
        <f>9028.80000000001+475</f>
        <v>9503.8000000000102</v>
      </c>
      <c r="H3688" s="12" t="s">
        <v>788</v>
      </c>
      <c r="I3688" s="12">
        <v>1</v>
      </c>
      <c r="J3688" s="12" t="s">
        <v>34</v>
      </c>
      <c r="K3688" s="12" t="s">
        <v>23</v>
      </c>
      <c r="L3688" s="12">
        <v>1</v>
      </c>
      <c r="M3688" s="15">
        <v>99317</v>
      </c>
      <c r="N3688" s="15">
        <v>0</v>
      </c>
      <c r="O3688" s="15">
        <f t="shared" si="317"/>
        <v>99317</v>
      </c>
      <c r="P3688" s="15">
        <f t="shared" si="321"/>
        <v>10.450240956249068</v>
      </c>
      <c r="Q3688" s="14">
        <v>5000</v>
      </c>
      <c r="R3688" s="12">
        <v>100</v>
      </c>
      <c r="S3688" s="12" t="s">
        <v>4512</v>
      </c>
      <c r="T3688" s="22">
        <f t="shared" si="318"/>
        <v>12</v>
      </c>
      <c r="U3688" s="22">
        <f t="shared" si="319"/>
        <v>2021</v>
      </c>
      <c r="V3688" s="22" t="str">
        <f t="shared" si="320"/>
        <v>METROPOLITANA</v>
      </c>
    </row>
    <row r="3689" spans="1:22" x14ac:dyDescent="0.2">
      <c r="A3689" s="11" t="s">
        <v>4501</v>
      </c>
      <c r="B3689" s="12" t="s">
        <v>33</v>
      </c>
      <c r="C3689" s="12" t="s">
        <v>128</v>
      </c>
      <c r="D3689" s="12" t="s">
        <v>2955</v>
      </c>
      <c r="E3689" s="13" t="s">
        <v>2956</v>
      </c>
      <c r="F3689" s="12" t="s">
        <v>34</v>
      </c>
      <c r="G3689" s="14">
        <v>17294.19999999999</v>
      </c>
      <c r="H3689" s="12" t="s">
        <v>24</v>
      </c>
      <c r="I3689" s="12">
        <v>1</v>
      </c>
      <c r="J3689" s="12" t="s">
        <v>34</v>
      </c>
      <c r="K3689" s="12" t="s">
        <v>23</v>
      </c>
      <c r="L3689" s="12">
        <v>1</v>
      </c>
      <c r="M3689" s="15">
        <v>190236</v>
      </c>
      <c r="N3689" s="15">
        <v>0</v>
      </c>
      <c r="O3689" s="15">
        <f t="shared" si="317"/>
        <v>190236</v>
      </c>
      <c r="P3689" s="15">
        <f t="shared" si="321"/>
        <v>10.999988435429225</v>
      </c>
      <c r="Q3689" s="14">
        <v>5000</v>
      </c>
      <c r="R3689" s="12">
        <v>100</v>
      </c>
      <c r="S3689" s="12" t="s">
        <v>4504</v>
      </c>
      <c r="T3689" s="22">
        <f t="shared" si="318"/>
        <v>12</v>
      </c>
      <c r="U3689" s="22">
        <f t="shared" si="319"/>
        <v>2021</v>
      </c>
      <c r="V3689" s="22" t="str">
        <f t="shared" si="320"/>
        <v>METROPOLITANA</v>
      </c>
    </row>
    <row r="3690" spans="1:22" x14ac:dyDescent="0.2">
      <c r="A3690" s="11" t="s">
        <v>4501</v>
      </c>
      <c r="B3690" s="12" t="s">
        <v>33</v>
      </c>
      <c r="C3690" s="12" t="s">
        <v>128</v>
      </c>
      <c r="D3690" s="12" t="s">
        <v>2955</v>
      </c>
      <c r="E3690" s="13" t="s">
        <v>2956</v>
      </c>
      <c r="F3690" s="12" t="s">
        <v>129</v>
      </c>
      <c r="G3690" s="14">
        <v>9504.0000000000091</v>
      </c>
      <c r="H3690" s="12" t="s">
        <v>24</v>
      </c>
      <c r="I3690" s="12">
        <v>1</v>
      </c>
      <c r="J3690" s="12" t="s">
        <v>129</v>
      </c>
      <c r="K3690" s="12" t="s">
        <v>23</v>
      </c>
      <c r="L3690" s="12">
        <v>1</v>
      </c>
      <c r="M3690" s="15">
        <v>104544</v>
      </c>
      <c r="N3690" s="15">
        <v>0</v>
      </c>
      <c r="O3690" s="15">
        <f t="shared" si="317"/>
        <v>104544</v>
      </c>
      <c r="P3690" s="15">
        <f t="shared" si="321"/>
        <v>10.999999999999989</v>
      </c>
      <c r="Q3690" s="14">
        <v>5000</v>
      </c>
      <c r="R3690" s="12">
        <v>100</v>
      </c>
      <c r="S3690" s="12" t="s">
        <v>4505</v>
      </c>
      <c r="T3690" s="22">
        <f t="shared" si="318"/>
        <v>12</v>
      </c>
      <c r="U3690" s="22">
        <f t="shared" si="319"/>
        <v>2021</v>
      </c>
      <c r="V3690" s="22" t="str">
        <f t="shared" si="320"/>
        <v>METROPOLITANA</v>
      </c>
    </row>
    <row r="3691" spans="1:22" x14ac:dyDescent="0.2">
      <c r="A3691" s="11" t="s">
        <v>4501</v>
      </c>
      <c r="B3691" s="12" t="s">
        <v>33</v>
      </c>
      <c r="C3691" s="12" t="s">
        <v>44</v>
      </c>
      <c r="D3691" s="12" t="s">
        <v>191</v>
      </c>
      <c r="E3691" s="13" t="s">
        <v>192</v>
      </c>
      <c r="F3691" s="12" t="s">
        <v>2308</v>
      </c>
      <c r="G3691" s="14">
        <v>17815.64</v>
      </c>
      <c r="H3691" s="12" t="s">
        <v>85</v>
      </c>
      <c r="I3691" s="12">
        <v>1</v>
      </c>
      <c r="J3691" s="12" t="s">
        <v>2308</v>
      </c>
      <c r="K3691" s="12" t="s">
        <v>2309</v>
      </c>
      <c r="L3691" s="12">
        <v>0</v>
      </c>
      <c r="M3691" s="15">
        <v>750000</v>
      </c>
      <c r="N3691" s="15">
        <v>0</v>
      </c>
      <c r="O3691" s="15">
        <f t="shared" ref="O3691:O3754" si="322">SUM(M3691:N3691)</f>
        <v>750000</v>
      </c>
      <c r="P3691" s="15">
        <f t="shared" si="321"/>
        <v>42.097842120743351</v>
      </c>
      <c r="Q3691" s="14">
        <v>20000</v>
      </c>
      <c r="R3691" s="12">
        <v>89</v>
      </c>
      <c r="S3691" s="12" t="s">
        <v>4506</v>
      </c>
      <c r="T3691" s="22">
        <f t="shared" si="318"/>
        <v>12</v>
      </c>
      <c r="U3691" s="22">
        <f t="shared" si="319"/>
        <v>2021</v>
      </c>
      <c r="V3691" s="22" t="str">
        <f t="shared" si="320"/>
        <v>REGIONES</v>
      </c>
    </row>
    <row r="3692" spans="1:22" x14ac:dyDescent="0.2">
      <c r="A3692" s="11" t="s">
        <v>4501</v>
      </c>
      <c r="B3692" s="12" t="s">
        <v>33</v>
      </c>
      <c r="C3692" s="12" t="s">
        <v>44</v>
      </c>
      <c r="D3692" s="12" t="s">
        <v>4507</v>
      </c>
      <c r="E3692" s="13" t="s">
        <v>4129</v>
      </c>
      <c r="F3692" s="12" t="s">
        <v>66</v>
      </c>
      <c r="G3692" s="14">
        <f>9002.8+3338</f>
        <v>12340.8</v>
      </c>
      <c r="H3692" s="12" t="s">
        <v>24</v>
      </c>
      <c r="I3692" s="12">
        <v>1</v>
      </c>
      <c r="J3692" s="12" t="s">
        <v>66</v>
      </c>
      <c r="K3692" s="12" t="s">
        <v>75</v>
      </c>
      <c r="L3692" s="12">
        <v>0</v>
      </c>
      <c r="M3692" s="15">
        <v>380000</v>
      </c>
      <c r="N3692" s="15">
        <v>0</v>
      </c>
      <c r="O3692" s="15">
        <f t="shared" si="322"/>
        <v>380000</v>
      </c>
      <c r="P3692" s="15">
        <f t="shared" si="321"/>
        <v>30.792169065214576</v>
      </c>
      <c r="Q3692" s="14">
        <v>20000</v>
      </c>
      <c r="R3692" s="12">
        <v>85</v>
      </c>
      <c r="S3692" s="12" t="s">
        <v>4513</v>
      </c>
      <c r="T3692" s="22">
        <f t="shared" si="318"/>
        <v>12</v>
      </c>
      <c r="U3692" s="22">
        <f t="shared" si="319"/>
        <v>2021</v>
      </c>
      <c r="V3692" s="22" t="str">
        <f t="shared" si="320"/>
        <v>REGIONES</v>
      </c>
    </row>
    <row r="3693" spans="1:22" x14ac:dyDescent="0.2">
      <c r="A3693" s="11" t="s">
        <v>4501</v>
      </c>
      <c r="B3693" s="12" t="s">
        <v>33</v>
      </c>
      <c r="C3693" s="12" t="s">
        <v>44</v>
      </c>
      <c r="D3693" s="12" t="s">
        <v>30</v>
      </c>
      <c r="E3693" s="13" t="s">
        <v>31</v>
      </c>
      <c r="F3693" s="12" t="s">
        <v>95</v>
      </c>
      <c r="G3693" s="14">
        <v>5039.3999999999996</v>
      </c>
      <c r="H3693" s="12" t="s">
        <v>32</v>
      </c>
      <c r="I3693" s="12">
        <v>0</v>
      </c>
      <c r="J3693" s="12" t="s">
        <v>95</v>
      </c>
      <c r="K3693" s="12" t="s">
        <v>23</v>
      </c>
      <c r="L3693" s="12">
        <v>4</v>
      </c>
      <c r="M3693" s="15">
        <v>55433</v>
      </c>
      <c r="N3693" s="15">
        <v>0</v>
      </c>
      <c r="O3693" s="15">
        <f t="shared" si="322"/>
        <v>55433</v>
      </c>
      <c r="P3693" s="15">
        <f t="shared" si="321"/>
        <v>10.999920625471287</v>
      </c>
      <c r="Q3693" s="14">
        <v>5000</v>
      </c>
      <c r="R3693" s="12">
        <v>100</v>
      </c>
      <c r="S3693" s="12" t="s">
        <v>4508</v>
      </c>
      <c r="T3693" s="22">
        <f t="shared" si="318"/>
        <v>12</v>
      </c>
      <c r="U3693" s="22">
        <f t="shared" si="319"/>
        <v>2021</v>
      </c>
      <c r="V3693" s="22" t="str">
        <f t="shared" si="320"/>
        <v>METROPOLITANA</v>
      </c>
    </row>
    <row r="3694" spans="1:22" x14ac:dyDescent="0.2">
      <c r="A3694" s="11" t="s">
        <v>4501</v>
      </c>
      <c r="B3694" s="12" t="s">
        <v>33</v>
      </c>
      <c r="C3694" s="12" t="s">
        <v>44</v>
      </c>
      <c r="D3694" s="12" t="s">
        <v>45</v>
      </c>
      <c r="E3694" s="13" t="s">
        <v>52</v>
      </c>
      <c r="F3694" s="12" t="s">
        <v>34</v>
      </c>
      <c r="G3694" s="14">
        <v>4801.8</v>
      </c>
      <c r="H3694" s="12" t="s">
        <v>22</v>
      </c>
      <c r="I3694" s="12">
        <v>0</v>
      </c>
      <c r="J3694" s="12" t="s">
        <v>34</v>
      </c>
      <c r="K3694" s="12" t="s">
        <v>23</v>
      </c>
      <c r="L3694" s="12">
        <v>1</v>
      </c>
      <c r="M3694" s="15">
        <v>55000</v>
      </c>
      <c r="N3694" s="15">
        <v>0</v>
      </c>
      <c r="O3694" s="15">
        <f t="shared" si="322"/>
        <v>55000</v>
      </c>
      <c r="P3694" s="15">
        <f t="shared" si="321"/>
        <v>11.454038069057436</v>
      </c>
      <c r="Q3694" s="14">
        <v>5000</v>
      </c>
      <c r="R3694" s="12">
        <v>96</v>
      </c>
      <c r="S3694" s="12" t="s">
        <v>4509</v>
      </c>
      <c r="T3694" s="22">
        <f t="shared" si="318"/>
        <v>12</v>
      </c>
      <c r="U3694" s="22">
        <f t="shared" si="319"/>
        <v>2021</v>
      </c>
      <c r="V3694" s="22" t="str">
        <f t="shared" si="320"/>
        <v>METROPOLITANA</v>
      </c>
    </row>
    <row r="3695" spans="1:22" x14ac:dyDescent="0.2">
      <c r="A3695" s="11" t="s">
        <v>4501</v>
      </c>
      <c r="B3695" s="12" t="s">
        <v>33</v>
      </c>
      <c r="C3695" s="12" t="s">
        <v>44</v>
      </c>
      <c r="D3695" s="12" t="s">
        <v>47</v>
      </c>
      <c r="E3695" s="13" t="s">
        <v>1576</v>
      </c>
      <c r="F3695" s="12" t="s">
        <v>48</v>
      </c>
      <c r="G3695" s="14">
        <v>3793.2600000000011</v>
      </c>
      <c r="H3695" s="12" t="s">
        <v>22</v>
      </c>
      <c r="I3695" s="12">
        <v>0</v>
      </c>
      <c r="J3695" s="12" t="s">
        <v>48</v>
      </c>
      <c r="K3695" s="12" t="s">
        <v>23</v>
      </c>
      <c r="L3695" s="12">
        <v>1</v>
      </c>
      <c r="M3695" s="15">
        <v>55000</v>
      </c>
      <c r="N3695" s="15">
        <v>0</v>
      </c>
      <c r="O3695" s="15">
        <f t="shared" si="322"/>
        <v>55000</v>
      </c>
      <c r="P3695" s="15">
        <f t="shared" si="321"/>
        <v>14.499401570153372</v>
      </c>
      <c r="Q3695" s="14">
        <v>5000</v>
      </c>
      <c r="R3695" s="12">
        <v>76</v>
      </c>
      <c r="S3695" s="12" t="s">
        <v>4510</v>
      </c>
      <c r="T3695" s="22">
        <f t="shared" si="318"/>
        <v>12</v>
      </c>
      <c r="U3695" s="22">
        <f t="shared" si="319"/>
        <v>2021</v>
      </c>
      <c r="V3695" s="22" t="str">
        <f t="shared" si="320"/>
        <v>METROPOLITANA</v>
      </c>
    </row>
    <row r="3696" spans="1:22" x14ac:dyDescent="0.2">
      <c r="A3696" s="11" t="s">
        <v>4501</v>
      </c>
      <c r="B3696" s="12" t="s">
        <v>33</v>
      </c>
      <c r="C3696" s="12" t="s">
        <v>4421</v>
      </c>
      <c r="D3696" s="12" t="s">
        <v>63</v>
      </c>
      <c r="E3696" s="13" t="s">
        <v>64</v>
      </c>
      <c r="F3696" s="12" t="s">
        <v>26</v>
      </c>
      <c r="G3696" s="14">
        <v>5037.7499999999991</v>
      </c>
      <c r="H3696" s="12" t="s">
        <v>65</v>
      </c>
      <c r="I3696" s="12">
        <v>0</v>
      </c>
      <c r="J3696" s="12" t="s">
        <v>26</v>
      </c>
      <c r="K3696" s="12" t="s">
        <v>23</v>
      </c>
      <c r="L3696" s="12">
        <v>4</v>
      </c>
      <c r="M3696" s="15">
        <v>55415</v>
      </c>
      <c r="N3696" s="15">
        <v>0</v>
      </c>
      <c r="O3696" s="15">
        <f t="shared" si="322"/>
        <v>55415</v>
      </c>
      <c r="P3696" s="15">
        <f t="shared" si="321"/>
        <v>10.999950374671235</v>
      </c>
      <c r="Q3696" s="14">
        <v>5000</v>
      </c>
      <c r="R3696" s="12">
        <v>100</v>
      </c>
      <c r="S3696" s="12" t="s">
        <v>4511</v>
      </c>
      <c r="T3696" s="22">
        <f t="shared" si="318"/>
        <v>12</v>
      </c>
      <c r="U3696" s="22">
        <f t="shared" si="319"/>
        <v>2021</v>
      </c>
      <c r="V3696" s="22" t="str">
        <f t="shared" si="320"/>
        <v>METROPOLITANA</v>
      </c>
    </row>
    <row r="3697" spans="1:22" x14ac:dyDescent="0.2">
      <c r="A3697" s="23" t="s">
        <v>4514</v>
      </c>
      <c r="B3697" s="22" t="s">
        <v>18</v>
      </c>
      <c r="C3697" s="22" t="s">
        <v>500</v>
      </c>
      <c r="D3697" s="22" t="s">
        <v>37</v>
      </c>
      <c r="E3697" s="24" t="s">
        <v>40</v>
      </c>
      <c r="F3697" s="22" t="s">
        <v>120</v>
      </c>
      <c r="G3697" s="25">
        <v>8321.59</v>
      </c>
      <c r="H3697" s="22" t="s">
        <v>22</v>
      </c>
      <c r="I3697" s="22">
        <v>0</v>
      </c>
      <c r="J3697" s="22" t="s">
        <v>120</v>
      </c>
      <c r="K3697" s="22" t="s">
        <v>23</v>
      </c>
      <c r="L3697" s="22">
        <v>5</v>
      </c>
      <c r="M3697" s="26">
        <v>70000</v>
      </c>
      <c r="N3697" s="26">
        <v>0</v>
      </c>
      <c r="O3697" s="15">
        <f t="shared" si="322"/>
        <v>70000</v>
      </c>
      <c r="P3697" s="15">
        <f t="shared" si="321"/>
        <v>8.4118539846351474</v>
      </c>
      <c r="Q3697" s="25">
        <v>10000</v>
      </c>
      <c r="R3697" s="22">
        <v>83</v>
      </c>
      <c r="S3697" s="22" t="s">
        <v>4515</v>
      </c>
      <c r="T3697" s="22">
        <f t="shared" si="318"/>
        <v>12</v>
      </c>
      <c r="U3697" s="22">
        <f t="shared" si="319"/>
        <v>2021</v>
      </c>
      <c r="V3697" s="22" t="str">
        <f t="shared" si="320"/>
        <v>METROPOLITANA</v>
      </c>
    </row>
    <row r="3698" spans="1:22" x14ac:dyDescent="0.2">
      <c r="A3698" s="23" t="s">
        <v>4514</v>
      </c>
      <c r="B3698" s="22" t="s">
        <v>33</v>
      </c>
      <c r="C3698" s="22" t="s">
        <v>29</v>
      </c>
      <c r="D3698" s="22" t="s">
        <v>63</v>
      </c>
      <c r="E3698" s="24" t="s">
        <v>64</v>
      </c>
      <c r="F3698" s="22" t="s">
        <v>39</v>
      </c>
      <c r="G3698" s="25">
        <v>4752</v>
      </c>
      <c r="H3698" s="22" t="s">
        <v>65</v>
      </c>
      <c r="I3698" s="22">
        <v>0</v>
      </c>
      <c r="J3698" s="22" t="s">
        <v>39</v>
      </c>
      <c r="K3698" s="22" t="s">
        <v>23</v>
      </c>
      <c r="L3698" s="22">
        <v>1</v>
      </c>
      <c r="M3698" s="26">
        <v>55000</v>
      </c>
      <c r="N3698" s="26">
        <v>0</v>
      </c>
      <c r="O3698" s="15">
        <f t="shared" si="322"/>
        <v>55000</v>
      </c>
      <c r="P3698" s="15">
        <f t="shared" si="321"/>
        <v>11.574074074074074</v>
      </c>
      <c r="Q3698" s="25">
        <v>5000</v>
      </c>
      <c r="R3698" s="22">
        <v>95</v>
      </c>
      <c r="S3698" s="22" t="s">
        <v>4516</v>
      </c>
      <c r="T3698" s="22">
        <f t="shared" si="318"/>
        <v>12</v>
      </c>
      <c r="U3698" s="22">
        <f t="shared" si="319"/>
        <v>2021</v>
      </c>
      <c r="V3698" s="22" t="str">
        <f t="shared" si="320"/>
        <v>METROPOLITANA</v>
      </c>
    </row>
    <row r="3699" spans="1:22" x14ac:dyDescent="0.2">
      <c r="A3699" s="23" t="s">
        <v>4514</v>
      </c>
      <c r="B3699" s="22" t="s">
        <v>33</v>
      </c>
      <c r="C3699" s="22" t="s">
        <v>29</v>
      </c>
      <c r="D3699" s="22" t="s">
        <v>41</v>
      </c>
      <c r="E3699" s="24" t="s">
        <v>25</v>
      </c>
      <c r="F3699" s="22" t="s">
        <v>39</v>
      </c>
      <c r="G3699" s="25">
        <v>17875</v>
      </c>
      <c r="H3699" s="22" t="s">
        <v>43</v>
      </c>
      <c r="I3699" s="22">
        <v>0</v>
      </c>
      <c r="J3699" s="22" t="s">
        <v>39</v>
      </c>
      <c r="K3699" s="22" t="s">
        <v>23</v>
      </c>
      <c r="L3699" s="22">
        <v>1</v>
      </c>
      <c r="M3699" s="26">
        <v>196625</v>
      </c>
      <c r="N3699" s="26">
        <v>0</v>
      </c>
      <c r="O3699" s="15">
        <f t="shared" si="322"/>
        <v>196625</v>
      </c>
      <c r="P3699" s="15">
        <f t="shared" si="321"/>
        <v>11</v>
      </c>
      <c r="Q3699" s="25">
        <v>5000</v>
      </c>
      <c r="R3699" s="22">
        <v>100</v>
      </c>
      <c r="S3699" s="22" t="s">
        <v>4517</v>
      </c>
      <c r="T3699" s="22">
        <f t="shared" si="318"/>
        <v>12</v>
      </c>
      <c r="U3699" s="22">
        <f t="shared" si="319"/>
        <v>2021</v>
      </c>
      <c r="V3699" s="22" t="str">
        <f t="shared" si="320"/>
        <v>METROPOLITANA</v>
      </c>
    </row>
    <row r="3700" spans="1:22" x14ac:dyDescent="0.2">
      <c r="A3700" s="23" t="s">
        <v>4514</v>
      </c>
      <c r="B3700" s="22" t="s">
        <v>33</v>
      </c>
      <c r="C3700" s="22" t="s">
        <v>2698</v>
      </c>
      <c r="D3700" s="22" t="s">
        <v>4247</v>
      </c>
      <c r="E3700" s="24" t="s">
        <v>62</v>
      </c>
      <c r="F3700" s="22" t="s">
        <v>893</v>
      </c>
      <c r="G3700" s="25">
        <v>14640.249999999991</v>
      </c>
      <c r="H3700" s="22" t="s">
        <v>24</v>
      </c>
      <c r="I3700" s="22">
        <v>1</v>
      </c>
      <c r="J3700" s="22" t="s">
        <v>893</v>
      </c>
      <c r="K3700" s="22" t="s">
        <v>437</v>
      </c>
      <c r="L3700" s="22">
        <v>0</v>
      </c>
      <c r="M3700" s="26">
        <v>900000</v>
      </c>
      <c r="N3700" s="26">
        <v>0</v>
      </c>
      <c r="O3700" s="15">
        <f t="shared" si="322"/>
        <v>900000</v>
      </c>
      <c r="P3700" s="15">
        <f t="shared" si="321"/>
        <v>61.474360068987934</v>
      </c>
      <c r="Q3700" s="25">
        <v>20000</v>
      </c>
      <c r="R3700" s="22">
        <v>73</v>
      </c>
      <c r="S3700" s="22" t="s">
        <v>4518</v>
      </c>
      <c r="T3700" s="22">
        <f t="shared" si="318"/>
        <v>12</v>
      </c>
      <c r="U3700" s="22">
        <f t="shared" si="319"/>
        <v>2021</v>
      </c>
      <c r="V3700" s="22" t="str">
        <f t="shared" si="320"/>
        <v>REGIONES</v>
      </c>
    </row>
    <row r="3701" spans="1:22" x14ac:dyDescent="0.2">
      <c r="A3701" s="23" t="s">
        <v>4514</v>
      </c>
      <c r="B3701" s="22" t="s">
        <v>33</v>
      </c>
      <c r="C3701" s="22" t="s">
        <v>2698</v>
      </c>
      <c r="D3701" s="22" t="s">
        <v>47</v>
      </c>
      <c r="E3701" s="24" t="s">
        <v>1576</v>
      </c>
      <c r="F3701" s="22" t="s">
        <v>51</v>
      </c>
      <c r="G3701" s="25">
        <v>4529.6000000000004</v>
      </c>
      <c r="H3701" s="22" t="s">
        <v>22</v>
      </c>
      <c r="I3701" s="22">
        <v>0</v>
      </c>
      <c r="J3701" s="22" t="s">
        <v>51</v>
      </c>
      <c r="K3701" s="22" t="s">
        <v>23</v>
      </c>
      <c r="L3701" s="22">
        <v>4</v>
      </c>
      <c r="M3701" s="26">
        <v>55000</v>
      </c>
      <c r="N3701" s="26">
        <v>0</v>
      </c>
      <c r="O3701" s="15">
        <f t="shared" si="322"/>
        <v>55000</v>
      </c>
      <c r="P3701" s="15">
        <f t="shared" si="321"/>
        <v>12.142352525609324</v>
      </c>
      <c r="Q3701" s="25">
        <v>5000</v>
      </c>
      <c r="R3701" s="22">
        <v>91</v>
      </c>
      <c r="S3701" s="22" t="s">
        <v>4519</v>
      </c>
      <c r="T3701" s="22">
        <f t="shared" si="318"/>
        <v>12</v>
      </c>
      <c r="U3701" s="22">
        <f t="shared" si="319"/>
        <v>2021</v>
      </c>
      <c r="V3701" s="22" t="str">
        <f t="shared" si="320"/>
        <v>METROPOLITANA</v>
      </c>
    </row>
    <row r="3702" spans="1:22" x14ac:dyDescent="0.2">
      <c r="A3702" s="23" t="s">
        <v>4514</v>
      </c>
      <c r="B3702" s="22" t="s">
        <v>33</v>
      </c>
      <c r="C3702" s="22" t="s">
        <v>44</v>
      </c>
      <c r="D3702" s="22" t="s">
        <v>130</v>
      </c>
      <c r="E3702" s="24" t="s">
        <v>131</v>
      </c>
      <c r="F3702" s="22" t="s">
        <v>66</v>
      </c>
      <c r="G3702" s="25">
        <v>14879.2</v>
      </c>
      <c r="H3702" s="22" t="s">
        <v>85</v>
      </c>
      <c r="I3702" s="22">
        <v>1</v>
      </c>
      <c r="J3702" s="22" t="s">
        <v>66</v>
      </c>
      <c r="K3702" s="22" t="s">
        <v>75</v>
      </c>
      <c r="L3702" s="22">
        <v>0</v>
      </c>
      <c r="M3702" s="26">
        <v>380000</v>
      </c>
      <c r="N3702" s="26">
        <v>0</v>
      </c>
      <c r="O3702" s="15">
        <f t="shared" si="322"/>
        <v>380000</v>
      </c>
      <c r="P3702" s="15">
        <f t="shared" si="321"/>
        <v>25.53900747352008</v>
      </c>
      <c r="Q3702" s="25">
        <v>20000</v>
      </c>
      <c r="R3702" s="22">
        <v>74</v>
      </c>
      <c r="S3702" s="22" t="s">
        <v>4520</v>
      </c>
      <c r="T3702" s="22">
        <f t="shared" si="318"/>
        <v>12</v>
      </c>
      <c r="U3702" s="22">
        <f t="shared" si="319"/>
        <v>2021</v>
      </c>
      <c r="V3702" s="22" t="str">
        <f t="shared" si="320"/>
        <v>REGIONES</v>
      </c>
    </row>
    <row r="3703" spans="1:22" x14ac:dyDescent="0.2">
      <c r="A3703" s="23" t="s">
        <v>4514</v>
      </c>
      <c r="B3703" s="22" t="s">
        <v>33</v>
      </c>
      <c r="C3703" s="22" t="s">
        <v>44</v>
      </c>
      <c r="D3703" s="22" t="s">
        <v>30</v>
      </c>
      <c r="E3703" s="24" t="s">
        <v>31</v>
      </c>
      <c r="F3703" s="22" t="s">
        <v>94</v>
      </c>
      <c r="G3703" s="25">
        <v>8627</v>
      </c>
      <c r="H3703" s="22" t="s">
        <v>32</v>
      </c>
      <c r="I3703" s="22">
        <v>0</v>
      </c>
      <c r="J3703" s="22" t="s">
        <v>59</v>
      </c>
      <c r="K3703" s="22" t="s">
        <v>78</v>
      </c>
      <c r="L3703" s="22">
        <v>0</v>
      </c>
      <c r="M3703" s="26">
        <v>180000</v>
      </c>
      <c r="N3703" s="26">
        <v>0</v>
      </c>
      <c r="O3703" s="15">
        <f t="shared" si="322"/>
        <v>180000</v>
      </c>
      <c r="P3703" s="15">
        <f t="shared" si="321"/>
        <v>20.86472701982149</v>
      </c>
      <c r="Q3703" s="25">
        <v>20000</v>
      </c>
      <c r="R3703" s="22">
        <v>43</v>
      </c>
      <c r="S3703" s="22" t="s">
        <v>4521</v>
      </c>
      <c r="T3703" s="22">
        <f t="shared" si="318"/>
        <v>12</v>
      </c>
      <c r="U3703" s="22">
        <f t="shared" si="319"/>
        <v>2021</v>
      </c>
      <c r="V3703" s="22" t="str">
        <f t="shared" si="320"/>
        <v>REGIONES</v>
      </c>
    </row>
    <row r="3704" spans="1:22" x14ac:dyDescent="0.2">
      <c r="A3704" s="23" t="s">
        <v>4514</v>
      </c>
      <c r="B3704" s="22" t="s">
        <v>33</v>
      </c>
      <c r="C3704" s="22" t="s">
        <v>44</v>
      </c>
      <c r="D3704" s="22" t="s">
        <v>4522</v>
      </c>
      <c r="E3704" s="24" t="s">
        <v>52</v>
      </c>
      <c r="F3704" s="22" t="s">
        <v>48</v>
      </c>
      <c r="G3704" s="25">
        <f>4328.5+307</f>
        <v>4635.5</v>
      </c>
      <c r="H3704" s="22" t="s">
        <v>24</v>
      </c>
      <c r="I3704" s="22">
        <v>1</v>
      </c>
      <c r="J3704" s="22" t="s">
        <v>48</v>
      </c>
      <c r="K3704" s="22" t="s">
        <v>23</v>
      </c>
      <c r="L3704" s="22">
        <v>1</v>
      </c>
      <c r="M3704" s="26">
        <v>55000</v>
      </c>
      <c r="N3704" s="26">
        <v>0</v>
      </c>
      <c r="O3704" s="15">
        <f t="shared" si="322"/>
        <v>55000</v>
      </c>
      <c r="P3704" s="15">
        <f t="shared" si="321"/>
        <v>11.864955236759789</v>
      </c>
      <c r="Q3704" s="25">
        <v>5000</v>
      </c>
      <c r="R3704" s="22">
        <v>87</v>
      </c>
      <c r="S3704" s="22" t="s">
        <v>4524</v>
      </c>
      <c r="T3704" s="22">
        <f t="shared" si="318"/>
        <v>12</v>
      </c>
      <c r="U3704" s="22">
        <f t="shared" si="319"/>
        <v>2021</v>
      </c>
      <c r="V3704" s="22" t="str">
        <f t="shared" si="320"/>
        <v>METROPOLITANA</v>
      </c>
    </row>
    <row r="3705" spans="1:22" x14ac:dyDescent="0.2">
      <c r="A3705" s="23" t="s">
        <v>4514</v>
      </c>
      <c r="B3705" s="22" t="s">
        <v>33</v>
      </c>
      <c r="C3705" s="22" t="s">
        <v>44</v>
      </c>
      <c r="D3705" s="22" t="s">
        <v>41</v>
      </c>
      <c r="E3705" s="24" t="s">
        <v>25</v>
      </c>
      <c r="F3705" s="22" t="s">
        <v>26</v>
      </c>
      <c r="G3705" s="25">
        <v>7052.5999999999995</v>
      </c>
      <c r="H3705" s="22" t="s">
        <v>43</v>
      </c>
      <c r="I3705" s="22">
        <v>0</v>
      </c>
      <c r="J3705" s="22" t="s">
        <v>26</v>
      </c>
      <c r="K3705" s="22" t="s">
        <v>23</v>
      </c>
      <c r="L3705" s="22">
        <v>4</v>
      </c>
      <c r="M3705" s="26">
        <v>77579</v>
      </c>
      <c r="N3705" s="26">
        <v>0</v>
      </c>
      <c r="O3705" s="15">
        <f t="shared" si="322"/>
        <v>77579</v>
      </c>
      <c r="P3705" s="15">
        <f t="shared" si="321"/>
        <v>11.000056716671866</v>
      </c>
      <c r="Q3705" s="25">
        <v>5000</v>
      </c>
      <c r="R3705" s="22">
        <v>100</v>
      </c>
      <c r="S3705" s="22" t="s">
        <v>4523</v>
      </c>
      <c r="T3705" s="22">
        <f t="shared" si="318"/>
        <v>12</v>
      </c>
      <c r="U3705" s="22">
        <f t="shared" si="319"/>
        <v>2021</v>
      </c>
      <c r="V3705" s="22" t="str">
        <f t="shared" si="320"/>
        <v>METROPOLITANA</v>
      </c>
    </row>
    <row r="3706" spans="1:22" x14ac:dyDescent="0.2">
      <c r="A3706" s="11" t="s">
        <v>1018</v>
      </c>
      <c r="B3706" s="12" t="s">
        <v>18</v>
      </c>
      <c r="C3706" s="12" t="s">
        <v>500</v>
      </c>
      <c r="D3706" s="12" t="s">
        <v>63</v>
      </c>
      <c r="E3706" s="13" t="s">
        <v>64</v>
      </c>
      <c r="F3706" s="12" t="s">
        <v>120</v>
      </c>
      <c r="G3706" s="14">
        <v>13069.28</v>
      </c>
      <c r="H3706" s="12" t="s">
        <v>65</v>
      </c>
      <c r="I3706" s="12">
        <v>0</v>
      </c>
      <c r="J3706" s="12" t="s">
        <v>120</v>
      </c>
      <c r="K3706" s="12" t="s">
        <v>23</v>
      </c>
      <c r="L3706" s="12">
        <v>5</v>
      </c>
      <c r="M3706" s="15">
        <v>70000</v>
      </c>
      <c r="N3706" s="15">
        <v>0</v>
      </c>
      <c r="O3706" s="15">
        <f t="shared" si="322"/>
        <v>70000</v>
      </c>
      <c r="P3706" s="15">
        <f t="shared" si="321"/>
        <v>5.3560716428142943</v>
      </c>
      <c r="Q3706" s="14">
        <v>10000</v>
      </c>
      <c r="R3706" s="12">
        <v>100</v>
      </c>
      <c r="S3706" s="12" t="s">
        <v>4526</v>
      </c>
      <c r="T3706" s="22">
        <f t="shared" si="318"/>
        <v>12</v>
      </c>
      <c r="U3706" s="22">
        <f t="shared" si="319"/>
        <v>2020</v>
      </c>
      <c r="V3706" s="22" t="str">
        <f t="shared" si="320"/>
        <v>METROPOLITANA</v>
      </c>
    </row>
    <row r="3707" spans="1:22" x14ac:dyDescent="0.2">
      <c r="A3707" s="11" t="s">
        <v>4525</v>
      </c>
      <c r="B3707" s="12" t="s">
        <v>18</v>
      </c>
      <c r="C3707" s="12" t="s">
        <v>19</v>
      </c>
      <c r="D3707" s="12" t="s">
        <v>4247</v>
      </c>
      <c r="E3707" s="13" t="s">
        <v>62</v>
      </c>
      <c r="F3707" s="12" t="s">
        <v>92</v>
      </c>
      <c r="G3707" s="14">
        <v>25956.14</v>
      </c>
      <c r="H3707" s="12" t="s">
        <v>24</v>
      </c>
      <c r="I3707" s="12">
        <v>1</v>
      </c>
      <c r="J3707" s="12" t="s">
        <v>92</v>
      </c>
      <c r="K3707" s="12" t="s">
        <v>93</v>
      </c>
      <c r="L3707" s="12">
        <v>0</v>
      </c>
      <c r="M3707" s="15">
        <v>665000</v>
      </c>
      <c r="N3707" s="15">
        <v>0</v>
      </c>
      <c r="O3707" s="15">
        <f t="shared" si="322"/>
        <v>665000</v>
      </c>
      <c r="P3707" s="15">
        <f t="shared" si="321"/>
        <v>25.620142286179686</v>
      </c>
      <c r="Q3707" s="14">
        <v>20000</v>
      </c>
      <c r="R3707" s="12">
        <v>100</v>
      </c>
      <c r="S3707" s="12" t="s">
        <v>4527</v>
      </c>
      <c r="T3707" s="22">
        <f t="shared" si="318"/>
        <v>12</v>
      </c>
      <c r="U3707" s="22">
        <f t="shared" si="319"/>
        <v>2021</v>
      </c>
      <c r="V3707" s="22" t="str">
        <f t="shared" si="320"/>
        <v>REGIONES</v>
      </c>
    </row>
    <row r="3708" spans="1:22" x14ac:dyDescent="0.2">
      <c r="A3708" s="11" t="s">
        <v>4525</v>
      </c>
      <c r="B3708" s="12" t="s">
        <v>18</v>
      </c>
      <c r="C3708" s="12" t="s">
        <v>4400</v>
      </c>
      <c r="D3708" s="12" t="s">
        <v>30</v>
      </c>
      <c r="E3708" s="13" t="s">
        <v>31</v>
      </c>
      <c r="F3708" s="12" t="s">
        <v>452</v>
      </c>
      <c r="G3708" s="14">
        <v>14560.400000000011</v>
      </c>
      <c r="H3708" s="12" t="s">
        <v>32</v>
      </c>
      <c r="I3708" s="12">
        <v>0</v>
      </c>
      <c r="J3708" s="12" t="s">
        <v>452</v>
      </c>
      <c r="K3708" s="12" t="s">
        <v>171</v>
      </c>
      <c r="L3708" s="12">
        <v>0</v>
      </c>
      <c r="M3708" s="15">
        <v>230000</v>
      </c>
      <c r="N3708" s="15">
        <v>0</v>
      </c>
      <c r="O3708" s="15">
        <f t="shared" si="322"/>
        <v>230000</v>
      </c>
      <c r="P3708" s="15">
        <f t="shared" si="321"/>
        <v>15.796269333260064</v>
      </c>
      <c r="Q3708" s="14">
        <v>20000</v>
      </c>
      <c r="R3708" s="12">
        <v>73</v>
      </c>
      <c r="S3708" s="12" t="s">
        <v>4528</v>
      </c>
      <c r="T3708" s="22">
        <f t="shared" si="318"/>
        <v>12</v>
      </c>
      <c r="U3708" s="22">
        <f t="shared" si="319"/>
        <v>2021</v>
      </c>
      <c r="V3708" s="22" t="str">
        <f t="shared" si="320"/>
        <v>REGIONES</v>
      </c>
    </row>
    <row r="3709" spans="1:22" x14ac:dyDescent="0.2">
      <c r="A3709" s="11" t="s">
        <v>4525</v>
      </c>
      <c r="B3709" s="12" t="s">
        <v>33</v>
      </c>
      <c r="C3709" s="12" t="s">
        <v>29</v>
      </c>
      <c r="D3709" s="12" t="s">
        <v>38</v>
      </c>
      <c r="E3709" s="13" t="s">
        <v>1872</v>
      </c>
      <c r="F3709" s="12" t="s">
        <v>39</v>
      </c>
      <c r="G3709" s="14">
        <v>9543.3999999999978</v>
      </c>
      <c r="H3709" s="12" t="s">
        <v>43</v>
      </c>
      <c r="I3709" s="12">
        <v>0</v>
      </c>
      <c r="J3709" s="12" t="s">
        <v>39</v>
      </c>
      <c r="K3709" s="12" t="s">
        <v>23</v>
      </c>
      <c r="L3709" s="12">
        <v>1</v>
      </c>
      <c r="M3709" s="15">
        <v>104977</v>
      </c>
      <c r="N3709" s="15">
        <v>0</v>
      </c>
      <c r="O3709" s="15">
        <f t="shared" si="322"/>
        <v>104977</v>
      </c>
      <c r="P3709" s="15">
        <f t="shared" si="321"/>
        <v>10.999958086216655</v>
      </c>
      <c r="Q3709" s="14">
        <v>5000</v>
      </c>
      <c r="R3709" s="12">
        <v>100</v>
      </c>
      <c r="S3709" s="12" t="s">
        <v>4529</v>
      </c>
      <c r="T3709" s="22">
        <f t="shared" si="318"/>
        <v>12</v>
      </c>
      <c r="U3709" s="22">
        <f t="shared" si="319"/>
        <v>2021</v>
      </c>
      <c r="V3709" s="22" t="str">
        <f t="shared" si="320"/>
        <v>METROPOLITANA</v>
      </c>
    </row>
    <row r="3710" spans="1:22" x14ac:dyDescent="0.2">
      <c r="A3710" s="11" t="s">
        <v>4525</v>
      </c>
      <c r="B3710" s="12" t="s">
        <v>33</v>
      </c>
      <c r="C3710" s="12" t="s">
        <v>29</v>
      </c>
      <c r="D3710" s="12" t="s">
        <v>41</v>
      </c>
      <c r="E3710" s="13" t="s">
        <v>25</v>
      </c>
      <c r="F3710" s="12" t="s">
        <v>39</v>
      </c>
      <c r="G3710" s="14">
        <v>4752</v>
      </c>
      <c r="H3710" s="12" t="s">
        <v>43</v>
      </c>
      <c r="I3710" s="12">
        <v>0</v>
      </c>
      <c r="J3710" s="12" t="s">
        <v>39</v>
      </c>
      <c r="K3710" s="12" t="s">
        <v>23</v>
      </c>
      <c r="L3710" s="12">
        <v>1</v>
      </c>
      <c r="M3710" s="15">
        <v>55000</v>
      </c>
      <c r="N3710" s="15">
        <v>0</v>
      </c>
      <c r="O3710" s="15">
        <f t="shared" si="322"/>
        <v>55000</v>
      </c>
      <c r="P3710" s="15">
        <f t="shared" si="321"/>
        <v>11.574074074074074</v>
      </c>
      <c r="Q3710" s="14">
        <v>5000</v>
      </c>
      <c r="R3710" s="12">
        <v>95</v>
      </c>
      <c r="S3710" s="12" t="s">
        <v>4530</v>
      </c>
      <c r="T3710" s="22">
        <f t="shared" si="318"/>
        <v>12</v>
      </c>
      <c r="U3710" s="22">
        <f t="shared" si="319"/>
        <v>2021</v>
      </c>
      <c r="V3710" s="22" t="str">
        <f t="shared" si="320"/>
        <v>METROPOLITANA</v>
      </c>
    </row>
    <row r="3711" spans="1:22" x14ac:dyDescent="0.2">
      <c r="A3711" s="11" t="s">
        <v>4525</v>
      </c>
      <c r="B3711" s="12" t="s">
        <v>33</v>
      </c>
      <c r="C3711" s="12" t="s">
        <v>29</v>
      </c>
      <c r="D3711" s="12" t="s">
        <v>164</v>
      </c>
      <c r="E3711" s="13" t="s">
        <v>1576</v>
      </c>
      <c r="F3711" s="12" t="s">
        <v>39</v>
      </c>
      <c r="G3711" s="14">
        <v>21191.75</v>
      </c>
      <c r="H3711" s="12" t="s">
        <v>22</v>
      </c>
      <c r="I3711" s="12">
        <v>1</v>
      </c>
      <c r="J3711" s="12" t="s">
        <v>39</v>
      </c>
      <c r="K3711" s="12" t="s">
        <v>23</v>
      </c>
      <c r="L3711" s="12">
        <v>1</v>
      </c>
      <c r="M3711" s="15">
        <v>233109</v>
      </c>
      <c r="N3711" s="15">
        <v>0</v>
      </c>
      <c r="O3711" s="15">
        <f t="shared" si="322"/>
        <v>233109</v>
      </c>
      <c r="P3711" s="15">
        <f t="shared" si="321"/>
        <v>10.99998820295634</v>
      </c>
      <c r="Q3711" s="14">
        <v>5000</v>
      </c>
      <c r="R3711" s="12">
        <v>100</v>
      </c>
      <c r="S3711" s="12" t="s">
        <v>4531</v>
      </c>
      <c r="T3711" s="22">
        <f t="shared" si="318"/>
        <v>12</v>
      </c>
      <c r="U3711" s="22">
        <f t="shared" si="319"/>
        <v>2021</v>
      </c>
      <c r="V3711" s="22" t="str">
        <f t="shared" si="320"/>
        <v>METROPOLITANA</v>
      </c>
    </row>
    <row r="3712" spans="1:22" x14ac:dyDescent="0.2">
      <c r="A3712" s="11" t="s">
        <v>4525</v>
      </c>
      <c r="B3712" s="12" t="s">
        <v>33</v>
      </c>
      <c r="C3712" s="12" t="s">
        <v>44</v>
      </c>
      <c r="D3712" s="12" t="s">
        <v>2262</v>
      </c>
      <c r="E3712" s="13" t="s">
        <v>83</v>
      </c>
      <c r="F3712" s="12" t="s">
        <v>876</v>
      </c>
      <c r="G3712" s="14">
        <v>9504.0000000000091</v>
      </c>
      <c r="H3712" s="12" t="s">
        <v>24</v>
      </c>
      <c r="I3712" s="12">
        <v>1</v>
      </c>
      <c r="J3712" s="12" t="s">
        <v>876</v>
      </c>
      <c r="K3712" s="12" t="s">
        <v>86</v>
      </c>
      <c r="L3712" s="12">
        <v>0</v>
      </c>
      <c r="M3712" s="15">
        <v>350000</v>
      </c>
      <c r="N3712" s="15">
        <v>0</v>
      </c>
      <c r="O3712" s="15">
        <f t="shared" si="322"/>
        <v>350000</v>
      </c>
      <c r="P3712" s="15">
        <f t="shared" si="321"/>
        <v>36.826599326599293</v>
      </c>
      <c r="Q3712" s="14">
        <v>20000</v>
      </c>
      <c r="R3712" s="12">
        <v>48</v>
      </c>
      <c r="S3712" s="12" t="s">
        <v>4532</v>
      </c>
      <c r="T3712" s="22">
        <f t="shared" si="318"/>
        <v>12</v>
      </c>
      <c r="U3712" s="22">
        <f t="shared" si="319"/>
        <v>2021</v>
      </c>
      <c r="V3712" s="22" t="str">
        <f t="shared" si="320"/>
        <v>REGIONES</v>
      </c>
    </row>
    <row r="3713" spans="1:22" x14ac:dyDescent="0.2">
      <c r="A3713" s="11" t="s">
        <v>4525</v>
      </c>
      <c r="B3713" s="12" t="s">
        <v>33</v>
      </c>
      <c r="C3713" s="12" t="s">
        <v>44</v>
      </c>
      <c r="D3713" s="12" t="s">
        <v>37</v>
      </c>
      <c r="E3713" s="13" t="s">
        <v>40</v>
      </c>
      <c r="F3713" s="12" t="s">
        <v>95</v>
      </c>
      <c r="G3713" s="14">
        <v>5514.5999999999995</v>
      </c>
      <c r="H3713" s="12" t="s">
        <v>22</v>
      </c>
      <c r="I3713" s="12">
        <v>0</v>
      </c>
      <c r="J3713" s="12" t="s">
        <v>95</v>
      </c>
      <c r="K3713" s="12" t="s">
        <v>23</v>
      </c>
      <c r="L3713" s="12">
        <v>4</v>
      </c>
      <c r="M3713" s="15">
        <v>60661</v>
      </c>
      <c r="N3713" s="15">
        <v>0</v>
      </c>
      <c r="O3713" s="15">
        <f t="shared" si="322"/>
        <v>60661</v>
      </c>
      <c r="P3713" s="15">
        <f t="shared" si="321"/>
        <v>11.000072534726002</v>
      </c>
      <c r="Q3713" s="14">
        <v>5000</v>
      </c>
      <c r="R3713" s="12">
        <v>100</v>
      </c>
      <c r="S3713" s="12" t="s">
        <v>4533</v>
      </c>
      <c r="T3713" s="22">
        <f t="shared" si="318"/>
        <v>12</v>
      </c>
      <c r="U3713" s="22">
        <f t="shared" si="319"/>
        <v>2021</v>
      </c>
      <c r="V3713" s="22" t="str">
        <f t="shared" si="320"/>
        <v>METROPOLITANA</v>
      </c>
    </row>
    <row r="3714" spans="1:22" x14ac:dyDescent="0.2">
      <c r="A3714" s="11" t="s">
        <v>4525</v>
      </c>
      <c r="B3714" s="12" t="s">
        <v>33</v>
      </c>
      <c r="C3714" s="12" t="s">
        <v>44</v>
      </c>
      <c r="D3714" s="12" t="s">
        <v>45</v>
      </c>
      <c r="E3714" s="13" t="s">
        <v>52</v>
      </c>
      <c r="F3714" s="12" t="s">
        <v>26</v>
      </c>
      <c r="G3714" s="14">
        <v>5689.5999999999995</v>
      </c>
      <c r="H3714" s="12" t="s">
        <v>22</v>
      </c>
      <c r="I3714" s="12">
        <v>0</v>
      </c>
      <c r="J3714" s="12" t="s">
        <v>26</v>
      </c>
      <c r="K3714" s="12" t="s">
        <v>23</v>
      </c>
      <c r="L3714" s="12">
        <v>4</v>
      </c>
      <c r="M3714" s="15">
        <v>62586</v>
      </c>
      <c r="N3714" s="15">
        <v>0</v>
      </c>
      <c r="O3714" s="15">
        <f t="shared" si="322"/>
        <v>62586</v>
      </c>
      <c r="P3714" s="15">
        <f t="shared" si="321"/>
        <v>11.000070303712038</v>
      </c>
      <c r="Q3714" s="14">
        <v>5000</v>
      </c>
      <c r="R3714" s="12">
        <v>100</v>
      </c>
      <c r="S3714" s="12" t="s">
        <v>4534</v>
      </c>
      <c r="T3714" s="22">
        <f t="shared" si="318"/>
        <v>12</v>
      </c>
      <c r="U3714" s="22">
        <f t="shared" si="319"/>
        <v>2021</v>
      </c>
      <c r="V3714" s="22" t="str">
        <f t="shared" si="320"/>
        <v>METROPOLITANA</v>
      </c>
    </row>
    <row r="3715" spans="1:22" x14ac:dyDescent="0.2">
      <c r="A3715" s="11" t="s">
        <v>4525</v>
      </c>
      <c r="B3715" s="12" t="s">
        <v>33</v>
      </c>
      <c r="C3715" s="12" t="s">
        <v>44</v>
      </c>
      <c r="D3715" s="12" t="s">
        <v>47</v>
      </c>
      <c r="E3715" s="13" t="s">
        <v>1576</v>
      </c>
      <c r="F3715" s="12" t="s">
        <v>48</v>
      </c>
      <c r="G3715" s="14">
        <v>5837.6000000000022</v>
      </c>
      <c r="H3715" s="12" t="s">
        <v>22</v>
      </c>
      <c r="I3715" s="12">
        <v>0</v>
      </c>
      <c r="J3715" s="12" t="s">
        <v>48</v>
      </c>
      <c r="K3715" s="12" t="s">
        <v>23</v>
      </c>
      <c r="L3715" s="12">
        <v>1</v>
      </c>
      <c r="M3715" s="15">
        <v>64214</v>
      </c>
      <c r="N3715" s="15">
        <v>0</v>
      </c>
      <c r="O3715" s="15">
        <f t="shared" si="322"/>
        <v>64214</v>
      </c>
      <c r="P3715" s="15">
        <f t="shared" si="321"/>
        <v>11.000068521310123</v>
      </c>
      <c r="Q3715" s="14">
        <v>5000</v>
      </c>
      <c r="R3715" s="12">
        <v>100</v>
      </c>
      <c r="S3715" s="12" t="s">
        <v>4535</v>
      </c>
      <c r="T3715" s="22">
        <f t="shared" si="318"/>
        <v>12</v>
      </c>
      <c r="U3715" s="22">
        <f t="shared" si="319"/>
        <v>2021</v>
      </c>
      <c r="V3715" s="22" t="str">
        <f t="shared" si="320"/>
        <v>METROPOLITANA</v>
      </c>
    </row>
    <row r="3716" spans="1:22" x14ac:dyDescent="0.2">
      <c r="A3716" s="23" t="s">
        <v>4536</v>
      </c>
      <c r="B3716" s="22" t="s">
        <v>18</v>
      </c>
      <c r="C3716" s="22" t="s">
        <v>270</v>
      </c>
      <c r="D3716" s="22" t="s">
        <v>47</v>
      </c>
      <c r="E3716" s="24" t="s">
        <v>1576</v>
      </c>
      <c r="F3716" s="22" t="s">
        <v>120</v>
      </c>
      <c r="G3716" s="25">
        <v>16045.12</v>
      </c>
      <c r="H3716" s="22" t="s">
        <v>22</v>
      </c>
      <c r="I3716" s="22">
        <v>0</v>
      </c>
      <c r="J3716" s="22" t="s">
        <v>120</v>
      </c>
      <c r="K3716" s="22" t="s">
        <v>23</v>
      </c>
      <c r="L3716" s="22">
        <v>5</v>
      </c>
      <c r="M3716" s="26">
        <v>70000</v>
      </c>
      <c r="N3716" s="26">
        <v>0</v>
      </c>
      <c r="O3716" s="15">
        <f t="shared" si="322"/>
        <v>70000</v>
      </c>
      <c r="P3716" s="15">
        <f t="shared" si="321"/>
        <v>4.3626971939131645</v>
      </c>
      <c r="Q3716" s="25">
        <v>10000</v>
      </c>
      <c r="R3716" s="22">
        <v>100</v>
      </c>
      <c r="S3716" s="22" t="s">
        <v>4537</v>
      </c>
      <c r="T3716" s="22">
        <f t="shared" si="318"/>
        <v>12</v>
      </c>
      <c r="U3716" s="22">
        <f t="shared" si="319"/>
        <v>2021</v>
      </c>
      <c r="V3716" s="22" t="str">
        <f t="shared" si="320"/>
        <v>METROPOLITANA</v>
      </c>
    </row>
    <row r="3717" spans="1:22" x14ac:dyDescent="0.2">
      <c r="A3717" s="23" t="s">
        <v>4536</v>
      </c>
      <c r="B3717" s="22" t="s">
        <v>18</v>
      </c>
      <c r="C3717" s="22" t="s">
        <v>57</v>
      </c>
      <c r="D3717" s="22" t="s">
        <v>37</v>
      </c>
      <c r="E3717" s="24" t="s">
        <v>40</v>
      </c>
      <c r="F3717" s="22" t="s">
        <v>173</v>
      </c>
      <c r="G3717" s="25">
        <v>9501.6</v>
      </c>
      <c r="H3717" s="22" t="s">
        <v>22</v>
      </c>
      <c r="I3717" s="22">
        <v>0</v>
      </c>
      <c r="J3717" s="22" t="s">
        <v>173</v>
      </c>
      <c r="K3717" s="22" t="s">
        <v>23</v>
      </c>
      <c r="L3717" s="22">
        <v>5</v>
      </c>
      <c r="M3717" s="26">
        <v>90000</v>
      </c>
      <c r="N3717" s="26">
        <v>0</v>
      </c>
      <c r="O3717" s="15">
        <f t="shared" si="322"/>
        <v>90000</v>
      </c>
      <c r="P3717" s="15">
        <f t="shared" si="321"/>
        <v>9.4720889113412472</v>
      </c>
      <c r="Q3717" s="25">
        <v>10000</v>
      </c>
      <c r="R3717" s="22">
        <v>95</v>
      </c>
      <c r="S3717" s="22" t="s">
        <v>4538</v>
      </c>
      <c r="T3717" s="22">
        <f t="shared" si="318"/>
        <v>12</v>
      </c>
      <c r="U3717" s="22">
        <f t="shared" si="319"/>
        <v>2021</v>
      </c>
      <c r="V3717" s="22" t="str">
        <f t="shared" si="320"/>
        <v>METROPOLITANA</v>
      </c>
    </row>
    <row r="3718" spans="1:22" x14ac:dyDescent="0.2">
      <c r="A3718" s="23" t="s">
        <v>4536</v>
      </c>
      <c r="B3718" s="22" t="s">
        <v>18</v>
      </c>
      <c r="C3718" s="22" t="s">
        <v>57</v>
      </c>
      <c r="D3718" s="22" t="s">
        <v>30</v>
      </c>
      <c r="E3718" s="24" t="s">
        <v>31</v>
      </c>
      <c r="F3718" s="22" t="s">
        <v>173</v>
      </c>
      <c r="G3718" s="25">
        <v>11877</v>
      </c>
      <c r="H3718" s="22" t="s">
        <v>32</v>
      </c>
      <c r="I3718" s="22">
        <v>0</v>
      </c>
      <c r="J3718" s="22" t="s">
        <v>173</v>
      </c>
      <c r="K3718" s="22" t="s">
        <v>23</v>
      </c>
      <c r="L3718" s="22">
        <v>5</v>
      </c>
      <c r="M3718" s="26">
        <v>90000</v>
      </c>
      <c r="N3718" s="26">
        <v>0</v>
      </c>
      <c r="O3718" s="15">
        <f t="shared" si="322"/>
        <v>90000</v>
      </c>
      <c r="P3718" s="15">
        <f t="shared" si="321"/>
        <v>7.5776711290729981</v>
      </c>
      <c r="Q3718" s="25">
        <v>10000</v>
      </c>
      <c r="R3718" s="22">
        <v>100</v>
      </c>
      <c r="S3718" s="22" t="s">
        <v>4539</v>
      </c>
      <c r="T3718" s="22">
        <f t="shared" si="318"/>
        <v>12</v>
      </c>
      <c r="U3718" s="22">
        <f t="shared" si="319"/>
        <v>2021</v>
      </c>
      <c r="V3718" s="22" t="str">
        <f t="shared" si="320"/>
        <v>METROPOLITANA</v>
      </c>
    </row>
    <row r="3719" spans="1:22" x14ac:dyDescent="0.2">
      <c r="A3719" s="23" t="s">
        <v>4536</v>
      </c>
      <c r="B3719" s="22" t="s">
        <v>18</v>
      </c>
      <c r="C3719" s="22" t="s">
        <v>4400</v>
      </c>
      <c r="D3719" s="22" t="s">
        <v>41</v>
      </c>
      <c r="E3719" s="24" t="s">
        <v>25</v>
      </c>
      <c r="F3719" s="22" t="s">
        <v>452</v>
      </c>
      <c r="G3719" s="25">
        <v>12442.41</v>
      </c>
      <c r="H3719" s="22" t="s">
        <v>43</v>
      </c>
      <c r="I3719" s="22">
        <v>0</v>
      </c>
      <c r="J3719" s="22" t="s">
        <v>452</v>
      </c>
      <c r="K3719" s="22" t="s">
        <v>171</v>
      </c>
      <c r="L3719" s="22">
        <v>0</v>
      </c>
      <c r="M3719" s="26">
        <v>230000</v>
      </c>
      <c r="N3719" s="26">
        <v>0</v>
      </c>
      <c r="O3719" s="15">
        <f t="shared" si="322"/>
        <v>230000</v>
      </c>
      <c r="P3719" s="15">
        <f t="shared" si="321"/>
        <v>18.48516485150385</v>
      </c>
      <c r="Q3719" s="25">
        <v>20000</v>
      </c>
      <c r="R3719" s="22">
        <v>62</v>
      </c>
      <c r="S3719" s="22" t="s">
        <v>4540</v>
      </c>
      <c r="T3719" s="22">
        <f t="shared" si="318"/>
        <v>12</v>
      </c>
      <c r="U3719" s="22">
        <f t="shared" si="319"/>
        <v>2021</v>
      </c>
      <c r="V3719" s="22" t="str">
        <f t="shared" si="320"/>
        <v>REGIONES</v>
      </c>
    </row>
    <row r="3720" spans="1:22" x14ac:dyDescent="0.2">
      <c r="A3720" s="23" t="s">
        <v>4536</v>
      </c>
      <c r="B3720" s="22" t="s">
        <v>33</v>
      </c>
      <c r="C3720" s="22" t="s">
        <v>270</v>
      </c>
      <c r="D3720" s="22" t="s">
        <v>45</v>
      </c>
      <c r="E3720" s="24" t="s">
        <v>52</v>
      </c>
      <c r="F3720" s="22" t="s">
        <v>120</v>
      </c>
      <c r="G3720" s="25">
        <v>5839.9</v>
      </c>
      <c r="H3720" s="22" t="s">
        <v>22</v>
      </c>
      <c r="I3720" s="22">
        <v>0</v>
      </c>
      <c r="J3720" s="22" t="s">
        <v>120</v>
      </c>
      <c r="K3720" s="22" t="s">
        <v>23</v>
      </c>
      <c r="L3720" s="22">
        <v>5</v>
      </c>
      <c r="M3720" s="26">
        <v>70000</v>
      </c>
      <c r="N3720" s="26">
        <v>0</v>
      </c>
      <c r="O3720" s="15">
        <f t="shared" si="322"/>
        <v>70000</v>
      </c>
      <c r="P3720" s="15">
        <f t="shared" si="321"/>
        <v>11.986506618264013</v>
      </c>
      <c r="Q3720" s="25">
        <v>10000</v>
      </c>
      <c r="R3720" s="22">
        <v>58</v>
      </c>
      <c r="S3720" s="22" t="s">
        <v>4541</v>
      </c>
      <c r="T3720" s="22">
        <f t="shared" ref="T3720:T3783" si="323">MONTH(A3720)</f>
        <v>12</v>
      </c>
      <c r="U3720" s="22">
        <f t="shared" ref="U3720:U3783" si="324">YEAR(A3720)</f>
        <v>2021</v>
      </c>
      <c r="V3720" s="22" t="str">
        <f t="shared" ref="V3720:V3783" si="325">IF(K3720="METROPOLITANA DE SANTIAGO","METROPOLITANA","REGIONES")</f>
        <v>METROPOLITANA</v>
      </c>
    </row>
    <row r="3721" spans="1:22" x14ac:dyDescent="0.2">
      <c r="A3721" s="23" t="s">
        <v>4536</v>
      </c>
      <c r="B3721" s="22" t="s">
        <v>33</v>
      </c>
      <c r="C3721" s="22" t="s">
        <v>44</v>
      </c>
      <c r="D3721" s="22" t="s">
        <v>2825</v>
      </c>
      <c r="E3721" s="24" t="s">
        <v>639</v>
      </c>
      <c r="F3721" s="22" t="s">
        <v>92</v>
      </c>
      <c r="G3721" s="25">
        <v>12036.6</v>
      </c>
      <c r="H3721" s="22" t="s">
        <v>24</v>
      </c>
      <c r="I3721" s="22">
        <v>1</v>
      </c>
      <c r="J3721" s="22" t="s">
        <v>92</v>
      </c>
      <c r="K3721" s="22" t="s">
        <v>93</v>
      </c>
      <c r="L3721" s="22">
        <v>0</v>
      </c>
      <c r="M3721" s="26">
        <v>665000</v>
      </c>
      <c r="N3721" s="26">
        <v>0</v>
      </c>
      <c r="O3721" s="15">
        <f t="shared" si="322"/>
        <v>665000</v>
      </c>
      <c r="P3721" s="15">
        <f t="shared" si="321"/>
        <v>55.24815977933968</v>
      </c>
      <c r="Q3721" s="25">
        <v>20000</v>
      </c>
      <c r="R3721" s="22">
        <v>60</v>
      </c>
      <c r="S3721" s="22" t="s">
        <v>4542</v>
      </c>
      <c r="T3721" s="22">
        <f t="shared" si="323"/>
        <v>12</v>
      </c>
      <c r="U3721" s="22">
        <f t="shared" si="324"/>
        <v>2021</v>
      </c>
      <c r="V3721" s="22" t="str">
        <f t="shared" si="325"/>
        <v>REGIONES</v>
      </c>
    </row>
    <row r="3722" spans="1:22" x14ac:dyDescent="0.2">
      <c r="A3722" s="23" t="s">
        <v>4536</v>
      </c>
      <c r="B3722" s="22" t="s">
        <v>33</v>
      </c>
      <c r="C3722" s="22" t="s">
        <v>44</v>
      </c>
      <c r="D3722" s="22" t="s">
        <v>63</v>
      </c>
      <c r="E3722" s="24" t="s">
        <v>64</v>
      </c>
      <c r="F3722" s="22" t="s">
        <v>94</v>
      </c>
      <c r="G3722" s="25">
        <f>5645.6+3261</f>
        <v>8906.6</v>
      </c>
      <c r="H3722" s="22" t="s">
        <v>65</v>
      </c>
      <c r="I3722" s="22">
        <v>0</v>
      </c>
      <c r="J3722" s="22" t="s">
        <v>59</v>
      </c>
      <c r="K3722" s="22" t="s">
        <v>78</v>
      </c>
      <c r="L3722" s="22">
        <v>0</v>
      </c>
      <c r="M3722" s="26">
        <v>180000</v>
      </c>
      <c r="N3722" s="26">
        <v>0</v>
      </c>
      <c r="O3722" s="15">
        <f t="shared" si="322"/>
        <v>180000</v>
      </c>
      <c r="P3722" s="15">
        <f t="shared" si="321"/>
        <v>20.20973210877327</v>
      </c>
      <c r="Q3722" s="25">
        <v>20000</v>
      </c>
      <c r="R3722" s="22">
        <v>55</v>
      </c>
      <c r="S3722" s="22" t="s">
        <v>4545</v>
      </c>
      <c r="T3722" s="22">
        <f t="shared" si="323"/>
        <v>12</v>
      </c>
      <c r="U3722" s="22">
        <f t="shared" si="324"/>
        <v>2021</v>
      </c>
      <c r="V3722" s="22" t="str">
        <f t="shared" si="325"/>
        <v>REGIONES</v>
      </c>
    </row>
    <row r="3723" spans="1:22" x14ac:dyDescent="0.2">
      <c r="A3723" s="23" t="s">
        <v>4536</v>
      </c>
      <c r="B3723" s="22" t="s">
        <v>33</v>
      </c>
      <c r="C3723" s="22" t="s">
        <v>44</v>
      </c>
      <c r="D3723" s="22" t="s">
        <v>45</v>
      </c>
      <c r="E3723" s="24" t="s">
        <v>52</v>
      </c>
      <c r="F3723" s="22" t="s">
        <v>53</v>
      </c>
      <c r="G3723" s="25">
        <v>4759.3999999999996</v>
      </c>
      <c r="H3723" s="22" t="s">
        <v>22</v>
      </c>
      <c r="I3723" s="22">
        <v>0</v>
      </c>
      <c r="J3723" s="22" t="s">
        <v>53</v>
      </c>
      <c r="K3723" s="22" t="s">
        <v>23</v>
      </c>
      <c r="L3723" s="22">
        <v>3</v>
      </c>
      <c r="M3723" s="26">
        <v>55000</v>
      </c>
      <c r="N3723" s="26">
        <v>0</v>
      </c>
      <c r="O3723" s="15">
        <f t="shared" si="322"/>
        <v>55000</v>
      </c>
      <c r="P3723" s="15">
        <f t="shared" si="321"/>
        <v>11.556078497289576</v>
      </c>
      <c r="Q3723" s="25">
        <v>5000</v>
      </c>
      <c r="R3723" s="22">
        <v>95</v>
      </c>
      <c r="S3723" s="22" t="s">
        <v>4543</v>
      </c>
      <c r="T3723" s="22">
        <f t="shared" si="323"/>
        <v>12</v>
      </c>
      <c r="U3723" s="22">
        <f t="shared" si="324"/>
        <v>2021</v>
      </c>
      <c r="V3723" s="22" t="str">
        <f t="shared" si="325"/>
        <v>METROPOLITANA</v>
      </c>
    </row>
    <row r="3724" spans="1:22" x14ac:dyDescent="0.2">
      <c r="A3724" s="23" t="s">
        <v>4536</v>
      </c>
      <c r="B3724" s="22" t="s">
        <v>33</v>
      </c>
      <c r="C3724" s="22" t="s">
        <v>44</v>
      </c>
      <c r="D3724" s="22" t="s">
        <v>47</v>
      </c>
      <c r="E3724" s="24" t="s">
        <v>1576</v>
      </c>
      <c r="F3724" s="22" t="s">
        <v>48</v>
      </c>
      <c r="G3724" s="25">
        <v>5900.2000000000025</v>
      </c>
      <c r="H3724" s="22" t="s">
        <v>22</v>
      </c>
      <c r="I3724" s="22">
        <v>0</v>
      </c>
      <c r="J3724" s="22" t="s">
        <v>48</v>
      </c>
      <c r="K3724" s="22" t="s">
        <v>23</v>
      </c>
      <c r="L3724" s="22">
        <v>1</v>
      </c>
      <c r="M3724" s="26">
        <v>64902</v>
      </c>
      <c r="N3724" s="26">
        <v>0</v>
      </c>
      <c r="O3724" s="15">
        <f t="shared" si="322"/>
        <v>64902</v>
      </c>
      <c r="P3724" s="15">
        <f t="shared" si="321"/>
        <v>10.999966102843967</v>
      </c>
      <c r="Q3724" s="25">
        <v>5000</v>
      </c>
      <c r="R3724" s="22">
        <v>100</v>
      </c>
      <c r="S3724" s="22" t="s">
        <v>4544</v>
      </c>
      <c r="T3724" s="22">
        <f t="shared" si="323"/>
        <v>12</v>
      </c>
      <c r="U3724" s="22">
        <f t="shared" si="324"/>
        <v>2021</v>
      </c>
      <c r="V3724" s="22" t="str">
        <f t="shared" si="325"/>
        <v>METROPOLITANA</v>
      </c>
    </row>
    <row r="3725" spans="1:22" x14ac:dyDescent="0.2">
      <c r="A3725" s="11" t="s">
        <v>4546</v>
      </c>
      <c r="B3725" s="12" t="s">
        <v>18</v>
      </c>
      <c r="C3725" s="12" t="s">
        <v>57</v>
      </c>
      <c r="D3725" s="12" t="s">
        <v>38</v>
      </c>
      <c r="E3725" s="13" t="s">
        <v>42</v>
      </c>
      <c r="F3725" s="12" t="s">
        <v>173</v>
      </c>
      <c r="G3725" s="14">
        <v>10432.36</v>
      </c>
      <c r="H3725" s="12" t="s">
        <v>43</v>
      </c>
      <c r="I3725" s="12">
        <v>0</v>
      </c>
      <c r="J3725" s="12" t="s">
        <v>173</v>
      </c>
      <c r="K3725" s="12" t="s">
        <v>23</v>
      </c>
      <c r="L3725" s="12">
        <v>5</v>
      </c>
      <c r="M3725" s="15">
        <v>90000</v>
      </c>
      <c r="N3725" s="15">
        <v>0</v>
      </c>
      <c r="O3725" s="15">
        <f t="shared" si="322"/>
        <v>90000</v>
      </c>
      <c r="P3725" s="15">
        <f t="shared" si="321"/>
        <v>8.6270029025071988</v>
      </c>
      <c r="Q3725" s="14">
        <v>10000</v>
      </c>
      <c r="R3725" s="12">
        <v>100</v>
      </c>
      <c r="S3725" s="12" t="s">
        <v>4547</v>
      </c>
      <c r="T3725" s="22">
        <f t="shared" si="323"/>
        <v>12</v>
      </c>
      <c r="U3725" s="22">
        <f t="shared" si="324"/>
        <v>2021</v>
      </c>
      <c r="V3725" s="22" t="str">
        <f t="shared" si="325"/>
        <v>METROPOLITANA</v>
      </c>
    </row>
    <row r="3726" spans="1:22" x14ac:dyDescent="0.2">
      <c r="A3726" s="11" t="s">
        <v>4546</v>
      </c>
      <c r="B3726" s="12" t="s">
        <v>18</v>
      </c>
      <c r="C3726" s="12" t="s">
        <v>57</v>
      </c>
      <c r="D3726" s="12" t="s">
        <v>37</v>
      </c>
      <c r="E3726" s="13" t="s">
        <v>40</v>
      </c>
      <c r="F3726" s="12" t="s">
        <v>173</v>
      </c>
      <c r="G3726" s="14">
        <v>9501.6</v>
      </c>
      <c r="H3726" s="12" t="s">
        <v>22</v>
      </c>
      <c r="I3726" s="12">
        <v>0</v>
      </c>
      <c r="J3726" s="12" t="s">
        <v>173</v>
      </c>
      <c r="K3726" s="12" t="s">
        <v>23</v>
      </c>
      <c r="L3726" s="12">
        <v>5</v>
      </c>
      <c r="M3726" s="15">
        <v>90000</v>
      </c>
      <c r="N3726" s="15">
        <v>0</v>
      </c>
      <c r="O3726" s="15">
        <f t="shared" si="322"/>
        <v>90000</v>
      </c>
      <c r="P3726" s="15">
        <f t="shared" si="321"/>
        <v>9.4720889113412472</v>
      </c>
      <c r="Q3726" s="14">
        <v>10000</v>
      </c>
      <c r="R3726" s="12">
        <v>95</v>
      </c>
      <c r="S3726" s="12" t="s">
        <v>4548</v>
      </c>
      <c r="T3726" s="22">
        <f t="shared" si="323"/>
        <v>12</v>
      </c>
      <c r="U3726" s="22">
        <f t="shared" si="324"/>
        <v>2021</v>
      </c>
      <c r="V3726" s="22" t="str">
        <f t="shared" si="325"/>
        <v>METROPOLITANA</v>
      </c>
    </row>
    <row r="3727" spans="1:22" x14ac:dyDescent="0.2">
      <c r="A3727" s="11" t="s">
        <v>4546</v>
      </c>
      <c r="B3727" s="12" t="s">
        <v>18</v>
      </c>
      <c r="C3727" s="12" t="s">
        <v>57</v>
      </c>
      <c r="D3727" s="12" t="s">
        <v>41</v>
      </c>
      <c r="E3727" s="13" t="s">
        <v>25</v>
      </c>
      <c r="F3727" s="12" t="s">
        <v>173</v>
      </c>
      <c r="G3727" s="14">
        <v>10657.9</v>
      </c>
      <c r="H3727" s="12" t="s">
        <v>43</v>
      </c>
      <c r="I3727" s="12">
        <v>0</v>
      </c>
      <c r="J3727" s="12" t="s">
        <v>173</v>
      </c>
      <c r="K3727" s="12" t="s">
        <v>23</v>
      </c>
      <c r="L3727" s="12">
        <v>5</v>
      </c>
      <c r="M3727" s="15">
        <v>90000</v>
      </c>
      <c r="N3727" s="15">
        <v>0</v>
      </c>
      <c r="O3727" s="15">
        <f t="shared" si="322"/>
        <v>90000</v>
      </c>
      <c r="P3727" s="15">
        <f t="shared" si="321"/>
        <v>8.4444402743504821</v>
      </c>
      <c r="Q3727" s="14">
        <v>10000</v>
      </c>
      <c r="R3727" s="12">
        <v>100</v>
      </c>
      <c r="S3727" s="12" t="s">
        <v>4549</v>
      </c>
      <c r="T3727" s="22">
        <f t="shared" si="323"/>
        <v>12</v>
      </c>
      <c r="U3727" s="22">
        <f t="shared" si="324"/>
        <v>2021</v>
      </c>
      <c r="V3727" s="22" t="str">
        <f t="shared" si="325"/>
        <v>METROPOLITANA</v>
      </c>
    </row>
    <row r="3728" spans="1:22" x14ac:dyDescent="0.2">
      <c r="A3728" s="11" t="s">
        <v>4546</v>
      </c>
      <c r="B3728" s="12" t="s">
        <v>33</v>
      </c>
      <c r="C3728" s="12" t="s">
        <v>270</v>
      </c>
      <c r="D3728" s="12" t="s">
        <v>47</v>
      </c>
      <c r="E3728" s="13" t="s">
        <v>21</v>
      </c>
      <c r="F3728" s="12" t="s">
        <v>120</v>
      </c>
      <c r="G3728" s="14">
        <v>7963.5000000000027</v>
      </c>
      <c r="H3728" s="12" t="s">
        <v>22</v>
      </c>
      <c r="I3728" s="12">
        <v>0</v>
      </c>
      <c r="J3728" s="12" t="s">
        <v>120</v>
      </c>
      <c r="K3728" s="12" t="s">
        <v>23</v>
      </c>
      <c r="L3728" s="12">
        <v>5</v>
      </c>
      <c r="M3728" s="15">
        <v>70000</v>
      </c>
      <c r="N3728" s="15">
        <v>0</v>
      </c>
      <c r="O3728" s="15">
        <f t="shared" si="322"/>
        <v>70000</v>
      </c>
      <c r="P3728" s="15">
        <f t="shared" si="321"/>
        <v>8.7901048533936059</v>
      </c>
      <c r="Q3728" s="14">
        <v>10000</v>
      </c>
      <c r="R3728" s="12">
        <v>80</v>
      </c>
      <c r="S3728" s="12" t="s">
        <v>4550</v>
      </c>
      <c r="T3728" s="22">
        <f t="shared" si="323"/>
        <v>12</v>
      </c>
      <c r="U3728" s="22">
        <f t="shared" si="324"/>
        <v>2021</v>
      </c>
      <c r="V3728" s="22" t="str">
        <f t="shared" si="325"/>
        <v>METROPOLITANA</v>
      </c>
    </row>
    <row r="3729" spans="1:22" x14ac:dyDescent="0.2">
      <c r="A3729" s="11" t="s">
        <v>4546</v>
      </c>
      <c r="B3729" s="12" t="s">
        <v>33</v>
      </c>
      <c r="C3729" s="12" t="s">
        <v>44</v>
      </c>
      <c r="D3729" s="12" t="s">
        <v>1170</v>
      </c>
      <c r="E3729" s="13" t="s">
        <v>81</v>
      </c>
      <c r="F3729" s="12" t="s">
        <v>2639</v>
      </c>
      <c r="G3729" s="14">
        <f>4977.6+6740</f>
        <v>11717.6</v>
      </c>
      <c r="H3729" s="12" t="s">
        <v>24</v>
      </c>
      <c r="I3729" s="12">
        <v>1</v>
      </c>
      <c r="J3729" s="12" t="s">
        <v>2639</v>
      </c>
      <c r="K3729" s="12" t="s">
        <v>75</v>
      </c>
      <c r="L3729" s="12">
        <v>0</v>
      </c>
      <c r="M3729" s="15">
        <v>460000</v>
      </c>
      <c r="N3729" s="15">
        <v>0</v>
      </c>
      <c r="O3729" s="15">
        <f t="shared" si="322"/>
        <v>460000</v>
      </c>
      <c r="P3729" s="15">
        <f t="shared" si="321"/>
        <v>39.257185771830407</v>
      </c>
      <c r="Q3729" s="14">
        <v>20000</v>
      </c>
      <c r="R3729" s="12">
        <v>25</v>
      </c>
      <c r="S3729" s="12" t="s">
        <v>4551</v>
      </c>
      <c r="T3729" s="22">
        <f t="shared" si="323"/>
        <v>12</v>
      </c>
      <c r="U3729" s="22">
        <f t="shared" si="324"/>
        <v>2021</v>
      </c>
      <c r="V3729" s="22" t="str">
        <f t="shared" si="325"/>
        <v>REGIONES</v>
      </c>
    </row>
    <row r="3730" spans="1:22" x14ac:dyDescent="0.2">
      <c r="A3730" s="23" t="s">
        <v>4556</v>
      </c>
      <c r="B3730" s="22" t="s">
        <v>18</v>
      </c>
      <c r="C3730" s="22" t="s">
        <v>270</v>
      </c>
      <c r="D3730" s="22" t="s">
        <v>38</v>
      </c>
      <c r="E3730" s="24" t="s">
        <v>25</v>
      </c>
      <c r="F3730" s="22" t="s">
        <v>120</v>
      </c>
      <c r="G3730" s="25">
        <v>16737.919999999998</v>
      </c>
      <c r="H3730" s="22" t="s">
        <v>43</v>
      </c>
      <c r="I3730" s="22">
        <v>0</v>
      </c>
      <c r="J3730" s="22" t="s">
        <v>120</v>
      </c>
      <c r="K3730" s="22" t="s">
        <v>23</v>
      </c>
      <c r="L3730" s="22">
        <v>5</v>
      </c>
      <c r="M3730" s="26">
        <v>70000</v>
      </c>
      <c r="N3730" s="26">
        <v>0</v>
      </c>
      <c r="O3730" s="15">
        <f t="shared" si="322"/>
        <v>70000</v>
      </c>
      <c r="P3730" s="15">
        <f t="shared" si="321"/>
        <v>4.1821205980193481</v>
      </c>
      <c r="Q3730" s="25">
        <v>10000</v>
      </c>
      <c r="R3730" s="22">
        <v>100</v>
      </c>
      <c r="S3730" s="22" t="s">
        <v>4557</v>
      </c>
      <c r="T3730" s="22">
        <f t="shared" si="323"/>
        <v>12</v>
      </c>
      <c r="U3730" s="22">
        <f t="shared" si="324"/>
        <v>2021</v>
      </c>
      <c r="V3730" s="22" t="str">
        <f t="shared" si="325"/>
        <v>METROPOLITANA</v>
      </c>
    </row>
    <row r="3731" spans="1:22" x14ac:dyDescent="0.2">
      <c r="A3731" s="23" t="s">
        <v>4556</v>
      </c>
      <c r="B3731" s="22" t="s">
        <v>18</v>
      </c>
      <c r="C3731" s="22" t="s">
        <v>57</v>
      </c>
      <c r="D3731" s="22" t="s">
        <v>41</v>
      </c>
      <c r="E3731" s="24" t="s">
        <v>25</v>
      </c>
      <c r="F3731" s="22" t="s">
        <v>173</v>
      </c>
      <c r="G3731" s="25">
        <v>10372.75</v>
      </c>
      <c r="H3731" s="22" t="s">
        <v>43</v>
      </c>
      <c r="I3731" s="22">
        <v>0</v>
      </c>
      <c r="J3731" s="22" t="s">
        <v>173</v>
      </c>
      <c r="K3731" s="22" t="s">
        <v>23</v>
      </c>
      <c r="L3731" s="22">
        <v>5</v>
      </c>
      <c r="M3731" s="26">
        <v>90000</v>
      </c>
      <c r="N3731" s="26">
        <v>0</v>
      </c>
      <c r="O3731" s="15">
        <f t="shared" si="322"/>
        <v>90000</v>
      </c>
      <c r="P3731" s="15">
        <f t="shared" si="321"/>
        <v>8.676580463232991</v>
      </c>
      <c r="Q3731" s="25">
        <v>10000</v>
      </c>
      <c r="R3731" s="22">
        <v>100</v>
      </c>
      <c r="S3731" s="22" t="s">
        <v>4558</v>
      </c>
      <c r="T3731" s="22">
        <f t="shared" si="323"/>
        <v>12</v>
      </c>
      <c r="U3731" s="22">
        <f t="shared" si="324"/>
        <v>2021</v>
      </c>
      <c r="V3731" s="22" t="str">
        <f t="shared" si="325"/>
        <v>METROPOLITANA</v>
      </c>
    </row>
    <row r="3732" spans="1:22" x14ac:dyDescent="0.2">
      <c r="A3732" s="23" t="s">
        <v>4556</v>
      </c>
      <c r="B3732" s="22" t="s">
        <v>18</v>
      </c>
      <c r="C3732" s="22" t="s">
        <v>500</v>
      </c>
      <c r="D3732" s="22" t="s">
        <v>38</v>
      </c>
      <c r="E3732" s="24" t="s">
        <v>42</v>
      </c>
      <c r="F3732" s="22" t="s">
        <v>120</v>
      </c>
      <c r="G3732" s="25">
        <v>8280.67</v>
      </c>
      <c r="H3732" s="22" t="s">
        <v>43</v>
      </c>
      <c r="I3732" s="22">
        <v>0</v>
      </c>
      <c r="J3732" s="22" t="s">
        <v>120</v>
      </c>
      <c r="K3732" s="22" t="s">
        <v>23</v>
      </c>
      <c r="L3732" s="22">
        <v>5</v>
      </c>
      <c r="M3732" s="26">
        <v>70000</v>
      </c>
      <c r="N3732" s="26">
        <v>0</v>
      </c>
      <c r="O3732" s="15">
        <f t="shared" si="322"/>
        <v>70000</v>
      </c>
      <c r="P3732" s="15">
        <f t="shared" si="321"/>
        <v>8.4534222472336182</v>
      </c>
      <c r="Q3732" s="25">
        <v>10000</v>
      </c>
      <c r="R3732" s="22">
        <v>83</v>
      </c>
      <c r="S3732" s="22" t="s">
        <v>4559</v>
      </c>
      <c r="T3732" s="22">
        <f t="shared" si="323"/>
        <v>12</v>
      </c>
      <c r="U3732" s="22">
        <f t="shared" si="324"/>
        <v>2021</v>
      </c>
      <c r="V3732" s="22" t="str">
        <f t="shared" si="325"/>
        <v>METROPOLITANA</v>
      </c>
    </row>
    <row r="3733" spans="1:22" x14ac:dyDescent="0.2">
      <c r="A3733" s="23" t="s">
        <v>4556</v>
      </c>
      <c r="B3733" s="22" t="s">
        <v>33</v>
      </c>
      <c r="C3733" s="22" t="s">
        <v>2431</v>
      </c>
      <c r="D3733" s="22" t="s">
        <v>786</v>
      </c>
      <c r="E3733" s="24" t="s">
        <v>787</v>
      </c>
      <c r="F3733" s="22" t="s">
        <v>67</v>
      </c>
      <c r="G3733" s="25">
        <v>16261</v>
      </c>
      <c r="H3733" s="22" t="s">
        <v>788</v>
      </c>
      <c r="I3733" s="22">
        <v>1</v>
      </c>
      <c r="J3733" s="22" t="s">
        <v>67</v>
      </c>
      <c r="K3733" s="22" t="s">
        <v>23</v>
      </c>
      <c r="L3733" s="22">
        <v>2</v>
      </c>
      <c r="M3733" s="26">
        <v>178871</v>
      </c>
      <c r="N3733" s="26">
        <v>0</v>
      </c>
      <c r="O3733" s="15">
        <f t="shared" si="322"/>
        <v>178871</v>
      </c>
      <c r="P3733" s="15">
        <f t="shared" si="321"/>
        <v>11</v>
      </c>
      <c r="Q3733" s="25">
        <v>5000</v>
      </c>
      <c r="R3733" s="22">
        <v>100</v>
      </c>
      <c r="S3733" s="22" t="s">
        <v>4560</v>
      </c>
      <c r="T3733" s="22">
        <f t="shared" si="323"/>
        <v>12</v>
      </c>
      <c r="U3733" s="22">
        <f t="shared" si="324"/>
        <v>2021</v>
      </c>
      <c r="V3733" s="22" t="str">
        <f t="shared" si="325"/>
        <v>METROPOLITANA</v>
      </c>
    </row>
    <row r="3734" spans="1:22" x14ac:dyDescent="0.2">
      <c r="A3734" s="23" t="s">
        <v>4556</v>
      </c>
      <c r="B3734" s="22" t="s">
        <v>33</v>
      </c>
      <c r="C3734" s="22" t="s">
        <v>2623</v>
      </c>
      <c r="D3734" s="22" t="s">
        <v>37</v>
      </c>
      <c r="E3734" s="24" t="s">
        <v>4561</v>
      </c>
      <c r="F3734" s="22" t="s">
        <v>2004</v>
      </c>
      <c r="G3734" s="25">
        <v>5627.9999999999991</v>
      </c>
      <c r="H3734" s="22" t="s">
        <v>22</v>
      </c>
      <c r="I3734" s="22">
        <v>0</v>
      </c>
      <c r="J3734" s="22" t="s">
        <v>2004</v>
      </c>
      <c r="K3734" s="22" t="s">
        <v>23</v>
      </c>
      <c r="L3734" s="22">
        <v>5</v>
      </c>
      <c r="M3734" s="26">
        <v>90000</v>
      </c>
      <c r="N3734" s="26">
        <v>0</v>
      </c>
      <c r="O3734" s="15">
        <f t="shared" si="322"/>
        <v>90000</v>
      </c>
      <c r="P3734" s="15">
        <f t="shared" si="321"/>
        <v>15.991471215351815</v>
      </c>
      <c r="Q3734" s="25">
        <v>10000</v>
      </c>
      <c r="R3734" s="22">
        <v>56</v>
      </c>
      <c r="S3734" s="22" t="s">
        <v>4562</v>
      </c>
      <c r="T3734" s="22">
        <f t="shared" si="323"/>
        <v>12</v>
      </c>
      <c r="U3734" s="22">
        <f t="shared" si="324"/>
        <v>2021</v>
      </c>
      <c r="V3734" s="22" t="str">
        <f t="shared" si="325"/>
        <v>METROPOLITANA</v>
      </c>
    </row>
    <row r="3735" spans="1:22" x14ac:dyDescent="0.2">
      <c r="A3735" s="23" t="s">
        <v>4556</v>
      </c>
      <c r="B3735" s="22" t="s">
        <v>33</v>
      </c>
      <c r="C3735" s="22" t="s">
        <v>4563</v>
      </c>
      <c r="D3735" s="22" t="s">
        <v>47</v>
      </c>
      <c r="E3735" s="24" t="s">
        <v>1576</v>
      </c>
      <c r="F3735" s="22" t="s">
        <v>727</v>
      </c>
      <c r="G3735" s="25">
        <v>6508.2599999999984</v>
      </c>
      <c r="H3735" s="22" t="s">
        <v>22</v>
      </c>
      <c r="I3735" s="22">
        <v>0</v>
      </c>
      <c r="J3735" s="22" t="s">
        <v>727</v>
      </c>
      <c r="K3735" s="22" t="s">
        <v>23</v>
      </c>
      <c r="L3735" s="22">
        <v>2</v>
      </c>
      <c r="M3735" s="26">
        <v>71591</v>
      </c>
      <c r="N3735" s="26">
        <v>0</v>
      </c>
      <c r="O3735" s="15">
        <f t="shared" si="322"/>
        <v>71591</v>
      </c>
      <c r="P3735" s="15">
        <f t="shared" si="321"/>
        <v>11.000021511125864</v>
      </c>
      <c r="Q3735" s="25">
        <v>5000</v>
      </c>
      <c r="R3735" s="22">
        <v>100</v>
      </c>
      <c r="S3735" s="22" t="s">
        <v>4564</v>
      </c>
      <c r="T3735" s="22">
        <f t="shared" si="323"/>
        <v>12</v>
      </c>
      <c r="U3735" s="22">
        <f t="shared" si="324"/>
        <v>2021</v>
      </c>
      <c r="V3735" s="22" t="str">
        <f t="shared" si="325"/>
        <v>METROPOLITANA</v>
      </c>
    </row>
    <row r="3736" spans="1:22" x14ac:dyDescent="0.2">
      <c r="A3736" s="23" t="s">
        <v>4556</v>
      </c>
      <c r="B3736" s="22" t="s">
        <v>33</v>
      </c>
      <c r="C3736" s="22" t="s">
        <v>128</v>
      </c>
      <c r="D3736" s="22" t="s">
        <v>47</v>
      </c>
      <c r="E3736" s="24" t="s">
        <v>1576</v>
      </c>
      <c r="F3736" s="22" t="s">
        <v>58</v>
      </c>
      <c r="G3736" s="25">
        <v>3596.4</v>
      </c>
      <c r="H3736" s="22" t="s">
        <v>22</v>
      </c>
      <c r="I3736" s="22">
        <v>0</v>
      </c>
      <c r="J3736" s="22" t="s">
        <v>58</v>
      </c>
      <c r="K3736" s="22" t="s">
        <v>23</v>
      </c>
      <c r="L3736" s="22">
        <v>5</v>
      </c>
      <c r="M3736" s="26">
        <v>70000</v>
      </c>
      <c r="N3736" s="26">
        <v>0</v>
      </c>
      <c r="O3736" s="15">
        <f t="shared" si="322"/>
        <v>70000</v>
      </c>
      <c r="P3736" s="15">
        <f t="shared" si="321"/>
        <v>19.46390835279724</v>
      </c>
      <c r="Q3736" s="25">
        <v>10000</v>
      </c>
      <c r="R3736" s="22">
        <v>36</v>
      </c>
      <c r="S3736" s="22" t="s">
        <v>4565</v>
      </c>
      <c r="T3736" s="22">
        <f t="shared" si="323"/>
        <v>12</v>
      </c>
      <c r="U3736" s="22">
        <f t="shared" si="324"/>
        <v>2021</v>
      </c>
      <c r="V3736" s="22" t="str">
        <f t="shared" si="325"/>
        <v>METROPOLITANA</v>
      </c>
    </row>
    <row r="3737" spans="1:22" x14ac:dyDescent="0.2">
      <c r="A3737" s="23" t="s">
        <v>4556</v>
      </c>
      <c r="B3737" s="22" t="s">
        <v>33</v>
      </c>
      <c r="C3737" s="22" t="s">
        <v>87</v>
      </c>
      <c r="D3737" s="22" t="s">
        <v>45</v>
      </c>
      <c r="E3737" s="24" t="s">
        <v>52</v>
      </c>
      <c r="F3737" s="22" t="s">
        <v>51</v>
      </c>
      <c r="G3737" s="25">
        <v>6650</v>
      </c>
      <c r="H3737" s="22" t="s">
        <v>22</v>
      </c>
      <c r="I3737" s="22">
        <v>0</v>
      </c>
      <c r="J3737" s="22" t="s">
        <v>51</v>
      </c>
      <c r="K3737" s="22" t="s">
        <v>23</v>
      </c>
      <c r="L3737" s="22">
        <v>4</v>
      </c>
      <c r="M3737" s="26">
        <v>73150</v>
      </c>
      <c r="N3737" s="26">
        <v>0</v>
      </c>
      <c r="O3737" s="15">
        <f t="shared" si="322"/>
        <v>73150</v>
      </c>
      <c r="P3737" s="15">
        <f t="shared" si="321"/>
        <v>11</v>
      </c>
      <c r="Q3737" s="25">
        <v>5000</v>
      </c>
      <c r="R3737" s="22">
        <v>100</v>
      </c>
      <c r="S3737" s="22" t="s">
        <v>4566</v>
      </c>
      <c r="T3737" s="22">
        <f t="shared" si="323"/>
        <v>12</v>
      </c>
      <c r="U3737" s="22">
        <f t="shared" si="324"/>
        <v>2021</v>
      </c>
      <c r="V3737" s="22" t="str">
        <f t="shared" si="325"/>
        <v>METROPOLITANA</v>
      </c>
    </row>
    <row r="3738" spans="1:22" x14ac:dyDescent="0.2">
      <c r="A3738" s="23" t="s">
        <v>4556</v>
      </c>
      <c r="B3738" s="22" t="s">
        <v>33</v>
      </c>
      <c r="C3738" s="22" t="s">
        <v>29</v>
      </c>
      <c r="D3738" s="22" t="s">
        <v>30</v>
      </c>
      <c r="E3738" s="24" t="s">
        <v>4567</v>
      </c>
      <c r="F3738" s="22" t="s">
        <v>134</v>
      </c>
      <c r="G3738" s="25">
        <v>9004.7999999999975</v>
      </c>
      <c r="H3738" s="22" t="s">
        <v>32</v>
      </c>
      <c r="I3738" s="22">
        <v>0</v>
      </c>
      <c r="J3738" s="22" t="s">
        <v>134</v>
      </c>
      <c r="K3738" s="22" t="s">
        <v>23</v>
      </c>
      <c r="L3738" s="22">
        <v>2</v>
      </c>
      <c r="M3738" s="26">
        <v>99053</v>
      </c>
      <c r="N3738" s="26">
        <v>0</v>
      </c>
      <c r="O3738" s="15">
        <f t="shared" si="322"/>
        <v>99053</v>
      </c>
      <c r="P3738" s="15">
        <f t="shared" si="321"/>
        <v>11.000022210376692</v>
      </c>
      <c r="Q3738" s="25">
        <v>5000</v>
      </c>
      <c r="R3738" s="22">
        <v>100</v>
      </c>
      <c r="S3738" s="22" t="s">
        <v>4568</v>
      </c>
      <c r="T3738" s="22">
        <f t="shared" si="323"/>
        <v>12</v>
      </c>
      <c r="U3738" s="22">
        <f t="shared" si="324"/>
        <v>2021</v>
      </c>
      <c r="V3738" s="22" t="str">
        <f t="shared" si="325"/>
        <v>METROPOLITANA</v>
      </c>
    </row>
    <row r="3739" spans="1:22" x14ac:dyDescent="0.2">
      <c r="A3739" s="23" t="s">
        <v>4556</v>
      </c>
      <c r="B3739" s="22" t="s">
        <v>33</v>
      </c>
      <c r="C3739" s="22" t="s">
        <v>44</v>
      </c>
      <c r="D3739" s="22" t="s">
        <v>4569</v>
      </c>
      <c r="E3739" s="24" t="s">
        <v>868</v>
      </c>
      <c r="F3739" s="22" t="s">
        <v>3438</v>
      </c>
      <c r="G3739" s="25">
        <v>14002.79999999999</v>
      </c>
      <c r="H3739" s="22" t="s">
        <v>24</v>
      </c>
      <c r="I3739" s="22">
        <v>1</v>
      </c>
      <c r="J3739" s="22" t="s">
        <v>3438</v>
      </c>
      <c r="K3739" s="22" t="s">
        <v>93</v>
      </c>
      <c r="L3739" s="22">
        <v>0</v>
      </c>
      <c r="M3739" s="26">
        <v>800000</v>
      </c>
      <c r="N3739" s="26">
        <v>0</v>
      </c>
      <c r="O3739" s="15">
        <f t="shared" si="322"/>
        <v>800000</v>
      </c>
      <c r="P3739" s="15">
        <f t="shared" si="321"/>
        <v>57.131430856685846</v>
      </c>
      <c r="Q3739" s="25">
        <v>20000</v>
      </c>
      <c r="R3739" s="22">
        <v>70</v>
      </c>
      <c r="S3739" s="22" t="s">
        <v>4570</v>
      </c>
      <c r="T3739" s="22">
        <f t="shared" si="323"/>
        <v>12</v>
      </c>
      <c r="U3739" s="22">
        <f t="shared" si="324"/>
        <v>2021</v>
      </c>
      <c r="V3739" s="22" t="str">
        <f t="shared" si="325"/>
        <v>REGIONES</v>
      </c>
    </row>
    <row r="3740" spans="1:22" x14ac:dyDescent="0.2">
      <c r="A3740" s="23" t="s">
        <v>4556</v>
      </c>
      <c r="B3740" s="22" t="s">
        <v>33</v>
      </c>
      <c r="C3740" s="22" t="s">
        <v>44</v>
      </c>
      <c r="D3740" s="22" t="s">
        <v>45</v>
      </c>
      <c r="E3740" s="24" t="s">
        <v>52</v>
      </c>
      <c r="F3740" s="22" t="s">
        <v>48</v>
      </c>
      <c r="G3740" s="25">
        <v>4200.6000000000004</v>
      </c>
      <c r="H3740" s="22" t="s">
        <v>22</v>
      </c>
      <c r="I3740" s="22">
        <v>0</v>
      </c>
      <c r="J3740" s="22" t="s">
        <v>48</v>
      </c>
      <c r="K3740" s="22" t="s">
        <v>23</v>
      </c>
      <c r="L3740" s="22">
        <v>1</v>
      </c>
      <c r="M3740" s="26">
        <v>55000</v>
      </c>
      <c r="N3740" s="26">
        <v>0</v>
      </c>
      <c r="O3740" s="15">
        <f t="shared" si="322"/>
        <v>55000</v>
      </c>
      <c r="P3740" s="15">
        <f t="shared" si="321"/>
        <v>13.093367614150358</v>
      </c>
      <c r="Q3740" s="25">
        <v>5000</v>
      </c>
      <c r="R3740" s="22">
        <v>84</v>
      </c>
      <c r="S3740" s="22" t="s">
        <v>4571</v>
      </c>
      <c r="T3740" s="22">
        <f t="shared" si="323"/>
        <v>12</v>
      </c>
      <c r="U3740" s="22">
        <f t="shared" si="324"/>
        <v>2021</v>
      </c>
      <c r="V3740" s="22" t="str">
        <f t="shared" si="325"/>
        <v>METROPOLITANA</v>
      </c>
    </row>
    <row r="3741" spans="1:22" x14ac:dyDescent="0.2">
      <c r="A3741" s="11" t="s">
        <v>4572</v>
      </c>
      <c r="B3741" s="12" t="s">
        <v>18</v>
      </c>
      <c r="C3741" s="12" t="s">
        <v>57</v>
      </c>
      <c r="D3741" s="12" t="s">
        <v>41</v>
      </c>
      <c r="E3741" s="13" t="s">
        <v>25</v>
      </c>
      <c r="F3741" s="12" t="s">
        <v>173</v>
      </c>
      <c r="G3741" s="14">
        <v>10280.450000000001</v>
      </c>
      <c r="H3741" s="12" t="s">
        <v>43</v>
      </c>
      <c r="I3741" s="12">
        <v>0</v>
      </c>
      <c r="J3741" s="12" t="s">
        <v>173</v>
      </c>
      <c r="K3741" s="12" t="s">
        <v>23</v>
      </c>
      <c r="L3741" s="12">
        <v>5</v>
      </c>
      <c r="M3741" s="15">
        <v>90000</v>
      </c>
      <c r="N3741" s="15">
        <v>0</v>
      </c>
      <c r="O3741" s="15">
        <f t="shared" si="322"/>
        <v>90000</v>
      </c>
      <c r="P3741" s="15">
        <f t="shared" si="321"/>
        <v>8.7544805918028867</v>
      </c>
      <c r="Q3741" s="14">
        <v>10000</v>
      </c>
      <c r="R3741" s="12">
        <v>100</v>
      </c>
      <c r="S3741" s="12" t="s">
        <v>4573</v>
      </c>
      <c r="T3741" s="22">
        <f t="shared" si="323"/>
        <v>12</v>
      </c>
      <c r="U3741" s="22">
        <f t="shared" si="324"/>
        <v>2021</v>
      </c>
      <c r="V3741" s="22" t="str">
        <f t="shared" si="325"/>
        <v>METROPOLITANA</v>
      </c>
    </row>
    <row r="3742" spans="1:22" x14ac:dyDescent="0.2">
      <c r="A3742" s="11" t="s">
        <v>4572</v>
      </c>
      <c r="B3742" s="12" t="s">
        <v>18</v>
      </c>
      <c r="C3742" s="12" t="s">
        <v>500</v>
      </c>
      <c r="D3742" s="12" t="s">
        <v>37</v>
      </c>
      <c r="E3742" s="13" t="s">
        <v>40</v>
      </c>
      <c r="F3742" s="12" t="s">
        <v>120</v>
      </c>
      <c r="G3742" s="14">
        <v>5066.25</v>
      </c>
      <c r="H3742" s="12" t="s">
        <v>22</v>
      </c>
      <c r="I3742" s="12">
        <v>0</v>
      </c>
      <c r="J3742" s="12" t="s">
        <v>120</v>
      </c>
      <c r="K3742" s="12" t="s">
        <v>23</v>
      </c>
      <c r="L3742" s="12">
        <v>5</v>
      </c>
      <c r="M3742" s="15">
        <v>70000</v>
      </c>
      <c r="N3742" s="15">
        <v>0</v>
      </c>
      <c r="O3742" s="15">
        <f t="shared" si="322"/>
        <v>70000</v>
      </c>
      <c r="P3742" s="15">
        <f t="shared" si="321"/>
        <v>13.81692573402418</v>
      </c>
      <c r="Q3742" s="14">
        <v>10000</v>
      </c>
      <c r="R3742" s="12">
        <v>51</v>
      </c>
      <c r="S3742" s="12" t="s">
        <v>4574</v>
      </c>
      <c r="T3742" s="22">
        <f t="shared" si="323"/>
        <v>12</v>
      </c>
      <c r="U3742" s="22">
        <f t="shared" si="324"/>
        <v>2021</v>
      </c>
      <c r="V3742" s="22" t="str">
        <f t="shared" si="325"/>
        <v>METROPOLITANA</v>
      </c>
    </row>
    <row r="3743" spans="1:22" x14ac:dyDescent="0.2">
      <c r="A3743" s="11" t="s">
        <v>4572</v>
      </c>
      <c r="B3743" s="12" t="s">
        <v>18</v>
      </c>
      <c r="C3743" s="12" t="s">
        <v>19</v>
      </c>
      <c r="D3743" s="12" t="s">
        <v>37</v>
      </c>
      <c r="E3743" s="13" t="s">
        <v>40</v>
      </c>
      <c r="F3743" s="12" t="s">
        <v>727</v>
      </c>
      <c r="G3743" s="14">
        <v>6923.7</v>
      </c>
      <c r="H3743" s="12" t="s">
        <v>22</v>
      </c>
      <c r="I3743" s="12">
        <v>0</v>
      </c>
      <c r="J3743" s="12" t="s">
        <v>727</v>
      </c>
      <c r="K3743" s="12" t="s">
        <v>23</v>
      </c>
      <c r="L3743" s="12">
        <v>2</v>
      </c>
      <c r="M3743" s="15">
        <v>76161</v>
      </c>
      <c r="N3743" s="15">
        <v>0</v>
      </c>
      <c r="O3743" s="15">
        <f t="shared" si="322"/>
        <v>76161</v>
      </c>
      <c r="P3743" s="15">
        <f t="shared" si="321"/>
        <v>11.000043329433685</v>
      </c>
      <c r="Q3743" s="14">
        <v>5000</v>
      </c>
      <c r="R3743" s="12">
        <v>100</v>
      </c>
      <c r="S3743" s="12" t="s">
        <v>4575</v>
      </c>
      <c r="T3743" s="22">
        <f t="shared" si="323"/>
        <v>12</v>
      </c>
      <c r="U3743" s="22">
        <f t="shared" si="324"/>
        <v>2021</v>
      </c>
      <c r="V3743" s="22" t="str">
        <f t="shared" si="325"/>
        <v>METROPOLITANA</v>
      </c>
    </row>
    <row r="3744" spans="1:22" x14ac:dyDescent="0.2">
      <c r="A3744" s="11" t="s">
        <v>4572</v>
      </c>
      <c r="B3744" s="12" t="s">
        <v>18</v>
      </c>
      <c r="C3744" s="12" t="s">
        <v>163</v>
      </c>
      <c r="D3744" s="12" t="s">
        <v>38</v>
      </c>
      <c r="E3744" s="13" t="s">
        <v>42</v>
      </c>
      <c r="F3744" s="12" t="s">
        <v>165</v>
      </c>
      <c r="G3744" s="14">
        <v>8453.9</v>
      </c>
      <c r="H3744" s="12" t="s">
        <v>43</v>
      </c>
      <c r="I3744" s="12">
        <v>0</v>
      </c>
      <c r="J3744" s="12" t="s">
        <v>165</v>
      </c>
      <c r="K3744" s="12" t="s">
        <v>23</v>
      </c>
      <c r="L3744" s="12">
        <v>4</v>
      </c>
      <c r="M3744" s="15">
        <v>92993</v>
      </c>
      <c r="N3744" s="15">
        <v>0</v>
      </c>
      <c r="O3744" s="15">
        <f t="shared" si="322"/>
        <v>92993</v>
      </c>
      <c r="P3744" s="15">
        <f t="shared" si="321"/>
        <v>11.000011828860053</v>
      </c>
      <c r="Q3744" s="14">
        <v>5000</v>
      </c>
      <c r="R3744" s="12">
        <v>100</v>
      </c>
      <c r="S3744" s="12" t="s">
        <v>4576</v>
      </c>
      <c r="T3744" s="22">
        <f t="shared" si="323"/>
        <v>12</v>
      </c>
      <c r="U3744" s="22">
        <f t="shared" si="324"/>
        <v>2021</v>
      </c>
      <c r="V3744" s="22" t="str">
        <f t="shared" si="325"/>
        <v>METROPOLITANA</v>
      </c>
    </row>
    <row r="3745" spans="1:22" x14ac:dyDescent="0.2">
      <c r="A3745" s="11" t="s">
        <v>4572</v>
      </c>
      <c r="B3745" s="12" t="s">
        <v>18</v>
      </c>
      <c r="C3745" s="12" t="s">
        <v>163</v>
      </c>
      <c r="D3745" s="12" t="s">
        <v>63</v>
      </c>
      <c r="E3745" s="13" t="s">
        <v>64</v>
      </c>
      <c r="F3745" s="12" t="s">
        <v>165</v>
      </c>
      <c r="G3745" s="14">
        <v>7246.2</v>
      </c>
      <c r="H3745" s="12" t="s">
        <v>65</v>
      </c>
      <c r="I3745" s="12">
        <v>0</v>
      </c>
      <c r="J3745" s="12" t="s">
        <v>165</v>
      </c>
      <c r="K3745" s="12" t="s">
        <v>23</v>
      </c>
      <c r="L3745" s="12">
        <v>4</v>
      </c>
      <c r="M3745" s="15">
        <v>79708</v>
      </c>
      <c r="N3745" s="15">
        <v>0</v>
      </c>
      <c r="O3745" s="15">
        <f t="shared" si="322"/>
        <v>79708</v>
      </c>
      <c r="P3745" s="15">
        <f t="shared" ref="P3745:P3808" si="326">O3745/G3745</f>
        <v>10.999972399326543</v>
      </c>
      <c r="Q3745" s="14">
        <v>5000</v>
      </c>
      <c r="R3745" s="12">
        <v>100</v>
      </c>
      <c r="S3745" s="12" t="s">
        <v>4577</v>
      </c>
      <c r="T3745" s="22">
        <f t="shared" si="323"/>
        <v>12</v>
      </c>
      <c r="U3745" s="22">
        <f t="shared" si="324"/>
        <v>2021</v>
      </c>
      <c r="V3745" s="22" t="str">
        <f t="shared" si="325"/>
        <v>METROPOLITANA</v>
      </c>
    </row>
    <row r="3746" spans="1:22" x14ac:dyDescent="0.2">
      <c r="A3746" s="11" t="s">
        <v>4572</v>
      </c>
      <c r="B3746" s="12" t="s">
        <v>33</v>
      </c>
      <c r="C3746" s="12" t="s">
        <v>128</v>
      </c>
      <c r="D3746" s="12" t="s">
        <v>786</v>
      </c>
      <c r="E3746" s="13" t="s">
        <v>787</v>
      </c>
      <c r="F3746" s="12" t="s">
        <v>34</v>
      </c>
      <c r="G3746" s="14">
        <v>18009.599999999999</v>
      </c>
      <c r="H3746" s="12" t="s">
        <v>788</v>
      </c>
      <c r="I3746" s="12">
        <v>1</v>
      </c>
      <c r="J3746" s="12" t="s">
        <v>34</v>
      </c>
      <c r="K3746" s="12" t="s">
        <v>23</v>
      </c>
      <c r="L3746" s="12">
        <v>1</v>
      </c>
      <c r="M3746" s="15">
        <v>198106</v>
      </c>
      <c r="N3746" s="15">
        <v>0</v>
      </c>
      <c r="O3746" s="15">
        <f t="shared" si="322"/>
        <v>198106</v>
      </c>
      <c r="P3746" s="15">
        <f t="shared" si="326"/>
        <v>11.000022210376688</v>
      </c>
      <c r="Q3746" s="14">
        <v>5000</v>
      </c>
      <c r="R3746" s="12">
        <v>100</v>
      </c>
      <c r="S3746" s="12" t="s">
        <v>4578</v>
      </c>
      <c r="T3746" s="22">
        <f t="shared" si="323"/>
        <v>12</v>
      </c>
      <c r="U3746" s="22">
        <f t="shared" si="324"/>
        <v>2021</v>
      </c>
      <c r="V3746" s="22" t="str">
        <f t="shared" si="325"/>
        <v>METROPOLITANA</v>
      </c>
    </row>
    <row r="3747" spans="1:22" x14ac:dyDescent="0.2">
      <c r="A3747" s="11" t="s">
        <v>4572</v>
      </c>
      <c r="B3747" s="12" t="s">
        <v>33</v>
      </c>
      <c r="C3747" s="12" t="s">
        <v>128</v>
      </c>
      <c r="D3747" s="12" t="s">
        <v>2955</v>
      </c>
      <c r="E3747" s="13" t="s">
        <v>2956</v>
      </c>
      <c r="F3747" s="12" t="s">
        <v>34</v>
      </c>
      <c r="G3747" s="14">
        <v>8244.0000000000036</v>
      </c>
      <c r="H3747" s="12" t="s">
        <v>24</v>
      </c>
      <c r="I3747" s="12">
        <v>1</v>
      </c>
      <c r="J3747" s="12" t="s">
        <v>34</v>
      </c>
      <c r="K3747" s="12" t="s">
        <v>23</v>
      </c>
      <c r="L3747" s="12">
        <v>1</v>
      </c>
      <c r="M3747" s="15">
        <v>90684</v>
      </c>
      <c r="N3747" s="15">
        <v>0</v>
      </c>
      <c r="O3747" s="15">
        <f t="shared" si="322"/>
        <v>90684</v>
      </c>
      <c r="P3747" s="15">
        <f t="shared" si="326"/>
        <v>10.999999999999995</v>
      </c>
      <c r="Q3747" s="14">
        <v>5000</v>
      </c>
      <c r="R3747" s="12">
        <v>100</v>
      </c>
      <c r="S3747" s="12" t="s">
        <v>4579</v>
      </c>
      <c r="T3747" s="22">
        <f t="shared" si="323"/>
        <v>12</v>
      </c>
      <c r="U3747" s="22">
        <f t="shared" si="324"/>
        <v>2021</v>
      </c>
      <c r="V3747" s="22" t="str">
        <f t="shared" si="325"/>
        <v>METROPOLITANA</v>
      </c>
    </row>
    <row r="3748" spans="1:22" x14ac:dyDescent="0.2">
      <c r="A3748" s="11" t="s">
        <v>4572</v>
      </c>
      <c r="B3748" s="12" t="s">
        <v>33</v>
      </c>
      <c r="C3748" s="12" t="s">
        <v>128</v>
      </c>
      <c r="D3748" s="12" t="s">
        <v>164</v>
      </c>
      <c r="E3748" s="13" t="s">
        <v>1576</v>
      </c>
      <c r="F3748" s="12" t="s">
        <v>34</v>
      </c>
      <c r="G3748" s="14">
        <v>17259.19999999999</v>
      </c>
      <c r="H3748" s="12" t="s">
        <v>22</v>
      </c>
      <c r="I3748" s="12">
        <v>1</v>
      </c>
      <c r="J3748" s="12" t="s">
        <v>34</v>
      </c>
      <c r="K3748" s="12" t="s">
        <v>23</v>
      </c>
      <c r="L3748" s="12">
        <v>1</v>
      </c>
      <c r="M3748" s="15">
        <v>189851</v>
      </c>
      <c r="N3748" s="15">
        <v>0</v>
      </c>
      <c r="O3748" s="15">
        <f t="shared" si="322"/>
        <v>189851</v>
      </c>
      <c r="P3748" s="15">
        <f t="shared" si="326"/>
        <v>10.999988411977387</v>
      </c>
      <c r="Q3748" s="14">
        <v>5000</v>
      </c>
      <c r="R3748" s="12">
        <v>100</v>
      </c>
      <c r="S3748" s="12" t="s">
        <v>4580</v>
      </c>
      <c r="T3748" s="22">
        <f t="shared" si="323"/>
        <v>12</v>
      </c>
      <c r="U3748" s="22">
        <f t="shared" si="324"/>
        <v>2021</v>
      </c>
      <c r="V3748" s="22" t="str">
        <f t="shared" si="325"/>
        <v>METROPOLITANA</v>
      </c>
    </row>
    <row r="3749" spans="1:22" x14ac:dyDescent="0.2">
      <c r="A3749" s="11" t="s">
        <v>4572</v>
      </c>
      <c r="B3749" s="12" t="s">
        <v>33</v>
      </c>
      <c r="C3749" s="12" t="s">
        <v>29</v>
      </c>
      <c r="D3749" s="12" t="s">
        <v>63</v>
      </c>
      <c r="E3749" s="13" t="s">
        <v>64</v>
      </c>
      <c r="F3749" s="12" t="s">
        <v>39</v>
      </c>
      <c r="G3749" s="14">
        <v>7733.3999999999987</v>
      </c>
      <c r="H3749" s="12" t="s">
        <v>65</v>
      </c>
      <c r="I3749" s="12">
        <v>0</v>
      </c>
      <c r="J3749" s="12" t="s">
        <v>39</v>
      </c>
      <c r="K3749" s="12" t="s">
        <v>23</v>
      </c>
      <c r="L3749" s="12">
        <v>1</v>
      </c>
      <c r="M3749" s="15">
        <v>85067</v>
      </c>
      <c r="N3749" s="15">
        <v>0</v>
      </c>
      <c r="O3749" s="15">
        <f t="shared" si="322"/>
        <v>85067</v>
      </c>
      <c r="P3749" s="15">
        <f t="shared" si="326"/>
        <v>10.999948276307965</v>
      </c>
      <c r="Q3749" s="14">
        <v>5000</v>
      </c>
      <c r="R3749" s="12">
        <v>100</v>
      </c>
      <c r="S3749" s="12" t="s">
        <v>4581</v>
      </c>
      <c r="T3749" s="22">
        <f t="shared" si="323"/>
        <v>12</v>
      </c>
      <c r="U3749" s="22">
        <f t="shared" si="324"/>
        <v>2021</v>
      </c>
      <c r="V3749" s="22" t="str">
        <f t="shared" si="325"/>
        <v>METROPOLITANA</v>
      </c>
    </row>
    <row r="3750" spans="1:22" x14ac:dyDescent="0.2">
      <c r="A3750" s="11" t="s">
        <v>4572</v>
      </c>
      <c r="B3750" s="12" t="s">
        <v>33</v>
      </c>
      <c r="C3750" s="12" t="s">
        <v>29</v>
      </c>
      <c r="D3750" s="12" t="s">
        <v>30</v>
      </c>
      <c r="E3750" s="13" t="s">
        <v>31</v>
      </c>
      <c r="F3750" s="12" t="s">
        <v>39</v>
      </c>
      <c r="G3750" s="14">
        <v>17875</v>
      </c>
      <c r="H3750" s="12" t="s">
        <v>32</v>
      </c>
      <c r="I3750" s="12">
        <v>0</v>
      </c>
      <c r="J3750" s="12" t="s">
        <v>39</v>
      </c>
      <c r="K3750" s="12" t="s">
        <v>23</v>
      </c>
      <c r="L3750" s="12">
        <v>1</v>
      </c>
      <c r="M3750" s="15">
        <v>196625</v>
      </c>
      <c r="N3750" s="15">
        <v>0</v>
      </c>
      <c r="O3750" s="15">
        <f t="shared" si="322"/>
        <v>196625</v>
      </c>
      <c r="P3750" s="15">
        <f t="shared" si="326"/>
        <v>11</v>
      </c>
      <c r="Q3750" s="14">
        <v>5000</v>
      </c>
      <c r="R3750" s="12">
        <v>100</v>
      </c>
      <c r="S3750" s="12" t="s">
        <v>4582</v>
      </c>
      <c r="T3750" s="22">
        <f t="shared" si="323"/>
        <v>12</v>
      </c>
      <c r="U3750" s="22">
        <f t="shared" si="324"/>
        <v>2021</v>
      </c>
      <c r="V3750" s="22" t="str">
        <f t="shared" si="325"/>
        <v>METROPOLITANA</v>
      </c>
    </row>
    <row r="3751" spans="1:22" x14ac:dyDescent="0.2">
      <c r="A3751" s="11" t="s">
        <v>4572</v>
      </c>
      <c r="B3751" s="12" t="s">
        <v>33</v>
      </c>
      <c r="C3751" s="12" t="s">
        <v>29</v>
      </c>
      <c r="D3751" s="12" t="s">
        <v>30</v>
      </c>
      <c r="E3751" s="13" t="s">
        <v>31</v>
      </c>
      <c r="F3751" s="12" t="s">
        <v>134</v>
      </c>
      <c r="G3751" s="14">
        <v>9004.7999999999975</v>
      </c>
      <c r="H3751" s="12" t="s">
        <v>32</v>
      </c>
      <c r="I3751" s="12">
        <v>0</v>
      </c>
      <c r="J3751" s="12" t="s">
        <v>134</v>
      </c>
      <c r="K3751" s="12" t="s">
        <v>23</v>
      </c>
      <c r="L3751" s="12">
        <v>2</v>
      </c>
      <c r="M3751" s="15">
        <v>99053</v>
      </c>
      <c r="N3751" s="15">
        <v>0</v>
      </c>
      <c r="O3751" s="15">
        <f t="shared" si="322"/>
        <v>99053</v>
      </c>
      <c r="P3751" s="15">
        <f t="shared" si="326"/>
        <v>11.000022210376692</v>
      </c>
      <c r="Q3751" s="14">
        <v>5000</v>
      </c>
      <c r="R3751" s="12">
        <v>100</v>
      </c>
      <c r="S3751" s="12" t="s">
        <v>4583</v>
      </c>
      <c r="T3751" s="22">
        <f t="shared" si="323"/>
        <v>12</v>
      </c>
      <c r="U3751" s="22">
        <f t="shared" si="324"/>
        <v>2021</v>
      </c>
      <c r="V3751" s="22" t="str">
        <f t="shared" si="325"/>
        <v>METROPOLITANA</v>
      </c>
    </row>
    <row r="3752" spans="1:22" x14ac:dyDescent="0.2">
      <c r="A3752" s="23" t="s">
        <v>4584</v>
      </c>
      <c r="B3752" s="22" t="s">
        <v>18</v>
      </c>
      <c r="C3752" s="22" t="s">
        <v>57</v>
      </c>
      <c r="D3752" s="22" t="s">
        <v>41</v>
      </c>
      <c r="E3752" s="24" t="s">
        <v>25</v>
      </c>
      <c r="F3752" s="22" t="s">
        <v>173</v>
      </c>
      <c r="G3752" s="25">
        <v>15156.42</v>
      </c>
      <c r="H3752" s="22" t="s">
        <v>43</v>
      </c>
      <c r="I3752" s="22">
        <v>0</v>
      </c>
      <c r="J3752" s="22" t="s">
        <v>173</v>
      </c>
      <c r="K3752" s="22" t="s">
        <v>23</v>
      </c>
      <c r="L3752" s="22">
        <v>5</v>
      </c>
      <c r="M3752" s="26">
        <v>90000</v>
      </c>
      <c r="N3752" s="26">
        <v>0</v>
      </c>
      <c r="O3752" s="15">
        <f t="shared" si="322"/>
        <v>90000</v>
      </c>
      <c r="P3752" s="15">
        <f t="shared" si="326"/>
        <v>5.938077725478708</v>
      </c>
      <c r="Q3752" s="25">
        <v>10000</v>
      </c>
      <c r="R3752" s="22">
        <v>100</v>
      </c>
      <c r="S3752" s="22" t="s">
        <v>4585</v>
      </c>
      <c r="T3752" s="22">
        <f t="shared" si="323"/>
        <v>12</v>
      </c>
      <c r="U3752" s="22">
        <f t="shared" si="324"/>
        <v>2021</v>
      </c>
      <c r="V3752" s="22" t="str">
        <f t="shared" si="325"/>
        <v>METROPOLITANA</v>
      </c>
    </row>
    <row r="3753" spans="1:22" x14ac:dyDescent="0.2">
      <c r="A3753" s="23" t="s">
        <v>4584</v>
      </c>
      <c r="B3753" s="22" t="s">
        <v>18</v>
      </c>
      <c r="C3753" s="22" t="s">
        <v>4400</v>
      </c>
      <c r="D3753" s="22" t="s">
        <v>38</v>
      </c>
      <c r="E3753" s="24" t="s">
        <v>1872</v>
      </c>
      <c r="F3753" s="22" t="s">
        <v>452</v>
      </c>
      <c r="G3753" s="25">
        <v>8753.48</v>
      </c>
      <c r="H3753" s="22" t="s">
        <v>43</v>
      </c>
      <c r="I3753" s="22">
        <v>0</v>
      </c>
      <c r="J3753" s="22" t="s">
        <v>452</v>
      </c>
      <c r="K3753" s="22" t="s">
        <v>171</v>
      </c>
      <c r="L3753" s="22">
        <v>0</v>
      </c>
      <c r="M3753" s="26">
        <v>230000</v>
      </c>
      <c r="N3753" s="26">
        <v>0</v>
      </c>
      <c r="O3753" s="15">
        <f t="shared" si="322"/>
        <v>230000</v>
      </c>
      <c r="P3753" s="15">
        <f t="shared" si="326"/>
        <v>26.27526423776601</v>
      </c>
      <c r="Q3753" s="25">
        <v>20000</v>
      </c>
      <c r="R3753" s="22">
        <v>44</v>
      </c>
      <c r="S3753" s="22" t="s">
        <v>4586</v>
      </c>
      <c r="T3753" s="22">
        <f t="shared" si="323"/>
        <v>12</v>
      </c>
      <c r="U3753" s="22">
        <f t="shared" si="324"/>
        <v>2021</v>
      </c>
      <c r="V3753" s="22" t="str">
        <f t="shared" si="325"/>
        <v>REGIONES</v>
      </c>
    </row>
    <row r="3754" spans="1:22" x14ac:dyDescent="0.2">
      <c r="A3754" s="23" t="s">
        <v>4584</v>
      </c>
      <c r="B3754" s="22" t="s">
        <v>18</v>
      </c>
      <c r="C3754" s="22" t="s">
        <v>4334</v>
      </c>
      <c r="D3754" s="22" t="s">
        <v>4587</v>
      </c>
      <c r="E3754" s="24" t="s">
        <v>4588</v>
      </c>
      <c r="F3754" s="22" t="s">
        <v>4335</v>
      </c>
      <c r="G3754" s="25">
        <v>16191.82</v>
      </c>
      <c r="H3754" s="22" t="s">
        <v>24</v>
      </c>
      <c r="I3754" s="22">
        <v>1</v>
      </c>
      <c r="J3754" s="22" t="s">
        <v>4335</v>
      </c>
      <c r="K3754" s="22" t="s">
        <v>437</v>
      </c>
      <c r="L3754" s="22">
        <v>0</v>
      </c>
      <c r="M3754" s="26">
        <v>900000</v>
      </c>
      <c r="N3754" s="26">
        <v>0</v>
      </c>
      <c r="O3754" s="15">
        <f t="shared" si="322"/>
        <v>900000</v>
      </c>
      <c r="P3754" s="15">
        <f t="shared" si="326"/>
        <v>55.583621853503807</v>
      </c>
      <c r="Q3754" s="25">
        <v>20000</v>
      </c>
      <c r="R3754" s="22">
        <v>81</v>
      </c>
      <c r="S3754" s="22" t="s">
        <v>4589</v>
      </c>
      <c r="T3754" s="22">
        <f t="shared" si="323"/>
        <v>12</v>
      </c>
      <c r="U3754" s="22">
        <f t="shared" si="324"/>
        <v>2021</v>
      </c>
      <c r="V3754" s="22" t="str">
        <f t="shared" si="325"/>
        <v>REGIONES</v>
      </c>
    </row>
    <row r="3755" spans="1:22" x14ac:dyDescent="0.2">
      <c r="A3755" s="23" t="s">
        <v>4584</v>
      </c>
      <c r="B3755" s="22" t="s">
        <v>33</v>
      </c>
      <c r="C3755" s="22" t="s">
        <v>36</v>
      </c>
      <c r="D3755" s="22" t="s">
        <v>30</v>
      </c>
      <c r="E3755" s="24" t="s">
        <v>31</v>
      </c>
      <c r="F3755" s="22" t="s">
        <v>34</v>
      </c>
      <c r="G3755" s="25">
        <v>3167.420000000001</v>
      </c>
      <c r="H3755" s="22" t="s">
        <v>32</v>
      </c>
      <c r="I3755" s="22">
        <v>0</v>
      </c>
      <c r="J3755" s="22" t="s">
        <v>34</v>
      </c>
      <c r="K3755" s="22" t="s">
        <v>23</v>
      </c>
      <c r="L3755" s="22">
        <v>1</v>
      </c>
      <c r="M3755" s="26">
        <v>55000</v>
      </c>
      <c r="N3755" s="26">
        <v>0</v>
      </c>
      <c r="O3755" s="15">
        <f t="shared" ref="O3755:O3801" si="327">SUM(M3755:N3755)</f>
        <v>55000</v>
      </c>
      <c r="P3755" s="15">
        <f t="shared" si="326"/>
        <v>17.364290179388899</v>
      </c>
      <c r="Q3755" s="25">
        <v>5000</v>
      </c>
      <c r="R3755" s="22">
        <v>63</v>
      </c>
      <c r="S3755" s="22" t="s">
        <v>4590</v>
      </c>
      <c r="T3755" s="22">
        <f t="shared" si="323"/>
        <v>12</v>
      </c>
      <c r="U3755" s="22">
        <f t="shared" si="324"/>
        <v>2021</v>
      </c>
      <c r="V3755" s="22" t="str">
        <f t="shared" si="325"/>
        <v>METROPOLITANA</v>
      </c>
    </row>
    <row r="3756" spans="1:22" x14ac:dyDescent="0.2">
      <c r="A3756" s="23" t="s">
        <v>4584</v>
      </c>
      <c r="B3756" s="22" t="s">
        <v>33</v>
      </c>
      <c r="C3756" s="22" t="s">
        <v>36</v>
      </c>
      <c r="D3756" s="22" t="s">
        <v>47</v>
      </c>
      <c r="E3756" s="24" t="s">
        <v>52</v>
      </c>
      <c r="F3756" s="22" t="s">
        <v>129</v>
      </c>
      <c r="G3756" s="25">
        <v>7128</v>
      </c>
      <c r="H3756" s="22" t="s">
        <v>22</v>
      </c>
      <c r="I3756" s="22">
        <v>0</v>
      </c>
      <c r="J3756" s="22" t="s">
        <v>129</v>
      </c>
      <c r="K3756" s="22" t="s">
        <v>23</v>
      </c>
      <c r="L3756" s="22">
        <v>1</v>
      </c>
      <c r="M3756" s="26">
        <v>78408</v>
      </c>
      <c r="N3756" s="26">
        <v>0</v>
      </c>
      <c r="O3756" s="15">
        <f t="shared" si="327"/>
        <v>78408</v>
      </c>
      <c r="P3756" s="15">
        <f t="shared" si="326"/>
        <v>11</v>
      </c>
      <c r="Q3756" s="25">
        <v>5000</v>
      </c>
      <c r="R3756" s="22">
        <v>100</v>
      </c>
      <c r="S3756" s="22" t="s">
        <v>4591</v>
      </c>
      <c r="T3756" s="22">
        <f t="shared" si="323"/>
        <v>12</v>
      </c>
      <c r="U3756" s="22">
        <f t="shared" si="324"/>
        <v>2021</v>
      </c>
      <c r="V3756" s="22" t="str">
        <f t="shared" si="325"/>
        <v>METROPOLITANA</v>
      </c>
    </row>
    <row r="3757" spans="1:22" x14ac:dyDescent="0.2">
      <c r="A3757" s="23" t="s">
        <v>4584</v>
      </c>
      <c r="B3757" s="22" t="s">
        <v>33</v>
      </c>
      <c r="C3757" s="22" t="s">
        <v>29</v>
      </c>
      <c r="D3757" s="22" t="s">
        <v>38</v>
      </c>
      <c r="E3757" s="24" t="s">
        <v>25</v>
      </c>
      <c r="F3757" s="22" t="s">
        <v>39</v>
      </c>
      <c r="G3757" s="25">
        <v>2748</v>
      </c>
      <c r="H3757" s="22" t="s">
        <v>43</v>
      </c>
      <c r="I3757" s="22">
        <v>0</v>
      </c>
      <c r="J3757" s="22" t="s">
        <v>39</v>
      </c>
      <c r="K3757" s="22" t="s">
        <v>23</v>
      </c>
      <c r="L3757" s="22">
        <v>1</v>
      </c>
      <c r="M3757" s="26">
        <v>55000</v>
      </c>
      <c r="N3757" s="26">
        <v>0</v>
      </c>
      <c r="O3757" s="15">
        <f t="shared" si="327"/>
        <v>55000</v>
      </c>
      <c r="P3757" s="15">
        <f t="shared" si="326"/>
        <v>20.014556040756915</v>
      </c>
      <c r="Q3757" s="25">
        <v>5000</v>
      </c>
      <c r="R3757" s="22">
        <v>55</v>
      </c>
      <c r="S3757" s="22" t="s">
        <v>4592</v>
      </c>
      <c r="T3757" s="22">
        <f t="shared" si="323"/>
        <v>12</v>
      </c>
      <c r="U3757" s="22">
        <f t="shared" si="324"/>
        <v>2021</v>
      </c>
      <c r="V3757" s="22" t="str">
        <f t="shared" si="325"/>
        <v>METROPOLITANA</v>
      </c>
    </row>
    <row r="3758" spans="1:22" x14ac:dyDescent="0.2">
      <c r="A3758" s="23" t="s">
        <v>4584</v>
      </c>
      <c r="B3758" s="22" t="s">
        <v>33</v>
      </c>
      <c r="C3758" s="22" t="s">
        <v>29</v>
      </c>
      <c r="D3758" s="22" t="s">
        <v>37</v>
      </c>
      <c r="E3758" s="24" t="s">
        <v>40</v>
      </c>
      <c r="F3758" s="22" t="s">
        <v>39</v>
      </c>
      <c r="G3758" s="25">
        <v>2748</v>
      </c>
      <c r="H3758" s="22" t="s">
        <v>22</v>
      </c>
      <c r="I3758" s="22">
        <v>0</v>
      </c>
      <c r="J3758" s="22" t="s">
        <v>39</v>
      </c>
      <c r="K3758" s="22" t="s">
        <v>23</v>
      </c>
      <c r="L3758" s="22">
        <v>1</v>
      </c>
      <c r="M3758" s="26">
        <v>55000</v>
      </c>
      <c r="N3758" s="26">
        <v>0</v>
      </c>
      <c r="O3758" s="15">
        <f t="shared" si="327"/>
        <v>55000</v>
      </c>
      <c r="P3758" s="15">
        <f t="shared" si="326"/>
        <v>20.014556040756915</v>
      </c>
      <c r="Q3758" s="25">
        <v>5000</v>
      </c>
      <c r="R3758" s="22">
        <v>55</v>
      </c>
      <c r="S3758" s="22" t="s">
        <v>4593</v>
      </c>
      <c r="T3758" s="22">
        <f t="shared" si="323"/>
        <v>12</v>
      </c>
      <c r="U3758" s="22">
        <f t="shared" si="324"/>
        <v>2021</v>
      </c>
      <c r="V3758" s="22" t="str">
        <f t="shared" si="325"/>
        <v>METROPOLITANA</v>
      </c>
    </row>
    <row r="3759" spans="1:22" x14ac:dyDescent="0.2">
      <c r="A3759" s="23" t="s">
        <v>4584</v>
      </c>
      <c r="B3759" s="22" t="s">
        <v>33</v>
      </c>
      <c r="C3759" s="22" t="s">
        <v>29</v>
      </c>
      <c r="D3759" s="22" t="s">
        <v>786</v>
      </c>
      <c r="E3759" s="24" t="s">
        <v>787</v>
      </c>
      <c r="F3759" s="22" t="s">
        <v>173</v>
      </c>
      <c r="G3759" s="25">
        <v>8096.0000000000027</v>
      </c>
      <c r="H3759" s="22" t="s">
        <v>788</v>
      </c>
      <c r="I3759" s="22">
        <v>1</v>
      </c>
      <c r="J3759" s="22" t="s">
        <v>173</v>
      </c>
      <c r="K3759" s="22" t="s">
        <v>23</v>
      </c>
      <c r="L3759" s="22">
        <v>5</v>
      </c>
      <c r="M3759" s="26">
        <v>120000</v>
      </c>
      <c r="N3759" s="26">
        <v>0</v>
      </c>
      <c r="O3759" s="15">
        <f t="shared" si="327"/>
        <v>120000</v>
      </c>
      <c r="P3759" s="15">
        <f t="shared" si="326"/>
        <v>14.822134387351774</v>
      </c>
      <c r="Q3759" s="25">
        <v>10000</v>
      </c>
      <c r="R3759" s="22">
        <v>81</v>
      </c>
      <c r="S3759" s="22" t="s">
        <v>4594</v>
      </c>
      <c r="T3759" s="22">
        <f t="shared" si="323"/>
        <v>12</v>
      </c>
      <c r="U3759" s="22">
        <f t="shared" si="324"/>
        <v>2021</v>
      </c>
      <c r="V3759" s="22" t="str">
        <f t="shared" si="325"/>
        <v>METROPOLITANA</v>
      </c>
    </row>
    <row r="3760" spans="1:22" x14ac:dyDescent="0.2">
      <c r="A3760" s="23" t="s">
        <v>4584</v>
      </c>
      <c r="B3760" s="22" t="s">
        <v>33</v>
      </c>
      <c r="C3760" s="22" t="s">
        <v>29</v>
      </c>
      <c r="D3760" s="22" t="s">
        <v>47</v>
      </c>
      <c r="E3760" s="24" t="s">
        <v>1576</v>
      </c>
      <c r="F3760" s="22" t="s">
        <v>39</v>
      </c>
      <c r="G3760" s="25">
        <v>4946.4000000000005</v>
      </c>
      <c r="H3760" s="22" t="s">
        <v>22</v>
      </c>
      <c r="I3760" s="22">
        <v>0</v>
      </c>
      <c r="J3760" s="22" t="s">
        <v>39</v>
      </c>
      <c r="K3760" s="22" t="s">
        <v>23</v>
      </c>
      <c r="L3760" s="22">
        <v>1</v>
      </c>
      <c r="M3760" s="26">
        <v>55000</v>
      </c>
      <c r="N3760" s="26">
        <v>0</v>
      </c>
      <c r="O3760" s="15">
        <f t="shared" si="327"/>
        <v>55000</v>
      </c>
      <c r="P3760" s="15">
        <f t="shared" si="326"/>
        <v>11.119197800420507</v>
      </c>
      <c r="Q3760" s="25">
        <v>5000</v>
      </c>
      <c r="R3760" s="22">
        <v>99</v>
      </c>
      <c r="S3760" s="22" t="s">
        <v>4595</v>
      </c>
      <c r="T3760" s="22">
        <f t="shared" si="323"/>
        <v>12</v>
      </c>
      <c r="U3760" s="22">
        <f t="shared" si="324"/>
        <v>2021</v>
      </c>
      <c r="V3760" s="22" t="str">
        <f t="shared" si="325"/>
        <v>METROPOLITANA</v>
      </c>
    </row>
    <row r="3761" spans="1:22" x14ac:dyDescent="0.2">
      <c r="A3761" s="23" t="s">
        <v>4584</v>
      </c>
      <c r="B3761" s="22" t="s">
        <v>33</v>
      </c>
      <c r="C3761" s="22" t="s">
        <v>29</v>
      </c>
      <c r="D3761" s="22" t="s">
        <v>164</v>
      </c>
      <c r="E3761" s="24" t="s">
        <v>1576</v>
      </c>
      <c r="F3761" s="22" t="s">
        <v>39</v>
      </c>
      <c r="G3761" s="25">
        <v>2748</v>
      </c>
      <c r="H3761" s="22" t="s">
        <v>22</v>
      </c>
      <c r="I3761" s="22">
        <v>1</v>
      </c>
      <c r="J3761" s="22" t="s">
        <v>39</v>
      </c>
      <c r="K3761" s="22" t="s">
        <v>23</v>
      </c>
      <c r="L3761" s="22">
        <v>1</v>
      </c>
      <c r="M3761" s="26">
        <v>55000</v>
      </c>
      <c r="N3761" s="26">
        <v>0</v>
      </c>
      <c r="O3761" s="15">
        <f t="shared" si="327"/>
        <v>55000</v>
      </c>
      <c r="P3761" s="15">
        <f t="shared" si="326"/>
        <v>20.014556040756915</v>
      </c>
      <c r="Q3761" s="25">
        <v>5000</v>
      </c>
      <c r="R3761" s="22">
        <v>55</v>
      </c>
      <c r="S3761" s="22" t="s">
        <v>4596</v>
      </c>
      <c r="T3761" s="22">
        <f t="shared" si="323"/>
        <v>12</v>
      </c>
      <c r="U3761" s="22">
        <f t="shared" si="324"/>
        <v>2021</v>
      </c>
      <c r="V3761" s="22" t="str">
        <f t="shared" si="325"/>
        <v>METROPOLITANA</v>
      </c>
    </row>
    <row r="3762" spans="1:22" x14ac:dyDescent="0.2">
      <c r="A3762" s="23" t="s">
        <v>4584</v>
      </c>
      <c r="B3762" s="22" t="s">
        <v>33</v>
      </c>
      <c r="C3762" s="22" t="s">
        <v>44</v>
      </c>
      <c r="D3762" s="22" t="s">
        <v>1170</v>
      </c>
      <c r="E3762" s="24" t="s">
        <v>81</v>
      </c>
      <c r="F3762" s="22" t="s">
        <v>132</v>
      </c>
      <c r="G3762" s="25">
        <v>8544.6000000000022</v>
      </c>
      <c r="H3762" s="22" t="s">
        <v>24</v>
      </c>
      <c r="I3762" s="22">
        <v>1</v>
      </c>
      <c r="J3762" s="22" t="s">
        <v>132</v>
      </c>
      <c r="K3762" s="22" t="s">
        <v>124</v>
      </c>
      <c r="L3762" s="22">
        <v>0</v>
      </c>
      <c r="M3762" s="26">
        <v>400000</v>
      </c>
      <c r="N3762" s="26">
        <v>0</v>
      </c>
      <c r="O3762" s="15">
        <f t="shared" si="327"/>
        <v>400000</v>
      </c>
      <c r="P3762" s="15">
        <f t="shared" si="326"/>
        <v>46.813191957493608</v>
      </c>
      <c r="Q3762" s="25">
        <v>20000</v>
      </c>
      <c r="R3762" s="22">
        <v>43</v>
      </c>
      <c r="S3762" s="22" t="s">
        <v>4597</v>
      </c>
      <c r="T3762" s="22">
        <f t="shared" si="323"/>
        <v>12</v>
      </c>
      <c r="U3762" s="22">
        <f t="shared" si="324"/>
        <v>2021</v>
      </c>
      <c r="V3762" s="22" t="str">
        <f t="shared" si="325"/>
        <v>REGIONES</v>
      </c>
    </row>
    <row r="3763" spans="1:22" x14ac:dyDescent="0.2">
      <c r="A3763" s="23" t="s">
        <v>4584</v>
      </c>
      <c r="B3763" s="22" t="s">
        <v>33</v>
      </c>
      <c r="C3763" s="22" t="s">
        <v>44</v>
      </c>
      <c r="D3763" s="22" t="s">
        <v>45</v>
      </c>
      <c r="E3763" s="24" t="s">
        <v>52</v>
      </c>
      <c r="F3763" s="22" t="s">
        <v>48</v>
      </c>
      <c r="G3763" s="25">
        <v>5789.5</v>
      </c>
      <c r="H3763" s="22" t="s">
        <v>22</v>
      </c>
      <c r="I3763" s="22">
        <v>0</v>
      </c>
      <c r="J3763" s="22" t="s">
        <v>48</v>
      </c>
      <c r="K3763" s="22" t="s">
        <v>23</v>
      </c>
      <c r="L3763" s="22">
        <v>1</v>
      </c>
      <c r="M3763" s="26">
        <v>63684</v>
      </c>
      <c r="N3763" s="26">
        <v>0</v>
      </c>
      <c r="O3763" s="15">
        <f t="shared" si="327"/>
        <v>63684</v>
      </c>
      <c r="P3763" s="15">
        <f t="shared" si="326"/>
        <v>10.999913636756197</v>
      </c>
      <c r="Q3763" s="25">
        <v>5000</v>
      </c>
      <c r="R3763" s="22">
        <v>100</v>
      </c>
      <c r="S3763" s="22" t="s">
        <v>4598</v>
      </c>
      <c r="T3763" s="22">
        <f t="shared" si="323"/>
        <v>12</v>
      </c>
      <c r="U3763" s="22">
        <f t="shared" si="324"/>
        <v>2021</v>
      </c>
      <c r="V3763" s="22" t="str">
        <f t="shared" si="325"/>
        <v>METROPOLITANA</v>
      </c>
    </row>
    <row r="3764" spans="1:22" x14ac:dyDescent="0.2">
      <c r="A3764" s="23" t="s">
        <v>4584</v>
      </c>
      <c r="B3764" s="22" t="s">
        <v>33</v>
      </c>
      <c r="C3764" s="22" t="s">
        <v>44</v>
      </c>
      <c r="D3764" s="22" t="s">
        <v>47</v>
      </c>
      <c r="E3764" s="24" t="s">
        <v>1576</v>
      </c>
      <c r="F3764" s="22" t="s">
        <v>225</v>
      </c>
      <c r="G3764" s="25">
        <v>4852.32</v>
      </c>
      <c r="H3764" s="22" t="s">
        <v>22</v>
      </c>
      <c r="I3764" s="22">
        <v>0</v>
      </c>
      <c r="J3764" s="22" t="s">
        <v>225</v>
      </c>
      <c r="K3764" s="22" t="s">
        <v>23</v>
      </c>
      <c r="L3764" s="22">
        <v>3</v>
      </c>
      <c r="M3764" s="26">
        <v>55000</v>
      </c>
      <c r="N3764" s="26">
        <v>0</v>
      </c>
      <c r="O3764" s="15">
        <f t="shared" si="327"/>
        <v>55000</v>
      </c>
      <c r="P3764" s="15">
        <f t="shared" si="326"/>
        <v>11.334784185709104</v>
      </c>
      <c r="Q3764" s="25">
        <v>5000</v>
      </c>
      <c r="R3764" s="22">
        <v>97</v>
      </c>
      <c r="S3764" s="22" t="s">
        <v>4599</v>
      </c>
      <c r="T3764" s="22">
        <f t="shared" si="323"/>
        <v>12</v>
      </c>
      <c r="U3764" s="22">
        <f t="shared" si="324"/>
        <v>2021</v>
      </c>
      <c r="V3764" s="22" t="str">
        <f t="shared" si="325"/>
        <v>METROPOLITANA</v>
      </c>
    </row>
    <row r="3765" spans="1:22" x14ac:dyDescent="0.2">
      <c r="A3765" s="11" t="s">
        <v>4600</v>
      </c>
      <c r="B3765" s="12" t="s">
        <v>18</v>
      </c>
      <c r="C3765" s="12" t="s">
        <v>57</v>
      </c>
      <c r="D3765" s="12" t="s">
        <v>37</v>
      </c>
      <c r="E3765" s="13" t="s">
        <v>40</v>
      </c>
      <c r="F3765" s="12" t="s">
        <v>173</v>
      </c>
      <c r="G3765" s="14">
        <v>9979.61</v>
      </c>
      <c r="H3765" s="12" t="s">
        <v>22</v>
      </c>
      <c r="I3765" s="12">
        <v>0</v>
      </c>
      <c r="J3765" s="12" t="s">
        <v>173</v>
      </c>
      <c r="K3765" s="12" t="s">
        <v>23</v>
      </c>
      <c r="L3765" s="12">
        <v>5</v>
      </c>
      <c r="M3765" s="15">
        <v>90000</v>
      </c>
      <c r="N3765" s="15">
        <v>0</v>
      </c>
      <c r="O3765" s="15">
        <f t="shared" si="327"/>
        <v>90000</v>
      </c>
      <c r="P3765" s="15">
        <f t="shared" si="326"/>
        <v>9.0183884941395505</v>
      </c>
      <c r="Q3765" s="14">
        <v>10000</v>
      </c>
      <c r="R3765" s="12">
        <v>100</v>
      </c>
      <c r="S3765" s="12" t="s">
        <v>4601</v>
      </c>
      <c r="T3765" s="22">
        <f t="shared" si="323"/>
        <v>12</v>
      </c>
      <c r="U3765" s="22">
        <f t="shared" si="324"/>
        <v>2021</v>
      </c>
      <c r="V3765" s="22" t="str">
        <f t="shared" si="325"/>
        <v>METROPOLITANA</v>
      </c>
    </row>
    <row r="3766" spans="1:22" x14ac:dyDescent="0.2">
      <c r="A3766" s="11" t="s">
        <v>4600</v>
      </c>
      <c r="B3766" s="12" t="s">
        <v>18</v>
      </c>
      <c r="C3766" s="12" t="s">
        <v>19</v>
      </c>
      <c r="D3766" s="12" t="s">
        <v>2825</v>
      </c>
      <c r="E3766" s="13" t="s">
        <v>4602</v>
      </c>
      <c r="F3766" s="12" t="s">
        <v>92</v>
      </c>
      <c r="G3766" s="14">
        <v>18943.32</v>
      </c>
      <c r="H3766" s="12" t="s">
        <v>24</v>
      </c>
      <c r="I3766" s="12">
        <v>1</v>
      </c>
      <c r="J3766" s="12" t="s">
        <v>92</v>
      </c>
      <c r="K3766" s="12" t="s">
        <v>93</v>
      </c>
      <c r="L3766" s="12">
        <v>0</v>
      </c>
      <c r="M3766" s="15">
        <v>665000</v>
      </c>
      <c r="N3766" s="15">
        <v>0</v>
      </c>
      <c r="O3766" s="15">
        <f t="shared" si="327"/>
        <v>665000</v>
      </c>
      <c r="P3766" s="15">
        <f t="shared" si="326"/>
        <v>35.104722931355219</v>
      </c>
      <c r="Q3766" s="14">
        <v>20000</v>
      </c>
      <c r="R3766" s="12">
        <v>95</v>
      </c>
      <c r="S3766" s="12" t="s">
        <v>4603</v>
      </c>
      <c r="T3766" s="22">
        <f t="shared" si="323"/>
        <v>12</v>
      </c>
      <c r="U3766" s="22">
        <f t="shared" si="324"/>
        <v>2021</v>
      </c>
      <c r="V3766" s="22" t="str">
        <f t="shared" si="325"/>
        <v>REGIONES</v>
      </c>
    </row>
    <row r="3767" spans="1:22" x14ac:dyDescent="0.2">
      <c r="A3767" s="11" t="s">
        <v>4600</v>
      </c>
      <c r="B3767" s="12" t="s">
        <v>33</v>
      </c>
      <c r="C3767" s="12" t="s">
        <v>270</v>
      </c>
      <c r="D3767" s="12" t="s">
        <v>4604</v>
      </c>
      <c r="E3767" s="13" t="s">
        <v>31</v>
      </c>
      <c r="F3767" s="12" t="s">
        <v>120</v>
      </c>
      <c r="G3767" s="14">
        <v>15063</v>
      </c>
      <c r="H3767" s="12" t="s">
        <v>24</v>
      </c>
      <c r="I3767" s="12">
        <v>1</v>
      </c>
      <c r="J3767" s="12" t="s">
        <v>120</v>
      </c>
      <c r="K3767" s="12" t="s">
        <v>23</v>
      </c>
      <c r="L3767" s="12">
        <v>5</v>
      </c>
      <c r="M3767" s="15">
        <v>120000</v>
      </c>
      <c r="N3767" s="15">
        <v>0</v>
      </c>
      <c r="O3767" s="15">
        <f t="shared" si="327"/>
        <v>120000</v>
      </c>
      <c r="P3767" s="15">
        <f t="shared" si="326"/>
        <v>7.966540529774945</v>
      </c>
      <c r="Q3767" s="14">
        <v>10000</v>
      </c>
      <c r="R3767" s="12">
        <v>100</v>
      </c>
      <c r="S3767" s="12" t="s">
        <v>4605</v>
      </c>
      <c r="T3767" s="22">
        <f t="shared" si="323"/>
        <v>12</v>
      </c>
      <c r="U3767" s="22">
        <f t="shared" si="324"/>
        <v>2021</v>
      </c>
      <c r="V3767" s="22" t="str">
        <f t="shared" si="325"/>
        <v>METROPOLITANA</v>
      </c>
    </row>
    <row r="3768" spans="1:22" x14ac:dyDescent="0.2">
      <c r="A3768" s="11" t="s">
        <v>4600</v>
      </c>
      <c r="B3768" s="12" t="s">
        <v>33</v>
      </c>
      <c r="C3768" s="12" t="s">
        <v>29</v>
      </c>
      <c r="D3768" s="12" t="s">
        <v>38</v>
      </c>
      <c r="E3768" s="13" t="s">
        <v>42</v>
      </c>
      <c r="F3768" s="12" t="s">
        <v>134</v>
      </c>
      <c r="G3768" s="14">
        <v>4764.170000000001</v>
      </c>
      <c r="H3768" s="12" t="s">
        <v>43</v>
      </c>
      <c r="I3768" s="12">
        <v>0</v>
      </c>
      <c r="J3768" s="12" t="s">
        <v>134</v>
      </c>
      <c r="K3768" s="12" t="s">
        <v>23</v>
      </c>
      <c r="L3768" s="12">
        <v>2</v>
      </c>
      <c r="M3768" s="15">
        <v>55000</v>
      </c>
      <c r="N3768" s="15">
        <v>0</v>
      </c>
      <c r="O3768" s="15">
        <f t="shared" si="327"/>
        <v>55000</v>
      </c>
      <c r="P3768" s="15">
        <f t="shared" si="326"/>
        <v>11.544508277412433</v>
      </c>
      <c r="Q3768" s="14">
        <v>5000</v>
      </c>
      <c r="R3768" s="12">
        <v>95</v>
      </c>
      <c r="S3768" s="12" t="s">
        <v>4606</v>
      </c>
      <c r="T3768" s="22">
        <f t="shared" si="323"/>
        <v>12</v>
      </c>
      <c r="U3768" s="22">
        <f t="shared" si="324"/>
        <v>2021</v>
      </c>
      <c r="V3768" s="22" t="str">
        <f t="shared" si="325"/>
        <v>METROPOLITANA</v>
      </c>
    </row>
    <row r="3769" spans="1:22" x14ac:dyDescent="0.2">
      <c r="A3769" s="11" t="s">
        <v>4600</v>
      </c>
      <c r="B3769" s="12" t="s">
        <v>33</v>
      </c>
      <c r="C3769" s="12" t="s">
        <v>29</v>
      </c>
      <c r="D3769" s="12" t="s">
        <v>37</v>
      </c>
      <c r="E3769" s="13" t="s">
        <v>40</v>
      </c>
      <c r="F3769" s="12" t="s">
        <v>39</v>
      </c>
      <c r="G3769" s="14">
        <v>9954.7999999999993</v>
      </c>
      <c r="H3769" s="12" t="s">
        <v>22</v>
      </c>
      <c r="I3769" s="12">
        <v>0</v>
      </c>
      <c r="J3769" s="12" t="s">
        <v>39</v>
      </c>
      <c r="K3769" s="12" t="s">
        <v>23</v>
      </c>
      <c r="L3769" s="12">
        <v>1</v>
      </c>
      <c r="M3769" s="15">
        <v>109503</v>
      </c>
      <c r="N3769" s="15">
        <v>0</v>
      </c>
      <c r="O3769" s="15">
        <f t="shared" si="327"/>
        <v>109503</v>
      </c>
      <c r="P3769" s="15">
        <f t="shared" si="326"/>
        <v>11.000020090810464</v>
      </c>
      <c r="Q3769" s="14">
        <v>5000</v>
      </c>
      <c r="R3769" s="12">
        <v>100</v>
      </c>
      <c r="S3769" s="12" t="s">
        <v>4607</v>
      </c>
      <c r="T3769" s="22">
        <f t="shared" si="323"/>
        <v>12</v>
      </c>
      <c r="U3769" s="22">
        <f t="shared" si="324"/>
        <v>2021</v>
      </c>
      <c r="V3769" s="22" t="str">
        <f t="shared" si="325"/>
        <v>METROPOLITANA</v>
      </c>
    </row>
    <row r="3770" spans="1:22" x14ac:dyDescent="0.2">
      <c r="A3770" s="11" t="s">
        <v>4600</v>
      </c>
      <c r="B3770" s="12" t="s">
        <v>33</v>
      </c>
      <c r="C3770" s="12" t="s">
        <v>29</v>
      </c>
      <c r="D3770" s="12" t="s">
        <v>41</v>
      </c>
      <c r="E3770" s="13" t="s">
        <v>25</v>
      </c>
      <c r="F3770" s="12" t="s">
        <v>39</v>
      </c>
      <c r="G3770" s="14">
        <v>2748</v>
      </c>
      <c r="H3770" s="12" t="s">
        <v>43</v>
      </c>
      <c r="I3770" s="12">
        <v>0</v>
      </c>
      <c r="J3770" s="12" t="s">
        <v>39</v>
      </c>
      <c r="K3770" s="12" t="s">
        <v>23</v>
      </c>
      <c r="L3770" s="12">
        <v>1</v>
      </c>
      <c r="M3770" s="15">
        <v>55000</v>
      </c>
      <c r="N3770" s="15">
        <v>0</v>
      </c>
      <c r="O3770" s="15">
        <f t="shared" si="327"/>
        <v>55000</v>
      </c>
      <c r="P3770" s="15">
        <f t="shared" si="326"/>
        <v>20.014556040756915</v>
      </c>
      <c r="Q3770" s="14">
        <v>5000</v>
      </c>
      <c r="R3770" s="12">
        <v>55</v>
      </c>
      <c r="S3770" s="12" t="s">
        <v>4608</v>
      </c>
      <c r="T3770" s="22">
        <f t="shared" si="323"/>
        <v>12</v>
      </c>
      <c r="U3770" s="22">
        <f t="shared" si="324"/>
        <v>2021</v>
      </c>
      <c r="V3770" s="22" t="str">
        <f t="shared" si="325"/>
        <v>METROPOLITANA</v>
      </c>
    </row>
    <row r="3771" spans="1:22" x14ac:dyDescent="0.2">
      <c r="A3771" s="11" t="s">
        <v>4600</v>
      </c>
      <c r="B3771" s="12" t="s">
        <v>33</v>
      </c>
      <c r="C3771" s="12" t="s">
        <v>29</v>
      </c>
      <c r="D3771" s="12" t="s">
        <v>164</v>
      </c>
      <c r="E3771" s="13" t="s">
        <v>1576</v>
      </c>
      <c r="F3771" s="12" t="s">
        <v>39</v>
      </c>
      <c r="G3771" s="14">
        <v>8244.0000000000036</v>
      </c>
      <c r="H3771" s="12" t="s">
        <v>22</v>
      </c>
      <c r="I3771" s="12">
        <v>1</v>
      </c>
      <c r="J3771" s="12" t="s">
        <v>39</v>
      </c>
      <c r="K3771" s="12" t="s">
        <v>23</v>
      </c>
      <c r="L3771" s="12">
        <v>1</v>
      </c>
      <c r="M3771" s="15">
        <v>90684</v>
      </c>
      <c r="N3771" s="15">
        <v>0</v>
      </c>
      <c r="O3771" s="15">
        <f t="shared" si="327"/>
        <v>90684</v>
      </c>
      <c r="P3771" s="15">
        <f t="shared" si="326"/>
        <v>10.999999999999995</v>
      </c>
      <c r="Q3771" s="14">
        <v>5000</v>
      </c>
      <c r="R3771" s="12">
        <v>100</v>
      </c>
      <c r="S3771" s="12" t="s">
        <v>4609</v>
      </c>
      <c r="T3771" s="22">
        <f t="shared" si="323"/>
        <v>12</v>
      </c>
      <c r="U3771" s="22">
        <f t="shared" si="324"/>
        <v>2021</v>
      </c>
      <c r="V3771" s="22" t="str">
        <f t="shared" si="325"/>
        <v>METROPOLITANA</v>
      </c>
    </row>
    <row r="3772" spans="1:22" x14ac:dyDescent="0.2">
      <c r="A3772" s="11" t="s">
        <v>4600</v>
      </c>
      <c r="B3772" s="12" t="s">
        <v>33</v>
      </c>
      <c r="C3772" s="12" t="s">
        <v>44</v>
      </c>
      <c r="D3772" s="12" t="s">
        <v>2262</v>
      </c>
      <c r="E3772" s="13" t="s">
        <v>83</v>
      </c>
      <c r="F3772" s="12" t="s">
        <v>84</v>
      </c>
      <c r="G3772" s="14">
        <v>11212.38</v>
      </c>
      <c r="H3772" s="12" t="s">
        <v>24</v>
      </c>
      <c r="I3772" s="12">
        <v>1</v>
      </c>
      <c r="J3772" s="12" t="s">
        <v>84</v>
      </c>
      <c r="K3772" s="12" t="s">
        <v>86</v>
      </c>
      <c r="L3772" s="12">
        <v>0</v>
      </c>
      <c r="M3772" s="15">
        <v>330000</v>
      </c>
      <c r="N3772" s="15">
        <v>0</v>
      </c>
      <c r="O3772" s="15">
        <f t="shared" si="327"/>
        <v>330000</v>
      </c>
      <c r="P3772" s="15">
        <f t="shared" si="326"/>
        <v>29.431753115752411</v>
      </c>
      <c r="Q3772" s="14">
        <v>20000</v>
      </c>
      <c r="R3772" s="12">
        <v>56</v>
      </c>
      <c r="S3772" s="12" t="s">
        <v>4610</v>
      </c>
      <c r="T3772" s="22">
        <f t="shared" si="323"/>
        <v>12</v>
      </c>
      <c r="U3772" s="22">
        <f t="shared" si="324"/>
        <v>2021</v>
      </c>
      <c r="V3772" s="22" t="str">
        <f t="shared" si="325"/>
        <v>REGIONES</v>
      </c>
    </row>
    <row r="3773" spans="1:22" x14ac:dyDescent="0.2">
      <c r="A3773" s="11" t="s">
        <v>4600</v>
      </c>
      <c r="B3773" s="12" t="s">
        <v>33</v>
      </c>
      <c r="C3773" s="12" t="s">
        <v>44</v>
      </c>
      <c r="D3773" s="12" t="s">
        <v>4247</v>
      </c>
      <c r="E3773" s="13" t="s">
        <v>62</v>
      </c>
      <c r="F3773" s="12" t="s">
        <v>1105</v>
      </c>
      <c r="G3773" s="14">
        <v>16505.19999999999</v>
      </c>
      <c r="H3773" s="12" t="s">
        <v>24</v>
      </c>
      <c r="I3773" s="12">
        <v>1</v>
      </c>
      <c r="J3773" s="12" t="s">
        <v>1105</v>
      </c>
      <c r="K3773" s="12" t="s">
        <v>873</v>
      </c>
      <c r="L3773" s="12">
        <v>0</v>
      </c>
      <c r="M3773" s="15">
        <v>950000</v>
      </c>
      <c r="N3773" s="15">
        <v>0</v>
      </c>
      <c r="O3773" s="15">
        <f t="shared" si="327"/>
        <v>950000</v>
      </c>
      <c r="P3773" s="15">
        <f t="shared" si="326"/>
        <v>57.557618205171742</v>
      </c>
      <c r="Q3773" s="14">
        <v>20000</v>
      </c>
      <c r="R3773" s="12">
        <v>83</v>
      </c>
      <c r="S3773" s="12" t="s">
        <v>4611</v>
      </c>
      <c r="T3773" s="22">
        <f t="shared" si="323"/>
        <v>12</v>
      </c>
      <c r="U3773" s="22">
        <f t="shared" si="324"/>
        <v>2021</v>
      </c>
      <c r="V3773" s="22" t="str">
        <f t="shared" si="325"/>
        <v>REGIONES</v>
      </c>
    </row>
    <row r="3774" spans="1:22" x14ac:dyDescent="0.2">
      <c r="A3774" s="11" t="s">
        <v>4600</v>
      </c>
      <c r="B3774" s="12" t="s">
        <v>33</v>
      </c>
      <c r="C3774" s="12" t="s">
        <v>44</v>
      </c>
      <c r="D3774" s="12" t="s">
        <v>311</v>
      </c>
      <c r="E3774" s="13" t="s">
        <v>312</v>
      </c>
      <c r="F3774" s="12" t="s">
        <v>691</v>
      </c>
      <c r="G3774" s="14">
        <v>17130</v>
      </c>
      <c r="H3774" s="12" t="s">
        <v>85</v>
      </c>
      <c r="I3774" s="12">
        <v>1</v>
      </c>
      <c r="J3774" s="12" t="s">
        <v>691</v>
      </c>
      <c r="K3774" s="12" t="s">
        <v>873</v>
      </c>
      <c r="L3774" s="12">
        <v>0</v>
      </c>
      <c r="M3774" s="15">
        <v>1100000</v>
      </c>
      <c r="N3774" s="15">
        <v>0</v>
      </c>
      <c r="O3774" s="15">
        <f t="shared" si="327"/>
        <v>1100000</v>
      </c>
      <c r="P3774" s="15">
        <f t="shared" si="326"/>
        <v>64.214827787507303</v>
      </c>
      <c r="Q3774" s="14">
        <v>20000</v>
      </c>
      <c r="R3774" s="12">
        <v>86</v>
      </c>
      <c r="S3774" s="12" t="s">
        <v>4612</v>
      </c>
      <c r="T3774" s="22">
        <f t="shared" si="323"/>
        <v>12</v>
      </c>
      <c r="U3774" s="22">
        <f t="shared" si="324"/>
        <v>2021</v>
      </c>
      <c r="V3774" s="22" t="str">
        <f t="shared" si="325"/>
        <v>REGIONES</v>
      </c>
    </row>
    <row r="3775" spans="1:22" x14ac:dyDescent="0.2">
      <c r="A3775" s="11" t="s">
        <v>4600</v>
      </c>
      <c r="B3775" s="12" t="s">
        <v>33</v>
      </c>
      <c r="C3775" s="12" t="s">
        <v>44</v>
      </c>
      <c r="D3775" s="12" t="s">
        <v>3421</v>
      </c>
      <c r="E3775" s="13" t="s">
        <v>3822</v>
      </c>
      <c r="F3775" s="12" t="s">
        <v>114</v>
      </c>
      <c r="G3775" s="14">
        <v>8244.0000000000036</v>
      </c>
      <c r="H3775" s="12" t="s">
        <v>24</v>
      </c>
      <c r="I3775" s="12">
        <v>1</v>
      </c>
      <c r="J3775" s="12" t="s">
        <v>114</v>
      </c>
      <c r="K3775" s="12" t="s">
        <v>75</v>
      </c>
      <c r="L3775" s="12">
        <v>0</v>
      </c>
      <c r="M3775" s="15">
        <v>480000</v>
      </c>
      <c r="N3775" s="15">
        <v>0</v>
      </c>
      <c r="O3775" s="15">
        <f t="shared" si="327"/>
        <v>480000</v>
      </c>
      <c r="P3775" s="15">
        <f t="shared" si="326"/>
        <v>58.224163027656452</v>
      </c>
      <c r="Q3775" s="14">
        <v>20000</v>
      </c>
      <c r="R3775" s="12">
        <v>41</v>
      </c>
      <c r="S3775" s="12" t="s">
        <v>4613</v>
      </c>
      <c r="T3775" s="22">
        <f t="shared" si="323"/>
        <v>12</v>
      </c>
      <c r="U3775" s="22">
        <f t="shared" si="324"/>
        <v>2021</v>
      </c>
      <c r="V3775" s="22" t="str">
        <f t="shared" si="325"/>
        <v>REGIONES</v>
      </c>
    </row>
    <row r="3776" spans="1:22" x14ac:dyDescent="0.2">
      <c r="A3776" s="11" t="s">
        <v>4600</v>
      </c>
      <c r="B3776" s="12" t="s">
        <v>33</v>
      </c>
      <c r="C3776" s="12" t="s">
        <v>44</v>
      </c>
      <c r="D3776" s="12" t="s">
        <v>45</v>
      </c>
      <c r="E3776" s="13" t="s">
        <v>52</v>
      </c>
      <c r="F3776" s="12" t="s">
        <v>46</v>
      </c>
      <c r="G3776" s="14">
        <f>2722.84+1501</f>
        <v>4223.84</v>
      </c>
      <c r="H3776" s="12" t="s">
        <v>22</v>
      </c>
      <c r="I3776" s="12">
        <v>0</v>
      </c>
      <c r="J3776" s="12" t="s">
        <v>46</v>
      </c>
      <c r="K3776" s="12" t="s">
        <v>23</v>
      </c>
      <c r="L3776" s="12">
        <v>2</v>
      </c>
      <c r="M3776" s="15">
        <v>55000</v>
      </c>
      <c r="N3776" s="15">
        <v>0</v>
      </c>
      <c r="O3776" s="15">
        <f t="shared" si="327"/>
        <v>55000</v>
      </c>
      <c r="P3776" s="15">
        <f t="shared" si="326"/>
        <v>13.021326565400203</v>
      </c>
      <c r="Q3776" s="14">
        <v>5000</v>
      </c>
      <c r="R3776" s="12">
        <v>54</v>
      </c>
      <c r="S3776" s="12" t="s">
        <v>4614</v>
      </c>
      <c r="T3776" s="22">
        <f t="shared" si="323"/>
        <v>12</v>
      </c>
      <c r="U3776" s="22">
        <f t="shared" si="324"/>
        <v>2021</v>
      </c>
      <c r="V3776" s="22" t="str">
        <f t="shared" si="325"/>
        <v>METROPOLITANA</v>
      </c>
    </row>
    <row r="3777" spans="1:22" x14ac:dyDescent="0.2">
      <c r="A3777" s="23" t="s">
        <v>4615</v>
      </c>
      <c r="B3777" s="22" t="s">
        <v>18</v>
      </c>
      <c r="C3777" s="22" t="s">
        <v>270</v>
      </c>
      <c r="D3777" s="22" t="s">
        <v>786</v>
      </c>
      <c r="E3777" s="24" t="s">
        <v>787</v>
      </c>
      <c r="F3777" s="22" t="s">
        <v>120</v>
      </c>
      <c r="G3777" s="25">
        <v>8753.58</v>
      </c>
      <c r="H3777" s="22" t="s">
        <v>788</v>
      </c>
      <c r="I3777" s="22">
        <v>1</v>
      </c>
      <c r="J3777" s="22" t="s">
        <v>120</v>
      </c>
      <c r="K3777" s="22" t="s">
        <v>23</v>
      </c>
      <c r="L3777" s="22">
        <v>5</v>
      </c>
      <c r="M3777" s="26">
        <v>120000</v>
      </c>
      <c r="N3777" s="26">
        <v>0</v>
      </c>
      <c r="O3777" s="15">
        <f t="shared" si="327"/>
        <v>120000</v>
      </c>
      <c r="P3777" s="15">
        <f t="shared" si="326"/>
        <v>13.708676907048316</v>
      </c>
      <c r="Q3777" s="25">
        <v>10000</v>
      </c>
      <c r="R3777" s="22">
        <v>88</v>
      </c>
      <c r="S3777" s="22" t="s">
        <v>4616</v>
      </c>
      <c r="T3777" s="22">
        <f t="shared" si="323"/>
        <v>12</v>
      </c>
      <c r="U3777" s="22">
        <f t="shared" si="324"/>
        <v>2021</v>
      </c>
      <c r="V3777" s="22" t="str">
        <f t="shared" si="325"/>
        <v>METROPOLITANA</v>
      </c>
    </row>
    <row r="3778" spans="1:22" x14ac:dyDescent="0.2">
      <c r="A3778" s="23" t="s">
        <v>4615</v>
      </c>
      <c r="B3778" s="22" t="s">
        <v>18</v>
      </c>
      <c r="C3778" s="22" t="s">
        <v>57</v>
      </c>
      <c r="D3778" s="22" t="s">
        <v>37</v>
      </c>
      <c r="E3778" s="24" t="s">
        <v>40</v>
      </c>
      <c r="F3778" s="22" t="s">
        <v>173</v>
      </c>
      <c r="G3778" s="25">
        <v>9143.83</v>
      </c>
      <c r="H3778" s="22" t="s">
        <v>22</v>
      </c>
      <c r="I3778" s="22">
        <v>0</v>
      </c>
      <c r="J3778" s="22" t="s">
        <v>173</v>
      </c>
      <c r="K3778" s="22" t="s">
        <v>23</v>
      </c>
      <c r="L3778" s="22">
        <v>5</v>
      </c>
      <c r="M3778" s="26">
        <v>90000</v>
      </c>
      <c r="N3778" s="26">
        <v>0</v>
      </c>
      <c r="O3778" s="15">
        <f t="shared" si="327"/>
        <v>90000</v>
      </c>
      <c r="P3778" s="15">
        <f t="shared" si="326"/>
        <v>9.8427026749184972</v>
      </c>
      <c r="Q3778" s="25">
        <v>10000</v>
      </c>
      <c r="R3778" s="22">
        <v>91</v>
      </c>
      <c r="S3778" s="22" t="s">
        <v>4617</v>
      </c>
      <c r="T3778" s="22">
        <f t="shared" si="323"/>
        <v>12</v>
      </c>
      <c r="U3778" s="22">
        <f t="shared" si="324"/>
        <v>2021</v>
      </c>
      <c r="V3778" s="22" t="str">
        <f t="shared" si="325"/>
        <v>METROPOLITANA</v>
      </c>
    </row>
    <row r="3779" spans="1:22" x14ac:dyDescent="0.2">
      <c r="A3779" s="23" t="s">
        <v>4615</v>
      </c>
      <c r="B3779" s="22" t="s">
        <v>18</v>
      </c>
      <c r="C3779" s="22" t="s">
        <v>19</v>
      </c>
      <c r="D3779" s="22" t="s">
        <v>45</v>
      </c>
      <c r="E3779" s="24" t="s">
        <v>52</v>
      </c>
      <c r="F3779" s="22" t="s">
        <v>727</v>
      </c>
      <c r="G3779" s="25">
        <v>3902.04</v>
      </c>
      <c r="H3779" s="22" t="s">
        <v>22</v>
      </c>
      <c r="I3779" s="22">
        <v>0</v>
      </c>
      <c r="J3779" s="22" t="s">
        <v>727</v>
      </c>
      <c r="K3779" s="22" t="s">
        <v>23</v>
      </c>
      <c r="L3779" s="22">
        <v>2</v>
      </c>
      <c r="M3779" s="26">
        <v>55000</v>
      </c>
      <c r="N3779" s="26">
        <v>0</v>
      </c>
      <c r="O3779" s="15">
        <f t="shared" si="327"/>
        <v>55000</v>
      </c>
      <c r="P3779" s="15">
        <f t="shared" si="326"/>
        <v>14.095191233303606</v>
      </c>
      <c r="Q3779" s="25">
        <v>5000</v>
      </c>
      <c r="R3779" s="22">
        <v>78</v>
      </c>
      <c r="S3779" s="22" t="s">
        <v>4618</v>
      </c>
      <c r="T3779" s="22">
        <f t="shared" si="323"/>
        <v>12</v>
      </c>
      <c r="U3779" s="22">
        <f t="shared" si="324"/>
        <v>2021</v>
      </c>
      <c r="V3779" s="22" t="str">
        <f t="shared" si="325"/>
        <v>METROPOLITANA</v>
      </c>
    </row>
    <row r="3780" spans="1:22" x14ac:dyDescent="0.2">
      <c r="A3780" s="23" t="s">
        <v>4615</v>
      </c>
      <c r="B3780" s="22" t="s">
        <v>18</v>
      </c>
      <c r="C3780" s="22" t="s">
        <v>4400</v>
      </c>
      <c r="D3780" s="22" t="s">
        <v>30</v>
      </c>
      <c r="E3780" s="24" t="s">
        <v>31</v>
      </c>
      <c r="F3780" s="22" t="s">
        <v>452</v>
      </c>
      <c r="G3780" s="25">
        <v>10717.74</v>
      </c>
      <c r="H3780" s="22" t="s">
        <v>32</v>
      </c>
      <c r="I3780" s="22">
        <v>0</v>
      </c>
      <c r="J3780" s="22" t="s">
        <v>452</v>
      </c>
      <c r="K3780" s="22" t="s">
        <v>171</v>
      </c>
      <c r="L3780" s="22">
        <v>0</v>
      </c>
      <c r="M3780" s="26">
        <v>230000</v>
      </c>
      <c r="N3780" s="26">
        <v>0</v>
      </c>
      <c r="O3780" s="15">
        <f t="shared" si="327"/>
        <v>230000</v>
      </c>
      <c r="P3780" s="15">
        <f t="shared" si="326"/>
        <v>21.459748043897314</v>
      </c>
      <c r="Q3780" s="25">
        <v>20000</v>
      </c>
      <c r="R3780" s="22">
        <v>54</v>
      </c>
      <c r="S3780" s="22" t="s">
        <v>4619</v>
      </c>
      <c r="T3780" s="22">
        <f t="shared" si="323"/>
        <v>12</v>
      </c>
      <c r="U3780" s="22">
        <f t="shared" si="324"/>
        <v>2021</v>
      </c>
      <c r="V3780" s="22" t="str">
        <f t="shared" si="325"/>
        <v>REGIONES</v>
      </c>
    </row>
    <row r="3781" spans="1:22" x14ac:dyDescent="0.2">
      <c r="A3781" s="23" t="s">
        <v>4615</v>
      </c>
      <c r="B3781" s="22" t="s">
        <v>33</v>
      </c>
      <c r="C3781" s="22" t="s">
        <v>270</v>
      </c>
      <c r="D3781" s="22" t="s">
        <v>786</v>
      </c>
      <c r="E3781" s="24" t="s">
        <v>787</v>
      </c>
      <c r="F3781" s="22" t="s">
        <v>120</v>
      </c>
      <c r="G3781" s="25">
        <v>7963.5000000000027</v>
      </c>
      <c r="H3781" s="22" t="s">
        <v>788</v>
      </c>
      <c r="I3781" s="22">
        <v>1</v>
      </c>
      <c r="J3781" s="22" t="s">
        <v>120</v>
      </c>
      <c r="K3781" s="22" t="s">
        <v>23</v>
      </c>
      <c r="L3781" s="22">
        <v>5</v>
      </c>
      <c r="M3781" s="26">
        <v>120000</v>
      </c>
      <c r="N3781" s="26">
        <v>0</v>
      </c>
      <c r="O3781" s="15">
        <f t="shared" si="327"/>
        <v>120000</v>
      </c>
      <c r="P3781" s="15">
        <f t="shared" si="326"/>
        <v>15.068751177246181</v>
      </c>
      <c r="Q3781" s="25">
        <v>10000</v>
      </c>
      <c r="R3781" s="22">
        <v>80</v>
      </c>
      <c r="S3781" s="22" t="s">
        <v>4620</v>
      </c>
      <c r="T3781" s="22">
        <f t="shared" si="323"/>
        <v>12</v>
      </c>
      <c r="U3781" s="22">
        <f t="shared" si="324"/>
        <v>2021</v>
      </c>
      <c r="V3781" s="22" t="str">
        <f t="shared" si="325"/>
        <v>METROPOLITANA</v>
      </c>
    </row>
    <row r="3782" spans="1:22" x14ac:dyDescent="0.2">
      <c r="A3782" s="23" t="s">
        <v>4615</v>
      </c>
      <c r="B3782" s="22" t="s">
        <v>33</v>
      </c>
      <c r="C3782" s="22" t="s">
        <v>354</v>
      </c>
      <c r="D3782" s="22" t="s">
        <v>41</v>
      </c>
      <c r="E3782" s="24" t="s">
        <v>25</v>
      </c>
      <c r="F3782" s="22" t="s">
        <v>53</v>
      </c>
      <c r="G3782" s="25">
        <v>8502</v>
      </c>
      <c r="H3782" s="22" t="s">
        <v>43</v>
      </c>
      <c r="I3782" s="22">
        <v>0</v>
      </c>
      <c r="J3782" s="22" t="s">
        <v>53</v>
      </c>
      <c r="K3782" s="22" t="s">
        <v>23</v>
      </c>
      <c r="L3782" s="22">
        <v>3</v>
      </c>
      <c r="M3782" s="26">
        <v>93522</v>
      </c>
      <c r="N3782" s="26">
        <v>0</v>
      </c>
      <c r="O3782" s="15">
        <f t="shared" si="327"/>
        <v>93522</v>
      </c>
      <c r="P3782" s="15">
        <f t="shared" si="326"/>
        <v>11</v>
      </c>
      <c r="Q3782" s="25">
        <v>5000</v>
      </c>
      <c r="R3782" s="22">
        <v>100</v>
      </c>
      <c r="S3782" s="22" t="s">
        <v>4621</v>
      </c>
      <c r="T3782" s="22">
        <f t="shared" si="323"/>
        <v>12</v>
      </c>
      <c r="U3782" s="22">
        <f t="shared" si="324"/>
        <v>2021</v>
      </c>
      <c r="V3782" s="22" t="str">
        <f t="shared" si="325"/>
        <v>METROPOLITANA</v>
      </c>
    </row>
    <row r="3783" spans="1:22" x14ac:dyDescent="0.2">
      <c r="A3783" s="23" t="s">
        <v>4615</v>
      </c>
      <c r="B3783" s="22" t="s">
        <v>33</v>
      </c>
      <c r="C3783" s="22" t="s">
        <v>1233</v>
      </c>
      <c r="D3783" s="22" t="s">
        <v>47</v>
      </c>
      <c r="E3783" s="24" t="s">
        <v>21</v>
      </c>
      <c r="F3783" s="22" t="s">
        <v>1234</v>
      </c>
      <c r="G3783" s="25">
        <v>7016.0000000000009</v>
      </c>
      <c r="H3783" s="22" t="s">
        <v>22</v>
      </c>
      <c r="I3783" s="22">
        <v>0</v>
      </c>
      <c r="J3783" s="22" t="s">
        <v>1234</v>
      </c>
      <c r="K3783" s="22" t="s">
        <v>23</v>
      </c>
      <c r="L3783" s="22">
        <v>3</v>
      </c>
      <c r="M3783" s="26">
        <v>77176</v>
      </c>
      <c r="N3783" s="26">
        <v>0</v>
      </c>
      <c r="O3783" s="15">
        <f t="shared" si="327"/>
        <v>77176</v>
      </c>
      <c r="P3783" s="15">
        <f t="shared" si="326"/>
        <v>10.999999999999998</v>
      </c>
      <c r="Q3783" s="25">
        <v>5000</v>
      </c>
      <c r="R3783" s="22">
        <v>100</v>
      </c>
      <c r="S3783" s="22" t="s">
        <v>4622</v>
      </c>
      <c r="T3783" s="22">
        <f t="shared" si="323"/>
        <v>12</v>
      </c>
      <c r="U3783" s="22">
        <f t="shared" si="324"/>
        <v>2021</v>
      </c>
      <c r="V3783" s="22" t="str">
        <f t="shared" si="325"/>
        <v>METROPOLITANA</v>
      </c>
    </row>
    <row r="3784" spans="1:22" x14ac:dyDescent="0.2">
      <c r="A3784" s="23" t="s">
        <v>4615</v>
      </c>
      <c r="B3784" s="22" t="s">
        <v>33</v>
      </c>
      <c r="C3784" s="22" t="s">
        <v>29</v>
      </c>
      <c r="D3784" s="22" t="s">
        <v>38</v>
      </c>
      <c r="E3784" s="24" t="s">
        <v>42</v>
      </c>
      <c r="F3784" s="22" t="s">
        <v>39</v>
      </c>
      <c r="G3784" s="25">
        <v>2748</v>
      </c>
      <c r="H3784" s="22" t="s">
        <v>43</v>
      </c>
      <c r="I3784" s="22">
        <v>0</v>
      </c>
      <c r="J3784" s="22" t="s">
        <v>39</v>
      </c>
      <c r="K3784" s="22" t="s">
        <v>23</v>
      </c>
      <c r="L3784" s="22">
        <v>1</v>
      </c>
      <c r="M3784" s="26">
        <v>55000</v>
      </c>
      <c r="N3784" s="26">
        <v>0</v>
      </c>
      <c r="O3784" s="15">
        <f t="shared" si="327"/>
        <v>55000</v>
      </c>
      <c r="P3784" s="15">
        <f t="shared" si="326"/>
        <v>20.014556040756915</v>
      </c>
      <c r="Q3784" s="25">
        <v>5000</v>
      </c>
      <c r="R3784" s="22">
        <v>55</v>
      </c>
      <c r="S3784" s="22" t="s">
        <v>4623</v>
      </c>
      <c r="T3784" s="22">
        <f t="shared" ref="T3784:T3847" si="328">MONTH(A3784)</f>
        <v>12</v>
      </c>
      <c r="U3784" s="22">
        <f t="shared" ref="U3784:U3847" si="329">YEAR(A3784)</f>
        <v>2021</v>
      </c>
      <c r="V3784" s="22" t="str">
        <f t="shared" ref="V3784:V3847" si="330">IF(K3784="METROPOLITANA DE SANTIAGO","METROPOLITANA","REGIONES")</f>
        <v>METROPOLITANA</v>
      </c>
    </row>
    <row r="3785" spans="1:22" x14ac:dyDescent="0.2">
      <c r="A3785" s="23" t="s">
        <v>4615</v>
      </c>
      <c r="B3785" s="22" t="s">
        <v>33</v>
      </c>
      <c r="C3785" s="22" t="s">
        <v>29</v>
      </c>
      <c r="D3785" s="22" t="s">
        <v>38</v>
      </c>
      <c r="E3785" s="24" t="s">
        <v>42</v>
      </c>
      <c r="F3785" s="22" t="s">
        <v>129</v>
      </c>
      <c r="G3785" s="25">
        <v>10193.549999999999</v>
      </c>
      <c r="H3785" s="22" t="s">
        <v>43</v>
      </c>
      <c r="I3785" s="22">
        <v>0</v>
      </c>
      <c r="J3785" s="22" t="s">
        <v>129</v>
      </c>
      <c r="K3785" s="22" t="s">
        <v>23</v>
      </c>
      <c r="L3785" s="22">
        <v>1</v>
      </c>
      <c r="M3785" s="26">
        <v>112129</v>
      </c>
      <c r="N3785" s="26">
        <v>0</v>
      </c>
      <c r="O3785" s="15">
        <f t="shared" si="327"/>
        <v>112129</v>
      </c>
      <c r="P3785" s="15">
        <f t="shared" si="326"/>
        <v>10.999995094937486</v>
      </c>
      <c r="Q3785" s="25">
        <v>5000</v>
      </c>
      <c r="R3785" s="22">
        <v>100</v>
      </c>
      <c r="S3785" s="22" t="s">
        <v>4624</v>
      </c>
      <c r="T3785" s="22">
        <f t="shared" si="328"/>
        <v>12</v>
      </c>
      <c r="U3785" s="22">
        <f t="shared" si="329"/>
        <v>2021</v>
      </c>
      <c r="V3785" s="22" t="str">
        <f t="shared" si="330"/>
        <v>METROPOLITANA</v>
      </c>
    </row>
    <row r="3786" spans="1:22" x14ac:dyDescent="0.2">
      <c r="A3786" s="23" t="s">
        <v>4615</v>
      </c>
      <c r="B3786" s="22" t="s">
        <v>33</v>
      </c>
      <c r="C3786" s="22" t="s">
        <v>29</v>
      </c>
      <c r="D3786" s="22" t="s">
        <v>63</v>
      </c>
      <c r="E3786" s="24" t="s">
        <v>4365</v>
      </c>
      <c r="F3786" s="22" t="s">
        <v>39</v>
      </c>
      <c r="G3786" s="25">
        <v>2748</v>
      </c>
      <c r="H3786" s="22" t="s">
        <v>65</v>
      </c>
      <c r="I3786" s="22">
        <v>0</v>
      </c>
      <c r="J3786" s="22" t="s">
        <v>39</v>
      </c>
      <c r="K3786" s="22" t="s">
        <v>23</v>
      </c>
      <c r="L3786" s="22">
        <v>1</v>
      </c>
      <c r="M3786" s="26">
        <v>55000</v>
      </c>
      <c r="N3786" s="26">
        <v>0</v>
      </c>
      <c r="O3786" s="15">
        <f t="shared" si="327"/>
        <v>55000</v>
      </c>
      <c r="P3786" s="15">
        <f t="shared" si="326"/>
        <v>20.014556040756915</v>
      </c>
      <c r="Q3786" s="25">
        <v>5000</v>
      </c>
      <c r="R3786" s="22">
        <v>55</v>
      </c>
      <c r="S3786" s="22" t="s">
        <v>4625</v>
      </c>
      <c r="T3786" s="22">
        <f t="shared" si="328"/>
        <v>12</v>
      </c>
      <c r="U3786" s="22">
        <f t="shared" si="329"/>
        <v>2021</v>
      </c>
      <c r="V3786" s="22" t="str">
        <f t="shared" si="330"/>
        <v>METROPOLITANA</v>
      </c>
    </row>
    <row r="3787" spans="1:22" x14ac:dyDescent="0.2">
      <c r="A3787" s="23" t="s">
        <v>4615</v>
      </c>
      <c r="B3787" s="22" t="s">
        <v>33</v>
      </c>
      <c r="C3787" s="22" t="s">
        <v>29</v>
      </c>
      <c r="D3787" s="22" t="s">
        <v>164</v>
      </c>
      <c r="E3787" s="24" t="s">
        <v>1576</v>
      </c>
      <c r="F3787" s="22" t="s">
        <v>39</v>
      </c>
      <c r="G3787" s="25">
        <v>8244.0000000000036</v>
      </c>
      <c r="H3787" s="22" t="s">
        <v>22</v>
      </c>
      <c r="I3787" s="22">
        <v>1</v>
      </c>
      <c r="J3787" s="22" t="s">
        <v>39</v>
      </c>
      <c r="K3787" s="22" t="s">
        <v>23</v>
      </c>
      <c r="L3787" s="22">
        <v>1</v>
      </c>
      <c r="M3787" s="26">
        <v>90684</v>
      </c>
      <c r="N3787" s="26">
        <v>0</v>
      </c>
      <c r="O3787" s="15">
        <f t="shared" si="327"/>
        <v>90684</v>
      </c>
      <c r="P3787" s="15">
        <f t="shared" si="326"/>
        <v>10.999999999999995</v>
      </c>
      <c r="Q3787" s="25">
        <v>5000</v>
      </c>
      <c r="R3787" s="22">
        <v>100</v>
      </c>
      <c r="S3787" s="22" t="s">
        <v>4626</v>
      </c>
      <c r="T3787" s="22">
        <f t="shared" si="328"/>
        <v>12</v>
      </c>
      <c r="U3787" s="22">
        <f t="shared" si="329"/>
        <v>2021</v>
      </c>
      <c r="V3787" s="22" t="str">
        <f t="shared" si="330"/>
        <v>METROPOLITANA</v>
      </c>
    </row>
    <row r="3788" spans="1:22" x14ac:dyDescent="0.2">
      <c r="A3788" s="23" t="s">
        <v>4615</v>
      </c>
      <c r="B3788" s="22" t="s">
        <v>33</v>
      </c>
      <c r="C3788" s="22" t="s">
        <v>44</v>
      </c>
      <c r="D3788" s="22" t="s">
        <v>37</v>
      </c>
      <c r="E3788" s="24" t="s">
        <v>40</v>
      </c>
      <c r="F3788" s="22" t="s">
        <v>53</v>
      </c>
      <c r="G3788" s="25">
        <v>3979.94</v>
      </c>
      <c r="H3788" s="22" t="s">
        <v>22</v>
      </c>
      <c r="I3788" s="22">
        <v>0</v>
      </c>
      <c r="J3788" s="22" t="s">
        <v>53</v>
      </c>
      <c r="K3788" s="22" t="s">
        <v>23</v>
      </c>
      <c r="L3788" s="22">
        <v>3</v>
      </c>
      <c r="M3788" s="26">
        <v>55000</v>
      </c>
      <c r="N3788" s="26">
        <v>0</v>
      </c>
      <c r="O3788" s="15">
        <f t="shared" si="327"/>
        <v>55000</v>
      </c>
      <c r="P3788" s="15">
        <f t="shared" si="326"/>
        <v>13.819303808600129</v>
      </c>
      <c r="Q3788" s="25">
        <v>5000</v>
      </c>
      <c r="R3788" s="22">
        <v>80</v>
      </c>
      <c r="S3788" s="22" t="s">
        <v>4627</v>
      </c>
      <c r="T3788" s="22">
        <f t="shared" si="328"/>
        <v>12</v>
      </c>
      <c r="U3788" s="22">
        <f t="shared" si="329"/>
        <v>2021</v>
      </c>
      <c r="V3788" s="22" t="str">
        <f t="shared" si="330"/>
        <v>METROPOLITANA</v>
      </c>
    </row>
    <row r="3789" spans="1:22" x14ac:dyDescent="0.2">
      <c r="A3789" s="23" t="s">
        <v>4615</v>
      </c>
      <c r="B3789" s="22" t="s">
        <v>33</v>
      </c>
      <c r="C3789" s="22" t="s">
        <v>44</v>
      </c>
      <c r="D3789" s="22" t="s">
        <v>63</v>
      </c>
      <c r="E3789" s="24" t="s">
        <v>64</v>
      </c>
      <c r="F3789" s="22" t="s">
        <v>229</v>
      </c>
      <c r="G3789" s="25">
        <v>6802.7399999999989</v>
      </c>
      <c r="H3789" s="22" t="s">
        <v>65</v>
      </c>
      <c r="I3789" s="22">
        <v>0</v>
      </c>
      <c r="J3789" s="22" t="s">
        <v>230</v>
      </c>
      <c r="K3789" s="22" t="s">
        <v>23</v>
      </c>
      <c r="L3789" s="22">
        <v>4</v>
      </c>
      <c r="M3789" s="26">
        <v>74830</v>
      </c>
      <c r="N3789" s="26">
        <v>0</v>
      </c>
      <c r="O3789" s="15">
        <f t="shared" si="327"/>
        <v>74830</v>
      </c>
      <c r="P3789" s="15">
        <f t="shared" si="326"/>
        <v>10.999979420057214</v>
      </c>
      <c r="Q3789" s="25">
        <v>5000</v>
      </c>
      <c r="R3789" s="22">
        <v>100</v>
      </c>
      <c r="S3789" s="22" t="s">
        <v>4628</v>
      </c>
      <c r="T3789" s="22">
        <f t="shared" si="328"/>
        <v>12</v>
      </c>
      <c r="U3789" s="22">
        <f t="shared" si="329"/>
        <v>2021</v>
      </c>
      <c r="V3789" s="22" t="str">
        <f t="shared" si="330"/>
        <v>METROPOLITANA</v>
      </c>
    </row>
    <row r="3790" spans="1:22" x14ac:dyDescent="0.2">
      <c r="A3790" s="23" t="s">
        <v>4615</v>
      </c>
      <c r="B3790" s="22" t="s">
        <v>33</v>
      </c>
      <c r="C3790" s="22" t="s">
        <v>44</v>
      </c>
      <c r="D3790" s="22" t="s">
        <v>45</v>
      </c>
      <c r="E3790" s="24" t="s">
        <v>52</v>
      </c>
      <c r="F3790" s="22" t="s">
        <v>48</v>
      </c>
      <c r="G3790" s="25">
        <f>4126.1+750</f>
        <v>4876.1000000000004</v>
      </c>
      <c r="H3790" s="22" t="s">
        <v>22</v>
      </c>
      <c r="I3790" s="22">
        <v>0</v>
      </c>
      <c r="J3790" s="22" t="s">
        <v>48</v>
      </c>
      <c r="K3790" s="22" t="s">
        <v>23</v>
      </c>
      <c r="L3790" s="22">
        <v>1</v>
      </c>
      <c r="M3790" s="26">
        <v>55000</v>
      </c>
      <c r="N3790" s="26">
        <v>0</v>
      </c>
      <c r="O3790" s="15">
        <f t="shared" si="327"/>
        <v>55000</v>
      </c>
      <c r="P3790" s="15">
        <f t="shared" si="326"/>
        <v>11.279506162712003</v>
      </c>
      <c r="Q3790" s="25">
        <v>5000</v>
      </c>
      <c r="R3790" s="22">
        <v>83</v>
      </c>
      <c r="S3790" s="22" t="s">
        <v>4630</v>
      </c>
      <c r="T3790" s="22">
        <f t="shared" si="328"/>
        <v>12</v>
      </c>
      <c r="U3790" s="22">
        <f t="shared" si="329"/>
        <v>2021</v>
      </c>
      <c r="V3790" s="22" t="str">
        <f t="shared" si="330"/>
        <v>METROPOLITANA</v>
      </c>
    </row>
    <row r="3791" spans="1:22" x14ac:dyDescent="0.2">
      <c r="A3791" s="23" t="s">
        <v>4615</v>
      </c>
      <c r="B3791" s="22" t="s">
        <v>33</v>
      </c>
      <c r="C3791" s="22" t="s">
        <v>44</v>
      </c>
      <c r="D3791" s="22" t="s">
        <v>47</v>
      </c>
      <c r="E3791" s="24" t="s">
        <v>1576</v>
      </c>
      <c r="F3791" s="22" t="s">
        <v>137</v>
      </c>
      <c r="G3791" s="25">
        <v>3611.2</v>
      </c>
      <c r="H3791" s="22" t="s">
        <v>22</v>
      </c>
      <c r="I3791" s="22">
        <v>0</v>
      </c>
      <c r="J3791" s="22" t="s">
        <v>137</v>
      </c>
      <c r="K3791" s="22" t="s">
        <v>23</v>
      </c>
      <c r="L3791" s="22">
        <v>1</v>
      </c>
      <c r="M3791" s="26">
        <v>55000</v>
      </c>
      <c r="N3791" s="26">
        <v>0</v>
      </c>
      <c r="O3791" s="15">
        <f t="shared" si="327"/>
        <v>55000</v>
      </c>
      <c r="P3791" s="15">
        <f t="shared" si="326"/>
        <v>15.230394328754985</v>
      </c>
      <c r="Q3791" s="25">
        <v>5000</v>
      </c>
      <c r="R3791" s="22">
        <v>72</v>
      </c>
      <c r="S3791" s="22" t="s">
        <v>4629</v>
      </c>
      <c r="T3791" s="22">
        <f t="shared" si="328"/>
        <v>12</v>
      </c>
      <c r="U3791" s="22">
        <f t="shared" si="329"/>
        <v>2021</v>
      </c>
      <c r="V3791" s="22" t="str">
        <f t="shared" si="330"/>
        <v>METROPOLITANA</v>
      </c>
    </row>
    <row r="3792" spans="1:22" x14ac:dyDescent="0.2">
      <c r="A3792" s="11" t="s">
        <v>4631</v>
      </c>
      <c r="B3792" s="12" t="s">
        <v>18</v>
      </c>
      <c r="C3792" s="12" t="s">
        <v>270</v>
      </c>
      <c r="D3792" s="12" t="s">
        <v>30</v>
      </c>
      <c r="E3792" s="13" t="s">
        <v>31</v>
      </c>
      <c r="F3792" s="12" t="s">
        <v>120</v>
      </c>
      <c r="G3792" s="14">
        <v>5382</v>
      </c>
      <c r="H3792" s="12" t="s">
        <v>32</v>
      </c>
      <c r="I3792" s="12">
        <v>0</v>
      </c>
      <c r="J3792" s="12" t="s">
        <v>120</v>
      </c>
      <c r="K3792" s="12" t="s">
        <v>23</v>
      </c>
      <c r="L3792" s="12">
        <v>5</v>
      </c>
      <c r="M3792" s="15">
        <v>70000</v>
      </c>
      <c r="N3792" s="15">
        <v>0</v>
      </c>
      <c r="O3792" s="15">
        <f t="shared" si="327"/>
        <v>70000</v>
      </c>
      <c r="P3792" s="15">
        <f t="shared" si="326"/>
        <v>13.006317354143441</v>
      </c>
      <c r="Q3792" s="14">
        <v>10000</v>
      </c>
      <c r="R3792" s="12">
        <v>54</v>
      </c>
      <c r="S3792" s="12" t="s">
        <v>4632</v>
      </c>
      <c r="T3792" s="22">
        <f t="shared" si="328"/>
        <v>12</v>
      </c>
      <c r="U3792" s="22">
        <f t="shared" si="329"/>
        <v>2021</v>
      </c>
      <c r="V3792" s="22" t="str">
        <f t="shared" si="330"/>
        <v>METROPOLITANA</v>
      </c>
    </row>
    <row r="3793" spans="1:22" x14ac:dyDescent="0.2">
      <c r="A3793" s="11" t="s">
        <v>4631</v>
      </c>
      <c r="B3793" s="12" t="s">
        <v>18</v>
      </c>
      <c r="C3793" s="12" t="s">
        <v>57</v>
      </c>
      <c r="D3793" s="12" t="s">
        <v>37</v>
      </c>
      <c r="E3793" s="13" t="s">
        <v>40</v>
      </c>
      <c r="F3793" s="12" t="s">
        <v>173</v>
      </c>
      <c r="G3793" s="14">
        <v>9150.3799999999992</v>
      </c>
      <c r="H3793" s="12" t="s">
        <v>22</v>
      </c>
      <c r="I3793" s="12">
        <v>0</v>
      </c>
      <c r="J3793" s="12" t="s">
        <v>173</v>
      </c>
      <c r="K3793" s="12" t="s">
        <v>23</v>
      </c>
      <c r="L3793" s="12">
        <v>5</v>
      </c>
      <c r="M3793" s="15">
        <v>90000</v>
      </c>
      <c r="N3793" s="15">
        <v>0</v>
      </c>
      <c r="O3793" s="15">
        <f t="shared" si="327"/>
        <v>90000</v>
      </c>
      <c r="P3793" s="15">
        <f t="shared" si="326"/>
        <v>9.8356570983937281</v>
      </c>
      <c r="Q3793" s="14">
        <v>10000</v>
      </c>
      <c r="R3793" s="12">
        <v>92</v>
      </c>
      <c r="S3793" s="12" t="s">
        <v>4633</v>
      </c>
      <c r="T3793" s="22">
        <f t="shared" si="328"/>
        <v>12</v>
      </c>
      <c r="U3793" s="22">
        <f t="shared" si="329"/>
        <v>2021</v>
      </c>
      <c r="V3793" s="22" t="str">
        <f t="shared" si="330"/>
        <v>METROPOLITANA</v>
      </c>
    </row>
    <row r="3794" spans="1:22" x14ac:dyDescent="0.2">
      <c r="A3794" s="11" t="s">
        <v>4631</v>
      </c>
      <c r="B3794" s="12" t="s">
        <v>18</v>
      </c>
      <c r="C3794" s="12" t="s">
        <v>19</v>
      </c>
      <c r="D3794" s="12" t="s">
        <v>4569</v>
      </c>
      <c r="E3794" s="13" t="s">
        <v>868</v>
      </c>
      <c r="F3794" s="12" t="s">
        <v>92</v>
      </c>
      <c r="G3794" s="14">
        <v>27601.600000000009</v>
      </c>
      <c r="H3794" s="12" t="s">
        <v>24</v>
      </c>
      <c r="I3794" s="12">
        <v>1</v>
      </c>
      <c r="J3794" s="12" t="s">
        <v>92</v>
      </c>
      <c r="K3794" s="12" t="s">
        <v>93</v>
      </c>
      <c r="L3794" s="12">
        <v>0</v>
      </c>
      <c r="M3794" s="15">
        <v>665000</v>
      </c>
      <c r="N3794" s="15">
        <v>0</v>
      </c>
      <c r="O3794" s="15">
        <f t="shared" si="327"/>
        <v>665000</v>
      </c>
      <c r="P3794" s="15">
        <f t="shared" si="326"/>
        <v>24.092806214132505</v>
      </c>
      <c r="Q3794" s="14">
        <v>20000</v>
      </c>
      <c r="R3794" s="12">
        <v>100</v>
      </c>
      <c r="S3794" s="12" t="s">
        <v>4634</v>
      </c>
      <c r="T3794" s="22">
        <f t="shared" si="328"/>
        <v>12</v>
      </c>
      <c r="U3794" s="22">
        <f t="shared" si="329"/>
        <v>2021</v>
      </c>
      <c r="V3794" s="22" t="str">
        <f t="shared" si="330"/>
        <v>REGIONES</v>
      </c>
    </row>
    <row r="3795" spans="1:22" x14ac:dyDescent="0.2">
      <c r="A3795" s="11" t="s">
        <v>4631</v>
      </c>
      <c r="B3795" s="12" t="s">
        <v>18</v>
      </c>
      <c r="C3795" s="12" t="s">
        <v>19</v>
      </c>
      <c r="D3795" s="12" t="s">
        <v>2262</v>
      </c>
      <c r="E3795" s="13" t="s">
        <v>83</v>
      </c>
      <c r="F3795" s="12" t="s">
        <v>92</v>
      </c>
      <c r="G3795" s="14">
        <v>25549.68</v>
      </c>
      <c r="H3795" s="12" t="s">
        <v>24</v>
      </c>
      <c r="I3795" s="12">
        <v>1</v>
      </c>
      <c r="J3795" s="12" t="s">
        <v>92</v>
      </c>
      <c r="K3795" s="12" t="s">
        <v>93</v>
      </c>
      <c r="L3795" s="12">
        <v>0</v>
      </c>
      <c r="M3795" s="15">
        <v>665000</v>
      </c>
      <c r="N3795" s="15">
        <v>0</v>
      </c>
      <c r="O3795" s="15">
        <f t="shared" si="327"/>
        <v>665000</v>
      </c>
      <c r="P3795" s="15">
        <f t="shared" si="326"/>
        <v>26.027723243500507</v>
      </c>
      <c r="Q3795" s="14">
        <v>20000</v>
      </c>
      <c r="R3795" s="12">
        <v>100</v>
      </c>
      <c r="S3795" s="12" t="s">
        <v>4635</v>
      </c>
      <c r="T3795" s="22">
        <f t="shared" si="328"/>
        <v>12</v>
      </c>
      <c r="U3795" s="22">
        <f t="shared" si="329"/>
        <v>2021</v>
      </c>
      <c r="V3795" s="22" t="str">
        <f t="shared" si="330"/>
        <v>REGIONES</v>
      </c>
    </row>
    <row r="3796" spans="1:22" x14ac:dyDescent="0.2">
      <c r="A3796" s="11" t="s">
        <v>4631</v>
      </c>
      <c r="B3796" s="12" t="s">
        <v>33</v>
      </c>
      <c r="C3796" s="12" t="s">
        <v>128</v>
      </c>
      <c r="D3796" s="12" t="s">
        <v>786</v>
      </c>
      <c r="E3796" s="13" t="s">
        <v>787</v>
      </c>
      <c r="F3796" s="12" t="s">
        <v>129</v>
      </c>
      <c r="G3796" s="14">
        <v>18288.2</v>
      </c>
      <c r="H3796" s="12" t="s">
        <v>788</v>
      </c>
      <c r="I3796" s="12">
        <v>1</v>
      </c>
      <c r="J3796" s="12" t="s">
        <v>129</v>
      </c>
      <c r="K3796" s="12" t="s">
        <v>23</v>
      </c>
      <c r="L3796" s="12">
        <v>1</v>
      </c>
      <c r="M3796" s="15">
        <v>201170</v>
      </c>
      <c r="N3796" s="15">
        <v>0</v>
      </c>
      <c r="O3796" s="15">
        <f t="shared" si="327"/>
        <v>201170</v>
      </c>
      <c r="P3796" s="15">
        <f t="shared" si="326"/>
        <v>10.999989063986614</v>
      </c>
      <c r="Q3796" s="14">
        <v>5000</v>
      </c>
      <c r="R3796" s="12">
        <v>100</v>
      </c>
      <c r="S3796" s="12" t="s">
        <v>4636</v>
      </c>
      <c r="T3796" s="22">
        <f t="shared" si="328"/>
        <v>12</v>
      </c>
      <c r="U3796" s="22">
        <f t="shared" si="329"/>
        <v>2021</v>
      </c>
      <c r="V3796" s="22" t="str">
        <f t="shared" si="330"/>
        <v>METROPOLITANA</v>
      </c>
    </row>
    <row r="3797" spans="1:22" x14ac:dyDescent="0.2">
      <c r="A3797" s="11" t="s">
        <v>4631</v>
      </c>
      <c r="B3797" s="12" t="s">
        <v>33</v>
      </c>
      <c r="C3797" s="12" t="s">
        <v>128</v>
      </c>
      <c r="D3797" s="12" t="s">
        <v>1170</v>
      </c>
      <c r="E3797" s="13" t="s">
        <v>81</v>
      </c>
      <c r="F3797" s="12" t="s">
        <v>66</v>
      </c>
      <c r="G3797" s="14">
        <v>8244.0000000000036</v>
      </c>
      <c r="H3797" s="12" t="s">
        <v>24</v>
      </c>
      <c r="I3797" s="12">
        <v>1</v>
      </c>
      <c r="J3797" s="12" t="s">
        <v>66</v>
      </c>
      <c r="K3797" s="12" t="s">
        <v>75</v>
      </c>
      <c r="L3797" s="12">
        <v>0</v>
      </c>
      <c r="M3797" s="15">
        <v>420000</v>
      </c>
      <c r="N3797" s="15">
        <v>0</v>
      </c>
      <c r="O3797" s="15">
        <f t="shared" si="327"/>
        <v>420000</v>
      </c>
      <c r="P3797" s="15">
        <f t="shared" si="326"/>
        <v>50.946142649199395</v>
      </c>
      <c r="Q3797" s="14">
        <v>20000</v>
      </c>
      <c r="R3797" s="12">
        <v>41</v>
      </c>
      <c r="S3797" s="12" t="s">
        <v>4637</v>
      </c>
      <c r="T3797" s="22">
        <f t="shared" si="328"/>
        <v>12</v>
      </c>
      <c r="U3797" s="22">
        <f t="shared" si="329"/>
        <v>2021</v>
      </c>
      <c r="V3797" s="22" t="str">
        <f t="shared" si="330"/>
        <v>REGIONES</v>
      </c>
    </row>
    <row r="3798" spans="1:22" x14ac:dyDescent="0.2">
      <c r="A3798" s="11" t="s">
        <v>4631</v>
      </c>
      <c r="B3798" s="12" t="s">
        <v>33</v>
      </c>
      <c r="C3798" s="12" t="s">
        <v>128</v>
      </c>
      <c r="D3798" s="12" t="s">
        <v>47</v>
      </c>
      <c r="E3798" s="13" t="s">
        <v>52</v>
      </c>
      <c r="F3798" s="12" t="s">
        <v>58</v>
      </c>
      <c r="G3798" s="14">
        <v>6771.6</v>
      </c>
      <c r="H3798" s="12" t="s">
        <v>22</v>
      </c>
      <c r="I3798" s="12">
        <v>0</v>
      </c>
      <c r="J3798" s="12" t="s">
        <v>58</v>
      </c>
      <c r="K3798" s="12" t="s">
        <v>23</v>
      </c>
      <c r="L3798" s="12">
        <v>5</v>
      </c>
      <c r="M3798" s="15">
        <v>70000</v>
      </c>
      <c r="N3798" s="15">
        <v>0</v>
      </c>
      <c r="O3798" s="15">
        <f t="shared" si="327"/>
        <v>70000</v>
      </c>
      <c r="P3798" s="15">
        <f t="shared" si="326"/>
        <v>10.337291039045425</v>
      </c>
      <c r="Q3798" s="14">
        <v>10000</v>
      </c>
      <c r="R3798" s="12">
        <v>68</v>
      </c>
      <c r="S3798" s="12" t="s">
        <v>4638</v>
      </c>
      <c r="T3798" s="22">
        <f t="shared" si="328"/>
        <v>12</v>
      </c>
      <c r="U3798" s="22">
        <f t="shared" si="329"/>
        <v>2021</v>
      </c>
      <c r="V3798" s="22" t="str">
        <f t="shared" si="330"/>
        <v>METROPOLITANA</v>
      </c>
    </row>
    <row r="3799" spans="1:22" x14ac:dyDescent="0.2">
      <c r="A3799" s="11" t="s">
        <v>4631</v>
      </c>
      <c r="B3799" s="12" t="s">
        <v>33</v>
      </c>
      <c r="C3799" s="12" t="s">
        <v>29</v>
      </c>
      <c r="D3799" s="12" t="s">
        <v>41</v>
      </c>
      <c r="E3799" s="13" t="s">
        <v>25</v>
      </c>
      <c r="F3799" s="12" t="s">
        <v>134</v>
      </c>
      <c r="G3799" s="14">
        <v>10443.98</v>
      </c>
      <c r="H3799" s="12" t="s">
        <v>43</v>
      </c>
      <c r="I3799" s="12">
        <v>0</v>
      </c>
      <c r="J3799" s="12" t="s">
        <v>134</v>
      </c>
      <c r="K3799" s="12" t="s">
        <v>23</v>
      </c>
      <c r="L3799" s="12">
        <v>2</v>
      </c>
      <c r="M3799" s="15">
        <v>114884</v>
      </c>
      <c r="N3799" s="15">
        <v>0</v>
      </c>
      <c r="O3799" s="15">
        <f t="shared" si="327"/>
        <v>114884</v>
      </c>
      <c r="P3799" s="15">
        <f t="shared" si="326"/>
        <v>11.000021064766498</v>
      </c>
      <c r="Q3799" s="14">
        <v>5000</v>
      </c>
      <c r="R3799" s="12">
        <v>100</v>
      </c>
      <c r="S3799" s="12" t="s">
        <v>4639</v>
      </c>
      <c r="T3799" s="22">
        <f t="shared" si="328"/>
        <v>12</v>
      </c>
      <c r="U3799" s="22">
        <f t="shared" si="329"/>
        <v>2021</v>
      </c>
      <c r="V3799" s="22" t="str">
        <f t="shared" si="330"/>
        <v>METROPOLITANA</v>
      </c>
    </row>
    <row r="3800" spans="1:22" x14ac:dyDescent="0.2">
      <c r="A3800" s="11" t="s">
        <v>4631</v>
      </c>
      <c r="B3800" s="12" t="s">
        <v>33</v>
      </c>
      <c r="C3800" s="12" t="s">
        <v>44</v>
      </c>
      <c r="D3800" s="12" t="s">
        <v>45</v>
      </c>
      <c r="E3800" s="13" t="s">
        <v>52</v>
      </c>
      <c r="F3800" s="12" t="s">
        <v>48</v>
      </c>
      <c r="G3800" s="14">
        <v>4145.68</v>
      </c>
      <c r="H3800" s="12" t="s">
        <v>22</v>
      </c>
      <c r="I3800" s="12">
        <v>0</v>
      </c>
      <c r="J3800" s="12" t="s">
        <v>48</v>
      </c>
      <c r="K3800" s="12" t="s">
        <v>23</v>
      </c>
      <c r="L3800" s="12">
        <v>1</v>
      </c>
      <c r="M3800" s="15">
        <v>55000</v>
      </c>
      <c r="N3800" s="15">
        <v>0</v>
      </c>
      <c r="O3800" s="15">
        <f t="shared" si="327"/>
        <v>55000</v>
      </c>
      <c r="P3800" s="15">
        <f t="shared" si="326"/>
        <v>13.266822330715346</v>
      </c>
      <c r="Q3800" s="14">
        <v>5000</v>
      </c>
      <c r="R3800" s="12">
        <v>83</v>
      </c>
      <c r="S3800" s="12" t="s">
        <v>4640</v>
      </c>
      <c r="T3800" s="22">
        <f t="shared" si="328"/>
        <v>12</v>
      </c>
      <c r="U3800" s="22">
        <f t="shared" si="329"/>
        <v>2021</v>
      </c>
      <c r="V3800" s="22" t="str">
        <f t="shared" si="330"/>
        <v>METROPOLITANA</v>
      </c>
    </row>
    <row r="3801" spans="1:22" x14ac:dyDescent="0.2">
      <c r="A3801" s="23" t="s">
        <v>4641</v>
      </c>
      <c r="B3801" s="22" t="s">
        <v>18</v>
      </c>
      <c r="C3801" s="22" t="s">
        <v>57</v>
      </c>
      <c r="D3801" s="22" t="s">
        <v>41</v>
      </c>
      <c r="E3801" s="24" t="s">
        <v>25</v>
      </c>
      <c r="F3801" s="22" t="s">
        <v>173</v>
      </c>
      <c r="G3801" s="25">
        <v>5921.5999999999995</v>
      </c>
      <c r="H3801" s="22" t="s">
        <v>43</v>
      </c>
      <c r="I3801" s="22">
        <v>0</v>
      </c>
      <c r="J3801" s="22" t="s">
        <v>173</v>
      </c>
      <c r="K3801" s="22" t="s">
        <v>23</v>
      </c>
      <c r="L3801" s="22">
        <v>5</v>
      </c>
      <c r="M3801" s="26">
        <v>90000</v>
      </c>
      <c r="N3801" s="26">
        <v>0</v>
      </c>
      <c r="O3801" s="15">
        <f t="shared" si="327"/>
        <v>90000</v>
      </c>
      <c r="P3801" s="15">
        <f t="shared" si="326"/>
        <v>15.198594974331263</v>
      </c>
      <c r="Q3801" s="25">
        <v>10000</v>
      </c>
      <c r="R3801" s="22">
        <v>59</v>
      </c>
      <c r="S3801" s="22" t="s">
        <v>4642</v>
      </c>
      <c r="T3801" s="22">
        <f t="shared" si="328"/>
        <v>12</v>
      </c>
      <c r="U3801" s="22">
        <f t="shared" si="329"/>
        <v>2021</v>
      </c>
      <c r="V3801" s="22" t="str">
        <f t="shared" si="330"/>
        <v>METROPOLITANA</v>
      </c>
    </row>
    <row r="3802" spans="1:22" x14ac:dyDescent="0.2">
      <c r="A3802" s="23" t="s">
        <v>4641</v>
      </c>
      <c r="B3802" s="22" t="s">
        <v>18</v>
      </c>
      <c r="C3802" s="22" t="s">
        <v>4400</v>
      </c>
      <c r="D3802" s="22" t="s">
        <v>37</v>
      </c>
      <c r="E3802" s="24" t="s">
        <v>1457</v>
      </c>
      <c r="F3802" s="22" t="s">
        <v>452</v>
      </c>
      <c r="G3802" s="25">
        <v>12735.3</v>
      </c>
      <c r="H3802" s="22" t="s">
        <v>22</v>
      </c>
      <c r="I3802" s="22">
        <v>0</v>
      </c>
      <c r="J3802" s="22" t="s">
        <v>452</v>
      </c>
      <c r="K3802" s="22" t="s">
        <v>171</v>
      </c>
      <c r="L3802" s="22">
        <v>0</v>
      </c>
      <c r="M3802" s="26">
        <v>230000</v>
      </c>
      <c r="N3802" s="26">
        <v>0</v>
      </c>
      <c r="O3802" s="15">
        <v>230000</v>
      </c>
      <c r="P3802" s="15">
        <f t="shared" si="326"/>
        <v>18.060037847557577</v>
      </c>
      <c r="Q3802" s="25">
        <v>20000</v>
      </c>
      <c r="R3802" s="22">
        <v>64</v>
      </c>
      <c r="S3802" s="22" t="s">
        <v>4643</v>
      </c>
      <c r="T3802" s="22">
        <f t="shared" si="328"/>
        <v>12</v>
      </c>
      <c r="U3802" s="22">
        <f t="shared" si="329"/>
        <v>2021</v>
      </c>
      <c r="V3802" s="22" t="str">
        <f t="shared" si="330"/>
        <v>REGIONES</v>
      </c>
    </row>
    <row r="3803" spans="1:22" x14ac:dyDescent="0.2">
      <c r="A3803" s="23" t="s">
        <v>4641</v>
      </c>
      <c r="B3803" s="22" t="s">
        <v>33</v>
      </c>
      <c r="C3803" s="22" t="s">
        <v>270</v>
      </c>
      <c r="D3803" s="22" t="s">
        <v>47</v>
      </c>
      <c r="E3803" s="24" t="s">
        <v>21</v>
      </c>
      <c r="F3803" s="22" t="s">
        <v>120</v>
      </c>
      <c r="G3803" s="25">
        <v>4588.5</v>
      </c>
      <c r="H3803" s="22" t="s">
        <v>22</v>
      </c>
      <c r="I3803" s="22">
        <v>0</v>
      </c>
      <c r="J3803" s="22" t="s">
        <v>120</v>
      </c>
      <c r="K3803" s="22" t="s">
        <v>23</v>
      </c>
      <c r="L3803" s="22">
        <v>5</v>
      </c>
      <c r="M3803" s="26">
        <v>70000</v>
      </c>
      <c r="N3803" s="26">
        <v>0</v>
      </c>
      <c r="O3803" s="15">
        <f t="shared" ref="O3803:O3866" si="331">SUM(M3803:N3803)</f>
        <v>70000</v>
      </c>
      <c r="P3803" s="15">
        <f t="shared" si="326"/>
        <v>15.255530129672007</v>
      </c>
      <c r="Q3803" s="25">
        <v>10000</v>
      </c>
      <c r="R3803" s="22">
        <v>46</v>
      </c>
      <c r="S3803" s="22" t="s">
        <v>4644</v>
      </c>
      <c r="T3803" s="22">
        <f t="shared" si="328"/>
        <v>12</v>
      </c>
      <c r="U3803" s="22">
        <f t="shared" si="329"/>
        <v>2021</v>
      </c>
      <c r="V3803" s="22" t="str">
        <f t="shared" si="330"/>
        <v>METROPOLITANA</v>
      </c>
    </row>
    <row r="3804" spans="1:22" x14ac:dyDescent="0.2">
      <c r="A3804" s="11" t="s">
        <v>4645</v>
      </c>
      <c r="B3804" s="12" t="s">
        <v>18</v>
      </c>
      <c r="C3804" s="12" t="s">
        <v>270</v>
      </c>
      <c r="D3804" s="12" t="s">
        <v>38</v>
      </c>
      <c r="E3804" s="13">
        <v>53173262</v>
      </c>
      <c r="F3804" s="12" t="s">
        <v>120</v>
      </c>
      <c r="G3804" s="14">
        <f>4280.16+5668</f>
        <v>9948.16</v>
      </c>
      <c r="H3804" s="12" t="s">
        <v>43</v>
      </c>
      <c r="I3804" s="12">
        <v>0</v>
      </c>
      <c r="J3804" s="12" t="s">
        <v>120</v>
      </c>
      <c r="K3804" s="12" t="s">
        <v>23</v>
      </c>
      <c r="L3804" s="12">
        <v>5</v>
      </c>
      <c r="M3804" s="15">
        <v>70000</v>
      </c>
      <c r="N3804" s="15">
        <v>0</v>
      </c>
      <c r="O3804" s="15">
        <f t="shared" si="331"/>
        <v>70000</v>
      </c>
      <c r="P3804" s="15">
        <f t="shared" si="326"/>
        <v>7.0364770972722592</v>
      </c>
      <c r="Q3804" s="14">
        <v>10000</v>
      </c>
      <c r="R3804" s="12">
        <v>43</v>
      </c>
      <c r="S3804" s="12" t="s">
        <v>4652</v>
      </c>
      <c r="T3804" s="22">
        <f t="shared" si="328"/>
        <v>12</v>
      </c>
      <c r="U3804" s="22">
        <f t="shared" si="329"/>
        <v>2021</v>
      </c>
      <c r="V3804" s="22" t="str">
        <f t="shared" si="330"/>
        <v>METROPOLITANA</v>
      </c>
    </row>
    <row r="3805" spans="1:22" x14ac:dyDescent="0.2">
      <c r="A3805" s="11" t="s">
        <v>4645</v>
      </c>
      <c r="B3805" s="12" t="s">
        <v>18</v>
      </c>
      <c r="C3805" s="12" t="s">
        <v>270</v>
      </c>
      <c r="D3805" s="12" t="s">
        <v>63</v>
      </c>
      <c r="E3805" s="13">
        <v>138841065</v>
      </c>
      <c r="F3805" s="12" t="s">
        <v>120</v>
      </c>
      <c r="G3805" s="14">
        <v>9467.19</v>
      </c>
      <c r="H3805" s="12" t="s">
        <v>65</v>
      </c>
      <c r="I3805" s="12">
        <v>0</v>
      </c>
      <c r="J3805" s="12" t="s">
        <v>120</v>
      </c>
      <c r="K3805" s="12" t="s">
        <v>23</v>
      </c>
      <c r="L3805" s="12">
        <v>5</v>
      </c>
      <c r="M3805" s="15">
        <v>70000</v>
      </c>
      <c r="N3805" s="15">
        <v>0</v>
      </c>
      <c r="O3805" s="15">
        <f t="shared" si="331"/>
        <v>70000</v>
      </c>
      <c r="P3805" s="15">
        <f t="shared" si="326"/>
        <v>7.3939574467186144</v>
      </c>
      <c r="Q3805" s="14">
        <v>10000</v>
      </c>
      <c r="R3805" s="12">
        <v>95</v>
      </c>
      <c r="S3805" s="12" t="s">
        <v>4646</v>
      </c>
      <c r="T3805" s="22">
        <f t="shared" si="328"/>
        <v>12</v>
      </c>
      <c r="U3805" s="22">
        <f t="shared" si="329"/>
        <v>2021</v>
      </c>
      <c r="V3805" s="22" t="str">
        <f t="shared" si="330"/>
        <v>METROPOLITANA</v>
      </c>
    </row>
    <row r="3806" spans="1:22" x14ac:dyDescent="0.2">
      <c r="A3806" s="11" t="s">
        <v>4645</v>
      </c>
      <c r="B3806" s="12" t="s">
        <v>33</v>
      </c>
      <c r="C3806" s="12" t="s">
        <v>128</v>
      </c>
      <c r="D3806" s="12" t="s">
        <v>786</v>
      </c>
      <c r="E3806" s="13">
        <v>95707734</v>
      </c>
      <c r="F3806" s="12" t="s">
        <v>34</v>
      </c>
      <c r="G3806" s="14">
        <v>8244.0000000000036</v>
      </c>
      <c r="H3806" s="12" t="s">
        <v>788</v>
      </c>
      <c r="I3806" s="12">
        <v>1</v>
      </c>
      <c r="J3806" s="12" t="s">
        <v>34</v>
      </c>
      <c r="K3806" s="12" t="s">
        <v>23</v>
      </c>
      <c r="L3806" s="12">
        <v>1</v>
      </c>
      <c r="M3806" s="15">
        <v>90684</v>
      </c>
      <c r="N3806" s="15">
        <v>0</v>
      </c>
      <c r="O3806" s="15">
        <f t="shared" si="331"/>
        <v>90684</v>
      </c>
      <c r="P3806" s="15">
        <f t="shared" si="326"/>
        <v>10.999999999999995</v>
      </c>
      <c r="Q3806" s="14">
        <v>5000</v>
      </c>
      <c r="R3806" s="12">
        <v>100</v>
      </c>
      <c r="S3806" s="12" t="s">
        <v>4647</v>
      </c>
      <c r="T3806" s="22">
        <f t="shared" si="328"/>
        <v>12</v>
      </c>
      <c r="U3806" s="22">
        <f t="shared" si="329"/>
        <v>2021</v>
      </c>
      <c r="V3806" s="22" t="str">
        <f t="shared" si="330"/>
        <v>METROPOLITANA</v>
      </c>
    </row>
    <row r="3807" spans="1:22" x14ac:dyDescent="0.2">
      <c r="A3807" s="11" t="s">
        <v>4645</v>
      </c>
      <c r="B3807" s="12" t="s">
        <v>33</v>
      </c>
      <c r="C3807" s="12" t="s">
        <v>128</v>
      </c>
      <c r="D3807" s="12" t="s">
        <v>2955</v>
      </c>
      <c r="E3807" s="13">
        <v>65941082</v>
      </c>
      <c r="F3807" s="12" t="s">
        <v>34</v>
      </c>
      <c r="G3807" s="14">
        <v>15007.999999999991</v>
      </c>
      <c r="H3807" s="12" t="s">
        <v>24</v>
      </c>
      <c r="I3807" s="12">
        <v>1</v>
      </c>
      <c r="J3807" s="12" t="s">
        <v>34</v>
      </c>
      <c r="K3807" s="12" t="s">
        <v>23</v>
      </c>
      <c r="L3807" s="12">
        <v>1</v>
      </c>
      <c r="M3807" s="15">
        <v>165088</v>
      </c>
      <c r="N3807" s="15">
        <v>0</v>
      </c>
      <c r="O3807" s="15">
        <f t="shared" si="331"/>
        <v>165088</v>
      </c>
      <c r="P3807" s="15">
        <f t="shared" si="326"/>
        <v>11.000000000000007</v>
      </c>
      <c r="Q3807" s="14">
        <v>5000</v>
      </c>
      <c r="R3807" s="12">
        <v>100</v>
      </c>
      <c r="S3807" s="12" t="s">
        <v>4648</v>
      </c>
      <c r="T3807" s="22">
        <f t="shared" si="328"/>
        <v>12</v>
      </c>
      <c r="U3807" s="22">
        <f t="shared" si="329"/>
        <v>2021</v>
      </c>
      <c r="V3807" s="22" t="str">
        <f t="shared" si="330"/>
        <v>METROPOLITANA</v>
      </c>
    </row>
    <row r="3808" spans="1:22" x14ac:dyDescent="0.2">
      <c r="A3808" s="11" t="s">
        <v>4645</v>
      </c>
      <c r="B3808" s="12" t="s">
        <v>33</v>
      </c>
      <c r="C3808" s="12" t="s">
        <v>44</v>
      </c>
      <c r="D3808" s="12" t="s">
        <v>191</v>
      </c>
      <c r="E3808" s="13">
        <v>78551976</v>
      </c>
      <c r="F3808" s="12" t="s">
        <v>4649</v>
      </c>
      <c r="G3808" s="14">
        <v>8244.0000000000036</v>
      </c>
      <c r="H3808" s="12" t="s">
        <v>85</v>
      </c>
      <c r="I3808" s="12">
        <v>1</v>
      </c>
      <c r="J3808" s="12" t="s">
        <v>4649</v>
      </c>
      <c r="K3808" s="12" t="s">
        <v>93</v>
      </c>
      <c r="L3808" s="12">
        <v>0</v>
      </c>
      <c r="M3808" s="15">
        <v>665000</v>
      </c>
      <c r="N3808" s="15">
        <v>0</v>
      </c>
      <c r="O3808" s="15">
        <f t="shared" si="331"/>
        <v>665000</v>
      </c>
      <c r="P3808" s="15">
        <f t="shared" si="326"/>
        <v>80.66472586123237</v>
      </c>
      <c r="Q3808" s="14">
        <v>20000</v>
      </c>
      <c r="R3808" s="12">
        <v>41</v>
      </c>
      <c r="S3808" s="12" t="s">
        <v>4650</v>
      </c>
      <c r="T3808" s="22">
        <f t="shared" si="328"/>
        <v>12</v>
      </c>
      <c r="U3808" s="22">
        <f t="shared" si="329"/>
        <v>2021</v>
      </c>
      <c r="V3808" s="22" t="str">
        <f t="shared" si="330"/>
        <v>REGIONES</v>
      </c>
    </row>
    <row r="3809" spans="1:22" x14ac:dyDescent="0.2">
      <c r="A3809" s="11" t="s">
        <v>4645</v>
      </c>
      <c r="B3809" s="12" t="s">
        <v>33</v>
      </c>
      <c r="C3809" s="12" t="s">
        <v>44</v>
      </c>
      <c r="D3809" s="12" t="s">
        <v>636</v>
      </c>
      <c r="E3809" s="13">
        <v>113693568</v>
      </c>
      <c r="F3809" s="12" t="s">
        <v>92</v>
      </c>
      <c r="G3809" s="14">
        <v>11847.999999999991</v>
      </c>
      <c r="H3809" s="12" t="s">
        <v>85</v>
      </c>
      <c r="I3809" s="12">
        <v>1</v>
      </c>
      <c r="J3809" s="12" t="s">
        <v>92</v>
      </c>
      <c r="K3809" s="12" t="s">
        <v>93</v>
      </c>
      <c r="L3809" s="12">
        <v>0</v>
      </c>
      <c r="M3809" s="15">
        <v>665000</v>
      </c>
      <c r="N3809" s="15">
        <v>0</v>
      </c>
      <c r="O3809" s="15">
        <f t="shared" si="331"/>
        <v>665000</v>
      </c>
      <c r="P3809" s="15">
        <f t="shared" ref="P3809:P3872" si="332">O3809/G3809</f>
        <v>56.127616475354536</v>
      </c>
      <c r="Q3809" s="14">
        <v>20000</v>
      </c>
      <c r="R3809" s="12">
        <v>59</v>
      </c>
      <c r="S3809" s="12" t="s">
        <v>4651</v>
      </c>
      <c r="T3809" s="22">
        <f t="shared" si="328"/>
        <v>12</v>
      </c>
      <c r="U3809" s="22">
        <f t="shared" si="329"/>
        <v>2021</v>
      </c>
      <c r="V3809" s="22" t="str">
        <f t="shared" si="330"/>
        <v>REGIONES</v>
      </c>
    </row>
    <row r="3810" spans="1:22" x14ac:dyDescent="0.2">
      <c r="A3810" s="23" t="s">
        <v>4653</v>
      </c>
      <c r="B3810" s="22" t="s">
        <v>18</v>
      </c>
      <c r="C3810" s="22" t="s">
        <v>270</v>
      </c>
      <c r="D3810" s="22" t="s">
        <v>37</v>
      </c>
      <c r="E3810" s="24" t="s">
        <v>40</v>
      </c>
      <c r="F3810" s="22" t="s">
        <v>120</v>
      </c>
      <c r="G3810" s="25">
        <v>7197.1200000000008</v>
      </c>
      <c r="H3810" s="22" t="s">
        <v>22</v>
      </c>
      <c r="I3810" s="22">
        <v>0</v>
      </c>
      <c r="J3810" s="22" t="s">
        <v>120</v>
      </c>
      <c r="K3810" s="22" t="s">
        <v>23</v>
      </c>
      <c r="L3810" s="22">
        <v>5</v>
      </c>
      <c r="M3810" s="26">
        <v>70000</v>
      </c>
      <c r="N3810" s="26">
        <v>0</v>
      </c>
      <c r="O3810" s="15">
        <f t="shared" si="331"/>
        <v>70000</v>
      </c>
      <c r="P3810" s="15">
        <f t="shared" si="332"/>
        <v>9.7261126672891365</v>
      </c>
      <c r="Q3810" s="25">
        <v>10000</v>
      </c>
      <c r="R3810" s="22">
        <v>72</v>
      </c>
      <c r="S3810" s="22" t="s">
        <v>4654</v>
      </c>
      <c r="T3810" s="22">
        <f t="shared" si="328"/>
        <v>12</v>
      </c>
      <c r="U3810" s="22">
        <f t="shared" si="329"/>
        <v>2021</v>
      </c>
      <c r="V3810" s="22" t="str">
        <f t="shared" si="330"/>
        <v>METROPOLITANA</v>
      </c>
    </row>
    <row r="3811" spans="1:22" x14ac:dyDescent="0.2">
      <c r="A3811" s="23" t="s">
        <v>4653</v>
      </c>
      <c r="B3811" s="22" t="s">
        <v>18</v>
      </c>
      <c r="C3811" s="22" t="s">
        <v>270</v>
      </c>
      <c r="D3811" s="22" t="s">
        <v>30</v>
      </c>
      <c r="E3811" s="24" t="s">
        <v>4655</v>
      </c>
      <c r="F3811" s="22" t="s">
        <v>120</v>
      </c>
      <c r="G3811" s="25">
        <f>11770.44+3199</f>
        <v>14969.44</v>
      </c>
      <c r="H3811" s="22" t="s">
        <v>32</v>
      </c>
      <c r="I3811" s="22">
        <v>0</v>
      </c>
      <c r="J3811" s="22" t="s">
        <v>120</v>
      </c>
      <c r="K3811" s="22" t="s">
        <v>23</v>
      </c>
      <c r="L3811" s="22">
        <v>5</v>
      </c>
      <c r="M3811" s="26">
        <v>70000</v>
      </c>
      <c r="N3811" s="26">
        <v>0</v>
      </c>
      <c r="O3811" s="15">
        <f t="shared" si="331"/>
        <v>70000</v>
      </c>
      <c r="P3811" s="15">
        <f t="shared" si="332"/>
        <v>4.6761936318259067</v>
      </c>
      <c r="Q3811" s="25">
        <v>10000</v>
      </c>
      <c r="R3811" s="22">
        <v>100</v>
      </c>
      <c r="S3811" s="22" t="s">
        <v>4665</v>
      </c>
      <c r="T3811" s="22">
        <f t="shared" si="328"/>
        <v>12</v>
      </c>
      <c r="U3811" s="22">
        <f t="shared" si="329"/>
        <v>2021</v>
      </c>
      <c r="V3811" s="22" t="str">
        <f t="shared" si="330"/>
        <v>METROPOLITANA</v>
      </c>
    </row>
    <row r="3812" spans="1:22" x14ac:dyDescent="0.2">
      <c r="A3812" s="23" t="s">
        <v>4653</v>
      </c>
      <c r="B3812" s="22" t="s">
        <v>33</v>
      </c>
      <c r="C3812" s="22" t="s">
        <v>1642</v>
      </c>
      <c r="D3812" s="22" t="s">
        <v>37</v>
      </c>
      <c r="E3812" s="24" t="s">
        <v>40</v>
      </c>
      <c r="F3812" s="22" t="s">
        <v>170</v>
      </c>
      <c r="G3812" s="25">
        <v>6787.9499999999989</v>
      </c>
      <c r="H3812" s="22" t="s">
        <v>22</v>
      </c>
      <c r="I3812" s="22">
        <v>0</v>
      </c>
      <c r="J3812" s="22" t="s">
        <v>170</v>
      </c>
      <c r="K3812" s="22" t="s">
        <v>171</v>
      </c>
      <c r="L3812" s="22">
        <v>0</v>
      </c>
      <c r="M3812" s="26">
        <v>180000</v>
      </c>
      <c r="N3812" s="26">
        <v>0</v>
      </c>
      <c r="O3812" s="15">
        <f t="shared" si="331"/>
        <v>180000</v>
      </c>
      <c r="P3812" s="15">
        <f t="shared" si="332"/>
        <v>26.51757894504232</v>
      </c>
      <c r="Q3812" s="25">
        <v>20000</v>
      </c>
      <c r="R3812" s="22">
        <v>34</v>
      </c>
      <c r="S3812" s="22" t="s">
        <v>4656</v>
      </c>
      <c r="T3812" s="22">
        <f t="shared" si="328"/>
        <v>12</v>
      </c>
      <c r="U3812" s="22">
        <f t="shared" si="329"/>
        <v>2021</v>
      </c>
      <c r="V3812" s="22" t="str">
        <f t="shared" si="330"/>
        <v>REGIONES</v>
      </c>
    </row>
    <row r="3813" spans="1:22" x14ac:dyDescent="0.2">
      <c r="A3813" s="23" t="s">
        <v>4653</v>
      </c>
      <c r="B3813" s="22" t="s">
        <v>33</v>
      </c>
      <c r="C3813" s="22" t="s">
        <v>1642</v>
      </c>
      <c r="D3813" s="22" t="s">
        <v>63</v>
      </c>
      <c r="E3813" s="24" t="s">
        <v>64</v>
      </c>
      <c r="F3813" s="22" t="s">
        <v>46</v>
      </c>
      <c r="G3813" s="25">
        <v>7155.9500000000016</v>
      </c>
      <c r="H3813" s="22" t="s">
        <v>65</v>
      </c>
      <c r="I3813" s="22">
        <v>0</v>
      </c>
      <c r="J3813" s="22" t="s">
        <v>46</v>
      </c>
      <c r="K3813" s="22" t="s">
        <v>23</v>
      </c>
      <c r="L3813" s="22">
        <v>2</v>
      </c>
      <c r="M3813" s="26">
        <v>78715</v>
      </c>
      <c r="N3813" s="26">
        <v>0</v>
      </c>
      <c r="O3813" s="15">
        <f t="shared" si="331"/>
        <v>78715</v>
      </c>
      <c r="P3813" s="15">
        <f t="shared" si="332"/>
        <v>10.999937115267711</v>
      </c>
      <c r="Q3813" s="25">
        <v>5000</v>
      </c>
      <c r="R3813" s="22">
        <v>100</v>
      </c>
      <c r="S3813" s="22" t="s">
        <v>4657</v>
      </c>
      <c r="T3813" s="22">
        <f t="shared" si="328"/>
        <v>12</v>
      </c>
      <c r="U3813" s="22">
        <f t="shared" si="329"/>
        <v>2021</v>
      </c>
      <c r="V3813" s="22" t="str">
        <f t="shared" si="330"/>
        <v>METROPOLITANA</v>
      </c>
    </row>
    <row r="3814" spans="1:22" x14ac:dyDescent="0.2">
      <c r="A3814" s="23" t="s">
        <v>4653</v>
      </c>
      <c r="B3814" s="22" t="s">
        <v>33</v>
      </c>
      <c r="C3814" s="22" t="s">
        <v>1642</v>
      </c>
      <c r="D3814" s="22" t="s">
        <v>30</v>
      </c>
      <c r="E3814" s="24" t="s">
        <v>31</v>
      </c>
      <c r="F3814" s="22" t="s">
        <v>274</v>
      </c>
      <c r="G3814" s="25">
        <v>7191.699999999998</v>
      </c>
      <c r="H3814" s="22" t="s">
        <v>32</v>
      </c>
      <c r="I3814" s="22">
        <v>0</v>
      </c>
      <c r="J3814" s="22" t="s">
        <v>274</v>
      </c>
      <c r="K3814" s="22" t="s">
        <v>78</v>
      </c>
      <c r="L3814" s="22">
        <v>0</v>
      </c>
      <c r="M3814" s="26">
        <v>180000</v>
      </c>
      <c r="N3814" s="26">
        <v>0</v>
      </c>
      <c r="O3814" s="15">
        <f t="shared" si="331"/>
        <v>180000</v>
      </c>
      <c r="P3814" s="15">
        <f t="shared" si="332"/>
        <v>25.028852705201835</v>
      </c>
      <c r="Q3814" s="25">
        <v>20000</v>
      </c>
      <c r="R3814" s="22">
        <v>36</v>
      </c>
      <c r="S3814" s="22" t="s">
        <v>4658</v>
      </c>
      <c r="T3814" s="22">
        <f t="shared" si="328"/>
        <v>12</v>
      </c>
      <c r="U3814" s="22">
        <f t="shared" si="329"/>
        <v>2021</v>
      </c>
      <c r="V3814" s="22" t="str">
        <f t="shared" si="330"/>
        <v>REGIONES</v>
      </c>
    </row>
    <row r="3815" spans="1:22" x14ac:dyDescent="0.2">
      <c r="A3815" s="23" t="s">
        <v>4653</v>
      </c>
      <c r="B3815" s="22" t="s">
        <v>33</v>
      </c>
      <c r="C3815" s="22" t="s">
        <v>270</v>
      </c>
      <c r="D3815" s="22" t="s">
        <v>37</v>
      </c>
      <c r="E3815" s="24" t="s">
        <v>40</v>
      </c>
      <c r="F3815" s="22" t="s">
        <v>120</v>
      </c>
      <c r="G3815" s="25">
        <v>7963.5000000000027</v>
      </c>
      <c r="H3815" s="22" t="s">
        <v>22</v>
      </c>
      <c r="I3815" s="22">
        <v>0</v>
      </c>
      <c r="J3815" s="22" t="s">
        <v>120</v>
      </c>
      <c r="K3815" s="22" t="s">
        <v>23</v>
      </c>
      <c r="L3815" s="22">
        <v>5</v>
      </c>
      <c r="M3815" s="26">
        <v>70000</v>
      </c>
      <c r="N3815" s="26">
        <v>0</v>
      </c>
      <c r="O3815" s="15">
        <f t="shared" si="331"/>
        <v>70000</v>
      </c>
      <c r="P3815" s="15">
        <f t="shared" si="332"/>
        <v>8.7901048533936059</v>
      </c>
      <c r="Q3815" s="25">
        <v>10000</v>
      </c>
      <c r="R3815" s="22">
        <v>80</v>
      </c>
      <c r="S3815" s="22" t="s">
        <v>4659</v>
      </c>
      <c r="T3815" s="22">
        <f t="shared" si="328"/>
        <v>12</v>
      </c>
      <c r="U3815" s="22">
        <f t="shared" si="329"/>
        <v>2021</v>
      </c>
      <c r="V3815" s="22" t="str">
        <f t="shared" si="330"/>
        <v>METROPOLITANA</v>
      </c>
    </row>
    <row r="3816" spans="1:22" x14ac:dyDescent="0.2">
      <c r="A3816" s="23" t="s">
        <v>4653</v>
      </c>
      <c r="B3816" s="22" t="s">
        <v>33</v>
      </c>
      <c r="C3816" s="22" t="s">
        <v>270</v>
      </c>
      <c r="D3816" s="22" t="s">
        <v>164</v>
      </c>
      <c r="E3816" s="24" t="s">
        <v>1576</v>
      </c>
      <c r="F3816" s="22" t="s">
        <v>120</v>
      </c>
      <c r="G3816" s="25">
        <v>21793</v>
      </c>
      <c r="H3816" s="22" t="s">
        <v>22</v>
      </c>
      <c r="I3816" s="22">
        <v>1</v>
      </c>
      <c r="J3816" s="22" t="s">
        <v>120</v>
      </c>
      <c r="K3816" s="22" t="s">
        <v>23</v>
      </c>
      <c r="L3816" s="22">
        <v>5</v>
      </c>
      <c r="M3816" s="26">
        <v>120000</v>
      </c>
      <c r="N3816" s="26">
        <v>0</v>
      </c>
      <c r="O3816" s="15">
        <f t="shared" si="331"/>
        <v>120000</v>
      </c>
      <c r="P3816" s="15">
        <f t="shared" si="332"/>
        <v>5.5063552516863217</v>
      </c>
      <c r="Q3816" s="25">
        <v>10000</v>
      </c>
      <c r="R3816" s="22">
        <v>100</v>
      </c>
      <c r="S3816" s="22" t="s">
        <v>4660</v>
      </c>
      <c r="T3816" s="22">
        <f t="shared" si="328"/>
        <v>12</v>
      </c>
      <c r="U3816" s="22">
        <f t="shared" si="329"/>
        <v>2021</v>
      </c>
      <c r="V3816" s="22" t="str">
        <f t="shared" si="330"/>
        <v>METROPOLITANA</v>
      </c>
    </row>
    <row r="3817" spans="1:22" x14ac:dyDescent="0.2">
      <c r="A3817" s="23" t="s">
        <v>4653</v>
      </c>
      <c r="B3817" s="22" t="s">
        <v>33</v>
      </c>
      <c r="C3817" s="22" t="s">
        <v>128</v>
      </c>
      <c r="D3817" s="22" t="s">
        <v>1170</v>
      </c>
      <c r="E3817" s="24" t="s">
        <v>81</v>
      </c>
      <c r="F3817" s="22" t="s">
        <v>66</v>
      </c>
      <c r="G3817" s="25">
        <v>8052.0000000000036</v>
      </c>
      <c r="H3817" s="22" t="s">
        <v>24</v>
      </c>
      <c r="I3817" s="22">
        <v>1</v>
      </c>
      <c r="J3817" s="22" t="s">
        <v>66</v>
      </c>
      <c r="K3817" s="22" t="s">
        <v>75</v>
      </c>
      <c r="L3817" s="22">
        <v>0</v>
      </c>
      <c r="M3817" s="26">
        <v>420000</v>
      </c>
      <c r="N3817" s="26">
        <v>0</v>
      </c>
      <c r="O3817" s="15">
        <f t="shared" si="331"/>
        <v>420000</v>
      </c>
      <c r="P3817" s="15">
        <f t="shared" si="332"/>
        <v>52.160953800298039</v>
      </c>
      <c r="Q3817" s="25">
        <v>20000</v>
      </c>
      <c r="R3817" s="22">
        <v>40</v>
      </c>
      <c r="S3817" s="22" t="s">
        <v>4661</v>
      </c>
      <c r="T3817" s="22">
        <f t="shared" si="328"/>
        <v>12</v>
      </c>
      <c r="U3817" s="22">
        <f t="shared" si="329"/>
        <v>2021</v>
      </c>
      <c r="V3817" s="22" t="str">
        <f t="shared" si="330"/>
        <v>REGIONES</v>
      </c>
    </row>
    <row r="3818" spans="1:22" x14ac:dyDescent="0.2">
      <c r="A3818" s="23" t="s">
        <v>4653</v>
      </c>
      <c r="B3818" s="22" t="s">
        <v>33</v>
      </c>
      <c r="C3818" s="22" t="s">
        <v>128</v>
      </c>
      <c r="D3818" s="22" t="s">
        <v>2955</v>
      </c>
      <c r="E3818" s="24" t="s">
        <v>2956</v>
      </c>
      <c r="F3818" s="22" t="s">
        <v>129</v>
      </c>
      <c r="G3818" s="25">
        <v>8244.0000000000036</v>
      </c>
      <c r="H3818" s="22" t="s">
        <v>24</v>
      </c>
      <c r="I3818" s="22">
        <v>1</v>
      </c>
      <c r="J3818" s="22" t="s">
        <v>129</v>
      </c>
      <c r="K3818" s="22" t="s">
        <v>23</v>
      </c>
      <c r="L3818" s="22">
        <v>1</v>
      </c>
      <c r="M3818" s="26">
        <v>90684</v>
      </c>
      <c r="N3818" s="26">
        <v>0</v>
      </c>
      <c r="O3818" s="15">
        <f t="shared" si="331"/>
        <v>90684</v>
      </c>
      <c r="P3818" s="15">
        <f t="shared" si="332"/>
        <v>10.999999999999995</v>
      </c>
      <c r="Q3818" s="25">
        <v>5000</v>
      </c>
      <c r="R3818" s="22">
        <v>100</v>
      </c>
      <c r="S3818" s="22" t="s">
        <v>4662</v>
      </c>
      <c r="T3818" s="22">
        <f t="shared" si="328"/>
        <v>12</v>
      </c>
      <c r="U3818" s="22">
        <f t="shared" si="329"/>
        <v>2021</v>
      </c>
      <c r="V3818" s="22" t="str">
        <f t="shared" si="330"/>
        <v>METROPOLITANA</v>
      </c>
    </row>
    <row r="3819" spans="1:22" x14ac:dyDescent="0.2">
      <c r="A3819" s="23" t="s">
        <v>4653</v>
      </c>
      <c r="B3819" s="22" t="s">
        <v>33</v>
      </c>
      <c r="C3819" s="22" t="s">
        <v>36</v>
      </c>
      <c r="D3819" s="22" t="s">
        <v>786</v>
      </c>
      <c r="E3819" s="24" t="s">
        <v>787</v>
      </c>
      <c r="F3819" s="22" t="s">
        <v>274</v>
      </c>
      <c r="G3819" s="25">
        <f>6649.6+6673</f>
        <v>13322.6</v>
      </c>
      <c r="H3819" s="22" t="s">
        <v>788</v>
      </c>
      <c r="I3819" s="22">
        <v>1</v>
      </c>
      <c r="J3819" s="22" t="s">
        <v>274</v>
      </c>
      <c r="K3819" s="22" t="s">
        <v>78</v>
      </c>
      <c r="L3819" s="22">
        <v>0</v>
      </c>
      <c r="M3819" s="26">
        <v>275000</v>
      </c>
      <c r="N3819" s="26">
        <v>0</v>
      </c>
      <c r="O3819" s="15">
        <f t="shared" si="331"/>
        <v>275000</v>
      </c>
      <c r="P3819" s="15">
        <f t="shared" si="332"/>
        <v>20.641616501283533</v>
      </c>
      <c r="Q3819" s="25">
        <v>20000</v>
      </c>
      <c r="R3819" s="22">
        <v>33</v>
      </c>
      <c r="S3819" s="22" t="s">
        <v>4666</v>
      </c>
      <c r="T3819" s="22">
        <f t="shared" si="328"/>
        <v>12</v>
      </c>
      <c r="U3819" s="22">
        <f t="shared" si="329"/>
        <v>2021</v>
      </c>
      <c r="V3819" s="22" t="str">
        <f t="shared" si="330"/>
        <v>REGIONES</v>
      </c>
    </row>
    <row r="3820" spans="1:22" x14ac:dyDescent="0.2">
      <c r="A3820" s="23" t="s">
        <v>4653</v>
      </c>
      <c r="B3820" s="22" t="s">
        <v>33</v>
      </c>
      <c r="C3820" s="22" t="s">
        <v>36</v>
      </c>
      <c r="D3820" s="22" t="s">
        <v>45</v>
      </c>
      <c r="E3820" s="24" t="s">
        <v>3789</v>
      </c>
      <c r="F3820" s="22" t="s">
        <v>376</v>
      </c>
      <c r="G3820" s="25">
        <v>5463.82</v>
      </c>
      <c r="H3820" s="22" t="s">
        <v>22</v>
      </c>
      <c r="I3820" s="22">
        <v>0</v>
      </c>
      <c r="J3820" s="22" t="s">
        <v>377</v>
      </c>
      <c r="K3820" s="22" t="s">
        <v>23</v>
      </c>
      <c r="L3820" s="22">
        <v>4</v>
      </c>
      <c r="M3820" s="26">
        <v>60102</v>
      </c>
      <c r="N3820" s="26">
        <v>0</v>
      </c>
      <c r="O3820" s="15">
        <f t="shared" si="331"/>
        <v>60102</v>
      </c>
      <c r="P3820" s="15">
        <f t="shared" si="332"/>
        <v>10.999996339557306</v>
      </c>
      <c r="Q3820" s="25">
        <v>5000</v>
      </c>
      <c r="R3820" s="22">
        <v>100</v>
      </c>
      <c r="S3820" s="22" t="s">
        <v>4663</v>
      </c>
      <c r="T3820" s="22">
        <f t="shared" si="328"/>
        <v>12</v>
      </c>
      <c r="U3820" s="22">
        <f t="shared" si="329"/>
        <v>2021</v>
      </c>
      <c r="V3820" s="22" t="str">
        <f t="shared" si="330"/>
        <v>METROPOLITANA</v>
      </c>
    </row>
    <row r="3821" spans="1:22" x14ac:dyDescent="0.2">
      <c r="A3821" s="23" t="s">
        <v>4653</v>
      </c>
      <c r="B3821" s="22" t="s">
        <v>33</v>
      </c>
      <c r="C3821" s="22" t="s">
        <v>44</v>
      </c>
      <c r="D3821" s="22" t="s">
        <v>38</v>
      </c>
      <c r="E3821" s="24" t="s">
        <v>25</v>
      </c>
      <c r="F3821" s="22" t="s">
        <v>120</v>
      </c>
      <c r="G3821" s="25">
        <f>3526.25+2275</f>
        <v>5801.25</v>
      </c>
      <c r="H3821" s="22" t="s">
        <v>43</v>
      </c>
      <c r="I3821" s="22">
        <v>0</v>
      </c>
      <c r="J3821" s="22" t="s">
        <v>120</v>
      </c>
      <c r="K3821" s="22" t="s">
        <v>23</v>
      </c>
      <c r="L3821" s="22">
        <v>5</v>
      </c>
      <c r="M3821" s="26">
        <v>70000</v>
      </c>
      <c r="N3821" s="26">
        <v>0</v>
      </c>
      <c r="O3821" s="15">
        <f t="shared" si="331"/>
        <v>70000</v>
      </c>
      <c r="P3821" s="15">
        <f t="shared" si="332"/>
        <v>12.066365007541478</v>
      </c>
      <c r="Q3821" s="25">
        <v>10000</v>
      </c>
      <c r="R3821" s="22">
        <v>35</v>
      </c>
      <c r="S3821" s="22" t="s">
        <v>4667</v>
      </c>
      <c r="T3821" s="22">
        <f t="shared" si="328"/>
        <v>12</v>
      </c>
      <c r="U3821" s="22">
        <f t="shared" si="329"/>
        <v>2021</v>
      </c>
      <c r="V3821" s="22" t="str">
        <f t="shared" si="330"/>
        <v>METROPOLITANA</v>
      </c>
    </row>
    <row r="3822" spans="1:22" x14ac:dyDescent="0.2">
      <c r="A3822" s="23" t="s">
        <v>4653</v>
      </c>
      <c r="B3822" s="22" t="s">
        <v>33</v>
      </c>
      <c r="C3822" s="22" t="s">
        <v>44</v>
      </c>
      <c r="D3822" s="22" t="s">
        <v>47</v>
      </c>
      <c r="E3822" s="24" t="s">
        <v>1576</v>
      </c>
      <c r="F3822" s="22" t="s">
        <v>48</v>
      </c>
      <c r="G3822" s="25">
        <v>5284.4</v>
      </c>
      <c r="H3822" s="22" t="s">
        <v>22</v>
      </c>
      <c r="I3822" s="22">
        <v>0</v>
      </c>
      <c r="J3822" s="22" t="s">
        <v>48</v>
      </c>
      <c r="K3822" s="22" t="s">
        <v>23</v>
      </c>
      <c r="L3822" s="22">
        <v>1</v>
      </c>
      <c r="M3822" s="26">
        <v>58128</v>
      </c>
      <c r="N3822" s="26">
        <v>0</v>
      </c>
      <c r="O3822" s="15">
        <f t="shared" si="331"/>
        <v>58128</v>
      </c>
      <c r="P3822" s="15">
        <f t="shared" si="332"/>
        <v>10.99992430550299</v>
      </c>
      <c r="Q3822" s="25">
        <v>5000</v>
      </c>
      <c r="R3822" s="22">
        <v>100</v>
      </c>
      <c r="S3822" s="22" t="s">
        <v>4664</v>
      </c>
      <c r="T3822" s="22">
        <f t="shared" si="328"/>
        <v>12</v>
      </c>
      <c r="U3822" s="22">
        <f t="shared" si="329"/>
        <v>2021</v>
      </c>
      <c r="V3822" s="22" t="str">
        <f t="shared" si="330"/>
        <v>METROPOLITANA</v>
      </c>
    </row>
    <row r="3823" spans="1:22" x14ac:dyDescent="0.2">
      <c r="A3823" s="11" t="s">
        <v>4668</v>
      </c>
      <c r="B3823" s="12" t="s">
        <v>18</v>
      </c>
      <c r="C3823" s="12" t="s">
        <v>270</v>
      </c>
      <c r="D3823" s="12" t="s">
        <v>38</v>
      </c>
      <c r="E3823" s="13" t="s">
        <v>42</v>
      </c>
      <c r="F3823" s="12" t="s">
        <v>120</v>
      </c>
      <c r="G3823" s="14">
        <v>5998.12</v>
      </c>
      <c r="H3823" s="12" t="s">
        <v>43</v>
      </c>
      <c r="I3823" s="12">
        <v>0</v>
      </c>
      <c r="J3823" s="12" t="s">
        <v>120</v>
      </c>
      <c r="K3823" s="12" t="s">
        <v>23</v>
      </c>
      <c r="L3823" s="12">
        <v>5</v>
      </c>
      <c r="M3823" s="15">
        <v>70000</v>
      </c>
      <c r="N3823" s="15">
        <v>0</v>
      </c>
      <c r="O3823" s="15">
        <f t="shared" si="331"/>
        <v>70000</v>
      </c>
      <c r="P3823" s="15">
        <f t="shared" si="332"/>
        <v>11.670323367988637</v>
      </c>
      <c r="Q3823" s="14">
        <v>10000</v>
      </c>
      <c r="R3823" s="12">
        <v>60</v>
      </c>
      <c r="S3823" s="12" t="s">
        <v>4669</v>
      </c>
      <c r="T3823" s="22">
        <f t="shared" si="328"/>
        <v>12</v>
      </c>
      <c r="U3823" s="22">
        <f t="shared" si="329"/>
        <v>2021</v>
      </c>
      <c r="V3823" s="22" t="str">
        <f t="shared" si="330"/>
        <v>METROPOLITANA</v>
      </c>
    </row>
    <row r="3824" spans="1:22" x14ac:dyDescent="0.2">
      <c r="A3824" s="11" t="s">
        <v>4668</v>
      </c>
      <c r="B3824" s="12" t="s">
        <v>18</v>
      </c>
      <c r="C3824" s="12" t="s">
        <v>1997</v>
      </c>
      <c r="D3824" s="12" t="s">
        <v>4488</v>
      </c>
      <c r="E3824" s="13" t="s">
        <v>25</v>
      </c>
      <c r="F3824" s="12" t="s">
        <v>58</v>
      </c>
      <c r="G3824" s="14">
        <v>8227.6</v>
      </c>
      <c r="H3824" s="12" t="s">
        <v>24</v>
      </c>
      <c r="I3824" s="12">
        <v>1</v>
      </c>
      <c r="J3824" s="12" t="s">
        <v>58</v>
      </c>
      <c r="K3824" s="12" t="s">
        <v>23</v>
      </c>
      <c r="L3824" s="12">
        <v>5</v>
      </c>
      <c r="M3824" s="15">
        <v>120000</v>
      </c>
      <c r="N3824" s="15">
        <v>0</v>
      </c>
      <c r="O3824" s="15">
        <f t="shared" si="331"/>
        <v>120000</v>
      </c>
      <c r="P3824" s="15">
        <f t="shared" si="332"/>
        <v>14.585055180125432</v>
      </c>
      <c r="Q3824" s="14">
        <v>10000</v>
      </c>
      <c r="R3824" s="12">
        <v>82</v>
      </c>
      <c r="S3824" s="12" t="s">
        <v>4670</v>
      </c>
      <c r="T3824" s="22">
        <f t="shared" si="328"/>
        <v>12</v>
      </c>
      <c r="U3824" s="22">
        <f t="shared" si="329"/>
        <v>2021</v>
      </c>
      <c r="V3824" s="22" t="str">
        <f t="shared" si="330"/>
        <v>METROPOLITANA</v>
      </c>
    </row>
    <row r="3825" spans="1:22" x14ac:dyDescent="0.2">
      <c r="A3825" s="11" t="s">
        <v>4668</v>
      </c>
      <c r="B3825" s="12" t="s">
        <v>33</v>
      </c>
      <c r="C3825" s="12" t="s">
        <v>2431</v>
      </c>
      <c r="D3825" s="12" t="s">
        <v>2955</v>
      </c>
      <c r="E3825" s="13" t="s">
        <v>2956</v>
      </c>
      <c r="F3825" s="12" t="s">
        <v>67</v>
      </c>
      <c r="G3825" s="14">
        <v>16365</v>
      </c>
      <c r="H3825" s="12" t="s">
        <v>24</v>
      </c>
      <c r="I3825" s="12">
        <v>1</v>
      </c>
      <c r="J3825" s="12" t="s">
        <v>67</v>
      </c>
      <c r="K3825" s="12" t="s">
        <v>23</v>
      </c>
      <c r="L3825" s="12">
        <v>2</v>
      </c>
      <c r="M3825" s="15">
        <v>180015</v>
      </c>
      <c r="N3825" s="15">
        <v>0</v>
      </c>
      <c r="O3825" s="15">
        <f t="shared" si="331"/>
        <v>180015</v>
      </c>
      <c r="P3825" s="15">
        <f t="shared" si="332"/>
        <v>11</v>
      </c>
      <c r="Q3825" s="14">
        <v>5000</v>
      </c>
      <c r="R3825" s="12">
        <v>100</v>
      </c>
      <c r="S3825" s="12" t="s">
        <v>4671</v>
      </c>
      <c r="T3825" s="22">
        <f t="shared" si="328"/>
        <v>12</v>
      </c>
      <c r="U3825" s="22">
        <f t="shared" si="329"/>
        <v>2021</v>
      </c>
      <c r="V3825" s="22" t="str">
        <f t="shared" si="330"/>
        <v>METROPOLITANA</v>
      </c>
    </row>
    <row r="3826" spans="1:22" x14ac:dyDescent="0.2">
      <c r="A3826" s="11" t="s">
        <v>4668</v>
      </c>
      <c r="B3826" s="12" t="s">
        <v>33</v>
      </c>
      <c r="C3826" s="12" t="s">
        <v>128</v>
      </c>
      <c r="D3826" s="12" t="s">
        <v>786</v>
      </c>
      <c r="E3826" s="13" t="s">
        <v>787</v>
      </c>
      <c r="F3826" s="12" t="s">
        <v>129</v>
      </c>
      <c r="G3826" s="14">
        <v>20799.8</v>
      </c>
      <c r="H3826" s="12" t="s">
        <v>788</v>
      </c>
      <c r="I3826" s="12">
        <v>1</v>
      </c>
      <c r="J3826" s="12" t="s">
        <v>129</v>
      </c>
      <c r="K3826" s="12" t="s">
        <v>23</v>
      </c>
      <c r="L3826" s="12">
        <v>1</v>
      </c>
      <c r="M3826" s="15">
        <v>228798</v>
      </c>
      <c r="N3826" s="15">
        <v>0</v>
      </c>
      <c r="O3826" s="15">
        <f t="shared" si="331"/>
        <v>228798</v>
      </c>
      <c r="P3826" s="15">
        <f t="shared" si="332"/>
        <v>11.000009615477072</v>
      </c>
      <c r="Q3826" s="14">
        <v>5000</v>
      </c>
      <c r="R3826" s="12">
        <v>100</v>
      </c>
      <c r="S3826" s="12" t="s">
        <v>4672</v>
      </c>
      <c r="T3826" s="22">
        <f t="shared" si="328"/>
        <v>12</v>
      </c>
      <c r="U3826" s="22">
        <f t="shared" si="329"/>
        <v>2021</v>
      </c>
      <c r="V3826" s="22" t="str">
        <f t="shared" si="330"/>
        <v>METROPOLITANA</v>
      </c>
    </row>
    <row r="3827" spans="1:22" x14ac:dyDescent="0.2">
      <c r="A3827" s="11" t="s">
        <v>4668</v>
      </c>
      <c r="B3827" s="12" t="s">
        <v>33</v>
      </c>
      <c r="C3827" s="12" t="s">
        <v>36</v>
      </c>
      <c r="D3827" s="12" t="s">
        <v>37</v>
      </c>
      <c r="E3827" s="13" t="s">
        <v>40</v>
      </c>
      <c r="F3827" s="12" t="s">
        <v>67</v>
      </c>
      <c r="G3827" s="14">
        <v>3325.6000000000008</v>
      </c>
      <c r="H3827" s="12" t="s">
        <v>22</v>
      </c>
      <c r="I3827" s="12">
        <v>0</v>
      </c>
      <c r="J3827" s="12" t="s">
        <v>67</v>
      </c>
      <c r="K3827" s="12" t="s">
        <v>23</v>
      </c>
      <c r="L3827" s="12">
        <v>2</v>
      </c>
      <c r="M3827" s="15">
        <v>55000</v>
      </c>
      <c r="N3827" s="15">
        <v>0</v>
      </c>
      <c r="O3827" s="15">
        <f t="shared" si="331"/>
        <v>55000</v>
      </c>
      <c r="P3827" s="15">
        <f t="shared" si="332"/>
        <v>16.53836901611739</v>
      </c>
      <c r="Q3827" s="14">
        <v>5000</v>
      </c>
      <c r="R3827" s="12">
        <v>67</v>
      </c>
      <c r="S3827" s="12" t="s">
        <v>4673</v>
      </c>
      <c r="T3827" s="22">
        <f t="shared" si="328"/>
        <v>12</v>
      </c>
      <c r="U3827" s="22">
        <f t="shared" si="329"/>
        <v>2021</v>
      </c>
      <c r="V3827" s="22" t="str">
        <f t="shared" si="330"/>
        <v>METROPOLITANA</v>
      </c>
    </row>
    <row r="3828" spans="1:22" x14ac:dyDescent="0.2">
      <c r="A3828" s="11" t="s">
        <v>4668</v>
      </c>
      <c r="B3828" s="12" t="s">
        <v>33</v>
      </c>
      <c r="C3828" s="12" t="s">
        <v>44</v>
      </c>
      <c r="D3828" s="12" t="s">
        <v>2262</v>
      </c>
      <c r="E3828" s="13" t="s">
        <v>83</v>
      </c>
      <c r="F3828" s="12" t="s">
        <v>132</v>
      </c>
      <c r="G3828" s="14">
        <v>8244.0000000000036</v>
      </c>
      <c r="H3828" s="12" t="s">
        <v>24</v>
      </c>
      <c r="I3828" s="12">
        <v>1</v>
      </c>
      <c r="J3828" s="12" t="s">
        <v>132</v>
      </c>
      <c r="K3828" s="12" t="s">
        <v>124</v>
      </c>
      <c r="L3828" s="12">
        <v>0</v>
      </c>
      <c r="M3828" s="15">
        <v>400000</v>
      </c>
      <c r="N3828" s="15">
        <v>0</v>
      </c>
      <c r="O3828" s="15">
        <f t="shared" si="331"/>
        <v>400000</v>
      </c>
      <c r="P3828" s="15">
        <f t="shared" si="332"/>
        <v>48.520135856380378</v>
      </c>
      <c r="Q3828" s="14">
        <v>20000</v>
      </c>
      <c r="R3828" s="12">
        <v>41</v>
      </c>
      <c r="S3828" s="12" t="s">
        <v>4674</v>
      </c>
      <c r="T3828" s="22">
        <f t="shared" si="328"/>
        <v>12</v>
      </c>
      <c r="U3828" s="22">
        <f t="shared" si="329"/>
        <v>2021</v>
      </c>
      <c r="V3828" s="22" t="str">
        <f t="shared" si="330"/>
        <v>REGIONES</v>
      </c>
    </row>
    <row r="3829" spans="1:22" x14ac:dyDescent="0.2">
      <c r="A3829" s="11" t="s">
        <v>4668</v>
      </c>
      <c r="B3829" s="12" t="s">
        <v>33</v>
      </c>
      <c r="C3829" s="12" t="s">
        <v>44</v>
      </c>
      <c r="D3829" s="12" t="s">
        <v>63</v>
      </c>
      <c r="E3829" s="13" t="s">
        <v>64</v>
      </c>
      <c r="F3829" s="12" t="s">
        <v>182</v>
      </c>
      <c r="G3829" s="14">
        <v>4602.8</v>
      </c>
      <c r="H3829" s="12" t="s">
        <v>65</v>
      </c>
      <c r="I3829" s="12">
        <v>0</v>
      </c>
      <c r="J3829" s="12" t="s">
        <v>182</v>
      </c>
      <c r="K3829" s="12" t="s">
        <v>23</v>
      </c>
      <c r="L3829" s="12">
        <v>4</v>
      </c>
      <c r="M3829" s="15">
        <v>55000</v>
      </c>
      <c r="N3829" s="15">
        <v>0</v>
      </c>
      <c r="O3829" s="15">
        <f t="shared" si="331"/>
        <v>55000</v>
      </c>
      <c r="P3829" s="15">
        <f t="shared" si="332"/>
        <v>11.949248283653429</v>
      </c>
      <c r="Q3829" s="14">
        <v>5000</v>
      </c>
      <c r="R3829" s="12">
        <v>92</v>
      </c>
      <c r="S3829" s="12" t="s">
        <v>4675</v>
      </c>
      <c r="T3829" s="22">
        <f t="shared" si="328"/>
        <v>12</v>
      </c>
      <c r="U3829" s="22">
        <f t="shared" si="329"/>
        <v>2021</v>
      </c>
      <c r="V3829" s="22" t="str">
        <f t="shared" si="330"/>
        <v>METROPOLITANA</v>
      </c>
    </row>
    <row r="3830" spans="1:22" x14ac:dyDescent="0.2">
      <c r="A3830" s="11" t="s">
        <v>4668</v>
      </c>
      <c r="B3830" s="12" t="s">
        <v>33</v>
      </c>
      <c r="C3830" s="12" t="s">
        <v>44</v>
      </c>
      <c r="D3830" s="12" t="s">
        <v>45</v>
      </c>
      <c r="E3830" s="13" t="s">
        <v>52</v>
      </c>
      <c r="F3830" s="12" t="s">
        <v>95</v>
      </c>
      <c r="G3830" s="14">
        <v>4968.5999999999995</v>
      </c>
      <c r="H3830" s="12" t="s">
        <v>22</v>
      </c>
      <c r="I3830" s="12">
        <v>0</v>
      </c>
      <c r="J3830" s="12" t="s">
        <v>95</v>
      </c>
      <c r="K3830" s="12" t="s">
        <v>23</v>
      </c>
      <c r="L3830" s="12">
        <v>4</v>
      </c>
      <c r="M3830" s="15">
        <v>55000</v>
      </c>
      <c r="N3830" s="15">
        <v>0</v>
      </c>
      <c r="O3830" s="15">
        <f t="shared" si="331"/>
        <v>55000</v>
      </c>
      <c r="P3830" s="15">
        <f t="shared" si="332"/>
        <v>11.069516564022059</v>
      </c>
      <c r="Q3830" s="14">
        <v>5000</v>
      </c>
      <c r="R3830" s="12">
        <v>99</v>
      </c>
      <c r="S3830" s="12" t="s">
        <v>4676</v>
      </c>
      <c r="T3830" s="22">
        <f t="shared" si="328"/>
        <v>12</v>
      </c>
      <c r="U3830" s="22">
        <f t="shared" si="329"/>
        <v>2021</v>
      </c>
      <c r="V3830" s="22" t="str">
        <f t="shared" si="330"/>
        <v>METROPOLITANA</v>
      </c>
    </row>
    <row r="3831" spans="1:22" x14ac:dyDescent="0.2">
      <c r="A3831" s="11" t="s">
        <v>4668</v>
      </c>
      <c r="B3831" s="12" t="s">
        <v>33</v>
      </c>
      <c r="C3831" s="12" t="s">
        <v>44</v>
      </c>
      <c r="D3831" s="12" t="s">
        <v>47</v>
      </c>
      <c r="E3831" s="13" t="s">
        <v>1576</v>
      </c>
      <c r="F3831" s="12" t="s">
        <v>134</v>
      </c>
      <c r="G3831" s="14">
        <v>7501.5999999999976</v>
      </c>
      <c r="H3831" s="12" t="s">
        <v>22</v>
      </c>
      <c r="I3831" s="12">
        <v>0</v>
      </c>
      <c r="J3831" s="12" t="s">
        <v>134</v>
      </c>
      <c r="K3831" s="12" t="s">
        <v>23</v>
      </c>
      <c r="L3831" s="12">
        <v>2</v>
      </c>
      <c r="M3831" s="15">
        <v>82518</v>
      </c>
      <c r="N3831" s="15">
        <v>0</v>
      </c>
      <c r="O3831" s="15">
        <f t="shared" si="331"/>
        <v>82518</v>
      </c>
      <c r="P3831" s="15">
        <f t="shared" si="332"/>
        <v>11.000053321957985</v>
      </c>
      <c r="Q3831" s="14">
        <v>5000</v>
      </c>
      <c r="R3831" s="12">
        <v>100</v>
      </c>
      <c r="S3831" s="12" t="s">
        <v>4677</v>
      </c>
      <c r="T3831" s="22">
        <f t="shared" si="328"/>
        <v>12</v>
      </c>
      <c r="U3831" s="22">
        <f t="shared" si="329"/>
        <v>2021</v>
      </c>
      <c r="V3831" s="22" t="str">
        <f t="shared" si="330"/>
        <v>METROPOLITANA</v>
      </c>
    </row>
    <row r="3832" spans="1:22" x14ac:dyDescent="0.2">
      <c r="A3832" s="11" t="s">
        <v>4668</v>
      </c>
      <c r="B3832" s="12" t="s">
        <v>33</v>
      </c>
      <c r="C3832" s="12" t="s">
        <v>44</v>
      </c>
      <c r="D3832" s="12" t="s">
        <v>867</v>
      </c>
      <c r="E3832" s="13" t="s">
        <v>868</v>
      </c>
      <c r="F3832" s="12" t="s">
        <v>3438</v>
      </c>
      <c r="G3832" s="14">
        <v>14202.399999999991</v>
      </c>
      <c r="H3832" s="12" t="s">
        <v>85</v>
      </c>
      <c r="I3832" s="12">
        <v>1</v>
      </c>
      <c r="J3832" s="12" t="s">
        <v>3438</v>
      </c>
      <c r="K3832" s="12" t="s">
        <v>93</v>
      </c>
      <c r="L3832" s="12">
        <v>0</v>
      </c>
      <c r="M3832" s="15">
        <v>800000</v>
      </c>
      <c r="N3832" s="15">
        <v>0</v>
      </c>
      <c r="O3832" s="15">
        <f t="shared" si="331"/>
        <v>800000</v>
      </c>
      <c r="P3832" s="15">
        <f t="shared" si="332"/>
        <v>56.328507857826885</v>
      </c>
      <c r="Q3832" s="14">
        <v>20000</v>
      </c>
      <c r="R3832" s="12">
        <v>71</v>
      </c>
      <c r="S3832" s="12" t="s">
        <v>4678</v>
      </c>
      <c r="T3832" s="22">
        <f t="shared" si="328"/>
        <v>12</v>
      </c>
      <c r="U3832" s="22">
        <f t="shared" si="329"/>
        <v>2021</v>
      </c>
      <c r="V3832" s="22" t="str">
        <f t="shared" si="330"/>
        <v>REGIONES</v>
      </c>
    </row>
    <row r="3833" spans="1:22" x14ac:dyDescent="0.2">
      <c r="A3833" s="23" t="s">
        <v>4679</v>
      </c>
      <c r="B3833" s="22" t="s">
        <v>33</v>
      </c>
      <c r="C3833" s="22" t="s">
        <v>163</v>
      </c>
      <c r="D3833" s="22" t="s">
        <v>37</v>
      </c>
      <c r="E3833" s="24" t="s">
        <v>40</v>
      </c>
      <c r="F3833" s="22" t="s">
        <v>165</v>
      </c>
      <c r="G3833" s="25">
        <v>9721.5999999999967</v>
      </c>
      <c r="H3833" s="22" t="s">
        <v>22</v>
      </c>
      <c r="I3833" s="22">
        <v>0</v>
      </c>
      <c r="J3833" s="22" t="s">
        <v>165</v>
      </c>
      <c r="K3833" s="22" t="s">
        <v>23</v>
      </c>
      <c r="L3833" s="22">
        <v>4</v>
      </c>
      <c r="M3833" s="26">
        <v>106938</v>
      </c>
      <c r="N3833" s="26">
        <v>0</v>
      </c>
      <c r="O3833" s="15">
        <f t="shared" si="331"/>
        <v>106938</v>
      </c>
      <c r="P3833" s="15">
        <f t="shared" si="332"/>
        <v>11.000041145490458</v>
      </c>
      <c r="Q3833" s="25">
        <v>5000</v>
      </c>
      <c r="R3833" s="22">
        <v>100</v>
      </c>
      <c r="S3833" s="22" t="s">
        <v>4680</v>
      </c>
      <c r="T3833" s="22">
        <f t="shared" si="328"/>
        <v>12</v>
      </c>
      <c r="U3833" s="22">
        <f t="shared" si="329"/>
        <v>2021</v>
      </c>
      <c r="V3833" s="22" t="str">
        <f t="shared" si="330"/>
        <v>METROPOLITANA</v>
      </c>
    </row>
    <row r="3834" spans="1:22" x14ac:dyDescent="0.2">
      <c r="A3834" s="23" t="s">
        <v>4679</v>
      </c>
      <c r="B3834" s="22" t="s">
        <v>33</v>
      </c>
      <c r="C3834" s="22" t="s">
        <v>163</v>
      </c>
      <c r="D3834" s="22" t="s">
        <v>30</v>
      </c>
      <c r="E3834" s="24" t="s">
        <v>4681</v>
      </c>
      <c r="F3834" s="22" t="s">
        <v>165</v>
      </c>
      <c r="G3834" s="25">
        <v>9721.5999999999967</v>
      </c>
      <c r="H3834" s="22" t="s">
        <v>32</v>
      </c>
      <c r="I3834" s="22">
        <v>0</v>
      </c>
      <c r="J3834" s="22" t="s">
        <v>165</v>
      </c>
      <c r="K3834" s="22" t="s">
        <v>23</v>
      </c>
      <c r="L3834" s="22">
        <v>4</v>
      </c>
      <c r="M3834" s="26">
        <v>106938</v>
      </c>
      <c r="N3834" s="26">
        <v>0</v>
      </c>
      <c r="O3834" s="15">
        <f t="shared" si="331"/>
        <v>106938</v>
      </c>
      <c r="P3834" s="15">
        <f t="shared" si="332"/>
        <v>11.000041145490458</v>
      </c>
      <c r="Q3834" s="25">
        <v>5000</v>
      </c>
      <c r="R3834" s="22">
        <v>100</v>
      </c>
      <c r="S3834" s="22" t="s">
        <v>4682</v>
      </c>
      <c r="T3834" s="22">
        <f t="shared" si="328"/>
        <v>12</v>
      </c>
      <c r="U3834" s="22">
        <f t="shared" si="329"/>
        <v>2021</v>
      </c>
      <c r="V3834" s="22" t="str">
        <f t="shared" si="330"/>
        <v>METROPOLITANA</v>
      </c>
    </row>
    <row r="3835" spans="1:22" x14ac:dyDescent="0.2">
      <c r="A3835" s="23" t="s">
        <v>4679</v>
      </c>
      <c r="B3835" s="22" t="s">
        <v>33</v>
      </c>
      <c r="C3835" s="22" t="s">
        <v>87</v>
      </c>
      <c r="D3835" s="22" t="s">
        <v>38</v>
      </c>
      <c r="E3835" s="24" t="s">
        <v>42</v>
      </c>
      <c r="F3835" s="22" t="s">
        <v>51</v>
      </c>
      <c r="G3835" s="25">
        <v>8502</v>
      </c>
      <c r="H3835" s="22" t="s">
        <v>43</v>
      </c>
      <c r="I3835" s="22">
        <v>0</v>
      </c>
      <c r="J3835" s="22" t="s">
        <v>51</v>
      </c>
      <c r="K3835" s="22" t="s">
        <v>23</v>
      </c>
      <c r="L3835" s="22">
        <v>4</v>
      </c>
      <c r="M3835" s="26">
        <v>93522</v>
      </c>
      <c r="N3835" s="26">
        <v>0</v>
      </c>
      <c r="O3835" s="15">
        <f t="shared" si="331"/>
        <v>93522</v>
      </c>
      <c r="P3835" s="15">
        <f t="shared" si="332"/>
        <v>11</v>
      </c>
      <c r="Q3835" s="25">
        <v>5000</v>
      </c>
      <c r="R3835" s="22">
        <v>100</v>
      </c>
      <c r="S3835" s="22" t="s">
        <v>4683</v>
      </c>
      <c r="T3835" s="22">
        <f t="shared" si="328"/>
        <v>12</v>
      </c>
      <c r="U3835" s="22">
        <f t="shared" si="329"/>
        <v>2021</v>
      </c>
      <c r="V3835" s="22" t="str">
        <f t="shared" si="330"/>
        <v>METROPOLITANA</v>
      </c>
    </row>
    <row r="3836" spans="1:22" x14ac:dyDescent="0.2">
      <c r="A3836" s="11" t="s">
        <v>4684</v>
      </c>
      <c r="B3836" s="12" t="s">
        <v>18</v>
      </c>
      <c r="C3836" s="12" t="s">
        <v>57</v>
      </c>
      <c r="D3836" s="12" t="s">
        <v>37</v>
      </c>
      <c r="E3836" s="13" t="s">
        <v>40</v>
      </c>
      <c r="F3836" s="12" t="s">
        <v>800</v>
      </c>
      <c r="G3836" s="14">
        <v>5885.7599999999984</v>
      </c>
      <c r="H3836" s="12" t="s">
        <v>22</v>
      </c>
      <c r="I3836" s="12">
        <v>0</v>
      </c>
      <c r="J3836" s="12" t="s">
        <v>800</v>
      </c>
      <c r="K3836" s="12" t="s">
        <v>23</v>
      </c>
      <c r="L3836" s="12">
        <v>5</v>
      </c>
      <c r="M3836" s="15">
        <v>90000</v>
      </c>
      <c r="N3836" s="15">
        <v>0</v>
      </c>
      <c r="O3836" s="15">
        <f t="shared" si="331"/>
        <v>90000</v>
      </c>
      <c r="P3836" s="15">
        <f t="shared" si="332"/>
        <v>15.291143369760238</v>
      </c>
      <c r="Q3836" s="14">
        <v>10000</v>
      </c>
      <c r="R3836" s="12">
        <v>59</v>
      </c>
      <c r="S3836" s="12" t="s">
        <v>4685</v>
      </c>
      <c r="T3836" s="22">
        <f t="shared" si="328"/>
        <v>1</v>
      </c>
      <c r="U3836" s="22">
        <f t="shared" si="329"/>
        <v>2022</v>
      </c>
      <c r="V3836" s="22" t="str">
        <f t="shared" si="330"/>
        <v>METROPOLITANA</v>
      </c>
    </row>
    <row r="3837" spans="1:22" x14ac:dyDescent="0.2">
      <c r="A3837" s="11" t="s">
        <v>4684</v>
      </c>
      <c r="B3837" s="12" t="s">
        <v>18</v>
      </c>
      <c r="C3837" s="12" t="s">
        <v>19</v>
      </c>
      <c r="D3837" s="12" t="s">
        <v>191</v>
      </c>
      <c r="E3837" s="13" t="s">
        <v>192</v>
      </c>
      <c r="F3837" s="12" t="s">
        <v>92</v>
      </c>
      <c r="G3837" s="14">
        <v>16641.2</v>
      </c>
      <c r="H3837" s="12" t="s">
        <v>85</v>
      </c>
      <c r="I3837" s="12">
        <v>1</v>
      </c>
      <c r="J3837" s="12" t="s">
        <v>92</v>
      </c>
      <c r="K3837" s="12" t="s">
        <v>93</v>
      </c>
      <c r="L3837" s="12">
        <v>0</v>
      </c>
      <c r="M3837" s="15">
        <v>665000</v>
      </c>
      <c r="N3837" s="15">
        <v>0</v>
      </c>
      <c r="O3837" s="15">
        <f t="shared" si="331"/>
        <v>665000</v>
      </c>
      <c r="P3837" s="15">
        <f t="shared" si="332"/>
        <v>39.961060500444681</v>
      </c>
      <c r="Q3837" s="14">
        <v>20000</v>
      </c>
      <c r="R3837" s="12">
        <v>83</v>
      </c>
      <c r="S3837" s="12" t="s">
        <v>4686</v>
      </c>
      <c r="T3837" s="22">
        <f t="shared" si="328"/>
        <v>1</v>
      </c>
      <c r="U3837" s="22">
        <f t="shared" si="329"/>
        <v>2022</v>
      </c>
      <c r="V3837" s="22" t="str">
        <f t="shared" si="330"/>
        <v>REGIONES</v>
      </c>
    </row>
    <row r="3838" spans="1:22" x14ac:dyDescent="0.2">
      <c r="A3838" s="11" t="s">
        <v>4684</v>
      </c>
      <c r="B3838" s="12" t="s">
        <v>33</v>
      </c>
      <c r="C3838" s="12" t="s">
        <v>223</v>
      </c>
      <c r="D3838" s="12" t="s">
        <v>4247</v>
      </c>
      <c r="E3838" s="13" t="s">
        <v>62</v>
      </c>
      <c r="F3838" s="12" t="s">
        <v>92</v>
      </c>
      <c r="G3838" s="14">
        <v>8244.0000000000036</v>
      </c>
      <c r="H3838" s="12" t="s">
        <v>24</v>
      </c>
      <c r="I3838" s="12">
        <v>1</v>
      </c>
      <c r="J3838" s="12" t="s">
        <v>92</v>
      </c>
      <c r="K3838" s="12" t="s">
        <v>93</v>
      </c>
      <c r="L3838" s="12">
        <v>0</v>
      </c>
      <c r="M3838" s="15">
        <v>665000</v>
      </c>
      <c r="N3838" s="15">
        <v>0</v>
      </c>
      <c r="O3838" s="15">
        <f t="shared" si="331"/>
        <v>665000</v>
      </c>
      <c r="P3838" s="15">
        <f t="shared" si="332"/>
        <v>80.66472586123237</v>
      </c>
      <c r="Q3838" s="14">
        <v>20000</v>
      </c>
      <c r="R3838" s="12">
        <v>41</v>
      </c>
      <c r="S3838" s="12" t="s">
        <v>4687</v>
      </c>
      <c r="T3838" s="22">
        <f t="shared" si="328"/>
        <v>1</v>
      </c>
      <c r="U3838" s="22">
        <f t="shared" si="329"/>
        <v>2022</v>
      </c>
      <c r="V3838" s="22" t="str">
        <f t="shared" si="330"/>
        <v>REGIONES</v>
      </c>
    </row>
    <row r="3839" spans="1:22" x14ac:dyDescent="0.2">
      <c r="A3839" s="11" t="s">
        <v>4684</v>
      </c>
      <c r="B3839" s="12" t="s">
        <v>33</v>
      </c>
      <c r="C3839" s="12" t="s">
        <v>29</v>
      </c>
      <c r="D3839" s="12" t="s">
        <v>38</v>
      </c>
      <c r="E3839" s="13" t="s">
        <v>25</v>
      </c>
      <c r="F3839" s="12" t="s">
        <v>39</v>
      </c>
      <c r="G3839" s="14">
        <v>2198.4</v>
      </c>
      <c r="H3839" s="12" t="s">
        <v>43</v>
      </c>
      <c r="I3839" s="12">
        <v>0</v>
      </c>
      <c r="J3839" s="12" t="s">
        <v>39</v>
      </c>
      <c r="K3839" s="12" t="s">
        <v>23</v>
      </c>
      <c r="L3839" s="12">
        <v>1</v>
      </c>
      <c r="M3839" s="15">
        <v>55000</v>
      </c>
      <c r="N3839" s="15">
        <v>0</v>
      </c>
      <c r="O3839" s="15">
        <f t="shared" si="331"/>
        <v>55000</v>
      </c>
      <c r="P3839" s="15">
        <f t="shared" si="332"/>
        <v>25.01819505094614</v>
      </c>
      <c r="Q3839" s="14">
        <v>5000</v>
      </c>
      <c r="R3839" s="12">
        <v>44</v>
      </c>
      <c r="S3839" s="12" t="s">
        <v>4688</v>
      </c>
      <c r="T3839" s="22">
        <f t="shared" si="328"/>
        <v>1</v>
      </c>
      <c r="U3839" s="22">
        <f t="shared" si="329"/>
        <v>2022</v>
      </c>
      <c r="V3839" s="22" t="str">
        <f t="shared" si="330"/>
        <v>METROPOLITANA</v>
      </c>
    </row>
    <row r="3840" spans="1:22" x14ac:dyDescent="0.2">
      <c r="A3840" s="11" t="s">
        <v>4684</v>
      </c>
      <c r="B3840" s="12" t="s">
        <v>33</v>
      </c>
      <c r="C3840" s="12" t="s">
        <v>29</v>
      </c>
      <c r="D3840" s="12" t="s">
        <v>30</v>
      </c>
      <c r="E3840" s="13" t="s">
        <v>31</v>
      </c>
      <c r="F3840" s="12" t="s">
        <v>39</v>
      </c>
      <c r="G3840" s="14">
        <v>2748</v>
      </c>
      <c r="H3840" s="12" t="s">
        <v>32</v>
      </c>
      <c r="I3840" s="12">
        <v>0</v>
      </c>
      <c r="J3840" s="12" t="s">
        <v>39</v>
      </c>
      <c r="K3840" s="12" t="s">
        <v>23</v>
      </c>
      <c r="L3840" s="12">
        <v>1</v>
      </c>
      <c r="M3840" s="15">
        <v>55000</v>
      </c>
      <c r="N3840" s="15">
        <v>0</v>
      </c>
      <c r="O3840" s="15">
        <f t="shared" si="331"/>
        <v>55000</v>
      </c>
      <c r="P3840" s="15">
        <f t="shared" si="332"/>
        <v>20.014556040756915</v>
      </c>
      <c r="Q3840" s="14">
        <v>5000</v>
      </c>
      <c r="R3840" s="12">
        <v>55</v>
      </c>
      <c r="S3840" s="12" t="s">
        <v>4689</v>
      </c>
      <c r="T3840" s="22">
        <f t="shared" si="328"/>
        <v>1</v>
      </c>
      <c r="U3840" s="22">
        <f t="shared" si="329"/>
        <v>2022</v>
      </c>
      <c r="V3840" s="22" t="str">
        <f t="shared" si="330"/>
        <v>METROPOLITANA</v>
      </c>
    </row>
    <row r="3841" spans="1:22" x14ac:dyDescent="0.2">
      <c r="A3841" s="11" t="s">
        <v>4684</v>
      </c>
      <c r="B3841" s="12" t="s">
        <v>33</v>
      </c>
      <c r="C3841" s="12" t="s">
        <v>29</v>
      </c>
      <c r="D3841" s="12" t="s">
        <v>164</v>
      </c>
      <c r="E3841" s="13" t="s">
        <v>1576</v>
      </c>
      <c r="F3841" s="12" t="s">
        <v>39</v>
      </c>
      <c r="G3841" s="14">
        <v>7419.6000000000022</v>
      </c>
      <c r="H3841" s="12" t="s">
        <v>22</v>
      </c>
      <c r="I3841" s="12">
        <v>1</v>
      </c>
      <c r="J3841" s="12" t="s">
        <v>39</v>
      </c>
      <c r="K3841" s="12" t="s">
        <v>23</v>
      </c>
      <c r="L3841" s="12">
        <v>1</v>
      </c>
      <c r="M3841" s="15">
        <v>81616</v>
      </c>
      <c r="N3841" s="15">
        <v>0</v>
      </c>
      <c r="O3841" s="15">
        <f t="shared" si="331"/>
        <v>81616</v>
      </c>
      <c r="P3841" s="15">
        <f t="shared" si="332"/>
        <v>11.000053911262059</v>
      </c>
      <c r="Q3841" s="14">
        <v>5000</v>
      </c>
      <c r="R3841" s="12">
        <v>100</v>
      </c>
      <c r="S3841" s="12" t="s">
        <v>4690</v>
      </c>
      <c r="T3841" s="22">
        <f t="shared" si="328"/>
        <v>1</v>
      </c>
      <c r="U3841" s="22">
        <f t="shared" si="329"/>
        <v>2022</v>
      </c>
      <c r="V3841" s="22" t="str">
        <f t="shared" si="330"/>
        <v>METROPOLITANA</v>
      </c>
    </row>
    <row r="3842" spans="1:22" x14ac:dyDescent="0.2">
      <c r="A3842" s="11" t="s">
        <v>4684</v>
      </c>
      <c r="B3842" s="12" t="s">
        <v>33</v>
      </c>
      <c r="C3842" s="12" t="s">
        <v>44</v>
      </c>
      <c r="D3842" s="12" t="s">
        <v>45</v>
      </c>
      <c r="E3842" s="13" t="s">
        <v>52</v>
      </c>
      <c r="F3842" s="12" t="s">
        <v>26</v>
      </c>
      <c r="G3842" s="14">
        <v>5693.3199999999988</v>
      </c>
      <c r="H3842" s="12" t="s">
        <v>22</v>
      </c>
      <c r="I3842" s="12">
        <v>0</v>
      </c>
      <c r="J3842" s="12" t="s">
        <v>26</v>
      </c>
      <c r="K3842" s="12" t="s">
        <v>23</v>
      </c>
      <c r="L3842" s="12">
        <v>4</v>
      </c>
      <c r="M3842" s="15">
        <v>62627</v>
      </c>
      <c r="N3842" s="15">
        <v>0</v>
      </c>
      <c r="O3842" s="15">
        <f t="shared" si="331"/>
        <v>62627</v>
      </c>
      <c r="P3842" s="15">
        <f t="shared" si="332"/>
        <v>11.000084309330937</v>
      </c>
      <c r="Q3842" s="14">
        <v>5000</v>
      </c>
      <c r="R3842" s="12">
        <v>100</v>
      </c>
      <c r="S3842" s="12" t="s">
        <v>4691</v>
      </c>
      <c r="T3842" s="22">
        <f t="shared" si="328"/>
        <v>1</v>
      </c>
      <c r="U3842" s="22">
        <f t="shared" si="329"/>
        <v>2022</v>
      </c>
      <c r="V3842" s="22" t="str">
        <f t="shared" si="330"/>
        <v>METROPOLITANA</v>
      </c>
    </row>
    <row r="3843" spans="1:22" x14ac:dyDescent="0.2">
      <c r="A3843" s="11" t="s">
        <v>4684</v>
      </c>
      <c r="B3843" s="12" t="s">
        <v>33</v>
      </c>
      <c r="C3843" s="12" t="s">
        <v>44</v>
      </c>
      <c r="D3843" s="12" t="s">
        <v>47</v>
      </c>
      <c r="E3843" s="13" t="s">
        <v>21</v>
      </c>
      <c r="F3843" s="12" t="s">
        <v>48</v>
      </c>
      <c r="G3843" s="14">
        <v>7437.46</v>
      </c>
      <c r="H3843" s="12" t="s">
        <v>22</v>
      </c>
      <c r="I3843" s="12">
        <v>0</v>
      </c>
      <c r="J3843" s="12" t="s">
        <v>48</v>
      </c>
      <c r="K3843" s="12" t="s">
        <v>23</v>
      </c>
      <c r="L3843" s="12">
        <v>1</v>
      </c>
      <c r="M3843" s="15">
        <v>81812</v>
      </c>
      <c r="N3843" s="15">
        <v>0</v>
      </c>
      <c r="O3843" s="15">
        <f t="shared" si="331"/>
        <v>81812</v>
      </c>
      <c r="P3843" s="15">
        <f t="shared" si="332"/>
        <v>10.999991932729722</v>
      </c>
      <c r="Q3843" s="14">
        <v>5000</v>
      </c>
      <c r="R3843" s="12">
        <v>100</v>
      </c>
      <c r="S3843" s="12" t="s">
        <v>4692</v>
      </c>
      <c r="T3843" s="22">
        <f t="shared" si="328"/>
        <v>1</v>
      </c>
      <c r="U3843" s="22">
        <f t="shared" si="329"/>
        <v>2022</v>
      </c>
      <c r="V3843" s="22" t="str">
        <f t="shared" si="330"/>
        <v>METROPOLITANA</v>
      </c>
    </row>
    <row r="3844" spans="1:22" x14ac:dyDescent="0.2">
      <c r="A3844" s="23" t="s">
        <v>4693</v>
      </c>
      <c r="B3844" s="22" t="s">
        <v>18</v>
      </c>
      <c r="C3844" s="22" t="s">
        <v>19</v>
      </c>
      <c r="D3844" s="22" t="s">
        <v>2262</v>
      </c>
      <c r="E3844" s="24" t="s">
        <v>83</v>
      </c>
      <c r="F3844" s="22" t="s">
        <v>92</v>
      </c>
      <c r="G3844" s="25">
        <v>15693.829999999991</v>
      </c>
      <c r="H3844" s="22" t="s">
        <v>24</v>
      </c>
      <c r="I3844" s="22">
        <v>1</v>
      </c>
      <c r="J3844" s="22" t="s">
        <v>92</v>
      </c>
      <c r="K3844" s="22" t="s">
        <v>93</v>
      </c>
      <c r="L3844" s="22">
        <v>0</v>
      </c>
      <c r="M3844" s="26">
        <v>665000</v>
      </c>
      <c r="N3844" s="26">
        <v>0</v>
      </c>
      <c r="O3844" s="15">
        <f t="shared" si="331"/>
        <v>665000</v>
      </c>
      <c r="P3844" s="15">
        <f t="shared" si="332"/>
        <v>42.373340350953235</v>
      </c>
      <c r="Q3844" s="25">
        <v>20000</v>
      </c>
      <c r="R3844" s="22">
        <v>78</v>
      </c>
      <c r="S3844" s="22" t="s">
        <v>4694</v>
      </c>
      <c r="T3844" s="22">
        <f t="shared" si="328"/>
        <v>1</v>
      </c>
      <c r="U3844" s="22">
        <f t="shared" si="329"/>
        <v>2022</v>
      </c>
      <c r="V3844" s="22" t="str">
        <f t="shared" si="330"/>
        <v>REGIONES</v>
      </c>
    </row>
    <row r="3845" spans="1:22" x14ac:dyDescent="0.2">
      <c r="A3845" s="23" t="s">
        <v>4693</v>
      </c>
      <c r="B3845" s="22" t="s">
        <v>18</v>
      </c>
      <c r="C3845" s="22" t="s">
        <v>4400</v>
      </c>
      <c r="D3845" s="22" t="s">
        <v>41</v>
      </c>
      <c r="E3845" s="24" t="s">
        <v>25</v>
      </c>
      <c r="F3845" s="22" t="s">
        <v>452</v>
      </c>
      <c r="G3845" s="25">
        <v>5990.82</v>
      </c>
      <c r="H3845" s="22" t="s">
        <v>43</v>
      </c>
      <c r="I3845" s="22">
        <v>0</v>
      </c>
      <c r="J3845" s="22" t="s">
        <v>452</v>
      </c>
      <c r="K3845" s="22" t="s">
        <v>171</v>
      </c>
      <c r="L3845" s="22">
        <v>0</v>
      </c>
      <c r="M3845" s="26">
        <v>230000</v>
      </c>
      <c r="N3845" s="26">
        <v>0</v>
      </c>
      <c r="O3845" s="15">
        <f t="shared" si="331"/>
        <v>230000</v>
      </c>
      <c r="P3845" s="15">
        <f t="shared" si="332"/>
        <v>38.392073205337503</v>
      </c>
      <c r="Q3845" s="25">
        <v>20000</v>
      </c>
      <c r="R3845" s="22">
        <v>30</v>
      </c>
      <c r="S3845" s="22" t="s">
        <v>4695</v>
      </c>
      <c r="T3845" s="22">
        <f t="shared" si="328"/>
        <v>1</v>
      </c>
      <c r="U3845" s="22">
        <f t="shared" si="329"/>
        <v>2022</v>
      </c>
      <c r="V3845" s="22" t="str">
        <f t="shared" si="330"/>
        <v>REGIONES</v>
      </c>
    </row>
    <row r="3846" spans="1:22" x14ac:dyDescent="0.2">
      <c r="A3846" s="23" t="s">
        <v>4693</v>
      </c>
      <c r="B3846" s="22" t="s">
        <v>33</v>
      </c>
      <c r="C3846" s="22" t="s">
        <v>270</v>
      </c>
      <c r="D3846" s="22" t="s">
        <v>47</v>
      </c>
      <c r="E3846" s="24" t="s">
        <v>1576</v>
      </c>
      <c r="F3846" s="22" t="s">
        <v>120</v>
      </c>
      <c r="G3846" s="25">
        <v>7963.5000000000027</v>
      </c>
      <c r="H3846" s="22" t="s">
        <v>22</v>
      </c>
      <c r="I3846" s="22">
        <v>0</v>
      </c>
      <c r="J3846" s="22" t="s">
        <v>120</v>
      </c>
      <c r="K3846" s="22" t="s">
        <v>23</v>
      </c>
      <c r="L3846" s="22">
        <v>5</v>
      </c>
      <c r="M3846" s="26">
        <v>70000</v>
      </c>
      <c r="N3846" s="26">
        <v>0</v>
      </c>
      <c r="O3846" s="15">
        <f t="shared" si="331"/>
        <v>70000</v>
      </c>
      <c r="P3846" s="15">
        <f t="shared" si="332"/>
        <v>8.7901048533936059</v>
      </c>
      <c r="Q3846" s="25">
        <v>10000</v>
      </c>
      <c r="R3846" s="22">
        <v>80</v>
      </c>
      <c r="S3846" s="22" t="s">
        <v>4696</v>
      </c>
      <c r="T3846" s="22">
        <f t="shared" si="328"/>
        <v>1</v>
      </c>
      <c r="U3846" s="22">
        <f t="shared" si="329"/>
        <v>2022</v>
      </c>
      <c r="V3846" s="22" t="str">
        <f t="shared" si="330"/>
        <v>METROPOLITANA</v>
      </c>
    </row>
    <row r="3847" spans="1:22" x14ac:dyDescent="0.2">
      <c r="A3847" s="23" t="s">
        <v>4693</v>
      </c>
      <c r="B3847" s="22" t="s">
        <v>33</v>
      </c>
      <c r="C3847" s="22" t="s">
        <v>163</v>
      </c>
      <c r="D3847" s="22" t="s">
        <v>37</v>
      </c>
      <c r="E3847" s="24" t="s">
        <v>40</v>
      </c>
      <c r="F3847" s="22" t="s">
        <v>165</v>
      </c>
      <c r="G3847" s="25">
        <v>8332.7999999999975</v>
      </c>
      <c r="H3847" s="22" t="s">
        <v>22</v>
      </c>
      <c r="I3847" s="22">
        <v>0</v>
      </c>
      <c r="J3847" s="22" t="s">
        <v>165</v>
      </c>
      <c r="K3847" s="22" t="s">
        <v>23</v>
      </c>
      <c r="L3847" s="22">
        <v>4</v>
      </c>
      <c r="M3847" s="26">
        <v>91661</v>
      </c>
      <c r="N3847" s="26">
        <v>0</v>
      </c>
      <c r="O3847" s="15">
        <f t="shared" si="331"/>
        <v>91661</v>
      </c>
      <c r="P3847" s="15">
        <f t="shared" si="332"/>
        <v>11.000024001536101</v>
      </c>
      <c r="Q3847" s="25">
        <v>5000</v>
      </c>
      <c r="R3847" s="22">
        <v>100</v>
      </c>
      <c r="S3847" s="22" t="s">
        <v>4697</v>
      </c>
      <c r="T3847" s="22">
        <f t="shared" si="328"/>
        <v>1</v>
      </c>
      <c r="U3847" s="22">
        <f t="shared" si="329"/>
        <v>2022</v>
      </c>
      <c r="V3847" s="22" t="str">
        <f t="shared" si="330"/>
        <v>METROPOLITANA</v>
      </c>
    </row>
    <row r="3848" spans="1:22" x14ac:dyDescent="0.2">
      <c r="A3848" s="23" t="s">
        <v>4693</v>
      </c>
      <c r="B3848" s="22" t="s">
        <v>33</v>
      </c>
      <c r="C3848" s="22" t="s">
        <v>163</v>
      </c>
      <c r="D3848" s="22" t="s">
        <v>30</v>
      </c>
      <c r="E3848" s="24" t="s">
        <v>31</v>
      </c>
      <c r="F3848" s="22" t="s">
        <v>165</v>
      </c>
      <c r="G3848" s="25">
        <v>13145.6</v>
      </c>
      <c r="H3848" s="22" t="s">
        <v>32</v>
      </c>
      <c r="I3848" s="22">
        <v>0</v>
      </c>
      <c r="J3848" s="22" t="s">
        <v>165</v>
      </c>
      <c r="K3848" s="22" t="s">
        <v>23</v>
      </c>
      <c r="L3848" s="22">
        <v>4</v>
      </c>
      <c r="M3848" s="26">
        <v>144602</v>
      </c>
      <c r="N3848" s="26">
        <v>0</v>
      </c>
      <c r="O3848" s="15">
        <f t="shared" si="331"/>
        <v>144602</v>
      </c>
      <c r="P3848" s="15">
        <f t="shared" si="332"/>
        <v>11.000030428432327</v>
      </c>
      <c r="Q3848" s="25">
        <v>5000</v>
      </c>
      <c r="R3848" s="22">
        <v>100</v>
      </c>
      <c r="S3848" s="22" t="s">
        <v>4698</v>
      </c>
      <c r="T3848" s="22">
        <f t="shared" ref="T3848:T3911" si="333">MONTH(A3848)</f>
        <v>1</v>
      </c>
      <c r="U3848" s="22">
        <f t="shared" ref="U3848:U3911" si="334">YEAR(A3848)</f>
        <v>2022</v>
      </c>
      <c r="V3848" s="22" t="str">
        <f t="shared" ref="V3848:V3911" si="335">IF(K3848="METROPOLITANA DE SANTIAGO","METROPOLITANA","REGIONES")</f>
        <v>METROPOLITANA</v>
      </c>
    </row>
    <row r="3849" spans="1:22" x14ac:dyDescent="0.2">
      <c r="A3849" s="23" t="s">
        <v>4693</v>
      </c>
      <c r="B3849" s="22" t="s">
        <v>33</v>
      </c>
      <c r="C3849" s="22" t="s">
        <v>36</v>
      </c>
      <c r="D3849" s="22" t="s">
        <v>1869</v>
      </c>
      <c r="E3849" s="24" t="s">
        <v>1870</v>
      </c>
      <c r="F3849" s="22" t="s">
        <v>893</v>
      </c>
      <c r="G3849" s="25">
        <f>10166.46+1330</f>
        <v>11496.46</v>
      </c>
      <c r="H3849" s="22" t="s">
        <v>24</v>
      </c>
      <c r="I3849" s="22">
        <v>1</v>
      </c>
      <c r="J3849" s="22" t="s">
        <v>893</v>
      </c>
      <c r="K3849" s="22" t="s">
        <v>437</v>
      </c>
      <c r="L3849" s="22">
        <v>0</v>
      </c>
      <c r="M3849" s="26">
        <v>1000000</v>
      </c>
      <c r="N3849" s="26">
        <v>0</v>
      </c>
      <c r="O3849" s="15">
        <f t="shared" si="331"/>
        <v>1000000</v>
      </c>
      <c r="P3849" s="15">
        <f t="shared" si="332"/>
        <v>86.983297467220353</v>
      </c>
      <c r="Q3849" s="25">
        <v>20000</v>
      </c>
      <c r="R3849" s="22">
        <v>51</v>
      </c>
      <c r="S3849" s="22" t="s">
        <v>4707</v>
      </c>
      <c r="T3849" s="22">
        <f t="shared" si="333"/>
        <v>1</v>
      </c>
      <c r="U3849" s="22">
        <f t="shared" si="334"/>
        <v>2022</v>
      </c>
      <c r="V3849" s="22" t="str">
        <f t="shared" si="335"/>
        <v>REGIONES</v>
      </c>
    </row>
    <row r="3850" spans="1:22" x14ac:dyDescent="0.2">
      <c r="A3850" s="23" t="s">
        <v>4693</v>
      </c>
      <c r="B3850" s="22" t="s">
        <v>33</v>
      </c>
      <c r="C3850" s="22" t="s">
        <v>36</v>
      </c>
      <c r="D3850" s="22" t="s">
        <v>41</v>
      </c>
      <c r="E3850" s="24" t="s">
        <v>25</v>
      </c>
      <c r="F3850" s="22" t="s">
        <v>308</v>
      </c>
      <c r="G3850" s="25">
        <v>6116.0399999999991</v>
      </c>
      <c r="H3850" s="22" t="s">
        <v>43</v>
      </c>
      <c r="I3850" s="22">
        <v>0</v>
      </c>
      <c r="J3850" s="22" t="s">
        <v>308</v>
      </c>
      <c r="K3850" s="22" t="s">
        <v>78</v>
      </c>
      <c r="L3850" s="22">
        <v>0</v>
      </c>
      <c r="M3850" s="26">
        <v>180000</v>
      </c>
      <c r="N3850" s="26">
        <v>0</v>
      </c>
      <c r="O3850" s="15">
        <f t="shared" si="331"/>
        <v>180000</v>
      </c>
      <c r="P3850" s="15">
        <f t="shared" si="332"/>
        <v>29.430808169992353</v>
      </c>
      <c r="Q3850" s="25">
        <v>20000</v>
      </c>
      <c r="R3850" s="22">
        <v>31</v>
      </c>
      <c r="S3850" s="22" t="s">
        <v>4699</v>
      </c>
      <c r="T3850" s="22">
        <f t="shared" si="333"/>
        <v>1</v>
      </c>
      <c r="U3850" s="22">
        <f t="shared" si="334"/>
        <v>2022</v>
      </c>
      <c r="V3850" s="22" t="str">
        <f t="shared" si="335"/>
        <v>REGIONES</v>
      </c>
    </row>
    <row r="3851" spans="1:22" x14ac:dyDescent="0.2">
      <c r="A3851" s="23" t="s">
        <v>4693</v>
      </c>
      <c r="B3851" s="22" t="s">
        <v>33</v>
      </c>
      <c r="C3851" s="22" t="s">
        <v>223</v>
      </c>
      <c r="D3851" s="22" t="s">
        <v>63</v>
      </c>
      <c r="E3851" s="24" t="s">
        <v>64</v>
      </c>
      <c r="F3851" s="22" t="s">
        <v>51</v>
      </c>
      <c r="G3851" s="25">
        <v>2748</v>
      </c>
      <c r="H3851" s="22" t="s">
        <v>65</v>
      </c>
      <c r="I3851" s="22">
        <v>0</v>
      </c>
      <c r="J3851" s="22" t="s">
        <v>51</v>
      </c>
      <c r="K3851" s="22" t="s">
        <v>23</v>
      </c>
      <c r="L3851" s="22">
        <v>4</v>
      </c>
      <c r="M3851" s="26">
        <v>55000</v>
      </c>
      <c r="N3851" s="26">
        <v>0</v>
      </c>
      <c r="O3851" s="15">
        <f t="shared" si="331"/>
        <v>55000</v>
      </c>
      <c r="P3851" s="15">
        <f t="shared" si="332"/>
        <v>20.014556040756915</v>
      </c>
      <c r="Q3851" s="25">
        <v>5000</v>
      </c>
      <c r="R3851" s="22">
        <v>55</v>
      </c>
      <c r="S3851" s="22" t="s">
        <v>4700</v>
      </c>
      <c r="T3851" s="22">
        <f t="shared" si="333"/>
        <v>1</v>
      </c>
      <c r="U3851" s="22">
        <f t="shared" si="334"/>
        <v>2022</v>
      </c>
      <c r="V3851" s="22" t="str">
        <f t="shared" si="335"/>
        <v>METROPOLITANA</v>
      </c>
    </row>
    <row r="3852" spans="1:22" x14ac:dyDescent="0.2">
      <c r="A3852" s="23" t="s">
        <v>4693</v>
      </c>
      <c r="B3852" s="22" t="s">
        <v>33</v>
      </c>
      <c r="C3852" s="22" t="s">
        <v>29</v>
      </c>
      <c r="D3852" s="22" t="s">
        <v>38</v>
      </c>
      <c r="E3852" s="24" t="s">
        <v>25</v>
      </c>
      <c r="F3852" s="22" t="s">
        <v>39</v>
      </c>
      <c r="G3852" s="25">
        <v>5049.5999999999995</v>
      </c>
      <c r="H3852" s="22" t="s">
        <v>43</v>
      </c>
      <c r="I3852" s="22">
        <v>0</v>
      </c>
      <c r="J3852" s="22" t="s">
        <v>39</v>
      </c>
      <c r="K3852" s="22" t="s">
        <v>23</v>
      </c>
      <c r="L3852" s="22">
        <v>1</v>
      </c>
      <c r="M3852" s="26">
        <v>55546</v>
      </c>
      <c r="N3852" s="26">
        <v>0</v>
      </c>
      <c r="O3852" s="15">
        <f t="shared" si="331"/>
        <v>55546</v>
      </c>
      <c r="P3852" s="15">
        <f t="shared" si="332"/>
        <v>11.000079214195186</v>
      </c>
      <c r="Q3852" s="25">
        <v>5000</v>
      </c>
      <c r="R3852" s="22">
        <v>100</v>
      </c>
      <c r="S3852" s="22" t="s">
        <v>4701</v>
      </c>
      <c r="T3852" s="22">
        <f t="shared" si="333"/>
        <v>1</v>
      </c>
      <c r="U3852" s="22">
        <f t="shared" si="334"/>
        <v>2022</v>
      </c>
      <c r="V3852" s="22" t="str">
        <f t="shared" si="335"/>
        <v>METROPOLITANA</v>
      </c>
    </row>
    <row r="3853" spans="1:22" x14ac:dyDescent="0.2">
      <c r="A3853" s="23" t="s">
        <v>4693</v>
      </c>
      <c r="B3853" s="22" t="s">
        <v>33</v>
      </c>
      <c r="C3853" s="22" t="s">
        <v>29</v>
      </c>
      <c r="D3853" s="22" t="s">
        <v>786</v>
      </c>
      <c r="E3853" s="24" t="s">
        <v>787</v>
      </c>
      <c r="F3853" s="22" t="s">
        <v>173</v>
      </c>
      <c r="G3853" s="25">
        <v>16608.599999999991</v>
      </c>
      <c r="H3853" s="22" t="s">
        <v>788</v>
      </c>
      <c r="I3853" s="22">
        <v>1</v>
      </c>
      <c r="J3853" s="22" t="s">
        <v>173</v>
      </c>
      <c r="K3853" s="22" t="s">
        <v>23</v>
      </c>
      <c r="L3853" s="22">
        <v>5</v>
      </c>
      <c r="M3853" s="26">
        <v>120000</v>
      </c>
      <c r="N3853" s="26">
        <v>0</v>
      </c>
      <c r="O3853" s="15">
        <f t="shared" si="331"/>
        <v>120000</v>
      </c>
      <c r="P3853" s="15">
        <f t="shared" si="332"/>
        <v>7.2251725009934651</v>
      </c>
      <c r="Q3853" s="25">
        <v>10000</v>
      </c>
      <c r="R3853" s="22">
        <v>100</v>
      </c>
      <c r="S3853" s="22" t="s">
        <v>4702</v>
      </c>
      <c r="T3853" s="22">
        <f t="shared" si="333"/>
        <v>1</v>
      </c>
      <c r="U3853" s="22">
        <f t="shared" si="334"/>
        <v>2022</v>
      </c>
      <c r="V3853" s="22" t="str">
        <f t="shared" si="335"/>
        <v>METROPOLITANA</v>
      </c>
    </row>
    <row r="3854" spans="1:22" x14ac:dyDescent="0.2">
      <c r="A3854" s="23" t="s">
        <v>4693</v>
      </c>
      <c r="B3854" s="22" t="s">
        <v>33</v>
      </c>
      <c r="C3854" s="22" t="s">
        <v>29</v>
      </c>
      <c r="D3854" s="22" t="s">
        <v>30</v>
      </c>
      <c r="E3854" s="24" t="s">
        <v>31</v>
      </c>
      <c r="F3854" s="22" t="s">
        <v>39</v>
      </c>
      <c r="G3854" s="25">
        <v>2198.4</v>
      </c>
      <c r="H3854" s="22" t="s">
        <v>32</v>
      </c>
      <c r="I3854" s="22">
        <v>0</v>
      </c>
      <c r="J3854" s="22" t="s">
        <v>39</v>
      </c>
      <c r="K3854" s="22" t="s">
        <v>23</v>
      </c>
      <c r="L3854" s="22">
        <v>1</v>
      </c>
      <c r="M3854" s="26">
        <v>55000</v>
      </c>
      <c r="N3854" s="26">
        <v>0</v>
      </c>
      <c r="O3854" s="15">
        <f t="shared" si="331"/>
        <v>55000</v>
      </c>
      <c r="P3854" s="15">
        <f t="shared" si="332"/>
        <v>25.01819505094614</v>
      </c>
      <c r="Q3854" s="25">
        <v>5000</v>
      </c>
      <c r="R3854" s="22">
        <v>44</v>
      </c>
      <c r="S3854" s="22" t="s">
        <v>4703</v>
      </c>
      <c r="T3854" s="22">
        <f t="shared" si="333"/>
        <v>1</v>
      </c>
      <c r="U3854" s="22">
        <f t="shared" si="334"/>
        <v>2022</v>
      </c>
      <c r="V3854" s="22" t="str">
        <f t="shared" si="335"/>
        <v>METROPOLITANA</v>
      </c>
    </row>
    <row r="3855" spans="1:22" x14ac:dyDescent="0.2">
      <c r="A3855" s="23" t="s">
        <v>4693</v>
      </c>
      <c r="B3855" s="22" t="s">
        <v>33</v>
      </c>
      <c r="C3855" s="22" t="s">
        <v>29</v>
      </c>
      <c r="D3855" s="22" t="s">
        <v>164</v>
      </c>
      <c r="E3855" s="24" t="s">
        <v>1576</v>
      </c>
      <c r="F3855" s="22" t="s">
        <v>39</v>
      </c>
      <c r="G3855" s="25">
        <v>18502.350000000009</v>
      </c>
      <c r="H3855" s="22" t="s">
        <v>22</v>
      </c>
      <c r="I3855" s="22">
        <v>1</v>
      </c>
      <c r="J3855" s="22" t="s">
        <v>39</v>
      </c>
      <c r="K3855" s="22" t="s">
        <v>23</v>
      </c>
      <c r="L3855" s="22">
        <v>1</v>
      </c>
      <c r="M3855" s="26">
        <v>203526</v>
      </c>
      <c r="N3855" s="26">
        <v>0</v>
      </c>
      <c r="O3855" s="15">
        <f t="shared" si="331"/>
        <v>203526</v>
      </c>
      <c r="P3855" s="15">
        <f t="shared" si="332"/>
        <v>11.000008107078285</v>
      </c>
      <c r="Q3855" s="25">
        <v>5000</v>
      </c>
      <c r="R3855" s="22">
        <v>100</v>
      </c>
      <c r="S3855" s="22" t="s">
        <v>4704</v>
      </c>
      <c r="T3855" s="22">
        <f t="shared" si="333"/>
        <v>1</v>
      </c>
      <c r="U3855" s="22">
        <f t="shared" si="334"/>
        <v>2022</v>
      </c>
      <c r="V3855" s="22" t="str">
        <f t="shared" si="335"/>
        <v>METROPOLITANA</v>
      </c>
    </row>
    <row r="3856" spans="1:22" x14ac:dyDescent="0.2">
      <c r="A3856" s="23" t="s">
        <v>4693</v>
      </c>
      <c r="B3856" s="22" t="s">
        <v>33</v>
      </c>
      <c r="C3856" s="22" t="s">
        <v>44</v>
      </c>
      <c r="D3856" s="22" t="s">
        <v>63</v>
      </c>
      <c r="E3856" s="24" t="s">
        <v>64</v>
      </c>
      <c r="F3856" s="22" t="s">
        <v>138</v>
      </c>
      <c r="G3856" s="25">
        <v>5801.2</v>
      </c>
      <c r="H3856" s="22" t="s">
        <v>65</v>
      </c>
      <c r="I3856" s="22">
        <v>0</v>
      </c>
      <c r="J3856" s="22" t="s">
        <v>138</v>
      </c>
      <c r="K3856" s="22" t="s">
        <v>23</v>
      </c>
      <c r="L3856" s="22">
        <v>3</v>
      </c>
      <c r="M3856" s="26">
        <v>63813</v>
      </c>
      <c r="N3856" s="26">
        <v>0</v>
      </c>
      <c r="O3856" s="15">
        <f t="shared" si="331"/>
        <v>63813</v>
      </c>
      <c r="P3856" s="15">
        <f t="shared" si="332"/>
        <v>10.999965524374268</v>
      </c>
      <c r="Q3856" s="25">
        <v>5000</v>
      </c>
      <c r="R3856" s="22">
        <v>100</v>
      </c>
      <c r="S3856" s="22" t="s">
        <v>4705</v>
      </c>
      <c r="T3856" s="22">
        <f t="shared" si="333"/>
        <v>1</v>
      </c>
      <c r="U3856" s="22">
        <f t="shared" si="334"/>
        <v>2022</v>
      </c>
      <c r="V3856" s="22" t="str">
        <f t="shared" si="335"/>
        <v>METROPOLITANA</v>
      </c>
    </row>
    <row r="3857" spans="1:22" x14ac:dyDescent="0.2">
      <c r="A3857" s="23" t="s">
        <v>4693</v>
      </c>
      <c r="B3857" s="22" t="s">
        <v>33</v>
      </c>
      <c r="C3857" s="22" t="s">
        <v>44</v>
      </c>
      <c r="D3857" s="22" t="s">
        <v>47</v>
      </c>
      <c r="E3857" s="24" t="s">
        <v>1576</v>
      </c>
      <c r="F3857" s="22" t="s">
        <v>53</v>
      </c>
      <c r="G3857" s="25">
        <v>5825.6399999999994</v>
      </c>
      <c r="H3857" s="22" t="s">
        <v>22</v>
      </c>
      <c r="I3857" s="22">
        <v>0</v>
      </c>
      <c r="J3857" s="22" t="s">
        <v>53</v>
      </c>
      <c r="K3857" s="22" t="s">
        <v>23</v>
      </c>
      <c r="L3857" s="22">
        <v>3</v>
      </c>
      <c r="M3857" s="26">
        <v>64082</v>
      </c>
      <c r="N3857" s="26">
        <v>0</v>
      </c>
      <c r="O3857" s="15">
        <f t="shared" si="331"/>
        <v>64082</v>
      </c>
      <c r="P3857" s="15">
        <f t="shared" si="332"/>
        <v>10.99999313380161</v>
      </c>
      <c r="Q3857" s="25">
        <v>5000</v>
      </c>
      <c r="R3857" s="22">
        <v>100</v>
      </c>
      <c r="S3857" s="22" t="s">
        <v>4706</v>
      </c>
      <c r="T3857" s="22">
        <f t="shared" si="333"/>
        <v>1</v>
      </c>
      <c r="U3857" s="22">
        <f t="shared" si="334"/>
        <v>2022</v>
      </c>
      <c r="V3857" s="22" t="str">
        <f t="shared" si="335"/>
        <v>METROPOLITANA</v>
      </c>
    </row>
    <row r="3858" spans="1:22" x14ac:dyDescent="0.2">
      <c r="A3858" s="11" t="s">
        <v>4708</v>
      </c>
      <c r="B3858" s="12" t="s">
        <v>18</v>
      </c>
      <c r="C3858" s="12" t="s">
        <v>270</v>
      </c>
      <c r="D3858" s="12" t="s">
        <v>47</v>
      </c>
      <c r="E3858" s="13" t="s">
        <v>21</v>
      </c>
      <c r="F3858" s="12" t="s">
        <v>120</v>
      </c>
      <c r="G3858" s="14">
        <v>7128.88</v>
      </c>
      <c r="H3858" s="12" t="s">
        <v>22</v>
      </c>
      <c r="I3858" s="12">
        <v>0</v>
      </c>
      <c r="J3858" s="12" t="s">
        <v>120</v>
      </c>
      <c r="K3858" s="12" t="s">
        <v>23</v>
      </c>
      <c r="L3858" s="12">
        <v>5</v>
      </c>
      <c r="M3858" s="15">
        <v>70000</v>
      </c>
      <c r="N3858" s="15">
        <v>0</v>
      </c>
      <c r="O3858" s="15">
        <f t="shared" si="331"/>
        <v>70000</v>
      </c>
      <c r="P3858" s="15">
        <f t="shared" si="332"/>
        <v>9.8192142384217433</v>
      </c>
      <c r="Q3858" s="14">
        <v>10000</v>
      </c>
      <c r="R3858" s="12">
        <v>71</v>
      </c>
      <c r="S3858" s="12" t="s">
        <v>4709</v>
      </c>
      <c r="T3858" s="22">
        <f t="shared" si="333"/>
        <v>1</v>
      </c>
      <c r="U3858" s="22">
        <f t="shared" si="334"/>
        <v>2022</v>
      </c>
      <c r="V3858" s="22" t="str">
        <f t="shared" si="335"/>
        <v>METROPOLITANA</v>
      </c>
    </row>
    <row r="3859" spans="1:22" x14ac:dyDescent="0.2">
      <c r="A3859" s="11" t="s">
        <v>4708</v>
      </c>
      <c r="B3859" s="12" t="s">
        <v>33</v>
      </c>
      <c r="C3859" s="12" t="s">
        <v>57</v>
      </c>
      <c r="D3859" s="12" t="s">
        <v>63</v>
      </c>
      <c r="E3859" s="13" t="s">
        <v>64</v>
      </c>
      <c r="F3859" s="12" t="s">
        <v>51</v>
      </c>
      <c r="G3859" s="14">
        <v>2268</v>
      </c>
      <c r="H3859" s="12" t="s">
        <v>65</v>
      </c>
      <c r="I3859" s="12">
        <v>0</v>
      </c>
      <c r="J3859" s="12" t="s">
        <v>51</v>
      </c>
      <c r="K3859" s="12" t="s">
        <v>23</v>
      </c>
      <c r="L3859" s="12">
        <v>4</v>
      </c>
      <c r="M3859" s="15">
        <v>55000</v>
      </c>
      <c r="N3859" s="15">
        <v>0</v>
      </c>
      <c r="O3859" s="15">
        <f t="shared" si="331"/>
        <v>55000</v>
      </c>
      <c r="P3859" s="15">
        <f t="shared" si="332"/>
        <v>24.250440917107582</v>
      </c>
      <c r="Q3859" s="14">
        <v>5000</v>
      </c>
      <c r="R3859" s="12">
        <v>45</v>
      </c>
      <c r="S3859" s="12" t="s">
        <v>4710</v>
      </c>
      <c r="T3859" s="22">
        <f t="shared" si="333"/>
        <v>1</v>
      </c>
      <c r="U3859" s="22">
        <f t="shared" si="334"/>
        <v>2022</v>
      </c>
      <c r="V3859" s="22" t="str">
        <f t="shared" si="335"/>
        <v>METROPOLITANA</v>
      </c>
    </row>
    <row r="3860" spans="1:22" x14ac:dyDescent="0.2">
      <c r="A3860" s="11" t="s">
        <v>4708</v>
      </c>
      <c r="B3860" s="12" t="s">
        <v>33</v>
      </c>
      <c r="C3860" s="12" t="s">
        <v>163</v>
      </c>
      <c r="D3860" s="12" t="s">
        <v>30</v>
      </c>
      <c r="E3860" s="13" t="s">
        <v>31</v>
      </c>
      <c r="F3860" s="12" t="s">
        <v>165</v>
      </c>
      <c r="G3860" s="14">
        <v>12529.400000000011</v>
      </c>
      <c r="H3860" s="12" t="s">
        <v>32</v>
      </c>
      <c r="I3860" s="12">
        <v>0</v>
      </c>
      <c r="J3860" s="12" t="s">
        <v>165</v>
      </c>
      <c r="K3860" s="12" t="s">
        <v>23</v>
      </c>
      <c r="L3860" s="12">
        <v>4</v>
      </c>
      <c r="M3860" s="15">
        <v>137823</v>
      </c>
      <c r="N3860" s="15">
        <v>0</v>
      </c>
      <c r="O3860" s="15">
        <f t="shared" si="331"/>
        <v>137823</v>
      </c>
      <c r="P3860" s="15">
        <f t="shared" si="332"/>
        <v>10.999968075087386</v>
      </c>
      <c r="Q3860" s="14">
        <v>5000</v>
      </c>
      <c r="R3860" s="12">
        <v>100</v>
      </c>
      <c r="S3860" s="12" t="s">
        <v>4711</v>
      </c>
      <c r="T3860" s="22">
        <f t="shared" si="333"/>
        <v>1</v>
      </c>
      <c r="U3860" s="22">
        <f t="shared" si="334"/>
        <v>2022</v>
      </c>
      <c r="V3860" s="22" t="str">
        <f t="shared" si="335"/>
        <v>METROPOLITANA</v>
      </c>
    </row>
    <row r="3861" spans="1:22" x14ac:dyDescent="0.2">
      <c r="A3861" s="11" t="s">
        <v>4708</v>
      </c>
      <c r="B3861" s="12" t="s">
        <v>33</v>
      </c>
      <c r="C3861" s="12" t="s">
        <v>36</v>
      </c>
      <c r="D3861" s="12" t="s">
        <v>786</v>
      </c>
      <c r="E3861" s="13" t="s">
        <v>787</v>
      </c>
      <c r="F3861" s="12" t="s">
        <v>2055</v>
      </c>
      <c r="G3861" s="14">
        <f>6059.64+5860</f>
        <v>11919.64</v>
      </c>
      <c r="H3861" s="12" t="s">
        <v>788</v>
      </c>
      <c r="I3861" s="12">
        <v>1</v>
      </c>
      <c r="J3861" s="12" t="s">
        <v>2055</v>
      </c>
      <c r="K3861" s="12" t="s">
        <v>86</v>
      </c>
      <c r="L3861" s="12">
        <v>0</v>
      </c>
      <c r="M3861" s="15">
        <v>300000</v>
      </c>
      <c r="N3861" s="15">
        <v>0</v>
      </c>
      <c r="O3861" s="15">
        <f t="shared" si="331"/>
        <v>300000</v>
      </c>
      <c r="P3861" s="15">
        <f t="shared" si="332"/>
        <v>25.168545358752446</v>
      </c>
      <c r="Q3861" s="14">
        <v>20000</v>
      </c>
      <c r="R3861" s="12">
        <v>75</v>
      </c>
      <c r="S3861" s="12" t="s">
        <v>4719</v>
      </c>
      <c r="T3861" s="22">
        <f t="shared" si="333"/>
        <v>1</v>
      </c>
      <c r="U3861" s="22">
        <f t="shared" si="334"/>
        <v>2022</v>
      </c>
      <c r="V3861" s="22" t="str">
        <f t="shared" si="335"/>
        <v>REGIONES</v>
      </c>
    </row>
    <row r="3862" spans="1:22" x14ac:dyDescent="0.2">
      <c r="A3862" s="11" t="s">
        <v>4708</v>
      </c>
      <c r="B3862" s="12" t="s">
        <v>33</v>
      </c>
      <c r="C3862" s="12" t="s">
        <v>29</v>
      </c>
      <c r="D3862" s="12" t="s">
        <v>38</v>
      </c>
      <c r="E3862" s="13" t="s">
        <v>42</v>
      </c>
      <c r="F3862" s="12" t="s">
        <v>134</v>
      </c>
      <c r="G3862" s="14">
        <v>6753.5999999999995</v>
      </c>
      <c r="H3862" s="12" t="s">
        <v>43</v>
      </c>
      <c r="I3862" s="12">
        <v>0</v>
      </c>
      <c r="J3862" s="12" t="s">
        <v>134</v>
      </c>
      <c r="K3862" s="12" t="s">
        <v>23</v>
      </c>
      <c r="L3862" s="12">
        <v>2</v>
      </c>
      <c r="M3862" s="15">
        <v>74290</v>
      </c>
      <c r="N3862" s="15">
        <v>0</v>
      </c>
      <c r="O3862" s="15">
        <f t="shared" si="331"/>
        <v>74290</v>
      </c>
      <c r="P3862" s="15">
        <f t="shared" si="332"/>
        <v>11.000059227671169</v>
      </c>
      <c r="Q3862" s="14">
        <v>5000</v>
      </c>
      <c r="R3862" s="12">
        <v>100</v>
      </c>
      <c r="S3862" s="12" t="s">
        <v>4712</v>
      </c>
      <c r="T3862" s="22">
        <f t="shared" si="333"/>
        <v>1</v>
      </c>
      <c r="U3862" s="22">
        <f t="shared" si="334"/>
        <v>2022</v>
      </c>
      <c r="V3862" s="22" t="str">
        <f t="shared" si="335"/>
        <v>METROPOLITANA</v>
      </c>
    </row>
    <row r="3863" spans="1:22" x14ac:dyDescent="0.2">
      <c r="A3863" s="11" t="s">
        <v>4708</v>
      </c>
      <c r="B3863" s="12" t="s">
        <v>33</v>
      </c>
      <c r="C3863" s="12" t="s">
        <v>29</v>
      </c>
      <c r="D3863" s="12" t="s">
        <v>37</v>
      </c>
      <c r="E3863" s="13" t="s">
        <v>40</v>
      </c>
      <c r="F3863" s="12" t="s">
        <v>39</v>
      </c>
      <c r="G3863" s="14">
        <v>2748</v>
      </c>
      <c r="H3863" s="12" t="s">
        <v>22</v>
      </c>
      <c r="I3863" s="12">
        <v>0</v>
      </c>
      <c r="J3863" s="12" t="s">
        <v>39</v>
      </c>
      <c r="K3863" s="12" t="s">
        <v>23</v>
      </c>
      <c r="L3863" s="12">
        <v>1</v>
      </c>
      <c r="M3863" s="15">
        <v>55000</v>
      </c>
      <c r="N3863" s="15">
        <v>0</v>
      </c>
      <c r="O3863" s="15">
        <f t="shared" si="331"/>
        <v>55000</v>
      </c>
      <c r="P3863" s="15">
        <f t="shared" si="332"/>
        <v>20.014556040756915</v>
      </c>
      <c r="Q3863" s="14">
        <v>5000</v>
      </c>
      <c r="R3863" s="12">
        <v>55</v>
      </c>
      <c r="S3863" s="12" t="s">
        <v>4713</v>
      </c>
      <c r="T3863" s="22">
        <f t="shared" si="333"/>
        <v>1</v>
      </c>
      <c r="U3863" s="22">
        <f t="shared" si="334"/>
        <v>2022</v>
      </c>
      <c r="V3863" s="22" t="str">
        <f t="shared" si="335"/>
        <v>METROPOLITANA</v>
      </c>
    </row>
    <row r="3864" spans="1:22" x14ac:dyDescent="0.2">
      <c r="A3864" s="11" t="s">
        <v>4708</v>
      </c>
      <c r="B3864" s="12" t="s">
        <v>33</v>
      </c>
      <c r="C3864" s="12" t="s">
        <v>29</v>
      </c>
      <c r="D3864" s="12" t="s">
        <v>41</v>
      </c>
      <c r="E3864" s="13" t="s">
        <v>25</v>
      </c>
      <c r="F3864" s="12" t="s">
        <v>134</v>
      </c>
      <c r="G3864" s="14">
        <v>6753.5999999999995</v>
      </c>
      <c r="H3864" s="12" t="s">
        <v>43</v>
      </c>
      <c r="I3864" s="12">
        <v>0</v>
      </c>
      <c r="J3864" s="12" t="s">
        <v>134</v>
      </c>
      <c r="K3864" s="12" t="s">
        <v>23</v>
      </c>
      <c r="L3864" s="12">
        <v>2</v>
      </c>
      <c r="M3864" s="15">
        <v>74290</v>
      </c>
      <c r="N3864" s="15">
        <v>0</v>
      </c>
      <c r="O3864" s="15">
        <f t="shared" si="331"/>
        <v>74290</v>
      </c>
      <c r="P3864" s="15">
        <f t="shared" si="332"/>
        <v>11.000059227671169</v>
      </c>
      <c r="Q3864" s="14">
        <v>5000</v>
      </c>
      <c r="R3864" s="12">
        <v>100</v>
      </c>
      <c r="S3864" s="12" t="s">
        <v>4714</v>
      </c>
      <c r="T3864" s="22">
        <f t="shared" si="333"/>
        <v>1</v>
      </c>
      <c r="U3864" s="22">
        <f t="shared" si="334"/>
        <v>2022</v>
      </c>
      <c r="V3864" s="22" t="str">
        <f t="shared" si="335"/>
        <v>METROPOLITANA</v>
      </c>
    </row>
    <row r="3865" spans="1:22" x14ac:dyDescent="0.2">
      <c r="A3865" s="11" t="s">
        <v>4708</v>
      </c>
      <c r="B3865" s="12" t="s">
        <v>33</v>
      </c>
      <c r="C3865" s="12" t="s">
        <v>29</v>
      </c>
      <c r="D3865" s="12" t="s">
        <v>164</v>
      </c>
      <c r="E3865" s="13" t="s">
        <v>1576</v>
      </c>
      <c r="F3865" s="12" t="s">
        <v>39</v>
      </c>
      <c r="G3865" s="14">
        <v>10125.75</v>
      </c>
      <c r="H3865" s="12" t="s">
        <v>22</v>
      </c>
      <c r="I3865" s="12">
        <v>1</v>
      </c>
      <c r="J3865" s="12" t="s">
        <v>39</v>
      </c>
      <c r="K3865" s="12" t="s">
        <v>23</v>
      </c>
      <c r="L3865" s="12">
        <v>1</v>
      </c>
      <c r="M3865" s="15">
        <v>111383</v>
      </c>
      <c r="N3865" s="15">
        <v>0</v>
      </c>
      <c r="O3865" s="15">
        <f t="shared" si="331"/>
        <v>111383</v>
      </c>
      <c r="P3865" s="15">
        <f t="shared" si="332"/>
        <v>10.999975310470829</v>
      </c>
      <c r="Q3865" s="14">
        <v>5000</v>
      </c>
      <c r="R3865" s="12">
        <v>100</v>
      </c>
      <c r="S3865" s="12" t="s">
        <v>4715</v>
      </c>
      <c r="T3865" s="22">
        <f t="shared" si="333"/>
        <v>1</v>
      </c>
      <c r="U3865" s="22">
        <f t="shared" si="334"/>
        <v>2022</v>
      </c>
      <c r="V3865" s="22" t="str">
        <f t="shared" si="335"/>
        <v>METROPOLITANA</v>
      </c>
    </row>
    <row r="3866" spans="1:22" x14ac:dyDescent="0.2">
      <c r="A3866" s="11" t="s">
        <v>4708</v>
      </c>
      <c r="B3866" s="12" t="s">
        <v>33</v>
      </c>
      <c r="C3866" s="12" t="s">
        <v>44</v>
      </c>
      <c r="D3866" s="12" t="s">
        <v>63</v>
      </c>
      <c r="E3866" s="13" t="s">
        <v>64</v>
      </c>
      <c r="F3866" s="12" t="s">
        <v>51</v>
      </c>
      <c r="G3866" s="14">
        <v>6313.2</v>
      </c>
      <c r="H3866" s="12" t="s">
        <v>65</v>
      </c>
      <c r="I3866" s="12">
        <v>0</v>
      </c>
      <c r="J3866" s="12" t="s">
        <v>51</v>
      </c>
      <c r="K3866" s="12" t="s">
        <v>23</v>
      </c>
      <c r="L3866" s="12">
        <v>4</v>
      </c>
      <c r="M3866" s="15">
        <v>69445</v>
      </c>
      <c r="N3866" s="15">
        <v>0</v>
      </c>
      <c r="O3866" s="15">
        <f t="shared" si="331"/>
        <v>69445</v>
      </c>
      <c r="P3866" s="15">
        <f t="shared" si="332"/>
        <v>10.999968320344674</v>
      </c>
      <c r="Q3866" s="14">
        <v>5000</v>
      </c>
      <c r="R3866" s="12">
        <v>100</v>
      </c>
      <c r="S3866" s="12" t="s">
        <v>4716</v>
      </c>
      <c r="T3866" s="22">
        <f t="shared" si="333"/>
        <v>1</v>
      </c>
      <c r="U3866" s="22">
        <f t="shared" si="334"/>
        <v>2022</v>
      </c>
      <c r="V3866" s="22" t="str">
        <f t="shared" si="335"/>
        <v>METROPOLITANA</v>
      </c>
    </row>
    <row r="3867" spans="1:22" x14ac:dyDescent="0.2">
      <c r="A3867" s="11" t="s">
        <v>4708</v>
      </c>
      <c r="B3867" s="12" t="s">
        <v>33</v>
      </c>
      <c r="C3867" s="12" t="s">
        <v>44</v>
      </c>
      <c r="D3867" s="12" t="s">
        <v>45</v>
      </c>
      <c r="E3867" s="13" t="s">
        <v>52</v>
      </c>
      <c r="F3867" s="12" t="s">
        <v>46</v>
      </c>
      <c r="G3867" s="14">
        <v>4412.92</v>
      </c>
      <c r="H3867" s="12" t="s">
        <v>22</v>
      </c>
      <c r="I3867" s="12">
        <v>0</v>
      </c>
      <c r="J3867" s="12" t="s">
        <v>46</v>
      </c>
      <c r="K3867" s="12" t="s">
        <v>23</v>
      </c>
      <c r="L3867" s="12">
        <v>2</v>
      </c>
      <c r="M3867" s="15">
        <v>55000</v>
      </c>
      <c r="N3867" s="15">
        <v>0</v>
      </c>
      <c r="O3867" s="15">
        <f t="shared" ref="O3867:O3930" si="336">SUM(M3867:N3867)</f>
        <v>55000</v>
      </c>
      <c r="P3867" s="15">
        <f t="shared" si="332"/>
        <v>12.463402916889496</v>
      </c>
      <c r="Q3867" s="14">
        <v>5000</v>
      </c>
      <c r="R3867" s="12">
        <v>88</v>
      </c>
      <c r="S3867" s="12" t="s">
        <v>4717</v>
      </c>
      <c r="T3867" s="22">
        <f t="shared" si="333"/>
        <v>1</v>
      </c>
      <c r="U3867" s="22">
        <f t="shared" si="334"/>
        <v>2022</v>
      </c>
      <c r="V3867" s="22" t="str">
        <f t="shared" si="335"/>
        <v>METROPOLITANA</v>
      </c>
    </row>
    <row r="3868" spans="1:22" x14ac:dyDescent="0.2">
      <c r="A3868" s="11" t="s">
        <v>4708</v>
      </c>
      <c r="B3868" s="12" t="s">
        <v>33</v>
      </c>
      <c r="C3868" s="12" t="s">
        <v>44</v>
      </c>
      <c r="D3868" s="12" t="s">
        <v>47</v>
      </c>
      <c r="E3868" s="13" t="s">
        <v>21</v>
      </c>
      <c r="F3868" s="12" t="s">
        <v>48</v>
      </c>
      <c r="G3868" s="14">
        <v>6944.7800000000016</v>
      </c>
      <c r="H3868" s="12" t="s">
        <v>22</v>
      </c>
      <c r="I3868" s="12">
        <v>0</v>
      </c>
      <c r="J3868" s="12" t="s">
        <v>48</v>
      </c>
      <c r="K3868" s="12" t="s">
        <v>23</v>
      </c>
      <c r="L3868" s="12">
        <v>1</v>
      </c>
      <c r="M3868" s="15">
        <v>76393</v>
      </c>
      <c r="N3868" s="15">
        <v>0</v>
      </c>
      <c r="O3868" s="15">
        <f t="shared" si="336"/>
        <v>76393</v>
      </c>
      <c r="P3868" s="15">
        <f t="shared" si="332"/>
        <v>11.000060477077746</v>
      </c>
      <c r="Q3868" s="14">
        <v>5000</v>
      </c>
      <c r="R3868" s="12">
        <v>100</v>
      </c>
      <c r="S3868" s="12" t="s">
        <v>4718</v>
      </c>
      <c r="T3868" s="22">
        <f t="shared" si="333"/>
        <v>1</v>
      </c>
      <c r="U3868" s="22">
        <f t="shared" si="334"/>
        <v>2022</v>
      </c>
      <c r="V3868" s="22" t="str">
        <f t="shared" si="335"/>
        <v>METROPOLITANA</v>
      </c>
    </row>
    <row r="3869" spans="1:22" x14ac:dyDescent="0.2">
      <c r="A3869" s="23" t="s">
        <v>4720</v>
      </c>
      <c r="B3869" s="22" t="s">
        <v>18</v>
      </c>
      <c r="C3869" s="22" t="s">
        <v>57</v>
      </c>
      <c r="D3869" s="22" t="s">
        <v>30</v>
      </c>
      <c r="E3869" s="24" t="s">
        <v>31</v>
      </c>
      <c r="F3869" s="22" t="s">
        <v>800</v>
      </c>
      <c r="G3869" s="25">
        <f>1807.69+2852</f>
        <v>4659.6900000000005</v>
      </c>
      <c r="H3869" s="22" t="s">
        <v>32</v>
      </c>
      <c r="I3869" s="22">
        <v>0</v>
      </c>
      <c r="J3869" s="22" t="s">
        <v>800</v>
      </c>
      <c r="K3869" s="22" t="s">
        <v>23</v>
      </c>
      <c r="L3869" s="22">
        <v>5</v>
      </c>
      <c r="M3869" s="26">
        <v>90000</v>
      </c>
      <c r="N3869" s="26">
        <v>0</v>
      </c>
      <c r="O3869" s="15">
        <f t="shared" si="336"/>
        <v>90000</v>
      </c>
      <c r="P3869" s="15">
        <f t="shared" si="332"/>
        <v>19.31458959716204</v>
      </c>
      <c r="Q3869" s="25">
        <v>10000</v>
      </c>
      <c r="R3869" s="22">
        <v>75</v>
      </c>
      <c r="S3869" s="22" t="s">
        <v>4734</v>
      </c>
      <c r="T3869" s="22">
        <f t="shared" si="333"/>
        <v>1</v>
      </c>
      <c r="U3869" s="22">
        <f t="shared" si="334"/>
        <v>2022</v>
      </c>
      <c r="V3869" s="22" t="str">
        <f t="shared" si="335"/>
        <v>METROPOLITANA</v>
      </c>
    </row>
    <row r="3870" spans="1:22" x14ac:dyDescent="0.2">
      <c r="A3870" s="23" t="s">
        <v>4720</v>
      </c>
      <c r="B3870" s="22" t="s">
        <v>33</v>
      </c>
      <c r="C3870" s="22" t="s">
        <v>128</v>
      </c>
      <c r="D3870" s="22" t="s">
        <v>786</v>
      </c>
      <c r="E3870" s="24" t="s">
        <v>787</v>
      </c>
      <c r="F3870" s="22" t="s">
        <v>129</v>
      </c>
      <c r="G3870" s="25">
        <v>10167.6</v>
      </c>
      <c r="H3870" s="22" t="s">
        <v>788</v>
      </c>
      <c r="I3870" s="22">
        <v>1</v>
      </c>
      <c r="J3870" s="22" t="s">
        <v>129</v>
      </c>
      <c r="K3870" s="22" t="s">
        <v>23</v>
      </c>
      <c r="L3870" s="22">
        <v>1</v>
      </c>
      <c r="M3870" s="26">
        <v>111844</v>
      </c>
      <c r="N3870" s="26">
        <v>0</v>
      </c>
      <c r="O3870" s="15">
        <f t="shared" si="336"/>
        <v>111844</v>
      </c>
      <c r="P3870" s="15">
        <f t="shared" si="332"/>
        <v>11.000039340650694</v>
      </c>
      <c r="Q3870" s="25">
        <v>5000</v>
      </c>
      <c r="R3870" s="22">
        <v>100</v>
      </c>
      <c r="S3870" s="22" t="s">
        <v>4721</v>
      </c>
      <c r="T3870" s="22">
        <f t="shared" si="333"/>
        <v>1</v>
      </c>
      <c r="U3870" s="22">
        <f t="shared" si="334"/>
        <v>2022</v>
      </c>
      <c r="V3870" s="22" t="str">
        <f t="shared" si="335"/>
        <v>METROPOLITANA</v>
      </c>
    </row>
    <row r="3871" spans="1:22" x14ac:dyDescent="0.2">
      <c r="A3871" s="23" t="s">
        <v>4720</v>
      </c>
      <c r="B3871" s="22" t="s">
        <v>33</v>
      </c>
      <c r="C3871" s="22" t="s">
        <v>128</v>
      </c>
      <c r="D3871" s="22" t="s">
        <v>2955</v>
      </c>
      <c r="E3871" s="24" t="s">
        <v>2956</v>
      </c>
      <c r="F3871" s="22" t="s">
        <v>34</v>
      </c>
      <c r="G3871" s="25">
        <v>10030.200000000001</v>
      </c>
      <c r="H3871" s="22" t="s">
        <v>24</v>
      </c>
      <c r="I3871" s="22">
        <v>1</v>
      </c>
      <c r="J3871" s="22" t="s">
        <v>34</v>
      </c>
      <c r="K3871" s="22" t="s">
        <v>23</v>
      </c>
      <c r="L3871" s="22">
        <v>1</v>
      </c>
      <c r="M3871" s="26">
        <v>110332</v>
      </c>
      <c r="N3871" s="26">
        <v>0</v>
      </c>
      <c r="O3871" s="15">
        <f t="shared" si="336"/>
        <v>110332</v>
      </c>
      <c r="P3871" s="15">
        <f t="shared" si="332"/>
        <v>10.999980060218141</v>
      </c>
      <c r="Q3871" s="25">
        <v>5000</v>
      </c>
      <c r="R3871" s="22">
        <v>100</v>
      </c>
      <c r="S3871" s="22" t="s">
        <v>4722</v>
      </c>
      <c r="T3871" s="22">
        <f t="shared" si="333"/>
        <v>1</v>
      </c>
      <c r="U3871" s="22">
        <f t="shared" si="334"/>
        <v>2022</v>
      </c>
      <c r="V3871" s="22" t="str">
        <f t="shared" si="335"/>
        <v>METROPOLITANA</v>
      </c>
    </row>
    <row r="3872" spans="1:22" x14ac:dyDescent="0.2">
      <c r="A3872" s="23" t="s">
        <v>4720</v>
      </c>
      <c r="B3872" s="22" t="s">
        <v>33</v>
      </c>
      <c r="C3872" s="22" t="s">
        <v>36</v>
      </c>
      <c r="D3872" s="22" t="s">
        <v>63</v>
      </c>
      <c r="E3872" s="24" t="s">
        <v>64</v>
      </c>
      <c r="F3872" s="22" t="s">
        <v>127</v>
      </c>
      <c r="G3872" s="25">
        <v>5640.04</v>
      </c>
      <c r="H3872" s="22" t="s">
        <v>65</v>
      </c>
      <c r="I3872" s="22">
        <v>0</v>
      </c>
      <c r="J3872" s="22" t="s">
        <v>127</v>
      </c>
      <c r="K3872" s="22" t="s">
        <v>78</v>
      </c>
      <c r="L3872" s="22">
        <v>0</v>
      </c>
      <c r="M3872" s="26">
        <v>180000</v>
      </c>
      <c r="N3872" s="26">
        <v>0</v>
      </c>
      <c r="O3872" s="15">
        <f t="shared" si="336"/>
        <v>180000</v>
      </c>
      <c r="P3872" s="15">
        <f t="shared" si="332"/>
        <v>31.914667271863319</v>
      </c>
      <c r="Q3872" s="25">
        <v>20000</v>
      </c>
      <c r="R3872" s="22">
        <v>28</v>
      </c>
      <c r="S3872" s="22" t="s">
        <v>4723</v>
      </c>
      <c r="T3872" s="22">
        <f t="shared" si="333"/>
        <v>1</v>
      </c>
      <c r="U3872" s="22">
        <f t="shared" si="334"/>
        <v>2022</v>
      </c>
      <c r="V3872" s="22" t="str">
        <f t="shared" si="335"/>
        <v>REGIONES</v>
      </c>
    </row>
    <row r="3873" spans="1:22" x14ac:dyDescent="0.2">
      <c r="A3873" s="23" t="s">
        <v>4720</v>
      </c>
      <c r="B3873" s="22" t="s">
        <v>33</v>
      </c>
      <c r="C3873" s="22" t="s">
        <v>36</v>
      </c>
      <c r="D3873" s="22" t="s">
        <v>30</v>
      </c>
      <c r="E3873" s="24" t="s">
        <v>31</v>
      </c>
      <c r="F3873" s="22" t="s">
        <v>855</v>
      </c>
      <c r="G3873" s="25">
        <v>6692.44</v>
      </c>
      <c r="H3873" s="22" t="s">
        <v>32</v>
      </c>
      <c r="I3873" s="22">
        <v>0</v>
      </c>
      <c r="J3873" s="22" t="s">
        <v>855</v>
      </c>
      <c r="K3873" s="22" t="s">
        <v>78</v>
      </c>
      <c r="L3873" s="22">
        <v>0</v>
      </c>
      <c r="M3873" s="26">
        <v>180000</v>
      </c>
      <c r="N3873" s="26">
        <v>0</v>
      </c>
      <c r="O3873" s="15">
        <f t="shared" si="336"/>
        <v>180000</v>
      </c>
      <c r="P3873" s="15">
        <f t="shared" ref="P3873:P3936" si="337">O3873/G3873</f>
        <v>26.8960199867313</v>
      </c>
      <c r="Q3873" s="25">
        <v>20000</v>
      </c>
      <c r="R3873" s="22">
        <v>33</v>
      </c>
      <c r="S3873" s="22" t="s">
        <v>4724</v>
      </c>
      <c r="T3873" s="22">
        <f t="shared" si="333"/>
        <v>1</v>
      </c>
      <c r="U3873" s="22">
        <f t="shared" si="334"/>
        <v>2022</v>
      </c>
      <c r="V3873" s="22" t="str">
        <f t="shared" si="335"/>
        <v>REGIONES</v>
      </c>
    </row>
    <row r="3874" spans="1:22" x14ac:dyDescent="0.2">
      <c r="A3874" s="23" t="s">
        <v>4720</v>
      </c>
      <c r="B3874" s="22" t="s">
        <v>33</v>
      </c>
      <c r="C3874" s="22" t="s">
        <v>29</v>
      </c>
      <c r="D3874" s="22" t="s">
        <v>38</v>
      </c>
      <c r="E3874" s="24" t="s">
        <v>25</v>
      </c>
      <c r="F3874" s="22" t="s">
        <v>39</v>
      </c>
      <c r="G3874" s="25">
        <v>2748</v>
      </c>
      <c r="H3874" s="22" t="s">
        <v>43</v>
      </c>
      <c r="I3874" s="22">
        <v>0</v>
      </c>
      <c r="J3874" s="22" t="s">
        <v>39</v>
      </c>
      <c r="K3874" s="22" t="s">
        <v>23</v>
      </c>
      <c r="L3874" s="22">
        <v>1</v>
      </c>
      <c r="M3874" s="26">
        <v>55000</v>
      </c>
      <c r="N3874" s="26">
        <v>0</v>
      </c>
      <c r="O3874" s="15">
        <f t="shared" si="336"/>
        <v>55000</v>
      </c>
      <c r="P3874" s="15">
        <f t="shared" si="337"/>
        <v>20.014556040756915</v>
      </c>
      <c r="Q3874" s="25">
        <v>5000</v>
      </c>
      <c r="R3874" s="22">
        <v>55</v>
      </c>
      <c r="S3874" s="22" t="s">
        <v>4725</v>
      </c>
      <c r="T3874" s="22">
        <f t="shared" si="333"/>
        <v>1</v>
      </c>
      <c r="U3874" s="22">
        <f t="shared" si="334"/>
        <v>2022</v>
      </c>
      <c r="V3874" s="22" t="str">
        <f t="shared" si="335"/>
        <v>METROPOLITANA</v>
      </c>
    </row>
    <row r="3875" spans="1:22" x14ac:dyDescent="0.2">
      <c r="A3875" s="23" t="s">
        <v>4720</v>
      </c>
      <c r="B3875" s="22" t="s">
        <v>33</v>
      </c>
      <c r="C3875" s="22" t="s">
        <v>29</v>
      </c>
      <c r="D3875" s="22" t="s">
        <v>37</v>
      </c>
      <c r="E3875" s="24" t="s">
        <v>1576</v>
      </c>
      <c r="F3875" s="22" t="s">
        <v>134</v>
      </c>
      <c r="G3875" s="25">
        <v>5252.7999999999984</v>
      </c>
      <c r="H3875" s="22" t="s">
        <v>22</v>
      </c>
      <c r="I3875" s="22">
        <v>0</v>
      </c>
      <c r="J3875" s="22" t="s">
        <v>134</v>
      </c>
      <c r="K3875" s="22" t="s">
        <v>23</v>
      </c>
      <c r="L3875" s="22">
        <v>2</v>
      </c>
      <c r="M3875" s="26">
        <v>57781</v>
      </c>
      <c r="N3875" s="26">
        <v>0</v>
      </c>
      <c r="O3875" s="15">
        <f t="shared" si="336"/>
        <v>57781</v>
      </c>
      <c r="P3875" s="15">
        <f t="shared" si="337"/>
        <v>11.000038074931469</v>
      </c>
      <c r="Q3875" s="25">
        <v>5000</v>
      </c>
      <c r="R3875" s="22">
        <v>100</v>
      </c>
      <c r="S3875" s="22" t="s">
        <v>4726</v>
      </c>
      <c r="T3875" s="22">
        <f t="shared" si="333"/>
        <v>1</v>
      </c>
      <c r="U3875" s="22">
        <f t="shared" si="334"/>
        <v>2022</v>
      </c>
      <c r="V3875" s="22" t="str">
        <f t="shared" si="335"/>
        <v>METROPOLITANA</v>
      </c>
    </row>
    <row r="3876" spans="1:22" x14ac:dyDescent="0.2">
      <c r="A3876" s="23" t="s">
        <v>4720</v>
      </c>
      <c r="B3876" s="22" t="s">
        <v>33</v>
      </c>
      <c r="C3876" s="22" t="s">
        <v>29</v>
      </c>
      <c r="D3876" s="22" t="s">
        <v>37</v>
      </c>
      <c r="E3876" s="24" t="s">
        <v>40</v>
      </c>
      <c r="F3876" s="22" t="s">
        <v>39</v>
      </c>
      <c r="G3876" s="25">
        <v>2748</v>
      </c>
      <c r="H3876" s="22" t="s">
        <v>22</v>
      </c>
      <c r="I3876" s="22">
        <v>0</v>
      </c>
      <c r="J3876" s="22" t="s">
        <v>39</v>
      </c>
      <c r="K3876" s="22" t="s">
        <v>23</v>
      </c>
      <c r="L3876" s="22">
        <v>1</v>
      </c>
      <c r="M3876" s="26">
        <v>55000</v>
      </c>
      <c r="N3876" s="26">
        <v>0</v>
      </c>
      <c r="O3876" s="15">
        <f t="shared" si="336"/>
        <v>55000</v>
      </c>
      <c r="P3876" s="15">
        <f t="shared" si="337"/>
        <v>20.014556040756915</v>
      </c>
      <c r="Q3876" s="25">
        <v>5000</v>
      </c>
      <c r="R3876" s="22">
        <v>55</v>
      </c>
      <c r="S3876" s="22" t="s">
        <v>4727</v>
      </c>
      <c r="T3876" s="22">
        <f t="shared" si="333"/>
        <v>1</v>
      </c>
      <c r="U3876" s="22">
        <f t="shared" si="334"/>
        <v>2022</v>
      </c>
      <c r="V3876" s="22" t="str">
        <f t="shared" si="335"/>
        <v>METROPOLITANA</v>
      </c>
    </row>
    <row r="3877" spans="1:22" x14ac:dyDescent="0.2">
      <c r="A3877" s="23" t="s">
        <v>4720</v>
      </c>
      <c r="B3877" s="22" t="s">
        <v>33</v>
      </c>
      <c r="C3877" s="22" t="s">
        <v>29</v>
      </c>
      <c r="D3877" s="22" t="s">
        <v>37</v>
      </c>
      <c r="E3877" s="24" t="s">
        <v>40</v>
      </c>
      <c r="F3877" s="22" t="s">
        <v>129</v>
      </c>
      <c r="G3877" s="25">
        <v>9004.7999999999975</v>
      </c>
      <c r="H3877" s="22" t="s">
        <v>22</v>
      </c>
      <c r="I3877" s="22">
        <v>0</v>
      </c>
      <c r="J3877" s="22" t="s">
        <v>129</v>
      </c>
      <c r="K3877" s="22" t="s">
        <v>23</v>
      </c>
      <c r="L3877" s="22">
        <v>1</v>
      </c>
      <c r="M3877" s="26">
        <v>99053</v>
      </c>
      <c r="N3877" s="26">
        <v>0</v>
      </c>
      <c r="O3877" s="15">
        <f t="shared" si="336"/>
        <v>99053</v>
      </c>
      <c r="P3877" s="15">
        <f t="shared" si="337"/>
        <v>11.000022210376692</v>
      </c>
      <c r="Q3877" s="25">
        <v>5000</v>
      </c>
      <c r="R3877" s="22">
        <v>100</v>
      </c>
      <c r="S3877" s="22" t="s">
        <v>4728</v>
      </c>
      <c r="T3877" s="22">
        <f t="shared" si="333"/>
        <v>1</v>
      </c>
      <c r="U3877" s="22">
        <f t="shared" si="334"/>
        <v>2022</v>
      </c>
      <c r="V3877" s="22" t="str">
        <f t="shared" si="335"/>
        <v>METROPOLITANA</v>
      </c>
    </row>
    <row r="3878" spans="1:22" x14ac:dyDescent="0.2">
      <c r="A3878" s="23" t="s">
        <v>4720</v>
      </c>
      <c r="B3878" s="22" t="s">
        <v>33</v>
      </c>
      <c r="C3878" s="22" t="s">
        <v>29</v>
      </c>
      <c r="D3878" s="22" t="s">
        <v>45</v>
      </c>
      <c r="E3878" s="24" t="s">
        <v>52</v>
      </c>
      <c r="F3878" s="22" t="s">
        <v>129</v>
      </c>
      <c r="G3878" s="25">
        <v>6003.1999999999989</v>
      </c>
      <c r="H3878" s="22" t="s">
        <v>22</v>
      </c>
      <c r="I3878" s="22">
        <v>0</v>
      </c>
      <c r="J3878" s="22" t="s">
        <v>129</v>
      </c>
      <c r="K3878" s="22" t="s">
        <v>23</v>
      </c>
      <c r="L3878" s="22">
        <v>1</v>
      </c>
      <c r="M3878" s="26">
        <v>66035</v>
      </c>
      <c r="N3878" s="26">
        <v>0</v>
      </c>
      <c r="O3878" s="15">
        <f t="shared" si="336"/>
        <v>66035</v>
      </c>
      <c r="P3878" s="15">
        <f t="shared" si="337"/>
        <v>10.99996668443497</v>
      </c>
      <c r="Q3878" s="25">
        <v>5000</v>
      </c>
      <c r="R3878" s="22">
        <v>100</v>
      </c>
      <c r="S3878" s="22" t="s">
        <v>4729</v>
      </c>
      <c r="T3878" s="22">
        <f t="shared" si="333"/>
        <v>1</v>
      </c>
      <c r="U3878" s="22">
        <f t="shared" si="334"/>
        <v>2022</v>
      </c>
      <c r="V3878" s="22" t="str">
        <f t="shared" si="335"/>
        <v>METROPOLITANA</v>
      </c>
    </row>
    <row r="3879" spans="1:22" x14ac:dyDescent="0.2">
      <c r="A3879" s="23" t="s">
        <v>4720</v>
      </c>
      <c r="B3879" s="22" t="s">
        <v>33</v>
      </c>
      <c r="C3879" s="22" t="s">
        <v>29</v>
      </c>
      <c r="D3879" s="22" t="s">
        <v>164</v>
      </c>
      <c r="E3879" s="24" t="s">
        <v>1576</v>
      </c>
      <c r="F3879" s="22" t="s">
        <v>39</v>
      </c>
      <c r="G3879" s="25">
        <v>8244.0000000000036</v>
      </c>
      <c r="H3879" s="22" t="s">
        <v>22</v>
      </c>
      <c r="I3879" s="22">
        <v>1</v>
      </c>
      <c r="J3879" s="22" t="s">
        <v>39</v>
      </c>
      <c r="K3879" s="22" t="s">
        <v>23</v>
      </c>
      <c r="L3879" s="22">
        <v>1</v>
      </c>
      <c r="M3879" s="26">
        <v>90684</v>
      </c>
      <c r="N3879" s="26">
        <v>0</v>
      </c>
      <c r="O3879" s="15">
        <f t="shared" si="336"/>
        <v>90684</v>
      </c>
      <c r="P3879" s="15">
        <f t="shared" si="337"/>
        <v>10.999999999999995</v>
      </c>
      <c r="Q3879" s="25">
        <v>5000</v>
      </c>
      <c r="R3879" s="22">
        <v>100</v>
      </c>
      <c r="S3879" s="22" t="s">
        <v>4730</v>
      </c>
      <c r="T3879" s="22">
        <f t="shared" si="333"/>
        <v>1</v>
      </c>
      <c r="U3879" s="22">
        <f t="shared" si="334"/>
        <v>2022</v>
      </c>
      <c r="V3879" s="22" t="str">
        <f t="shared" si="335"/>
        <v>METROPOLITANA</v>
      </c>
    </row>
    <row r="3880" spans="1:22" x14ac:dyDescent="0.2">
      <c r="A3880" s="23" t="s">
        <v>4720</v>
      </c>
      <c r="B3880" s="22" t="s">
        <v>33</v>
      </c>
      <c r="C3880" s="22" t="s">
        <v>44</v>
      </c>
      <c r="D3880" s="22" t="s">
        <v>191</v>
      </c>
      <c r="E3880" s="24" t="s">
        <v>192</v>
      </c>
      <c r="F3880" s="22" t="s">
        <v>114</v>
      </c>
      <c r="G3880" s="25">
        <v>11747.36</v>
      </c>
      <c r="H3880" s="22" t="s">
        <v>85</v>
      </c>
      <c r="I3880" s="22">
        <v>1</v>
      </c>
      <c r="J3880" s="22" t="s">
        <v>114</v>
      </c>
      <c r="K3880" s="22" t="s">
        <v>75</v>
      </c>
      <c r="L3880" s="22">
        <v>0</v>
      </c>
      <c r="M3880" s="26">
        <v>480000</v>
      </c>
      <c r="N3880" s="26">
        <v>0</v>
      </c>
      <c r="O3880" s="15">
        <f t="shared" si="336"/>
        <v>480000</v>
      </c>
      <c r="P3880" s="15">
        <f t="shared" si="337"/>
        <v>40.860244344261176</v>
      </c>
      <c r="Q3880" s="25">
        <v>20000</v>
      </c>
      <c r="R3880" s="22">
        <v>59</v>
      </c>
      <c r="S3880" s="22" t="s">
        <v>4731</v>
      </c>
      <c r="T3880" s="22">
        <f t="shared" si="333"/>
        <v>1</v>
      </c>
      <c r="U3880" s="22">
        <f t="shared" si="334"/>
        <v>2022</v>
      </c>
      <c r="V3880" s="22" t="str">
        <f t="shared" si="335"/>
        <v>REGIONES</v>
      </c>
    </row>
    <row r="3881" spans="1:22" x14ac:dyDescent="0.2">
      <c r="A3881" s="23" t="s">
        <v>4720</v>
      </c>
      <c r="B3881" s="22" t="s">
        <v>33</v>
      </c>
      <c r="C3881" s="22" t="s">
        <v>44</v>
      </c>
      <c r="D3881" s="22" t="s">
        <v>47</v>
      </c>
      <c r="E3881" s="24" t="s">
        <v>1576</v>
      </c>
      <c r="F3881" s="22" t="s">
        <v>48</v>
      </c>
      <c r="G3881" s="25">
        <v>5641.46</v>
      </c>
      <c r="H3881" s="22" t="s">
        <v>22</v>
      </c>
      <c r="I3881" s="22">
        <v>0</v>
      </c>
      <c r="J3881" s="22" t="s">
        <v>48</v>
      </c>
      <c r="K3881" s="22" t="s">
        <v>23</v>
      </c>
      <c r="L3881" s="22">
        <v>1</v>
      </c>
      <c r="M3881" s="26">
        <v>62056</v>
      </c>
      <c r="N3881" s="26">
        <v>0</v>
      </c>
      <c r="O3881" s="15">
        <f t="shared" si="336"/>
        <v>62056</v>
      </c>
      <c r="P3881" s="15">
        <f t="shared" si="337"/>
        <v>10.999989364455301</v>
      </c>
      <c r="Q3881" s="25">
        <v>5000</v>
      </c>
      <c r="R3881" s="22">
        <v>100</v>
      </c>
      <c r="S3881" s="22" t="s">
        <v>4732</v>
      </c>
      <c r="T3881" s="22">
        <f t="shared" si="333"/>
        <v>1</v>
      </c>
      <c r="U3881" s="22">
        <f t="shared" si="334"/>
        <v>2022</v>
      </c>
      <c r="V3881" s="22" t="str">
        <f t="shared" si="335"/>
        <v>METROPOLITANA</v>
      </c>
    </row>
    <row r="3882" spans="1:22" x14ac:dyDescent="0.2">
      <c r="A3882" s="23" t="s">
        <v>4720</v>
      </c>
      <c r="B3882" s="22" t="s">
        <v>33</v>
      </c>
      <c r="C3882" s="22" t="s">
        <v>44</v>
      </c>
      <c r="D3882" s="22" t="s">
        <v>4733</v>
      </c>
      <c r="E3882" s="24" t="s">
        <v>957</v>
      </c>
      <c r="F3882" s="22" t="s">
        <v>2639</v>
      </c>
      <c r="G3882" s="25">
        <f>5381.04+6589</f>
        <v>11970.04</v>
      </c>
      <c r="H3882" s="22" t="s">
        <v>24</v>
      </c>
      <c r="I3882" s="22">
        <v>1</v>
      </c>
      <c r="J3882" s="22" t="s">
        <v>2639</v>
      </c>
      <c r="K3882" s="22" t="s">
        <v>75</v>
      </c>
      <c r="L3882" s="22">
        <v>0</v>
      </c>
      <c r="M3882" s="26">
        <v>460000</v>
      </c>
      <c r="N3882" s="26">
        <v>0</v>
      </c>
      <c r="O3882" s="15">
        <f t="shared" si="336"/>
        <v>460000</v>
      </c>
      <c r="P3882" s="15">
        <f t="shared" si="337"/>
        <v>38.429278431818105</v>
      </c>
      <c r="Q3882" s="25">
        <v>20000</v>
      </c>
      <c r="R3882" s="22">
        <v>85</v>
      </c>
      <c r="S3882" s="22" t="s">
        <v>4735</v>
      </c>
      <c r="T3882" s="22">
        <f t="shared" si="333"/>
        <v>1</v>
      </c>
      <c r="U3882" s="22">
        <f t="shared" si="334"/>
        <v>2022</v>
      </c>
      <c r="V3882" s="22" t="str">
        <f t="shared" si="335"/>
        <v>REGIONES</v>
      </c>
    </row>
    <row r="3883" spans="1:22" x14ac:dyDescent="0.2">
      <c r="A3883" s="11" t="s">
        <v>4736</v>
      </c>
      <c r="B3883" s="12" t="s">
        <v>33</v>
      </c>
      <c r="C3883" s="12" t="s">
        <v>128</v>
      </c>
      <c r="D3883" s="12" t="s">
        <v>130</v>
      </c>
      <c r="E3883" s="13">
        <v>167832741</v>
      </c>
      <c r="F3883" s="12" t="s">
        <v>84</v>
      </c>
      <c r="G3883" s="14">
        <v>8931.0000000000018</v>
      </c>
      <c r="H3883" s="12" t="s">
        <v>85</v>
      </c>
      <c r="I3883" s="12">
        <v>1</v>
      </c>
      <c r="J3883" s="12" t="s">
        <v>84</v>
      </c>
      <c r="K3883" s="12" t="s">
        <v>86</v>
      </c>
      <c r="L3883" s="12">
        <v>0</v>
      </c>
      <c r="M3883" s="15">
        <v>330000</v>
      </c>
      <c r="N3883" s="15">
        <v>0</v>
      </c>
      <c r="O3883" s="15">
        <f t="shared" si="336"/>
        <v>330000</v>
      </c>
      <c r="P3883" s="15">
        <f t="shared" si="337"/>
        <v>36.949949613705066</v>
      </c>
      <c r="Q3883" s="14">
        <v>20000</v>
      </c>
      <c r="R3883" s="12">
        <v>45</v>
      </c>
      <c r="S3883" s="12" t="s">
        <v>4737</v>
      </c>
      <c r="T3883" s="22">
        <f t="shared" si="333"/>
        <v>1</v>
      </c>
      <c r="U3883" s="22">
        <f t="shared" si="334"/>
        <v>2022</v>
      </c>
      <c r="V3883" s="22" t="str">
        <f t="shared" si="335"/>
        <v>REGIONES</v>
      </c>
    </row>
    <row r="3884" spans="1:22" x14ac:dyDescent="0.2">
      <c r="A3884" s="11" t="s">
        <v>4736</v>
      </c>
      <c r="B3884" s="12" t="s">
        <v>33</v>
      </c>
      <c r="C3884" s="12" t="s">
        <v>128</v>
      </c>
      <c r="D3884" s="12" t="s">
        <v>786</v>
      </c>
      <c r="E3884" s="13">
        <v>95707734</v>
      </c>
      <c r="F3884" s="12" t="s">
        <v>129</v>
      </c>
      <c r="G3884" s="14">
        <v>8244.0000000000036</v>
      </c>
      <c r="H3884" s="12" t="s">
        <v>788</v>
      </c>
      <c r="I3884" s="12">
        <v>1</v>
      </c>
      <c r="J3884" s="12" t="s">
        <v>129</v>
      </c>
      <c r="K3884" s="12" t="s">
        <v>23</v>
      </c>
      <c r="L3884" s="12">
        <v>1</v>
      </c>
      <c r="M3884" s="15">
        <v>90684</v>
      </c>
      <c r="N3884" s="15">
        <v>0</v>
      </c>
      <c r="O3884" s="15">
        <f t="shared" si="336"/>
        <v>90684</v>
      </c>
      <c r="P3884" s="15">
        <f t="shared" si="337"/>
        <v>10.999999999999995</v>
      </c>
      <c r="Q3884" s="14">
        <v>5000</v>
      </c>
      <c r="R3884" s="12">
        <v>100</v>
      </c>
      <c r="S3884" s="12" t="s">
        <v>4738</v>
      </c>
      <c r="T3884" s="22">
        <f t="shared" si="333"/>
        <v>1</v>
      </c>
      <c r="U3884" s="22">
        <f t="shared" si="334"/>
        <v>2022</v>
      </c>
      <c r="V3884" s="22" t="str">
        <f t="shared" si="335"/>
        <v>METROPOLITANA</v>
      </c>
    </row>
    <row r="3885" spans="1:22" x14ac:dyDescent="0.2">
      <c r="A3885" s="11" t="s">
        <v>4736</v>
      </c>
      <c r="B3885" s="12" t="s">
        <v>33</v>
      </c>
      <c r="C3885" s="12" t="s">
        <v>29</v>
      </c>
      <c r="D3885" s="12" t="s">
        <v>38</v>
      </c>
      <c r="E3885" s="13">
        <v>53173292</v>
      </c>
      <c r="F3885" s="12" t="s">
        <v>39</v>
      </c>
      <c r="G3885" s="14">
        <v>12503.2</v>
      </c>
      <c r="H3885" s="12" t="s">
        <v>43</v>
      </c>
      <c r="I3885" s="12">
        <v>0</v>
      </c>
      <c r="J3885" s="12" t="s">
        <v>39</v>
      </c>
      <c r="K3885" s="12" t="s">
        <v>23</v>
      </c>
      <c r="L3885" s="12">
        <v>1</v>
      </c>
      <c r="M3885" s="15">
        <v>137535</v>
      </c>
      <c r="N3885" s="15">
        <v>0</v>
      </c>
      <c r="O3885" s="15">
        <f t="shared" si="336"/>
        <v>137535</v>
      </c>
      <c r="P3885" s="15">
        <f t="shared" si="337"/>
        <v>10.999984004094951</v>
      </c>
      <c r="Q3885" s="14">
        <v>5000</v>
      </c>
      <c r="R3885" s="12">
        <v>100</v>
      </c>
      <c r="S3885" s="12" t="s">
        <v>4739</v>
      </c>
      <c r="T3885" s="22">
        <f t="shared" si="333"/>
        <v>1</v>
      </c>
      <c r="U3885" s="22">
        <f t="shared" si="334"/>
        <v>2022</v>
      </c>
      <c r="V3885" s="22" t="str">
        <f t="shared" si="335"/>
        <v>METROPOLITANA</v>
      </c>
    </row>
    <row r="3886" spans="1:22" x14ac:dyDescent="0.2">
      <c r="A3886" s="11" t="s">
        <v>4736</v>
      </c>
      <c r="B3886" s="12" t="s">
        <v>33</v>
      </c>
      <c r="C3886" s="12" t="s">
        <v>29</v>
      </c>
      <c r="D3886" s="12" t="s">
        <v>30</v>
      </c>
      <c r="E3886" s="13">
        <v>72564391</v>
      </c>
      <c r="F3886" s="12" t="s">
        <v>39</v>
      </c>
      <c r="G3886" s="14">
        <v>7503.9999999999973</v>
      </c>
      <c r="H3886" s="12" t="s">
        <v>32</v>
      </c>
      <c r="I3886" s="12">
        <v>0</v>
      </c>
      <c r="J3886" s="12" t="s">
        <v>39</v>
      </c>
      <c r="K3886" s="12" t="s">
        <v>23</v>
      </c>
      <c r="L3886" s="12">
        <v>1</v>
      </c>
      <c r="M3886" s="15">
        <v>82544</v>
      </c>
      <c r="N3886" s="15">
        <v>0</v>
      </c>
      <c r="O3886" s="15">
        <f t="shared" si="336"/>
        <v>82544</v>
      </c>
      <c r="P3886" s="15">
        <f t="shared" si="337"/>
        <v>11.000000000000004</v>
      </c>
      <c r="Q3886" s="14">
        <v>5000</v>
      </c>
      <c r="R3886" s="12">
        <v>100</v>
      </c>
      <c r="S3886" s="12" t="s">
        <v>4740</v>
      </c>
      <c r="T3886" s="22">
        <f t="shared" si="333"/>
        <v>1</v>
      </c>
      <c r="U3886" s="22">
        <f t="shared" si="334"/>
        <v>2022</v>
      </c>
      <c r="V3886" s="22" t="str">
        <f t="shared" si="335"/>
        <v>METROPOLITANA</v>
      </c>
    </row>
    <row r="3887" spans="1:22" x14ac:dyDescent="0.2">
      <c r="A3887" s="11" t="s">
        <v>4736</v>
      </c>
      <c r="B3887" s="12" t="s">
        <v>33</v>
      </c>
      <c r="C3887" s="12" t="s">
        <v>29</v>
      </c>
      <c r="D3887" s="12" t="s">
        <v>2028</v>
      </c>
      <c r="E3887" s="13">
        <v>120327283</v>
      </c>
      <c r="F3887" s="12" t="s">
        <v>173</v>
      </c>
      <c r="G3887" s="14">
        <v>8244.0000000000036</v>
      </c>
      <c r="H3887" s="12" t="s">
        <v>22</v>
      </c>
      <c r="I3887" s="12">
        <v>1</v>
      </c>
      <c r="J3887" s="12" t="s">
        <v>173</v>
      </c>
      <c r="K3887" s="12" t="s">
        <v>23</v>
      </c>
      <c r="L3887" s="12">
        <v>5</v>
      </c>
      <c r="M3887" s="15">
        <v>120000</v>
      </c>
      <c r="N3887" s="15">
        <v>0</v>
      </c>
      <c r="O3887" s="15">
        <f t="shared" si="336"/>
        <v>120000</v>
      </c>
      <c r="P3887" s="15">
        <f t="shared" si="337"/>
        <v>14.556040756914113</v>
      </c>
      <c r="Q3887" s="14">
        <v>10000</v>
      </c>
      <c r="R3887" s="12">
        <v>82</v>
      </c>
      <c r="S3887" s="12" t="s">
        <v>4741</v>
      </c>
      <c r="T3887" s="22">
        <f t="shared" si="333"/>
        <v>1</v>
      </c>
      <c r="U3887" s="22">
        <f t="shared" si="334"/>
        <v>2022</v>
      </c>
      <c r="V3887" s="22" t="str">
        <f t="shared" si="335"/>
        <v>METROPOLITANA</v>
      </c>
    </row>
    <row r="3888" spans="1:22" x14ac:dyDescent="0.2">
      <c r="A3888" s="11" t="s">
        <v>4736</v>
      </c>
      <c r="B3888" s="12" t="s">
        <v>33</v>
      </c>
      <c r="C3888" s="12" t="s">
        <v>29</v>
      </c>
      <c r="D3888" s="12" t="s">
        <v>41</v>
      </c>
      <c r="E3888" s="13">
        <v>125108660</v>
      </c>
      <c r="F3888" s="12" t="s">
        <v>39</v>
      </c>
      <c r="G3888" s="14">
        <v>11133.6</v>
      </c>
      <c r="H3888" s="12" t="s">
        <v>43</v>
      </c>
      <c r="I3888" s="12">
        <v>0</v>
      </c>
      <c r="J3888" s="12" t="s">
        <v>39</v>
      </c>
      <c r="K3888" s="12" t="s">
        <v>23</v>
      </c>
      <c r="L3888" s="12">
        <v>1</v>
      </c>
      <c r="M3888" s="15">
        <v>122470</v>
      </c>
      <c r="N3888" s="15">
        <v>0</v>
      </c>
      <c r="O3888" s="15">
        <f t="shared" si="336"/>
        <v>122470</v>
      </c>
      <c r="P3888" s="15">
        <f t="shared" si="337"/>
        <v>11.000035927283179</v>
      </c>
      <c r="Q3888" s="14">
        <v>5000</v>
      </c>
      <c r="R3888" s="12">
        <v>100</v>
      </c>
      <c r="S3888" s="12" t="s">
        <v>4742</v>
      </c>
      <c r="T3888" s="22">
        <f t="shared" si="333"/>
        <v>1</v>
      </c>
      <c r="U3888" s="22">
        <f t="shared" si="334"/>
        <v>2022</v>
      </c>
      <c r="V3888" s="22" t="str">
        <f t="shared" si="335"/>
        <v>METROPOLITANA</v>
      </c>
    </row>
    <row r="3889" spans="1:22" x14ac:dyDescent="0.2">
      <c r="A3889" s="11" t="s">
        <v>4736</v>
      </c>
      <c r="B3889" s="12" t="s">
        <v>33</v>
      </c>
      <c r="C3889" s="12" t="s">
        <v>29</v>
      </c>
      <c r="D3889" s="12" t="s">
        <v>164</v>
      </c>
      <c r="E3889" s="13">
        <v>154837728</v>
      </c>
      <c r="F3889" s="12" t="s">
        <v>39</v>
      </c>
      <c r="G3889" s="14">
        <v>16508.8</v>
      </c>
      <c r="H3889" s="12" t="s">
        <v>22</v>
      </c>
      <c r="I3889" s="12">
        <v>1</v>
      </c>
      <c r="J3889" s="12" t="s">
        <v>39</v>
      </c>
      <c r="K3889" s="12" t="s">
        <v>23</v>
      </c>
      <c r="L3889" s="12">
        <v>1</v>
      </c>
      <c r="M3889" s="15">
        <v>181597</v>
      </c>
      <c r="N3889" s="15">
        <v>0</v>
      </c>
      <c r="O3889" s="15">
        <f t="shared" si="336"/>
        <v>181597</v>
      </c>
      <c r="P3889" s="15">
        <f t="shared" si="337"/>
        <v>11.000012114750922</v>
      </c>
      <c r="Q3889" s="14">
        <v>5000</v>
      </c>
      <c r="R3889" s="12">
        <v>100</v>
      </c>
      <c r="S3889" s="12" t="s">
        <v>4743</v>
      </c>
      <c r="T3889" s="22">
        <f t="shared" si="333"/>
        <v>1</v>
      </c>
      <c r="U3889" s="22">
        <f t="shared" si="334"/>
        <v>2022</v>
      </c>
      <c r="V3889" s="22" t="str">
        <f t="shared" si="335"/>
        <v>METROPOLITANA</v>
      </c>
    </row>
    <row r="3890" spans="1:22" x14ac:dyDescent="0.2">
      <c r="A3890" s="11" t="s">
        <v>4736</v>
      </c>
      <c r="B3890" s="12" t="s">
        <v>33</v>
      </c>
      <c r="C3890" s="12" t="s">
        <v>44</v>
      </c>
      <c r="D3890" s="12" t="s">
        <v>47</v>
      </c>
      <c r="E3890" s="13">
        <v>99626232</v>
      </c>
      <c r="F3890" s="12" t="s">
        <v>48</v>
      </c>
      <c r="G3890" s="14">
        <v>6151.2</v>
      </c>
      <c r="H3890" s="12" t="s">
        <v>22</v>
      </c>
      <c r="I3890" s="12">
        <v>0</v>
      </c>
      <c r="J3890" s="12" t="s">
        <v>48</v>
      </c>
      <c r="K3890" s="12" t="s">
        <v>23</v>
      </c>
      <c r="L3890" s="12">
        <v>1</v>
      </c>
      <c r="M3890" s="15">
        <v>67663</v>
      </c>
      <c r="N3890" s="15">
        <v>0</v>
      </c>
      <c r="O3890" s="15">
        <f t="shared" si="336"/>
        <v>67663</v>
      </c>
      <c r="P3890" s="15">
        <f t="shared" si="337"/>
        <v>10.999967486018988</v>
      </c>
      <c r="Q3890" s="14">
        <v>5000</v>
      </c>
      <c r="R3890" s="12">
        <v>100</v>
      </c>
      <c r="S3890" s="12" t="s">
        <v>4744</v>
      </c>
      <c r="T3890" s="22">
        <f t="shared" si="333"/>
        <v>1</v>
      </c>
      <c r="U3890" s="22">
        <f t="shared" si="334"/>
        <v>2022</v>
      </c>
      <c r="V3890" s="22" t="str">
        <f t="shared" si="335"/>
        <v>METROPOLITANA</v>
      </c>
    </row>
    <row r="3891" spans="1:22" x14ac:dyDescent="0.2">
      <c r="A3891" s="23" t="s">
        <v>4745</v>
      </c>
      <c r="B3891" s="22" t="s">
        <v>33</v>
      </c>
      <c r="C3891" s="22" t="s">
        <v>270</v>
      </c>
      <c r="D3891" s="22" t="s">
        <v>63</v>
      </c>
      <c r="E3891" s="24" t="s">
        <v>64</v>
      </c>
      <c r="F3891" s="22" t="s">
        <v>120</v>
      </c>
      <c r="G3891" s="25">
        <v>9195.1999999999971</v>
      </c>
      <c r="H3891" s="22" t="s">
        <v>65</v>
      </c>
      <c r="I3891" s="22">
        <v>0</v>
      </c>
      <c r="J3891" s="22" t="s">
        <v>120</v>
      </c>
      <c r="K3891" s="22" t="s">
        <v>23</v>
      </c>
      <c r="L3891" s="22">
        <v>5</v>
      </c>
      <c r="M3891" s="26">
        <v>70000</v>
      </c>
      <c r="N3891" s="26">
        <v>0</v>
      </c>
      <c r="O3891" s="15">
        <f t="shared" si="336"/>
        <v>70000</v>
      </c>
      <c r="P3891" s="15">
        <f t="shared" si="337"/>
        <v>7.6126674786845339</v>
      </c>
      <c r="Q3891" s="25">
        <v>10000</v>
      </c>
      <c r="R3891" s="22">
        <v>92</v>
      </c>
      <c r="S3891" s="22" t="s">
        <v>4746</v>
      </c>
      <c r="T3891" s="22">
        <f t="shared" si="333"/>
        <v>1</v>
      </c>
      <c r="U3891" s="22">
        <f t="shared" si="334"/>
        <v>2022</v>
      </c>
      <c r="V3891" s="22" t="str">
        <f t="shared" si="335"/>
        <v>METROPOLITANA</v>
      </c>
    </row>
    <row r="3892" spans="1:22" x14ac:dyDescent="0.2">
      <c r="A3892" s="23" t="s">
        <v>4745</v>
      </c>
      <c r="B3892" s="22" t="s">
        <v>33</v>
      </c>
      <c r="C3892" s="22" t="s">
        <v>270</v>
      </c>
      <c r="D3892" s="22" t="s">
        <v>45</v>
      </c>
      <c r="E3892" s="24" t="s">
        <v>21</v>
      </c>
      <c r="F3892" s="22" t="s">
        <v>120</v>
      </c>
      <c r="G3892" s="25">
        <v>7963.5000000000027</v>
      </c>
      <c r="H3892" s="22" t="s">
        <v>22</v>
      </c>
      <c r="I3892" s="22">
        <v>0</v>
      </c>
      <c r="J3892" s="22" t="s">
        <v>120</v>
      </c>
      <c r="K3892" s="22" t="s">
        <v>23</v>
      </c>
      <c r="L3892" s="22">
        <v>5</v>
      </c>
      <c r="M3892" s="26">
        <v>70000</v>
      </c>
      <c r="N3892" s="26">
        <v>0</v>
      </c>
      <c r="O3892" s="15">
        <f t="shared" si="336"/>
        <v>70000</v>
      </c>
      <c r="P3892" s="15">
        <f t="shared" si="337"/>
        <v>8.7901048533936059</v>
      </c>
      <c r="Q3892" s="25">
        <v>10000</v>
      </c>
      <c r="R3892" s="22">
        <v>80</v>
      </c>
      <c r="S3892" s="22" t="s">
        <v>4747</v>
      </c>
      <c r="T3892" s="22">
        <f t="shared" si="333"/>
        <v>1</v>
      </c>
      <c r="U3892" s="22">
        <f t="shared" si="334"/>
        <v>2022</v>
      </c>
      <c r="V3892" s="22" t="str">
        <f t="shared" si="335"/>
        <v>METROPOLITANA</v>
      </c>
    </row>
    <row r="3893" spans="1:22" x14ac:dyDescent="0.2">
      <c r="A3893" s="23" t="s">
        <v>4745</v>
      </c>
      <c r="B3893" s="22" t="s">
        <v>33</v>
      </c>
      <c r="C3893" s="22" t="s">
        <v>128</v>
      </c>
      <c r="D3893" s="22" t="s">
        <v>786</v>
      </c>
      <c r="E3893" s="24" t="s">
        <v>4748</v>
      </c>
      <c r="F3893" s="22" t="s">
        <v>129</v>
      </c>
      <c r="G3893" s="25">
        <v>8244.0000000000036</v>
      </c>
      <c r="H3893" s="22" t="s">
        <v>788</v>
      </c>
      <c r="I3893" s="22">
        <v>1</v>
      </c>
      <c r="J3893" s="22" t="s">
        <v>129</v>
      </c>
      <c r="K3893" s="22" t="s">
        <v>23</v>
      </c>
      <c r="L3893" s="22">
        <v>1</v>
      </c>
      <c r="M3893" s="26">
        <v>90684</v>
      </c>
      <c r="N3893" s="26">
        <v>0</v>
      </c>
      <c r="O3893" s="15">
        <f t="shared" si="336"/>
        <v>90684</v>
      </c>
      <c r="P3893" s="15">
        <f t="shared" si="337"/>
        <v>10.999999999999995</v>
      </c>
      <c r="Q3893" s="25">
        <v>5000</v>
      </c>
      <c r="R3893" s="22">
        <v>100</v>
      </c>
      <c r="S3893" s="22" t="s">
        <v>4749</v>
      </c>
      <c r="T3893" s="22">
        <f t="shared" si="333"/>
        <v>1</v>
      </c>
      <c r="U3893" s="22">
        <f t="shared" si="334"/>
        <v>2022</v>
      </c>
      <c r="V3893" s="22" t="str">
        <f t="shared" si="335"/>
        <v>METROPOLITANA</v>
      </c>
    </row>
    <row r="3894" spans="1:22" x14ac:dyDescent="0.2">
      <c r="A3894" s="23" t="s">
        <v>4745</v>
      </c>
      <c r="B3894" s="22" t="s">
        <v>33</v>
      </c>
      <c r="C3894" s="22" t="s">
        <v>128</v>
      </c>
      <c r="D3894" s="22" t="s">
        <v>1170</v>
      </c>
      <c r="E3894" s="24" t="s">
        <v>81</v>
      </c>
      <c r="F3894" s="22" t="s">
        <v>66</v>
      </c>
      <c r="G3894" s="25">
        <v>9532.2000000000007</v>
      </c>
      <c r="H3894" s="22" t="s">
        <v>24</v>
      </c>
      <c r="I3894" s="22">
        <v>1</v>
      </c>
      <c r="J3894" s="22" t="s">
        <v>66</v>
      </c>
      <c r="K3894" s="22" t="s">
        <v>75</v>
      </c>
      <c r="L3894" s="22">
        <v>0</v>
      </c>
      <c r="M3894" s="26">
        <v>420000</v>
      </c>
      <c r="N3894" s="26">
        <v>0</v>
      </c>
      <c r="O3894" s="15">
        <f t="shared" si="336"/>
        <v>420000</v>
      </c>
      <c r="P3894" s="15">
        <f t="shared" si="337"/>
        <v>44.061182098571159</v>
      </c>
      <c r="Q3894" s="25">
        <v>20000</v>
      </c>
      <c r="R3894" s="22">
        <v>48</v>
      </c>
      <c r="S3894" s="22" t="s">
        <v>4750</v>
      </c>
      <c r="T3894" s="22">
        <f t="shared" si="333"/>
        <v>1</v>
      </c>
      <c r="U3894" s="22">
        <f t="shared" si="334"/>
        <v>2022</v>
      </c>
      <c r="V3894" s="22" t="str">
        <f t="shared" si="335"/>
        <v>REGIONES</v>
      </c>
    </row>
    <row r="3895" spans="1:22" x14ac:dyDescent="0.2">
      <c r="A3895" s="23" t="s">
        <v>4745</v>
      </c>
      <c r="B3895" s="22" t="s">
        <v>33</v>
      </c>
      <c r="C3895" s="22" t="s">
        <v>128</v>
      </c>
      <c r="D3895" s="22" t="s">
        <v>2955</v>
      </c>
      <c r="E3895" s="24" t="s">
        <v>2956</v>
      </c>
      <c r="F3895" s="22" t="s">
        <v>34</v>
      </c>
      <c r="G3895" s="25">
        <v>13586.659999999991</v>
      </c>
      <c r="H3895" s="22" t="s">
        <v>24</v>
      </c>
      <c r="I3895" s="22">
        <v>1</v>
      </c>
      <c r="J3895" s="22" t="s">
        <v>34</v>
      </c>
      <c r="K3895" s="22" t="s">
        <v>23</v>
      </c>
      <c r="L3895" s="22">
        <v>1</v>
      </c>
      <c r="M3895" s="26">
        <v>149453</v>
      </c>
      <c r="N3895" s="26">
        <v>0</v>
      </c>
      <c r="O3895" s="15">
        <f t="shared" si="336"/>
        <v>149453</v>
      </c>
      <c r="P3895" s="15">
        <f t="shared" si="337"/>
        <v>10.999980863582374</v>
      </c>
      <c r="Q3895" s="25">
        <v>5000</v>
      </c>
      <c r="R3895" s="22">
        <v>100</v>
      </c>
      <c r="S3895" s="22" t="s">
        <v>4751</v>
      </c>
      <c r="T3895" s="22">
        <f t="shared" si="333"/>
        <v>1</v>
      </c>
      <c r="U3895" s="22">
        <f t="shared" si="334"/>
        <v>2022</v>
      </c>
      <c r="V3895" s="22" t="str">
        <f t="shared" si="335"/>
        <v>METROPOLITANA</v>
      </c>
    </row>
    <row r="3896" spans="1:22" x14ac:dyDescent="0.2">
      <c r="A3896" s="23" t="s">
        <v>4745</v>
      </c>
      <c r="B3896" s="22" t="s">
        <v>33</v>
      </c>
      <c r="C3896" s="22" t="s">
        <v>44</v>
      </c>
      <c r="D3896" s="22" t="s">
        <v>2825</v>
      </c>
      <c r="E3896" s="24" t="s">
        <v>639</v>
      </c>
      <c r="F3896" s="22" t="s">
        <v>3139</v>
      </c>
      <c r="G3896" s="25">
        <v>13278.2</v>
      </c>
      <c r="H3896" s="22" t="s">
        <v>24</v>
      </c>
      <c r="I3896" s="22">
        <v>1</v>
      </c>
      <c r="J3896" s="22" t="s">
        <v>3139</v>
      </c>
      <c r="K3896" s="22" t="s">
        <v>93</v>
      </c>
      <c r="L3896" s="22">
        <v>0</v>
      </c>
      <c r="M3896" s="26">
        <v>530000</v>
      </c>
      <c r="N3896" s="26">
        <v>0</v>
      </c>
      <c r="O3896" s="15">
        <f t="shared" si="336"/>
        <v>530000</v>
      </c>
      <c r="P3896" s="15">
        <f t="shared" si="337"/>
        <v>39.915048726484009</v>
      </c>
      <c r="Q3896" s="25">
        <v>20000</v>
      </c>
      <c r="R3896" s="22">
        <v>66</v>
      </c>
      <c r="S3896" s="22" t="s">
        <v>4752</v>
      </c>
      <c r="T3896" s="22">
        <f t="shared" si="333"/>
        <v>1</v>
      </c>
      <c r="U3896" s="22">
        <f t="shared" si="334"/>
        <v>2022</v>
      </c>
      <c r="V3896" s="22" t="str">
        <f t="shared" si="335"/>
        <v>REGIONES</v>
      </c>
    </row>
    <row r="3897" spans="1:22" x14ac:dyDescent="0.2">
      <c r="A3897" s="23" t="s">
        <v>4745</v>
      </c>
      <c r="B3897" s="22" t="s">
        <v>33</v>
      </c>
      <c r="C3897" s="22" t="s">
        <v>44</v>
      </c>
      <c r="D3897" s="22" t="s">
        <v>37</v>
      </c>
      <c r="E3897" s="24" t="s">
        <v>40</v>
      </c>
      <c r="F3897" s="22" t="s">
        <v>95</v>
      </c>
      <c r="G3897" s="25">
        <v>4913.3999999999996</v>
      </c>
      <c r="H3897" s="22" t="s">
        <v>22</v>
      </c>
      <c r="I3897" s="22">
        <v>0</v>
      </c>
      <c r="J3897" s="22" t="s">
        <v>95</v>
      </c>
      <c r="K3897" s="22" t="s">
        <v>23</v>
      </c>
      <c r="L3897" s="22">
        <v>4</v>
      </c>
      <c r="M3897" s="26">
        <v>55000</v>
      </c>
      <c r="N3897" s="26">
        <v>0</v>
      </c>
      <c r="O3897" s="15">
        <f t="shared" si="336"/>
        <v>55000</v>
      </c>
      <c r="P3897" s="15">
        <f t="shared" si="337"/>
        <v>11.193877966377661</v>
      </c>
      <c r="Q3897" s="25">
        <v>5000</v>
      </c>
      <c r="R3897" s="22">
        <v>98</v>
      </c>
      <c r="S3897" s="22" t="s">
        <v>4753</v>
      </c>
      <c r="T3897" s="22">
        <f t="shared" si="333"/>
        <v>1</v>
      </c>
      <c r="U3897" s="22">
        <f t="shared" si="334"/>
        <v>2022</v>
      </c>
      <c r="V3897" s="22" t="str">
        <f t="shared" si="335"/>
        <v>METROPOLITANA</v>
      </c>
    </row>
    <row r="3898" spans="1:22" x14ac:dyDescent="0.2">
      <c r="A3898" s="23" t="s">
        <v>4745</v>
      </c>
      <c r="B3898" s="22" t="s">
        <v>33</v>
      </c>
      <c r="C3898" s="22" t="s">
        <v>44</v>
      </c>
      <c r="D3898" s="22" t="s">
        <v>63</v>
      </c>
      <c r="E3898" s="24" t="s">
        <v>64</v>
      </c>
      <c r="F3898" s="22" t="s">
        <v>225</v>
      </c>
      <c r="G3898" s="25">
        <v>5437.8399999999983</v>
      </c>
      <c r="H3898" s="22" t="s">
        <v>65</v>
      </c>
      <c r="I3898" s="22">
        <v>0</v>
      </c>
      <c r="J3898" s="22" t="s">
        <v>225</v>
      </c>
      <c r="K3898" s="22" t="s">
        <v>23</v>
      </c>
      <c r="L3898" s="22">
        <v>3</v>
      </c>
      <c r="M3898" s="26">
        <v>59816</v>
      </c>
      <c r="N3898" s="26">
        <v>0</v>
      </c>
      <c r="O3898" s="15">
        <f t="shared" si="336"/>
        <v>59816</v>
      </c>
      <c r="P3898" s="15">
        <f t="shared" si="337"/>
        <v>10.999955864828685</v>
      </c>
      <c r="Q3898" s="25">
        <v>5000</v>
      </c>
      <c r="R3898" s="22">
        <v>100</v>
      </c>
      <c r="S3898" s="22" t="s">
        <v>4754</v>
      </c>
      <c r="T3898" s="22">
        <f t="shared" si="333"/>
        <v>1</v>
      </c>
      <c r="U3898" s="22">
        <f t="shared" si="334"/>
        <v>2022</v>
      </c>
      <c r="V3898" s="22" t="str">
        <f t="shared" si="335"/>
        <v>METROPOLITANA</v>
      </c>
    </row>
    <row r="3899" spans="1:22" x14ac:dyDescent="0.2">
      <c r="A3899" s="23" t="s">
        <v>4745</v>
      </c>
      <c r="B3899" s="22" t="s">
        <v>33</v>
      </c>
      <c r="C3899" s="22" t="s">
        <v>44</v>
      </c>
      <c r="D3899" s="22" t="s">
        <v>47</v>
      </c>
      <c r="E3899" s="24" t="s">
        <v>1576</v>
      </c>
      <c r="F3899" s="22" t="s">
        <v>53</v>
      </c>
      <c r="G3899" s="25">
        <v>5119.8599999999997</v>
      </c>
      <c r="H3899" s="22" t="s">
        <v>22</v>
      </c>
      <c r="I3899" s="22">
        <v>0</v>
      </c>
      <c r="J3899" s="22" t="s">
        <v>53</v>
      </c>
      <c r="K3899" s="22" t="s">
        <v>23</v>
      </c>
      <c r="L3899" s="22">
        <v>3</v>
      </c>
      <c r="M3899" s="26">
        <v>56318</v>
      </c>
      <c r="N3899" s="26">
        <v>0</v>
      </c>
      <c r="O3899" s="15">
        <f t="shared" si="336"/>
        <v>56318</v>
      </c>
      <c r="P3899" s="15">
        <f t="shared" si="337"/>
        <v>10.999910153793268</v>
      </c>
      <c r="Q3899" s="25">
        <v>5000</v>
      </c>
      <c r="R3899" s="22">
        <v>100</v>
      </c>
      <c r="S3899" s="22" t="s">
        <v>4755</v>
      </c>
      <c r="T3899" s="22">
        <f t="shared" si="333"/>
        <v>1</v>
      </c>
      <c r="U3899" s="22">
        <f t="shared" si="334"/>
        <v>2022</v>
      </c>
      <c r="V3899" s="22" t="str">
        <f t="shared" si="335"/>
        <v>METROPOLITANA</v>
      </c>
    </row>
    <row r="3900" spans="1:22" x14ac:dyDescent="0.2">
      <c r="A3900" s="11" t="s">
        <v>4756</v>
      </c>
      <c r="B3900" s="12" t="s">
        <v>18</v>
      </c>
      <c r="C3900" s="12" t="s">
        <v>270</v>
      </c>
      <c r="D3900" s="12" t="s">
        <v>30</v>
      </c>
      <c r="E3900" s="13">
        <v>72564391</v>
      </c>
      <c r="F3900" s="12" t="s">
        <v>120</v>
      </c>
      <c r="G3900" s="14">
        <v>11748.91</v>
      </c>
      <c r="H3900" s="12" t="s">
        <v>32</v>
      </c>
      <c r="I3900" s="12">
        <v>0</v>
      </c>
      <c r="J3900" s="12" t="s">
        <v>120</v>
      </c>
      <c r="K3900" s="12" t="s">
        <v>23</v>
      </c>
      <c r="L3900" s="12">
        <v>5</v>
      </c>
      <c r="M3900" s="15">
        <v>70000</v>
      </c>
      <c r="N3900" s="15">
        <v>0</v>
      </c>
      <c r="O3900" s="15">
        <f t="shared" si="336"/>
        <v>70000</v>
      </c>
      <c r="P3900" s="15">
        <f t="shared" si="337"/>
        <v>5.9579995080394692</v>
      </c>
      <c r="Q3900" s="14">
        <v>10000</v>
      </c>
      <c r="R3900" s="12">
        <v>100</v>
      </c>
      <c r="S3900" s="12" t="s">
        <v>4757</v>
      </c>
      <c r="T3900" s="22">
        <f t="shared" si="333"/>
        <v>1</v>
      </c>
      <c r="U3900" s="22">
        <f t="shared" si="334"/>
        <v>2022</v>
      </c>
      <c r="V3900" s="22" t="str">
        <f t="shared" si="335"/>
        <v>METROPOLITANA</v>
      </c>
    </row>
    <row r="3901" spans="1:22" x14ac:dyDescent="0.2">
      <c r="A3901" s="11" t="s">
        <v>4756</v>
      </c>
      <c r="B3901" s="12" t="s">
        <v>18</v>
      </c>
      <c r="C3901" s="12" t="s">
        <v>19</v>
      </c>
      <c r="D3901" s="12" t="s">
        <v>164</v>
      </c>
      <c r="E3901" s="13">
        <v>154837728</v>
      </c>
      <c r="F3901" s="12" t="s">
        <v>418</v>
      </c>
      <c r="G3901" s="14">
        <v>19017.420000000009</v>
      </c>
      <c r="H3901" s="12" t="s">
        <v>22</v>
      </c>
      <c r="I3901" s="12">
        <v>1</v>
      </c>
      <c r="J3901" s="12" t="s">
        <v>418</v>
      </c>
      <c r="K3901" s="12" t="s">
        <v>171</v>
      </c>
      <c r="L3901" s="12">
        <v>0</v>
      </c>
      <c r="M3901" s="15">
        <v>230000</v>
      </c>
      <c r="N3901" s="15">
        <v>0</v>
      </c>
      <c r="O3901" s="15">
        <f t="shared" si="336"/>
        <v>230000</v>
      </c>
      <c r="P3901" s="15">
        <f t="shared" si="337"/>
        <v>12.094174709292842</v>
      </c>
      <c r="Q3901" s="14">
        <v>20000</v>
      </c>
      <c r="R3901" s="12">
        <v>95</v>
      </c>
      <c r="S3901" s="12" t="s">
        <v>4758</v>
      </c>
      <c r="T3901" s="22">
        <f t="shared" si="333"/>
        <v>1</v>
      </c>
      <c r="U3901" s="22">
        <f t="shared" si="334"/>
        <v>2022</v>
      </c>
      <c r="V3901" s="22" t="str">
        <f t="shared" si="335"/>
        <v>REGIONES</v>
      </c>
    </row>
    <row r="3902" spans="1:22" x14ac:dyDescent="0.2">
      <c r="A3902" s="11" t="s">
        <v>4756</v>
      </c>
      <c r="B3902" s="12" t="s">
        <v>33</v>
      </c>
      <c r="C3902" s="12" t="s">
        <v>128</v>
      </c>
      <c r="D3902" s="12" t="s">
        <v>2955</v>
      </c>
      <c r="E3902" s="13">
        <v>65941082</v>
      </c>
      <c r="F3902" s="12" t="s">
        <v>129</v>
      </c>
      <c r="G3902" s="14">
        <v>15645.599999999989</v>
      </c>
      <c r="H3902" s="12" t="s">
        <v>24</v>
      </c>
      <c r="I3902" s="12">
        <v>1</v>
      </c>
      <c r="J3902" s="12" t="s">
        <v>129</v>
      </c>
      <c r="K3902" s="12" t="s">
        <v>23</v>
      </c>
      <c r="L3902" s="12">
        <v>1</v>
      </c>
      <c r="M3902" s="15">
        <v>172102</v>
      </c>
      <c r="N3902" s="15">
        <v>0</v>
      </c>
      <c r="O3902" s="15">
        <f t="shared" si="336"/>
        <v>172102</v>
      </c>
      <c r="P3902" s="15">
        <f t="shared" si="337"/>
        <v>11.000025566293406</v>
      </c>
      <c r="Q3902" s="14">
        <v>5000</v>
      </c>
      <c r="R3902" s="12">
        <v>100</v>
      </c>
      <c r="S3902" s="12" t="s">
        <v>4759</v>
      </c>
      <c r="T3902" s="22">
        <f t="shared" si="333"/>
        <v>1</v>
      </c>
      <c r="U3902" s="22">
        <f t="shared" si="334"/>
        <v>2022</v>
      </c>
      <c r="V3902" s="22" t="str">
        <f t="shared" si="335"/>
        <v>METROPOLITANA</v>
      </c>
    </row>
    <row r="3903" spans="1:22" x14ac:dyDescent="0.2">
      <c r="A3903" s="11" t="s">
        <v>4756</v>
      </c>
      <c r="B3903" s="12" t="s">
        <v>33</v>
      </c>
      <c r="C3903" s="12" t="s">
        <v>36</v>
      </c>
      <c r="D3903" s="12" t="s">
        <v>786</v>
      </c>
      <c r="E3903" s="13">
        <v>95707734</v>
      </c>
      <c r="F3903" s="12" t="s">
        <v>274</v>
      </c>
      <c r="G3903" s="14">
        <f>5962.8+5306</f>
        <v>11268.8</v>
      </c>
      <c r="H3903" s="12" t="s">
        <v>788</v>
      </c>
      <c r="I3903" s="12">
        <v>1</v>
      </c>
      <c r="J3903" s="12" t="s">
        <v>274</v>
      </c>
      <c r="K3903" s="12" t="s">
        <v>78</v>
      </c>
      <c r="L3903" s="12">
        <v>0</v>
      </c>
      <c r="M3903" s="15">
        <v>275000</v>
      </c>
      <c r="N3903" s="15">
        <v>0</v>
      </c>
      <c r="O3903" s="15">
        <f t="shared" si="336"/>
        <v>275000</v>
      </c>
      <c r="P3903" s="15">
        <f t="shared" si="337"/>
        <v>24.403663211699563</v>
      </c>
      <c r="Q3903" s="14">
        <v>20000</v>
      </c>
      <c r="R3903" s="12">
        <v>85</v>
      </c>
      <c r="S3903" s="12" t="s">
        <v>4765</v>
      </c>
      <c r="T3903" s="22">
        <f t="shared" si="333"/>
        <v>1</v>
      </c>
      <c r="U3903" s="22">
        <f t="shared" si="334"/>
        <v>2022</v>
      </c>
      <c r="V3903" s="22" t="str">
        <f t="shared" si="335"/>
        <v>REGIONES</v>
      </c>
    </row>
    <row r="3904" spans="1:22" x14ac:dyDescent="0.2">
      <c r="A3904" s="11" t="s">
        <v>4756</v>
      </c>
      <c r="B3904" s="12" t="s">
        <v>33</v>
      </c>
      <c r="C3904" s="12" t="s">
        <v>36</v>
      </c>
      <c r="D3904" s="12" t="s">
        <v>63</v>
      </c>
      <c r="E3904" s="13">
        <v>138841065</v>
      </c>
      <c r="F3904" s="12" t="s">
        <v>225</v>
      </c>
      <c r="G3904" s="14">
        <v>6722.44</v>
      </c>
      <c r="H3904" s="12" t="s">
        <v>65</v>
      </c>
      <c r="I3904" s="12">
        <v>0</v>
      </c>
      <c r="J3904" s="12" t="s">
        <v>225</v>
      </c>
      <c r="K3904" s="12" t="s">
        <v>23</v>
      </c>
      <c r="L3904" s="12">
        <v>3</v>
      </c>
      <c r="M3904" s="15">
        <v>73947</v>
      </c>
      <c r="N3904" s="15">
        <v>0</v>
      </c>
      <c r="O3904" s="15">
        <f t="shared" si="336"/>
        <v>73947</v>
      </c>
      <c r="P3904" s="15">
        <f t="shared" si="337"/>
        <v>11.000023800881824</v>
      </c>
      <c r="Q3904" s="14">
        <v>5000</v>
      </c>
      <c r="R3904" s="12">
        <v>100</v>
      </c>
      <c r="S3904" s="12" t="s">
        <v>4760</v>
      </c>
      <c r="T3904" s="22">
        <f t="shared" si="333"/>
        <v>1</v>
      </c>
      <c r="U3904" s="22">
        <f t="shared" si="334"/>
        <v>2022</v>
      </c>
      <c r="V3904" s="22" t="str">
        <f t="shared" si="335"/>
        <v>METROPOLITANA</v>
      </c>
    </row>
    <row r="3905" spans="1:22" x14ac:dyDescent="0.2">
      <c r="A3905" s="11" t="s">
        <v>4756</v>
      </c>
      <c r="B3905" s="12" t="s">
        <v>33</v>
      </c>
      <c r="C3905" s="12" t="s">
        <v>44</v>
      </c>
      <c r="D3905" s="12" t="s">
        <v>191</v>
      </c>
      <c r="E3905" s="13">
        <v>78551976</v>
      </c>
      <c r="F3905" s="12" t="s">
        <v>92</v>
      </c>
      <c r="G3905" s="14">
        <v>11133.999999999991</v>
      </c>
      <c r="H3905" s="12" t="s">
        <v>85</v>
      </c>
      <c r="I3905" s="12">
        <v>1</v>
      </c>
      <c r="J3905" s="12" t="s">
        <v>92</v>
      </c>
      <c r="K3905" s="12" t="s">
        <v>93</v>
      </c>
      <c r="L3905" s="12">
        <v>0</v>
      </c>
      <c r="M3905" s="15">
        <v>665000</v>
      </c>
      <c r="N3905" s="15">
        <v>0</v>
      </c>
      <c r="O3905" s="15">
        <f t="shared" si="336"/>
        <v>665000</v>
      </c>
      <c r="P3905" s="15">
        <f t="shared" si="337"/>
        <v>59.726962457337933</v>
      </c>
      <c r="Q3905" s="14">
        <v>20000</v>
      </c>
      <c r="R3905" s="12">
        <v>56</v>
      </c>
      <c r="S3905" s="12" t="s">
        <v>4761</v>
      </c>
      <c r="T3905" s="22">
        <f t="shared" si="333"/>
        <v>1</v>
      </c>
      <c r="U3905" s="22">
        <f t="shared" si="334"/>
        <v>2022</v>
      </c>
      <c r="V3905" s="22" t="str">
        <f t="shared" si="335"/>
        <v>REGIONES</v>
      </c>
    </row>
    <row r="3906" spans="1:22" x14ac:dyDescent="0.2">
      <c r="A3906" s="11" t="s">
        <v>4756</v>
      </c>
      <c r="B3906" s="12" t="s">
        <v>33</v>
      </c>
      <c r="C3906" s="12" t="s">
        <v>44</v>
      </c>
      <c r="D3906" s="12" t="s">
        <v>38</v>
      </c>
      <c r="E3906" s="13">
        <v>53173292</v>
      </c>
      <c r="F3906" s="12" t="s">
        <v>229</v>
      </c>
      <c r="G3906" s="14">
        <v>6718.54</v>
      </c>
      <c r="H3906" s="12" t="s">
        <v>43</v>
      </c>
      <c r="I3906" s="12">
        <v>0</v>
      </c>
      <c r="J3906" s="12" t="s">
        <v>230</v>
      </c>
      <c r="K3906" s="12" t="s">
        <v>23</v>
      </c>
      <c r="L3906" s="12">
        <v>4</v>
      </c>
      <c r="M3906" s="15">
        <v>73904</v>
      </c>
      <c r="N3906" s="15">
        <v>0</v>
      </c>
      <c r="O3906" s="15">
        <f t="shared" si="336"/>
        <v>73904</v>
      </c>
      <c r="P3906" s="15">
        <f t="shared" si="337"/>
        <v>11.000008930511688</v>
      </c>
      <c r="Q3906" s="14">
        <v>5000</v>
      </c>
      <c r="R3906" s="12">
        <v>100</v>
      </c>
      <c r="S3906" s="12" t="s">
        <v>4762</v>
      </c>
      <c r="T3906" s="22">
        <f t="shared" si="333"/>
        <v>1</v>
      </c>
      <c r="U3906" s="22">
        <f t="shared" si="334"/>
        <v>2022</v>
      </c>
      <c r="V3906" s="22" t="str">
        <f t="shared" si="335"/>
        <v>METROPOLITANA</v>
      </c>
    </row>
    <row r="3907" spans="1:22" x14ac:dyDescent="0.2">
      <c r="A3907" s="11" t="s">
        <v>4756</v>
      </c>
      <c r="B3907" s="12" t="s">
        <v>33</v>
      </c>
      <c r="C3907" s="12" t="s">
        <v>44</v>
      </c>
      <c r="D3907" s="12" t="s">
        <v>47</v>
      </c>
      <c r="E3907" s="13">
        <v>99626232</v>
      </c>
      <c r="F3907" s="12" t="s">
        <v>48</v>
      </c>
      <c r="G3907" s="14">
        <v>7591.8199999999979</v>
      </c>
      <c r="H3907" s="12" t="s">
        <v>22</v>
      </c>
      <c r="I3907" s="12">
        <v>0</v>
      </c>
      <c r="J3907" s="12" t="s">
        <v>48</v>
      </c>
      <c r="K3907" s="12" t="s">
        <v>23</v>
      </c>
      <c r="L3907" s="12">
        <v>1</v>
      </c>
      <c r="M3907" s="15">
        <v>83510</v>
      </c>
      <c r="N3907" s="15">
        <v>0</v>
      </c>
      <c r="O3907" s="15">
        <f t="shared" si="336"/>
        <v>83510</v>
      </c>
      <c r="P3907" s="15">
        <f t="shared" si="337"/>
        <v>10.999997365585594</v>
      </c>
      <c r="Q3907" s="14">
        <v>5000</v>
      </c>
      <c r="R3907" s="12">
        <v>100</v>
      </c>
      <c r="S3907" s="12" t="s">
        <v>4763</v>
      </c>
      <c r="T3907" s="22">
        <f t="shared" si="333"/>
        <v>1</v>
      </c>
      <c r="U3907" s="22">
        <f t="shared" si="334"/>
        <v>2022</v>
      </c>
      <c r="V3907" s="22" t="str">
        <f t="shared" si="335"/>
        <v>METROPOLITANA</v>
      </c>
    </row>
    <row r="3908" spans="1:22" x14ac:dyDescent="0.2">
      <c r="A3908" s="11" t="s">
        <v>4756</v>
      </c>
      <c r="B3908" s="12" t="s">
        <v>33</v>
      </c>
      <c r="C3908" s="12" t="s">
        <v>44</v>
      </c>
      <c r="D3908" s="12" t="s">
        <v>41</v>
      </c>
      <c r="E3908" s="13">
        <v>125108660</v>
      </c>
      <c r="F3908" s="12" t="s">
        <v>94</v>
      </c>
      <c r="G3908" s="14">
        <v>6226.4999999999991</v>
      </c>
      <c r="H3908" s="12" t="s">
        <v>43</v>
      </c>
      <c r="I3908" s="12">
        <v>0</v>
      </c>
      <c r="J3908" s="12" t="s">
        <v>59</v>
      </c>
      <c r="K3908" s="12" t="s">
        <v>78</v>
      </c>
      <c r="L3908" s="12">
        <v>0</v>
      </c>
      <c r="M3908" s="15">
        <v>180000</v>
      </c>
      <c r="N3908" s="15">
        <v>0</v>
      </c>
      <c r="O3908" s="15">
        <f t="shared" si="336"/>
        <v>180000</v>
      </c>
      <c r="P3908" s="15">
        <f t="shared" si="337"/>
        <v>28.908696699590465</v>
      </c>
      <c r="Q3908" s="14">
        <v>20000</v>
      </c>
      <c r="R3908" s="12">
        <v>31</v>
      </c>
      <c r="S3908" s="12" t="s">
        <v>4764</v>
      </c>
      <c r="T3908" s="22">
        <f t="shared" si="333"/>
        <v>1</v>
      </c>
      <c r="U3908" s="22">
        <f t="shared" si="334"/>
        <v>2022</v>
      </c>
      <c r="V3908" s="22" t="str">
        <f t="shared" si="335"/>
        <v>REGIONES</v>
      </c>
    </row>
    <row r="3909" spans="1:22" x14ac:dyDescent="0.2">
      <c r="A3909" s="23" t="s">
        <v>4766</v>
      </c>
      <c r="B3909" s="22" t="s">
        <v>33</v>
      </c>
      <c r="C3909" s="22" t="s">
        <v>128</v>
      </c>
      <c r="D3909" s="22" t="s">
        <v>37</v>
      </c>
      <c r="E3909" s="24" t="s">
        <v>40</v>
      </c>
      <c r="F3909" s="22" t="s">
        <v>34</v>
      </c>
      <c r="G3909" s="25">
        <v>2760.8</v>
      </c>
      <c r="H3909" s="22" t="s">
        <v>22</v>
      </c>
      <c r="I3909" s="22">
        <v>0</v>
      </c>
      <c r="J3909" s="22" t="s">
        <v>34</v>
      </c>
      <c r="K3909" s="22" t="s">
        <v>23</v>
      </c>
      <c r="L3909" s="22">
        <v>1</v>
      </c>
      <c r="M3909" s="26">
        <v>55000</v>
      </c>
      <c r="N3909" s="26">
        <v>0</v>
      </c>
      <c r="O3909" s="15">
        <f t="shared" si="336"/>
        <v>55000</v>
      </c>
      <c r="P3909" s="15">
        <f t="shared" si="337"/>
        <v>19.921761808171542</v>
      </c>
      <c r="Q3909" s="25">
        <v>5000</v>
      </c>
      <c r="R3909" s="22">
        <v>55</v>
      </c>
      <c r="S3909" s="22" t="s">
        <v>4767</v>
      </c>
      <c r="T3909" s="22">
        <f t="shared" si="333"/>
        <v>1</v>
      </c>
      <c r="U3909" s="22">
        <f t="shared" si="334"/>
        <v>2022</v>
      </c>
      <c r="V3909" s="22" t="str">
        <f t="shared" si="335"/>
        <v>METROPOLITANA</v>
      </c>
    </row>
    <row r="3910" spans="1:22" x14ac:dyDescent="0.2">
      <c r="A3910" s="23" t="s">
        <v>4766</v>
      </c>
      <c r="B3910" s="22" t="s">
        <v>33</v>
      </c>
      <c r="C3910" s="22" t="s">
        <v>36</v>
      </c>
      <c r="D3910" s="22" t="s">
        <v>130</v>
      </c>
      <c r="E3910" s="24" t="s">
        <v>131</v>
      </c>
      <c r="F3910" s="22" t="s">
        <v>1026</v>
      </c>
      <c r="G3910" s="25">
        <v>9295.279999999997</v>
      </c>
      <c r="H3910" s="22" t="s">
        <v>85</v>
      </c>
      <c r="I3910" s="22">
        <v>1</v>
      </c>
      <c r="J3910" s="22" t="s">
        <v>1026</v>
      </c>
      <c r="K3910" s="22" t="s">
        <v>408</v>
      </c>
      <c r="L3910" s="22">
        <v>0</v>
      </c>
      <c r="M3910" s="26">
        <v>650000</v>
      </c>
      <c r="N3910" s="26">
        <v>0</v>
      </c>
      <c r="O3910" s="15">
        <f t="shared" si="336"/>
        <v>650000</v>
      </c>
      <c r="P3910" s="15">
        <f t="shared" si="337"/>
        <v>69.927963439509114</v>
      </c>
      <c r="Q3910" s="25">
        <v>20000</v>
      </c>
      <c r="R3910" s="22">
        <v>46</v>
      </c>
      <c r="S3910" s="22" t="s">
        <v>4768</v>
      </c>
      <c r="T3910" s="22">
        <f t="shared" si="333"/>
        <v>1</v>
      </c>
      <c r="U3910" s="22">
        <f t="shared" si="334"/>
        <v>2022</v>
      </c>
      <c r="V3910" s="22" t="str">
        <f t="shared" si="335"/>
        <v>REGIONES</v>
      </c>
    </row>
    <row r="3911" spans="1:22" x14ac:dyDescent="0.2">
      <c r="A3911" s="23" t="s">
        <v>4766</v>
      </c>
      <c r="B3911" s="22" t="s">
        <v>33</v>
      </c>
      <c r="C3911" s="22" t="s">
        <v>36</v>
      </c>
      <c r="D3911" s="22" t="s">
        <v>636</v>
      </c>
      <c r="E3911" s="24" t="s">
        <v>639</v>
      </c>
      <c r="F3911" s="22" t="s">
        <v>92</v>
      </c>
      <c r="G3911" s="25">
        <v>8884.4800000000014</v>
      </c>
      <c r="H3911" s="22" t="s">
        <v>85</v>
      </c>
      <c r="I3911" s="22">
        <v>1</v>
      </c>
      <c r="J3911" s="22" t="s">
        <v>92</v>
      </c>
      <c r="K3911" s="22" t="s">
        <v>93</v>
      </c>
      <c r="L3911" s="22">
        <v>0</v>
      </c>
      <c r="M3911" s="26">
        <v>665000</v>
      </c>
      <c r="N3911" s="26">
        <v>0</v>
      </c>
      <c r="O3911" s="15">
        <f t="shared" si="336"/>
        <v>665000</v>
      </c>
      <c r="P3911" s="15">
        <f t="shared" si="337"/>
        <v>74.849625414205434</v>
      </c>
      <c r="Q3911" s="25">
        <v>20000</v>
      </c>
      <c r="R3911" s="22">
        <v>44</v>
      </c>
      <c r="S3911" s="22" t="s">
        <v>4769</v>
      </c>
      <c r="T3911" s="22">
        <f t="shared" si="333"/>
        <v>1</v>
      </c>
      <c r="U3911" s="22">
        <f t="shared" si="334"/>
        <v>2022</v>
      </c>
      <c r="V3911" s="22" t="str">
        <f t="shared" si="335"/>
        <v>REGIONES</v>
      </c>
    </row>
    <row r="3912" spans="1:22" x14ac:dyDescent="0.2">
      <c r="A3912" s="23" t="s">
        <v>4766</v>
      </c>
      <c r="B3912" s="22" t="s">
        <v>33</v>
      </c>
      <c r="C3912" s="22" t="s">
        <v>36</v>
      </c>
      <c r="D3912" s="22" t="s">
        <v>63</v>
      </c>
      <c r="E3912" s="24" t="s">
        <v>64</v>
      </c>
      <c r="F3912" s="22" t="s">
        <v>46</v>
      </c>
      <c r="G3912" s="25">
        <v>6703.66</v>
      </c>
      <c r="H3912" s="22" t="s">
        <v>65</v>
      </c>
      <c r="I3912" s="22">
        <v>0</v>
      </c>
      <c r="J3912" s="22" t="s">
        <v>46</v>
      </c>
      <c r="K3912" s="22" t="s">
        <v>23</v>
      </c>
      <c r="L3912" s="22">
        <v>2</v>
      </c>
      <c r="M3912" s="26">
        <v>73740</v>
      </c>
      <c r="N3912" s="26">
        <v>0</v>
      </c>
      <c r="O3912" s="15">
        <f t="shared" si="336"/>
        <v>73740</v>
      </c>
      <c r="P3912" s="15">
        <f t="shared" si="337"/>
        <v>10.999961215216763</v>
      </c>
      <c r="Q3912" s="25">
        <v>5000</v>
      </c>
      <c r="R3912" s="22">
        <v>100</v>
      </c>
      <c r="S3912" s="22" t="s">
        <v>4770</v>
      </c>
      <c r="T3912" s="22">
        <f t="shared" ref="T3912:T3975" si="338">MONTH(A3912)</f>
        <v>1</v>
      </c>
      <c r="U3912" s="22">
        <f t="shared" ref="U3912:U3975" si="339">YEAR(A3912)</f>
        <v>2022</v>
      </c>
      <c r="V3912" s="22" t="str">
        <f t="shared" ref="V3912:V3975" si="340">IF(K3912="METROPOLITANA DE SANTIAGO","METROPOLITANA","REGIONES")</f>
        <v>METROPOLITANA</v>
      </c>
    </row>
    <row r="3913" spans="1:22" x14ac:dyDescent="0.2">
      <c r="A3913" s="23" t="s">
        <v>4766</v>
      </c>
      <c r="B3913" s="22" t="s">
        <v>33</v>
      </c>
      <c r="C3913" s="22" t="s">
        <v>36</v>
      </c>
      <c r="D3913" s="22" t="s">
        <v>4733</v>
      </c>
      <c r="E3913" s="24" t="s">
        <v>957</v>
      </c>
      <c r="F3913" s="22" t="s">
        <v>815</v>
      </c>
      <c r="G3913" s="25">
        <v>10356.08</v>
      </c>
      <c r="H3913" s="22" t="s">
        <v>24</v>
      </c>
      <c r="I3913" s="22">
        <v>1</v>
      </c>
      <c r="J3913" s="22" t="s">
        <v>815</v>
      </c>
      <c r="K3913" s="22" t="s">
        <v>75</v>
      </c>
      <c r="L3913" s="22">
        <v>0</v>
      </c>
      <c r="M3913" s="26">
        <v>460000</v>
      </c>
      <c r="N3913" s="26">
        <v>0</v>
      </c>
      <c r="O3913" s="15">
        <f t="shared" si="336"/>
        <v>460000</v>
      </c>
      <c r="P3913" s="15">
        <f t="shared" si="337"/>
        <v>44.418351345296678</v>
      </c>
      <c r="Q3913" s="25">
        <v>20000</v>
      </c>
      <c r="R3913" s="22">
        <v>52</v>
      </c>
      <c r="S3913" s="22" t="s">
        <v>4771</v>
      </c>
      <c r="T3913" s="22">
        <f t="shared" si="338"/>
        <v>1</v>
      </c>
      <c r="U3913" s="22">
        <f t="shared" si="339"/>
        <v>2022</v>
      </c>
      <c r="V3913" s="22" t="str">
        <f t="shared" si="340"/>
        <v>REGIONES</v>
      </c>
    </row>
    <row r="3914" spans="1:22" x14ac:dyDescent="0.2">
      <c r="A3914" s="23" t="s">
        <v>4766</v>
      </c>
      <c r="B3914" s="22" t="s">
        <v>33</v>
      </c>
      <c r="C3914" s="22" t="s">
        <v>29</v>
      </c>
      <c r="D3914" s="22" t="s">
        <v>38</v>
      </c>
      <c r="E3914" s="24" t="s">
        <v>25</v>
      </c>
      <c r="F3914" s="22" t="s">
        <v>39</v>
      </c>
      <c r="G3914" s="25">
        <v>9197.5</v>
      </c>
      <c r="H3914" s="22" t="s">
        <v>43</v>
      </c>
      <c r="I3914" s="22">
        <v>0</v>
      </c>
      <c r="J3914" s="22" t="s">
        <v>39</v>
      </c>
      <c r="K3914" s="22" t="s">
        <v>23</v>
      </c>
      <c r="L3914" s="22">
        <v>1</v>
      </c>
      <c r="M3914" s="26">
        <v>101172</v>
      </c>
      <c r="N3914" s="26">
        <v>0</v>
      </c>
      <c r="O3914" s="15">
        <f t="shared" si="336"/>
        <v>101172</v>
      </c>
      <c r="P3914" s="15">
        <f t="shared" si="337"/>
        <v>10.999945637401467</v>
      </c>
      <c r="Q3914" s="25">
        <v>5000</v>
      </c>
      <c r="R3914" s="22">
        <v>100</v>
      </c>
      <c r="S3914" s="22" t="s">
        <v>4772</v>
      </c>
      <c r="T3914" s="22">
        <f t="shared" si="338"/>
        <v>1</v>
      </c>
      <c r="U3914" s="22">
        <f t="shared" si="339"/>
        <v>2022</v>
      </c>
      <c r="V3914" s="22" t="str">
        <f t="shared" si="340"/>
        <v>METROPOLITANA</v>
      </c>
    </row>
    <row r="3915" spans="1:22" x14ac:dyDescent="0.2">
      <c r="A3915" s="23" t="s">
        <v>4766</v>
      </c>
      <c r="B3915" s="22" t="s">
        <v>33</v>
      </c>
      <c r="C3915" s="22" t="s">
        <v>29</v>
      </c>
      <c r="D3915" s="22" t="s">
        <v>38</v>
      </c>
      <c r="E3915" s="24" t="s">
        <v>42</v>
      </c>
      <c r="F3915" s="22" t="s">
        <v>134</v>
      </c>
      <c r="G3915" s="25">
        <v>3765.4900000000011</v>
      </c>
      <c r="H3915" s="22" t="s">
        <v>43</v>
      </c>
      <c r="I3915" s="22">
        <v>0</v>
      </c>
      <c r="J3915" s="22" t="s">
        <v>134</v>
      </c>
      <c r="K3915" s="22" t="s">
        <v>23</v>
      </c>
      <c r="L3915" s="22">
        <v>2</v>
      </c>
      <c r="M3915" s="26">
        <v>55000</v>
      </c>
      <c r="N3915" s="26">
        <v>0</v>
      </c>
      <c r="O3915" s="15">
        <f t="shared" si="336"/>
        <v>55000</v>
      </c>
      <c r="P3915" s="15">
        <f t="shared" si="337"/>
        <v>14.606332774751754</v>
      </c>
      <c r="Q3915" s="25">
        <v>5000</v>
      </c>
      <c r="R3915" s="22">
        <v>75</v>
      </c>
      <c r="S3915" s="22" t="s">
        <v>4773</v>
      </c>
      <c r="T3915" s="22">
        <f t="shared" si="338"/>
        <v>1</v>
      </c>
      <c r="U3915" s="22">
        <f t="shared" si="339"/>
        <v>2022</v>
      </c>
      <c r="V3915" s="22" t="str">
        <f t="shared" si="340"/>
        <v>METROPOLITANA</v>
      </c>
    </row>
    <row r="3916" spans="1:22" x14ac:dyDescent="0.2">
      <c r="A3916" s="23" t="s">
        <v>4766</v>
      </c>
      <c r="B3916" s="22" t="s">
        <v>33</v>
      </c>
      <c r="C3916" s="22" t="s">
        <v>29</v>
      </c>
      <c r="D3916" s="22" t="s">
        <v>164</v>
      </c>
      <c r="E3916" s="24" t="s">
        <v>1576</v>
      </c>
      <c r="F3916" s="22" t="s">
        <v>39</v>
      </c>
      <c r="G3916" s="25">
        <v>16508.8</v>
      </c>
      <c r="H3916" s="22" t="s">
        <v>22</v>
      </c>
      <c r="I3916" s="22">
        <v>1</v>
      </c>
      <c r="J3916" s="22" t="s">
        <v>39</v>
      </c>
      <c r="K3916" s="22" t="s">
        <v>23</v>
      </c>
      <c r="L3916" s="22">
        <v>1</v>
      </c>
      <c r="M3916" s="26">
        <v>181597</v>
      </c>
      <c r="N3916" s="26">
        <v>0</v>
      </c>
      <c r="O3916" s="15">
        <f t="shared" si="336"/>
        <v>181597</v>
      </c>
      <c r="P3916" s="15">
        <f t="shared" si="337"/>
        <v>11.000012114750922</v>
      </c>
      <c r="Q3916" s="25">
        <v>5000</v>
      </c>
      <c r="R3916" s="22">
        <v>100</v>
      </c>
      <c r="S3916" s="22" t="s">
        <v>4774</v>
      </c>
      <c r="T3916" s="22">
        <f t="shared" si="338"/>
        <v>1</v>
      </c>
      <c r="U3916" s="22">
        <f t="shared" si="339"/>
        <v>2022</v>
      </c>
      <c r="V3916" s="22" t="str">
        <f t="shared" si="340"/>
        <v>METROPOLITANA</v>
      </c>
    </row>
    <row r="3917" spans="1:22" x14ac:dyDescent="0.2">
      <c r="A3917" s="23" t="s">
        <v>4766</v>
      </c>
      <c r="B3917" s="22" t="s">
        <v>33</v>
      </c>
      <c r="C3917" s="22" t="s">
        <v>44</v>
      </c>
      <c r="D3917" s="22" t="s">
        <v>45</v>
      </c>
      <c r="E3917" s="24" t="s">
        <v>21</v>
      </c>
      <c r="F3917" s="22" t="s">
        <v>51</v>
      </c>
      <c r="G3917" s="25">
        <v>5845.5499999999984</v>
      </c>
      <c r="H3917" s="22" t="s">
        <v>22</v>
      </c>
      <c r="I3917" s="22">
        <v>0</v>
      </c>
      <c r="J3917" s="22" t="s">
        <v>51</v>
      </c>
      <c r="K3917" s="22" t="s">
        <v>23</v>
      </c>
      <c r="L3917" s="22">
        <v>4</v>
      </c>
      <c r="M3917" s="26">
        <v>64301</v>
      </c>
      <c r="N3917" s="26">
        <v>0</v>
      </c>
      <c r="O3917" s="15">
        <f t="shared" si="336"/>
        <v>64301</v>
      </c>
      <c r="P3917" s="15">
        <f t="shared" si="337"/>
        <v>10.999991446484936</v>
      </c>
      <c r="Q3917" s="25">
        <v>5000</v>
      </c>
      <c r="R3917" s="22">
        <v>100</v>
      </c>
      <c r="S3917" s="22" t="s">
        <v>4775</v>
      </c>
      <c r="T3917" s="22">
        <f t="shared" si="338"/>
        <v>1</v>
      </c>
      <c r="U3917" s="22">
        <f t="shared" si="339"/>
        <v>2022</v>
      </c>
      <c r="V3917" s="22" t="str">
        <f t="shared" si="340"/>
        <v>METROPOLITANA</v>
      </c>
    </row>
    <row r="3918" spans="1:22" x14ac:dyDescent="0.2">
      <c r="A3918" s="23" t="s">
        <v>4766</v>
      </c>
      <c r="B3918" s="22" t="s">
        <v>33</v>
      </c>
      <c r="C3918" s="22" t="s">
        <v>44</v>
      </c>
      <c r="D3918" s="22" t="s">
        <v>47</v>
      </c>
      <c r="E3918" s="24" t="s">
        <v>52</v>
      </c>
      <c r="F3918" s="22" t="s">
        <v>48</v>
      </c>
      <c r="G3918" s="25">
        <v>5793.98</v>
      </c>
      <c r="H3918" s="22" t="s">
        <v>22</v>
      </c>
      <c r="I3918" s="22">
        <v>0</v>
      </c>
      <c r="J3918" s="22" t="s">
        <v>48</v>
      </c>
      <c r="K3918" s="22" t="s">
        <v>23</v>
      </c>
      <c r="L3918" s="22">
        <v>1</v>
      </c>
      <c r="M3918" s="26">
        <v>63734</v>
      </c>
      <c r="N3918" s="26">
        <v>0</v>
      </c>
      <c r="O3918" s="15">
        <f t="shared" si="336"/>
        <v>63734</v>
      </c>
      <c r="P3918" s="15">
        <f t="shared" si="337"/>
        <v>11.000037970445186</v>
      </c>
      <c r="Q3918" s="25">
        <v>5000</v>
      </c>
      <c r="R3918" s="22">
        <v>100</v>
      </c>
      <c r="S3918" s="22" t="s">
        <v>4776</v>
      </c>
      <c r="T3918" s="22">
        <f t="shared" si="338"/>
        <v>1</v>
      </c>
      <c r="U3918" s="22">
        <f t="shared" si="339"/>
        <v>2022</v>
      </c>
      <c r="V3918" s="22" t="str">
        <f t="shared" si="340"/>
        <v>METROPOLITANA</v>
      </c>
    </row>
    <row r="3919" spans="1:22" x14ac:dyDescent="0.2">
      <c r="A3919" s="11" t="s">
        <v>4777</v>
      </c>
      <c r="B3919" s="12" t="s">
        <v>18</v>
      </c>
      <c r="C3919" s="12" t="s">
        <v>19</v>
      </c>
      <c r="D3919" s="12" t="s">
        <v>2262</v>
      </c>
      <c r="E3919" s="13" t="s">
        <v>83</v>
      </c>
      <c r="F3919" s="12" t="s">
        <v>84</v>
      </c>
      <c r="G3919" s="14">
        <v>24589.25</v>
      </c>
      <c r="H3919" s="12" t="s">
        <v>24</v>
      </c>
      <c r="I3919" s="12">
        <v>1</v>
      </c>
      <c r="J3919" s="12" t="s">
        <v>84</v>
      </c>
      <c r="K3919" s="12" t="s">
        <v>86</v>
      </c>
      <c r="L3919" s="12">
        <v>0</v>
      </c>
      <c r="M3919" s="15">
        <v>330000</v>
      </c>
      <c r="N3919" s="15">
        <v>0</v>
      </c>
      <c r="O3919" s="15">
        <f t="shared" si="336"/>
        <v>330000</v>
      </c>
      <c r="P3919" s="15">
        <f t="shared" si="337"/>
        <v>13.420498795205221</v>
      </c>
      <c r="Q3919" s="14">
        <v>20000</v>
      </c>
      <c r="R3919" s="12">
        <v>100</v>
      </c>
      <c r="S3919" s="12" t="s">
        <v>4778</v>
      </c>
      <c r="T3919" s="22">
        <f t="shared" si="338"/>
        <v>1</v>
      </c>
      <c r="U3919" s="22">
        <f t="shared" si="339"/>
        <v>2022</v>
      </c>
      <c r="V3919" s="22" t="str">
        <f t="shared" si="340"/>
        <v>REGIONES</v>
      </c>
    </row>
    <row r="3920" spans="1:22" x14ac:dyDescent="0.2">
      <c r="A3920" s="11" t="s">
        <v>4777</v>
      </c>
      <c r="B3920" s="12" t="s">
        <v>33</v>
      </c>
      <c r="C3920" s="12" t="s">
        <v>36</v>
      </c>
      <c r="D3920" s="12" t="s">
        <v>30</v>
      </c>
      <c r="E3920" s="13" t="s">
        <v>31</v>
      </c>
      <c r="F3920" s="12" t="s">
        <v>34</v>
      </c>
      <c r="G3920" s="14">
        <v>5961.6399999999994</v>
      </c>
      <c r="H3920" s="12" t="s">
        <v>32</v>
      </c>
      <c r="I3920" s="12">
        <v>0</v>
      </c>
      <c r="J3920" s="12" t="s">
        <v>34</v>
      </c>
      <c r="K3920" s="12" t="s">
        <v>23</v>
      </c>
      <c r="L3920" s="12">
        <v>1</v>
      </c>
      <c r="M3920" s="15">
        <v>65578</v>
      </c>
      <c r="N3920" s="15">
        <v>0</v>
      </c>
      <c r="O3920" s="15">
        <f t="shared" si="336"/>
        <v>65578</v>
      </c>
      <c r="P3920" s="15">
        <f t="shared" si="337"/>
        <v>10.99999329043686</v>
      </c>
      <c r="Q3920" s="14">
        <v>5000</v>
      </c>
      <c r="R3920" s="12">
        <v>100</v>
      </c>
      <c r="S3920" s="12" t="s">
        <v>4779</v>
      </c>
      <c r="T3920" s="22">
        <f t="shared" si="338"/>
        <v>1</v>
      </c>
      <c r="U3920" s="22">
        <f t="shared" si="339"/>
        <v>2022</v>
      </c>
      <c r="V3920" s="22" t="str">
        <f t="shared" si="340"/>
        <v>METROPOLITANA</v>
      </c>
    </row>
    <row r="3921" spans="1:22" x14ac:dyDescent="0.2">
      <c r="A3921" s="11" t="s">
        <v>4777</v>
      </c>
      <c r="B3921" s="12" t="s">
        <v>33</v>
      </c>
      <c r="C3921" s="12" t="s">
        <v>36</v>
      </c>
      <c r="D3921" s="12" t="s">
        <v>45</v>
      </c>
      <c r="E3921" s="13" t="s">
        <v>52</v>
      </c>
      <c r="F3921" s="12" t="s">
        <v>53</v>
      </c>
      <c r="G3921" s="14">
        <v>6004.26</v>
      </c>
      <c r="H3921" s="12" t="s">
        <v>22</v>
      </c>
      <c r="I3921" s="12">
        <v>0</v>
      </c>
      <c r="J3921" s="12" t="s">
        <v>53</v>
      </c>
      <c r="K3921" s="12" t="s">
        <v>23</v>
      </c>
      <c r="L3921" s="12">
        <v>3</v>
      </c>
      <c r="M3921" s="15">
        <v>66047</v>
      </c>
      <c r="N3921" s="15">
        <v>0</v>
      </c>
      <c r="O3921" s="15">
        <f t="shared" si="336"/>
        <v>66047</v>
      </c>
      <c r="P3921" s="15">
        <f t="shared" si="337"/>
        <v>11.000023316778421</v>
      </c>
      <c r="Q3921" s="14">
        <v>5000</v>
      </c>
      <c r="R3921" s="12">
        <v>100</v>
      </c>
      <c r="S3921" s="12" t="s">
        <v>4780</v>
      </c>
      <c r="T3921" s="22">
        <f t="shared" si="338"/>
        <v>1</v>
      </c>
      <c r="U3921" s="22">
        <f t="shared" si="339"/>
        <v>2022</v>
      </c>
      <c r="V3921" s="22" t="str">
        <f t="shared" si="340"/>
        <v>METROPOLITANA</v>
      </c>
    </row>
    <row r="3922" spans="1:22" x14ac:dyDescent="0.2">
      <c r="A3922" s="11" t="s">
        <v>4777</v>
      </c>
      <c r="B3922" s="12" t="s">
        <v>33</v>
      </c>
      <c r="C3922" s="12" t="s">
        <v>29</v>
      </c>
      <c r="D3922" s="12" t="s">
        <v>37</v>
      </c>
      <c r="E3922" s="13" t="s">
        <v>40</v>
      </c>
      <c r="F3922" s="12" t="s">
        <v>39</v>
      </c>
      <c r="G3922" s="14">
        <v>17875</v>
      </c>
      <c r="H3922" s="12" t="s">
        <v>22</v>
      </c>
      <c r="I3922" s="12">
        <v>0</v>
      </c>
      <c r="J3922" s="12" t="s">
        <v>39</v>
      </c>
      <c r="K3922" s="12" t="s">
        <v>23</v>
      </c>
      <c r="L3922" s="12">
        <v>1</v>
      </c>
      <c r="M3922" s="15">
        <v>196625</v>
      </c>
      <c r="N3922" s="15">
        <v>0</v>
      </c>
      <c r="O3922" s="15">
        <f t="shared" si="336"/>
        <v>196625</v>
      </c>
      <c r="P3922" s="15">
        <f t="shared" si="337"/>
        <v>11</v>
      </c>
      <c r="Q3922" s="14">
        <v>5000</v>
      </c>
      <c r="R3922" s="12">
        <v>100</v>
      </c>
      <c r="S3922" s="12" t="s">
        <v>4781</v>
      </c>
      <c r="T3922" s="22">
        <f t="shared" si="338"/>
        <v>1</v>
      </c>
      <c r="U3922" s="22">
        <f t="shared" si="339"/>
        <v>2022</v>
      </c>
      <c r="V3922" s="22" t="str">
        <f t="shared" si="340"/>
        <v>METROPOLITANA</v>
      </c>
    </row>
    <row r="3923" spans="1:22" x14ac:dyDescent="0.2">
      <c r="A3923" s="11" t="s">
        <v>4777</v>
      </c>
      <c r="B3923" s="12" t="s">
        <v>33</v>
      </c>
      <c r="C3923" s="12" t="s">
        <v>29</v>
      </c>
      <c r="D3923" s="12" t="s">
        <v>41</v>
      </c>
      <c r="E3923" s="13" t="s">
        <v>42</v>
      </c>
      <c r="F3923" s="12" t="s">
        <v>39</v>
      </c>
      <c r="G3923" s="14">
        <v>13000</v>
      </c>
      <c r="H3923" s="12" t="s">
        <v>43</v>
      </c>
      <c r="I3923" s="12">
        <v>0</v>
      </c>
      <c r="J3923" s="12" t="s">
        <v>39</v>
      </c>
      <c r="K3923" s="12" t="s">
        <v>23</v>
      </c>
      <c r="L3923" s="12">
        <v>1</v>
      </c>
      <c r="M3923" s="15">
        <v>143000</v>
      </c>
      <c r="N3923" s="15">
        <v>0</v>
      </c>
      <c r="O3923" s="15">
        <f t="shared" si="336"/>
        <v>143000</v>
      </c>
      <c r="P3923" s="15">
        <f t="shared" si="337"/>
        <v>11</v>
      </c>
      <c r="Q3923" s="14">
        <v>5000</v>
      </c>
      <c r="R3923" s="12">
        <v>100</v>
      </c>
      <c r="S3923" s="12" t="s">
        <v>4782</v>
      </c>
      <c r="T3923" s="22">
        <f t="shared" si="338"/>
        <v>1</v>
      </c>
      <c r="U3923" s="22">
        <f t="shared" si="339"/>
        <v>2022</v>
      </c>
      <c r="V3923" s="22" t="str">
        <f t="shared" si="340"/>
        <v>METROPOLITANA</v>
      </c>
    </row>
    <row r="3924" spans="1:22" x14ac:dyDescent="0.2">
      <c r="A3924" s="11" t="s">
        <v>4777</v>
      </c>
      <c r="B3924" s="12" t="s">
        <v>33</v>
      </c>
      <c r="C3924" s="12" t="s">
        <v>44</v>
      </c>
      <c r="D3924" s="12" t="s">
        <v>45</v>
      </c>
      <c r="E3924" s="13" t="s">
        <v>21</v>
      </c>
      <c r="F3924" s="12" t="s">
        <v>51</v>
      </c>
      <c r="G3924" s="14">
        <v>4145.1500000000005</v>
      </c>
      <c r="H3924" s="12" t="s">
        <v>22</v>
      </c>
      <c r="I3924" s="12">
        <v>0</v>
      </c>
      <c r="J3924" s="12" t="s">
        <v>51</v>
      </c>
      <c r="K3924" s="12" t="s">
        <v>23</v>
      </c>
      <c r="L3924" s="12">
        <v>4</v>
      </c>
      <c r="M3924" s="15">
        <v>55000</v>
      </c>
      <c r="N3924" s="15">
        <v>0</v>
      </c>
      <c r="O3924" s="15">
        <f t="shared" si="336"/>
        <v>55000</v>
      </c>
      <c r="P3924" s="15">
        <f t="shared" si="337"/>
        <v>13.268518630206383</v>
      </c>
      <c r="Q3924" s="14">
        <v>5000</v>
      </c>
      <c r="R3924" s="12">
        <v>83</v>
      </c>
      <c r="S3924" s="12" t="s">
        <v>4775</v>
      </c>
      <c r="T3924" s="22">
        <f t="shared" si="338"/>
        <v>1</v>
      </c>
      <c r="U3924" s="22">
        <f t="shared" si="339"/>
        <v>2022</v>
      </c>
      <c r="V3924" s="22" t="str">
        <f t="shared" si="340"/>
        <v>METROPOLITANA</v>
      </c>
    </row>
    <row r="3925" spans="1:22" x14ac:dyDescent="0.2">
      <c r="A3925" s="11" t="s">
        <v>4777</v>
      </c>
      <c r="B3925" s="12" t="s">
        <v>33</v>
      </c>
      <c r="C3925" s="12" t="s">
        <v>44</v>
      </c>
      <c r="D3925" s="12" t="s">
        <v>47</v>
      </c>
      <c r="E3925" s="13" t="s">
        <v>52</v>
      </c>
      <c r="F3925" s="12" t="s">
        <v>48</v>
      </c>
      <c r="G3925" s="14">
        <v>10753.23</v>
      </c>
      <c r="H3925" s="12" t="s">
        <v>22</v>
      </c>
      <c r="I3925" s="12">
        <v>0</v>
      </c>
      <c r="J3925" s="12" t="s">
        <v>48</v>
      </c>
      <c r="K3925" s="12" t="s">
        <v>23</v>
      </c>
      <c r="L3925" s="12">
        <v>1</v>
      </c>
      <c r="M3925" s="15">
        <v>118286</v>
      </c>
      <c r="N3925" s="15">
        <v>0</v>
      </c>
      <c r="O3925" s="15">
        <f t="shared" si="336"/>
        <v>118286</v>
      </c>
      <c r="P3925" s="15">
        <f t="shared" si="337"/>
        <v>11.000043707797564</v>
      </c>
      <c r="Q3925" s="14">
        <v>5000</v>
      </c>
      <c r="R3925" s="12">
        <v>100</v>
      </c>
      <c r="S3925" s="12" t="s">
        <v>4783</v>
      </c>
      <c r="T3925" s="22">
        <f t="shared" si="338"/>
        <v>1</v>
      </c>
      <c r="U3925" s="22">
        <f t="shared" si="339"/>
        <v>2022</v>
      </c>
      <c r="V3925" s="22" t="str">
        <f t="shared" si="340"/>
        <v>METROPOLITANA</v>
      </c>
    </row>
    <row r="3926" spans="1:22" x14ac:dyDescent="0.2">
      <c r="A3926" s="23" t="s">
        <v>4784</v>
      </c>
      <c r="B3926" s="22" t="s">
        <v>18</v>
      </c>
      <c r="C3926" s="22" t="s">
        <v>44</v>
      </c>
      <c r="D3926" s="22" t="s">
        <v>786</v>
      </c>
      <c r="E3926" s="24">
        <v>95707734</v>
      </c>
      <c r="F3926" s="22" t="s">
        <v>1026</v>
      </c>
      <c r="G3926" s="25">
        <v>12768</v>
      </c>
      <c r="H3926" s="22" t="s">
        <v>788</v>
      </c>
      <c r="I3926" s="22">
        <v>1</v>
      </c>
      <c r="J3926" s="22" t="s">
        <v>1026</v>
      </c>
      <c r="K3926" s="22" t="s">
        <v>408</v>
      </c>
      <c r="L3926" s="22">
        <v>0</v>
      </c>
      <c r="M3926" s="26">
        <v>650000</v>
      </c>
      <c r="N3926" s="26">
        <v>0</v>
      </c>
      <c r="O3926" s="15">
        <f t="shared" si="336"/>
        <v>650000</v>
      </c>
      <c r="P3926" s="15">
        <f t="shared" si="337"/>
        <v>50.908521303258148</v>
      </c>
      <c r="Q3926" s="25">
        <v>20000</v>
      </c>
      <c r="R3926" s="22">
        <v>64</v>
      </c>
      <c r="S3926" s="22" t="s">
        <v>4785</v>
      </c>
      <c r="T3926" s="22">
        <f t="shared" si="338"/>
        <v>1</v>
      </c>
      <c r="U3926" s="22">
        <f t="shared" si="339"/>
        <v>2022</v>
      </c>
      <c r="V3926" s="22" t="str">
        <f t="shared" si="340"/>
        <v>REGIONES</v>
      </c>
    </row>
    <row r="3927" spans="1:22" x14ac:dyDescent="0.2">
      <c r="A3927" s="23" t="s">
        <v>4784</v>
      </c>
      <c r="B3927" s="22" t="s">
        <v>33</v>
      </c>
      <c r="C3927" s="22" t="s">
        <v>36</v>
      </c>
      <c r="D3927" s="22" t="s">
        <v>4786</v>
      </c>
      <c r="E3927" s="24">
        <v>95815642</v>
      </c>
      <c r="F3927" s="22" t="s">
        <v>305</v>
      </c>
      <c r="G3927" s="25">
        <v>13667.7</v>
      </c>
      <c r="H3927" s="22" t="s">
        <v>24</v>
      </c>
      <c r="I3927" s="22">
        <v>1</v>
      </c>
      <c r="J3927" s="22" t="s">
        <v>305</v>
      </c>
      <c r="K3927" s="22" t="s">
        <v>306</v>
      </c>
      <c r="L3927" s="22">
        <v>0</v>
      </c>
      <c r="M3927" s="26">
        <v>1600000</v>
      </c>
      <c r="N3927" s="26">
        <v>0</v>
      </c>
      <c r="O3927" s="15">
        <f t="shared" si="336"/>
        <v>1600000</v>
      </c>
      <c r="P3927" s="15">
        <f t="shared" si="337"/>
        <v>117.06431952706015</v>
      </c>
      <c r="Q3927" s="25">
        <v>20000</v>
      </c>
      <c r="R3927" s="22">
        <v>68</v>
      </c>
      <c r="S3927" s="22" t="s">
        <v>4787</v>
      </c>
      <c r="T3927" s="22">
        <f t="shared" si="338"/>
        <v>1</v>
      </c>
      <c r="U3927" s="22">
        <f t="shared" si="339"/>
        <v>2022</v>
      </c>
      <c r="V3927" s="22" t="str">
        <f t="shared" si="340"/>
        <v>REGIONES</v>
      </c>
    </row>
    <row r="3928" spans="1:22" x14ac:dyDescent="0.2">
      <c r="A3928" s="23" t="s">
        <v>4784</v>
      </c>
      <c r="B3928" s="22" t="s">
        <v>33</v>
      </c>
      <c r="C3928" s="22" t="s">
        <v>36</v>
      </c>
      <c r="D3928" s="22" t="s">
        <v>41</v>
      </c>
      <c r="E3928" s="24">
        <v>125108660</v>
      </c>
      <c r="F3928" s="22" t="s">
        <v>308</v>
      </c>
      <c r="G3928" s="25">
        <v>7112.4399999999987</v>
      </c>
      <c r="H3928" s="22" t="s">
        <v>43</v>
      </c>
      <c r="I3928" s="22">
        <v>0</v>
      </c>
      <c r="J3928" s="22" t="s">
        <v>308</v>
      </c>
      <c r="K3928" s="22" t="s">
        <v>78</v>
      </c>
      <c r="L3928" s="22">
        <v>0</v>
      </c>
      <c r="M3928" s="26">
        <v>180000</v>
      </c>
      <c r="N3928" s="26">
        <v>0</v>
      </c>
      <c r="O3928" s="15">
        <f t="shared" si="336"/>
        <v>180000</v>
      </c>
      <c r="P3928" s="15">
        <f t="shared" si="337"/>
        <v>25.307770610367193</v>
      </c>
      <c r="Q3928" s="25">
        <v>20000</v>
      </c>
      <c r="R3928" s="22">
        <v>36</v>
      </c>
      <c r="S3928" s="22" t="s">
        <v>4788</v>
      </c>
      <c r="T3928" s="22">
        <f t="shared" si="338"/>
        <v>1</v>
      </c>
      <c r="U3928" s="22">
        <f t="shared" si="339"/>
        <v>2022</v>
      </c>
      <c r="V3928" s="22" t="str">
        <f t="shared" si="340"/>
        <v>REGIONES</v>
      </c>
    </row>
    <row r="3929" spans="1:22" x14ac:dyDescent="0.2">
      <c r="A3929" s="23" t="s">
        <v>4784</v>
      </c>
      <c r="B3929" s="22" t="s">
        <v>33</v>
      </c>
      <c r="C3929" s="22" t="s">
        <v>29</v>
      </c>
      <c r="D3929" s="22" t="s">
        <v>38</v>
      </c>
      <c r="E3929" s="24">
        <v>53173292</v>
      </c>
      <c r="F3929" s="22" t="s">
        <v>39</v>
      </c>
      <c r="G3929" s="25">
        <v>7503.9999999999973</v>
      </c>
      <c r="H3929" s="22" t="s">
        <v>43</v>
      </c>
      <c r="I3929" s="22">
        <v>0</v>
      </c>
      <c r="J3929" s="22" t="s">
        <v>39</v>
      </c>
      <c r="K3929" s="22" t="s">
        <v>23</v>
      </c>
      <c r="L3929" s="22">
        <v>1</v>
      </c>
      <c r="M3929" s="26">
        <v>82544</v>
      </c>
      <c r="N3929" s="26">
        <v>0</v>
      </c>
      <c r="O3929" s="15">
        <f t="shared" si="336"/>
        <v>82544</v>
      </c>
      <c r="P3929" s="15">
        <f t="shared" si="337"/>
        <v>11.000000000000004</v>
      </c>
      <c r="Q3929" s="25">
        <v>5000</v>
      </c>
      <c r="R3929" s="22">
        <v>100</v>
      </c>
      <c r="S3929" s="22" t="s">
        <v>4789</v>
      </c>
      <c r="T3929" s="22">
        <f t="shared" si="338"/>
        <v>1</v>
      </c>
      <c r="U3929" s="22">
        <f t="shared" si="339"/>
        <v>2022</v>
      </c>
      <c r="V3929" s="22" t="str">
        <f t="shared" si="340"/>
        <v>METROPOLITANA</v>
      </c>
    </row>
    <row r="3930" spans="1:22" x14ac:dyDescent="0.2">
      <c r="A3930" s="23" t="s">
        <v>4784</v>
      </c>
      <c r="B3930" s="22" t="s">
        <v>33</v>
      </c>
      <c r="C3930" s="22" t="s">
        <v>29</v>
      </c>
      <c r="D3930" s="22" t="s">
        <v>63</v>
      </c>
      <c r="E3930" s="24">
        <v>138841065</v>
      </c>
      <c r="F3930" s="22" t="s">
        <v>134</v>
      </c>
      <c r="G3930" s="25">
        <v>11204.44</v>
      </c>
      <c r="H3930" s="22" t="s">
        <v>65</v>
      </c>
      <c r="I3930" s="22">
        <v>0</v>
      </c>
      <c r="J3930" s="22" t="s">
        <v>134</v>
      </c>
      <c r="K3930" s="22" t="s">
        <v>23</v>
      </c>
      <c r="L3930" s="22">
        <v>2</v>
      </c>
      <c r="M3930" s="26">
        <v>123249</v>
      </c>
      <c r="N3930" s="26">
        <v>0</v>
      </c>
      <c r="O3930" s="15">
        <f t="shared" si="336"/>
        <v>123249</v>
      </c>
      <c r="P3930" s="15">
        <f t="shared" si="337"/>
        <v>11.000014280053264</v>
      </c>
      <c r="Q3930" s="25">
        <v>5000</v>
      </c>
      <c r="R3930" s="22">
        <v>100</v>
      </c>
      <c r="S3930" s="22" t="s">
        <v>4790</v>
      </c>
      <c r="T3930" s="22">
        <f t="shared" si="338"/>
        <v>1</v>
      </c>
      <c r="U3930" s="22">
        <f t="shared" si="339"/>
        <v>2022</v>
      </c>
      <c r="V3930" s="22" t="str">
        <f t="shared" si="340"/>
        <v>METROPOLITANA</v>
      </c>
    </row>
    <row r="3931" spans="1:22" x14ac:dyDescent="0.2">
      <c r="A3931" s="23" t="s">
        <v>4784</v>
      </c>
      <c r="B3931" s="22" t="s">
        <v>33</v>
      </c>
      <c r="C3931" s="22" t="s">
        <v>29</v>
      </c>
      <c r="D3931" s="22" t="s">
        <v>45</v>
      </c>
      <c r="E3931" s="24">
        <v>78907355</v>
      </c>
      <c r="F3931" s="22" t="s">
        <v>134</v>
      </c>
      <c r="G3931" s="25">
        <v>5552.9599999999991</v>
      </c>
      <c r="H3931" s="22" t="s">
        <v>22</v>
      </c>
      <c r="I3931" s="22">
        <v>0</v>
      </c>
      <c r="J3931" s="22" t="s">
        <v>134</v>
      </c>
      <c r="K3931" s="22" t="s">
        <v>23</v>
      </c>
      <c r="L3931" s="22">
        <v>2</v>
      </c>
      <c r="M3931" s="26">
        <v>61083</v>
      </c>
      <c r="N3931" s="26">
        <v>0</v>
      </c>
      <c r="O3931" s="15">
        <f t="shared" ref="O3931:O3994" si="341">SUM(M3931:N3931)</f>
        <v>61083</v>
      </c>
      <c r="P3931" s="15">
        <f t="shared" si="337"/>
        <v>11.000079237019538</v>
      </c>
      <c r="Q3931" s="25">
        <v>5000</v>
      </c>
      <c r="R3931" s="22">
        <v>100</v>
      </c>
      <c r="S3931" s="22" t="s">
        <v>4791</v>
      </c>
      <c r="T3931" s="22">
        <f t="shared" si="338"/>
        <v>1</v>
      </c>
      <c r="U3931" s="22">
        <f t="shared" si="339"/>
        <v>2022</v>
      </c>
      <c r="V3931" s="22" t="str">
        <f t="shared" si="340"/>
        <v>METROPOLITANA</v>
      </c>
    </row>
    <row r="3932" spans="1:22" x14ac:dyDescent="0.2">
      <c r="A3932" s="23" t="s">
        <v>4784</v>
      </c>
      <c r="B3932" s="22" t="s">
        <v>33</v>
      </c>
      <c r="C3932" s="22" t="s">
        <v>29</v>
      </c>
      <c r="D3932" s="22" t="s">
        <v>164</v>
      </c>
      <c r="E3932" s="24">
        <v>154837728</v>
      </c>
      <c r="F3932" s="22" t="s">
        <v>39</v>
      </c>
      <c r="G3932" s="25">
        <v>16508.8</v>
      </c>
      <c r="H3932" s="22" t="s">
        <v>22</v>
      </c>
      <c r="I3932" s="22">
        <v>1</v>
      </c>
      <c r="J3932" s="22" t="s">
        <v>39</v>
      </c>
      <c r="K3932" s="22" t="s">
        <v>23</v>
      </c>
      <c r="L3932" s="22">
        <v>1</v>
      </c>
      <c r="M3932" s="26">
        <v>181597</v>
      </c>
      <c r="N3932" s="26">
        <v>0</v>
      </c>
      <c r="O3932" s="15">
        <f t="shared" si="341"/>
        <v>181597</v>
      </c>
      <c r="P3932" s="15">
        <f t="shared" si="337"/>
        <v>11.000012114750922</v>
      </c>
      <c r="Q3932" s="25">
        <v>5000</v>
      </c>
      <c r="R3932" s="22">
        <v>100</v>
      </c>
      <c r="S3932" s="22" t="s">
        <v>4792</v>
      </c>
      <c r="T3932" s="22">
        <f t="shared" si="338"/>
        <v>1</v>
      </c>
      <c r="U3932" s="22">
        <f t="shared" si="339"/>
        <v>2022</v>
      </c>
      <c r="V3932" s="22" t="str">
        <f t="shared" si="340"/>
        <v>METROPOLITANA</v>
      </c>
    </row>
    <row r="3933" spans="1:22" x14ac:dyDescent="0.2">
      <c r="A3933" s="23" t="s">
        <v>4784</v>
      </c>
      <c r="B3933" s="22" t="s">
        <v>33</v>
      </c>
      <c r="C3933" s="22" t="s">
        <v>44</v>
      </c>
      <c r="D3933" s="22" t="s">
        <v>47</v>
      </c>
      <c r="E3933" s="24">
        <v>99626232</v>
      </c>
      <c r="F3933" s="22" t="s">
        <v>48</v>
      </c>
      <c r="G3933" s="25">
        <v>5457.7000000000016</v>
      </c>
      <c r="H3933" s="22" t="s">
        <v>22</v>
      </c>
      <c r="I3933" s="22">
        <v>0</v>
      </c>
      <c r="J3933" s="22" t="s">
        <v>48</v>
      </c>
      <c r="K3933" s="22" t="s">
        <v>23</v>
      </c>
      <c r="L3933" s="22">
        <v>1</v>
      </c>
      <c r="M3933" s="26">
        <v>60035</v>
      </c>
      <c r="N3933" s="26">
        <v>0</v>
      </c>
      <c r="O3933" s="15">
        <f t="shared" si="341"/>
        <v>60035</v>
      </c>
      <c r="P3933" s="15">
        <f t="shared" si="337"/>
        <v>11.000054968210048</v>
      </c>
      <c r="Q3933" s="25">
        <v>5000</v>
      </c>
      <c r="R3933" s="22">
        <v>100</v>
      </c>
      <c r="S3933" s="22" t="s">
        <v>4793</v>
      </c>
      <c r="T3933" s="22">
        <f t="shared" si="338"/>
        <v>1</v>
      </c>
      <c r="U3933" s="22">
        <f t="shared" si="339"/>
        <v>2022</v>
      </c>
      <c r="V3933" s="22" t="str">
        <f t="shared" si="340"/>
        <v>METROPOLITANA</v>
      </c>
    </row>
    <row r="3934" spans="1:22" x14ac:dyDescent="0.2">
      <c r="A3934" s="11" t="s">
        <v>4794</v>
      </c>
      <c r="B3934" s="12" t="s">
        <v>33</v>
      </c>
      <c r="C3934" s="12" t="s">
        <v>29</v>
      </c>
      <c r="D3934" s="12" t="s">
        <v>30</v>
      </c>
      <c r="E3934" s="13" t="s">
        <v>31</v>
      </c>
      <c r="F3934" s="12" t="s">
        <v>39</v>
      </c>
      <c r="G3934" s="14">
        <v>7503.9999999999973</v>
      </c>
      <c r="H3934" s="12" t="s">
        <v>32</v>
      </c>
      <c r="I3934" s="12">
        <v>0</v>
      </c>
      <c r="J3934" s="12" t="s">
        <v>39</v>
      </c>
      <c r="K3934" s="12" t="s">
        <v>23</v>
      </c>
      <c r="L3934" s="12">
        <v>1</v>
      </c>
      <c r="M3934" s="15">
        <v>82544</v>
      </c>
      <c r="N3934" s="15">
        <v>0</v>
      </c>
      <c r="O3934" s="15">
        <f t="shared" si="341"/>
        <v>82544</v>
      </c>
      <c r="P3934" s="15">
        <f t="shared" si="337"/>
        <v>11.000000000000004</v>
      </c>
      <c r="Q3934" s="14">
        <v>5000</v>
      </c>
      <c r="R3934" s="12">
        <v>100</v>
      </c>
      <c r="S3934" s="12" t="s">
        <v>4795</v>
      </c>
      <c r="T3934" s="22">
        <f t="shared" si="338"/>
        <v>1</v>
      </c>
      <c r="U3934" s="22">
        <f t="shared" si="339"/>
        <v>2022</v>
      </c>
      <c r="V3934" s="22" t="str">
        <f t="shared" si="340"/>
        <v>METROPOLITANA</v>
      </c>
    </row>
    <row r="3935" spans="1:22" x14ac:dyDescent="0.2">
      <c r="A3935" s="11" t="s">
        <v>4794</v>
      </c>
      <c r="B3935" s="12" t="s">
        <v>33</v>
      </c>
      <c r="C3935" s="12" t="s">
        <v>29</v>
      </c>
      <c r="D3935" s="12" t="s">
        <v>164</v>
      </c>
      <c r="E3935" s="13" t="s">
        <v>1576</v>
      </c>
      <c r="F3935" s="12" t="s">
        <v>39</v>
      </c>
      <c r="G3935" s="14">
        <v>16548.400000000001</v>
      </c>
      <c r="H3935" s="12" t="s">
        <v>22</v>
      </c>
      <c r="I3935" s="12">
        <v>1</v>
      </c>
      <c r="J3935" s="12" t="s">
        <v>39</v>
      </c>
      <c r="K3935" s="12" t="s">
        <v>23</v>
      </c>
      <c r="L3935" s="12">
        <v>1</v>
      </c>
      <c r="M3935" s="15">
        <v>182032</v>
      </c>
      <c r="N3935" s="15">
        <v>0</v>
      </c>
      <c r="O3935" s="15">
        <f t="shared" si="341"/>
        <v>182032</v>
      </c>
      <c r="P3935" s="15">
        <f t="shared" si="337"/>
        <v>10.999975828478885</v>
      </c>
      <c r="Q3935" s="14">
        <v>5000</v>
      </c>
      <c r="R3935" s="12">
        <v>100</v>
      </c>
      <c r="S3935" s="12" t="s">
        <v>4796</v>
      </c>
      <c r="T3935" s="22">
        <f t="shared" si="338"/>
        <v>1</v>
      </c>
      <c r="U3935" s="22">
        <f t="shared" si="339"/>
        <v>2022</v>
      </c>
      <c r="V3935" s="22" t="str">
        <f t="shared" si="340"/>
        <v>METROPOLITANA</v>
      </c>
    </row>
    <row r="3936" spans="1:22" x14ac:dyDescent="0.2">
      <c r="A3936" s="11" t="s">
        <v>4794</v>
      </c>
      <c r="B3936" s="12" t="s">
        <v>33</v>
      </c>
      <c r="C3936" s="12" t="s">
        <v>44</v>
      </c>
      <c r="D3936" s="12" t="s">
        <v>38</v>
      </c>
      <c r="E3936" s="13" t="s">
        <v>25</v>
      </c>
      <c r="F3936" s="12" t="s">
        <v>67</v>
      </c>
      <c r="G3936" s="14">
        <v>7786.1399999999976</v>
      </c>
      <c r="H3936" s="12" t="s">
        <v>43</v>
      </c>
      <c r="I3936" s="12">
        <v>0</v>
      </c>
      <c r="J3936" s="12" t="s">
        <v>67</v>
      </c>
      <c r="K3936" s="12" t="s">
        <v>23</v>
      </c>
      <c r="L3936" s="12">
        <v>2</v>
      </c>
      <c r="M3936" s="15">
        <v>85648</v>
      </c>
      <c r="N3936" s="15">
        <v>0</v>
      </c>
      <c r="O3936" s="15">
        <f t="shared" si="341"/>
        <v>85648</v>
      </c>
      <c r="P3936" s="15">
        <f t="shared" si="337"/>
        <v>11.000059079338417</v>
      </c>
      <c r="Q3936" s="14">
        <v>5000</v>
      </c>
      <c r="R3936" s="12">
        <v>100</v>
      </c>
      <c r="S3936" s="12" t="s">
        <v>4797</v>
      </c>
      <c r="T3936" s="22">
        <f t="shared" si="338"/>
        <v>1</v>
      </c>
      <c r="U3936" s="22">
        <f t="shared" si="339"/>
        <v>2022</v>
      </c>
      <c r="V3936" s="22" t="str">
        <f t="shared" si="340"/>
        <v>METROPOLITANA</v>
      </c>
    </row>
    <row r="3937" spans="1:22" x14ac:dyDescent="0.2">
      <c r="A3937" s="11" t="s">
        <v>4794</v>
      </c>
      <c r="B3937" s="12" t="s">
        <v>33</v>
      </c>
      <c r="C3937" s="12" t="s">
        <v>44</v>
      </c>
      <c r="D3937" s="12" t="s">
        <v>37</v>
      </c>
      <c r="E3937" s="13" t="s">
        <v>40</v>
      </c>
      <c r="F3937" s="12" t="s">
        <v>48</v>
      </c>
      <c r="G3937" s="14">
        <v>6300.4999999999991</v>
      </c>
      <c r="H3937" s="12" t="s">
        <v>22</v>
      </c>
      <c r="I3937" s="12">
        <v>0</v>
      </c>
      <c r="J3937" s="12" t="s">
        <v>48</v>
      </c>
      <c r="K3937" s="12" t="s">
        <v>23</v>
      </c>
      <c r="L3937" s="12">
        <v>1</v>
      </c>
      <c r="M3937" s="15">
        <v>69305</v>
      </c>
      <c r="N3937" s="15">
        <v>0</v>
      </c>
      <c r="O3937" s="15">
        <f t="shared" si="341"/>
        <v>69305</v>
      </c>
      <c r="P3937" s="15">
        <f t="shared" ref="P3937:P4000" si="342">O3937/G3937</f>
        <v>10.999920641218953</v>
      </c>
      <c r="Q3937" s="14">
        <v>5000</v>
      </c>
      <c r="R3937" s="12">
        <v>100</v>
      </c>
      <c r="S3937" s="12" t="s">
        <v>4798</v>
      </c>
      <c r="T3937" s="22">
        <f t="shared" si="338"/>
        <v>1</v>
      </c>
      <c r="U3937" s="22">
        <f t="shared" si="339"/>
        <v>2022</v>
      </c>
      <c r="V3937" s="22" t="str">
        <f t="shared" si="340"/>
        <v>METROPOLITANA</v>
      </c>
    </row>
    <row r="3938" spans="1:22" x14ac:dyDescent="0.2">
      <c r="A3938" s="11" t="s">
        <v>4794</v>
      </c>
      <c r="B3938" s="12" t="s">
        <v>33</v>
      </c>
      <c r="C3938" s="12" t="s">
        <v>44</v>
      </c>
      <c r="D3938" s="12" t="s">
        <v>63</v>
      </c>
      <c r="E3938" s="13" t="s">
        <v>64</v>
      </c>
      <c r="F3938" s="12" t="s">
        <v>229</v>
      </c>
      <c r="G3938" s="14">
        <v>5189.7999999999984</v>
      </c>
      <c r="H3938" s="12" t="s">
        <v>65</v>
      </c>
      <c r="I3938" s="12">
        <v>0</v>
      </c>
      <c r="J3938" s="12" t="s">
        <v>230</v>
      </c>
      <c r="K3938" s="12" t="s">
        <v>23</v>
      </c>
      <c r="L3938" s="12">
        <v>4</v>
      </c>
      <c r="M3938" s="15">
        <v>57088</v>
      </c>
      <c r="N3938" s="15">
        <v>0</v>
      </c>
      <c r="O3938" s="15">
        <f t="shared" si="341"/>
        <v>57088</v>
      </c>
      <c r="P3938" s="15">
        <f t="shared" si="342"/>
        <v>11.000038537130528</v>
      </c>
      <c r="Q3938" s="14">
        <v>5000</v>
      </c>
      <c r="R3938" s="12">
        <v>100</v>
      </c>
      <c r="S3938" s="12" t="s">
        <v>4799</v>
      </c>
      <c r="T3938" s="22">
        <f t="shared" si="338"/>
        <v>1</v>
      </c>
      <c r="U3938" s="22">
        <f t="shared" si="339"/>
        <v>2022</v>
      </c>
      <c r="V3938" s="22" t="str">
        <f t="shared" si="340"/>
        <v>METROPOLITANA</v>
      </c>
    </row>
    <row r="3939" spans="1:22" x14ac:dyDescent="0.2">
      <c r="A3939" s="11" t="s">
        <v>4794</v>
      </c>
      <c r="B3939" s="12" t="s">
        <v>33</v>
      </c>
      <c r="C3939" s="12" t="s">
        <v>44</v>
      </c>
      <c r="D3939" s="12" t="s">
        <v>45</v>
      </c>
      <c r="E3939" s="13" t="s">
        <v>52</v>
      </c>
      <c r="F3939" s="12" t="s">
        <v>137</v>
      </c>
      <c r="G3939" s="14">
        <v>6130.3</v>
      </c>
      <c r="H3939" s="12" t="s">
        <v>22</v>
      </c>
      <c r="I3939" s="12">
        <v>0</v>
      </c>
      <c r="J3939" s="12" t="s">
        <v>137</v>
      </c>
      <c r="K3939" s="12" t="s">
        <v>23</v>
      </c>
      <c r="L3939" s="12">
        <v>1</v>
      </c>
      <c r="M3939" s="15">
        <v>67433</v>
      </c>
      <c r="N3939" s="15">
        <v>0</v>
      </c>
      <c r="O3939" s="15">
        <f t="shared" si="341"/>
        <v>67433</v>
      </c>
      <c r="P3939" s="15">
        <f t="shared" si="342"/>
        <v>10.999951062753862</v>
      </c>
      <c r="Q3939" s="14">
        <v>5000</v>
      </c>
      <c r="R3939" s="12">
        <v>100</v>
      </c>
      <c r="S3939" s="12" t="s">
        <v>4800</v>
      </c>
      <c r="T3939" s="22">
        <f t="shared" si="338"/>
        <v>1</v>
      </c>
      <c r="U3939" s="22">
        <f t="shared" si="339"/>
        <v>2022</v>
      </c>
      <c r="V3939" s="22" t="str">
        <f t="shared" si="340"/>
        <v>METROPOLITANA</v>
      </c>
    </row>
    <row r="3940" spans="1:22" x14ac:dyDescent="0.2">
      <c r="A3940" s="11" t="s">
        <v>4794</v>
      </c>
      <c r="B3940" s="12" t="s">
        <v>33</v>
      </c>
      <c r="C3940" s="12" t="s">
        <v>44</v>
      </c>
      <c r="D3940" s="12" t="s">
        <v>47</v>
      </c>
      <c r="E3940" s="13" t="s">
        <v>1576</v>
      </c>
      <c r="F3940" s="12" t="s">
        <v>95</v>
      </c>
      <c r="G3940" s="14">
        <v>4280.42</v>
      </c>
      <c r="H3940" s="12" t="s">
        <v>22</v>
      </c>
      <c r="I3940" s="12">
        <v>0</v>
      </c>
      <c r="J3940" s="12" t="s">
        <v>95</v>
      </c>
      <c r="K3940" s="12" t="s">
        <v>23</v>
      </c>
      <c r="L3940" s="12">
        <v>4</v>
      </c>
      <c r="M3940" s="15">
        <v>55000</v>
      </c>
      <c r="N3940" s="15">
        <v>0</v>
      </c>
      <c r="O3940" s="15">
        <f t="shared" si="341"/>
        <v>55000</v>
      </c>
      <c r="P3940" s="15">
        <f t="shared" si="342"/>
        <v>12.849206386289195</v>
      </c>
      <c r="Q3940" s="14">
        <v>5000</v>
      </c>
      <c r="R3940" s="12">
        <v>86</v>
      </c>
      <c r="S3940" s="12" t="s">
        <v>4801</v>
      </c>
      <c r="T3940" s="22">
        <f t="shared" si="338"/>
        <v>1</v>
      </c>
      <c r="U3940" s="22">
        <f t="shared" si="339"/>
        <v>2022</v>
      </c>
      <c r="V3940" s="22" t="str">
        <f t="shared" si="340"/>
        <v>METROPOLITANA</v>
      </c>
    </row>
    <row r="3941" spans="1:22" x14ac:dyDescent="0.2">
      <c r="A3941" s="11" t="s">
        <v>4794</v>
      </c>
      <c r="B3941" s="12" t="s">
        <v>33</v>
      </c>
      <c r="C3941" s="12" t="s">
        <v>4802</v>
      </c>
      <c r="D3941" s="12" t="s">
        <v>1170</v>
      </c>
      <c r="E3941" s="13" t="s">
        <v>81</v>
      </c>
      <c r="F3941" s="12" t="s">
        <v>815</v>
      </c>
      <c r="G3941" s="14">
        <v>13677.8</v>
      </c>
      <c r="H3941" s="12" t="s">
        <v>24</v>
      </c>
      <c r="I3941" s="12">
        <v>1</v>
      </c>
      <c r="J3941" s="12" t="s">
        <v>815</v>
      </c>
      <c r="K3941" s="12" t="s">
        <v>75</v>
      </c>
      <c r="L3941" s="12">
        <v>0</v>
      </c>
      <c r="M3941" s="15">
        <v>460000</v>
      </c>
      <c r="N3941" s="15">
        <v>0</v>
      </c>
      <c r="O3941" s="15">
        <f t="shared" si="341"/>
        <v>460000</v>
      </c>
      <c r="P3941" s="15">
        <f t="shared" si="342"/>
        <v>33.631139510740034</v>
      </c>
      <c r="Q3941" s="14">
        <v>20000</v>
      </c>
      <c r="R3941" s="12">
        <v>68</v>
      </c>
      <c r="S3941" s="12" t="s">
        <v>4803</v>
      </c>
      <c r="T3941" s="22">
        <f t="shared" si="338"/>
        <v>1</v>
      </c>
      <c r="U3941" s="22">
        <f t="shared" si="339"/>
        <v>2022</v>
      </c>
      <c r="V3941" s="22" t="str">
        <f t="shared" si="340"/>
        <v>REGIONES</v>
      </c>
    </row>
    <row r="3942" spans="1:22" x14ac:dyDescent="0.2">
      <c r="A3942" s="23" t="s">
        <v>4804</v>
      </c>
      <c r="B3942" s="22" t="s">
        <v>33</v>
      </c>
      <c r="C3942" s="22" t="s">
        <v>1997</v>
      </c>
      <c r="D3942" s="22" t="s">
        <v>37</v>
      </c>
      <c r="E3942" s="24" t="s">
        <v>40</v>
      </c>
      <c r="F3942" s="22" t="s">
        <v>58</v>
      </c>
      <c r="G3942" s="25">
        <v>4885.8</v>
      </c>
      <c r="H3942" s="22" t="s">
        <v>22</v>
      </c>
      <c r="I3942" s="22">
        <v>0</v>
      </c>
      <c r="J3942" s="22" t="s">
        <v>58</v>
      </c>
      <c r="K3942" s="22" t="s">
        <v>23</v>
      </c>
      <c r="L3942" s="22">
        <v>5</v>
      </c>
      <c r="M3942" s="26">
        <v>70000</v>
      </c>
      <c r="N3942" s="26">
        <v>0</v>
      </c>
      <c r="O3942" s="15">
        <f t="shared" si="341"/>
        <v>70000</v>
      </c>
      <c r="P3942" s="15">
        <f t="shared" si="342"/>
        <v>14.327234025134061</v>
      </c>
      <c r="Q3942" s="25">
        <v>10000</v>
      </c>
      <c r="R3942" s="22">
        <v>49</v>
      </c>
      <c r="S3942" s="22" t="s">
        <v>4805</v>
      </c>
      <c r="T3942" s="22">
        <f t="shared" si="338"/>
        <v>1</v>
      </c>
      <c r="U3942" s="22">
        <f t="shared" si="339"/>
        <v>2022</v>
      </c>
      <c r="V3942" s="22" t="str">
        <f t="shared" si="340"/>
        <v>METROPOLITANA</v>
      </c>
    </row>
    <row r="3943" spans="1:22" x14ac:dyDescent="0.2">
      <c r="A3943" s="23" t="s">
        <v>4804</v>
      </c>
      <c r="B3943" s="22" t="s">
        <v>33</v>
      </c>
      <c r="C3943" s="22" t="s">
        <v>3470</v>
      </c>
      <c r="D3943" s="22" t="s">
        <v>41</v>
      </c>
      <c r="E3943" s="24" t="s">
        <v>25</v>
      </c>
      <c r="F3943" s="22" t="s">
        <v>129</v>
      </c>
      <c r="G3943" s="25">
        <v>3439.2000000000012</v>
      </c>
      <c r="H3943" s="22" t="s">
        <v>43</v>
      </c>
      <c r="I3943" s="22">
        <v>0</v>
      </c>
      <c r="J3943" s="22" t="s">
        <v>129</v>
      </c>
      <c r="K3943" s="22" t="s">
        <v>23</v>
      </c>
      <c r="L3943" s="22">
        <v>1</v>
      </c>
      <c r="M3943" s="26">
        <v>55000</v>
      </c>
      <c r="N3943" s="26">
        <v>0</v>
      </c>
      <c r="O3943" s="15">
        <f t="shared" si="341"/>
        <v>55000</v>
      </c>
      <c r="P3943" s="15">
        <f t="shared" si="342"/>
        <v>15.992091183996273</v>
      </c>
      <c r="Q3943" s="25">
        <v>5000</v>
      </c>
      <c r="R3943" s="22">
        <v>69</v>
      </c>
      <c r="S3943" s="22" t="s">
        <v>4806</v>
      </c>
      <c r="T3943" s="22">
        <f t="shared" si="338"/>
        <v>1</v>
      </c>
      <c r="U3943" s="22">
        <f t="shared" si="339"/>
        <v>2022</v>
      </c>
      <c r="V3943" s="22" t="str">
        <f t="shared" si="340"/>
        <v>METROPOLITANA</v>
      </c>
    </row>
    <row r="3944" spans="1:22" x14ac:dyDescent="0.2">
      <c r="A3944" s="23" t="s">
        <v>4804</v>
      </c>
      <c r="B3944" s="22" t="s">
        <v>33</v>
      </c>
      <c r="C3944" s="22" t="s">
        <v>29</v>
      </c>
      <c r="D3944" s="22" t="s">
        <v>4807</v>
      </c>
      <c r="E3944" s="24" t="s">
        <v>4808</v>
      </c>
      <c r="F3944" s="22" t="s">
        <v>170</v>
      </c>
      <c r="G3944" s="25">
        <f>4502.4+650</f>
        <v>5152.3999999999996</v>
      </c>
      <c r="H3944" s="22" t="s">
        <v>24</v>
      </c>
      <c r="I3944" s="22">
        <v>1</v>
      </c>
      <c r="J3944" s="22" t="s">
        <v>170</v>
      </c>
      <c r="K3944" s="22" t="s">
        <v>171</v>
      </c>
      <c r="L3944" s="22">
        <v>0</v>
      </c>
      <c r="M3944" s="26">
        <v>250000</v>
      </c>
      <c r="N3944" s="26">
        <v>0</v>
      </c>
      <c r="O3944" s="15">
        <f t="shared" si="341"/>
        <v>250000</v>
      </c>
      <c r="P3944" s="15">
        <f t="shared" si="342"/>
        <v>48.521077556090368</v>
      </c>
      <c r="Q3944" s="25">
        <v>20000</v>
      </c>
      <c r="R3944" s="22">
        <v>55</v>
      </c>
      <c r="S3944" s="22" t="s">
        <v>4817</v>
      </c>
      <c r="T3944" s="22">
        <f t="shared" si="338"/>
        <v>1</v>
      </c>
      <c r="U3944" s="22">
        <f t="shared" si="339"/>
        <v>2022</v>
      </c>
      <c r="V3944" s="22" t="str">
        <f t="shared" si="340"/>
        <v>REGIONES</v>
      </c>
    </row>
    <row r="3945" spans="1:22" x14ac:dyDescent="0.2">
      <c r="A3945" s="23" t="s">
        <v>4804</v>
      </c>
      <c r="B3945" s="22" t="s">
        <v>33</v>
      </c>
      <c r="C3945" s="22" t="s">
        <v>29</v>
      </c>
      <c r="D3945" s="22" t="s">
        <v>38</v>
      </c>
      <c r="E3945" s="24" t="s">
        <v>25</v>
      </c>
      <c r="F3945" s="22" t="s">
        <v>39</v>
      </c>
      <c r="G3945" s="25">
        <v>9136.7999999999993</v>
      </c>
      <c r="H3945" s="22" t="s">
        <v>43</v>
      </c>
      <c r="I3945" s="22">
        <v>0</v>
      </c>
      <c r="J3945" s="22" t="s">
        <v>39</v>
      </c>
      <c r="K3945" s="22" t="s">
        <v>23</v>
      </c>
      <c r="L3945" s="22">
        <v>1</v>
      </c>
      <c r="M3945" s="26">
        <v>100505</v>
      </c>
      <c r="N3945" s="26">
        <v>0</v>
      </c>
      <c r="O3945" s="15">
        <f t="shared" si="341"/>
        <v>100505</v>
      </c>
      <c r="P3945" s="15">
        <f t="shared" si="342"/>
        <v>11.000021889501795</v>
      </c>
      <c r="Q3945" s="25">
        <v>5000</v>
      </c>
      <c r="R3945" s="22">
        <v>100</v>
      </c>
      <c r="S3945" s="22" t="s">
        <v>4809</v>
      </c>
      <c r="T3945" s="22">
        <f t="shared" si="338"/>
        <v>1</v>
      </c>
      <c r="U3945" s="22">
        <f t="shared" si="339"/>
        <v>2022</v>
      </c>
      <c r="V3945" s="22" t="str">
        <f t="shared" si="340"/>
        <v>METROPOLITANA</v>
      </c>
    </row>
    <row r="3946" spans="1:22" x14ac:dyDescent="0.2">
      <c r="A3946" s="23" t="s">
        <v>4804</v>
      </c>
      <c r="B3946" s="22" t="s">
        <v>33</v>
      </c>
      <c r="C3946" s="22" t="s">
        <v>29</v>
      </c>
      <c r="D3946" s="22" t="s">
        <v>164</v>
      </c>
      <c r="E3946" s="24" t="s">
        <v>1576</v>
      </c>
      <c r="F3946" s="22" t="s">
        <v>39</v>
      </c>
      <c r="G3946" s="25">
        <v>17995.55</v>
      </c>
      <c r="H3946" s="22" t="s">
        <v>22</v>
      </c>
      <c r="I3946" s="22">
        <v>1</v>
      </c>
      <c r="J3946" s="22" t="s">
        <v>39</v>
      </c>
      <c r="K3946" s="22" t="s">
        <v>23</v>
      </c>
      <c r="L3946" s="22">
        <v>1</v>
      </c>
      <c r="M3946" s="26">
        <v>197951</v>
      </c>
      <c r="N3946" s="26">
        <v>0</v>
      </c>
      <c r="O3946" s="15">
        <f t="shared" si="341"/>
        <v>197951</v>
      </c>
      <c r="P3946" s="15">
        <f t="shared" si="342"/>
        <v>10.999997221535324</v>
      </c>
      <c r="Q3946" s="25">
        <v>5000</v>
      </c>
      <c r="R3946" s="22">
        <v>100</v>
      </c>
      <c r="S3946" s="22" t="s">
        <v>4810</v>
      </c>
      <c r="T3946" s="22">
        <f t="shared" si="338"/>
        <v>1</v>
      </c>
      <c r="U3946" s="22">
        <f t="shared" si="339"/>
        <v>2022</v>
      </c>
      <c r="V3946" s="22" t="str">
        <f t="shared" si="340"/>
        <v>METROPOLITANA</v>
      </c>
    </row>
    <row r="3947" spans="1:22" x14ac:dyDescent="0.2">
      <c r="A3947" s="23" t="s">
        <v>4804</v>
      </c>
      <c r="B3947" s="22" t="s">
        <v>33</v>
      </c>
      <c r="C3947" s="22" t="s">
        <v>44</v>
      </c>
      <c r="D3947" s="22" t="s">
        <v>1869</v>
      </c>
      <c r="E3947" s="24" t="s">
        <v>1870</v>
      </c>
      <c r="F3947" s="22" t="s">
        <v>2639</v>
      </c>
      <c r="G3947" s="25">
        <f>6697.5+6763</f>
        <v>13460.5</v>
      </c>
      <c r="H3947" s="22" t="s">
        <v>24</v>
      </c>
      <c r="I3947" s="22">
        <v>1</v>
      </c>
      <c r="J3947" s="22" t="s">
        <v>2639</v>
      </c>
      <c r="K3947" s="22" t="s">
        <v>75</v>
      </c>
      <c r="L3947" s="22">
        <v>0</v>
      </c>
      <c r="M3947" s="26">
        <v>460000</v>
      </c>
      <c r="N3947" s="26">
        <v>0</v>
      </c>
      <c r="O3947" s="15">
        <f t="shared" si="341"/>
        <v>460000</v>
      </c>
      <c r="P3947" s="15">
        <f t="shared" si="342"/>
        <v>34.174064856431784</v>
      </c>
      <c r="Q3947" s="25">
        <v>20000</v>
      </c>
      <c r="R3947" s="22">
        <v>86</v>
      </c>
      <c r="S3947" s="22" t="s">
        <v>4818</v>
      </c>
      <c r="T3947" s="22">
        <f t="shared" si="338"/>
        <v>1</v>
      </c>
      <c r="U3947" s="22">
        <f t="shared" si="339"/>
        <v>2022</v>
      </c>
      <c r="V3947" s="22" t="str">
        <f t="shared" si="340"/>
        <v>REGIONES</v>
      </c>
    </row>
    <row r="3948" spans="1:22" x14ac:dyDescent="0.2">
      <c r="A3948" s="23" t="s">
        <v>4804</v>
      </c>
      <c r="B3948" s="22" t="s">
        <v>33</v>
      </c>
      <c r="C3948" s="22" t="s">
        <v>44</v>
      </c>
      <c r="D3948" s="22" t="s">
        <v>38</v>
      </c>
      <c r="E3948" s="24" t="s">
        <v>42</v>
      </c>
      <c r="F3948" s="22" t="s">
        <v>34</v>
      </c>
      <c r="G3948" s="25">
        <v>7058.2599999999984</v>
      </c>
      <c r="H3948" s="22" t="s">
        <v>43</v>
      </c>
      <c r="I3948" s="22">
        <v>0</v>
      </c>
      <c r="J3948" s="22" t="s">
        <v>34</v>
      </c>
      <c r="K3948" s="22" t="s">
        <v>23</v>
      </c>
      <c r="L3948" s="22">
        <v>1</v>
      </c>
      <c r="M3948" s="26">
        <v>77641</v>
      </c>
      <c r="N3948" s="26">
        <v>0</v>
      </c>
      <c r="O3948" s="15">
        <f t="shared" si="341"/>
        <v>77641</v>
      </c>
      <c r="P3948" s="15">
        <f t="shared" si="342"/>
        <v>11.000019834916824</v>
      </c>
      <c r="Q3948" s="25">
        <v>5000</v>
      </c>
      <c r="R3948" s="22">
        <v>100</v>
      </c>
      <c r="S3948" s="22" t="s">
        <v>4811</v>
      </c>
      <c r="T3948" s="22">
        <f t="shared" si="338"/>
        <v>1</v>
      </c>
      <c r="U3948" s="22">
        <f t="shared" si="339"/>
        <v>2022</v>
      </c>
      <c r="V3948" s="22" t="str">
        <f t="shared" si="340"/>
        <v>METROPOLITANA</v>
      </c>
    </row>
    <row r="3949" spans="1:22" x14ac:dyDescent="0.2">
      <c r="A3949" s="23" t="s">
        <v>4804</v>
      </c>
      <c r="B3949" s="22" t="s">
        <v>33</v>
      </c>
      <c r="C3949" s="22" t="s">
        <v>44</v>
      </c>
      <c r="D3949" s="22" t="s">
        <v>786</v>
      </c>
      <c r="E3949" s="24" t="s">
        <v>787</v>
      </c>
      <c r="F3949" s="22" t="s">
        <v>132</v>
      </c>
      <c r="G3949" s="25">
        <v>10568.46</v>
      </c>
      <c r="H3949" s="22" t="s">
        <v>788</v>
      </c>
      <c r="I3949" s="22">
        <v>1</v>
      </c>
      <c r="J3949" s="22" t="s">
        <v>132</v>
      </c>
      <c r="K3949" s="22" t="s">
        <v>124</v>
      </c>
      <c r="L3949" s="22">
        <v>0</v>
      </c>
      <c r="M3949" s="26">
        <v>400000</v>
      </c>
      <c r="N3949" s="26">
        <v>0</v>
      </c>
      <c r="O3949" s="15">
        <f t="shared" si="341"/>
        <v>400000</v>
      </c>
      <c r="P3949" s="15">
        <f t="shared" si="342"/>
        <v>37.848466096290288</v>
      </c>
      <c r="Q3949" s="25">
        <v>20000</v>
      </c>
      <c r="R3949" s="22">
        <v>53</v>
      </c>
      <c r="S3949" s="22" t="s">
        <v>4812</v>
      </c>
      <c r="T3949" s="22">
        <f t="shared" si="338"/>
        <v>1</v>
      </c>
      <c r="U3949" s="22">
        <f t="shared" si="339"/>
        <v>2022</v>
      </c>
      <c r="V3949" s="22" t="str">
        <f t="shared" si="340"/>
        <v>REGIONES</v>
      </c>
    </row>
    <row r="3950" spans="1:22" x14ac:dyDescent="0.2">
      <c r="A3950" s="23" t="s">
        <v>4804</v>
      </c>
      <c r="B3950" s="22" t="s">
        <v>33</v>
      </c>
      <c r="C3950" s="22" t="s">
        <v>44</v>
      </c>
      <c r="D3950" s="22" t="s">
        <v>63</v>
      </c>
      <c r="E3950" s="24" t="s">
        <v>64</v>
      </c>
      <c r="F3950" s="22" t="s">
        <v>229</v>
      </c>
      <c r="G3950" s="25">
        <v>3643.6</v>
      </c>
      <c r="H3950" s="22" t="s">
        <v>65</v>
      </c>
      <c r="I3950" s="22">
        <v>0</v>
      </c>
      <c r="J3950" s="22" t="s">
        <v>230</v>
      </c>
      <c r="K3950" s="22" t="s">
        <v>23</v>
      </c>
      <c r="L3950" s="22">
        <v>4</v>
      </c>
      <c r="M3950" s="26">
        <v>55000</v>
      </c>
      <c r="N3950" s="26">
        <v>0</v>
      </c>
      <c r="O3950" s="15">
        <f t="shared" si="341"/>
        <v>55000</v>
      </c>
      <c r="P3950" s="15">
        <f t="shared" si="342"/>
        <v>15.094961027555165</v>
      </c>
      <c r="Q3950" s="25">
        <v>5000</v>
      </c>
      <c r="R3950" s="22">
        <v>73</v>
      </c>
      <c r="S3950" s="22" t="s">
        <v>4799</v>
      </c>
      <c r="T3950" s="22">
        <f t="shared" si="338"/>
        <v>1</v>
      </c>
      <c r="U3950" s="22">
        <f t="shared" si="339"/>
        <v>2022</v>
      </c>
      <c r="V3950" s="22" t="str">
        <f t="shared" si="340"/>
        <v>METROPOLITANA</v>
      </c>
    </row>
    <row r="3951" spans="1:22" x14ac:dyDescent="0.2">
      <c r="A3951" s="23" t="s">
        <v>4804</v>
      </c>
      <c r="B3951" s="22" t="s">
        <v>33</v>
      </c>
      <c r="C3951" s="22" t="s">
        <v>44</v>
      </c>
      <c r="D3951" s="22" t="s">
        <v>63</v>
      </c>
      <c r="E3951" s="24" t="s">
        <v>64</v>
      </c>
      <c r="F3951" s="22" t="s">
        <v>95</v>
      </c>
      <c r="G3951" s="25">
        <v>4112.92</v>
      </c>
      <c r="H3951" s="22" t="s">
        <v>65</v>
      </c>
      <c r="I3951" s="22">
        <v>0</v>
      </c>
      <c r="J3951" s="22" t="s">
        <v>95</v>
      </c>
      <c r="K3951" s="22" t="s">
        <v>23</v>
      </c>
      <c r="L3951" s="22">
        <v>4</v>
      </c>
      <c r="M3951" s="26">
        <v>55000</v>
      </c>
      <c r="N3951" s="26">
        <v>0</v>
      </c>
      <c r="O3951" s="15">
        <f t="shared" si="341"/>
        <v>55000</v>
      </c>
      <c r="P3951" s="15">
        <f t="shared" si="342"/>
        <v>13.372494480806823</v>
      </c>
      <c r="Q3951" s="25">
        <v>5000</v>
      </c>
      <c r="R3951" s="22">
        <v>82</v>
      </c>
      <c r="S3951" s="22" t="s">
        <v>4813</v>
      </c>
      <c r="T3951" s="22">
        <f t="shared" si="338"/>
        <v>1</v>
      </c>
      <c r="U3951" s="22">
        <f t="shared" si="339"/>
        <v>2022</v>
      </c>
      <c r="V3951" s="22" t="str">
        <f t="shared" si="340"/>
        <v>METROPOLITANA</v>
      </c>
    </row>
    <row r="3952" spans="1:22" x14ac:dyDescent="0.2">
      <c r="A3952" s="23" t="s">
        <v>4804</v>
      </c>
      <c r="B3952" s="22" t="s">
        <v>33</v>
      </c>
      <c r="C3952" s="22" t="s">
        <v>44</v>
      </c>
      <c r="D3952" s="22" t="s">
        <v>30</v>
      </c>
      <c r="E3952" s="24" t="s">
        <v>31</v>
      </c>
      <c r="F3952" s="22" t="s">
        <v>182</v>
      </c>
      <c r="G3952" s="25">
        <v>6219.9</v>
      </c>
      <c r="H3952" s="22" t="s">
        <v>32</v>
      </c>
      <c r="I3952" s="22">
        <v>0</v>
      </c>
      <c r="J3952" s="22" t="s">
        <v>182</v>
      </c>
      <c r="K3952" s="22" t="s">
        <v>23</v>
      </c>
      <c r="L3952" s="22">
        <v>4</v>
      </c>
      <c r="M3952" s="26">
        <v>68419</v>
      </c>
      <c r="N3952" s="26">
        <v>0</v>
      </c>
      <c r="O3952" s="15">
        <f t="shared" si="341"/>
        <v>68419</v>
      </c>
      <c r="P3952" s="15">
        <f t="shared" si="342"/>
        <v>11.000016077428898</v>
      </c>
      <c r="Q3952" s="25">
        <v>5000</v>
      </c>
      <c r="R3952" s="22">
        <v>100</v>
      </c>
      <c r="S3952" s="22" t="s">
        <v>4814</v>
      </c>
      <c r="T3952" s="22">
        <f t="shared" si="338"/>
        <v>1</v>
      </c>
      <c r="U3952" s="22">
        <f t="shared" si="339"/>
        <v>2022</v>
      </c>
      <c r="V3952" s="22" t="str">
        <f t="shared" si="340"/>
        <v>METROPOLITANA</v>
      </c>
    </row>
    <row r="3953" spans="1:22" x14ac:dyDescent="0.2">
      <c r="A3953" s="23" t="s">
        <v>4804</v>
      </c>
      <c r="B3953" s="22" t="s">
        <v>33</v>
      </c>
      <c r="C3953" s="22" t="s">
        <v>44</v>
      </c>
      <c r="D3953" s="22" t="s">
        <v>45</v>
      </c>
      <c r="E3953" s="24" t="s">
        <v>52</v>
      </c>
      <c r="F3953" s="22" t="s">
        <v>48</v>
      </c>
      <c r="G3953" s="25">
        <v>4293.8600000000006</v>
      </c>
      <c r="H3953" s="22" t="s">
        <v>22</v>
      </c>
      <c r="I3953" s="22">
        <v>0</v>
      </c>
      <c r="J3953" s="22" t="s">
        <v>48</v>
      </c>
      <c r="K3953" s="22" t="s">
        <v>23</v>
      </c>
      <c r="L3953" s="22">
        <v>1</v>
      </c>
      <c r="M3953" s="26">
        <v>55000</v>
      </c>
      <c r="N3953" s="26">
        <v>0</v>
      </c>
      <c r="O3953" s="15">
        <f t="shared" si="341"/>
        <v>55000</v>
      </c>
      <c r="P3953" s="15">
        <f t="shared" si="342"/>
        <v>12.80898771734523</v>
      </c>
      <c r="Q3953" s="25">
        <v>5000</v>
      </c>
      <c r="R3953" s="22">
        <v>86</v>
      </c>
      <c r="S3953" s="22" t="s">
        <v>4815</v>
      </c>
      <c r="T3953" s="22">
        <f t="shared" si="338"/>
        <v>1</v>
      </c>
      <c r="U3953" s="22">
        <f t="shared" si="339"/>
        <v>2022</v>
      </c>
      <c r="V3953" s="22" t="str">
        <f t="shared" si="340"/>
        <v>METROPOLITANA</v>
      </c>
    </row>
    <row r="3954" spans="1:22" x14ac:dyDescent="0.2">
      <c r="A3954" s="23" t="s">
        <v>4804</v>
      </c>
      <c r="B3954" s="22" t="s">
        <v>33</v>
      </c>
      <c r="C3954" s="22" t="s">
        <v>44</v>
      </c>
      <c r="D3954" s="22" t="s">
        <v>47</v>
      </c>
      <c r="E3954" s="24" t="s">
        <v>1576</v>
      </c>
      <c r="F3954" s="22" t="s">
        <v>46</v>
      </c>
      <c r="G3954" s="25">
        <v>6256.44</v>
      </c>
      <c r="H3954" s="22" t="s">
        <v>22</v>
      </c>
      <c r="I3954" s="22">
        <v>0</v>
      </c>
      <c r="J3954" s="22" t="s">
        <v>46</v>
      </c>
      <c r="K3954" s="22" t="s">
        <v>23</v>
      </c>
      <c r="L3954" s="22">
        <v>2</v>
      </c>
      <c r="M3954" s="26">
        <v>68821</v>
      </c>
      <c r="N3954" s="26">
        <v>0</v>
      </c>
      <c r="O3954" s="15">
        <f t="shared" si="341"/>
        <v>68821</v>
      </c>
      <c r="P3954" s="15">
        <f t="shared" si="342"/>
        <v>11.000025573648912</v>
      </c>
      <c r="Q3954" s="25">
        <v>5000</v>
      </c>
      <c r="R3954" s="22">
        <v>100</v>
      </c>
      <c r="S3954" s="22" t="s">
        <v>4816</v>
      </c>
      <c r="T3954" s="22">
        <f t="shared" si="338"/>
        <v>1</v>
      </c>
      <c r="U3954" s="22">
        <f t="shared" si="339"/>
        <v>2022</v>
      </c>
      <c r="V3954" s="22" t="str">
        <f t="shared" si="340"/>
        <v>METROPOLITANA</v>
      </c>
    </row>
    <row r="3955" spans="1:22" x14ac:dyDescent="0.2">
      <c r="A3955" s="11" t="s">
        <v>4819</v>
      </c>
      <c r="B3955" s="12" t="s">
        <v>18</v>
      </c>
      <c r="C3955" s="12" t="s">
        <v>270</v>
      </c>
      <c r="D3955" s="12" t="s">
        <v>41</v>
      </c>
      <c r="E3955" s="13" t="s">
        <v>25</v>
      </c>
      <c r="F3955" s="12" t="s">
        <v>120</v>
      </c>
      <c r="G3955" s="14">
        <v>7646.3399999999983</v>
      </c>
      <c r="H3955" s="12" t="s">
        <v>43</v>
      </c>
      <c r="I3955" s="12">
        <v>0</v>
      </c>
      <c r="J3955" s="12" t="s">
        <v>120</v>
      </c>
      <c r="K3955" s="12" t="s">
        <v>23</v>
      </c>
      <c r="L3955" s="12">
        <v>5</v>
      </c>
      <c r="M3955" s="15">
        <v>70000</v>
      </c>
      <c r="N3955" s="15">
        <v>0</v>
      </c>
      <c r="O3955" s="15">
        <f t="shared" si="341"/>
        <v>70000</v>
      </c>
      <c r="P3955" s="15">
        <f t="shared" si="342"/>
        <v>9.1547066962756052</v>
      </c>
      <c r="Q3955" s="14">
        <v>10000</v>
      </c>
      <c r="R3955" s="12">
        <v>76</v>
      </c>
      <c r="S3955" s="12" t="s">
        <v>4820</v>
      </c>
      <c r="T3955" s="22">
        <f t="shared" si="338"/>
        <v>1</v>
      </c>
      <c r="U3955" s="22">
        <f t="shared" si="339"/>
        <v>2022</v>
      </c>
      <c r="V3955" s="22" t="str">
        <f t="shared" si="340"/>
        <v>METROPOLITANA</v>
      </c>
    </row>
    <row r="3956" spans="1:22" x14ac:dyDescent="0.2">
      <c r="A3956" s="11" t="s">
        <v>4819</v>
      </c>
      <c r="B3956" s="12" t="s">
        <v>18</v>
      </c>
      <c r="C3956" s="12" t="s">
        <v>19</v>
      </c>
      <c r="D3956" s="12" t="s">
        <v>2262</v>
      </c>
      <c r="E3956" s="13" t="s">
        <v>83</v>
      </c>
      <c r="F3956" s="12" t="s">
        <v>84</v>
      </c>
      <c r="G3956" s="14">
        <v>18477.2</v>
      </c>
      <c r="H3956" s="12" t="s">
        <v>24</v>
      </c>
      <c r="I3956" s="12">
        <v>1</v>
      </c>
      <c r="J3956" s="12" t="s">
        <v>84</v>
      </c>
      <c r="K3956" s="12" t="s">
        <v>86</v>
      </c>
      <c r="L3956" s="12">
        <v>0</v>
      </c>
      <c r="M3956" s="15">
        <v>330000</v>
      </c>
      <c r="N3956" s="15">
        <v>0</v>
      </c>
      <c r="O3956" s="15">
        <f t="shared" si="341"/>
        <v>330000</v>
      </c>
      <c r="P3956" s="15">
        <f t="shared" si="342"/>
        <v>17.859848894854199</v>
      </c>
      <c r="Q3956" s="14">
        <v>20000</v>
      </c>
      <c r="R3956" s="12">
        <v>92</v>
      </c>
      <c r="S3956" s="12" t="s">
        <v>4821</v>
      </c>
      <c r="T3956" s="22">
        <f t="shared" si="338"/>
        <v>1</v>
      </c>
      <c r="U3956" s="22">
        <f t="shared" si="339"/>
        <v>2022</v>
      </c>
      <c r="V3956" s="22" t="str">
        <f t="shared" si="340"/>
        <v>REGIONES</v>
      </c>
    </row>
    <row r="3957" spans="1:22" x14ac:dyDescent="0.2">
      <c r="A3957" s="11" t="s">
        <v>4819</v>
      </c>
      <c r="B3957" s="12" t="s">
        <v>33</v>
      </c>
      <c r="C3957" s="12" t="s">
        <v>1642</v>
      </c>
      <c r="D3957" s="12" t="s">
        <v>636</v>
      </c>
      <c r="E3957" s="13" t="s">
        <v>639</v>
      </c>
      <c r="F3957" s="12" t="s">
        <v>815</v>
      </c>
      <c r="G3957" s="14">
        <v>9847.1</v>
      </c>
      <c r="H3957" s="12" t="s">
        <v>85</v>
      </c>
      <c r="I3957" s="12">
        <v>1</v>
      </c>
      <c r="J3957" s="12" t="s">
        <v>815</v>
      </c>
      <c r="K3957" s="12" t="s">
        <v>75</v>
      </c>
      <c r="L3957" s="12">
        <v>0</v>
      </c>
      <c r="M3957" s="15">
        <v>460000</v>
      </c>
      <c r="N3957" s="15">
        <v>0</v>
      </c>
      <c r="O3957" s="15">
        <f t="shared" si="341"/>
        <v>460000</v>
      </c>
      <c r="P3957" s="15">
        <f t="shared" si="342"/>
        <v>46.714261051477081</v>
      </c>
      <c r="Q3957" s="14">
        <v>20000</v>
      </c>
      <c r="R3957" s="12">
        <v>49</v>
      </c>
      <c r="S3957" s="12" t="s">
        <v>4822</v>
      </c>
      <c r="T3957" s="22">
        <f t="shared" si="338"/>
        <v>1</v>
      </c>
      <c r="U3957" s="22">
        <f t="shared" si="339"/>
        <v>2022</v>
      </c>
      <c r="V3957" s="22" t="str">
        <f t="shared" si="340"/>
        <v>REGIONES</v>
      </c>
    </row>
    <row r="3958" spans="1:22" x14ac:dyDescent="0.2">
      <c r="A3958" s="11" t="s">
        <v>4819</v>
      </c>
      <c r="B3958" s="12" t="s">
        <v>33</v>
      </c>
      <c r="C3958" s="12" t="s">
        <v>2431</v>
      </c>
      <c r="D3958" s="12" t="s">
        <v>4823</v>
      </c>
      <c r="E3958" s="13" t="s">
        <v>4396</v>
      </c>
      <c r="F3958" s="12" t="s">
        <v>67</v>
      </c>
      <c r="G3958" s="14">
        <v>14582</v>
      </c>
      <c r="H3958" s="12" t="s">
        <v>24</v>
      </c>
      <c r="I3958" s="12">
        <v>1</v>
      </c>
      <c r="J3958" s="12" t="s">
        <v>67</v>
      </c>
      <c r="K3958" s="12" t="s">
        <v>23</v>
      </c>
      <c r="L3958" s="12">
        <v>2</v>
      </c>
      <c r="M3958" s="15">
        <v>160402</v>
      </c>
      <c r="N3958" s="15">
        <v>0</v>
      </c>
      <c r="O3958" s="15">
        <f t="shared" si="341"/>
        <v>160402</v>
      </c>
      <c r="P3958" s="15">
        <f t="shared" si="342"/>
        <v>11</v>
      </c>
      <c r="Q3958" s="14">
        <v>5000</v>
      </c>
      <c r="R3958" s="12">
        <v>100</v>
      </c>
      <c r="S3958" s="12" t="s">
        <v>4824</v>
      </c>
      <c r="T3958" s="22">
        <f t="shared" si="338"/>
        <v>1</v>
      </c>
      <c r="U3958" s="22">
        <f t="shared" si="339"/>
        <v>2022</v>
      </c>
      <c r="V3958" s="22" t="str">
        <f t="shared" si="340"/>
        <v>METROPOLITANA</v>
      </c>
    </row>
    <row r="3959" spans="1:22" x14ac:dyDescent="0.2">
      <c r="A3959" s="11" t="s">
        <v>4819</v>
      </c>
      <c r="B3959" s="12" t="s">
        <v>33</v>
      </c>
      <c r="C3959" s="12" t="s">
        <v>270</v>
      </c>
      <c r="D3959" s="12" t="s">
        <v>37</v>
      </c>
      <c r="E3959" s="13" t="s">
        <v>40</v>
      </c>
      <c r="F3959" s="12" t="s">
        <v>120</v>
      </c>
      <c r="G3959" s="14">
        <v>7963.5000000000027</v>
      </c>
      <c r="H3959" s="12" t="s">
        <v>22</v>
      </c>
      <c r="I3959" s="12">
        <v>0</v>
      </c>
      <c r="J3959" s="12" t="s">
        <v>120</v>
      </c>
      <c r="K3959" s="12" t="s">
        <v>23</v>
      </c>
      <c r="L3959" s="12">
        <v>5</v>
      </c>
      <c r="M3959" s="15">
        <v>70000</v>
      </c>
      <c r="N3959" s="15">
        <v>0</v>
      </c>
      <c r="O3959" s="15">
        <f t="shared" si="341"/>
        <v>70000</v>
      </c>
      <c r="P3959" s="15">
        <f t="shared" si="342"/>
        <v>8.7901048533936059</v>
      </c>
      <c r="Q3959" s="14">
        <v>10000</v>
      </c>
      <c r="R3959" s="12">
        <v>80</v>
      </c>
      <c r="S3959" s="12" t="s">
        <v>4825</v>
      </c>
      <c r="T3959" s="22">
        <f t="shared" si="338"/>
        <v>1</v>
      </c>
      <c r="U3959" s="22">
        <f t="shared" si="339"/>
        <v>2022</v>
      </c>
      <c r="V3959" s="22" t="str">
        <f t="shared" si="340"/>
        <v>METROPOLITANA</v>
      </c>
    </row>
    <row r="3960" spans="1:22" x14ac:dyDescent="0.2">
      <c r="A3960" s="11" t="s">
        <v>4819</v>
      </c>
      <c r="B3960" s="12" t="s">
        <v>33</v>
      </c>
      <c r="C3960" s="12" t="s">
        <v>128</v>
      </c>
      <c r="D3960" s="12" t="s">
        <v>2955</v>
      </c>
      <c r="E3960" s="13" t="s">
        <v>2956</v>
      </c>
      <c r="F3960" s="12" t="s">
        <v>129</v>
      </c>
      <c r="G3960" s="14">
        <v>8194.0599999999977</v>
      </c>
      <c r="H3960" s="12" t="s">
        <v>24</v>
      </c>
      <c r="I3960" s="12">
        <v>1</v>
      </c>
      <c r="J3960" s="12" t="s">
        <v>129</v>
      </c>
      <c r="K3960" s="12" t="s">
        <v>23</v>
      </c>
      <c r="L3960" s="12">
        <v>1</v>
      </c>
      <c r="M3960" s="15">
        <v>90135</v>
      </c>
      <c r="N3960" s="15">
        <v>0</v>
      </c>
      <c r="O3960" s="15">
        <f t="shared" si="341"/>
        <v>90135</v>
      </c>
      <c r="P3960" s="15">
        <f t="shared" si="342"/>
        <v>11.000041493472104</v>
      </c>
      <c r="Q3960" s="14">
        <v>5000</v>
      </c>
      <c r="R3960" s="12">
        <v>100</v>
      </c>
      <c r="S3960" s="12" t="s">
        <v>4826</v>
      </c>
      <c r="T3960" s="22">
        <f t="shared" si="338"/>
        <v>1</v>
      </c>
      <c r="U3960" s="22">
        <f t="shared" si="339"/>
        <v>2022</v>
      </c>
      <c r="V3960" s="22" t="str">
        <f t="shared" si="340"/>
        <v>METROPOLITANA</v>
      </c>
    </row>
    <row r="3961" spans="1:22" x14ac:dyDescent="0.2">
      <c r="A3961" s="11" t="s">
        <v>4819</v>
      </c>
      <c r="B3961" s="12" t="s">
        <v>33</v>
      </c>
      <c r="C3961" s="12" t="s">
        <v>29</v>
      </c>
      <c r="D3961" s="12" t="s">
        <v>37</v>
      </c>
      <c r="E3961" s="13" t="s">
        <v>40</v>
      </c>
      <c r="F3961" s="12" t="s">
        <v>39</v>
      </c>
      <c r="G3961" s="14">
        <v>13409.400000000011</v>
      </c>
      <c r="H3961" s="12" t="s">
        <v>22</v>
      </c>
      <c r="I3961" s="12">
        <v>0</v>
      </c>
      <c r="J3961" s="12" t="s">
        <v>39</v>
      </c>
      <c r="K3961" s="12" t="s">
        <v>23</v>
      </c>
      <c r="L3961" s="12">
        <v>1</v>
      </c>
      <c r="M3961" s="15">
        <v>147503</v>
      </c>
      <c r="N3961" s="15">
        <v>0</v>
      </c>
      <c r="O3961" s="15">
        <f t="shared" si="341"/>
        <v>147503</v>
      </c>
      <c r="P3961" s="15">
        <f t="shared" si="342"/>
        <v>10.99997017017912</v>
      </c>
      <c r="Q3961" s="14">
        <v>5000</v>
      </c>
      <c r="R3961" s="12">
        <v>100</v>
      </c>
      <c r="S3961" s="12" t="s">
        <v>4827</v>
      </c>
      <c r="T3961" s="22">
        <f t="shared" si="338"/>
        <v>1</v>
      </c>
      <c r="U3961" s="22">
        <f t="shared" si="339"/>
        <v>2022</v>
      </c>
      <c r="V3961" s="22" t="str">
        <f t="shared" si="340"/>
        <v>METROPOLITANA</v>
      </c>
    </row>
    <row r="3962" spans="1:22" x14ac:dyDescent="0.2">
      <c r="A3962" s="11" t="s">
        <v>4819</v>
      </c>
      <c r="B3962" s="12" t="s">
        <v>33</v>
      </c>
      <c r="C3962" s="12" t="s">
        <v>29</v>
      </c>
      <c r="D3962" s="12" t="s">
        <v>164</v>
      </c>
      <c r="E3962" s="13" t="s">
        <v>1576</v>
      </c>
      <c r="F3962" s="12" t="s">
        <v>39</v>
      </c>
      <c r="G3962" s="14">
        <v>17875</v>
      </c>
      <c r="H3962" s="12" t="s">
        <v>22</v>
      </c>
      <c r="I3962" s="12">
        <v>1</v>
      </c>
      <c r="J3962" s="12" t="s">
        <v>39</v>
      </c>
      <c r="K3962" s="12" t="s">
        <v>23</v>
      </c>
      <c r="L3962" s="12">
        <v>1</v>
      </c>
      <c r="M3962" s="15">
        <v>196625</v>
      </c>
      <c r="N3962" s="15">
        <v>0</v>
      </c>
      <c r="O3962" s="15">
        <f t="shared" si="341"/>
        <v>196625</v>
      </c>
      <c r="P3962" s="15">
        <f t="shared" si="342"/>
        <v>11</v>
      </c>
      <c r="Q3962" s="14">
        <v>5000</v>
      </c>
      <c r="R3962" s="12">
        <v>100</v>
      </c>
      <c r="S3962" s="12" t="s">
        <v>4828</v>
      </c>
      <c r="T3962" s="22">
        <f t="shared" si="338"/>
        <v>1</v>
      </c>
      <c r="U3962" s="22">
        <f t="shared" si="339"/>
        <v>2022</v>
      </c>
      <c r="V3962" s="22" t="str">
        <f t="shared" si="340"/>
        <v>METROPOLITANA</v>
      </c>
    </row>
    <row r="3963" spans="1:22" x14ac:dyDescent="0.2">
      <c r="A3963" s="11" t="s">
        <v>4819</v>
      </c>
      <c r="B3963" s="12" t="s">
        <v>33</v>
      </c>
      <c r="C3963" s="12" t="s">
        <v>44</v>
      </c>
      <c r="D3963" s="12" t="s">
        <v>38</v>
      </c>
      <c r="E3963" s="13" t="s">
        <v>42</v>
      </c>
      <c r="F3963" s="12" t="s">
        <v>26</v>
      </c>
      <c r="G3963" s="14">
        <v>5183.5199999999986</v>
      </c>
      <c r="H3963" s="12" t="s">
        <v>43</v>
      </c>
      <c r="I3963" s="12">
        <v>0</v>
      </c>
      <c r="J3963" s="12" t="s">
        <v>26</v>
      </c>
      <c r="K3963" s="12" t="s">
        <v>23</v>
      </c>
      <c r="L3963" s="12">
        <v>4</v>
      </c>
      <c r="M3963" s="15">
        <v>57019</v>
      </c>
      <c r="N3963" s="15">
        <v>0</v>
      </c>
      <c r="O3963" s="15">
        <f t="shared" si="341"/>
        <v>57019</v>
      </c>
      <c r="P3963" s="15">
        <f t="shared" si="342"/>
        <v>11.000054017347288</v>
      </c>
      <c r="Q3963" s="14">
        <v>5000</v>
      </c>
      <c r="R3963" s="12">
        <v>100</v>
      </c>
      <c r="S3963" s="12" t="s">
        <v>4829</v>
      </c>
      <c r="T3963" s="22">
        <f t="shared" si="338"/>
        <v>1</v>
      </c>
      <c r="U3963" s="22">
        <f t="shared" si="339"/>
        <v>2022</v>
      </c>
      <c r="V3963" s="22" t="str">
        <f t="shared" si="340"/>
        <v>METROPOLITANA</v>
      </c>
    </row>
    <row r="3964" spans="1:22" x14ac:dyDescent="0.2">
      <c r="A3964" s="11" t="s">
        <v>4819</v>
      </c>
      <c r="B3964" s="12" t="s">
        <v>33</v>
      </c>
      <c r="C3964" s="12" t="s">
        <v>44</v>
      </c>
      <c r="D3964" s="12" t="s">
        <v>47</v>
      </c>
      <c r="E3964" s="13" t="s">
        <v>52</v>
      </c>
      <c r="F3964" s="12" t="s">
        <v>48</v>
      </c>
      <c r="G3964" s="14">
        <v>7459.3499999999976</v>
      </c>
      <c r="H3964" s="12" t="s">
        <v>22</v>
      </c>
      <c r="I3964" s="12">
        <v>0</v>
      </c>
      <c r="J3964" s="12" t="s">
        <v>48</v>
      </c>
      <c r="K3964" s="12" t="s">
        <v>23</v>
      </c>
      <c r="L3964" s="12">
        <v>1</v>
      </c>
      <c r="M3964" s="15">
        <v>82053</v>
      </c>
      <c r="N3964" s="15">
        <v>0</v>
      </c>
      <c r="O3964" s="15">
        <f t="shared" si="341"/>
        <v>82053</v>
      </c>
      <c r="P3964" s="15">
        <f t="shared" si="342"/>
        <v>11.000020108990734</v>
      </c>
      <c r="Q3964" s="14">
        <v>5000</v>
      </c>
      <c r="R3964" s="12">
        <v>100</v>
      </c>
      <c r="S3964" s="12" t="s">
        <v>4830</v>
      </c>
      <c r="T3964" s="22">
        <f t="shared" si="338"/>
        <v>1</v>
      </c>
      <c r="U3964" s="22">
        <f t="shared" si="339"/>
        <v>2022</v>
      </c>
      <c r="V3964" s="22" t="str">
        <f t="shared" si="340"/>
        <v>METROPOLITANA</v>
      </c>
    </row>
    <row r="3965" spans="1:22" x14ac:dyDescent="0.2">
      <c r="A3965" s="11" t="s">
        <v>4819</v>
      </c>
      <c r="B3965" s="12" t="s">
        <v>33</v>
      </c>
      <c r="C3965" s="12" t="s">
        <v>44</v>
      </c>
      <c r="D3965" s="12" t="s">
        <v>41</v>
      </c>
      <c r="E3965" s="13" t="s">
        <v>25</v>
      </c>
      <c r="F3965" s="12" t="s">
        <v>94</v>
      </c>
      <c r="G3965" s="14">
        <v>7703.5999999999976</v>
      </c>
      <c r="H3965" s="12" t="s">
        <v>43</v>
      </c>
      <c r="I3965" s="12">
        <v>0</v>
      </c>
      <c r="J3965" s="12" t="s">
        <v>59</v>
      </c>
      <c r="K3965" s="12" t="s">
        <v>78</v>
      </c>
      <c r="L3965" s="12">
        <v>0</v>
      </c>
      <c r="M3965" s="15">
        <v>180000</v>
      </c>
      <c r="N3965" s="15">
        <v>0</v>
      </c>
      <c r="O3965" s="15">
        <f t="shared" si="341"/>
        <v>180000</v>
      </c>
      <c r="P3965" s="15">
        <f t="shared" si="342"/>
        <v>23.36569915364246</v>
      </c>
      <c r="Q3965" s="14">
        <v>20000</v>
      </c>
      <c r="R3965" s="12">
        <v>39</v>
      </c>
      <c r="S3965" s="12" t="s">
        <v>4831</v>
      </c>
      <c r="T3965" s="22">
        <f t="shared" si="338"/>
        <v>1</v>
      </c>
      <c r="U3965" s="22">
        <f t="shared" si="339"/>
        <v>2022</v>
      </c>
      <c r="V3965" s="22" t="str">
        <f t="shared" si="340"/>
        <v>REGIONES</v>
      </c>
    </row>
    <row r="3966" spans="1:22" x14ac:dyDescent="0.2">
      <c r="A3966" s="23" t="s">
        <v>4832</v>
      </c>
      <c r="B3966" s="22" t="s">
        <v>18</v>
      </c>
      <c r="C3966" s="22" t="s">
        <v>57</v>
      </c>
      <c r="D3966" s="22" t="s">
        <v>38</v>
      </c>
      <c r="E3966" s="24" t="s">
        <v>25</v>
      </c>
      <c r="F3966" s="22" t="s">
        <v>58</v>
      </c>
      <c r="G3966" s="25">
        <v>10322.290000000001</v>
      </c>
      <c r="H3966" s="22" t="s">
        <v>43</v>
      </c>
      <c r="I3966" s="22">
        <v>0</v>
      </c>
      <c r="J3966" s="22" t="s">
        <v>58</v>
      </c>
      <c r="K3966" s="22" t="s">
        <v>23</v>
      </c>
      <c r="L3966" s="22">
        <v>5</v>
      </c>
      <c r="M3966" s="26">
        <v>70000</v>
      </c>
      <c r="N3966" s="26">
        <v>0</v>
      </c>
      <c r="O3966" s="15">
        <f t="shared" si="341"/>
        <v>70000</v>
      </c>
      <c r="P3966" s="15">
        <f t="shared" si="342"/>
        <v>6.7814409399464646</v>
      </c>
      <c r="Q3966" s="25">
        <v>10000</v>
      </c>
      <c r="R3966" s="22">
        <v>100</v>
      </c>
      <c r="S3966" s="22" t="s">
        <v>4833</v>
      </c>
      <c r="T3966" s="22">
        <f t="shared" si="338"/>
        <v>1</v>
      </c>
      <c r="U3966" s="22">
        <f t="shared" si="339"/>
        <v>2022</v>
      </c>
      <c r="V3966" s="22" t="str">
        <f t="shared" si="340"/>
        <v>METROPOLITANA</v>
      </c>
    </row>
    <row r="3967" spans="1:22" x14ac:dyDescent="0.2">
      <c r="A3967" s="23" t="s">
        <v>4832</v>
      </c>
      <c r="B3967" s="22" t="s">
        <v>18</v>
      </c>
      <c r="C3967" s="22" t="s">
        <v>57</v>
      </c>
      <c r="D3967" s="22" t="s">
        <v>41</v>
      </c>
      <c r="E3967" s="24" t="s">
        <v>25</v>
      </c>
      <c r="F3967" s="22" t="s">
        <v>58</v>
      </c>
      <c r="G3967" s="25">
        <v>18490.080000000002</v>
      </c>
      <c r="H3967" s="22" t="s">
        <v>43</v>
      </c>
      <c r="I3967" s="22">
        <v>0</v>
      </c>
      <c r="J3967" s="22" t="s">
        <v>58</v>
      </c>
      <c r="K3967" s="22" t="s">
        <v>23</v>
      </c>
      <c r="L3967" s="22">
        <v>5</v>
      </c>
      <c r="M3967" s="26">
        <v>70000</v>
      </c>
      <c r="N3967" s="26">
        <v>0</v>
      </c>
      <c r="O3967" s="15">
        <f t="shared" si="341"/>
        <v>70000</v>
      </c>
      <c r="P3967" s="15">
        <f t="shared" si="342"/>
        <v>3.7858137985341327</v>
      </c>
      <c r="Q3967" s="25">
        <v>10000</v>
      </c>
      <c r="R3967" s="22">
        <v>100</v>
      </c>
      <c r="S3967" s="22" t="s">
        <v>4834</v>
      </c>
      <c r="T3967" s="22">
        <f t="shared" si="338"/>
        <v>1</v>
      </c>
      <c r="U3967" s="22">
        <f t="shared" si="339"/>
        <v>2022</v>
      </c>
      <c r="V3967" s="22" t="str">
        <f t="shared" si="340"/>
        <v>METROPOLITANA</v>
      </c>
    </row>
    <row r="3968" spans="1:22" x14ac:dyDescent="0.2">
      <c r="A3968" s="23" t="s">
        <v>4832</v>
      </c>
      <c r="B3968" s="22" t="s">
        <v>33</v>
      </c>
      <c r="C3968" s="22" t="s">
        <v>87</v>
      </c>
      <c r="D3968" s="22" t="s">
        <v>45</v>
      </c>
      <c r="E3968" s="24" t="s">
        <v>21</v>
      </c>
      <c r="F3968" s="22" t="s">
        <v>51</v>
      </c>
      <c r="G3968" s="25">
        <v>7250</v>
      </c>
      <c r="H3968" s="22" t="s">
        <v>22</v>
      </c>
      <c r="I3968" s="22">
        <v>0</v>
      </c>
      <c r="J3968" s="22" t="s">
        <v>51</v>
      </c>
      <c r="K3968" s="22" t="s">
        <v>23</v>
      </c>
      <c r="L3968" s="22">
        <v>4</v>
      </c>
      <c r="M3968" s="26">
        <v>79750</v>
      </c>
      <c r="N3968" s="26">
        <v>0</v>
      </c>
      <c r="O3968" s="15">
        <f t="shared" si="341"/>
        <v>79750</v>
      </c>
      <c r="P3968" s="15">
        <f t="shared" si="342"/>
        <v>11</v>
      </c>
      <c r="Q3968" s="25">
        <v>5000</v>
      </c>
      <c r="R3968" s="22">
        <v>100</v>
      </c>
      <c r="S3968" s="22" t="s">
        <v>4835</v>
      </c>
      <c r="T3968" s="22">
        <f t="shared" si="338"/>
        <v>1</v>
      </c>
      <c r="U3968" s="22">
        <f t="shared" si="339"/>
        <v>2022</v>
      </c>
      <c r="V3968" s="22" t="str">
        <f t="shared" si="340"/>
        <v>METROPOLITANA</v>
      </c>
    </row>
    <row r="3969" spans="1:22" x14ac:dyDescent="0.2">
      <c r="A3969" s="23" t="s">
        <v>4832</v>
      </c>
      <c r="B3969" s="22" t="s">
        <v>33</v>
      </c>
      <c r="C3969" s="22" t="s">
        <v>29</v>
      </c>
      <c r="D3969" s="22" t="s">
        <v>37</v>
      </c>
      <c r="E3969" s="24" t="s">
        <v>40</v>
      </c>
      <c r="F3969" s="22" t="s">
        <v>39</v>
      </c>
      <c r="G3969" s="25">
        <v>11050</v>
      </c>
      <c r="H3969" s="22" t="s">
        <v>22</v>
      </c>
      <c r="I3969" s="22">
        <v>0</v>
      </c>
      <c r="J3969" s="22" t="s">
        <v>39</v>
      </c>
      <c r="K3969" s="22" t="s">
        <v>23</v>
      </c>
      <c r="L3969" s="22">
        <v>1</v>
      </c>
      <c r="M3969" s="26">
        <v>121550</v>
      </c>
      <c r="N3969" s="26">
        <v>0</v>
      </c>
      <c r="O3969" s="15">
        <f t="shared" si="341"/>
        <v>121550</v>
      </c>
      <c r="P3969" s="15">
        <f t="shared" si="342"/>
        <v>11</v>
      </c>
      <c r="Q3969" s="25">
        <v>5000</v>
      </c>
      <c r="R3969" s="22">
        <v>100</v>
      </c>
      <c r="S3969" s="22" t="s">
        <v>4836</v>
      </c>
      <c r="T3969" s="22">
        <f t="shared" si="338"/>
        <v>1</v>
      </c>
      <c r="U3969" s="22">
        <f t="shared" si="339"/>
        <v>2022</v>
      </c>
      <c r="V3969" s="22" t="str">
        <f t="shared" si="340"/>
        <v>METROPOLITANA</v>
      </c>
    </row>
    <row r="3970" spans="1:22" x14ac:dyDescent="0.2">
      <c r="A3970" s="23" t="s">
        <v>4832</v>
      </c>
      <c r="B3970" s="22" t="s">
        <v>33</v>
      </c>
      <c r="C3970" s="22" t="s">
        <v>29</v>
      </c>
      <c r="D3970" s="22" t="s">
        <v>164</v>
      </c>
      <c r="E3970" s="24" t="s">
        <v>1576</v>
      </c>
      <c r="F3970" s="22" t="s">
        <v>39</v>
      </c>
      <c r="G3970" s="25">
        <v>16728.61</v>
      </c>
      <c r="H3970" s="22" t="s">
        <v>22</v>
      </c>
      <c r="I3970" s="22">
        <v>1</v>
      </c>
      <c r="J3970" s="22" t="s">
        <v>39</v>
      </c>
      <c r="K3970" s="22" t="s">
        <v>23</v>
      </c>
      <c r="L3970" s="22">
        <v>1</v>
      </c>
      <c r="M3970" s="26">
        <v>184015</v>
      </c>
      <c r="N3970" s="26">
        <v>0</v>
      </c>
      <c r="O3970" s="15">
        <f t="shared" si="341"/>
        <v>184015</v>
      </c>
      <c r="P3970" s="15">
        <f t="shared" si="342"/>
        <v>11.000017335570618</v>
      </c>
      <c r="Q3970" s="25">
        <v>5000</v>
      </c>
      <c r="R3970" s="22">
        <v>100</v>
      </c>
      <c r="S3970" s="22" t="s">
        <v>4837</v>
      </c>
      <c r="T3970" s="22">
        <f t="shared" si="338"/>
        <v>1</v>
      </c>
      <c r="U3970" s="22">
        <f t="shared" si="339"/>
        <v>2022</v>
      </c>
      <c r="V3970" s="22" t="str">
        <f t="shared" si="340"/>
        <v>METROPOLITANA</v>
      </c>
    </row>
    <row r="3971" spans="1:22" x14ac:dyDescent="0.2">
      <c r="A3971" s="23" t="s">
        <v>4832</v>
      </c>
      <c r="B3971" s="22" t="s">
        <v>33</v>
      </c>
      <c r="C3971" s="22" t="s">
        <v>44</v>
      </c>
      <c r="D3971" s="22" t="s">
        <v>63</v>
      </c>
      <c r="E3971" s="24" t="s">
        <v>64</v>
      </c>
      <c r="F3971" s="22" t="s">
        <v>26</v>
      </c>
      <c r="G3971" s="25">
        <v>4233.0899999999983</v>
      </c>
      <c r="H3971" s="22" t="s">
        <v>65</v>
      </c>
      <c r="I3971" s="22">
        <v>0</v>
      </c>
      <c r="J3971" s="22" t="s">
        <v>26</v>
      </c>
      <c r="K3971" s="22" t="s">
        <v>23</v>
      </c>
      <c r="L3971" s="22">
        <v>4</v>
      </c>
      <c r="M3971" s="26">
        <v>55000</v>
      </c>
      <c r="N3971" s="26">
        <v>0</v>
      </c>
      <c r="O3971" s="15">
        <f t="shared" si="341"/>
        <v>55000</v>
      </c>
      <c r="P3971" s="15">
        <f t="shared" si="342"/>
        <v>12.992872818673835</v>
      </c>
      <c r="Q3971" s="25">
        <v>5000</v>
      </c>
      <c r="R3971" s="22">
        <v>85</v>
      </c>
      <c r="S3971" s="22" t="s">
        <v>4838</v>
      </c>
      <c r="T3971" s="22">
        <f t="shared" si="338"/>
        <v>1</v>
      </c>
      <c r="U3971" s="22">
        <f t="shared" si="339"/>
        <v>2022</v>
      </c>
      <c r="V3971" s="22" t="str">
        <f t="shared" si="340"/>
        <v>METROPOLITANA</v>
      </c>
    </row>
    <row r="3972" spans="1:22" x14ac:dyDescent="0.2">
      <c r="A3972" s="23" t="s">
        <v>4832</v>
      </c>
      <c r="B3972" s="22" t="s">
        <v>33</v>
      </c>
      <c r="C3972" s="22" t="s">
        <v>44</v>
      </c>
      <c r="D3972" s="22" t="s">
        <v>47</v>
      </c>
      <c r="E3972" s="24" t="s">
        <v>52</v>
      </c>
      <c r="F3972" s="22" t="s">
        <v>48</v>
      </c>
      <c r="G3972" s="25">
        <v>6631.6399999999994</v>
      </c>
      <c r="H3972" s="22" t="s">
        <v>22</v>
      </c>
      <c r="I3972" s="22">
        <v>0</v>
      </c>
      <c r="J3972" s="22" t="s">
        <v>48</v>
      </c>
      <c r="K3972" s="22" t="s">
        <v>23</v>
      </c>
      <c r="L3972" s="22">
        <v>1</v>
      </c>
      <c r="M3972" s="26">
        <v>72948</v>
      </c>
      <c r="N3972" s="26">
        <v>0</v>
      </c>
      <c r="O3972" s="15">
        <f t="shared" si="341"/>
        <v>72948</v>
      </c>
      <c r="P3972" s="15">
        <f t="shared" si="342"/>
        <v>10.999993968309498</v>
      </c>
      <c r="Q3972" s="25">
        <v>5000</v>
      </c>
      <c r="R3972" s="22">
        <v>100</v>
      </c>
      <c r="S3972" s="22" t="s">
        <v>4839</v>
      </c>
      <c r="T3972" s="22">
        <f t="shared" si="338"/>
        <v>1</v>
      </c>
      <c r="U3972" s="22">
        <f t="shared" si="339"/>
        <v>2022</v>
      </c>
      <c r="V3972" s="22" t="str">
        <f t="shared" si="340"/>
        <v>METROPOLITANA</v>
      </c>
    </row>
    <row r="3973" spans="1:22" x14ac:dyDescent="0.2">
      <c r="A3973" s="11" t="s">
        <v>4840</v>
      </c>
      <c r="B3973" s="12" t="s">
        <v>18</v>
      </c>
      <c r="C3973" s="12" t="s">
        <v>57</v>
      </c>
      <c r="D3973" s="12" t="s">
        <v>41</v>
      </c>
      <c r="E3973" s="13">
        <v>125108660</v>
      </c>
      <c r="F3973" s="12" t="s">
        <v>58</v>
      </c>
      <c r="G3973" s="14">
        <v>6823.9400000000014</v>
      </c>
      <c r="H3973" s="12" t="s">
        <v>43</v>
      </c>
      <c r="I3973" s="12">
        <v>0</v>
      </c>
      <c r="J3973" s="12" t="s">
        <v>58</v>
      </c>
      <c r="K3973" s="12" t="s">
        <v>23</v>
      </c>
      <c r="L3973" s="12">
        <v>5</v>
      </c>
      <c r="M3973" s="15">
        <v>70000</v>
      </c>
      <c r="N3973" s="15">
        <v>0</v>
      </c>
      <c r="O3973" s="15">
        <f t="shared" si="341"/>
        <v>70000</v>
      </c>
      <c r="P3973" s="15">
        <f t="shared" si="342"/>
        <v>10.258003440827437</v>
      </c>
      <c r="Q3973" s="14">
        <v>10000</v>
      </c>
      <c r="R3973" s="12">
        <v>68</v>
      </c>
      <c r="S3973" s="12" t="s">
        <v>4841</v>
      </c>
      <c r="T3973" s="22">
        <f t="shared" si="338"/>
        <v>1</v>
      </c>
      <c r="U3973" s="22">
        <f t="shared" si="339"/>
        <v>2022</v>
      </c>
      <c r="V3973" s="22" t="str">
        <f t="shared" si="340"/>
        <v>METROPOLITANA</v>
      </c>
    </row>
    <row r="3974" spans="1:22" x14ac:dyDescent="0.2">
      <c r="A3974" s="11" t="s">
        <v>4840</v>
      </c>
      <c r="B3974" s="12" t="s">
        <v>18</v>
      </c>
      <c r="C3974" s="12" t="s">
        <v>500</v>
      </c>
      <c r="D3974" s="12" t="s">
        <v>30</v>
      </c>
      <c r="E3974" s="13">
        <v>72564391</v>
      </c>
      <c r="F3974" s="12" t="s">
        <v>120</v>
      </c>
      <c r="G3974" s="14">
        <v>8942.4000000000015</v>
      </c>
      <c r="H3974" s="12" t="s">
        <v>32</v>
      </c>
      <c r="I3974" s="12">
        <v>0</v>
      </c>
      <c r="J3974" s="12" t="s">
        <v>120</v>
      </c>
      <c r="K3974" s="12" t="s">
        <v>23</v>
      </c>
      <c r="L3974" s="12">
        <v>5</v>
      </c>
      <c r="M3974" s="15">
        <v>70000</v>
      </c>
      <c r="N3974" s="15">
        <v>0</v>
      </c>
      <c r="O3974" s="15">
        <f t="shared" si="341"/>
        <v>70000</v>
      </c>
      <c r="P3974" s="15">
        <f t="shared" si="342"/>
        <v>7.827876185364107</v>
      </c>
      <c r="Q3974" s="14">
        <v>10000</v>
      </c>
      <c r="R3974" s="12">
        <v>89</v>
      </c>
      <c r="S3974" s="12" t="s">
        <v>4842</v>
      </c>
      <c r="T3974" s="22">
        <f t="shared" si="338"/>
        <v>1</v>
      </c>
      <c r="U3974" s="22">
        <f t="shared" si="339"/>
        <v>2022</v>
      </c>
      <c r="V3974" s="22" t="str">
        <f t="shared" si="340"/>
        <v>METROPOLITANA</v>
      </c>
    </row>
    <row r="3975" spans="1:22" x14ac:dyDescent="0.2">
      <c r="A3975" s="11" t="s">
        <v>4840</v>
      </c>
      <c r="B3975" s="12" t="s">
        <v>33</v>
      </c>
      <c r="C3975" s="12" t="s">
        <v>1642</v>
      </c>
      <c r="D3975" s="12" t="s">
        <v>1869</v>
      </c>
      <c r="E3975" s="13">
        <v>125897258</v>
      </c>
      <c r="F3975" s="12" t="s">
        <v>691</v>
      </c>
      <c r="G3975" s="14">
        <f>6787.997+3732</f>
        <v>10519.996999999999</v>
      </c>
      <c r="H3975" s="12" t="s">
        <v>24</v>
      </c>
      <c r="I3975" s="12">
        <v>1</v>
      </c>
      <c r="J3975" s="12" t="s">
        <v>691</v>
      </c>
      <c r="K3975" s="12" t="s">
        <v>873</v>
      </c>
      <c r="L3975" s="12">
        <v>0</v>
      </c>
      <c r="M3975" s="15">
        <v>1100000</v>
      </c>
      <c r="N3975" s="15">
        <v>0</v>
      </c>
      <c r="O3975" s="15">
        <f t="shared" si="341"/>
        <v>1100000</v>
      </c>
      <c r="P3975" s="15">
        <f t="shared" si="342"/>
        <v>104.56276746086525</v>
      </c>
      <c r="Q3975" s="14">
        <v>20000</v>
      </c>
      <c r="R3975" s="12">
        <v>55</v>
      </c>
      <c r="S3975" s="12" t="s">
        <v>4847</v>
      </c>
      <c r="T3975" s="22">
        <f t="shared" si="338"/>
        <v>1</v>
      </c>
      <c r="U3975" s="22">
        <f t="shared" si="339"/>
        <v>2022</v>
      </c>
      <c r="V3975" s="22" t="str">
        <f t="shared" si="340"/>
        <v>REGIONES</v>
      </c>
    </row>
    <row r="3976" spans="1:22" x14ac:dyDescent="0.2">
      <c r="A3976" s="11" t="s">
        <v>4840</v>
      </c>
      <c r="B3976" s="12" t="s">
        <v>33</v>
      </c>
      <c r="C3976" s="12" t="s">
        <v>29</v>
      </c>
      <c r="D3976" s="12" t="s">
        <v>38</v>
      </c>
      <c r="E3976" s="13">
        <v>53173292</v>
      </c>
      <c r="F3976" s="12" t="s">
        <v>39</v>
      </c>
      <c r="G3976" s="14">
        <v>14711.250000000009</v>
      </c>
      <c r="H3976" s="12" t="s">
        <v>43</v>
      </c>
      <c r="I3976" s="12">
        <v>0</v>
      </c>
      <c r="J3976" s="12" t="s">
        <v>39</v>
      </c>
      <c r="K3976" s="12" t="s">
        <v>23</v>
      </c>
      <c r="L3976" s="12">
        <v>1</v>
      </c>
      <c r="M3976" s="15">
        <v>161824</v>
      </c>
      <c r="N3976" s="15">
        <v>0</v>
      </c>
      <c r="O3976" s="15">
        <f t="shared" si="341"/>
        <v>161824</v>
      </c>
      <c r="P3976" s="15">
        <f t="shared" si="342"/>
        <v>11.000016993797257</v>
      </c>
      <c r="Q3976" s="14">
        <v>5000</v>
      </c>
      <c r="R3976" s="12">
        <v>100</v>
      </c>
      <c r="S3976" s="12" t="s">
        <v>4843</v>
      </c>
      <c r="T3976" s="22">
        <f t="shared" ref="T3976:T4039" si="343">MONTH(A3976)</f>
        <v>1</v>
      </c>
      <c r="U3976" s="22">
        <f t="shared" ref="U3976:U4039" si="344">YEAR(A3976)</f>
        <v>2022</v>
      </c>
      <c r="V3976" s="22" t="str">
        <f t="shared" ref="V3976:V4039" si="345">IF(K3976="METROPOLITANA DE SANTIAGO","METROPOLITANA","REGIONES")</f>
        <v>METROPOLITANA</v>
      </c>
    </row>
    <row r="3977" spans="1:22" x14ac:dyDescent="0.2">
      <c r="A3977" s="11" t="s">
        <v>4840</v>
      </c>
      <c r="B3977" s="12" t="s">
        <v>33</v>
      </c>
      <c r="C3977" s="12" t="s">
        <v>29</v>
      </c>
      <c r="D3977" s="12" t="s">
        <v>2199</v>
      </c>
      <c r="E3977" s="13">
        <v>154837728</v>
      </c>
      <c r="F3977" s="12" t="s">
        <v>39</v>
      </c>
      <c r="G3977" s="14">
        <v>17875</v>
      </c>
      <c r="H3977" s="12" t="s">
        <v>22</v>
      </c>
      <c r="I3977" s="12">
        <v>0</v>
      </c>
      <c r="J3977" s="12" t="s">
        <v>39</v>
      </c>
      <c r="K3977" s="12" t="s">
        <v>23</v>
      </c>
      <c r="L3977" s="12">
        <v>1</v>
      </c>
      <c r="M3977" s="15">
        <v>196625</v>
      </c>
      <c r="N3977" s="15">
        <v>0</v>
      </c>
      <c r="O3977" s="15">
        <f t="shared" si="341"/>
        <v>196625</v>
      </c>
      <c r="P3977" s="15">
        <f t="shared" si="342"/>
        <v>11</v>
      </c>
      <c r="Q3977" s="14">
        <v>5000</v>
      </c>
      <c r="R3977" s="12">
        <v>100</v>
      </c>
      <c r="S3977" s="12" t="s">
        <v>4844</v>
      </c>
      <c r="T3977" s="22">
        <f t="shared" si="343"/>
        <v>1</v>
      </c>
      <c r="U3977" s="22">
        <f t="shared" si="344"/>
        <v>2022</v>
      </c>
      <c r="V3977" s="22" t="str">
        <f t="shared" si="345"/>
        <v>METROPOLITANA</v>
      </c>
    </row>
    <row r="3978" spans="1:22" x14ac:dyDescent="0.2">
      <c r="A3978" s="11" t="s">
        <v>4840</v>
      </c>
      <c r="B3978" s="12" t="s">
        <v>33</v>
      </c>
      <c r="C3978" s="12" t="s">
        <v>44</v>
      </c>
      <c r="D3978" s="12" t="s">
        <v>4247</v>
      </c>
      <c r="E3978" s="13">
        <v>115812335</v>
      </c>
      <c r="F3978" s="12" t="s">
        <v>3438</v>
      </c>
      <c r="G3978" s="14">
        <v>12666.04000000001</v>
      </c>
      <c r="H3978" s="12" t="s">
        <v>24</v>
      </c>
      <c r="I3978" s="12">
        <v>1</v>
      </c>
      <c r="J3978" s="12" t="s">
        <v>3438</v>
      </c>
      <c r="K3978" s="12" t="s">
        <v>93</v>
      </c>
      <c r="L3978" s="12">
        <v>0</v>
      </c>
      <c r="M3978" s="15">
        <v>800000</v>
      </c>
      <c r="N3978" s="15">
        <v>0</v>
      </c>
      <c r="O3978" s="15">
        <f t="shared" si="341"/>
        <v>800000</v>
      </c>
      <c r="P3978" s="15">
        <f t="shared" si="342"/>
        <v>63.161019545177446</v>
      </c>
      <c r="Q3978" s="14">
        <v>20000</v>
      </c>
      <c r="R3978" s="12">
        <v>63</v>
      </c>
      <c r="S3978" s="12" t="s">
        <v>4845</v>
      </c>
      <c r="T3978" s="22">
        <f t="shared" si="343"/>
        <v>1</v>
      </c>
      <c r="U3978" s="22">
        <f t="shared" si="344"/>
        <v>2022</v>
      </c>
      <c r="V3978" s="22" t="str">
        <f t="shared" si="345"/>
        <v>REGIONES</v>
      </c>
    </row>
    <row r="3979" spans="1:22" x14ac:dyDescent="0.2">
      <c r="A3979" s="11" t="s">
        <v>4840</v>
      </c>
      <c r="B3979" s="12" t="s">
        <v>33</v>
      </c>
      <c r="C3979" s="12" t="s">
        <v>44</v>
      </c>
      <c r="D3979" s="12" t="s">
        <v>45</v>
      </c>
      <c r="E3979" s="13">
        <v>99626232</v>
      </c>
      <c r="F3979" s="12" t="s">
        <v>48</v>
      </c>
      <c r="G3979" s="14">
        <v>3559.01</v>
      </c>
      <c r="H3979" s="12" t="s">
        <v>22</v>
      </c>
      <c r="I3979" s="12">
        <v>0</v>
      </c>
      <c r="J3979" s="12" t="s">
        <v>48</v>
      </c>
      <c r="K3979" s="12" t="s">
        <v>23</v>
      </c>
      <c r="L3979" s="12">
        <v>1</v>
      </c>
      <c r="M3979" s="15">
        <v>55000</v>
      </c>
      <c r="N3979" s="15">
        <v>0</v>
      </c>
      <c r="O3979" s="15">
        <f t="shared" si="341"/>
        <v>55000</v>
      </c>
      <c r="P3979" s="15">
        <f t="shared" si="342"/>
        <v>15.453735729879938</v>
      </c>
      <c r="Q3979" s="14">
        <v>5000</v>
      </c>
      <c r="R3979" s="12">
        <v>71</v>
      </c>
      <c r="S3979" s="12" t="s">
        <v>4846</v>
      </c>
      <c r="T3979" s="22">
        <f t="shared" si="343"/>
        <v>1</v>
      </c>
      <c r="U3979" s="22">
        <f t="shared" si="344"/>
        <v>2022</v>
      </c>
      <c r="V3979" s="22" t="str">
        <f t="shared" si="345"/>
        <v>METROPOLITANA</v>
      </c>
    </row>
    <row r="3980" spans="1:22" x14ac:dyDescent="0.2">
      <c r="A3980" s="23" t="s">
        <v>4848</v>
      </c>
      <c r="B3980" s="22" t="s">
        <v>18</v>
      </c>
      <c r="C3980" s="22" t="s">
        <v>500</v>
      </c>
      <c r="D3980" s="22" t="s">
        <v>37</v>
      </c>
      <c r="E3980" s="24" t="s">
        <v>40</v>
      </c>
      <c r="F3980" s="22" t="s">
        <v>120</v>
      </c>
      <c r="G3980" s="25">
        <v>11775.4</v>
      </c>
      <c r="H3980" s="22" t="s">
        <v>22</v>
      </c>
      <c r="I3980" s="22">
        <v>0</v>
      </c>
      <c r="J3980" s="22" t="s">
        <v>120</v>
      </c>
      <c r="K3980" s="22" t="s">
        <v>23</v>
      </c>
      <c r="L3980" s="22">
        <v>5</v>
      </c>
      <c r="M3980" s="26">
        <v>70000</v>
      </c>
      <c r="N3980" s="26">
        <v>0</v>
      </c>
      <c r="O3980" s="15">
        <f t="shared" si="341"/>
        <v>70000</v>
      </c>
      <c r="P3980" s="15">
        <f t="shared" si="342"/>
        <v>5.9445963619070268</v>
      </c>
      <c r="Q3980" s="25">
        <v>10000</v>
      </c>
      <c r="R3980" s="22">
        <v>100</v>
      </c>
      <c r="S3980" s="22" t="s">
        <v>4849</v>
      </c>
      <c r="T3980" s="22">
        <f t="shared" si="343"/>
        <v>1</v>
      </c>
      <c r="U3980" s="22">
        <f t="shared" si="344"/>
        <v>2022</v>
      </c>
      <c r="V3980" s="22" t="str">
        <f t="shared" si="345"/>
        <v>METROPOLITANA</v>
      </c>
    </row>
    <row r="3981" spans="1:22" x14ac:dyDescent="0.2">
      <c r="A3981" s="23" t="s">
        <v>4848</v>
      </c>
      <c r="B3981" s="22" t="s">
        <v>18</v>
      </c>
      <c r="C3981" s="22" t="s">
        <v>500</v>
      </c>
      <c r="D3981" s="22" t="s">
        <v>30</v>
      </c>
      <c r="E3981" s="24" t="s">
        <v>31</v>
      </c>
      <c r="F3981" s="22" t="s">
        <v>120</v>
      </c>
      <c r="G3981" s="25">
        <v>8487.7000000000025</v>
      </c>
      <c r="H3981" s="22" t="s">
        <v>32</v>
      </c>
      <c r="I3981" s="22">
        <v>0</v>
      </c>
      <c r="J3981" s="22" t="s">
        <v>120</v>
      </c>
      <c r="K3981" s="22" t="s">
        <v>23</v>
      </c>
      <c r="L3981" s="22">
        <v>5</v>
      </c>
      <c r="M3981" s="26">
        <v>70000</v>
      </c>
      <c r="N3981" s="26">
        <v>0</v>
      </c>
      <c r="O3981" s="15">
        <f t="shared" si="341"/>
        <v>70000</v>
      </c>
      <c r="P3981" s="15">
        <f t="shared" si="342"/>
        <v>8.2472283421892829</v>
      </c>
      <c r="Q3981" s="25">
        <v>10000</v>
      </c>
      <c r="R3981" s="22">
        <v>85</v>
      </c>
      <c r="S3981" s="22" t="s">
        <v>4850</v>
      </c>
      <c r="T3981" s="22">
        <f t="shared" si="343"/>
        <v>1</v>
      </c>
      <c r="U3981" s="22">
        <f t="shared" si="344"/>
        <v>2022</v>
      </c>
      <c r="V3981" s="22" t="str">
        <f t="shared" si="345"/>
        <v>METROPOLITANA</v>
      </c>
    </row>
    <row r="3982" spans="1:22" x14ac:dyDescent="0.2">
      <c r="A3982" s="23" t="s">
        <v>4848</v>
      </c>
      <c r="B3982" s="22" t="s">
        <v>33</v>
      </c>
      <c r="C3982" s="22" t="s">
        <v>1642</v>
      </c>
      <c r="D3982" s="22" t="s">
        <v>2262</v>
      </c>
      <c r="E3982" s="24" t="s">
        <v>83</v>
      </c>
      <c r="F3982" s="22" t="s">
        <v>84</v>
      </c>
      <c r="G3982" s="25">
        <v>7855.9599999999973</v>
      </c>
      <c r="H3982" s="22" t="s">
        <v>24</v>
      </c>
      <c r="I3982" s="22">
        <v>1</v>
      </c>
      <c r="J3982" s="22" t="s">
        <v>84</v>
      </c>
      <c r="K3982" s="22" t="s">
        <v>86</v>
      </c>
      <c r="L3982" s="22">
        <v>0</v>
      </c>
      <c r="M3982" s="26">
        <v>330000</v>
      </c>
      <c r="N3982" s="26">
        <v>0</v>
      </c>
      <c r="O3982" s="15">
        <f t="shared" si="341"/>
        <v>330000</v>
      </c>
      <c r="P3982" s="15">
        <f t="shared" si="342"/>
        <v>42.006323861119469</v>
      </c>
      <c r="Q3982" s="25">
        <v>20000</v>
      </c>
      <c r="R3982" s="22">
        <v>85</v>
      </c>
      <c r="S3982" s="22" t="s">
        <v>4851</v>
      </c>
      <c r="T3982" s="22">
        <f t="shared" si="343"/>
        <v>1</v>
      </c>
      <c r="U3982" s="22">
        <f t="shared" si="344"/>
        <v>2022</v>
      </c>
      <c r="V3982" s="22" t="str">
        <f t="shared" si="345"/>
        <v>REGIONES</v>
      </c>
    </row>
    <row r="3983" spans="1:22" x14ac:dyDescent="0.2">
      <c r="A3983" s="23" t="s">
        <v>4848</v>
      </c>
      <c r="B3983" s="22" t="s">
        <v>33</v>
      </c>
      <c r="C3983" s="22" t="s">
        <v>1642</v>
      </c>
      <c r="D3983" s="22" t="s">
        <v>786</v>
      </c>
      <c r="E3983" s="24" t="s">
        <v>4852</v>
      </c>
      <c r="F3983" s="22" t="s">
        <v>2055</v>
      </c>
      <c r="G3983" s="25">
        <v>8526.6699999999983</v>
      </c>
      <c r="H3983" s="22" t="s">
        <v>788</v>
      </c>
      <c r="I3983" s="22">
        <v>1</v>
      </c>
      <c r="J3983" s="22" t="s">
        <v>2055</v>
      </c>
      <c r="K3983" s="22" t="s">
        <v>86</v>
      </c>
      <c r="L3983" s="22">
        <v>0</v>
      </c>
      <c r="M3983" s="26">
        <v>300000</v>
      </c>
      <c r="N3983" s="26">
        <v>0</v>
      </c>
      <c r="O3983" s="15">
        <f t="shared" si="341"/>
        <v>300000</v>
      </c>
      <c r="P3983" s="15">
        <f t="shared" si="342"/>
        <v>35.183723540373919</v>
      </c>
      <c r="Q3983" s="25">
        <v>20000</v>
      </c>
      <c r="R3983" s="22">
        <v>43</v>
      </c>
      <c r="S3983" s="22" t="s">
        <v>4853</v>
      </c>
      <c r="T3983" s="22">
        <f t="shared" si="343"/>
        <v>1</v>
      </c>
      <c r="U3983" s="22">
        <f t="shared" si="344"/>
        <v>2022</v>
      </c>
      <c r="V3983" s="22" t="str">
        <f t="shared" si="345"/>
        <v>REGIONES</v>
      </c>
    </row>
    <row r="3984" spans="1:22" x14ac:dyDescent="0.2">
      <c r="A3984" s="23" t="s">
        <v>4848</v>
      </c>
      <c r="B3984" s="22" t="s">
        <v>33</v>
      </c>
      <c r="C3984" s="22" t="s">
        <v>87</v>
      </c>
      <c r="D3984" s="22" t="s">
        <v>38</v>
      </c>
      <c r="E3984" s="24" t="s">
        <v>25</v>
      </c>
      <c r="F3984" s="22" t="s">
        <v>51</v>
      </c>
      <c r="G3984" s="25">
        <v>5999.63</v>
      </c>
      <c r="H3984" s="22" t="s">
        <v>43</v>
      </c>
      <c r="I3984" s="22">
        <v>0</v>
      </c>
      <c r="J3984" s="22" t="s">
        <v>51</v>
      </c>
      <c r="K3984" s="22" t="s">
        <v>23</v>
      </c>
      <c r="L3984" s="22">
        <v>4</v>
      </c>
      <c r="M3984" s="26">
        <v>65996</v>
      </c>
      <c r="N3984" s="26">
        <v>0</v>
      </c>
      <c r="O3984" s="15">
        <f t="shared" si="341"/>
        <v>65996</v>
      </c>
      <c r="P3984" s="15">
        <f t="shared" si="342"/>
        <v>11.000011667386156</v>
      </c>
      <c r="Q3984" s="25">
        <v>5000</v>
      </c>
      <c r="R3984" s="22">
        <v>100</v>
      </c>
      <c r="S3984" s="22" t="s">
        <v>4854</v>
      </c>
      <c r="T3984" s="22">
        <f t="shared" si="343"/>
        <v>1</v>
      </c>
      <c r="U3984" s="22">
        <f t="shared" si="344"/>
        <v>2022</v>
      </c>
      <c r="V3984" s="22" t="str">
        <f t="shared" si="345"/>
        <v>METROPOLITANA</v>
      </c>
    </row>
    <row r="3985" spans="1:22" x14ac:dyDescent="0.2">
      <c r="A3985" s="23" t="s">
        <v>4848</v>
      </c>
      <c r="B3985" s="22" t="s">
        <v>33</v>
      </c>
      <c r="C3985" s="22" t="s">
        <v>29</v>
      </c>
      <c r="D3985" s="22" t="s">
        <v>37</v>
      </c>
      <c r="E3985" s="24" t="s">
        <v>40</v>
      </c>
      <c r="F3985" s="22" t="s">
        <v>39</v>
      </c>
      <c r="G3985" s="25">
        <v>2176.1999999999989</v>
      </c>
      <c r="H3985" s="22" t="s">
        <v>22</v>
      </c>
      <c r="I3985" s="22">
        <v>0</v>
      </c>
      <c r="J3985" s="22" t="s">
        <v>39</v>
      </c>
      <c r="K3985" s="22" t="s">
        <v>23</v>
      </c>
      <c r="L3985" s="22">
        <v>1</v>
      </c>
      <c r="M3985" s="26">
        <v>55000</v>
      </c>
      <c r="N3985" s="26">
        <v>0</v>
      </c>
      <c r="O3985" s="15">
        <f t="shared" si="341"/>
        <v>55000</v>
      </c>
      <c r="P3985" s="15">
        <f t="shared" si="342"/>
        <v>25.273412370186577</v>
      </c>
      <c r="Q3985" s="25">
        <v>5000</v>
      </c>
      <c r="R3985" s="22">
        <v>65</v>
      </c>
      <c r="S3985" s="22" t="s">
        <v>4855</v>
      </c>
      <c r="T3985" s="22">
        <f t="shared" si="343"/>
        <v>1</v>
      </c>
      <c r="U3985" s="22">
        <f t="shared" si="344"/>
        <v>2022</v>
      </c>
      <c r="V3985" s="22" t="str">
        <f t="shared" si="345"/>
        <v>METROPOLITANA</v>
      </c>
    </row>
    <row r="3986" spans="1:22" x14ac:dyDescent="0.2">
      <c r="A3986" s="23" t="s">
        <v>4848</v>
      </c>
      <c r="B3986" s="22" t="s">
        <v>33</v>
      </c>
      <c r="C3986" s="22" t="s">
        <v>29</v>
      </c>
      <c r="D3986" s="22" t="s">
        <v>2199</v>
      </c>
      <c r="E3986" s="24" t="s">
        <v>1576</v>
      </c>
      <c r="F3986" s="22" t="s">
        <v>39</v>
      </c>
      <c r="G3986" s="25">
        <v>21323.049999999988</v>
      </c>
      <c r="H3986" s="22" t="s">
        <v>22</v>
      </c>
      <c r="I3986" s="22">
        <v>0</v>
      </c>
      <c r="J3986" s="22" t="s">
        <v>39</v>
      </c>
      <c r="K3986" s="22" t="s">
        <v>23</v>
      </c>
      <c r="L3986" s="22">
        <v>1</v>
      </c>
      <c r="M3986" s="26">
        <v>234554</v>
      </c>
      <c r="N3986" s="26">
        <v>0</v>
      </c>
      <c r="O3986" s="15">
        <f t="shared" si="341"/>
        <v>234554</v>
      </c>
      <c r="P3986" s="15">
        <f t="shared" si="342"/>
        <v>11.000021103922757</v>
      </c>
      <c r="Q3986" s="25">
        <v>5000</v>
      </c>
      <c r="R3986" s="22">
        <v>100</v>
      </c>
      <c r="S3986" s="22" t="s">
        <v>4856</v>
      </c>
      <c r="T3986" s="22">
        <f t="shared" si="343"/>
        <v>1</v>
      </c>
      <c r="U3986" s="22">
        <f t="shared" si="344"/>
        <v>2022</v>
      </c>
      <c r="V3986" s="22" t="str">
        <f t="shared" si="345"/>
        <v>METROPOLITANA</v>
      </c>
    </row>
    <row r="3987" spans="1:22" x14ac:dyDescent="0.2">
      <c r="A3987" s="23" t="s">
        <v>4848</v>
      </c>
      <c r="B3987" s="22" t="s">
        <v>33</v>
      </c>
      <c r="C3987" s="22" t="s">
        <v>44</v>
      </c>
      <c r="D3987" s="22" t="s">
        <v>191</v>
      </c>
      <c r="E3987" s="24" t="s">
        <v>192</v>
      </c>
      <c r="F3987" s="22" t="s">
        <v>92</v>
      </c>
      <c r="G3987" s="25">
        <v>11018.5</v>
      </c>
      <c r="H3987" s="22" t="s">
        <v>85</v>
      </c>
      <c r="I3987" s="22">
        <v>1</v>
      </c>
      <c r="J3987" s="22" t="s">
        <v>92</v>
      </c>
      <c r="K3987" s="22" t="s">
        <v>93</v>
      </c>
      <c r="L3987" s="22">
        <v>0</v>
      </c>
      <c r="M3987" s="26">
        <v>665000</v>
      </c>
      <c r="N3987" s="26">
        <v>0</v>
      </c>
      <c r="O3987" s="15">
        <f t="shared" si="341"/>
        <v>665000</v>
      </c>
      <c r="P3987" s="15">
        <f t="shared" si="342"/>
        <v>60.353042610155647</v>
      </c>
      <c r="Q3987" s="25">
        <v>20000</v>
      </c>
      <c r="R3987" s="22">
        <v>76</v>
      </c>
      <c r="S3987" s="22" t="s">
        <v>4857</v>
      </c>
      <c r="T3987" s="22">
        <f t="shared" si="343"/>
        <v>1</v>
      </c>
      <c r="U3987" s="22">
        <f t="shared" si="344"/>
        <v>2022</v>
      </c>
      <c r="V3987" s="22" t="str">
        <f t="shared" si="345"/>
        <v>REGIONES</v>
      </c>
    </row>
    <row r="3988" spans="1:22" x14ac:dyDescent="0.2">
      <c r="A3988" s="23" t="s">
        <v>4848</v>
      </c>
      <c r="B3988" s="22" t="s">
        <v>33</v>
      </c>
      <c r="C3988" s="22" t="s">
        <v>44</v>
      </c>
      <c r="D3988" s="22" t="s">
        <v>45</v>
      </c>
      <c r="E3988" s="24" t="s">
        <v>52</v>
      </c>
      <c r="F3988" s="22" t="s">
        <v>26</v>
      </c>
      <c r="G3988" s="25">
        <v>4806.6400000000003</v>
      </c>
      <c r="H3988" s="22" t="s">
        <v>22</v>
      </c>
      <c r="I3988" s="22">
        <v>0</v>
      </c>
      <c r="J3988" s="22" t="s">
        <v>26</v>
      </c>
      <c r="K3988" s="22" t="s">
        <v>23</v>
      </c>
      <c r="L3988" s="22">
        <v>4</v>
      </c>
      <c r="M3988" s="26">
        <v>55000</v>
      </c>
      <c r="N3988" s="26">
        <v>0</v>
      </c>
      <c r="O3988" s="15">
        <f t="shared" si="341"/>
        <v>55000</v>
      </c>
      <c r="P3988" s="15">
        <f t="shared" si="342"/>
        <v>11.442504535392706</v>
      </c>
      <c r="Q3988" s="25">
        <v>5000</v>
      </c>
      <c r="R3988" s="22">
        <v>96</v>
      </c>
      <c r="S3988" s="22" t="s">
        <v>4858</v>
      </c>
      <c r="T3988" s="22">
        <f t="shared" si="343"/>
        <v>1</v>
      </c>
      <c r="U3988" s="22">
        <f t="shared" si="344"/>
        <v>2022</v>
      </c>
      <c r="V3988" s="22" t="str">
        <f t="shared" si="345"/>
        <v>METROPOLITANA</v>
      </c>
    </row>
    <row r="3989" spans="1:22" x14ac:dyDescent="0.2">
      <c r="A3989" s="23" t="s">
        <v>4848</v>
      </c>
      <c r="B3989" s="22" t="s">
        <v>33</v>
      </c>
      <c r="C3989" s="22" t="s">
        <v>44</v>
      </c>
      <c r="D3989" s="22" t="s">
        <v>47</v>
      </c>
      <c r="E3989" s="24" t="s">
        <v>1576</v>
      </c>
      <c r="F3989" s="22" t="s">
        <v>53</v>
      </c>
      <c r="G3989" s="25">
        <v>6753.6299999999992</v>
      </c>
      <c r="H3989" s="22" t="s">
        <v>22</v>
      </c>
      <c r="I3989" s="22">
        <v>0</v>
      </c>
      <c r="J3989" s="22" t="s">
        <v>53</v>
      </c>
      <c r="K3989" s="22" t="s">
        <v>23</v>
      </c>
      <c r="L3989" s="22">
        <v>3</v>
      </c>
      <c r="M3989" s="26">
        <v>74290</v>
      </c>
      <c r="N3989" s="26">
        <v>0</v>
      </c>
      <c r="O3989" s="15">
        <f t="shared" si="341"/>
        <v>74290</v>
      </c>
      <c r="P3989" s="15">
        <f t="shared" si="342"/>
        <v>11.000010364796415</v>
      </c>
      <c r="Q3989" s="25">
        <v>5000</v>
      </c>
      <c r="R3989" s="22">
        <v>100</v>
      </c>
      <c r="S3989" s="22" t="s">
        <v>4859</v>
      </c>
      <c r="T3989" s="22">
        <f t="shared" si="343"/>
        <v>1</v>
      </c>
      <c r="U3989" s="22">
        <f t="shared" si="344"/>
        <v>2022</v>
      </c>
      <c r="V3989" s="22" t="str">
        <f t="shared" si="345"/>
        <v>METROPOLITANA</v>
      </c>
    </row>
    <row r="3990" spans="1:22" x14ac:dyDescent="0.2">
      <c r="A3990" s="23" t="s">
        <v>4848</v>
      </c>
      <c r="B3990" s="22" t="s">
        <v>33</v>
      </c>
      <c r="C3990" s="22" t="s">
        <v>44</v>
      </c>
      <c r="D3990" s="22" t="s">
        <v>41</v>
      </c>
      <c r="E3990" s="24" t="s">
        <v>25</v>
      </c>
      <c r="F3990" s="22" t="s">
        <v>94</v>
      </c>
      <c r="G3990" s="25">
        <v>3595.04</v>
      </c>
      <c r="H3990" s="22" t="s">
        <v>43</v>
      </c>
      <c r="I3990" s="22">
        <v>0</v>
      </c>
      <c r="J3990" s="22" t="s">
        <v>59</v>
      </c>
      <c r="K3990" s="22" t="s">
        <v>78</v>
      </c>
      <c r="L3990" s="22">
        <v>0</v>
      </c>
      <c r="M3990" s="26">
        <v>180000</v>
      </c>
      <c r="N3990" s="26">
        <v>0</v>
      </c>
      <c r="O3990" s="15">
        <f t="shared" si="341"/>
        <v>180000</v>
      </c>
      <c r="P3990" s="15">
        <f t="shared" si="342"/>
        <v>50.068983933419375</v>
      </c>
      <c r="Q3990" s="25">
        <v>20000</v>
      </c>
      <c r="R3990" s="22">
        <v>85</v>
      </c>
      <c r="S3990" s="22" t="s">
        <v>4860</v>
      </c>
      <c r="T3990" s="22">
        <f t="shared" si="343"/>
        <v>1</v>
      </c>
      <c r="U3990" s="22">
        <f t="shared" si="344"/>
        <v>2022</v>
      </c>
      <c r="V3990" s="22" t="str">
        <f t="shared" si="345"/>
        <v>REGIONES</v>
      </c>
    </row>
    <row r="3991" spans="1:22" x14ac:dyDescent="0.2">
      <c r="A3991" s="11" t="s">
        <v>4861</v>
      </c>
      <c r="B3991" s="12" t="s">
        <v>18</v>
      </c>
      <c r="C3991" s="12" t="s">
        <v>270</v>
      </c>
      <c r="D3991" s="12" t="s">
        <v>30</v>
      </c>
      <c r="E3991" s="13" t="s">
        <v>31</v>
      </c>
      <c r="F3991" s="12" t="s">
        <v>120</v>
      </c>
      <c r="G3991" s="14">
        <v>16983.36</v>
      </c>
      <c r="H3991" s="12" t="s">
        <v>32</v>
      </c>
      <c r="I3991" s="12">
        <v>0</v>
      </c>
      <c r="J3991" s="12" t="s">
        <v>120</v>
      </c>
      <c r="K3991" s="12" t="s">
        <v>23</v>
      </c>
      <c r="L3991" s="12">
        <v>5</v>
      </c>
      <c r="M3991" s="15">
        <v>70000</v>
      </c>
      <c r="N3991" s="15">
        <v>0</v>
      </c>
      <c r="O3991" s="15">
        <f t="shared" si="341"/>
        <v>70000</v>
      </c>
      <c r="P3991" s="15">
        <f t="shared" si="342"/>
        <v>4.1216814576149829</v>
      </c>
      <c r="Q3991" s="14">
        <v>10000</v>
      </c>
      <c r="R3991" s="12">
        <v>100</v>
      </c>
      <c r="S3991" s="12" t="s">
        <v>4862</v>
      </c>
      <c r="T3991" s="22">
        <f t="shared" si="343"/>
        <v>1</v>
      </c>
      <c r="U3991" s="22">
        <f t="shared" si="344"/>
        <v>2022</v>
      </c>
      <c r="V3991" s="22" t="str">
        <f t="shared" si="345"/>
        <v>METROPOLITANA</v>
      </c>
    </row>
    <row r="3992" spans="1:22" x14ac:dyDescent="0.2">
      <c r="A3992" s="11" t="s">
        <v>4861</v>
      </c>
      <c r="B3992" s="12" t="s">
        <v>18</v>
      </c>
      <c r="C3992" s="12" t="s">
        <v>500</v>
      </c>
      <c r="D3992" s="12" t="s">
        <v>38</v>
      </c>
      <c r="E3992" s="13" t="s">
        <v>42</v>
      </c>
      <c r="F3992" s="12" t="s">
        <v>120</v>
      </c>
      <c r="G3992" s="14">
        <v>9975.5700000000033</v>
      </c>
      <c r="H3992" s="12" t="s">
        <v>43</v>
      </c>
      <c r="I3992" s="12">
        <v>0</v>
      </c>
      <c r="J3992" s="12" t="s">
        <v>120</v>
      </c>
      <c r="K3992" s="12" t="s">
        <v>23</v>
      </c>
      <c r="L3992" s="12">
        <v>5</v>
      </c>
      <c r="M3992" s="15">
        <v>70000</v>
      </c>
      <c r="N3992" s="15">
        <v>0</v>
      </c>
      <c r="O3992" s="15">
        <f t="shared" si="341"/>
        <v>70000</v>
      </c>
      <c r="P3992" s="15">
        <f t="shared" si="342"/>
        <v>7.0171428800559745</v>
      </c>
      <c r="Q3992" s="14">
        <v>10000</v>
      </c>
      <c r="R3992" s="12">
        <v>100</v>
      </c>
      <c r="S3992" s="12" t="s">
        <v>4863</v>
      </c>
      <c r="T3992" s="22">
        <f t="shared" si="343"/>
        <v>1</v>
      </c>
      <c r="U3992" s="22">
        <f t="shared" si="344"/>
        <v>2022</v>
      </c>
      <c r="V3992" s="22" t="str">
        <f t="shared" si="345"/>
        <v>METROPOLITANA</v>
      </c>
    </row>
    <row r="3993" spans="1:22" x14ac:dyDescent="0.2">
      <c r="A3993" s="11" t="s">
        <v>4861</v>
      </c>
      <c r="B3993" s="12" t="s">
        <v>33</v>
      </c>
      <c r="C3993" s="12" t="s">
        <v>1642</v>
      </c>
      <c r="D3993" s="12" t="s">
        <v>4569</v>
      </c>
      <c r="E3993" s="13" t="s">
        <v>868</v>
      </c>
      <c r="F3993" s="12" t="s">
        <v>2308</v>
      </c>
      <c r="G3993" s="14">
        <v>9229.7800000000025</v>
      </c>
      <c r="H3993" s="12" t="s">
        <v>24</v>
      </c>
      <c r="I3993" s="12">
        <v>1</v>
      </c>
      <c r="J3993" s="12" t="s">
        <v>2308</v>
      </c>
      <c r="K3993" s="12" t="s">
        <v>2309</v>
      </c>
      <c r="L3993" s="12">
        <v>0</v>
      </c>
      <c r="M3993" s="15">
        <v>800000</v>
      </c>
      <c r="N3993" s="15">
        <v>0</v>
      </c>
      <c r="O3993" s="15">
        <f t="shared" si="341"/>
        <v>800000</v>
      </c>
      <c r="P3993" s="15">
        <f t="shared" si="342"/>
        <v>86.675955439891283</v>
      </c>
      <c r="Q3993" s="14">
        <v>20000</v>
      </c>
      <c r="R3993" s="12">
        <v>46</v>
      </c>
      <c r="S3993" s="12" t="s">
        <v>4864</v>
      </c>
      <c r="T3993" s="22">
        <f t="shared" si="343"/>
        <v>1</v>
      </c>
      <c r="U3993" s="22">
        <f t="shared" si="344"/>
        <v>2022</v>
      </c>
      <c r="V3993" s="22" t="str">
        <f t="shared" si="345"/>
        <v>REGIONES</v>
      </c>
    </row>
    <row r="3994" spans="1:22" x14ac:dyDescent="0.2">
      <c r="A3994" s="11" t="s">
        <v>4861</v>
      </c>
      <c r="B3994" s="12" t="s">
        <v>33</v>
      </c>
      <c r="C3994" s="12" t="s">
        <v>270</v>
      </c>
      <c r="D3994" s="12" t="s">
        <v>37</v>
      </c>
      <c r="E3994" s="13" t="s">
        <v>40</v>
      </c>
      <c r="F3994" s="12" t="s">
        <v>120</v>
      </c>
      <c r="G3994" s="14">
        <v>7963.5000000000027</v>
      </c>
      <c r="H3994" s="12" t="s">
        <v>22</v>
      </c>
      <c r="I3994" s="12">
        <v>0</v>
      </c>
      <c r="J3994" s="12" t="s">
        <v>120</v>
      </c>
      <c r="K3994" s="12" t="s">
        <v>23</v>
      </c>
      <c r="L3994" s="12">
        <v>5</v>
      </c>
      <c r="M3994" s="15">
        <v>70000</v>
      </c>
      <c r="N3994" s="15">
        <v>0</v>
      </c>
      <c r="O3994" s="15">
        <f t="shared" si="341"/>
        <v>70000</v>
      </c>
      <c r="P3994" s="15">
        <f t="shared" si="342"/>
        <v>8.7901048533936059</v>
      </c>
      <c r="Q3994" s="14">
        <v>10000</v>
      </c>
      <c r="R3994" s="12">
        <v>80</v>
      </c>
      <c r="S3994" s="12" t="s">
        <v>4865</v>
      </c>
      <c r="T3994" s="22">
        <f t="shared" si="343"/>
        <v>1</v>
      </c>
      <c r="U3994" s="22">
        <f t="shared" si="344"/>
        <v>2022</v>
      </c>
      <c r="V3994" s="22" t="str">
        <f t="shared" si="345"/>
        <v>METROPOLITANA</v>
      </c>
    </row>
    <row r="3995" spans="1:22" x14ac:dyDescent="0.2">
      <c r="A3995" s="11" t="s">
        <v>4861</v>
      </c>
      <c r="B3995" s="12" t="s">
        <v>33</v>
      </c>
      <c r="C3995" s="12" t="s">
        <v>270</v>
      </c>
      <c r="D3995" s="12" t="s">
        <v>47</v>
      </c>
      <c r="E3995" s="13" t="s">
        <v>1576</v>
      </c>
      <c r="F3995" s="12" t="s">
        <v>120</v>
      </c>
      <c r="G3995" s="14">
        <v>8215</v>
      </c>
      <c r="H3995" s="12" t="s">
        <v>22</v>
      </c>
      <c r="I3995" s="12">
        <v>0</v>
      </c>
      <c r="J3995" s="12" t="s">
        <v>120</v>
      </c>
      <c r="K3995" s="12" t="s">
        <v>23</v>
      </c>
      <c r="L3995" s="12">
        <v>5</v>
      </c>
      <c r="M3995" s="15">
        <v>70000</v>
      </c>
      <c r="N3995" s="15">
        <v>0</v>
      </c>
      <c r="O3995" s="15">
        <f t="shared" ref="O3995:O4058" si="346">SUM(M3995:N3995)</f>
        <v>70000</v>
      </c>
      <c r="P3995" s="15">
        <f t="shared" si="342"/>
        <v>8.5209981740718206</v>
      </c>
      <c r="Q3995" s="14">
        <v>10000</v>
      </c>
      <c r="R3995" s="12">
        <v>82</v>
      </c>
      <c r="S3995" s="12" t="s">
        <v>4866</v>
      </c>
      <c r="T3995" s="22">
        <f t="shared" si="343"/>
        <v>1</v>
      </c>
      <c r="U3995" s="22">
        <f t="shared" si="344"/>
        <v>2022</v>
      </c>
      <c r="V3995" s="22" t="str">
        <f t="shared" si="345"/>
        <v>METROPOLITANA</v>
      </c>
    </row>
    <row r="3996" spans="1:22" x14ac:dyDescent="0.2">
      <c r="A3996" s="11" t="s">
        <v>4861</v>
      </c>
      <c r="B3996" s="12" t="s">
        <v>33</v>
      </c>
      <c r="C3996" s="12" t="s">
        <v>57</v>
      </c>
      <c r="D3996" s="12" t="s">
        <v>45</v>
      </c>
      <c r="E3996" s="13" t="s">
        <v>21</v>
      </c>
      <c r="F3996" s="12" t="s">
        <v>89</v>
      </c>
      <c r="G3996" s="14">
        <v>3240</v>
      </c>
      <c r="H3996" s="12" t="s">
        <v>22</v>
      </c>
      <c r="I3996" s="12">
        <v>0</v>
      </c>
      <c r="J3996" s="12" t="s">
        <v>89</v>
      </c>
      <c r="K3996" s="12" t="s">
        <v>23</v>
      </c>
      <c r="L3996" s="12">
        <v>5</v>
      </c>
      <c r="M3996" s="15">
        <v>90000</v>
      </c>
      <c r="N3996" s="15">
        <v>0</v>
      </c>
      <c r="O3996" s="15">
        <f t="shared" si="346"/>
        <v>90000</v>
      </c>
      <c r="P3996" s="15">
        <f t="shared" si="342"/>
        <v>27.777777777777779</v>
      </c>
      <c r="Q3996" s="14">
        <v>10000</v>
      </c>
      <c r="R3996" s="12">
        <v>32</v>
      </c>
      <c r="S3996" s="12" t="s">
        <v>4867</v>
      </c>
      <c r="T3996" s="22">
        <f t="shared" si="343"/>
        <v>1</v>
      </c>
      <c r="U3996" s="22">
        <f t="shared" si="344"/>
        <v>2022</v>
      </c>
      <c r="V3996" s="22" t="str">
        <f t="shared" si="345"/>
        <v>METROPOLITANA</v>
      </c>
    </row>
    <row r="3997" spans="1:22" x14ac:dyDescent="0.2">
      <c r="A3997" s="11" t="s">
        <v>4861</v>
      </c>
      <c r="B3997" s="12" t="s">
        <v>33</v>
      </c>
      <c r="C3997" s="12" t="s">
        <v>128</v>
      </c>
      <c r="D3997" s="12" t="s">
        <v>2955</v>
      </c>
      <c r="E3997" s="13" t="s">
        <v>2956</v>
      </c>
      <c r="F3997" s="12" t="s">
        <v>34</v>
      </c>
      <c r="G3997" s="14">
        <f>12753.5+9729</f>
        <v>22482.5</v>
      </c>
      <c r="H3997" s="12" t="s">
        <v>24</v>
      </c>
      <c r="I3997" s="12">
        <v>1</v>
      </c>
      <c r="J3997" s="12" t="s">
        <v>34</v>
      </c>
      <c r="K3997" s="12" t="s">
        <v>23</v>
      </c>
      <c r="L3997" s="12">
        <v>1</v>
      </c>
      <c r="M3997" s="15">
        <v>140289</v>
      </c>
      <c r="N3997" s="15">
        <v>0</v>
      </c>
      <c r="O3997" s="15">
        <f t="shared" si="346"/>
        <v>140289</v>
      </c>
      <c r="P3997" s="15">
        <f t="shared" si="342"/>
        <v>6.2399199377293453</v>
      </c>
      <c r="Q3997" s="14">
        <v>5000</v>
      </c>
      <c r="R3997" s="12">
        <v>100</v>
      </c>
      <c r="S3997" s="12" t="s">
        <v>4868</v>
      </c>
      <c r="T3997" s="22">
        <f t="shared" si="343"/>
        <v>1</v>
      </c>
      <c r="U3997" s="22">
        <f t="shared" si="344"/>
        <v>2022</v>
      </c>
      <c r="V3997" s="22" t="str">
        <f t="shared" si="345"/>
        <v>METROPOLITANA</v>
      </c>
    </row>
    <row r="3998" spans="1:22" x14ac:dyDescent="0.2">
      <c r="A3998" s="11" t="s">
        <v>4861</v>
      </c>
      <c r="B3998" s="12" t="s">
        <v>33</v>
      </c>
      <c r="C3998" s="12" t="s">
        <v>36</v>
      </c>
      <c r="D3998" s="12" t="s">
        <v>786</v>
      </c>
      <c r="E3998" s="13" t="s">
        <v>787</v>
      </c>
      <c r="F3998" s="12" t="s">
        <v>876</v>
      </c>
      <c r="G3998" s="14">
        <f>4095.84+6972</f>
        <v>11067.84</v>
      </c>
      <c r="H3998" s="12" t="s">
        <v>788</v>
      </c>
      <c r="I3998" s="12">
        <v>1</v>
      </c>
      <c r="J3998" s="12" t="s">
        <v>876</v>
      </c>
      <c r="K3998" s="12" t="s">
        <v>86</v>
      </c>
      <c r="L3998" s="12">
        <v>0</v>
      </c>
      <c r="M3998" s="15">
        <v>350000</v>
      </c>
      <c r="N3998" s="15">
        <v>0</v>
      </c>
      <c r="O3998" s="15">
        <f t="shared" si="346"/>
        <v>350000</v>
      </c>
      <c r="P3998" s="15">
        <f t="shared" si="342"/>
        <v>31.62315320785266</v>
      </c>
      <c r="Q3998" s="14">
        <v>20000</v>
      </c>
      <c r="R3998" s="12">
        <v>80</v>
      </c>
      <c r="S3998" s="12" t="s">
        <v>4874</v>
      </c>
      <c r="T3998" s="22">
        <f t="shared" si="343"/>
        <v>1</v>
      </c>
      <c r="U3998" s="22">
        <f t="shared" si="344"/>
        <v>2022</v>
      </c>
      <c r="V3998" s="22" t="str">
        <f t="shared" si="345"/>
        <v>REGIONES</v>
      </c>
    </row>
    <row r="3999" spans="1:22" x14ac:dyDescent="0.2">
      <c r="A3999" s="11" t="s">
        <v>4861</v>
      </c>
      <c r="B3999" s="12" t="s">
        <v>33</v>
      </c>
      <c r="C3999" s="12" t="s">
        <v>29</v>
      </c>
      <c r="D3999" s="12" t="s">
        <v>37</v>
      </c>
      <c r="E3999" s="13" t="s">
        <v>40</v>
      </c>
      <c r="F3999" s="12" t="s">
        <v>39</v>
      </c>
      <c r="G3999" s="14">
        <v>5016</v>
      </c>
      <c r="H3999" s="12" t="s">
        <v>22</v>
      </c>
      <c r="I3999" s="12">
        <v>0</v>
      </c>
      <c r="J3999" s="12" t="s">
        <v>39</v>
      </c>
      <c r="K3999" s="12" t="s">
        <v>23</v>
      </c>
      <c r="L3999" s="12">
        <v>1</v>
      </c>
      <c r="M3999" s="15">
        <v>55176</v>
      </c>
      <c r="N3999" s="15">
        <v>0</v>
      </c>
      <c r="O3999" s="15">
        <f t="shared" si="346"/>
        <v>55176</v>
      </c>
      <c r="P3999" s="15">
        <f t="shared" si="342"/>
        <v>11</v>
      </c>
      <c r="Q3999" s="14">
        <v>5000</v>
      </c>
      <c r="R3999" s="12">
        <v>100</v>
      </c>
      <c r="S3999" s="12" t="s">
        <v>4869</v>
      </c>
      <c r="T3999" s="22">
        <f t="shared" si="343"/>
        <v>1</v>
      </c>
      <c r="U3999" s="22">
        <f t="shared" si="344"/>
        <v>2022</v>
      </c>
      <c r="V3999" s="22" t="str">
        <f t="shared" si="345"/>
        <v>METROPOLITANA</v>
      </c>
    </row>
    <row r="4000" spans="1:22" x14ac:dyDescent="0.2">
      <c r="A4000" s="11" t="s">
        <v>4861</v>
      </c>
      <c r="B4000" s="12" t="s">
        <v>33</v>
      </c>
      <c r="C4000" s="12" t="s">
        <v>29</v>
      </c>
      <c r="D4000" s="12" t="s">
        <v>41</v>
      </c>
      <c r="E4000" s="13" t="s">
        <v>4870</v>
      </c>
      <c r="F4000" s="12" t="s">
        <v>39</v>
      </c>
      <c r="G4000" s="14">
        <f>325+12675+796+10305</f>
        <v>24101</v>
      </c>
      <c r="H4000" s="12" t="s">
        <v>43</v>
      </c>
      <c r="I4000" s="12">
        <v>0</v>
      </c>
      <c r="J4000" s="12" t="s">
        <v>39</v>
      </c>
      <c r="K4000" s="12" t="s">
        <v>23</v>
      </c>
      <c r="L4000" s="12">
        <v>1</v>
      </c>
      <c r="M4000" s="15">
        <v>55000</v>
      </c>
      <c r="N4000" s="15">
        <v>0</v>
      </c>
      <c r="O4000" s="15">
        <f t="shared" si="346"/>
        <v>55000</v>
      </c>
      <c r="P4000" s="15">
        <f t="shared" si="342"/>
        <v>2.2820629849383844</v>
      </c>
      <c r="Q4000" s="14">
        <v>5000</v>
      </c>
      <c r="R4000" s="12">
        <v>100</v>
      </c>
      <c r="S4000" s="12" t="s">
        <v>4873</v>
      </c>
      <c r="T4000" s="22">
        <f t="shared" si="343"/>
        <v>1</v>
      </c>
      <c r="U4000" s="22">
        <f t="shared" si="344"/>
        <v>2022</v>
      </c>
      <c r="V4000" s="22" t="str">
        <f t="shared" si="345"/>
        <v>METROPOLITANA</v>
      </c>
    </row>
    <row r="4001" spans="1:22" x14ac:dyDescent="0.2">
      <c r="A4001" s="11" t="s">
        <v>4861</v>
      </c>
      <c r="B4001" s="12" t="s">
        <v>33</v>
      </c>
      <c r="C4001" s="12" t="s">
        <v>44</v>
      </c>
      <c r="D4001" s="12" t="s">
        <v>45</v>
      </c>
      <c r="E4001" s="13" t="s">
        <v>52</v>
      </c>
      <c r="F4001" s="12" t="s">
        <v>46</v>
      </c>
      <c r="G4001" s="14">
        <v>5858.5399999999991</v>
      </c>
      <c r="H4001" s="12" t="s">
        <v>22</v>
      </c>
      <c r="I4001" s="12">
        <v>0</v>
      </c>
      <c r="J4001" s="12" t="s">
        <v>46</v>
      </c>
      <c r="K4001" s="12" t="s">
        <v>23</v>
      </c>
      <c r="L4001" s="12">
        <v>2</v>
      </c>
      <c r="M4001" s="15">
        <v>64444</v>
      </c>
      <c r="N4001" s="15">
        <v>0</v>
      </c>
      <c r="O4001" s="15">
        <f t="shared" si="346"/>
        <v>64444</v>
      </c>
      <c r="P4001" s="15">
        <f t="shared" ref="P4001:P4064" si="347">O4001/G4001</f>
        <v>11.000010241459478</v>
      </c>
      <c r="Q4001" s="14">
        <v>5000</v>
      </c>
      <c r="R4001" s="12">
        <v>100</v>
      </c>
      <c r="S4001" s="12" t="s">
        <v>4871</v>
      </c>
      <c r="T4001" s="22">
        <f t="shared" si="343"/>
        <v>1</v>
      </c>
      <c r="U4001" s="22">
        <f t="shared" si="344"/>
        <v>2022</v>
      </c>
      <c r="V4001" s="22" t="str">
        <f t="shared" si="345"/>
        <v>METROPOLITANA</v>
      </c>
    </row>
    <row r="4002" spans="1:22" x14ac:dyDescent="0.2">
      <c r="A4002" s="11" t="s">
        <v>4861</v>
      </c>
      <c r="B4002" s="12" t="s">
        <v>33</v>
      </c>
      <c r="C4002" s="12" t="s">
        <v>44</v>
      </c>
      <c r="D4002" s="12" t="s">
        <v>47</v>
      </c>
      <c r="E4002" s="13" t="s">
        <v>21</v>
      </c>
      <c r="F4002" s="12" t="s">
        <v>53</v>
      </c>
      <c r="G4002" s="14">
        <v>6270.06</v>
      </c>
      <c r="H4002" s="12" t="s">
        <v>22</v>
      </c>
      <c r="I4002" s="12">
        <v>0</v>
      </c>
      <c r="J4002" s="12" t="s">
        <v>53</v>
      </c>
      <c r="K4002" s="12" t="s">
        <v>23</v>
      </c>
      <c r="L4002" s="12">
        <v>3</v>
      </c>
      <c r="M4002" s="15">
        <v>68971</v>
      </c>
      <c r="N4002" s="15">
        <v>0</v>
      </c>
      <c r="O4002" s="15">
        <f t="shared" si="346"/>
        <v>68971</v>
      </c>
      <c r="P4002" s="15">
        <f t="shared" si="347"/>
        <v>11.000054225956371</v>
      </c>
      <c r="Q4002" s="14">
        <v>5000</v>
      </c>
      <c r="R4002" s="12">
        <v>100</v>
      </c>
      <c r="S4002" s="12" t="s">
        <v>4872</v>
      </c>
      <c r="T4002" s="22">
        <f t="shared" si="343"/>
        <v>1</v>
      </c>
      <c r="U4002" s="22">
        <f t="shared" si="344"/>
        <v>2022</v>
      </c>
      <c r="V4002" s="22" t="str">
        <f t="shared" si="345"/>
        <v>METROPOLITANA</v>
      </c>
    </row>
    <row r="4003" spans="1:22" x14ac:dyDescent="0.2">
      <c r="A4003" s="23" t="s">
        <v>4875</v>
      </c>
      <c r="B4003" s="22" t="s">
        <v>18</v>
      </c>
      <c r="C4003" s="22" t="s">
        <v>57</v>
      </c>
      <c r="D4003" s="22" t="s">
        <v>41</v>
      </c>
      <c r="E4003" s="24" t="s">
        <v>25</v>
      </c>
      <c r="F4003" s="22" t="s">
        <v>58</v>
      </c>
      <c r="G4003" s="25">
        <v>8611.14</v>
      </c>
      <c r="H4003" s="22" t="s">
        <v>43</v>
      </c>
      <c r="I4003" s="22">
        <v>0</v>
      </c>
      <c r="J4003" s="22" t="s">
        <v>58</v>
      </c>
      <c r="K4003" s="22" t="s">
        <v>23</v>
      </c>
      <c r="L4003" s="22">
        <v>5</v>
      </c>
      <c r="M4003" s="26">
        <v>70000</v>
      </c>
      <c r="N4003" s="26">
        <v>0</v>
      </c>
      <c r="O4003" s="15">
        <f t="shared" si="346"/>
        <v>70000</v>
      </c>
      <c r="P4003" s="15">
        <f t="shared" si="347"/>
        <v>8.1290049865639169</v>
      </c>
      <c r="Q4003" s="25">
        <v>10000</v>
      </c>
      <c r="R4003" s="22">
        <v>86</v>
      </c>
      <c r="S4003" s="22" t="s">
        <v>4876</v>
      </c>
      <c r="T4003" s="22">
        <f t="shared" si="343"/>
        <v>1</v>
      </c>
      <c r="U4003" s="22">
        <f t="shared" si="344"/>
        <v>2022</v>
      </c>
      <c r="V4003" s="22" t="str">
        <f t="shared" si="345"/>
        <v>METROPOLITANA</v>
      </c>
    </row>
    <row r="4004" spans="1:22" x14ac:dyDescent="0.2">
      <c r="A4004" s="23" t="s">
        <v>4875</v>
      </c>
      <c r="B4004" s="22" t="s">
        <v>18</v>
      </c>
      <c r="C4004" s="22" t="s">
        <v>500</v>
      </c>
      <c r="D4004" s="22" t="s">
        <v>41</v>
      </c>
      <c r="E4004" s="24" t="s">
        <v>25</v>
      </c>
      <c r="F4004" s="22" t="s">
        <v>120</v>
      </c>
      <c r="G4004" s="25">
        <v>5164.6600000000017</v>
      </c>
      <c r="H4004" s="22" t="s">
        <v>43</v>
      </c>
      <c r="I4004" s="22">
        <v>0</v>
      </c>
      <c r="J4004" s="22" t="s">
        <v>120</v>
      </c>
      <c r="K4004" s="22" t="s">
        <v>23</v>
      </c>
      <c r="L4004" s="22">
        <v>5</v>
      </c>
      <c r="M4004" s="26">
        <v>70000</v>
      </c>
      <c r="N4004" s="26">
        <v>0</v>
      </c>
      <c r="O4004" s="15">
        <f t="shared" si="346"/>
        <v>70000</v>
      </c>
      <c r="P4004" s="15">
        <f t="shared" si="347"/>
        <v>13.55365115999891</v>
      </c>
      <c r="Q4004" s="25">
        <v>10000</v>
      </c>
      <c r="R4004" s="22">
        <v>52</v>
      </c>
      <c r="S4004" s="22" t="s">
        <v>4877</v>
      </c>
      <c r="T4004" s="22">
        <f t="shared" si="343"/>
        <v>1</v>
      </c>
      <c r="U4004" s="22">
        <f t="shared" si="344"/>
        <v>2022</v>
      </c>
      <c r="V4004" s="22" t="str">
        <f t="shared" si="345"/>
        <v>METROPOLITANA</v>
      </c>
    </row>
    <row r="4005" spans="1:22" x14ac:dyDescent="0.2">
      <c r="A4005" s="23" t="s">
        <v>4875</v>
      </c>
      <c r="B4005" s="22" t="s">
        <v>18</v>
      </c>
      <c r="C4005" s="22" t="s">
        <v>19</v>
      </c>
      <c r="D4005" s="22" t="s">
        <v>4878</v>
      </c>
      <c r="E4005" s="24" t="s">
        <v>1870</v>
      </c>
      <c r="F4005" s="22" t="s">
        <v>481</v>
      </c>
      <c r="G4005" s="25">
        <v>29113.569999999971</v>
      </c>
      <c r="H4005" s="22" t="s">
        <v>24</v>
      </c>
      <c r="I4005" s="22">
        <v>1</v>
      </c>
      <c r="J4005" s="22" t="s">
        <v>481</v>
      </c>
      <c r="K4005" s="22" t="s">
        <v>93</v>
      </c>
      <c r="L4005" s="22">
        <v>0</v>
      </c>
      <c r="M4005" s="26">
        <v>700000</v>
      </c>
      <c r="N4005" s="26">
        <v>0</v>
      </c>
      <c r="O4005" s="15">
        <f t="shared" si="346"/>
        <v>700000</v>
      </c>
      <c r="P4005" s="15">
        <f t="shared" si="347"/>
        <v>24.043770654028368</v>
      </c>
      <c r="Q4005" s="25">
        <v>20000</v>
      </c>
      <c r="R4005" s="22">
        <v>100</v>
      </c>
      <c r="S4005" s="22" t="s">
        <v>4879</v>
      </c>
      <c r="T4005" s="22">
        <f t="shared" si="343"/>
        <v>1</v>
      </c>
      <c r="U4005" s="22">
        <f t="shared" si="344"/>
        <v>2022</v>
      </c>
      <c r="V4005" s="22" t="str">
        <f t="shared" si="345"/>
        <v>REGIONES</v>
      </c>
    </row>
    <row r="4006" spans="1:22" x14ac:dyDescent="0.2">
      <c r="A4006" s="23" t="s">
        <v>4875</v>
      </c>
      <c r="B4006" s="22" t="s">
        <v>33</v>
      </c>
      <c r="C4006" s="22" t="s">
        <v>4880</v>
      </c>
      <c r="D4006" s="22" t="s">
        <v>30</v>
      </c>
      <c r="E4006" s="24" t="s">
        <v>31</v>
      </c>
      <c r="F4006" s="22" t="s">
        <v>129</v>
      </c>
      <c r="G4006" s="25">
        <v>8502</v>
      </c>
      <c r="H4006" s="22" t="s">
        <v>32</v>
      </c>
      <c r="I4006" s="22">
        <v>0</v>
      </c>
      <c r="J4006" s="22" t="s">
        <v>129</v>
      </c>
      <c r="K4006" s="22" t="s">
        <v>23</v>
      </c>
      <c r="L4006" s="22">
        <v>1</v>
      </c>
      <c r="M4006" s="26">
        <v>93522</v>
      </c>
      <c r="N4006" s="26">
        <v>0</v>
      </c>
      <c r="O4006" s="15">
        <f t="shared" si="346"/>
        <v>93522</v>
      </c>
      <c r="P4006" s="15">
        <f t="shared" si="347"/>
        <v>11</v>
      </c>
      <c r="Q4006" s="25">
        <v>5000</v>
      </c>
      <c r="R4006" s="22">
        <v>100</v>
      </c>
      <c r="S4006" s="22" t="s">
        <v>4881</v>
      </c>
      <c r="T4006" s="22">
        <f t="shared" si="343"/>
        <v>1</v>
      </c>
      <c r="U4006" s="22">
        <f t="shared" si="344"/>
        <v>2022</v>
      </c>
      <c r="V4006" s="22" t="str">
        <f t="shared" si="345"/>
        <v>METROPOLITANA</v>
      </c>
    </row>
    <row r="4007" spans="1:22" x14ac:dyDescent="0.2">
      <c r="A4007" s="23" t="s">
        <v>4875</v>
      </c>
      <c r="B4007" s="22" t="s">
        <v>33</v>
      </c>
      <c r="C4007" s="22" t="s">
        <v>128</v>
      </c>
      <c r="D4007" s="22" t="s">
        <v>2955</v>
      </c>
      <c r="E4007" s="24" t="s">
        <v>2956</v>
      </c>
      <c r="F4007" s="22" t="s">
        <v>129</v>
      </c>
      <c r="G4007" s="25">
        <v>8244.0000000000036</v>
      </c>
      <c r="H4007" s="22" t="s">
        <v>24</v>
      </c>
      <c r="I4007" s="22">
        <v>1</v>
      </c>
      <c r="J4007" s="22" t="s">
        <v>129</v>
      </c>
      <c r="K4007" s="22" t="s">
        <v>23</v>
      </c>
      <c r="L4007" s="22">
        <v>1</v>
      </c>
      <c r="M4007" s="26">
        <v>90684</v>
      </c>
      <c r="N4007" s="26">
        <v>0</v>
      </c>
      <c r="O4007" s="15">
        <f t="shared" si="346"/>
        <v>90684</v>
      </c>
      <c r="P4007" s="15">
        <f t="shared" si="347"/>
        <v>10.999999999999995</v>
      </c>
      <c r="Q4007" s="25">
        <v>5000</v>
      </c>
      <c r="R4007" s="22">
        <v>100</v>
      </c>
      <c r="S4007" s="22" t="s">
        <v>4882</v>
      </c>
      <c r="T4007" s="22">
        <f t="shared" si="343"/>
        <v>1</v>
      </c>
      <c r="U4007" s="22">
        <f t="shared" si="344"/>
        <v>2022</v>
      </c>
      <c r="V4007" s="22" t="str">
        <f t="shared" si="345"/>
        <v>METROPOLITANA</v>
      </c>
    </row>
    <row r="4008" spans="1:22" x14ac:dyDescent="0.2">
      <c r="A4008" s="23" t="s">
        <v>4875</v>
      </c>
      <c r="B4008" s="22" t="s">
        <v>33</v>
      </c>
      <c r="C4008" s="22" t="s">
        <v>29</v>
      </c>
      <c r="D4008" s="22" t="s">
        <v>37</v>
      </c>
      <c r="E4008" s="24" t="s">
        <v>40</v>
      </c>
      <c r="F4008" s="22" t="s">
        <v>39</v>
      </c>
      <c r="G4008" s="25">
        <v>6687.9999999999973</v>
      </c>
      <c r="H4008" s="22" t="s">
        <v>22</v>
      </c>
      <c r="I4008" s="22">
        <v>0</v>
      </c>
      <c r="J4008" s="22" t="s">
        <v>39</v>
      </c>
      <c r="K4008" s="22" t="s">
        <v>23</v>
      </c>
      <c r="L4008" s="22">
        <v>1</v>
      </c>
      <c r="M4008" s="26">
        <v>73568</v>
      </c>
      <c r="N4008" s="26">
        <v>0</v>
      </c>
      <c r="O4008" s="15">
        <f t="shared" si="346"/>
        <v>73568</v>
      </c>
      <c r="P4008" s="15">
        <f t="shared" si="347"/>
        <v>11.000000000000005</v>
      </c>
      <c r="Q4008" s="25">
        <v>5000</v>
      </c>
      <c r="R4008" s="22">
        <v>100</v>
      </c>
      <c r="S4008" s="22" t="s">
        <v>4883</v>
      </c>
      <c r="T4008" s="22">
        <f t="shared" si="343"/>
        <v>1</v>
      </c>
      <c r="U4008" s="22">
        <f t="shared" si="344"/>
        <v>2022</v>
      </c>
      <c r="V4008" s="22" t="str">
        <f t="shared" si="345"/>
        <v>METROPOLITANA</v>
      </c>
    </row>
    <row r="4009" spans="1:22" x14ac:dyDescent="0.2">
      <c r="A4009" s="23" t="s">
        <v>4875</v>
      </c>
      <c r="B4009" s="22" t="s">
        <v>33</v>
      </c>
      <c r="C4009" s="22" t="s">
        <v>29</v>
      </c>
      <c r="D4009" s="22" t="s">
        <v>41</v>
      </c>
      <c r="E4009" s="24" t="s">
        <v>25</v>
      </c>
      <c r="F4009" s="22" t="s">
        <v>39</v>
      </c>
      <c r="G4009" s="25">
        <v>3344</v>
      </c>
      <c r="H4009" s="22" t="s">
        <v>43</v>
      </c>
      <c r="I4009" s="22">
        <v>0</v>
      </c>
      <c r="J4009" s="22" t="s">
        <v>39</v>
      </c>
      <c r="K4009" s="22" t="s">
        <v>23</v>
      </c>
      <c r="L4009" s="22">
        <v>1</v>
      </c>
      <c r="M4009" s="26">
        <v>55000</v>
      </c>
      <c r="N4009" s="26">
        <v>0</v>
      </c>
      <c r="O4009" s="15">
        <f t="shared" si="346"/>
        <v>55000</v>
      </c>
      <c r="P4009" s="15">
        <f t="shared" si="347"/>
        <v>16.44736842105263</v>
      </c>
      <c r="Q4009" s="25">
        <v>5000</v>
      </c>
      <c r="R4009" s="22">
        <v>67</v>
      </c>
      <c r="S4009" s="22" t="s">
        <v>4884</v>
      </c>
      <c r="T4009" s="22">
        <f t="shared" si="343"/>
        <v>1</v>
      </c>
      <c r="U4009" s="22">
        <f t="shared" si="344"/>
        <v>2022</v>
      </c>
      <c r="V4009" s="22" t="str">
        <f t="shared" si="345"/>
        <v>METROPOLITANA</v>
      </c>
    </row>
    <row r="4010" spans="1:22" x14ac:dyDescent="0.2">
      <c r="A4010" s="23" t="s">
        <v>4875</v>
      </c>
      <c r="B4010" s="22" t="s">
        <v>33</v>
      </c>
      <c r="C4010" s="22" t="s">
        <v>29</v>
      </c>
      <c r="D4010" s="22" t="s">
        <v>164</v>
      </c>
      <c r="E4010" s="24" t="s">
        <v>1576</v>
      </c>
      <c r="F4010" s="22" t="s">
        <v>39</v>
      </c>
      <c r="G4010" s="25">
        <v>9801.4800000000032</v>
      </c>
      <c r="H4010" s="22" t="s">
        <v>22</v>
      </c>
      <c r="I4010" s="22">
        <v>1</v>
      </c>
      <c r="J4010" s="22" t="s">
        <v>39</v>
      </c>
      <c r="K4010" s="22" t="s">
        <v>23</v>
      </c>
      <c r="L4010" s="22">
        <v>1</v>
      </c>
      <c r="M4010" s="26">
        <v>107816</v>
      </c>
      <c r="N4010" s="26">
        <v>0</v>
      </c>
      <c r="O4010" s="15">
        <f t="shared" si="346"/>
        <v>107816</v>
      </c>
      <c r="P4010" s="15">
        <f t="shared" si="347"/>
        <v>10.999971432885642</v>
      </c>
      <c r="Q4010" s="25">
        <v>5000</v>
      </c>
      <c r="R4010" s="22">
        <v>100</v>
      </c>
      <c r="S4010" s="22" t="s">
        <v>4885</v>
      </c>
      <c r="T4010" s="22">
        <f t="shared" si="343"/>
        <v>1</v>
      </c>
      <c r="U4010" s="22">
        <f t="shared" si="344"/>
        <v>2022</v>
      </c>
      <c r="V4010" s="22" t="str">
        <f t="shared" si="345"/>
        <v>METROPOLITANA</v>
      </c>
    </row>
    <row r="4011" spans="1:22" x14ac:dyDescent="0.2">
      <c r="A4011" s="23" t="s">
        <v>4875</v>
      </c>
      <c r="B4011" s="22" t="s">
        <v>33</v>
      </c>
      <c r="C4011" s="22" t="s">
        <v>44</v>
      </c>
      <c r="D4011" s="22" t="s">
        <v>4247</v>
      </c>
      <c r="E4011" s="24" t="s">
        <v>62</v>
      </c>
      <c r="F4011" s="22" t="s">
        <v>815</v>
      </c>
      <c r="G4011" s="25">
        <v>12369.5</v>
      </c>
      <c r="H4011" s="22" t="s">
        <v>24</v>
      </c>
      <c r="I4011" s="22">
        <v>1</v>
      </c>
      <c r="J4011" s="22" t="s">
        <v>815</v>
      </c>
      <c r="K4011" s="22" t="s">
        <v>75</v>
      </c>
      <c r="L4011" s="22">
        <v>0</v>
      </c>
      <c r="M4011" s="26">
        <v>460000</v>
      </c>
      <c r="N4011" s="26">
        <v>0</v>
      </c>
      <c r="O4011" s="15">
        <f t="shared" si="346"/>
        <v>460000</v>
      </c>
      <c r="P4011" s="15">
        <f t="shared" si="347"/>
        <v>37.188245280730833</v>
      </c>
      <c r="Q4011" s="25">
        <v>20000</v>
      </c>
      <c r="R4011" s="22">
        <v>62</v>
      </c>
      <c r="S4011" s="22" t="s">
        <v>4886</v>
      </c>
      <c r="T4011" s="22">
        <f t="shared" si="343"/>
        <v>1</v>
      </c>
      <c r="U4011" s="22">
        <f t="shared" si="344"/>
        <v>2022</v>
      </c>
      <c r="V4011" s="22" t="str">
        <f t="shared" si="345"/>
        <v>REGIONES</v>
      </c>
    </row>
    <row r="4012" spans="1:22" x14ac:dyDescent="0.2">
      <c r="A4012" s="23" t="s">
        <v>4875</v>
      </c>
      <c r="B4012" s="22" t="s">
        <v>33</v>
      </c>
      <c r="C4012" s="22" t="s">
        <v>44</v>
      </c>
      <c r="D4012" s="22" t="s">
        <v>63</v>
      </c>
      <c r="E4012" s="24" t="s">
        <v>64</v>
      </c>
      <c r="F4012" s="22" t="s">
        <v>134</v>
      </c>
      <c r="G4012" s="25">
        <v>6265.1399999999994</v>
      </c>
      <c r="H4012" s="22" t="s">
        <v>65</v>
      </c>
      <c r="I4012" s="22">
        <v>0</v>
      </c>
      <c r="J4012" s="22" t="s">
        <v>134</v>
      </c>
      <c r="K4012" s="22" t="s">
        <v>23</v>
      </c>
      <c r="L4012" s="22">
        <v>2</v>
      </c>
      <c r="M4012" s="26">
        <v>68917</v>
      </c>
      <c r="N4012" s="26">
        <v>0</v>
      </c>
      <c r="O4012" s="15">
        <f t="shared" si="346"/>
        <v>68917</v>
      </c>
      <c r="P4012" s="15">
        <f t="shared" si="347"/>
        <v>11.000073422142204</v>
      </c>
      <c r="Q4012" s="25">
        <v>5000</v>
      </c>
      <c r="R4012" s="22">
        <v>100</v>
      </c>
      <c r="S4012" s="22" t="s">
        <v>4887</v>
      </c>
      <c r="T4012" s="22">
        <f t="shared" si="343"/>
        <v>1</v>
      </c>
      <c r="U4012" s="22">
        <f t="shared" si="344"/>
        <v>2022</v>
      </c>
      <c r="V4012" s="22" t="str">
        <f t="shared" si="345"/>
        <v>METROPOLITANA</v>
      </c>
    </row>
    <row r="4013" spans="1:22" x14ac:dyDescent="0.2">
      <c r="A4013" s="23" t="s">
        <v>4875</v>
      </c>
      <c r="B4013" s="22" t="s">
        <v>33</v>
      </c>
      <c r="C4013" s="22" t="s">
        <v>44</v>
      </c>
      <c r="D4013" s="22" t="s">
        <v>30</v>
      </c>
      <c r="E4013" s="24" t="s">
        <v>31</v>
      </c>
      <c r="F4013" s="22" t="s">
        <v>51</v>
      </c>
      <c r="G4013" s="25">
        <v>4729.9399999999996</v>
      </c>
      <c r="H4013" s="22" t="s">
        <v>32</v>
      </c>
      <c r="I4013" s="22">
        <v>0</v>
      </c>
      <c r="J4013" s="22" t="s">
        <v>51</v>
      </c>
      <c r="K4013" s="22" t="s">
        <v>23</v>
      </c>
      <c r="L4013" s="22">
        <v>4</v>
      </c>
      <c r="M4013" s="26">
        <v>55000</v>
      </c>
      <c r="N4013" s="26">
        <v>0</v>
      </c>
      <c r="O4013" s="15">
        <f t="shared" si="346"/>
        <v>55000</v>
      </c>
      <c r="P4013" s="15">
        <f t="shared" si="347"/>
        <v>11.628054478492329</v>
      </c>
      <c r="Q4013" s="25">
        <v>5000</v>
      </c>
      <c r="R4013" s="22">
        <v>95</v>
      </c>
      <c r="S4013" s="22" t="s">
        <v>4888</v>
      </c>
      <c r="T4013" s="22">
        <f t="shared" si="343"/>
        <v>1</v>
      </c>
      <c r="U4013" s="22">
        <f t="shared" si="344"/>
        <v>2022</v>
      </c>
      <c r="V4013" s="22" t="str">
        <f t="shared" si="345"/>
        <v>METROPOLITANA</v>
      </c>
    </row>
    <row r="4014" spans="1:22" x14ac:dyDescent="0.2">
      <c r="A4014" s="23" t="s">
        <v>4875</v>
      </c>
      <c r="B4014" s="22" t="s">
        <v>33</v>
      </c>
      <c r="C4014" s="22" t="s">
        <v>44</v>
      </c>
      <c r="D4014" s="22" t="s">
        <v>45</v>
      </c>
      <c r="E4014" s="24" t="s">
        <v>52</v>
      </c>
      <c r="F4014" s="22" t="s">
        <v>95</v>
      </c>
      <c r="G4014" s="25">
        <v>4550.9199999999992</v>
      </c>
      <c r="H4014" s="22" t="s">
        <v>22</v>
      </c>
      <c r="I4014" s="22">
        <v>0</v>
      </c>
      <c r="J4014" s="22" t="s">
        <v>95</v>
      </c>
      <c r="K4014" s="22" t="s">
        <v>23</v>
      </c>
      <c r="L4014" s="22">
        <v>4</v>
      </c>
      <c r="M4014" s="26">
        <v>55000</v>
      </c>
      <c r="N4014" s="26">
        <v>0</v>
      </c>
      <c r="O4014" s="15">
        <f t="shared" si="346"/>
        <v>55000</v>
      </c>
      <c r="P4014" s="15">
        <f t="shared" si="347"/>
        <v>12.085468432756455</v>
      </c>
      <c r="Q4014" s="25">
        <v>5000</v>
      </c>
      <c r="R4014" s="22">
        <v>91</v>
      </c>
      <c r="S4014" s="22" t="s">
        <v>4889</v>
      </c>
      <c r="T4014" s="22">
        <f t="shared" si="343"/>
        <v>1</v>
      </c>
      <c r="U4014" s="22">
        <f t="shared" si="344"/>
        <v>2022</v>
      </c>
      <c r="V4014" s="22" t="str">
        <f t="shared" si="345"/>
        <v>METROPOLITANA</v>
      </c>
    </row>
    <row r="4015" spans="1:22" x14ac:dyDescent="0.2">
      <c r="A4015" s="23" t="s">
        <v>4875</v>
      </c>
      <c r="B4015" s="22" t="s">
        <v>33</v>
      </c>
      <c r="C4015" s="22" t="s">
        <v>44</v>
      </c>
      <c r="D4015" s="22" t="s">
        <v>47</v>
      </c>
      <c r="E4015" s="24" t="s">
        <v>21</v>
      </c>
      <c r="F4015" s="22" t="s">
        <v>48</v>
      </c>
      <c r="G4015" s="25">
        <v>4027.2399999999989</v>
      </c>
      <c r="H4015" s="22" t="s">
        <v>22</v>
      </c>
      <c r="I4015" s="22">
        <v>0</v>
      </c>
      <c r="J4015" s="22" t="s">
        <v>48</v>
      </c>
      <c r="K4015" s="22" t="s">
        <v>23</v>
      </c>
      <c r="L4015" s="22">
        <v>1</v>
      </c>
      <c r="M4015" s="26">
        <v>55000</v>
      </c>
      <c r="N4015" s="26">
        <v>0</v>
      </c>
      <c r="O4015" s="15">
        <f t="shared" si="346"/>
        <v>55000</v>
      </c>
      <c r="P4015" s="15">
        <f t="shared" si="347"/>
        <v>13.656995858205624</v>
      </c>
      <c r="Q4015" s="25">
        <v>5000</v>
      </c>
      <c r="R4015" s="22">
        <v>81</v>
      </c>
      <c r="S4015" s="22" t="s">
        <v>4890</v>
      </c>
      <c r="T4015" s="22">
        <f t="shared" si="343"/>
        <v>1</v>
      </c>
      <c r="U4015" s="22">
        <f t="shared" si="344"/>
        <v>2022</v>
      </c>
      <c r="V4015" s="22" t="str">
        <f t="shared" si="345"/>
        <v>METROPOLITANA</v>
      </c>
    </row>
    <row r="4016" spans="1:22" x14ac:dyDescent="0.2">
      <c r="A4016" s="65" t="s">
        <v>4891</v>
      </c>
      <c r="B4016" s="66" t="s">
        <v>18</v>
      </c>
      <c r="C4016" s="66" t="s">
        <v>270</v>
      </c>
      <c r="D4016" s="66" t="s">
        <v>30</v>
      </c>
      <c r="E4016" s="67" t="s">
        <v>31</v>
      </c>
      <c r="F4016" s="66" t="s">
        <v>120</v>
      </c>
      <c r="G4016" s="68">
        <v>14210.64</v>
      </c>
      <c r="H4016" s="66" t="s">
        <v>32</v>
      </c>
      <c r="I4016" s="66">
        <v>0</v>
      </c>
      <c r="J4016" s="66" t="s">
        <v>120</v>
      </c>
      <c r="K4016" s="66" t="s">
        <v>23</v>
      </c>
      <c r="L4016" s="66">
        <v>5</v>
      </c>
      <c r="M4016" s="69">
        <v>70000</v>
      </c>
      <c r="N4016" s="69">
        <v>0</v>
      </c>
      <c r="O4016" s="15">
        <f t="shared" si="346"/>
        <v>70000</v>
      </c>
      <c r="P4016" s="15">
        <f t="shared" si="347"/>
        <v>4.9258865188337753</v>
      </c>
      <c r="Q4016" s="68">
        <v>10000</v>
      </c>
      <c r="R4016" s="66">
        <v>100</v>
      </c>
      <c r="S4016" s="66" t="s">
        <v>4892</v>
      </c>
      <c r="T4016" s="22">
        <f t="shared" si="343"/>
        <v>1</v>
      </c>
      <c r="U4016" s="22">
        <f t="shared" si="344"/>
        <v>2022</v>
      </c>
      <c r="V4016" s="22" t="str">
        <f t="shared" si="345"/>
        <v>METROPOLITANA</v>
      </c>
    </row>
    <row r="4017" spans="1:22" x14ac:dyDescent="0.2">
      <c r="A4017" s="65" t="s">
        <v>4891</v>
      </c>
      <c r="B4017" s="66" t="s">
        <v>33</v>
      </c>
      <c r="C4017" s="66" t="s">
        <v>1642</v>
      </c>
      <c r="D4017" s="66" t="s">
        <v>786</v>
      </c>
      <c r="E4017" s="67" t="s">
        <v>787</v>
      </c>
      <c r="F4017" s="66" t="s">
        <v>66</v>
      </c>
      <c r="G4017" s="68">
        <v>5039.5499999999984</v>
      </c>
      <c r="H4017" s="66" t="s">
        <v>788</v>
      </c>
      <c r="I4017" s="66">
        <v>1</v>
      </c>
      <c r="J4017" s="66" t="s">
        <v>66</v>
      </c>
      <c r="K4017" s="66" t="s">
        <v>75</v>
      </c>
      <c r="L4017" s="66">
        <v>0</v>
      </c>
      <c r="M4017" s="69">
        <v>420000</v>
      </c>
      <c r="N4017" s="69">
        <v>0</v>
      </c>
      <c r="O4017" s="15">
        <f t="shared" si="346"/>
        <v>420000</v>
      </c>
      <c r="P4017" s="15">
        <f t="shared" si="347"/>
        <v>83.340774473911395</v>
      </c>
      <c r="Q4017" s="68">
        <v>20000</v>
      </c>
      <c r="R4017" s="66">
        <v>25</v>
      </c>
      <c r="S4017" s="66" t="s">
        <v>4893</v>
      </c>
      <c r="T4017" s="22">
        <f t="shared" si="343"/>
        <v>1</v>
      </c>
      <c r="U4017" s="22">
        <f t="shared" si="344"/>
        <v>2022</v>
      </c>
      <c r="V4017" s="22" t="str">
        <f t="shared" si="345"/>
        <v>REGIONES</v>
      </c>
    </row>
    <row r="4018" spans="1:22" x14ac:dyDescent="0.2">
      <c r="A4018" s="65" t="s">
        <v>4891</v>
      </c>
      <c r="B4018" s="66" t="s">
        <v>33</v>
      </c>
      <c r="C4018" s="66" t="s">
        <v>128</v>
      </c>
      <c r="D4018" s="66" t="s">
        <v>191</v>
      </c>
      <c r="E4018" s="67" t="s">
        <v>192</v>
      </c>
      <c r="F4018" s="66" t="s">
        <v>66</v>
      </c>
      <c r="G4018" s="68">
        <v>8244.0000000000036</v>
      </c>
      <c r="H4018" s="66" t="s">
        <v>85</v>
      </c>
      <c r="I4018" s="66">
        <v>1</v>
      </c>
      <c r="J4018" s="66" t="s">
        <v>66</v>
      </c>
      <c r="K4018" s="66" t="s">
        <v>75</v>
      </c>
      <c r="L4018" s="66">
        <v>0</v>
      </c>
      <c r="M4018" s="69">
        <v>420000</v>
      </c>
      <c r="N4018" s="69">
        <v>0</v>
      </c>
      <c r="O4018" s="15">
        <f t="shared" si="346"/>
        <v>420000</v>
      </c>
      <c r="P4018" s="15">
        <f t="shared" si="347"/>
        <v>50.946142649199395</v>
      </c>
      <c r="Q4018" s="68">
        <v>20000</v>
      </c>
      <c r="R4018" s="66">
        <v>41</v>
      </c>
      <c r="S4018" s="66" t="s">
        <v>4894</v>
      </c>
      <c r="T4018" s="22">
        <f t="shared" si="343"/>
        <v>1</v>
      </c>
      <c r="U4018" s="22">
        <f t="shared" si="344"/>
        <v>2022</v>
      </c>
      <c r="V4018" s="22" t="str">
        <f t="shared" si="345"/>
        <v>REGIONES</v>
      </c>
    </row>
    <row r="4019" spans="1:22" x14ac:dyDescent="0.2">
      <c r="A4019" s="65" t="s">
        <v>4891</v>
      </c>
      <c r="B4019" s="66" t="s">
        <v>33</v>
      </c>
      <c r="C4019" s="66" t="s">
        <v>29</v>
      </c>
      <c r="D4019" s="66" t="s">
        <v>38</v>
      </c>
      <c r="E4019" s="67" t="s">
        <v>42</v>
      </c>
      <c r="F4019" s="66" t="s">
        <v>39</v>
      </c>
      <c r="G4019" s="68">
        <v>2176.1999999999989</v>
      </c>
      <c r="H4019" s="66" t="s">
        <v>43</v>
      </c>
      <c r="I4019" s="66">
        <v>0</v>
      </c>
      <c r="J4019" s="66" t="s">
        <v>39</v>
      </c>
      <c r="K4019" s="66" t="s">
        <v>23</v>
      </c>
      <c r="L4019" s="66">
        <v>1</v>
      </c>
      <c r="M4019" s="69">
        <v>55000</v>
      </c>
      <c r="N4019" s="69">
        <v>0</v>
      </c>
      <c r="O4019" s="15">
        <f t="shared" si="346"/>
        <v>55000</v>
      </c>
      <c r="P4019" s="15">
        <f t="shared" si="347"/>
        <v>25.273412370186577</v>
      </c>
      <c r="Q4019" s="68">
        <v>5000</v>
      </c>
      <c r="R4019" s="66">
        <v>44</v>
      </c>
      <c r="S4019" s="66" t="s">
        <v>4895</v>
      </c>
      <c r="T4019" s="22">
        <f t="shared" si="343"/>
        <v>1</v>
      </c>
      <c r="U4019" s="22">
        <f t="shared" si="344"/>
        <v>2022</v>
      </c>
      <c r="V4019" s="22" t="str">
        <f t="shared" si="345"/>
        <v>METROPOLITANA</v>
      </c>
    </row>
    <row r="4020" spans="1:22" x14ac:dyDescent="0.2">
      <c r="A4020" s="65" t="s">
        <v>4891</v>
      </c>
      <c r="B4020" s="66" t="s">
        <v>33</v>
      </c>
      <c r="C4020" s="66" t="s">
        <v>29</v>
      </c>
      <c r="D4020" s="66" t="s">
        <v>37</v>
      </c>
      <c r="E4020" s="67" t="s">
        <v>40</v>
      </c>
      <c r="F4020" s="66" t="s">
        <v>39</v>
      </c>
      <c r="G4020" s="68">
        <v>2176.1999999999989</v>
      </c>
      <c r="H4020" s="66" t="s">
        <v>22</v>
      </c>
      <c r="I4020" s="66">
        <v>0</v>
      </c>
      <c r="J4020" s="66" t="s">
        <v>39</v>
      </c>
      <c r="K4020" s="66" t="s">
        <v>23</v>
      </c>
      <c r="L4020" s="66">
        <v>1</v>
      </c>
      <c r="M4020" s="69">
        <v>55000</v>
      </c>
      <c r="N4020" s="69">
        <v>0</v>
      </c>
      <c r="O4020" s="15">
        <f t="shared" si="346"/>
        <v>55000</v>
      </c>
      <c r="P4020" s="15">
        <f t="shared" si="347"/>
        <v>25.273412370186577</v>
      </c>
      <c r="Q4020" s="68">
        <v>5000</v>
      </c>
      <c r="R4020" s="66">
        <v>44</v>
      </c>
      <c r="S4020" s="66" t="s">
        <v>4896</v>
      </c>
      <c r="T4020" s="22">
        <f t="shared" si="343"/>
        <v>1</v>
      </c>
      <c r="U4020" s="22">
        <f t="shared" si="344"/>
        <v>2022</v>
      </c>
      <c r="V4020" s="22" t="str">
        <f t="shared" si="345"/>
        <v>METROPOLITANA</v>
      </c>
    </row>
    <row r="4021" spans="1:22" x14ac:dyDescent="0.2">
      <c r="A4021" s="65" t="s">
        <v>4891</v>
      </c>
      <c r="B4021" s="66" t="s">
        <v>33</v>
      </c>
      <c r="C4021" s="66" t="s">
        <v>29</v>
      </c>
      <c r="D4021" s="66" t="s">
        <v>41</v>
      </c>
      <c r="E4021" s="67" t="s">
        <v>25</v>
      </c>
      <c r="F4021" s="66" t="s">
        <v>39</v>
      </c>
      <c r="G4021" s="68">
        <v>13000</v>
      </c>
      <c r="H4021" s="66" t="s">
        <v>43</v>
      </c>
      <c r="I4021" s="66">
        <v>0</v>
      </c>
      <c r="J4021" s="66" t="s">
        <v>39</v>
      </c>
      <c r="K4021" s="66" t="s">
        <v>23</v>
      </c>
      <c r="L4021" s="66">
        <v>1</v>
      </c>
      <c r="M4021" s="69">
        <v>143000</v>
      </c>
      <c r="N4021" s="69">
        <v>0</v>
      </c>
      <c r="O4021" s="15">
        <f t="shared" si="346"/>
        <v>143000</v>
      </c>
      <c r="P4021" s="15">
        <f t="shared" si="347"/>
        <v>11</v>
      </c>
      <c r="Q4021" s="68">
        <v>5000</v>
      </c>
      <c r="R4021" s="66">
        <v>100</v>
      </c>
      <c r="S4021" s="66" t="s">
        <v>4897</v>
      </c>
      <c r="T4021" s="22">
        <f t="shared" si="343"/>
        <v>1</v>
      </c>
      <c r="U4021" s="22">
        <f t="shared" si="344"/>
        <v>2022</v>
      </c>
      <c r="V4021" s="22" t="str">
        <f t="shared" si="345"/>
        <v>METROPOLITANA</v>
      </c>
    </row>
    <row r="4022" spans="1:22" x14ac:dyDescent="0.2">
      <c r="A4022" s="65" t="s">
        <v>4891</v>
      </c>
      <c r="B4022" s="66" t="s">
        <v>33</v>
      </c>
      <c r="C4022" s="66" t="s">
        <v>29</v>
      </c>
      <c r="D4022" s="66" t="s">
        <v>164</v>
      </c>
      <c r="E4022" s="67" t="s">
        <v>1576</v>
      </c>
      <c r="F4022" s="66" t="s">
        <v>39</v>
      </c>
      <c r="G4022" s="68">
        <v>6528.5999999999976</v>
      </c>
      <c r="H4022" s="66" t="s">
        <v>22</v>
      </c>
      <c r="I4022" s="66">
        <v>1</v>
      </c>
      <c r="J4022" s="66" t="s">
        <v>39</v>
      </c>
      <c r="K4022" s="66" t="s">
        <v>23</v>
      </c>
      <c r="L4022" s="66">
        <v>1</v>
      </c>
      <c r="M4022" s="69">
        <v>71815</v>
      </c>
      <c r="N4022" s="69">
        <v>0</v>
      </c>
      <c r="O4022" s="15">
        <f t="shared" si="346"/>
        <v>71815</v>
      </c>
      <c r="P4022" s="15">
        <f t="shared" si="347"/>
        <v>11.000061268878477</v>
      </c>
      <c r="Q4022" s="68">
        <v>5000</v>
      </c>
      <c r="R4022" s="66">
        <v>100</v>
      </c>
      <c r="S4022" s="66" t="s">
        <v>4898</v>
      </c>
      <c r="T4022" s="22">
        <f t="shared" si="343"/>
        <v>1</v>
      </c>
      <c r="U4022" s="22">
        <f t="shared" si="344"/>
        <v>2022</v>
      </c>
      <c r="V4022" s="22" t="str">
        <f t="shared" si="345"/>
        <v>METROPOLITANA</v>
      </c>
    </row>
    <row r="4023" spans="1:22" x14ac:dyDescent="0.2">
      <c r="A4023" s="65" t="s">
        <v>4891</v>
      </c>
      <c r="B4023" s="66" t="s">
        <v>33</v>
      </c>
      <c r="C4023" s="66" t="s">
        <v>44</v>
      </c>
      <c r="D4023" s="66" t="s">
        <v>2262</v>
      </c>
      <c r="E4023" s="67" t="s">
        <v>4899</v>
      </c>
      <c r="F4023" s="66" t="s">
        <v>1105</v>
      </c>
      <c r="G4023" s="68">
        <v>14152.48</v>
      </c>
      <c r="H4023" s="66" t="s">
        <v>24</v>
      </c>
      <c r="I4023" s="66">
        <v>1</v>
      </c>
      <c r="J4023" s="66" t="s">
        <v>1105</v>
      </c>
      <c r="K4023" s="66" t="s">
        <v>873</v>
      </c>
      <c r="L4023" s="66">
        <v>0</v>
      </c>
      <c r="M4023" s="69">
        <v>950000</v>
      </c>
      <c r="N4023" s="69">
        <v>0</v>
      </c>
      <c r="O4023" s="15">
        <f t="shared" si="346"/>
        <v>950000</v>
      </c>
      <c r="P4023" s="15">
        <f t="shared" si="347"/>
        <v>67.126044339931937</v>
      </c>
      <c r="Q4023" s="68">
        <v>20000</v>
      </c>
      <c r="R4023" s="66">
        <v>71</v>
      </c>
      <c r="S4023" s="66" t="s">
        <v>4900</v>
      </c>
      <c r="T4023" s="22">
        <f t="shared" si="343"/>
        <v>1</v>
      </c>
      <c r="U4023" s="22">
        <f t="shared" si="344"/>
        <v>2022</v>
      </c>
      <c r="V4023" s="22" t="str">
        <f t="shared" si="345"/>
        <v>REGIONES</v>
      </c>
    </row>
    <row r="4024" spans="1:22" x14ac:dyDescent="0.2">
      <c r="A4024" s="65" t="s">
        <v>4891</v>
      </c>
      <c r="B4024" s="66" t="s">
        <v>33</v>
      </c>
      <c r="C4024" s="66" t="s">
        <v>44</v>
      </c>
      <c r="D4024" s="66" t="s">
        <v>45</v>
      </c>
      <c r="E4024" s="67" t="s">
        <v>52</v>
      </c>
      <c r="F4024" s="66" t="s">
        <v>48</v>
      </c>
      <c r="G4024" s="68">
        <v>5032.3200000000024</v>
      </c>
      <c r="H4024" s="66" t="s">
        <v>22</v>
      </c>
      <c r="I4024" s="66">
        <v>0</v>
      </c>
      <c r="J4024" s="66" t="s">
        <v>48</v>
      </c>
      <c r="K4024" s="66" t="s">
        <v>23</v>
      </c>
      <c r="L4024" s="66">
        <v>1</v>
      </c>
      <c r="M4024" s="69">
        <v>55356</v>
      </c>
      <c r="N4024" s="69">
        <v>0</v>
      </c>
      <c r="O4024" s="15">
        <f t="shared" si="346"/>
        <v>55356</v>
      </c>
      <c r="P4024" s="15">
        <f t="shared" si="347"/>
        <v>11.00009538344143</v>
      </c>
      <c r="Q4024" s="68">
        <v>5000</v>
      </c>
      <c r="R4024" s="66">
        <v>100</v>
      </c>
      <c r="S4024" s="66" t="s">
        <v>4901</v>
      </c>
      <c r="T4024" s="22">
        <f t="shared" si="343"/>
        <v>1</v>
      </c>
      <c r="U4024" s="22">
        <f t="shared" si="344"/>
        <v>2022</v>
      </c>
      <c r="V4024" s="22" t="str">
        <f t="shared" si="345"/>
        <v>METROPOLITANA</v>
      </c>
    </row>
    <row r="4025" spans="1:22" x14ac:dyDescent="0.2">
      <c r="A4025" s="23" t="s">
        <v>4902</v>
      </c>
      <c r="B4025" s="22" t="s">
        <v>33</v>
      </c>
      <c r="C4025" s="22" t="s">
        <v>128</v>
      </c>
      <c r="D4025" s="22" t="s">
        <v>2955</v>
      </c>
      <c r="E4025" s="24" t="s">
        <v>2956</v>
      </c>
      <c r="F4025" s="22" t="s">
        <v>129</v>
      </c>
      <c r="G4025" s="25">
        <v>8244.0000000000036</v>
      </c>
      <c r="H4025" s="22" t="s">
        <v>24</v>
      </c>
      <c r="I4025" s="22">
        <v>1</v>
      </c>
      <c r="J4025" s="22" t="s">
        <v>129</v>
      </c>
      <c r="K4025" s="22" t="s">
        <v>23</v>
      </c>
      <c r="L4025" s="22">
        <v>1</v>
      </c>
      <c r="M4025" s="26">
        <v>90684</v>
      </c>
      <c r="N4025" s="26">
        <v>0</v>
      </c>
      <c r="O4025" s="15">
        <f t="shared" si="346"/>
        <v>90684</v>
      </c>
      <c r="P4025" s="15">
        <f t="shared" si="347"/>
        <v>10.999999999999995</v>
      </c>
      <c r="Q4025" s="25">
        <v>5000</v>
      </c>
      <c r="R4025" s="22">
        <v>100</v>
      </c>
      <c r="S4025" s="22" t="s">
        <v>4903</v>
      </c>
      <c r="T4025" s="22">
        <f t="shared" si="343"/>
        <v>1</v>
      </c>
      <c r="U4025" s="22">
        <f t="shared" si="344"/>
        <v>2022</v>
      </c>
      <c r="V4025" s="22" t="str">
        <f t="shared" si="345"/>
        <v>METROPOLITANA</v>
      </c>
    </row>
    <row r="4026" spans="1:22" x14ac:dyDescent="0.2">
      <c r="A4026" s="23" t="s">
        <v>4902</v>
      </c>
      <c r="B4026" s="22" t="s">
        <v>33</v>
      </c>
      <c r="C4026" s="22" t="s">
        <v>29</v>
      </c>
      <c r="D4026" s="22" t="s">
        <v>37</v>
      </c>
      <c r="E4026" s="24" t="s">
        <v>40</v>
      </c>
      <c r="F4026" s="22" t="s">
        <v>39</v>
      </c>
      <c r="G4026" s="25">
        <v>11282</v>
      </c>
      <c r="H4026" s="22" t="s">
        <v>22</v>
      </c>
      <c r="I4026" s="22">
        <v>0</v>
      </c>
      <c r="J4026" s="22" t="s">
        <v>39</v>
      </c>
      <c r="K4026" s="22" t="s">
        <v>23</v>
      </c>
      <c r="L4026" s="22">
        <v>1</v>
      </c>
      <c r="M4026" s="26">
        <v>124102</v>
      </c>
      <c r="N4026" s="26">
        <v>0</v>
      </c>
      <c r="O4026" s="15">
        <f t="shared" si="346"/>
        <v>124102</v>
      </c>
      <c r="P4026" s="15">
        <f t="shared" si="347"/>
        <v>11</v>
      </c>
      <c r="Q4026" s="25">
        <v>5000</v>
      </c>
      <c r="R4026" s="22">
        <v>100</v>
      </c>
      <c r="S4026" s="22" t="s">
        <v>4904</v>
      </c>
      <c r="T4026" s="22">
        <f t="shared" si="343"/>
        <v>1</v>
      </c>
      <c r="U4026" s="22">
        <f t="shared" si="344"/>
        <v>2022</v>
      </c>
      <c r="V4026" s="22" t="str">
        <f t="shared" si="345"/>
        <v>METROPOLITANA</v>
      </c>
    </row>
    <row r="4027" spans="1:22" x14ac:dyDescent="0.2">
      <c r="A4027" s="23" t="s">
        <v>4902</v>
      </c>
      <c r="B4027" s="22" t="s">
        <v>33</v>
      </c>
      <c r="C4027" s="22" t="s">
        <v>29</v>
      </c>
      <c r="D4027" s="22" t="s">
        <v>164</v>
      </c>
      <c r="E4027" s="24" t="s">
        <v>1576</v>
      </c>
      <c r="F4027" s="22" t="s">
        <v>39</v>
      </c>
      <c r="G4027" s="25">
        <v>8561.0299999999952</v>
      </c>
      <c r="H4027" s="22" t="s">
        <v>22</v>
      </c>
      <c r="I4027" s="22">
        <v>1</v>
      </c>
      <c r="J4027" s="22" t="s">
        <v>39</v>
      </c>
      <c r="K4027" s="22" t="s">
        <v>23</v>
      </c>
      <c r="L4027" s="22">
        <v>1</v>
      </c>
      <c r="M4027" s="26">
        <v>94171</v>
      </c>
      <c r="N4027" s="26">
        <v>0</v>
      </c>
      <c r="O4027" s="15">
        <f t="shared" si="346"/>
        <v>94171</v>
      </c>
      <c r="P4027" s="15">
        <f t="shared" si="347"/>
        <v>10.999961453236358</v>
      </c>
      <c r="Q4027" s="25">
        <v>5000</v>
      </c>
      <c r="R4027" s="22">
        <v>100</v>
      </c>
      <c r="S4027" s="22" t="s">
        <v>4905</v>
      </c>
      <c r="T4027" s="22">
        <f t="shared" si="343"/>
        <v>1</v>
      </c>
      <c r="U4027" s="22">
        <f t="shared" si="344"/>
        <v>2022</v>
      </c>
      <c r="V4027" s="22" t="str">
        <f t="shared" si="345"/>
        <v>METROPOLITANA</v>
      </c>
    </row>
    <row r="4028" spans="1:22" x14ac:dyDescent="0.2">
      <c r="A4028" s="23" t="s">
        <v>4902</v>
      </c>
      <c r="B4028" s="22" t="s">
        <v>33</v>
      </c>
      <c r="C4028" s="22" t="s">
        <v>44</v>
      </c>
      <c r="D4028" s="22" t="s">
        <v>1170</v>
      </c>
      <c r="E4028" s="24" t="s">
        <v>81</v>
      </c>
      <c r="F4028" s="22" t="s">
        <v>114</v>
      </c>
      <c r="G4028" s="25">
        <v>9521.2000000000007</v>
      </c>
      <c r="H4028" s="22" t="s">
        <v>24</v>
      </c>
      <c r="I4028" s="22">
        <v>1</v>
      </c>
      <c r="J4028" s="22" t="s">
        <v>114</v>
      </c>
      <c r="K4028" s="22" t="s">
        <v>75</v>
      </c>
      <c r="L4028" s="22">
        <v>0</v>
      </c>
      <c r="M4028" s="26">
        <v>480000</v>
      </c>
      <c r="N4028" s="26">
        <v>0</v>
      </c>
      <c r="O4028" s="15">
        <f t="shared" si="346"/>
        <v>480000</v>
      </c>
      <c r="P4028" s="15">
        <f t="shared" si="347"/>
        <v>50.413813384867453</v>
      </c>
      <c r="Q4028" s="25">
        <v>20000</v>
      </c>
      <c r="R4028" s="22">
        <v>48</v>
      </c>
      <c r="S4028" s="22" t="s">
        <v>4906</v>
      </c>
      <c r="T4028" s="22">
        <f t="shared" si="343"/>
        <v>1</v>
      </c>
      <c r="U4028" s="22">
        <f t="shared" si="344"/>
        <v>2022</v>
      </c>
      <c r="V4028" s="22" t="str">
        <f t="shared" si="345"/>
        <v>REGIONES</v>
      </c>
    </row>
    <row r="4029" spans="1:22" x14ac:dyDescent="0.2">
      <c r="A4029" s="23" t="s">
        <v>4902</v>
      </c>
      <c r="B4029" s="22" t="s">
        <v>33</v>
      </c>
      <c r="C4029" s="22" t="s">
        <v>44</v>
      </c>
      <c r="D4029" s="22" t="s">
        <v>47</v>
      </c>
      <c r="E4029" s="24" t="s">
        <v>21</v>
      </c>
      <c r="F4029" s="22" t="s">
        <v>48</v>
      </c>
      <c r="G4029" s="25">
        <v>5245.2000000000016</v>
      </c>
      <c r="H4029" s="22" t="s">
        <v>22</v>
      </c>
      <c r="I4029" s="22">
        <v>0</v>
      </c>
      <c r="J4029" s="22" t="s">
        <v>48</v>
      </c>
      <c r="K4029" s="22" t="s">
        <v>23</v>
      </c>
      <c r="L4029" s="22">
        <v>1</v>
      </c>
      <c r="M4029" s="26">
        <v>57697</v>
      </c>
      <c r="N4029" s="26">
        <v>0</v>
      </c>
      <c r="O4029" s="15">
        <f t="shared" si="346"/>
        <v>57697</v>
      </c>
      <c r="P4029" s="15">
        <f t="shared" si="347"/>
        <v>10.999961869900096</v>
      </c>
      <c r="Q4029" s="25">
        <v>5000</v>
      </c>
      <c r="R4029" s="22">
        <v>100</v>
      </c>
      <c r="S4029" s="22" t="s">
        <v>4907</v>
      </c>
      <c r="T4029" s="22">
        <f t="shared" si="343"/>
        <v>1</v>
      </c>
      <c r="U4029" s="22">
        <f t="shared" si="344"/>
        <v>2022</v>
      </c>
      <c r="V4029" s="22" t="str">
        <f t="shared" si="345"/>
        <v>METROPOLITANA</v>
      </c>
    </row>
    <row r="4030" spans="1:22" x14ac:dyDescent="0.2">
      <c r="A4030" s="11" t="s">
        <v>4908</v>
      </c>
      <c r="B4030" s="12" t="s">
        <v>18</v>
      </c>
      <c r="C4030" s="12" t="s">
        <v>57</v>
      </c>
      <c r="D4030" s="12" t="s">
        <v>41</v>
      </c>
      <c r="E4030" s="13" t="s">
        <v>25</v>
      </c>
      <c r="F4030" s="12" t="s">
        <v>58</v>
      </c>
      <c r="G4030" s="14">
        <v>15846.83</v>
      </c>
      <c r="H4030" s="12" t="s">
        <v>43</v>
      </c>
      <c r="I4030" s="12">
        <v>0</v>
      </c>
      <c r="J4030" s="12" t="s">
        <v>58</v>
      </c>
      <c r="K4030" s="12" t="s">
        <v>23</v>
      </c>
      <c r="L4030" s="12">
        <v>5</v>
      </c>
      <c r="M4030" s="15">
        <v>70000</v>
      </c>
      <c r="N4030" s="15">
        <v>0</v>
      </c>
      <c r="O4030" s="15">
        <f t="shared" si="346"/>
        <v>70000</v>
      </c>
      <c r="P4030" s="15">
        <f t="shared" si="347"/>
        <v>4.4172872429375465</v>
      </c>
      <c r="Q4030" s="14">
        <v>10000</v>
      </c>
      <c r="R4030" s="12">
        <v>100</v>
      </c>
      <c r="S4030" s="12" t="s">
        <v>4909</v>
      </c>
      <c r="T4030" s="22">
        <f t="shared" si="343"/>
        <v>1</v>
      </c>
      <c r="U4030" s="22">
        <f t="shared" si="344"/>
        <v>2022</v>
      </c>
      <c r="V4030" s="22" t="str">
        <f t="shared" si="345"/>
        <v>METROPOLITANA</v>
      </c>
    </row>
    <row r="4031" spans="1:22" x14ac:dyDescent="0.2">
      <c r="A4031" s="11" t="s">
        <v>4908</v>
      </c>
      <c r="B4031" s="12" t="s">
        <v>33</v>
      </c>
      <c r="C4031" s="12" t="s">
        <v>2431</v>
      </c>
      <c r="D4031" s="12" t="s">
        <v>2955</v>
      </c>
      <c r="E4031" s="13" t="s">
        <v>2956</v>
      </c>
      <c r="F4031" s="12" t="s">
        <v>67</v>
      </c>
      <c r="G4031" s="14">
        <v>16196</v>
      </c>
      <c r="H4031" s="12" t="s">
        <v>24</v>
      </c>
      <c r="I4031" s="12">
        <v>1</v>
      </c>
      <c r="J4031" s="12" t="s">
        <v>67</v>
      </c>
      <c r="K4031" s="12" t="s">
        <v>23</v>
      </c>
      <c r="L4031" s="12">
        <v>2</v>
      </c>
      <c r="M4031" s="15">
        <v>178156</v>
      </c>
      <c r="N4031" s="15">
        <v>0</v>
      </c>
      <c r="O4031" s="15">
        <f t="shared" si="346"/>
        <v>178156</v>
      </c>
      <c r="P4031" s="15">
        <f t="shared" si="347"/>
        <v>11</v>
      </c>
      <c r="Q4031" s="14">
        <v>5000</v>
      </c>
      <c r="R4031" s="12">
        <v>100</v>
      </c>
      <c r="S4031" s="12" t="s">
        <v>4910</v>
      </c>
      <c r="T4031" s="22">
        <f t="shared" si="343"/>
        <v>1</v>
      </c>
      <c r="U4031" s="22">
        <f t="shared" si="344"/>
        <v>2022</v>
      </c>
      <c r="V4031" s="22" t="str">
        <f t="shared" si="345"/>
        <v>METROPOLITANA</v>
      </c>
    </row>
    <row r="4032" spans="1:22" x14ac:dyDescent="0.2">
      <c r="A4032" s="11" t="s">
        <v>4908</v>
      </c>
      <c r="B4032" s="12" t="s">
        <v>33</v>
      </c>
      <c r="C4032" s="12" t="s">
        <v>128</v>
      </c>
      <c r="D4032" s="12" t="s">
        <v>2955</v>
      </c>
      <c r="E4032" s="13" t="s">
        <v>2956</v>
      </c>
      <c r="F4032" s="12" t="s">
        <v>129</v>
      </c>
      <c r="G4032" s="14">
        <v>8793.6000000000022</v>
      </c>
      <c r="H4032" s="12" t="s">
        <v>24</v>
      </c>
      <c r="I4032" s="12">
        <v>1</v>
      </c>
      <c r="J4032" s="12" t="s">
        <v>129</v>
      </c>
      <c r="K4032" s="12" t="s">
        <v>23</v>
      </c>
      <c r="L4032" s="12">
        <v>1</v>
      </c>
      <c r="M4032" s="15">
        <v>96730</v>
      </c>
      <c r="N4032" s="15">
        <v>0</v>
      </c>
      <c r="O4032" s="15">
        <f t="shared" si="346"/>
        <v>96730</v>
      </c>
      <c r="P4032" s="15">
        <f t="shared" si="347"/>
        <v>11.000045487627363</v>
      </c>
      <c r="Q4032" s="14">
        <v>5000</v>
      </c>
      <c r="R4032" s="12">
        <v>100</v>
      </c>
      <c r="S4032" s="12" t="s">
        <v>4911</v>
      </c>
      <c r="T4032" s="22">
        <f t="shared" si="343"/>
        <v>1</v>
      </c>
      <c r="U4032" s="22">
        <f t="shared" si="344"/>
        <v>2022</v>
      </c>
      <c r="V4032" s="22" t="str">
        <f t="shared" si="345"/>
        <v>METROPOLITANA</v>
      </c>
    </row>
    <row r="4033" spans="1:22" x14ac:dyDescent="0.2">
      <c r="A4033" s="11" t="s">
        <v>4908</v>
      </c>
      <c r="B4033" s="12" t="s">
        <v>33</v>
      </c>
      <c r="C4033" s="12" t="s">
        <v>29</v>
      </c>
      <c r="D4033" s="12" t="s">
        <v>38</v>
      </c>
      <c r="E4033" s="13" t="s">
        <v>42</v>
      </c>
      <c r="F4033" s="12" t="s">
        <v>39</v>
      </c>
      <c r="G4033" s="14">
        <v>4752</v>
      </c>
      <c r="H4033" s="12" t="s">
        <v>43</v>
      </c>
      <c r="I4033" s="12">
        <v>0</v>
      </c>
      <c r="J4033" s="12" t="s">
        <v>39</v>
      </c>
      <c r="K4033" s="12" t="s">
        <v>23</v>
      </c>
      <c r="L4033" s="12">
        <v>1</v>
      </c>
      <c r="M4033" s="15">
        <v>55000</v>
      </c>
      <c r="N4033" s="15">
        <v>0</v>
      </c>
      <c r="O4033" s="15">
        <f t="shared" si="346"/>
        <v>55000</v>
      </c>
      <c r="P4033" s="15">
        <f t="shared" si="347"/>
        <v>11.574074074074074</v>
      </c>
      <c r="Q4033" s="14">
        <v>5000</v>
      </c>
      <c r="R4033" s="12">
        <v>95</v>
      </c>
      <c r="S4033" s="12" t="s">
        <v>4912</v>
      </c>
      <c r="T4033" s="22">
        <f t="shared" si="343"/>
        <v>1</v>
      </c>
      <c r="U4033" s="22">
        <f t="shared" si="344"/>
        <v>2022</v>
      </c>
      <c r="V4033" s="22" t="str">
        <f t="shared" si="345"/>
        <v>METROPOLITANA</v>
      </c>
    </row>
    <row r="4034" spans="1:22" x14ac:dyDescent="0.2">
      <c r="A4034" s="11" t="s">
        <v>4908</v>
      </c>
      <c r="B4034" s="12" t="s">
        <v>33</v>
      </c>
      <c r="C4034" s="12" t="s">
        <v>29</v>
      </c>
      <c r="D4034" s="12" t="s">
        <v>37</v>
      </c>
      <c r="E4034" s="13" t="s">
        <v>40</v>
      </c>
      <c r="F4034" s="12" t="s">
        <v>39</v>
      </c>
      <c r="G4034" s="14">
        <v>4752</v>
      </c>
      <c r="H4034" s="12" t="s">
        <v>22</v>
      </c>
      <c r="I4034" s="12">
        <v>0</v>
      </c>
      <c r="J4034" s="12" t="s">
        <v>39</v>
      </c>
      <c r="K4034" s="12" t="s">
        <v>23</v>
      </c>
      <c r="L4034" s="12">
        <v>1</v>
      </c>
      <c r="M4034" s="15">
        <v>55000</v>
      </c>
      <c r="N4034" s="15">
        <v>0</v>
      </c>
      <c r="O4034" s="15">
        <f t="shared" si="346"/>
        <v>55000</v>
      </c>
      <c r="P4034" s="15">
        <f t="shared" si="347"/>
        <v>11.574074074074074</v>
      </c>
      <c r="Q4034" s="14">
        <v>5000</v>
      </c>
      <c r="R4034" s="12">
        <v>95</v>
      </c>
      <c r="S4034" s="12" t="s">
        <v>4913</v>
      </c>
      <c r="T4034" s="22">
        <f t="shared" si="343"/>
        <v>1</v>
      </c>
      <c r="U4034" s="22">
        <f t="shared" si="344"/>
        <v>2022</v>
      </c>
      <c r="V4034" s="22" t="str">
        <f t="shared" si="345"/>
        <v>METROPOLITANA</v>
      </c>
    </row>
    <row r="4035" spans="1:22" x14ac:dyDescent="0.2">
      <c r="A4035" s="11" t="s">
        <v>4908</v>
      </c>
      <c r="B4035" s="12" t="s">
        <v>33</v>
      </c>
      <c r="C4035" s="12" t="s">
        <v>29</v>
      </c>
      <c r="D4035" s="12" t="s">
        <v>47</v>
      </c>
      <c r="E4035" s="13" t="s">
        <v>1576</v>
      </c>
      <c r="F4035" s="12" t="s">
        <v>173</v>
      </c>
      <c r="G4035" s="14">
        <v>4205.3</v>
      </c>
      <c r="H4035" s="12" t="s">
        <v>22</v>
      </c>
      <c r="I4035" s="12">
        <v>0</v>
      </c>
      <c r="J4035" s="12" t="s">
        <v>173</v>
      </c>
      <c r="K4035" s="12" t="s">
        <v>23</v>
      </c>
      <c r="L4035" s="12">
        <v>5</v>
      </c>
      <c r="M4035" s="15">
        <v>90000</v>
      </c>
      <c r="N4035" s="15">
        <v>0</v>
      </c>
      <c r="O4035" s="15">
        <f t="shared" si="346"/>
        <v>90000</v>
      </c>
      <c r="P4035" s="15">
        <f t="shared" si="347"/>
        <v>21.401564692174162</v>
      </c>
      <c r="Q4035" s="14">
        <v>10000</v>
      </c>
      <c r="R4035" s="12">
        <v>42</v>
      </c>
      <c r="S4035" s="12" t="s">
        <v>4914</v>
      </c>
      <c r="T4035" s="22">
        <f t="shared" si="343"/>
        <v>1</v>
      </c>
      <c r="U4035" s="22">
        <f t="shared" si="344"/>
        <v>2022</v>
      </c>
      <c r="V4035" s="22" t="str">
        <f t="shared" si="345"/>
        <v>METROPOLITANA</v>
      </c>
    </row>
    <row r="4036" spans="1:22" x14ac:dyDescent="0.2">
      <c r="A4036" s="11" t="s">
        <v>4908</v>
      </c>
      <c r="B4036" s="12" t="s">
        <v>33</v>
      </c>
      <c r="C4036" s="12" t="s">
        <v>44</v>
      </c>
      <c r="D4036" s="12" t="s">
        <v>2262</v>
      </c>
      <c r="E4036" s="13" t="s">
        <v>83</v>
      </c>
      <c r="F4036" s="12" t="s">
        <v>3139</v>
      </c>
      <c r="G4036" s="14">
        <v>15635.14</v>
      </c>
      <c r="H4036" s="12" t="s">
        <v>24</v>
      </c>
      <c r="I4036" s="12">
        <v>1</v>
      </c>
      <c r="J4036" s="12" t="s">
        <v>3139</v>
      </c>
      <c r="K4036" s="12" t="s">
        <v>93</v>
      </c>
      <c r="L4036" s="12">
        <v>0</v>
      </c>
      <c r="M4036" s="15">
        <v>530000</v>
      </c>
      <c r="N4036" s="15">
        <v>0</v>
      </c>
      <c r="O4036" s="15">
        <f t="shared" si="346"/>
        <v>530000</v>
      </c>
      <c r="P4036" s="15">
        <f t="shared" si="347"/>
        <v>33.89800155291222</v>
      </c>
      <c r="Q4036" s="14">
        <v>20000</v>
      </c>
      <c r="R4036" s="12">
        <v>78</v>
      </c>
      <c r="S4036" s="12" t="s">
        <v>4915</v>
      </c>
      <c r="T4036" s="22">
        <f t="shared" si="343"/>
        <v>1</v>
      </c>
      <c r="U4036" s="22">
        <f t="shared" si="344"/>
        <v>2022</v>
      </c>
      <c r="V4036" s="22" t="str">
        <f t="shared" si="345"/>
        <v>REGIONES</v>
      </c>
    </row>
    <row r="4037" spans="1:22" x14ac:dyDescent="0.2">
      <c r="A4037" s="11" t="s">
        <v>4908</v>
      </c>
      <c r="B4037" s="12" t="s">
        <v>33</v>
      </c>
      <c r="C4037" s="12" t="s">
        <v>44</v>
      </c>
      <c r="D4037" s="12" t="s">
        <v>786</v>
      </c>
      <c r="E4037" s="13" t="s">
        <v>1891</v>
      </c>
      <c r="F4037" s="12" t="s">
        <v>84</v>
      </c>
      <c r="G4037" s="14">
        <f>6400.5+4946</f>
        <v>11346.5</v>
      </c>
      <c r="H4037" s="12" t="s">
        <v>788</v>
      </c>
      <c r="I4037" s="12">
        <v>1</v>
      </c>
      <c r="J4037" s="12" t="s">
        <v>84</v>
      </c>
      <c r="K4037" s="12" t="s">
        <v>86</v>
      </c>
      <c r="L4037" s="12">
        <v>0</v>
      </c>
      <c r="M4037" s="15">
        <v>330000</v>
      </c>
      <c r="N4037" s="15">
        <v>0</v>
      </c>
      <c r="O4037" s="15">
        <f t="shared" si="346"/>
        <v>330000</v>
      </c>
      <c r="P4037" s="15">
        <f t="shared" si="347"/>
        <v>29.0838584585555</v>
      </c>
      <c r="Q4037" s="14">
        <v>20000</v>
      </c>
      <c r="R4037" s="12">
        <v>65</v>
      </c>
      <c r="S4037" s="12" t="s">
        <v>4918</v>
      </c>
      <c r="T4037" s="22">
        <f t="shared" si="343"/>
        <v>1</v>
      </c>
      <c r="U4037" s="22">
        <f t="shared" si="344"/>
        <v>2022</v>
      </c>
      <c r="V4037" s="22" t="str">
        <f t="shared" si="345"/>
        <v>REGIONES</v>
      </c>
    </row>
    <row r="4038" spans="1:22" x14ac:dyDescent="0.2">
      <c r="A4038" s="11" t="s">
        <v>4908</v>
      </c>
      <c r="B4038" s="12" t="s">
        <v>33</v>
      </c>
      <c r="C4038" s="12" t="s">
        <v>44</v>
      </c>
      <c r="D4038" s="12" t="s">
        <v>30</v>
      </c>
      <c r="E4038" s="13" t="s">
        <v>31</v>
      </c>
      <c r="F4038" s="12" t="s">
        <v>94</v>
      </c>
      <c r="G4038" s="14">
        <v>7917.7999999999975</v>
      </c>
      <c r="H4038" s="12" t="s">
        <v>32</v>
      </c>
      <c r="I4038" s="12">
        <v>0</v>
      </c>
      <c r="J4038" s="12" t="s">
        <v>59</v>
      </c>
      <c r="K4038" s="12" t="s">
        <v>78</v>
      </c>
      <c r="L4038" s="12">
        <v>0</v>
      </c>
      <c r="M4038" s="15">
        <v>180000</v>
      </c>
      <c r="N4038" s="15">
        <v>0</v>
      </c>
      <c r="O4038" s="15">
        <f t="shared" si="346"/>
        <v>180000</v>
      </c>
      <c r="P4038" s="15">
        <f t="shared" si="347"/>
        <v>22.733587612720711</v>
      </c>
      <c r="Q4038" s="14">
        <v>20000</v>
      </c>
      <c r="R4038" s="12">
        <v>40</v>
      </c>
      <c r="S4038" s="12" t="s">
        <v>4916</v>
      </c>
      <c r="T4038" s="22">
        <f t="shared" si="343"/>
        <v>1</v>
      </c>
      <c r="U4038" s="22">
        <f t="shared" si="344"/>
        <v>2022</v>
      </c>
      <c r="V4038" s="22" t="str">
        <f t="shared" si="345"/>
        <v>REGIONES</v>
      </c>
    </row>
    <row r="4039" spans="1:22" x14ac:dyDescent="0.2">
      <c r="A4039" s="11" t="s">
        <v>4908</v>
      </c>
      <c r="B4039" s="12" t="s">
        <v>33</v>
      </c>
      <c r="C4039" s="12" t="s">
        <v>44</v>
      </c>
      <c r="D4039" s="12" t="s">
        <v>41</v>
      </c>
      <c r="E4039" s="13" t="s">
        <v>25</v>
      </c>
      <c r="F4039" s="12" t="s">
        <v>94</v>
      </c>
      <c r="G4039" s="14">
        <v>6566.94</v>
      </c>
      <c r="H4039" s="12" t="s">
        <v>43</v>
      </c>
      <c r="I4039" s="12">
        <v>0</v>
      </c>
      <c r="J4039" s="12" t="s">
        <v>59</v>
      </c>
      <c r="K4039" s="12" t="s">
        <v>78</v>
      </c>
      <c r="L4039" s="12">
        <v>0</v>
      </c>
      <c r="M4039" s="15">
        <v>180000</v>
      </c>
      <c r="N4039" s="15">
        <v>0</v>
      </c>
      <c r="O4039" s="15">
        <f t="shared" si="346"/>
        <v>180000</v>
      </c>
      <c r="P4039" s="15">
        <f t="shared" si="347"/>
        <v>27.410026587725792</v>
      </c>
      <c r="Q4039" s="14">
        <v>20000</v>
      </c>
      <c r="R4039" s="12">
        <v>33</v>
      </c>
      <c r="S4039" s="12" t="s">
        <v>4917</v>
      </c>
      <c r="T4039" s="22">
        <f t="shared" si="343"/>
        <v>1</v>
      </c>
      <c r="U4039" s="22">
        <f t="shared" si="344"/>
        <v>2022</v>
      </c>
      <c r="V4039" s="22" t="str">
        <f t="shared" si="345"/>
        <v>REGIONES</v>
      </c>
    </row>
    <row r="4040" spans="1:22" x14ac:dyDescent="0.2">
      <c r="A4040" s="23" t="s">
        <v>4919</v>
      </c>
      <c r="B4040" s="22" t="s">
        <v>18</v>
      </c>
      <c r="C4040" s="22" t="s">
        <v>270</v>
      </c>
      <c r="D4040" s="22" t="s">
        <v>2955</v>
      </c>
      <c r="E4040" s="24" t="s">
        <v>2956</v>
      </c>
      <c r="F4040" s="22" t="s">
        <v>120</v>
      </c>
      <c r="G4040" s="25">
        <v>11902</v>
      </c>
      <c r="H4040" s="22" t="s">
        <v>24</v>
      </c>
      <c r="I4040" s="22">
        <v>1</v>
      </c>
      <c r="J4040" s="22" t="s">
        <v>120</v>
      </c>
      <c r="K4040" s="22" t="s">
        <v>23</v>
      </c>
      <c r="L4040" s="22">
        <v>5</v>
      </c>
      <c r="M4040" s="26">
        <v>120000</v>
      </c>
      <c r="N4040" s="26">
        <v>0</v>
      </c>
      <c r="O4040" s="15">
        <f t="shared" si="346"/>
        <v>120000</v>
      </c>
      <c r="P4040" s="15">
        <f t="shared" si="347"/>
        <v>10.082339102671821</v>
      </c>
      <c r="Q4040" s="25">
        <v>10000</v>
      </c>
      <c r="R4040" s="22">
        <v>100</v>
      </c>
      <c r="S4040" s="22" t="s">
        <v>4920</v>
      </c>
      <c r="T4040" s="22">
        <f t="shared" ref="T4040:T4103" si="348">MONTH(A4040)</f>
        <v>2</v>
      </c>
      <c r="U4040" s="22">
        <f t="shared" ref="U4040:U4103" si="349">YEAR(A4040)</f>
        <v>2022</v>
      </c>
      <c r="V4040" s="22" t="str">
        <f t="shared" ref="V4040:V4103" si="350">IF(K4040="METROPOLITANA DE SANTIAGO","METROPOLITANA","REGIONES")</f>
        <v>METROPOLITANA</v>
      </c>
    </row>
    <row r="4041" spans="1:22" x14ac:dyDescent="0.2">
      <c r="A4041" s="23" t="s">
        <v>4919</v>
      </c>
      <c r="B4041" s="22" t="s">
        <v>18</v>
      </c>
      <c r="C4041" s="22" t="s">
        <v>57</v>
      </c>
      <c r="D4041" s="22" t="s">
        <v>41</v>
      </c>
      <c r="E4041" s="24" t="s">
        <v>25</v>
      </c>
      <c r="F4041" s="22" t="s">
        <v>58</v>
      </c>
      <c r="G4041" s="25">
        <v>16857.599999999999</v>
      </c>
      <c r="H4041" s="22" t="s">
        <v>43</v>
      </c>
      <c r="I4041" s="22">
        <v>0</v>
      </c>
      <c r="J4041" s="22" t="s">
        <v>58</v>
      </c>
      <c r="K4041" s="22" t="s">
        <v>23</v>
      </c>
      <c r="L4041" s="22">
        <v>5</v>
      </c>
      <c r="M4041" s="26">
        <v>70000</v>
      </c>
      <c r="N4041" s="26">
        <v>0</v>
      </c>
      <c r="O4041" s="15">
        <f t="shared" si="346"/>
        <v>70000</v>
      </c>
      <c r="P4041" s="15">
        <f t="shared" si="347"/>
        <v>4.1524297646165529</v>
      </c>
      <c r="Q4041" s="25">
        <v>10000</v>
      </c>
      <c r="R4041" s="22">
        <v>100</v>
      </c>
      <c r="S4041" s="22" t="s">
        <v>4921</v>
      </c>
      <c r="T4041" s="22">
        <f t="shared" si="348"/>
        <v>2</v>
      </c>
      <c r="U4041" s="22">
        <f t="shared" si="349"/>
        <v>2022</v>
      </c>
      <c r="V4041" s="22" t="str">
        <f t="shared" si="350"/>
        <v>METROPOLITANA</v>
      </c>
    </row>
    <row r="4042" spans="1:22" x14ac:dyDescent="0.2">
      <c r="A4042" s="23" t="s">
        <v>4919</v>
      </c>
      <c r="B4042" s="22" t="s">
        <v>18</v>
      </c>
      <c r="C4042" s="22" t="s">
        <v>19</v>
      </c>
      <c r="D4042" s="22" t="s">
        <v>2825</v>
      </c>
      <c r="E4042" s="24" t="s">
        <v>639</v>
      </c>
      <c r="F4042" s="22" t="s">
        <v>481</v>
      </c>
      <c r="G4042" s="25">
        <f>11915.65+4693</f>
        <v>16608.650000000001</v>
      </c>
      <c r="H4042" s="22" t="s">
        <v>24</v>
      </c>
      <c r="I4042" s="22">
        <v>1</v>
      </c>
      <c r="J4042" s="22" t="s">
        <v>481</v>
      </c>
      <c r="K4042" s="22" t="s">
        <v>93</v>
      </c>
      <c r="L4042" s="22">
        <v>0</v>
      </c>
      <c r="M4042" s="26">
        <v>800000</v>
      </c>
      <c r="N4042" s="26">
        <v>0</v>
      </c>
      <c r="O4042" s="15">
        <f t="shared" si="346"/>
        <v>800000</v>
      </c>
      <c r="P4042" s="15">
        <f t="shared" si="347"/>
        <v>48.167671665066088</v>
      </c>
      <c r="Q4042" s="25">
        <v>20000</v>
      </c>
      <c r="R4042" s="22">
        <v>85</v>
      </c>
      <c r="S4042" s="22" t="s">
        <v>4930</v>
      </c>
      <c r="T4042" s="22">
        <f t="shared" si="348"/>
        <v>2</v>
      </c>
      <c r="U4042" s="22">
        <f t="shared" si="349"/>
        <v>2022</v>
      </c>
      <c r="V4042" s="22" t="str">
        <f t="shared" si="350"/>
        <v>REGIONES</v>
      </c>
    </row>
    <row r="4043" spans="1:22" x14ac:dyDescent="0.2">
      <c r="A4043" s="23" t="s">
        <v>4919</v>
      </c>
      <c r="B4043" s="22" t="s">
        <v>33</v>
      </c>
      <c r="C4043" s="22" t="s">
        <v>1416</v>
      </c>
      <c r="D4043" s="22" t="s">
        <v>47</v>
      </c>
      <c r="E4043" s="24" t="s">
        <v>1576</v>
      </c>
      <c r="F4043" s="22" t="s">
        <v>48</v>
      </c>
      <c r="G4043" s="25">
        <v>5200</v>
      </c>
      <c r="H4043" s="22" t="s">
        <v>22</v>
      </c>
      <c r="I4043" s="22">
        <v>0</v>
      </c>
      <c r="J4043" s="22" t="s">
        <v>48</v>
      </c>
      <c r="K4043" s="22" t="s">
        <v>23</v>
      </c>
      <c r="L4043" s="22">
        <v>1</v>
      </c>
      <c r="M4043" s="26">
        <v>57200</v>
      </c>
      <c r="N4043" s="26">
        <v>0</v>
      </c>
      <c r="O4043" s="15">
        <f t="shared" si="346"/>
        <v>57200</v>
      </c>
      <c r="P4043" s="15">
        <f t="shared" si="347"/>
        <v>11</v>
      </c>
      <c r="Q4043" s="25">
        <v>5000</v>
      </c>
      <c r="R4043" s="22">
        <v>100</v>
      </c>
      <c r="S4043" s="22" t="s">
        <v>4922</v>
      </c>
      <c r="T4043" s="22">
        <f t="shared" si="348"/>
        <v>2</v>
      </c>
      <c r="U4043" s="22">
        <f t="shared" si="349"/>
        <v>2022</v>
      </c>
      <c r="V4043" s="22" t="str">
        <f t="shared" si="350"/>
        <v>METROPOLITANA</v>
      </c>
    </row>
    <row r="4044" spans="1:22" x14ac:dyDescent="0.2">
      <c r="A4044" s="23" t="s">
        <v>4919</v>
      </c>
      <c r="B4044" s="22" t="s">
        <v>33</v>
      </c>
      <c r="C4044" s="22" t="s">
        <v>60</v>
      </c>
      <c r="D4044" s="22" t="s">
        <v>37</v>
      </c>
      <c r="E4044" s="24" t="s">
        <v>40</v>
      </c>
      <c r="F4044" s="12" t="s">
        <v>129</v>
      </c>
      <c r="G4044" s="25">
        <v>4502.3999999999996</v>
      </c>
      <c r="H4044" s="22" t="s">
        <v>22</v>
      </c>
      <c r="I4044" s="22">
        <v>0</v>
      </c>
      <c r="J4044" s="12" t="s">
        <v>129</v>
      </c>
      <c r="K4044" s="22" t="s">
        <v>78</v>
      </c>
      <c r="L4044" s="22">
        <v>0</v>
      </c>
      <c r="M4044" s="26">
        <v>55000</v>
      </c>
      <c r="N4044" s="26">
        <v>0</v>
      </c>
      <c r="O4044" s="15">
        <f t="shared" si="346"/>
        <v>55000</v>
      </c>
      <c r="P4044" s="15">
        <f t="shared" si="347"/>
        <v>12.215707178393746</v>
      </c>
      <c r="Q4044" s="25">
        <v>20000</v>
      </c>
      <c r="R4044" s="22">
        <v>23</v>
      </c>
      <c r="S4044" s="22" t="s">
        <v>4923</v>
      </c>
      <c r="T4044" s="22">
        <f t="shared" si="348"/>
        <v>2</v>
      </c>
      <c r="U4044" s="22">
        <f t="shared" si="349"/>
        <v>2022</v>
      </c>
      <c r="V4044" s="22" t="str">
        <f t="shared" si="350"/>
        <v>REGIONES</v>
      </c>
    </row>
    <row r="4045" spans="1:22" x14ac:dyDescent="0.2">
      <c r="A4045" s="23" t="s">
        <v>4919</v>
      </c>
      <c r="B4045" s="22" t="s">
        <v>33</v>
      </c>
      <c r="C4045" s="22" t="s">
        <v>29</v>
      </c>
      <c r="D4045" s="22" t="s">
        <v>38</v>
      </c>
      <c r="E4045" s="24" t="s">
        <v>42</v>
      </c>
      <c r="F4045" s="22" t="s">
        <v>39</v>
      </c>
      <c r="G4045" s="25">
        <v>8328.9</v>
      </c>
      <c r="H4045" s="22" t="s">
        <v>43</v>
      </c>
      <c r="I4045" s="22">
        <v>0</v>
      </c>
      <c r="J4045" s="22" t="s">
        <v>39</v>
      </c>
      <c r="K4045" s="22" t="s">
        <v>23</v>
      </c>
      <c r="L4045" s="22">
        <v>1</v>
      </c>
      <c r="M4045" s="26">
        <v>91618</v>
      </c>
      <c r="N4045" s="26">
        <v>0</v>
      </c>
      <c r="O4045" s="15">
        <f t="shared" si="346"/>
        <v>91618</v>
      </c>
      <c r="P4045" s="15">
        <f t="shared" si="347"/>
        <v>11.000012006387399</v>
      </c>
      <c r="Q4045" s="25">
        <v>5000</v>
      </c>
      <c r="R4045" s="22">
        <v>100</v>
      </c>
      <c r="S4045" s="22" t="s">
        <v>4924</v>
      </c>
      <c r="T4045" s="22">
        <f t="shared" si="348"/>
        <v>2</v>
      </c>
      <c r="U4045" s="22">
        <f t="shared" si="349"/>
        <v>2022</v>
      </c>
      <c r="V4045" s="22" t="str">
        <f t="shared" si="350"/>
        <v>METROPOLITANA</v>
      </c>
    </row>
    <row r="4046" spans="1:22" x14ac:dyDescent="0.2">
      <c r="A4046" s="23" t="s">
        <v>4919</v>
      </c>
      <c r="B4046" s="22" t="s">
        <v>33</v>
      </c>
      <c r="C4046" s="22" t="s">
        <v>29</v>
      </c>
      <c r="D4046" s="22" t="s">
        <v>37</v>
      </c>
      <c r="E4046" s="24" t="s">
        <v>40</v>
      </c>
      <c r="F4046" s="22" t="s">
        <v>39</v>
      </c>
      <c r="G4046" s="25">
        <v>2330.46</v>
      </c>
      <c r="H4046" s="22" t="s">
        <v>22</v>
      </c>
      <c r="I4046" s="22">
        <v>0</v>
      </c>
      <c r="J4046" s="22" t="s">
        <v>39</v>
      </c>
      <c r="K4046" s="22" t="s">
        <v>23</v>
      </c>
      <c r="L4046" s="22">
        <v>1</v>
      </c>
      <c r="M4046" s="26">
        <v>55000</v>
      </c>
      <c r="N4046" s="26">
        <v>0</v>
      </c>
      <c r="O4046" s="15">
        <f t="shared" si="346"/>
        <v>55000</v>
      </c>
      <c r="P4046" s="15">
        <f t="shared" si="347"/>
        <v>23.600490890210516</v>
      </c>
      <c r="Q4046" s="25">
        <v>5000</v>
      </c>
      <c r="R4046" s="22">
        <v>47</v>
      </c>
      <c r="S4046" s="22" t="s">
        <v>4925</v>
      </c>
      <c r="T4046" s="22">
        <f t="shared" si="348"/>
        <v>2</v>
      </c>
      <c r="U4046" s="22">
        <f t="shared" si="349"/>
        <v>2022</v>
      </c>
      <c r="V4046" s="22" t="str">
        <f t="shared" si="350"/>
        <v>METROPOLITANA</v>
      </c>
    </row>
    <row r="4047" spans="1:22" x14ac:dyDescent="0.2">
      <c r="A4047" s="23" t="s">
        <v>4919</v>
      </c>
      <c r="B4047" s="22" t="s">
        <v>33</v>
      </c>
      <c r="C4047" s="22" t="s">
        <v>29</v>
      </c>
      <c r="D4047" s="22" t="s">
        <v>164</v>
      </c>
      <c r="E4047" s="24" t="s">
        <v>1576</v>
      </c>
      <c r="F4047" s="22" t="s">
        <v>39</v>
      </c>
      <c r="G4047" s="25">
        <v>10214</v>
      </c>
      <c r="H4047" s="22" t="s">
        <v>22</v>
      </c>
      <c r="I4047" s="22">
        <v>1</v>
      </c>
      <c r="J4047" s="22" t="s">
        <v>39</v>
      </c>
      <c r="K4047" s="22" t="s">
        <v>23</v>
      </c>
      <c r="L4047" s="22">
        <v>1</v>
      </c>
      <c r="M4047" s="26">
        <v>112354</v>
      </c>
      <c r="N4047" s="26">
        <v>0</v>
      </c>
      <c r="O4047" s="15">
        <f t="shared" si="346"/>
        <v>112354</v>
      </c>
      <c r="P4047" s="15">
        <f t="shared" si="347"/>
        <v>11</v>
      </c>
      <c r="Q4047" s="25">
        <v>5000</v>
      </c>
      <c r="R4047" s="22">
        <v>100</v>
      </c>
      <c r="S4047" s="22" t="s">
        <v>4926</v>
      </c>
      <c r="T4047" s="22">
        <f t="shared" si="348"/>
        <v>2</v>
      </c>
      <c r="U4047" s="22">
        <f t="shared" si="349"/>
        <v>2022</v>
      </c>
      <c r="V4047" s="22" t="str">
        <f t="shared" si="350"/>
        <v>METROPOLITANA</v>
      </c>
    </row>
    <row r="4048" spans="1:22" x14ac:dyDescent="0.2">
      <c r="A4048" s="23" t="s">
        <v>4919</v>
      </c>
      <c r="B4048" s="22" t="s">
        <v>33</v>
      </c>
      <c r="C4048" s="22" t="s">
        <v>44</v>
      </c>
      <c r="D4048" s="22" t="s">
        <v>45</v>
      </c>
      <c r="E4048" s="24" t="s">
        <v>21</v>
      </c>
      <c r="F4048" s="22" t="s">
        <v>95</v>
      </c>
      <c r="G4048" s="25">
        <v>6552.7</v>
      </c>
      <c r="H4048" s="22" t="s">
        <v>22</v>
      </c>
      <c r="I4048" s="22">
        <v>0</v>
      </c>
      <c r="J4048" s="22" t="s">
        <v>95</v>
      </c>
      <c r="K4048" s="22" t="s">
        <v>23</v>
      </c>
      <c r="L4048" s="22">
        <v>4</v>
      </c>
      <c r="M4048" s="26">
        <v>72080</v>
      </c>
      <c r="N4048" s="26">
        <v>0</v>
      </c>
      <c r="O4048" s="15">
        <f t="shared" si="346"/>
        <v>72080</v>
      </c>
      <c r="P4048" s="15">
        <f t="shared" si="347"/>
        <v>11.000045782654478</v>
      </c>
      <c r="Q4048" s="25">
        <v>5000</v>
      </c>
      <c r="R4048" s="22">
        <v>100</v>
      </c>
      <c r="S4048" s="22" t="s">
        <v>4927</v>
      </c>
      <c r="T4048" s="22">
        <f t="shared" si="348"/>
        <v>2</v>
      </c>
      <c r="U4048" s="22">
        <f t="shared" si="349"/>
        <v>2022</v>
      </c>
      <c r="V4048" s="22" t="str">
        <f t="shared" si="350"/>
        <v>METROPOLITANA</v>
      </c>
    </row>
    <row r="4049" spans="1:22" x14ac:dyDescent="0.2">
      <c r="A4049" s="23" t="s">
        <v>4919</v>
      </c>
      <c r="B4049" s="22" t="s">
        <v>33</v>
      </c>
      <c r="C4049" s="22" t="s">
        <v>44</v>
      </c>
      <c r="D4049" s="22" t="s">
        <v>47</v>
      </c>
      <c r="E4049" s="24" t="s">
        <v>52</v>
      </c>
      <c r="F4049" s="22" t="s">
        <v>48</v>
      </c>
      <c r="G4049" s="25">
        <v>6388.5999999999976</v>
      </c>
      <c r="H4049" s="22" t="s">
        <v>22</v>
      </c>
      <c r="I4049" s="22">
        <v>0</v>
      </c>
      <c r="J4049" s="22" t="s">
        <v>48</v>
      </c>
      <c r="K4049" s="22" t="s">
        <v>23</v>
      </c>
      <c r="L4049" s="22">
        <v>1</v>
      </c>
      <c r="M4049" s="26">
        <v>70275</v>
      </c>
      <c r="N4049" s="26">
        <v>0</v>
      </c>
      <c r="O4049" s="15">
        <f t="shared" si="346"/>
        <v>70275</v>
      </c>
      <c r="P4049" s="15">
        <f t="shared" si="347"/>
        <v>11.000062611526786</v>
      </c>
      <c r="Q4049" s="25">
        <v>5000</v>
      </c>
      <c r="R4049" s="22">
        <v>100</v>
      </c>
      <c r="S4049" s="22" t="s">
        <v>4928</v>
      </c>
      <c r="T4049" s="22">
        <f t="shared" si="348"/>
        <v>2</v>
      </c>
      <c r="U4049" s="22">
        <f t="shared" si="349"/>
        <v>2022</v>
      </c>
      <c r="V4049" s="22" t="str">
        <f t="shared" si="350"/>
        <v>METROPOLITANA</v>
      </c>
    </row>
    <row r="4050" spans="1:22" x14ac:dyDescent="0.2">
      <c r="A4050" s="23" t="s">
        <v>4919</v>
      </c>
      <c r="B4050" s="22" t="s">
        <v>33</v>
      </c>
      <c r="C4050" s="22" t="s">
        <v>44</v>
      </c>
      <c r="D4050" s="22" t="s">
        <v>41</v>
      </c>
      <c r="E4050" s="24" t="s">
        <v>42</v>
      </c>
      <c r="F4050" s="22" t="s">
        <v>225</v>
      </c>
      <c r="G4050" s="25">
        <v>7286.1199999999972</v>
      </c>
      <c r="H4050" s="22" t="s">
        <v>43</v>
      </c>
      <c r="I4050" s="22">
        <v>0</v>
      </c>
      <c r="J4050" s="22" t="s">
        <v>225</v>
      </c>
      <c r="K4050" s="22" t="s">
        <v>23</v>
      </c>
      <c r="L4050" s="22">
        <v>3</v>
      </c>
      <c r="M4050" s="26">
        <v>80147</v>
      </c>
      <c r="N4050" s="26">
        <v>0</v>
      </c>
      <c r="O4050" s="15">
        <f t="shared" si="346"/>
        <v>80147</v>
      </c>
      <c r="P4050" s="15">
        <f t="shared" si="347"/>
        <v>10.99995608087707</v>
      </c>
      <c r="Q4050" s="25">
        <v>5000</v>
      </c>
      <c r="R4050" s="22">
        <v>100</v>
      </c>
      <c r="S4050" s="22" t="s">
        <v>4929</v>
      </c>
      <c r="T4050" s="22">
        <f t="shared" si="348"/>
        <v>2</v>
      </c>
      <c r="U4050" s="22">
        <f t="shared" si="349"/>
        <v>2022</v>
      </c>
      <c r="V4050" s="22" t="str">
        <f t="shared" si="350"/>
        <v>METROPOLITANA</v>
      </c>
    </row>
    <row r="4051" spans="1:22" x14ac:dyDescent="0.2">
      <c r="A4051" s="11" t="s">
        <v>4931</v>
      </c>
      <c r="B4051" s="12" t="s">
        <v>18</v>
      </c>
      <c r="C4051" s="12" t="s">
        <v>57</v>
      </c>
      <c r="D4051" s="12" t="s">
        <v>30</v>
      </c>
      <c r="E4051" s="13" t="s">
        <v>31</v>
      </c>
      <c r="F4051" s="12" t="s">
        <v>58</v>
      </c>
      <c r="G4051" s="14">
        <v>9645.0499999999993</v>
      </c>
      <c r="H4051" s="12" t="s">
        <v>32</v>
      </c>
      <c r="I4051" s="12">
        <v>0</v>
      </c>
      <c r="J4051" s="12" t="s">
        <v>58</v>
      </c>
      <c r="K4051" s="12" t="s">
        <v>23</v>
      </c>
      <c r="L4051" s="12">
        <v>5</v>
      </c>
      <c r="M4051" s="15">
        <v>70000</v>
      </c>
      <c r="N4051" s="15">
        <v>0</v>
      </c>
      <c r="O4051" s="15">
        <f t="shared" si="346"/>
        <v>70000</v>
      </c>
      <c r="P4051" s="15">
        <f t="shared" si="347"/>
        <v>7.2576088252523316</v>
      </c>
      <c r="Q4051" s="14">
        <v>10000</v>
      </c>
      <c r="R4051" s="12">
        <v>96</v>
      </c>
      <c r="S4051" s="12" t="s">
        <v>4932</v>
      </c>
      <c r="T4051" s="22">
        <f t="shared" si="348"/>
        <v>2</v>
      </c>
      <c r="U4051" s="22">
        <f t="shared" si="349"/>
        <v>2022</v>
      </c>
      <c r="V4051" s="22" t="str">
        <f t="shared" si="350"/>
        <v>METROPOLITANA</v>
      </c>
    </row>
    <row r="4052" spans="1:22" x14ac:dyDescent="0.2">
      <c r="A4052" s="11" t="s">
        <v>4931</v>
      </c>
      <c r="B4052" s="12" t="s">
        <v>33</v>
      </c>
      <c r="C4052" s="12" t="s">
        <v>60</v>
      </c>
      <c r="D4052" s="12" t="s">
        <v>1170</v>
      </c>
      <c r="E4052" s="13" t="s">
        <v>81</v>
      </c>
      <c r="F4052" s="12" t="s">
        <v>815</v>
      </c>
      <c r="G4052" s="14">
        <v>10449.600000000009</v>
      </c>
      <c r="H4052" s="12" t="s">
        <v>24</v>
      </c>
      <c r="I4052" s="12">
        <v>1</v>
      </c>
      <c r="J4052" s="12" t="s">
        <v>815</v>
      </c>
      <c r="K4052" s="12" t="s">
        <v>75</v>
      </c>
      <c r="L4052" s="12">
        <v>0</v>
      </c>
      <c r="M4052" s="15">
        <v>460000</v>
      </c>
      <c r="N4052" s="15">
        <v>0</v>
      </c>
      <c r="O4052" s="15">
        <f t="shared" si="346"/>
        <v>460000</v>
      </c>
      <c r="P4052" s="15">
        <f t="shared" si="347"/>
        <v>44.020823763589</v>
      </c>
      <c r="Q4052" s="14">
        <v>20000</v>
      </c>
      <c r="R4052" s="12">
        <v>52</v>
      </c>
      <c r="S4052" s="12" t="s">
        <v>4933</v>
      </c>
      <c r="T4052" s="22">
        <f t="shared" si="348"/>
        <v>2</v>
      </c>
      <c r="U4052" s="22">
        <f t="shared" si="349"/>
        <v>2022</v>
      </c>
      <c r="V4052" s="22" t="str">
        <f t="shared" si="350"/>
        <v>REGIONES</v>
      </c>
    </row>
    <row r="4053" spans="1:22" x14ac:dyDescent="0.2">
      <c r="A4053" s="11" t="s">
        <v>4931</v>
      </c>
      <c r="B4053" s="12" t="s">
        <v>33</v>
      </c>
      <c r="C4053" s="12" t="s">
        <v>29</v>
      </c>
      <c r="D4053" s="12" t="s">
        <v>25</v>
      </c>
      <c r="E4053" s="13" t="s">
        <v>25</v>
      </c>
      <c r="F4053" s="12" t="s">
        <v>134</v>
      </c>
      <c r="G4053" s="14">
        <v>8386.5</v>
      </c>
      <c r="H4053" s="12" t="s">
        <v>24</v>
      </c>
      <c r="I4053" s="12">
        <v>1</v>
      </c>
      <c r="J4053" s="12" t="s">
        <v>134</v>
      </c>
      <c r="K4053" s="12" t="s">
        <v>23</v>
      </c>
      <c r="L4053" s="12">
        <v>2</v>
      </c>
      <c r="M4053" s="15">
        <v>92252</v>
      </c>
      <c r="N4053" s="15">
        <v>0</v>
      </c>
      <c r="O4053" s="15">
        <f t="shared" si="346"/>
        <v>92252</v>
      </c>
      <c r="P4053" s="15">
        <f t="shared" si="347"/>
        <v>11.00005961962678</v>
      </c>
      <c r="Q4053" s="14">
        <v>5000</v>
      </c>
      <c r="R4053" s="12">
        <v>100</v>
      </c>
      <c r="S4053" s="12" t="s">
        <v>4934</v>
      </c>
      <c r="T4053" s="22">
        <f t="shared" si="348"/>
        <v>2</v>
      </c>
      <c r="U4053" s="22">
        <f t="shared" si="349"/>
        <v>2022</v>
      </c>
      <c r="V4053" s="22" t="str">
        <f t="shared" si="350"/>
        <v>METROPOLITANA</v>
      </c>
    </row>
    <row r="4054" spans="1:22" x14ac:dyDescent="0.2">
      <c r="A4054" s="11" t="s">
        <v>4931</v>
      </c>
      <c r="B4054" s="12" t="s">
        <v>33</v>
      </c>
      <c r="C4054" s="12" t="s">
        <v>29</v>
      </c>
      <c r="D4054" s="12" t="s">
        <v>38</v>
      </c>
      <c r="E4054" s="13" t="s">
        <v>42</v>
      </c>
      <c r="F4054" s="12" t="s">
        <v>39</v>
      </c>
      <c r="G4054" s="14">
        <v>3088.7999999999988</v>
      </c>
      <c r="H4054" s="12" t="s">
        <v>43</v>
      </c>
      <c r="I4054" s="12">
        <v>0</v>
      </c>
      <c r="J4054" s="12" t="s">
        <v>39</v>
      </c>
      <c r="K4054" s="12" t="s">
        <v>23</v>
      </c>
      <c r="L4054" s="12">
        <v>1</v>
      </c>
      <c r="M4054" s="15">
        <v>55000</v>
      </c>
      <c r="N4054" s="15">
        <v>0</v>
      </c>
      <c r="O4054" s="15">
        <f t="shared" si="346"/>
        <v>55000</v>
      </c>
      <c r="P4054" s="15">
        <f t="shared" si="347"/>
        <v>17.806267806267812</v>
      </c>
      <c r="Q4054" s="14">
        <v>5000</v>
      </c>
      <c r="R4054" s="12">
        <v>62</v>
      </c>
      <c r="S4054" s="12" t="s">
        <v>4935</v>
      </c>
      <c r="T4054" s="22">
        <f t="shared" si="348"/>
        <v>2</v>
      </c>
      <c r="U4054" s="22">
        <f t="shared" si="349"/>
        <v>2022</v>
      </c>
      <c r="V4054" s="22" t="str">
        <f t="shared" si="350"/>
        <v>METROPOLITANA</v>
      </c>
    </row>
    <row r="4055" spans="1:22" s="12" customFormat="1" x14ac:dyDescent="0.2">
      <c r="A4055" s="11" t="s">
        <v>4931</v>
      </c>
      <c r="B4055" s="12" t="s">
        <v>33</v>
      </c>
      <c r="C4055" s="12" t="s">
        <v>29</v>
      </c>
      <c r="D4055" s="12" t="s">
        <v>30</v>
      </c>
      <c r="E4055" s="13" t="s">
        <v>31</v>
      </c>
      <c r="F4055" s="12" t="s">
        <v>39</v>
      </c>
      <c r="G4055" s="14">
        <f>3801.6+950</f>
        <v>4751.6000000000004</v>
      </c>
      <c r="H4055" s="12" t="s">
        <v>32</v>
      </c>
      <c r="I4055" s="12">
        <v>0</v>
      </c>
      <c r="J4055" s="12" t="s">
        <v>39</v>
      </c>
      <c r="K4055" s="12" t="s">
        <v>23</v>
      </c>
      <c r="L4055" s="12">
        <v>1</v>
      </c>
      <c r="M4055" s="15">
        <v>55000</v>
      </c>
      <c r="N4055" s="15">
        <v>0</v>
      </c>
      <c r="O4055" s="15">
        <f t="shared" si="346"/>
        <v>55000</v>
      </c>
      <c r="P4055" s="15">
        <f t="shared" si="347"/>
        <v>11.575048404747873</v>
      </c>
      <c r="Q4055" s="14">
        <v>5000</v>
      </c>
      <c r="R4055" s="12">
        <v>82</v>
      </c>
      <c r="S4055" s="12" t="s">
        <v>4943</v>
      </c>
      <c r="T4055" s="12">
        <f t="shared" si="348"/>
        <v>2</v>
      </c>
      <c r="U4055" s="12">
        <f t="shared" si="349"/>
        <v>2022</v>
      </c>
      <c r="V4055" s="12" t="str">
        <f t="shared" si="350"/>
        <v>METROPOLITANA</v>
      </c>
    </row>
    <row r="4056" spans="1:22" x14ac:dyDescent="0.2">
      <c r="A4056" s="11" t="s">
        <v>4931</v>
      </c>
      <c r="B4056" s="12" t="s">
        <v>33</v>
      </c>
      <c r="C4056" s="12" t="s">
        <v>29</v>
      </c>
      <c r="D4056" s="12" t="s">
        <v>45</v>
      </c>
      <c r="E4056" s="13" t="s">
        <v>21</v>
      </c>
      <c r="F4056" s="12" t="s">
        <v>129</v>
      </c>
      <c r="G4056" s="14">
        <v>4524.3</v>
      </c>
      <c r="H4056" s="12" t="s">
        <v>22</v>
      </c>
      <c r="I4056" s="12">
        <v>0</v>
      </c>
      <c r="J4056" s="12" t="s">
        <v>129</v>
      </c>
      <c r="K4056" s="12" t="s">
        <v>23</v>
      </c>
      <c r="L4056" s="12">
        <v>1</v>
      </c>
      <c r="M4056" s="15">
        <v>55000</v>
      </c>
      <c r="N4056" s="15">
        <v>0</v>
      </c>
      <c r="O4056" s="15">
        <f t="shared" si="346"/>
        <v>55000</v>
      </c>
      <c r="P4056" s="15">
        <f t="shared" si="347"/>
        <v>12.156576707999028</v>
      </c>
      <c r="Q4056" s="14">
        <v>5000</v>
      </c>
      <c r="R4056" s="12">
        <v>90</v>
      </c>
      <c r="S4056" s="12" t="s">
        <v>4936</v>
      </c>
      <c r="T4056" s="22">
        <f t="shared" si="348"/>
        <v>2</v>
      </c>
      <c r="U4056" s="22">
        <f t="shared" si="349"/>
        <v>2022</v>
      </c>
      <c r="V4056" s="22" t="str">
        <f t="shared" si="350"/>
        <v>METROPOLITANA</v>
      </c>
    </row>
    <row r="4057" spans="1:22" x14ac:dyDescent="0.2">
      <c r="A4057" s="11" t="s">
        <v>4931</v>
      </c>
      <c r="B4057" s="12" t="s">
        <v>33</v>
      </c>
      <c r="C4057" s="12" t="s">
        <v>29</v>
      </c>
      <c r="D4057" s="12" t="s">
        <v>47</v>
      </c>
      <c r="E4057" s="13" t="s">
        <v>52</v>
      </c>
      <c r="F4057" s="12" t="s">
        <v>134</v>
      </c>
      <c r="G4057" s="14">
        <v>10052.4</v>
      </c>
      <c r="H4057" s="12" t="s">
        <v>22</v>
      </c>
      <c r="I4057" s="12">
        <v>0</v>
      </c>
      <c r="J4057" s="12" t="s">
        <v>134</v>
      </c>
      <c r="K4057" s="12" t="s">
        <v>23</v>
      </c>
      <c r="L4057" s="12">
        <v>2</v>
      </c>
      <c r="M4057" s="15">
        <v>110576</v>
      </c>
      <c r="N4057" s="15">
        <v>0</v>
      </c>
      <c r="O4057" s="15">
        <f t="shared" si="346"/>
        <v>110576</v>
      </c>
      <c r="P4057" s="15">
        <f t="shared" si="347"/>
        <v>10.999960208507421</v>
      </c>
      <c r="Q4057" s="14">
        <v>5000</v>
      </c>
      <c r="R4057" s="12">
        <v>100</v>
      </c>
      <c r="S4057" s="12" t="s">
        <v>4937</v>
      </c>
      <c r="T4057" s="22">
        <f t="shared" si="348"/>
        <v>2</v>
      </c>
      <c r="U4057" s="22">
        <f t="shared" si="349"/>
        <v>2022</v>
      </c>
      <c r="V4057" s="22" t="str">
        <f t="shared" si="350"/>
        <v>METROPOLITANA</v>
      </c>
    </row>
    <row r="4058" spans="1:22" x14ac:dyDescent="0.2">
      <c r="A4058" s="11" t="s">
        <v>4931</v>
      </c>
      <c r="B4058" s="12" t="s">
        <v>33</v>
      </c>
      <c r="C4058" s="12" t="s">
        <v>29</v>
      </c>
      <c r="D4058" s="12" t="s">
        <v>41</v>
      </c>
      <c r="E4058" s="13" t="s">
        <v>42</v>
      </c>
      <c r="F4058" s="12" t="s">
        <v>129</v>
      </c>
      <c r="G4058" s="14">
        <v>6872.1999999999989</v>
      </c>
      <c r="H4058" s="12" t="s">
        <v>43</v>
      </c>
      <c r="I4058" s="12">
        <v>0</v>
      </c>
      <c r="J4058" s="12" t="s">
        <v>129</v>
      </c>
      <c r="K4058" s="12" t="s">
        <v>23</v>
      </c>
      <c r="L4058" s="12">
        <v>1</v>
      </c>
      <c r="M4058" s="15">
        <v>75594</v>
      </c>
      <c r="N4058" s="15">
        <v>0</v>
      </c>
      <c r="O4058" s="15">
        <f t="shared" si="346"/>
        <v>75594</v>
      </c>
      <c r="P4058" s="15">
        <f t="shared" si="347"/>
        <v>10.99997089723815</v>
      </c>
      <c r="Q4058" s="14">
        <v>5000</v>
      </c>
      <c r="R4058" s="12">
        <v>100</v>
      </c>
      <c r="S4058" s="12" t="s">
        <v>4938</v>
      </c>
      <c r="T4058" s="22">
        <f t="shared" si="348"/>
        <v>2</v>
      </c>
      <c r="U4058" s="22">
        <f t="shared" si="349"/>
        <v>2022</v>
      </c>
      <c r="V4058" s="22" t="str">
        <f t="shared" si="350"/>
        <v>METROPOLITANA</v>
      </c>
    </row>
    <row r="4059" spans="1:22" x14ac:dyDescent="0.2">
      <c r="A4059" s="11" t="s">
        <v>4931</v>
      </c>
      <c r="B4059" s="12" t="s">
        <v>33</v>
      </c>
      <c r="C4059" s="12" t="s">
        <v>29</v>
      </c>
      <c r="D4059" s="12" t="s">
        <v>164</v>
      </c>
      <c r="E4059" s="13" t="s">
        <v>1576</v>
      </c>
      <c r="F4059" s="12" t="s">
        <v>39</v>
      </c>
      <c r="G4059" s="14">
        <v>12652.900000000011</v>
      </c>
      <c r="H4059" s="12" t="s">
        <v>22</v>
      </c>
      <c r="I4059" s="12">
        <v>1</v>
      </c>
      <c r="J4059" s="12" t="s">
        <v>39</v>
      </c>
      <c r="K4059" s="12" t="s">
        <v>23</v>
      </c>
      <c r="L4059" s="12">
        <v>1</v>
      </c>
      <c r="M4059" s="15">
        <v>139182</v>
      </c>
      <c r="N4059" s="15">
        <v>0</v>
      </c>
      <c r="O4059" s="15">
        <f t="shared" ref="O4059:O4122" si="351">SUM(M4059:N4059)</f>
        <v>139182</v>
      </c>
      <c r="P4059" s="15">
        <f t="shared" si="347"/>
        <v>11.000007903326502</v>
      </c>
      <c r="Q4059" s="14">
        <v>5000</v>
      </c>
      <c r="R4059" s="12">
        <v>100</v>
      </c>
      <c r="S4059" s="12" t="s">
        <v>4939</v>
      </c>
      <c r="T4059" s="22">
        <f t="shared" si="348"/>
        <v>2</v>
      </c>
      <c r="U4059" s="22">
        <f t="shared" si="349"/>
        <v>2022</v>
      </c>
      <c r="V4059" s="22" t="str">
        <f t="shared" si="350"/>
        <v>METROPOLITANA</v>
      </c>
    </row>
    <row r="4060" spans="1:22" x14ac:dyDescent="0.2">
      <c r="A4060" s="11" t="s">
        <v>4931</v>
      </c>
      <c r="B4060" s="12" t="s">
        <v>33</v>
      </c>
      <c r="C4060" s="12" t="s">
        <v>44</v>
      </c>
      <c r="D4060" s="12" t="s">
        <v>37</v>
      </c>
      <c r="E4060" s="13" t="s">
        <v>40</v>
      </c>
      <c r="F4060" s="12" t="s">
        <v>48</v>
      </c>
      <c r="G4060" s="14">
        <v>5653.1100000000006</v>
      </c>
      <c r="H4060" s="12" t="s">
        <v>22</v>
      </c>
      <c r="I4060" s="12">
        <v>0</v>
      </c>
      <c r="J4060" s="12" t="s">
        <v>48</v>
      </c>
      <c r="K4060" s="12" t="s">
        <v>23</v>
      </c>
      <c r="L4060" s="12">
        <v>1</v>
      </c>
      <c r="M4060" s="15">
        <v>62184</v>
      </c>
      <c r="N4060" s="15">
        <v>0</v>
      </c>
      <c r="O4060" s="15">
        <f t="shared" si="351"/>
        <v>62184</v>
      </c>
      <c r="P4060" s="15">
        <f t="shared" si="347"/>
        <v>10.999962852306075</v>
      </c>
      <c r="Q4060" s="14">
        <v>5000</v>
      </c>
      <c r="R4060" s="12">
        <v>100</v>
      </c>
      <c r="S4060" s="12" t="s">
        <v>4940</v>
      </c>
      <c r="T4060" s="22">
        <f t="shared" si="348"/>
        <v>2</v>
      </c>
      <c r="U4060" s="22">
        <f t="shared" si="349"/>
        <v>2022</v>
      </c>
      <c r="V4060" s="22" t="str">
        <f t="shared" si="350"/>
        <v>METROPOLITANA</v>
      </c>
    </row>
    <row r="4061" spans="1:22" x14ac:dyDescent="0.2">
      <c r="A4061" s="11" t="s">
        <v>4931</v>
      </c>
      <c r="B4061" s="12" t="s">
        <v>33</v>
      </c>
      <c r="C4061" s="12" t="s">
        <v>44</v>
      </c>
      <c r="D4061" s="12" t="s">
        <v>45</v>
      </c>
      <c r="E4061" s="13" t="s">
        <v>21</v>
      </c>
      <c r="F4061" s="12" t="s">
        <v>51</v>
      </c>
      <c r="G4061" s="14">
        <v>4417.62</v>
      </c>
      <c r="H4061" s="12" t="s">
        <v>22</v>
      </c>
      <c r="I4061" s="12">
        <v>0</v>
      </c>
      <c r="J4061" s="12" t="s">
        <v>51</v>
      </c>
      <c r="K4061" s="12" t="s">
        <v>23</v>
      </c>
      <c r="L4061" s="12">
        <v>4</v>
      </c>
      <c r="M4061" s="15">
        <v>55000</v>
      </c>
      <c r="N4061" s="15">
        <v>0</v>
      </c>
      <c r="O4061" s="15">
        <f t="shared" si="351"/>
        <v>55000</v>
      </c>
      <c r="P4061" s="15">
        <f t="shared" si="347"/>
        <v>12.450142837093276</v>
      </c>
      <c r="Q4061" s="14">
        <v>5000</v>
      </c>
      <c r="R4061" s="12">
        <v>88</v>
      </c>
      <c r="S4061" s="12" t="s">
        <v>4941</v>
      </c>
      <c r="T4061" s="22">
        <f t="shared" si="348"/>
        <v>2</v>
      </c>
      <c r="U4061" s="22">
        <f t="shared" si="349"/>
        <v>2022</v>
      </c>
      <c r="V4061" s="22" t="str">
        <f t="shared" si="350"/>
        <v>METROPOLITANA</v>
      </c>
    </row>
    <row r="4062" spans="1:22" x14ac:dyDescent="0.2">
      <c r="A4062" s="11" t="s">
        <v>4931</v>
      </c>
      <c r="B4062" s="12" t="s">
        <v>33</v>
      </c>
      <c r="C4062" s="12" t="s">
        <v>44</v>
      </c>
      <c r="D4062" s="12" t="s">
        <v>47</v>
      </c>
      <c r="E4062" s="13" t="s">
        <v>52</v>
      </c>
      <c r="F4062" s="12" t="s">
        <v>53</v>
      </c>
      <c r="G4062" s="14">
        <v>4022.8799999999992</v>
      </c>
      <c r="H4062" s="12" t="s">
        <v>22</v>
      </c>
      <c r="I4062" s="12">
        <v>0</v>
      </c>
      <c r="J4062" s="12" t="s">
        <v>53</v>
      </c>
      <c r="K4062" s="12" t="s">
        <v>23</v>
      </c>
      <c r="L4062" s="12">
        <v>3</v>
      </c>
      <c r="M4062" s="15">
        <v>55000</v>
      </c>
      <c r="N4062" s="15">
        <v>0</v>
      </c>
      <c r="O4062" s="15">
        <f t="shared" si="351"/>
        <v>55000</v>
      </c>
      <c r="P4062" s="15">
        <f t="shared" si="347"/>
        <v>13.671797319333416</v>
      </c>
      <c r="Q4062" s="14">
        <v>5000</v>
      </c>
      <c r="R4062" s="12">
        <v>80</v>
      </c>
      <c r="S4062" s="12" t="s">
        <v>4942</v>
      </c>
      <c r="T4062" s="22">
        <f t="shared" si="348"/>
        <v>2</v>
      </c>
      <c r="U4062" s="22">
        <f t="shared" si="349"/>
        <v>2022</v>
      </c>
      <c r="V4062" s="22" t="str">
        <f t="shared" si="350"/>
        <v>METROPOLITANA</v>
      </c>
    </row>
    <row r="4063" spans="1:22" x14ac:dyDescent="0.2">
      <c r="A4063" s="23" t="s">
        <v>4944</v>
      </c>
      <c r="B4063" s="22" t="s">
        <v>18</v>
      </c>
      <c r="C4063" s="22" t="s">
        <v>19</v>
      </c>
      <c r="D4063" s="22" t="s">
        <v>2262</v>
      </c>
      <c r="E4063" s="24" t="s">
        <v>83</v>
      </c>
      <c r="F4063" s="22" t="s">
        <v>691</v>
      </c>
      <c r="G4063" s="25">
        <v>21236.53000000001</v>
      </c>
      <c r="H4063" s="22" t="s">
        <v>24</v>
      </c>
      <c r="I4063" s="22">
        <v>1</v>
      </c>
      <c r="J4063" s="22" t="s">
        <v>691</v>
      </c>
      <c r="K4063" s="22" t="s">
        <v>873</v>
      </c>
      <c r="L4063" s="22">
        <v>0</v>
      </c>
      <c r="M4063" s="26">
        <v>1100000</v>
      </c>
      <c r="N4063" s="26">
        <v>0</v>
      </c>
      <c r="O4063" s="15">
        <f t="shared" si="351"/>
        <v>1100000</v>
      </c>
      <c r="P4063" s="15">
        <f t="shared" si="347"/>
        <v>51.797539428522434</v>
      </c>
      <c r="Q4063" s="25">
        <v>20000</v>
      </c>
      <c r="R4063" s="22">
        <v>100</v>
      </c>
      <c r="S4063" s="22" t="s">
        <v>4945</v>
      </c>
      <c r="T4063" s="22">
        <f t="shared" si="348"/>
        <v>2</v>
      </c>
      <c r="U4063" s="22">
        <f t="shared" si="349"/>
        <v>2022</v>
      </c>
      <c r="V4063" s="22" t="str">
        <f t="shared" si="350"/>
        <v>REGIONES</v>
      </c>
    </row>
    <row r="4064" spans="1:22" x14ac:dyDescent="0.2">
      <c r="A4064" s="23" t="s">
        <v>4944</v>
      </c>
      <c r="B4064" s="22" t="s">
        <v>33</v>
      </c>
      <c r="C4064" s="22" t="s">
        <v>270</v>
      </c>
      <c r="D4064" s="22" t="s">
        <v>38</v>
      </c>
      <c r="E4064" s="24" t="s">
        <v>42</v>
      </c>
      <c r="F4064" s="22" t="s">
        <v>377</v>
      </c>
      <c r="G4064" s="25">
        <v>6717</v>
      </c>
      <c r="H4064" s="22" t="s">
        <v>43</v>
      </c>
      <c r="I4064" s="22">
        <v>0</v>
      </c>
      <c r="J4064" s="22" t="s">
        <v>377</v>
      </c>
      <c r="K4064" s="22" t="s">
        <v>23</v>
      </c>
      <c r="L4064" s="22">
        <v>4</v>
      </c>
      <c r="M4064" s="26">
        <v>73887</v>
      </c>
      <c r="N4064" s="26">
        <v>0</v>
      </c>
      <c r="O4064" s="15">
        <f t="shared" si="351"/>
        <v>73887</v>
      </c>
      <c r="P4064" s="15">
        <f t="shared" si="347"/>
        <v>11</v>
      </c>
      <c r="Q4064" s="25">
        <v>5000</v>
      </c>
      <c r="R4064" s="22">
        <v>100</v>
      </c>
      <c r="S4064" s="22" t="s">
        <v>4946</v>
      </c>
      <c r="T4064" s="22">
        <f t="shared" si="348"/>
        <v>2</v>
      </c>
      <c r="U4064" s="22">
        <f t="shared" si="349"/>
        <v>2022</v>
      </c>
      <c r="V4064" s="22" t="str">
        <f t="shared" si="350"/>
        <v>METROPOLITANA</v>
      </c>
    </row>
    <row r="4065" spans="1:22" x14ac:dyDescent="0.2">
      <c r="A4065" s="23" t="s">
        <v>4944</v>
      </c>
      <c r="B4065" s="22" t="s">
        <v>33</v>
      </c>
      <c r="C4065" s="22" t="s">
        <v>163</v>
      </c>
      <c r="D4065" s="22" t="s">
        <v>41</v>
      </c>
      <c r="E4065" s="24" t="s">
        <v>25</v>
      </c>
      <c r="F4065" s="22" t="s">
        <v>165</v>
      </c>
      <c r="G4065" s="25">
        <v>15191.319999999991</v>
      </c>
      <c r="H4065" s="22" t="s">
        <v>43</v>
      </c>
      <c r="I4065" s="22">
        <v>0</v>
      </c>
      <c r="J4065" s="22" t="s">
        <v>165</v>
      </c>
      <c r="K4065" s="22" t="s">
        <v>23</v>
      </c>
      <c r="L4065" s="22">
        <v>4</v>
      </c>
      <c r="M4065" s="26">
        <v>167105</v>
      </c>
      <c r="N4065" s="26">
        <v>0</v>
      </c>
      <c r="O4065" s="15">
        <f t="shared" si="351"/>
        <v>167105</v>
      </c>
      <c r="P4065" s="15">
        <f t="shared" ref="P4065:P4128" si="352">O4065/G4065</f>
        <v>11.000031596990921</v>
      </c>
      <c r="Q4065" s="25">
        <v>5000</v>
      </c>
      <c r="R4065" s="22">
        <v>100</v>
      </c>
      <c r="S4065" s="22" t="s">
        <v>4947</v>
      </c>
      <c r="T4065" s="22">
        <f t="shared" si="348"/>
        <v>2</v>
      </c>
      <c r="U4065" s="22">
        <f t="shared" si="349"/>
        <v>2022</v>
      </c>
      <c r="V4065" s="22" t="str">
        <f t="shared" si="350"/>
        <v>METROPOLITANA</v>
      </c>
    </row>
    <row r="4066" spans="1:22" x14ac:dyDescent="0.2">
      <c r="A4066" s="23" t="s">
        <v>4944</v>
      </c>
      <c r="B4066" s="22" t="s">
        <v>33</v>
      </c>
      <c r="C4066" s="22" t="s">
        <v>4948</v>
      </c>
      <c r="D4066" s="22" t="s">
        <v>191</v>
      </c>
      <c r="E4066" s="24" t="s">
        <v>192</v>
      </c>
      <c r="F4066" s="22" t="s">
        <v>92</v>
      </c>
      <c r="G4066" s="25">
        <v>10305</v>
      </c>
      <c r="H4066" s="22" t="s">
        <v>85</v>
      </c>
      <c r="I4066" s="22">
        <v>1</v>
      </c>
      <c r="J4066" s="22" t="s">
        <v>92</v>
      </c>
      <c r="K4066" s="22" t="s">
        <v>93</v>
      </c>
      <c r="L4066" s="22">
        <v>0</v>
      </c>
      <c r="M4066" s="26">
        <v>665000</v>
      </c>
      <c r="N4066" s="26">
        <v>0</v>
      </c>
      <c r="O4066" s="15">
        <f t="shared" si="351"/>
        <v>665000</v>
      </c>
      <c r="P4066" s="15">
        <f t="shared" si="352"/>
        <v>64.531780688985933</v>
      </c>
      <c r="Q4066" s="25">
        <v>20000</v>
      </c>
      <c r="R4066" s="22">
        <v>52</v>
      </c>
      <c r="S4066" s="22" t="s">
        <v>4949</v>
      </c>
      <c r="T4066" s="22">
        <f t="shared" si="348"/>
        <v>2</v>
      </c>
      <c r="U4066" s="22">
        <f t="shared" si="349"/>
        <v>2022</v>
      </c>
      <c r="V4066" s="22" t="str">
        <f t="shared" si="350"/>
        <v>REGIONES</v>
      </c>
    </row>
    <row r="4067" spans="1:22" x14ac:dyDescent="0.2">
      <c r="A4067" s="23" t="s">
        <v>4944</v>
      </c>
      <c r="B4067" s="22" t="s">
        <v>33</v>
      </c>
      <c r="C4067" s="22" t="s">
        <v>223</v>
      </c>
      <c r="D4067" s="22" t="s">
        <v>37</v>
      </c>
      <c r="E4067" s="24" t="s">
        <v>40</v>
      </c>
      <c r="F4067" s="22" t="s">
        <v>67</v>
      </c>
      <c r="G4067" s="25">
        <v>3363.8</v>
      </c>
      <c r="H4067" s="22" t="s">
        <v>22</v>
      </c>
      <c r="I4067" s="22">
        <v>0</v>
      </c>
      <c r="J4067" s="22" t="s">
        <v>67</v>
      </c>
      <c r="K4067" s="22" t="s">
        <v>23</v>
      </c>
      <c r="L4067" s="22">
        <v>2</v>
      </c>
      <c r="M4067" s="26">
        <v>55000</v>
      </c>
      <c r="N4067" s="26">
        <v>0</v>
      </c>
      <c r="O4067" s="15">
        <f t="shared" si="351"/>
        <v>55000</v>
      </c>
      <c r="P4067" s="15">
        <f t="shared" si="352"/>
        <v>16.350555918901243</v>
      </c>
      <c r="Q4067" s="25">
        <v>5000</v>
      </c>
      <c r="R4067" s="22">
        <v>67</v>
      </c>
      <c r="S4067" s="22" t="s">
        <v>4950</v>
      </c>
      <c r="T4067" s="22">
        <f t="shared" si="348"/>
        <v>2</v>
      </c>
      <c r="U4067" s="22">
        <f t="shared" si="349"/>
        <v>2022</v>
      </c>
      <c r="V4067" s="22" t="str">
        <f t="shared" si="350"/>
        <v>METROPOLITANA</v>
      </c>
    </row>
    <row r="4068" spans="1:22" x14ac:dyDescent="0.2">
      <c r="A4068" s="23" t="s">
        <v>4944</v>
      </c>
      <c r="B4068" s="22" t="s">
        <v>33</v>
      </c>
      <c r="C4068" s="22" t="s">
        <v>29</v>
      </c>
      <c r="D4068" s="22" t="s">
        <v>38</v>
      </c>
      <c r="E4068" s="24" t="s">
        <v>42</v>
      </c>
      <c r="F4068" s="22" t="s">
        <v>39</v>
      </c>
      <c r="G4068" s="25">
        <v>2748</v>
      </c>
      <c r="H4068" s="22" t="s">
        <v>43</v>
      </c>
      <c r="I4068" s="22">
        <v>0</v>
      </c>
      <c r="J4068" s="22" t="s">
        <v>39</v>
      </c>
      <c r="K4068" s="22" t="s">
        <v>23</v>
      </c>
      <c r="L4068" s="22">
        <v>1</v>
      </c>
      <c r="M4068" s="26">
        <v>55000</v>
      </c>
      <c r="N4068" s="26">
        <v>0</v>
      </c>
      <c r="O4068" s="15">
        <f t="shared" si="351"/>
        <v>55000</v>
      </c>
      <c r="P4068" s="15">
        <f t="shared" si="352"/>
        <v>20.014556040756915</v>
      </c>
      <c r="Q4068" s="25">
        <v>5000</v>
      </c>
      <c r="R4068" s="22">
        <v>55</v>
      </c>
      <c r="S4068" s="22" t="s">
        <v>4951</v>
      </c>
      <c r="T4068" s="22">
        <f t="shared" si="348"/>
        <v>2</v>
      </c>
      <c r="U4068" s="22">
        <f t="shared" si="349"/>
        <v>2022</v>
      </c>
      <c r="V4068" s="22" t="str">
        <f t="shared" si="350"/>
        <v>METROPOLITANA</v>
      </c>
    </row>
    <row r="4069" spans="1:22" x14ac:dyDescent="0.2">
      <c r="A4069" s="23" t="s">
        <v>4944</v>
      </c>
      <c r="B4069" s="22" t="s">
        <v>33</v>
      </c>
      <c r="C4069" s="22" t="s">
        <v>29</v>
      </c>
      <c r="D4069" s="22" t="s">
        <v>37</v>
      </c>
      <c r="E4069" s="24" t="s">
        <v>40</v>
      </c>
      <c r="F4069" s="22" t="s">
        <v>39</v>
      </c>
      <c r="G4069" s="25">
        <v>2748</v>
      </c>
      <c r="H4069" s="22" t="s">
        <v>22</v>
      </c>
      <c r="I4069" s="22">
        <v>0</v>
      </c>
      <c r="J4069" s="22" t="s">
        <v>39</v>
      </c>
      <c r="K4069" s="22" t="s">
        <v>23</v>
      </c>
      <c r="L4069" s="22">
        <v>1</v>
      </c>
      <c r="M4069" s="26">
        <v>55000</v>
      </c>
      <c r="N4069" s="26">
        <v>0</v>
      </c>
      <c r="O4069" s="15">
        <f t="shared" si="351"/>
        <v>55000</v>
      </c>
      <c r="P4069" s="15">
        <f t="shared" si="352"/>
        <v>20.014556040756915</v>
      </c>
      <c r="Q4069" s="25">
        <v>5000</v>
      </c>
      <c r="R4069" s="22">
        <v>55</v>
      </c>
      <c r="S4069" s="22" t="s">
        <v>4952</v>
      </c>
      <c r="T4069" s="22">
        <f t="shared" si="348"/>
        <v>2</v>
      </c>
      <c r="U4069" s="22">
        <f t="shared" si="349"/>
        <v>2022</v>
      </c>
      <c r="V4069" s="22" t="str">
        <f t="shared" si="350"/>
        <v>METROPOLITANA</v>
      </c>
    </row>
    <row r="4070" spans="1:22" x14ac:dyDescent="0.2">
      <c r="A4070" s="23" t="s">
        <v>4944</v>
      </c>
      <c r="B4070" s="22" t="s">
        <v>33</v>
      </c>
      <c r="C4070" s="22" t="s">
        <v>29</v>
      </c>
      <c r="D4070" s="22" t="s">
        <v>45</v>
      </c>
      <c r="E4070" s="24" t="s">
        <v>52</v>
      </c>
      <c r="F4070" s="22" t="s">
        <v>129</v>
      </c>
      <c r="G4070" s="25">
        <v>2176.1999999999989</v>
      </c>
      <c r="H4070" s="22" t="s">
        <v>22</v>
      </c>
      <c r="I4070" s="22">
        <v>0</v>
      </c>
      <c r="J4070" s="22" t="s">
        <v>129</v>
      </c>
      <c r="K4070" s="22" t="s">
        <v>23</v>
      </c>
      <c r="L4070" s="22">
        <v>1</v>
      </c>
      <c r="M4070" s="26">
        <v>55000</v>
      </c>
      <c r="N4070" s="26">
        <v>0</v>
      </c>
      <c r="O4070" s="15">
        <f t="shared" si="351"/>
        <v>55000</v>
      </c>
      <c r="P4070" s="15">
        <f t="shared" si="352"/>
        <v>25.273412370186577</v>
      </c>
      <c r="Q4070" s="25">
        <v>5000</v>
      </c>
      <c r="R4070" s="22">
        <v>44</v>
      </c>
      <c r="S4070" s="22" t="s">
        <v>4953</v>
      </c>
      <c r="T4070" s="22">
        <f t="shared" si="348"/>
        <v>2</v>
      </c>
      <c r="U4070" s="22">
        <f t="shared" si="349"/>
        <v>2022</v>
      </c>
      <c r="V4070" s="22" t="str">
        <f t="shared" si="350"/>
        <v>METROPOLITANA</v>
      </c>
    </row>
    <row r="4071" spans="1:22" x14ac:dyDescent="0.2">
      <c r="A4071" s="23" t="s">
        <v>4944</v>
      </c>
      <c r="B4071" s="22" t="s">
        <v>33</v>
      </c>
      <c r="C4071" s="22" t="s">
        <v>29</v>
      </c>
      <c r="D4071" s="22" t="s">
        <v>47</v>
      </c>
      <c r="E4071" s="24" t="s">
        <v>21</v>
      </c>
      <c r="F4071" s="22" t="s">
        <v>134</v>
      </c>
      <c r="G4071" s="25">
        <v>4626.2399999999989</v>
      </c>
      <c r="H4071" s="22" t="s">
        <v>22</v>
      </c>
      <c r="I4071" s="22">
        <v>0</v>
      </c>
      <c r="J4071" s="22" t="s">
        <v>134</v>
      </c>
      <c r="K4071" s="22" t="s">
        <v>23</v>
      </c>
      <c r="L4071" s="22">
        <v>2</v>
      </c>
      <c r="M4071" s="26">
        <v>55000</v>
      </c>
      <c r="N4071" s="26">
        <v>0</v>
      </c>
      <c r="O4071" s="15">
        <f t="shared" si="351"/>
        <v>55000</v>
      </c>
      <c r="P4071" s="15">
        <f t="shared" si="352"/>
        <v>11.888704433838281</v>
      </c>
      <c r="Q4071" s="25">
        <v>5000</v>
      </c>
      <c r="R4071" s="22">
        <v>93</v>
      </c>
      <c r="S4071" s="22" t="s">
        <v>4954</v>
      </c>
      <c r="T4071" s="22">
        <f t="shared" si="348"/>
        <v>2</v>
      </c>
      <c r="U4071" s="22">
        <f t="shared" si="349"/>
        <v>2022</v>
      </c>
      <c r="V4071" s="22" t="str">
        <f t="shared" si="350"/>
        <v>METROPOLITANA</v>
      </c>
    </row>
    <row r="4072" spans="1:22" x14ac:dyDescent="0.2">
      <c r="A4072" s="23" t="s">
        <v>4944</v>
      </c>
      <c r="B4072" s="22" t="s">
        <v>33</v>
      </c>
      <c r="C4072" s="22" t="s">
        <v>29</v>
      </c>
      <c r="D4072" s="22" t="s">
        <v>41</v>
      </c>
      <c r="E4072" s="24" t="s">
        <v>25</v>
      </c>
      <c r="F4072" s="22" t="s">
        <v>129</v>
      </c>
      <c r="G4072" s="25">
        <v>4775.3999999999987</v>
      </c>
      <c r="H4072" s="22" t="s">
        <v>43</v>
      </c>
      <c r="I4072" s="22">
        <v>0</v>
      </c>
      <c r="J4072" s="22" t="s">
        <v>129</v>
      </c>
      <c r="K4072" s="22" t="s">
        <v>23</v>
      </c>
      <c r="L4072" s="22">
        <v>1</v>
      </c>
      <c r="M4072" s="26">
        <v>55000</v>
      </c>
      <c r="N4072" s="26">
        <v>0</v>
      </c>
      <c r="O4072" s="15">
        <f t="shared" si="351"/>
        <v>55000</v>
      </c>
      <c r="P4072" s="15">
        <f t="shared" si="352"/>
        <v>11.517359802320227</v>
      </c>
      <c r="Q4072" s="25">
        <v>5000</v>
      </c>
      <c r="R4072" s="22">
        <v>96</v>
      </c>
      <c r="S4072" s="22" t="s">
        <v>4955</v>
      </c>
      <c r="T4072" s="22">
        <f t="shared" si="348"/>
        <v>2</v>
      </c>
      <c r="U4072" s="22">
        <f t="shared" si="349"/>
        <v>2022</v>
      </c>
      <c r="V4072" s="22" t="str">
        <f t="shared" si="350"/>
        <v>METROPOLITANA</v>
      </c>
    </row>
    <row r="4073" spans="1:22" x14ac:dyDescent="0.2">
      <c r="A4073" s="23" t="s">
        <v>4944</v>
      </c>
      <c r="B4073" s="22" t="s">
        <v>33</v>
      </c>
      <c r="C4073" s="22" t="s">
        <v>29</v>
      </c>
      <c r="D4073" s="22" t="s">
        <v>164</v>
      </c>
      <c r="E4073" s="24" t="s">
        <v>1576</v>
      </c>
      <c r="F4073" s="22" t="s">
        <v>39</v>
      </c>
      <c r="G4073" s="25">
        <v>8316.0000000000055</v>
      </c>
      <c r="H4073" s="22" t="s">
        <v>22</v>
      </c>
      <c r="I4073" s="22">
        <v>1</v>
      </c>
      <c r="J4073" s="22" t="s">
        <v>39</v>
      </c>
      <c r="K4073" s="22" t="s">
        <v>23</v>
      </c>
      <c r="L4073" s="22">
        <v>1</v>
      </c>
      <c r="M4073" s="26">
        <v>91476</v>
      </c>
      <c r="N4073" s="26">
        <v>0</v>
      </c>
      <c r="O4073" s="15">
        <f t="shared" si="351"/>
        <v>91476</v>
      </c>
      <c r="P4073" s="15">
        <f t="shared" si="352"/>
        <v>10.999999999999993</v>
      </c>
      <c r="Q4073" s="25">
        <v>5000</v>
      </c>
      <c r="R4073" s="22">
        <v>100</v>
      </c>
      <c r="S4073" s="22" t="s">
        <v>4956</v>
      </c>
      <c r="T4073" s="22">
        <f t="shared" si="348"/>
        <v>2</v>
      </c>
      <c r="U4073" s="22">
        <f t="shared" si="349"/>
        <v>2022</v>
      </c>
      <c r="V4073" s="22" t="str">
        <f t="shared" si="350"/>
        <v>METROPOLITANA</v>
      </c>
    </row>
    <row r="4074" spans="1:22" x14ac:dyDescent="0.2">
      <c r="A4074" s="61" t="s">
        <v>4944</v>
      </c>
      <c r="B4074" s="22" t="s">
        <v>33</v>
      </c>
      <c r="C4074" s="22" t="s">
        <v>44</v>
      </c>
      <c r="D4074" s="22" t="s">
        <v>45</v>
      </c>
      <c r="E4074" s="24" t="s">
        <v>52</v>
      </c>
      <c r="F4074" s="22" t="s">
        <v>48</v>
      </c>
      <c r="G4074" s="25">
        <v>5500.5200000000013</v>
      </c>
      <c r="H4074" s="22" t="s">
        <v>22</v>
      </c>
      <c r="I4074" s="22">
        <v>0</v>
      </c>
      <c r="J4074" s="22" t="s">
        <v>48</v>
      </c>
      <c r="K4074" s="22" t="s">
        <v>23</v>
      </c>
      <c r="L4074" s="22">
        <v>1</v>
      </c>
      <c r="M4074" s="26">
        <v>60506</v>
      </c>
      <c r="N4074" s="26">
        <v>0</v>
      </c>
      <c r="O4074" s="15">
        <f t="shared" si="351"/>
        <v>60506</v>
      </c>
      <c r="P4074" s="15">
        <f t="shared" si="352"/>
        <v>11.000050904278138</v>
      </c>
      <c r="Q4074" s="25">
        <v>5000</v>
      </c>
      <c r="R4074" s="22">
        <v>100</v>
      </c>
      <c r="S4074" s="22" t="s">
        <v>4957</v>
      </c>
      <c r="T4074" s="22">
        <f t="shared" si="348"/>
        <v>2</v>
      </c>
      <c r="U4074" s="22">
        <f t="shared" si="349"/>
        <v>2022</v>
      </c>
      <c r="V4074" s="22" t="str">
        <f t="shared" si="350"/>
        <v>METROPOLITANA</v>
      </c>
    </row>
    <row r="4075" spans="1:22" x14ac:dyDescent="0.2">
      <c r="A4075" s="11" t="s">
        <v>4958</v>
      </c>
      <c r="B4075" s="12" t="s">
        <v>18</v>
      </c>
      <c r="C4075" s="12" t="s">
        <v>19</v>
      </c>
      <c r="D4075" s="12" t="s">
        <v>1869</v>
      </c>
      <c r="E4075" s="13" t="s">
        <v>1870</v>
      </c>
      <c r="F4075" s="12" t="s">
        <v>691</v>
      </c>
      <c r="G4075" s="14">
        <v>22140.610000000011</v>
      </c>
      <c r="H4075" s="12" t="s">
        <v>24</v>
      </c>
      <c r="I4075" s="12">
        <v>1</v>
      </c>
      <c r="J4075" s="12" t="s">
        <v>691</v>
      </c>
      <c r="K4075" s="12" t="s">
        <v>873</v>
      </c>
      <c r="L4075" s="12">
        <v>0</v>
      </c>
      <c r="M4075" s="15">
        <v>1100000</v>
      </c>
      <c r="N4075" s="15">
        <v>0</v>
      </c>
      <c r="O4075" s="15">
        <f t="shared" si="351"/>
        <v>1100000</v>
      </c>
      <c r="P4075" s="15">
        <f t="shared" si="352"/>
        <v>49.68246132333298</v>
      </c>
      <c r="Q4075" s="14">
        <v>20000</v>
      </c>
      <c r="R4075" s="12">
        <v>100</v>
      </c>
      <c r="S4075" s="12" t="s">
        <v>4959</v>
      </c>
      <c r="T4075" s="22">
        <f t="shared" si="348"/>
        <v>2</v>
      </c>
      <c r="U4075" s="22">
        <f t="shared" si="349"/>
        <v>2022</v>
      </c>
      <c r="V4075" s="22" t="str">
        <f t="shared" si="350"/>
        <v>REGIONES</v>
      </c>
    </row>
    <row r="4076" spans="1:22" x14ac:dyDescent="0.2">
      <c r="A4076" s="11" t="s">
        <v>4958</v>
      </c>
      <c r="B4076" s="12" t="s">
        <v>18</v>
      </c>
      <c r="C4076" s="12" t="s">
        <v>19</v>
      </c>
      <c r="D4076" s="12" t="s">
        <v>41</v>
      </c>
      <c r="E4076" s="13" t="s">
        <v>25</v>
      </c>
      <c r="F4076" s="12" t="s">
        <v>51</v>
      </c>
      <c r="G4076" s="14">
        <v>7458.0000000000009</v>
      </c>
      <c r="H4076" s="12" t="s">
        <v>43</v>
      </c>
      <c r="I4076" s="12">
        <v>0</v>
      </c>
      <c r="J4076" s="12" t="s">
        <v>51</v>
      </c>
      <c r="K4076" s="12" t="s">
        <v>23</v>
      </c>
      <c r="L4076" s="12">
        <v>4</v>
      </c>
      <c r="M4076" s="15">
        <v>82038</v>
      </c>
      <c r="N4076" s="15">
        <v>0</v>
      </c>
      <c r="O4076" s="15">
        <f t="shared" si="351"/>
        <v>82038</v>
      </c>
      <c r="P4076" s="15">
        <f t="shared" si="352"/>
        <v>10.999999999999998</v>
      </c>
      <c r="Q4076" s="14">
        <v>5000</v>
      </c>
      <c r="R4076" s="12">
        <v>100</v>
      </c>
      <c r="S4076" s="12" t="s">
        <v>4960</v>
      </c>
      <c r="T4076" s="22">
        <f t="shared" si="348"/>
        <v>2</v>
      </c>
      <c r="U4076" s="22">
        <f t="shared" si="349"/>
        <v>2022</v>
      </c>
      <c r="V4076" s="22" t="str">
        <f t="shared" si="350"/>
        <v>METROPOLITANA</v>
      </c>
    </row>
    <row r="4077" spans="1:22" x14ac:dyDescent="0.2">
      <c r="A4077" s="11" t="s">
        <v>4958</v>
      </c>
      <c r="B4077" s="12" t="s">
        <v>18</v>
      </c>
      <c r="C4077" s="12" t="s">
        <v>87</v>
      </c>
      <c r="D4077" s="12" t="s">
        <v>37</v>
      </c>
      <c r="E4077" s="13" t="s">
        <v>40</v>
      </c>
      <c r="F4077" s="12" t="s">
        <v>51</v>
      </c>
      <c r="G4077" s="14">
        <v>3827.2199999999989</v>
      </c>
      <c r="H4077" s="12" t="s">
        <v>22</v>
      </c>
      <c r="I4077" s="12">
        <v>0</v>
      </c>
      <c r="J4077" s="12" t="s">
        <v>51</v>
      </c>
      <c r="K4077" s="12" t="s">
        <v>23</v>
      </c>
      <c r="L4077" s="12">
        <v>4</v>
      </c>
      <c r="M4077" s="15">
        <v>55000</v>
      </c>
      <c r="N4077" s="15">
        <v>0</v>
      </c>
      <c r="O4077" s="15">
        <f t="shared" si="351"/>
        <v>55000</v>
      </c>
      <c r="P4077" s="15">
        <f t="shared" si="352"/>
        <v>14.370744300040242</v>
      </c>
      <c r="Q4077" s="14">
        <v>5000</v>
      </c>
      <c r="R4077" s="12">
        <v>77</v>
      </c>
      <c r="S4077" s="12" t="s">
        <v>4961</v>
      </c>
      <c r="T4077" s="22">
        <f t="shared" si="348"/>
        <v>2</v>
      </c>
      <c r="U4077" s="22">
        <f t="shared" si="349"/>
        <v>2022</v>
      </c>
      <c r="V4077" s="22" t="str">
        <f t="shared" si="350"/>
        <v>METROPOLITANA</v>
      </c>
    </row>
    <row r="4078" spans="1:22" x14ac:dyDescent="0.2">
      <c r="A4078" s="11" t="s">
        <v>4958</v>
      </c>
      <c r="B4078" s="12" t="s">
        <v>33</v>
      </c>
      <c r="C4078" s="12" t="s">
        <v>163</v>
      </c>
      <c r="D4078" s="12" t="s">
        <v>38</v>
      </c>
      <c r="E4078" s="13" t="s">
        <v>42</v>
      </c>
      <c r="F4078" s="12" t="s">
        <v>165</v>
      </c>
      <c r="G4078" s="14">
        <v>19133.68</v>
      </c>
      <c r="H4078" s="12" t="s">
        <v>43</v>
      </c>
      <c r="I4078" s="12">
        <v>0</v>
      </c>
      <c r="J4078" s="12" t="s">
        <v>165</v>
      </c>
      <c r="K4078" s="12" t="s">
        <v>23</v>
      </c>
      <c r="L4078" s="12">
        <v>4</v>
      </c>
      <c r="M4078" s="15">
        <v>210470</v>
      </c>
      <c r="N4078" s="15">
        <v>0</v>
      </c>
      <c r="O4078" s="15">
        <f t="shared" si="351"/>
        <v>210470</v>
      </c>
      <c r="P4078" s="15">
        <f t="shared" si="352"/>
        <v>10.999974913346518</v>
      </c>
      <c r="Q4078" s="14">
        <v>5000</v>
      </c>
      <c r="R4078" s="12">
        <v>100</v>
      </c>
      <c r="S4078" s="12" t="s">
        <v>4962</v>
      </c>
      <c r="T4078" s="22">
        <f t="shared" si="348"/>
        <v>2</v>
      </c>
      <c r="U4078" s="22">
        <f t="shared" si="349"/>
        <v>2022</v>
      </c>
      <c r="V4078" s="22" t="str">
        <f t="shared" si="350"/>
        <v>METROPOLITANA</v>
      </c>
    </row>
    <row r="4079" spans="1:22" x14ac:dyDescent="0.2">
      <c r="A4079" s="11" t="s">
        <v>4958</v>
      </c>
      <c r="B4079" s="12" t="s">
        <v>33</v>
      </c>
      <c r="C4079" s="12" t="s">
        <v>29</v>
      </c>
      <c r="D4079" s="12" t="s">
        <v>164</v>
      </c>
      <c r="E4079" s="13" t="s">
        <v>1576</v>
      </c>
      <c r="F4079" s="12" t="s">
        <v>39</v>
      </c>
      <c r="G4079" s="14">
        <v>9504.0000000000091</v>
      </c>
      <c r="H4079" s="12" t="s">
        <v>22</v>
      </c>
      <c r="I4079" s="12">
        <v>1</v>
      </c>
      <c r="J4079" s="12" t="s">
        <v>39</v>
      </c>
      <c r="K4079" s="12" t="s">
        <v>23</v>
      </c>
      <c r="L4079" s="12">
        <v>1</v>
      </c>
      <c r="M4079" s="15">
        <v>104544</v>
      </c>
      <c r="N4079" s="15">
        <v>0</v>
      </c>
      <c r="O4079" s="15">
        <f t="shared" si="351"/>
        <v>104544</v>
      </c>
      <c r="P4079" s="15">
        <f t="shared" si="352"/>
        <v>10.999999999999989</v>
      </c>
      <c r="Q4079" s="14">
        <v>5000</v>
      </c>
      <c r="R4079" s="12">
        <v>100</v>
      </c>
      <c r="S4079" s="12" t="s">
        <v>4963</v>
      </c>
      <c r="T4079" s="22">
        <f t="shared" si="348"/>
        <v>2</v>
      </c>
      <c r="U4079" s="22">
        <f t="shared" si="349"/>
        <v>2022</v>
      </c>
      <c r="V4079" s="22" t="str">
        <f t="shared" si="350"/>
        <v>METROPOLITANA</v>
      </c>
    </row>
    <row r="4080" spans="1:22" x14ac:dyDescent="0.2">
      <c r="A4080" s="11" t="s">
        <v>4958</v>
      </c>
      <c r="B4080" s="12" t="s">
        <v>33</v>
      </c>
      <c r="C4080" s="12" t="s">
        <v>44</v>
      </c>
      <c r="D4080" s="12" t="s">
        <v>4569</v>
      </c>
      <c r="E4080" s="13" t="s">
        <v>868</v>
      </c>
      <c r="F4080" s="12" t="s">
        <v>815</v>
      </c>
      <c r="G4080" s="14">
        <v>8553.6000000000058</v>
      </c>
      <c r="H4080" s="12" t="s">
        <v>24</v>
      </c>
      <c r="I4080" s="12">
        <v>1</v>
      </c>
      <c r="J4080" s="12" t="s">
        <v>815</v>
      </c>
      <c r="K4080" s="12" t="s">
        <v>75</v>
      </c>
      <c r="L4080" s="12">
        <v>0</v>
      </c>
      <c r="M4080" s="15">
        <v>460000</v>
      </c>
      <c r="N4080" s="15">
        <v>0</v>
      </c>
      <c r="O4080" s="15">
        <f t="shared" si="351"/>
        <v>460000</v>
      </c>
      <c r="P4080" s="15">
        <f t="shared" si="352"/>
        <v>53.778526000748187</v>
      </c>
      <c r="Q4080" s="14">
        <v>20000</v>
      </c>
      <c r="R4080" s="12">
        <v>43</v>
      </c>
      <c r="S4080" s="12" t="s">
        <v>4964</v>
      </c>
      <c r="T4080" s="22">
        <f t="shared" si="348"/>
        <v>2</v>
      </c>
      <c r="U4080" s="22">
        <f t="shared" si="349"/>
        <v>2022</v>
      </c>
      <c r="V4080" s="22" t="str">
        <f t="shared" si="350"/>
        <v>REGIONES</v>
      </c>
    </row>
    <row r="4081" spans="1:22" x14ac:dyDescent="0.2">
      <c r="A4081" s="11" t="s">
        <v>4958</v>
      </c>
      <c r="B4081" s="12" t="s">
        <v>33</v>
      </c>
      <c r="C4081" s="12" t="s">
        <v>44</v>
      </c>
      <c r="D4081" s="12" t="s">
        <v>4965</v>
      </c>
      <c r="E4081" s="13" t="s">
        <v>4966</v>
      </c>
      <c r="F4081" s="12" t="s">
        <v>3438</v>
      </c>
      <c r="G4081" s="14">
        <v>15252.4</v>
      </c>
      <c r="H4081" s="12" t="s">
        <v>24</v>
      </c>
      <c r="I4081" s="12">
        <v>1</v>
      </c>
      <c r="J4081" s="12" t="s">
        <v>3438</v>
      </c>
      <c r="K4081" s="12" t="s">
        <v>93</v>
      </c>
      <c r="L4081" s="12">
        <v>0</v>
      </c>
      <c r="M4081" s="15">
        <v>800000</v>
      </c>
      <c r="N4081" s="15">
        <v>0</v>
      </c>
      <c r="O4081" s="15">
        <f t="shared" si="351"/>
        <v>800000</v>
      </c>
      <c r="P4081" s="15">
        <f t="shared" si="352"/>
        <v>52.450761847315832</v>
      </c>
      <c r="Q4081" s="14">
        <v>20000</v>
      </c>
      <c r="R4081" s="12">
        <v>76</v>
      </c>
      <c r="S4081" s="12" t="s">
        <v>4967</v>
      </c>
      <c r="T4081" s="22">
        <f t="shared" si="348"/>
        <v>2</v>
      </c>
      <c r="U4081" s="22">
        <f t="shared" si="349"/>
        <v>2022</v>
      </c>
      <c r="V4081" s="22" t="str">
        <f t="shared" si="350"/>
        <v>REGIONES</v>
      </c>
    </row>
    <row r="4082" spans="1:22" x14ac:dyDescent="0.2">
      <c r="A4082" s="11" t="s">
        <v>4958</v>
      </c>
      <c r="B4082" s="12" t="s">
        <v>33</v>
      </c>
      <c r="C4082" s="12" t="s">
        <v>44</v>
      </c>
      <c r="D4082" s="12" t="s">
        <v>786</v>
      </c>
      <c r="E4082" s="13" t="s">
        <v>787</v>
      </c>
      <c r="F4082" s="12" t="s">
        <v>66</v>
      </c>
      <c r="G4082" s="14">
        <v>14117.56</v>
      </c>
      <c r="H4082" s="12" t="s">
        <v>788</v>
      </c>
      <c r="I4082" s="12">
        <v>1</v>
      </c>
      <c r="J4082" s="12" t="s">
        <v>66</v>
      </c>
      <c r="K4082" s="12" t="s">
        <v>75</v>
      </c>
      <c r="L4082" s="12">
        <v>0</v>
      </c>
      <c r="M4082" s="15">
        <v>420000</v>
      </c>
      <c r="N4082" s="15">
        <v>0</v>
      </c>
      <c r="O4082" s="15">
        <f t="shared" si="351"/>
        <v>420000</v>
      </c>
      <c r="P4082" s="15">
        <f t="shared" si="352"/>
        <v>29.750183459464669</v>
      </c>
      <c r="Q4082" s="14">
        <v>20000</v>
      </c>
      <c r="R4082" s="12">
        <v>71</v>
      </c>
      <c r="S4082" s="12" t="s">
        <v>4968</v>
      </c>
      <c r="T4082" s="22">
        <f t="shared" si="348"/>
        <v>2</v>
      </c>
      <c r="U4082" s="22">
        <f t="shared" si="349"/>
        <v>2022</v>
      </c>
      <c r="V4082" s="22" t="str">
        <f t="shared" si="350"/>
        <v>REGIONES</v>
      </c>
    </row>
    <row r="4083" spans="1:22" x14ac:dyDescent="0.2">
      <c r="A4083" s="11" t="s">
        <v>4958</v>
      </c>
      <c r="B4083" s="12" t="s">
        <v>33</v>
      </c>
      <c r="C4083" s="12" t="s">
        <v>3922</v>
      </c>
      <c r="D4083" s="12" t="s">
        <v>47</v>
      </c>
      <c r="E4083" s="13" t="s">
        <v>52</v>
      </c>
      <c r="F4083" s="12" t="s">
        <v>129</v>
      </c>
      <c r="G4083" s="14">
        <v>2871.8</v>
      </c>
      <c r="H4083" s="12" t="s">
        <v>22</v>
      </c>
      <c r="I4083" s="12">
        <v>0</v>
      </c>
      <c r="J4083" s="12" t="s">
        <v>129</v>
      </c>
      <c r="K4083" s="12" t="s">
        <v>23</v>
      </c>
      <c r="L4083" s="12">
        <v>1</v>
      </c>
      <c r="M4083" s="15">
        <v>55000</v>
      </c>
      <c r="N4083" s="15">
        <v>0</v>
      </c>
      <c r="O4083" s="15">
        <f t="shared" si="351"/>
        <v>55000</v>
      </c>
      <c r="P4083" s="15">
        <f t="shared" si="352"/>
        <v>19.151751514729437</v>
      </c>
      <c r="Q4083" s="14">
        <v>5000</v>
      </c>
      <c r="R4083" s="12">
        <v>57</v>
      </c>
      <c r="S4083" s="12" t="s">
        <v>4969</v>
      </c>
      <c r="T4083" s="22">
        <f t="shared" si="348"/>
        <v>2</v>
      </c>
      <c r="U4083" s="22">
        <f t="shared" si="349"/>
        <v>2022</v>
      </c>
      <c r="V4083" s="22" t="str">
        <f t="shared" si="350"/>
        <v>METROPOLITANA</v>
      </c>
    </row>
    <row r="4084" spans="1:22" x14ac:dyDescent="0.2">
      <c r="A4084" s="23" t="s">
        <v>4970</v>
      </c>
      <c r="B4084" s="22" t="s">
        <v>18</v>
      </c>
      <c r="C4084" s="22" t="s">
        <v>19</v>
      </c>
      <c r="D4084" s="22" t="s">
        <v>37</v>
      </c>
      <c r="E4084" s="24" t="s">
        <v>40</v>
      </c>
      <c r="F4084" s="22" t="s">
        <v>51</v>
      </c>
      <c r="G4084" s="25">
        <v>30819.599999999969</v>
      </c>
      <c r="H4084" s="22" t="s">
        <v>22</v>
      </c>
      <c r="I4084" s="22">
        <v>0</v>
      </c>
      <c r="J4084" s="22" t="s">
        <v>51</v>
      </c>
      <c r="K4084" s="22" t="s">
        <v>23</v>
      </c>
      <c r="L4084" s="22">
        <v>4</v>
      </c>
      <c r="M4084" s="26">
        <v>339016</v>
      </c>
      <c r="N4084" s="26">
        <v>0</v>
      </c>
      <c r="O4084" s="15">
        <f t="shared" si="351"/>
        <v>339016</v>
      </c>
      <c r="P4084" s="15">
        <f t="shared" si="352"/>
        <v>11.000012978753791</v>
      </c>
      <c r="Q4084" s="25">
        <v>5000</v>
      </c>
      <c r="R4084" s="22">
        <v>100</v>
      </c>
      <c r="S4084" s="22" t="s">
        <v>4971</v>
      </c>
      <c r="T4084" s="22">
        <f t="shared" si="348"/>
        <v>2</v>
      </c>
      <c r="U4084" s="22">
        <f t="shared" si="349"/>
        <v>2022</v>
      </c>
      <c r="V4084" s="22" t="str">
        <f t="shared" si="350"/>
        <v>METROPOLITANA</v>
      </c>
    </row>
    <row r="4085" spans="1:22" x14ac:dyDescent="0.2">
      <c r="A4085" s="23" t="s">
        <v>4970</v>
      </c>
      <c r="B4085" s="22" t="s">
        <v>18</v>
      </c>
      <c r="C4085" s="22" t="s">
        <v>19</v>
      </c>
      <c r="D4085" s="22" t="s">
        <v>30</v>
      </c>
      <c r="E4085" s="24" t="s">
        <v>31</v>
      </c>
      <c r="F4085" s="22" t="s">
        <v>51</v>
      </c>
      <c r="G4085" s="25">
        <v>13308.900000000011</v>
      </c>
      <c r="H4085" s="22" t="s">
        <v>32</v>
      </c>
      <c r="I4085" s="22">
        <v>0</v>
      </c>
      <c r="J4085" s="22" t="s">
        <v>51</v>
      </c>
      <c r="K4085" s="22" t="s">
        <v>23</v>
      </c>
      <c r="L4085" s="22">
        <v>4</v>
      </c>
      <c r="M4085" s="26">
        <v>146398</v>
      </c>
      <c r="N4085" s="26">
        <v>0</v>
      </c>
      <c r="O4085" s="15">
        <f t="shared" si="351"/>
        <v>146398</v>
      </c>
      <c r="P4085" s="15">
        <f t="shared" si="352"/>
        <v>11.000007513768972</v>
      </c>
      <c r="Q4085" s="25">
        <v>5000</v>
      </c>
      <c r="R4085" s="22">
        <v>100</v>
      </c>
      <c r="S4085" s="22" t="s">
        <v>4972</v>
      </c>
      <c r="T4085" s="22">
        <f t="shared" si="348"/>
        <v>2</v>
      </c>
      <c r="U4085" s="22">
        <f t="shared" si="349"/>
        <v>2022</v>
      </c>
      <c r="V4085" s="22" t="str">
        <f t="shared" si="350"/>
        <v>METROPOLITANA</v>
      </c>
    </row>
    <row r="4086" spans="1:22" x14ac:dyDescent="0.2">
      <c r="A4086" s="23" t="s">
        <v>4970</v>
      </c>
      <c r="B4086" s="22" t="s">
        <v>33</v>
      </c>
      <c r="C4086" s="22" t="s">
        <v>2431</v>
      </c>
      <c r="D4086" s="22" t="s">
        <v>2955</v>
      </c>
      <c r="E4086" s="24" t="s">
        <v>2956</v>
      </c>
      <c r="F4086" s="22" t="s">
        <v>67</v>
      </c>
      <c r="G4086" s="25">
        <v>15083</v>
      </c>
      <c r="H4086" s="22" t="s">
        <v>24</v>
      </c>
      <c r="I4086" s="22">
        <v>1</v>
      </c>
      <c r="J4086" s="22" t="s">
        <v>67</v>
      </c>
      <c r="K4086" s="22" t="s">
        <v>23</v>
      </c>
      <c r="L4086" s="22">
        <v>2</v>
      </c>
      <c r="M4086" s="26">
        <v>165913</v>
      </c>
      <c r="N4086" s="26">
        <v>0</v>
      </c>
      <c r="O4086" s="15">
        <f t="shared" si="351"/>
        <v>165913</v>
      </c>
      <c r="P4086" s="15">
        <f t="shared" si="352"/>
        <v>11</v>
      </c>
      <c r="Q4086" s="25">
        <v>5000</v>
      </c>
      <c r="R4086" s="22">
        <v>100</v>
      </c>
      <c r="S4086" s="22" t="s">
        <v>4973</v>
      </c>
      <c r="T4086" s="22">
        <f t="shared" si="348"/>
        <v>2</v>
      </c>
      <c r="U4086" s="22">
        <f t="shared" si="349"/>
        <v>2022</v>
      </c>
      <c r="V4086" s="22" t="str">
        <f t="shared" si="350"/>
        <v>METROPOLITANA</v>
      </c>
    </row>
    <row r="4087" spans="1:22" x14ac:dyDescent="0.2">
      <c r="A4087" s="23" t="s">
        <v>4970</v>
      </c>
      <c r="B4087" s="22" t="s">
        <v>33</v>
      </c>
      <c r="C4087" s="22" t="s">
        <v>60</v>
      </c>
      <c r="D4087" s="22" t="s">
        <v>45</v>
      </c>
      <c r="E4087" s="24" t="s">
        <v>21</v>
      </c>
      <c r="F4087" s="22" t="s">
        <v>51</v>
      </c>
      <c r="G4087" s="25">
        <v>3240</v>
      </c>
      <c r="H4087" s="22" t="s">
        <v>22</v>
      </c>
      <c r="I4087" s="22">
        <v>0</v>
      </c>
      <c r="J4087" s="22" t="s">
        <v>51</v>
      </c>
      <c r="K4087" s="22" t="s">
        <v>23</v>
      </c>
      <c r="L4087" s="22">
        <v>4</v>
      </c>
      <c r="M4087" s="26">
        <v>55000</v>
      </c>
      <c r="N4087" s="26">
        <v>0</v>
      </c>
      <c r="O4087" s="15">
        <f t="shared" si="351"/>
        <v>55000</v>
      </c>
      <c r="P4087" s="15">
        <f t="shared" si="352"/>
        <v>16.97530864197531</v>
      </c>
      <c r="Q4087" s="25">
        <v>5000</v>
      </c>
      <c r="R4087" s="22">
        <v>65</v>
      </c>
      <c r="S4087" s="22" t="s">
        <v>4974</v>
      </c>
      <c r="T4087" s="22">
        <f t="shared" si="348"/>
        <v>2</v>
      </c>
      <c r="U4087" s="22">
        <f t="shared" si="349"/>
        <v>2022</v>
      </c>
      <c r="V4087" s="22" t="str">
        <f t="shared" si="350"/>
        <v>METROPOLITANA</v>
      </c>
    </row>
    <row r="4088" spans="1:22" x14ac:dyDescent="0.2">
      <c r="A4088" s="23" t="s">
        <v>4970</v>
      </c>
      <c r="B4088" s="22" t="s">
        <v>33</v>
      </c>
      <c r="C4088" s="22" t="s">
        <v>3060</v>
      </c>
      <c r="D4088" s="22" t="s">
        <v>38</v>
      </c>
      <c r="E4088" s="24" t="s">
        <v>42</v>
      </c>
      <c r="F4088" s="22" t="s">
        <v>727</v>
      </c>
      <c r="G4088" s="25">
        <v>11585</v>
      </c>
      <c r="H4088" s="22" t="s">
        <v>43</v>
      </c>
      <c r="I4088" s="22">
        <v>0</v>
      </c>
      <c r="J4088" s="22" t="s">
        <v>727</v>
      </c>
      <c r="K4088" s="22" t="s">
        <v>23</v>
      </c>
      <c r="L4088" s="22">
        <v>2</v>
      </c>
      <c r="M4088" s="26">
        <v>127435</v>
      </c>
      <c r="N4088" s="26">
        <v>0</v>
      </c>
      <c r="O4088" s="15">
        <f t="shared" si="351"/>
        <v>127435</v>
      </c>
      <c r="P4088" s="15">
        <f t="shared" si="352"/>
        <v>11</v>
      </c>
      <c r="Q4088" s="25">
        <v>5000</v>
      </c>
      <c r="R4088" s="22">
        <v>100</v>
      </c>
      <c r="S4088" s="22" t="s">
        <v>4975</v>
      </c>
      <c r="T4088" s="22">
        <f t="shared" si="348"/>
        <v>2</v>
      </c>
      <c r="U4088" s="22">
        <f t="shared" si="349"/>
        <v>2022</v>
      </c>
      <c r="V4088" s="22" t="str">
        <f t="shared" si="350"/>
        <v>METROPOLITANA</v>
      </c>
    </row>
    <row r="4089" spans="1:22" x14ac:dyDescent="0.2">
      <c r="A4089" s="23" t="s">
        <v>4970</v>
      </c>
      <c r="B4089" s="22" t="s">
        <v>33</v>
      </c>
      <c r="C4089" s="22" t="s">
        <v>29</v>
      </c>
      <c r="D4089" s="22" t="s">
        <v>38</v>
      </c>
      <c r="E4089" s="24" t="s">
        <v>42</v>
      </c>
      <c r="F4089" s="22" t="s">
        <v>173</v>
      </c>
      <c r="G4089" s="25">
        <f>9004.8+2748</f>
        <v>11752.8</v>
      </c>
      <c r="H4089" s="22" t="s">
        <v>43</v>
      </c>
      <c r="I4089" s="22">
        <v>0</v>
      </c>
      <c r="J4089" s="22" t="s">
        <v>173</v>
      </c>
      <c r="K4089" s="22" t="s">
        <v>23</v>
      </c>
      <c r="L4089" s="22">
        <v>5</v>
      </c>
      <c r="M4089" s="26">
        <v>90000</v>
      </c>
      <c r="N4089" s="26">
        <v>0</v>
      </c>
      <c r="O4089" s="15">
        <f t="shared" si="351"/>
        <v>90000</v>
      </c>
      <c r="P4089" s="15">
        <f t="shared" si="352"/>
        <v>7.6577496426383505</v>
      </c>
      <c r="Q4089" s="25">
        <v>10000</v>
      </c>
      <c r="R4089" s="22">
        <v>90</v>
      </c>
      <c r="S4089" s="22" t="s">
        <v>5033</v>
      </c>
      <c r="T4089" s="22">
        <f t="shared" si="348"/>
        <v>2</v>
      </c>
      <c r="U4089" s="22">
        <f t="shared" si="349"/>
        <v>2022</v>
      </c>
      <c r="V4089" s="22" t="str">
        <f t="shared" si="350"/>
        <v>METROPOLITANA</v>
      </c>
    </row>
    <row r="4090" spans="1:22" x14ac:dyDescent="0.2">
      <c r="A4090" s="23" t="s">
        <v>4970</v>
      </c>
      <c r="B4090" s="22" t="s">
        <v>33</v>
      </c>
      <c r="C4090" s="22" t="s">
        <v>29</v>
      </c>
      <c r="D4090" s="22" t="s">
        <v>30</v>
      </c>
      <c r="E4090" s="24" t="s">
        <v>31</v>
      </c>
      <c r="F4090" s="22" t="s">
        <v>39</v>
      </c>
      <c r="G4090" s="25">
        <v>2748</v>
      </c>
      <c r="H4090" s="22" t="s">
        <v>32</v>
      </c>
      <c r="I4090" s="22">
        <v>0</v>
      </c>
      <c r="J4090" s="22" t="s">
        <v>39</v>
      </c>
      <c r="K4090" s="22" t="s">
        <v>23</v>
      </c>
      <c r="L4090" s="22">
        <v>1</v>
      </c>
      <c r="M4090" s="26">
        <v>55000</v>
      </c>
      <c r="N4090" s="26">
        <v>0</v>
      </c>
      <c r="O4090" s="15">
        <f t="shared" si="351"/>
        <v>55000</v>
      </c>
      <c r="P4090" s="15">
        <f t="shared" si="352"/>
        <v>20.014556040756915</v>
      </c>
      <c r="Q4090" s="25">
        <v>5000</v>
      </c>
      <c r="R4090" s="22">
        <v>75</v>
      </c>
      <c r="S4090" s="22" t="s">
        <v>4976</v>
      </c>
      <c r="T4090" s="22">
        <f t="shared" si="348"/>
        <v>2</v>
      </c>
      <c r="U4090" s="22">
        <f t="shared" si="349"/>
        <v>2022</v>
      </c>
      <c r="V4090" s="22" t="str">
        <f t="shared" si="350"/>
        <v>METROPOLITANA</v>
      </c>
    </row>
    <row r="4091" spans="1:22" x14ac:dyDescent="0.2">
      <c r="A4091" s="23" t="s">
        <v>4970</v>
      </c>
      <c r="B4091" s="22" t="s">
        <v>33</v>
      </c>
      <c r="C4091" s="22" t="s">
        <v>29</v>
      </c>
      <c r="D4091" s="22" t="s">
        <v>41</v>
      </c>
      <c r="E4091" s="24" t="s">
        <v>25</v>
      </c>
      <c r="F4091" s="22" t="s">
        <v>173</v>
      </c>
      <c r="G4091" s="25">
        <v>9004.7999999999975</v>
      </c>
      <c r="H4091" s="22" t="s">
        <v>43</v>
      </c>
      <c r="I4091" s="22">
        <v>0</v>
      </c>
      <c r="J4091" s="22" t="s">
        <v>173</v>
      </c>
      <c r="K4091" s="22" t="s">
        <v>23</v>
      </c>
      <c r="L4091" s="22">
        <v>5</v>
      </c>
      <c r="M4091" s="26">
        <v>90000</v>
      </c>
      <c r="N4091" s="26">
        <v>0</v>
      </c>
      <c r="O4091" s="15">
        <f t="shared" si="351"/>
        <v>90000</v>
      </c>
      <c r="P4091" s="15">
        <f t="shared" si="352"/>
        <v>9.9946695095948854</v>
      </c>
      <c r="Q4091" s="25">
        <v>10000</v>
      </c>
      <c r="R4091" s="22">
        <v>90</v>
      </c>
      <c r="S4091" s="22" t="s">
        <v>4977</v>
      </c>
      <c r="T4091" s="22">
        <f t="shared" si="348"/>
        <v>2</v>
      </c>
      <c r="U4091" s="22">
        <f t="shared" si="349"/>
        <v>2022</v>
      </c>
      <c r="V4091" s="22" t="str">
        <f t="shared" si="350"/>
        <v>METROPOLITANA</v>
      </c>
    </row>
    <row r="4092" spans="1:22" x14ac:dyDescent="0.2">
      <c r="A4092" s="23" t="s">
        <v>4970</v>
      </c>
      <c r="B4092" s="22" t="s">
        <v>33</v>
      </c>
      <c r="C4092" s="22" t="s">
        <v>29</v>
      </c>
      <c r="D4092" s="22" t="s">
        <v>164</v>
      </c>
      <c r="E4092" s="24" t="s">
        <v>1576</v>
      </c>
      <c r="F4092" s="22" t="s">
        <v>39</v>
      </c>
      <c r="G4092" s="25">
        <v>8244.0000000000036</v>
      </c>
      <c r="H4092" s="22" t="s">
        <v>22</v>
      </c>
      <c r="I4092" s="22">
        <v>1</v>
      </c>
      <c r="J4092" s="22" t="s">
        <v>39</v>
      </c>
      <c r="K4092" s="22" t="s">
        <v>23</v>
      </c>
      <c r="L4092" s="22">
        <v>1</v>
      </c>
      <c r="M4092" s="26">
        <v>90684</v>
      </c>
      <c r="N4092" s="26">
        <v>0</v>
      </c>
      <c r="O4092" s="15">
        <f t="shared" si="351"/>
        <v>90684</v>
      </c>
      <c r="P4092" s="15">
        <f t="shared" si="352"/>
        <v>10.999999999999995</v>
      </c>
      <c r="Q4092" s="25">
        <v>5000</v>
      </c>
      <c r="R4092" s="22">
        <v>100</v>
      </c>
      <c r="S4092" s="22" t="s">
        <v>4978</v>
      </c>
      <c r="T4092" s="22">
        <f t="shared" si="348"/>
        <v>2</v>
      </c>
      <c r="U4092" s="22">
        <f t="shared" si="349"/>
        <v>2022</v>
      </c>
      <c r="V4092" s="22" t="str">
        <f t="shared" si="350"/>
        <v>METROPOLITANA</v>
      </c>
    </row>
    <row r="4093" spans="1:22" x14ac:dyDescent="0.2">
      <c r="A4093" s="23" t="s">
        <v>4970</v>
      </c>
      <c r="B4093" s="22" t="s">
        <v>33</v>
      </c>
      <c r="C4093" s="22" t="s">
        <v>44</v>
      </c>
      <c r="D4093" s="22" t="s">
        <v>47</v>
      </c>
      <c r="E4093" s="24" t="s">
        <v>52</v>
      </c>
      <c r="F4093" s="22" t="s">
        <v>48</v>
      </c>
      <c r="G4093" s="25">
        <v>7567.4199999999973</v>
      </c>
      <c r="H4093" s="22" t="s">
        <v>22</v>
      </c>
      <c r="I4093" s="22">
        <v>0</v>
      </c>
      <c r="J4093" s="22" t="s">
        <v>48</v>
      </c>
      <c r="K4093" s="22" t="s">
        <v>23</v>
      </c>
      <c r="L4093" s="22">
        <v>1</v>
      </c>
      <c r="M4093" s="26">
        <v>83242</v>
      </c>
      <c r="N4093" s="26">
        <v>0</v>
      </c>
      <c r="O4093" s="15">
        <f t="shared" si="351"/>
        <v>83242</v>
      </c>
      <c r="P4093" s="15">
        <f t="shared" si="352"/>
        <v>11.000050215264915</v>
      </c>
      <c r="Q4093" s="25">
        <v>5000</v>
      </c>
      <c r="R4093" s="22">
        <v>100</v>
      </c>
      <c r="S4093" s="22" t="s">
        <v>4979</v>
      </c>
      <c r="T4093" s="22">
        <f t="shared" si="348"/>
        <v>2</v>
      </c>
      <c r="U4093" s="22">
        <f t="shared" si="349"/>
        <v>2022</v>
      </c>
      <c r="V4093" s="22" t="str">
        <f t="shared" si="350"/>
        <v>METROPOLITANA</v>
      </c>
    </row>
    <row r="4094" spans="1:22" x14ac:dyDescent="0.2">
      <c r="A4094" s="23" t="s">
        <v>4970</v>
      </c>
      <c r="B4094" s="22" t="s">
        <v>33</v>
      </c>
      <c r="C4094" s="22" t="s">
        <v>3922</v>
      </c>
      <c r="D4094" s="22" t="s">
        <v>47</v>
      </c>
      <c r="E4094" s="24" t="s">
        <v>52</v>
      </c>
      <c r="F4094" s="22" t="s">
        <v>34</v>
      </c>
      <c r="G4094" s="25">
        <v>5370.0999999999995</v>
      </c>
      <c r="H4094" s="22" t="s">
        <v>22</v>
      </c>
      <c r="I4094" s="22">
        <v>0</v>
      </c>
      <c r="J4094" s="22" t="s">
        <v>34</v>
      </c>
      <c r="K4094" s="22" t="s">
        <v>23</v>
      </c>
      <c r="L4094" s="22">
        <v>1</v>
      </c>
      <c r="M4094" s="26">
        <v>59071</v>
      </c>
      <c r="N4094" s="26">
        <v>0</v>
      </c>
      <c r="O4094" s="15">
        <f t="shared" si="351"/>
        <v>59071</v>
      </c>
      <c r="P4094" s="15">
        <f t="shared" si="352"/>
        <v>10.999981378372844</v>
      </c>
      <c r="Q4094" s="25">
        <v>5000</v>
      </c>
      <c r="R4094" s="22">
        <v>100</v>
      </c>
      <c r="S4094" s="22" t="s">
        <v>4980</v>
      </c>
      <c r="T4094" s="22">
        <f t="shared" si="348"/>
        <v>2</v>
      </c>
      <c r="U4094" s="22">
        <f t="shared" si="349"/>
        <v>2022</v>
      </c>
      <c r="V4094" s="22" t="str">
        <f t="shared" si="350"/>
        <v>METROPOLITANA</v>
      </c>
    </row>
    <row r="4095" spans="1:22" x14ac:dyDescent="0.2">
      <c r="A4095" s="11" t="s">
        <v>4981</v>
      </c>
      <c r="B4095" s="12" t="s">
        <v>18</v>
      </c>
      <c r="C4095" s="12" t="s">
        <v>270</v>
      </c>
      <c r="D4095" s="12" t="s">
        <v>2955</v>
      </c>
      <c r="E4095" s="13" t="s">
        <v>2956</v>
      </c>
      <c r="F4095" s="12" t="s">
        <v>120</v>
      </c>
      <c r="G4095" s="14">
        <v>21515.279999999992</v>
      </c>
      <c r="H4095" s="12" t="s">
        <v>24</v>
      </c>
      <c r="I4095" s="12">
        <v>1</v>
      </c>
      <c r="J4095" s="12" t="s">
        <v>120</v>
      </c>
      <c r="K4095" s="12" t="s">
        <v>23</v>
      </c>
      <c r="L4095" s="12">
        <v>5</v>
      </c>
      <c r="M4095" s="15">
        <v>120000</v>
      </c>
      <c r="N4095" s="15">
        <v>0</v>
      </c>
      <c r="O4095" s="15">
        <f t="shared" si="351"/>
        <v>120000</v>
      </c>
      <c r="P4095" s="15">
        <f t="shared" si="352"/>
        <v>5.5774314812542549</v>
      </c>
      <c r="Q4095" s="14">
        <v>10000</v>
      </c>
      <c r="R4095" s="12">
        <v>100</v>
      </c>
      <c r="S4095" s="12" t="s">
        <v>4982</v>
      </c>
      <c r="T4095" s="22">
        <f t="shared" si="348"/>
        <v>2</v>
      </c>
      <c r="U4095" s="22">
        <f t="shared" si="349"/>
        <v>2022</v>
      </c>
      <c r="V4095" s="22" t="str">
        <f t="shared" si="350"/>
        <v>METROPOLITANA</v>
      </c>
    </row>
    <row r="4096" spans="1:22" x14ac:dyDescent="0.2">
      <c r="A4096" s="11" t="s">
        <v>4981</v>
      </c>
      <c r="B4096" s="12" t="s">
        <v>18</v>
      </c>
      <c r="C4096" s="12" t="s">
        <v>19</v>
      </c>
      <c r="D4096" s="12" t="s">
        <v>41</v>
      </c>
      <c r="E4096" s="13" t="s">
        <v>25</v>
      </c>
      <c r="F4096" s="12" t="s">
        <v>418</v>
      </c>
      <c r="G4096" s="14">
        <v>3172.38</v>
      </c>
      <c r="H4096" s="12" t="s">
        <v>43</v>
      </c>
      <c r="I4096" s="12">
        <v>0</v>
      </c>
      <c r="J4096" s="12" t="s">
        <v>418</v>
      </c>
      <c r="K4096" s="12" t="s">
        <v>171</v>
      </c>
      <c r="L4096" s="12">
        <v>0</v>
      </c>
      <c r="M4096" s="15">
        <v>230000</v>
      </c>
      <c r="N4096" s="15">
        <v>0</v>
      </c>
      <c r="O4096" s="15">
        <f t="shared" si="351"/>
        <v>230000</v>
      </c>
      <c r="P4096" s="15">
        <f t="shared" si="352"/>
        <v>72.500772290835272</v>
      </c>
      <c r="Q4096" s="14">
        <v>20000</v>
      </c>
      <c r="R4096" s="12">
        <v>16</v>
      </c>
      <c r="S4096" s="12" t="s">
        <v>4983</v>
      </c>
      <c r="T4096" s="22">
        <f t="shared" si="348"/>
        <v>2</v>
      </c>
      <c r="U4096" s="22">
        <f t="shared" si="349"/>
        <v>2022</v>
      </c>
      <c r="V4096" s="22" t="str">
        <f t="shared" si="350"/>
        <v>REGIONES</v>
      </c>
    </row>
    <row r="4097" spans="1:22" x14ac:dyDescent="0.2">
      <c r="A4097" s="11" t="s">
        <v>4981</v>
      </c>
      <c r="B4097" s="12" t="s">
        <v>33</v>
      </c>
      <c r="C4097" s="12" t="s">
        <v>2431</v>
      </c>
      <c r="D4097" s="12" t="s">
        <v>164</v>
      </c>
      <c r="E4097" s="13" t="s">
        <v>1576</v>
      </c>
      <c r="F4097" s="12" t="s">
        <v>67</v>
      </c>
      <c r="G4097" s="14">
        <v>14934</v>
      </c>
      <c r="H4097" s="12" t="s">
        <v>22</v>
      </c>
      <c r="I4097" s="12">
        <v>1</v>
      </c>
      <c r="J4097" s="12" t="s">
        <v>67</v>
      </c>
      <c r="K4097" s="12" t="s">
        <v>23</v>
      </c>
      <c r="L4097" s="12">
        <v>2</v>
      </c>
      <c r="M4097" s="15">
        <v>164274</v>
      </c>
      <c r="N4097" s="15">
        <v>0</v>
      </c>
      <c r="O4097" s="15">
        <f t="shared" si="351"/>
        <v>164274</v>
      </c>
      <c r="P4097" s="15">
        <f t="shared" si="352"/>
        <v>11</v>
      </c>
      <c r="Q4097" s="14">
        <v>5000</v>
      </c>
      <c r="R4097" s="12">
        <v>100</v>
      </c>
      <c r="S4097" s="12" t="s">
        <v>4984</v>
      </c>
      <c r="T4097" s="22">
        <f t="shared" si="348"/>
        <v>2</v>
      </c>
      <c r="U4097" s="22">
        <f t="shared" si="349"/>
        <v>2022</v>
      </c>
      <c r="V4097" s="22" t="str">
        <f t="shared" si="350"/>
        <v>METROPOLITANA</v>
      </c>
    </row>
    <row r="4098" spans="1:22" x14ac:dyDescent="0.2">
      <c r="A4098" s="11" t="s">
        <v>4981</v>
      </c>
      <c r="B4098" s="12" t="s">
        <v>33</v>
      </c>
      <c r="C4098" s="12" t="s">
        <v>60</v>
      </c>
      <c r="D4098" s="12" t="s">
        <v>30</v>
      </c>
      <c r="E4098" s="13" t="s">
        <v>31</v>
      </c>
      <c r="F4098" s="12" t="s">
        <v>2058</v>
      </c>
      <c r="G4098" s="14">
        <v>9750</v>
      </c>
      <c r="H4098" s="12" t="s">
        <v>32</v>
      </c>
      <c r="I4098" s="12">
        <v>0</v>
      </c>
      <c r="J4098" s="12" t="s">
        <v>2058</v>
      </c>
      <c r="K4098" s="12" t="s">
        <v>75</v>
      </c>
      <c r="L4098" s="12">
        <v>0</v>
      </c>
      <c r="M4098" s="15">
        <v>480000</v>
      </c>
      <c r="N4098" s="15">
        <v>0</v>
      </c>
      <c r="O4098" s="15">
        <f t="shared" si="351"/>
        <v>480000</v>
      </c>
      <c r="P4098" s="15">
        <f t="shared" si="352"/>
        <v>49.230769230769234</v>
      </c>
      <c r="Q4098" s="14">
        <v>20000</v>
      </c>
      <c r="R4098" s="12">
        <v>49</v>
      </c>
      <c r="S4098" s="12" t="s">
        <v>4985</v>
      </c>
      <c r="T4098" s="22">
        <f t="shared" si="348"/>
        <v>2</v>
      </c>
      <c r="U4098" s="22">
        <f t="shared" si="349"/>
        <v>2022</v>
      </c>
      <c r="V4098" s="22" t="str">
        <f t="shared" si="350"/>
        <v>REGIONES</v>
      </c>
    </row>
    <row r="4099" spans="1:22" x14ac:dyDescent="0.2">
      <c r="A4099" s="11" t="s">
        <v>4981</v>
      </c>
      <c r="B4099" s="12" t="s">
        <v>33</v>
      </c>
      <c r="C4099" s="12" t="s">
        <v>163</v>
      </c>
      <c r="D4099" s="12" t="s">
        <v>37</v>
      </c>
      <c r="E4099" s="13" t="s">
        <v>40</v>
      </c>
      <c r="F4099" s="12" t="s">
        <v>165</v>
      </c>
      <c r="G4099" s="14">
        <v>8979.7999999999975</v>
      </c>
      <c r="H4099" s="12" t="s">
        <v>22</v>
      </c>
      <c r="I4099" s="12">
        <v>0</v>
      </c>
      <c r="J4099" s="12" t="s">
        <v>165</v>
      </c>
      <c r="K4099" s="12" t="s">
        <v>23</v>
      </c>
      <c r="L4099" s="12">
        <v>4</v>
      </c>
      <c r="M4099" s="15">
        <v>98778</v>
      </c>
      <c r="N4099" s="15">
        <v>0</v>
      </c>
      <c r="O4099" s="15">
        <f t="shared" si="351"/>
        <v>98778</v>
      </c>
      <c r="P4099" s="15">
        <f t="shared" si="352"/>
        <v>11.000022272210966</v>
      </c>
      <c r="Q4099" s="14">
        <v>5000</v>
      </c>
      <c r="R4099" s="12">
        <v>100</v>
      </c>
      <c r="S4099" s="12" t="s">
        <v>4986</v>
      </c>
      <c r="T4099" s="22">
        <f t="shared" si="348"/>
        <v>2</v>
      </c>
      <c r="U4099" s="22">
        <f t="shared" si="349"/>
        <v>2022</v>
      </c>
      <c r="V4099" s="22" t="str">
        <f t="shared" si="350"/>
        <v>METROPOLITANA</v>
      </c>
    </row>
    <row r="4100" spans="1:22" x14ac:dyDescent="0.2">
      <c r="A4100" s="11" t="s">
        <v>4981</v>
      </c>
      <c r="B4100" s="12" t="s">
        <v>33</v>
      </c>
      <c r="C4100" s="12" t="s">
        <v>128</v>
      </c>
      <c r="D4100" s="12" t="s">
        <v>786</v>
      </c>
      <c r="E4100" s="13" t="s">
        <v>787</v>
      </c>
      <c r="F4100" s="12" t="s">
        <v>133</v>
      </c>
      <c r="G4100" s="14">
        <v>8498.1999999999989</v>
      </c>
      <c r="H4100" s="12" t="s">
        <v>788</v>
      </c>
      <c r="I4100" s="12">
        <v>1</v>
      </c>
      <c r="J4100" s="12" t="s">
        <v>133</v>
      </c>
      <c r="K4100" s="12" t="s">
        <v>78</v>
      </c>
      <c r="L4100" s="12">
        <v>0</v>
      </c>
      <c r="M4100" s="15">
        <v>230000</v>
      </c>
      <c r="N4100" s="15">
        <v>0</v>
      </c>
      <c r="O4100" s="15">
        <f t="shared" si="351"/>
        <v>230000</v>
      </c>
      <c r="P4100" s="15">
        <f t="shared" si="352"/>
        <v>27.064554846908759</v>
      </c>
      <c r="Q4100" s="14">
        <v>20000</v>
      </c>
      <c r="R4100" s="12">
        <v>42</v>
      </c>
      <c r="S4100" s="12" t="s">
        <v>4987</v>
      </c>
      <c r="T4100" s="22">
        <f t="shared" si="348"/>
        <v>2</v>
      </c>
      <c r="U4100" s="22">
        <f t="shared" si="349"/>
        <v>2022</v>
      </c>
      <c r="V4100" s="22" t="str">
        <f t="shared" si="350"/>
        <v>REGIONES</v>
      </c>
    </row>
    <row r="4101" spans="1:22" x14ac:dyDescent="0.2">
      <c r="A4101" s="11" t="s">
        <v>4981</v>
      </c>
      <c r="B4101" s="12" t="s">
        <v>33</v>
      </c>
      <c r="C4101" s="12" t="s">
        <v>29</v>
      </c>
      <c r="D4101" s="12" t="s">
        <v>38</v>
      </c>
      <c r="E4101" s="13" t="s">
        <v>42</v>
      </c>
      <c r="F4101" s="12" t="s">
        <v>39</v>
      </c>
      <c r="G4101" s="14">
        <f>2198.4+550</f>
        <v>2748.4</v>
      </c>
      <c r="H4101" s="12" t="s">
        <v>43</v>
      </c>
      <c r="I4101" s="12">
        <v>0</v>
      </c>
      <c r="J4101" s="12" t="s">
        <v>39</v>
      </c>
      <c r="K4101" s="12" t="s">
        <v>23</v>
      </c>
      <c r="L4101" s="12">
        <v>1</v>
      </c>
      <c r="M4101" s="15">
        <v>55000</v>
      </c>
      <c r="N4101" s="15">
        <v>0</v>
      </c>
      <c r="O4101" s="15">
        <f t="shared" si="351"/>
        <v>55000</v>
      </c>
      <c r="P4101" s="15">
        <f t="shared" si="352"/>
        <v>20.011643137825644</v>
      </c>
      <c r="Q4101" s="14">
        <v>5000</v>
      </c>
      <c r="R4101" s="12">
        <v>65</v>
      </c>
      <c r="S4101" s="12" t="s">
        <v>5034</v>
      </c>
      <c r="T4101" s="22">
        <f t="shared" si="348"/>
        <v>2</v>
      </c>
      <c r="U4101" s="22">
        <f t="shared" si="349"/>
        <v>2022</v>
      </c>
      <c r="V4101" s="22" t="str">
        <f t="shared" si="350"/>
        <v>METROPOLITANA</v>
      </c>
    </row>
    <row r="4102" spans="1:22" x14ac:dyDescent="0.2">
      <c r="A4102" s="11" t="s">
        <v>4981</v>
      </c>
      <c r="B4102" s="12" t="s">
        <v>33</v>
      </c>
      <c r="C4102" s="12" t="s">
        <v>29</v>
      </c>
      <c r="D4102" s="12" t="s">
        <v>47</v>
      </c>
      <c r="E4102" s="13" t="s">
        <v>21</v>
      </c>
      <c r="F4102" s="12" t="s">
        <v>173</v>
      </c>
      <c r="G4102" s="14">
        <f>3851.8+550</f>
        <v>4401.8</v>
      </c>
      <c r="H4102" s="12" t="s">
        <v>22</v>
      </c>
      <c r="I4102" s="12">
        <v>0</v>
      </c>
      <c r="J4102" s="12" t="s">
        <v>173</v>
      </c>
      <c r="K4102" s="12" t="s">
        <v>23</v>
      </c>
      <c r="L4102" s="12">
        <v>5</v>
      </c>
      <c r="M4102" s="15">
        <v>90000</v>
      </c>
      <c r="N4102" s="15">
        <v>0</v>
      </c>
      <c r="O4102" s="15">
        <f t="shared" si="351"/>
        <v>90000</v>
      </c>
      <c r="P4102" s="15">
        <f t="shared" si="352"/>
        <v>20.446181107728655</v>
      </c>
      <c r="Q4102" s="14">
        <v>10000</v>
      </c>
      <c r="R4102" s="12">
        <v>55</v>
      </c>
      <c r="S4102" s="12" t="s">
        <v>5035</v>
      </c>
      <c r="T4102" s="22">
        <f t="shared" si="348"/>
        <v>2</v>
      </c>
      <c r="U4102" s="22">
        <f t="shared" si="349"/>
        <v>2022</v>
      </c>
      <c r="V4102" s="22" t="str">
        <f t="shared" si="350"/>
        <v>METROPOLITANA</v>
      </c>
    </row>
    <row r="4103" spans="1:22" x14ac:dyDescent="0.2">
      <c r="A4103" s="11" t="s">
        <v>4981</v>
      </c>
      <c r="B4103" s="12" t="s">
        <v>33</v>
      </c>
      <c r="C4103" s="12" t="s">
        <v>29</v>
      </c>
      <c r="D4103" s="12" t="s">
        <v>164</v>
      </c>
      <c r="E4103" s="13" t="s">
        <v>1576</v>
      </c>
      <c r="F4103" s="12" t="s">
        <v>39</v>
      </c>
      <c r="G4103" s="14">
        <v>7872.0000000000036</v>
      </c>
      <c r="H4103" s="12" t="s">
        <v>22</v>
      </c>
      <c r="I4103" s="12">
        <v>1</v>
      </c>
      <c r="J4103" s="12" t="s">
        <v>39</v>
      </c>
      <c r="K4103" s="12" t="s">
        <v>23</v>
      </c>
      <c r="L4103" s="12">
        <v>1</v>
      </c>
      <c r="M4103" s="15">
        <v>86592</v>
      </c>
      <c r="N4103" s="15">
        <v>0</v>
      </c>
      <c r="O4103" s="15">
        <f t="shared" si="351"/>
        <v>86592</v>
      </c>
      <c r="P4103" s="15">
        <f t="shared" si="352"/>
        <v>10.999999999999995</v>
      </c>
      <c r="Q4103" s="14">
        <v>5000</v>
      </c>
      <c r="R4103" s="12">
        <v>100</v>
      </c>
      <c r="S4103" s="12" t="s">
        <v>4988</v>
      </c>
      <c r="T4103" s="22">
        <f t="shared" si="348"/>
        <v>2</v>
      </c>
      <c r="U4103" s="22">
        <f t="shared" si="349"/>
        <v>2022</v>
      </c>
      <c r="V4103" s="22" t="str">
        <f t="shared" si="350"/>
        <v>METROPOLITANA</v>
      </c>
    </row>
    <row r="4104" spans="1:22" x14ac:dyDescent="0.2">
      <c r="A4104" s="11" t="s">
        <v>4981</v>
      </c>
      <c r="B4104" s="12" t="s">
        <v>33</v>
      </c>
      <c r="C4104" s="12" t="s">
        <v>29</v>
      </c>
      <c r="D4104" s="12" t="s">
        <v>20</v>
      </c>
      <c r="E4104" s="13" t="s">
        <v>21</v>
      </c>
      <c r="F4104" s="12" t="s">
        <v>39</v>
      </c>
      <c r="G4104" s="14">
        <f>2198.4+334</f>
        <v>2532.4</v>
      </c>
      <c r="H4104" s="12" t="s">
        <v>22</v>
      </c>
      <c r="I4104" s="12">
        <v>0</v>
      </c>
      <c r="J4104" s="12" t="s">
        <v>39</v>
      </c>
      <c r="K4104" s="12" t="s">
        <v>23</v>
      </c>
      <c r="L4104" s="12">
        <v>1</v>
      </c>
      <c r="M4104" s="15">
        <v>55000</v>
      </c>
      <c r="N4104" s="15">
        <v>0</v>
      </c>
      <c r="O4104" s="15">
        <f t="shared" si="351"/>
        <v>55000</v>
      </c>
      <c r="P4104" s="15">
        <f t="shared" si="352"/>
        <v>21.71852787869215</v>
      </c>
      <c r="Q4104" s="14">
        <v>5000</v>
      </c>
      <c r="R4104" s="12">
        <v>44</v>
      </c>
      <c r="S4104" s="12" t="s">
        <v>5036</v>
      </c>
      <c r="T4104" s="22">
        <f t="shared" ref="T4104:T4167" si="353">MONTH(A4104)</f>
        <v>2</v>
      </c>
      <c r="U4104" s="22">
        <f t="shared" ref="U4104:U4167" si="354">YEAR(A4104)</f>
        <v>2022</v>
      </c>
      <c r="V4104" s="22" t="str">
        <f t="shared" ref="V4104:V4167" si="355">IF(K4104="METROPOLITANA DE SANTIAGO","METROPOLITANA","REGIONES")</f>
        <v>METROPOLITANA</v>
      </c>
    </row>
    <row r="4105" spans="1:22" x14ac:dyDescent="0.2">
      <c r="A4105" s="11" t="s">
        <v>4981</v>
      </c>
      <c r="B4105" s="12" t="s">
        <v>33</v>
      </c>
      <c r="C4105" s="12" t="s">
        <v>44</v>
      </c>
      <c r="D4105" s="12" t="s">
        <v>4569</v>
      </c>
      <c r="E4105" s="13" t="s">
        <v>868</v>
      </c>
      <c r="F4105" s="12" t="s">
        <v>815</v>
      </c>
      <c r="G4105" s="14">
        <v>8244.0000000000036</v>
      </c>
      <c r="H4105" s="12" t="s">
        <v>24</v>
      </c>
      <c r="I4105" s="12">
        <v>1</v>
      </c>
      <c r="J4105" s="12" t="s">
        <v>815</v>
      </c>
      <c r="K4105" s="12" t="s">
        <v>75</v>
      </c>
      <c r="L4105" s="12">
        <v>0</v>
      </c>
      <c r="M4105" s="15">
        <v>460000</v>
      </c>
      <c r="N4105" s="15">
        <v>0</v>
      </c>
      <c r="O4105" s="15">
        <f t="shared" si="351"/>
        <v>460000</v>
      </c>
      <c r="P4105" s="15">
        <f t="shared" si="352"/>
        <v>55.798156234837435</v>
      </c>
      <c r="Q4105" s="14">
        <v>20000</v>
      </c>
      <c r="R4105" s="12">
        <v>41</v>
      </c>
      <c r="S4105" s="12" t="s">
        <v>4989</v>
      </c>
      <c r="T4105" s="22">
        <f t="shared" si="353"/>
        <v>2</v>
      </c>
      <c r="U4105" s="22">
        <f t="shared" si="354"/>
        <v>2022</v>
      </c>
      <c r="V4105" s="22" t="str">
        <f t="shared" si="355"/>
        <v>REGIONES</v>
      </c>
    </row>
    <row r="4106" spans="1:22" x14ac:dyDescent="0.2">
      <c r="A4106" s="11" t="s">
        <v>4981</v>
      </c>
      <c r="B4106" s="12" t="s">
        <v>33</v>
      </c>
      <c r="C4106" s="12" t="s">
        <v>44</v>
      </c>
      <c r="D4106" s="12" t="s">
        <v>45</v>
      </c>
      <c r="E4106" s="13" t="s">
        <v>52</v>
      </c>
      <c r="F4106" s="12" t="s">
        <v>48</v>
      </c>
      <c r="G4106" s="14">
        <v>3731.110000000001</v>
      </c>
      <c r="H4106" s="12" t="s">
        <v>22</v>
      </c>
      <c r="I4106" s="12">
        <v>0</v>
      </c>
      <c r="J4106" s="12" t="s">
        <v>48</v>
      </c>
      <c r="K4106" s="12" t="s">
        <v>23</v>
      </c>
      <c r="L4106" s="12">
        <v>1</v>
      </c>
      <c r="M4106" s="15">
        <v>55000</v>
      </c>
      <c r="N4106" s="15">
        <v>0</v>
      </c>
      <c r="O4106" s="15">
        <f t="shared" si="351"/>
        <v>55000</v>
      </c>
      <c r="P4106" s="15">
        <f t="shared" si="352"/>
        <v>14.740921602418579</v>
      </c>
      <c r="Q4106" s="14">
        <v>5000</v>
      </c>
      <c r="R4106" s="12">
        <v>75</v>
      </c>
      <c r="S4106" s="12" t="s">
        <v>4990</v>
      </c>
      <c r="T4106" s="22">
        <f t="shared" si="353"/>
        <v>2</v>
      </c>
      <c r="U4106" s="22">
        <f t="shared" si="354"/>
        <v>2022</v>
      </c>
      <c r="V4106" s="22" t="str">
        <f t="shared" si="355"/>
        <v>METROPOLITANA</v>
      </c>
    </row>
    <row r="4107" spans="1:22" x14ac:dyDescent="0.2">
      <c r="A4107" s="11" t="s">
        <v>4981</v>
      </c>
      <c r="B4107" s="12" t="s">
        <v>33</v>
      </c>
      <c r="C4107" s="12" t="s">
        <v>44</v>
      </c>
      <c r="D4107" s="12" t="s">
        <v>47</v>
      </c>
      <c r="E4107" s="13" t="s">
        <v>1576</v>
      </c>
      <c r="F4107" s="12" t="s">
        <v>46</v>
      </c>
      <c r="G4107" s="14">
        <v>3586.1200000000008</v>
      </c>
      <c r="H4107" s="12" t="s">
        <v>22</v>
      </c>
      <c r="I4107" s="12">
        <v>0</v>
      </c>
      <c r="J4107" s="12" t="s">
        <v>46</v>
      </c>
      <c r="K4107" s="12" t="s">
        <v>23</v>
      </c>
      <c r="L4107" s="12">
        <v>2</v>
      </c>
      <c r="M4107" s="15">
        <v>55000</v>
      </c>
      <c r="N4107" s="15">
        <v>0</v>
      </c>
      <c r="O4107" s="15">
        <f t="shared" si="351"/>
        <v>55000</v>
      </c>
      <c r="P4107" s="15">
        <f t="shared" si="352"/>
        <v>15.336910086667482</v>
      </c>
      <c r="Q4107" s="14">
        <v>5000</v>
      </c>
      <c r="R4107" s="12">
        <v>72</v>
      </c>
      <c r="S4107" s="12" t="s">
        <v>4991</v>
      </c>
      <c r="T4107" s="22">
        <f t="shared" si="353"/>
        <v>2</v>
      </c>
      <c r="U4107" s="22">
        <f t="shared" si="354"/>
        <v>2022</v>
      </c>
      <c r="V4107" s="22" t="str">
        <f t="shared" si="355"/>
        <v>METROPOLITANA</v>
      </c>
    </row>
    <row r="4108" spans="1:22" x14ac:dyDescent="0.2">
      <c r="A4108" s="23" t="s">
        <v>4992</v>
      </c>
      <c r="B4108" s="22" t="s">
        <v>18</v>
      </c>
      <c r="C4108" s="22" t="s">
        <v>19</v>
      </c>
      <c r="D4108" s="22" t="s">
        <v>191</v>
      </c>
      <c r="E4108" s="24" t="s">
        <v>192</v>
      </c>
      <c r="F4108" s="22" t="s">
        <v>691</v>
      </c>
      <c r="G4108" s="25">
        <v>18645.36</v>
      </c>
      <c r="H4108" s="22" t="s">
        <v>85</v>
      </c>
      <c r="I4108" s="22">
        <v>1</v>
      </c>
      <c r="J4108" s="22" t="s">
        <v>691</v>
      </c>
      <c r="K4108" s="22" t="s">
        <v>873</v>
      </c>
      <c r="L4108" s="22">
        <v>0</v>
      </c>
      <c r="M4108" s="26">
        <v>1100000</v>
      </c>
      <c r="N4108" s="26">
        <v>0</v>
      </c>
      <c r="O4108" s="15">
        <f t="shared" si="351"/>
        <v>1100000</v>
      </c>
      <c r="P4108" s="15">
        <f t="shared" si="352"/>
        <v>58.995911047037971</v>
      </c>
      <c r="Q4108" s="25">
        <v>20000</v>
      </c>
      <c r="R4108" s="22">
        <v>93</v>
      </c>
      <c r="S4108" s="22" t="s">
        <v>4993</v>
      </c>
      <c r="T4108" s="22">
        <f t="shared" si="353"/>
        <v>2</v>
      </c>
      <c r="U4108" s="22">
        <f t="shared" si="354"/>
        <v>2022</v>
      </c>
      <c r="V4108" s="22" t="str">
        <f t="shared" si="355"/>
        <v>REGIONES</v>
      </c>
    </row>
    <row r="4109" spans="1:22" x14ac:dyDescent="0.2">
      <c r="A4109" s="23" t="s">
        <v>4992</v>
      </c>
      <c r="B4109" s="22" t="s">
        <v>18</v>
      </c>
      <c r="C4109" s="22" t="s">
        <v>19</v>
      </c>
      <c r="D4109" s="22" t="s">
        <v>2262</v>
      </c>
      <c r="E4109" s="24" t="s">
        <v>83</v>
      </c>
      <c r="F4109" s="22" t="s">
        <v>84</v>
      </c>
      <c r="G4109" s="25">
        <v>16820.98000000001</v>
      </c>
      <c r="H4109" s="22" t="s">
        <v>24</v>
      </c>
      <c r="I4109" s="22">
        <v>1</v>
      </c>
      <c r="J4109" s="22" t="s">
        <v>84</v>
      </c>
      <c r="K4109" s="22" t="s">
        <v>86</v>
      </c>
      <c r="L4109" s="22">
        <v>0</v>
      </c>
      <c r="M4109" s="26">
        <v>330000</v>
      </c>
      <c r="N4109" s="26">
        <v>0</v>
      </c>
      <c r="O4109" s="15">
        <f t="shared" si="351"/>
        <v>330000</v>
      </c>
      <c r="P4109" s="15">
        <f t="shared" si="352"/>
        <v>19.618357551105809</v>
      </c>
      <c r="Q4109" s="25">
        <v>20000</v>
      </c>
      <c r="R4109" s="22">
        <v>84</v>
      </c>
      <c r="S4109" s="22" t="s">
        <v>4994</v>
      </c>
      <c r="T4109" s="22">
        <f t="shared" si="353"/>
        <v>2</v>
      </c>
      <c r="U4109" s="22">
        <f t="shared" si="354"/>
        <v>2022</v>
      </c>
      <c r="V4109" s="22" t="str">
        <f t="shared" si="355"/>
        <v>REGIONES</v>
      </c>
    </row>
    <row r="4110" spans="1:22" x14ac:dyDescent="0.2">
      <c r="A4110" s="23" t="s">
        <v>4992</v>
      </c>
      <c r="B4110" s="22" t="s">
        <v>33</v>
      </c>
      <c r="C4110" s="22" t="s">
        <v>270</v>
      </c>
      <c r="D4110" s="22" t="s">
        <v>37</v>
      </c>
      <c r="E4110" s="24" t="s">
        <v>1576</v>
      </c>
      <c r="F4110" s="22" t="s">
        <v>377</v>
      </c>
      <c r="G4110" s="25">
        <v>7963.5000000000027</v>
      </c>
      <c r="H4110" s="22" t="s">
        <v>22</v>
      </c>
      <c r="I4110" s="22">
        <v>0</v>
      </c>
      <c r="J4110" s="22" t="s">
        <v>377</v>
      </c>
      <c r="K4110" s="22" t="s">
        <v>23</v>
      </c>
      <c r="L4110" s="22">
        <v>4</v>
      </c>
      <c r="M4110" s="26">
        <v>87599</v>
      </c>
      <c r="N4110" s="26">
        <v>0</v>
      </c>
      <c r="O4110" s="15">
        <f t="shared" si="351"/>
        <v>87599</v>
      </c>
      <c r="P4110" s="15">
        <f t="shared" si="352"/>
        <v>11.000062786463234</v>
      </c>
      <c r="Q4110" s="25">
        <v>5000</v>
      </c>
      <c r="R4110" s="22">
        <v>100</v>
      </c>
      <c r="S4110" s="22" t="s">
        <v>4995</v>
      </c>
      <c r="T4110" s="22">
        <f t="shared" si="353"/>
        <v>2</v>
      </c>
      <c r="U4110" s="22">
        <f t="shared" si="354"/>
        <v>2022</v>
      </c>
      <c r="V4110" s="22" t="str">
        <f t="shared" si="355"/>
        <v>METROPOLITANA</v>
      </c>
    </row>
    <row r="4111" spans="1:22" x14ac:dyDescent="0.2">
      <c r="A4111" s="23" t="s">
        <v>4992</v>
      </c>
      <c r="B4111" s="22" t="s">
        <v>33</v>
      </c>
      <c r="C4111" s="22" t="s">
        <v>4331</v>
      </c>
      <c r="D4111" s="22" t="s">
        <v>38</v>
      </c>
      <c r="E4111" s="24" t="s">
        <v>42</v>
      </c>
      <c r="F4111" s="22" t="s">
        <v>161</v>
      </c>
      <c r="G4111" s="25">
        <v>11955.37</v>
      </c>
      <c r="H4111" s="22" t="s">
        <v>43</v>
      </c>
      <c r="I4111" s="22">
        <v>0</v>
      </c>
      <c r="J4111" s="22" t="s">
        <v>161</v>
      </c>
      <c r="K4111" s="22" t="s">
        <v>23</v>
      </c>
      <c r="L4111" s="22">
        <v>5</v>
      </c>
      <c r="M4111" s="26">
        <v>70000</v>
      </c>
      <c r="N4111" s="26">
        <v>0</v>
      </c>
      <c r="O4111" s="15">
        <f t="shared" si="351"/>
        <v>70000</v>
      </c>
      <c r="P4111" s="15">
        <f t="shared" si="352"/>
        <v>5.8551094612713781</v>
      </c>
      <c r="Q4111" s="25">
        <v>10000</v>
      </c>
      <c r="R4111" s="22">
        <v>100</v>
      </c>
      <c r="S4111" s="22" t="s">
        <v>4996</v>
      </c>
      <c r="T4111" s="22">
        <f t="shared" si="353"/>
        <v>2</v>
      </c>
      <c r="U4111" s="22">
        <f t="shared" si="354"/>
        <v>2022</v>
      </c>
      <c r="V4111" s="22" t="str">
        <f t="shared" si="355"/>
        <v>METROPOLITANA</v>
      </c>
    </row>
    <row r="4112" spans="1:22" x14ac:dyDescent="0.2">
      <c r="A4112" s="23" t="s">
        <v>4992</v>
      </c>
      <c r="B4112" s="22" t="s">
        <v>33</v>
      </c>
      <c r="C4112" s="22" t="s">
        <v>128</v>
      </c>
      <c r="D4112" s="22" t="s">
        <v>786</v>
      </c>
      <c r="E4112" s="24" t="s">
        <v>787</v>
      </c>
      <c r="F4112" s="22" t="s">
        <v>129</v>
      </c>
      <c r="G4112" s="25">
        <v>8244.0000000000036</v>
      </c>
      <c r="H4112" s="22" t="s">
        <v>788</v>
      </c>
      <c r="I4112" s="22">
        <v>1</v>
      </c>
      <c r="J4112" s="22" t="s">
        <v>129</v>
      </c>
      <c r="K4112" s="22" t="s">
        <v>23</v>
      </c>
      <c r="L4112" s="22">
        <v>1</v>
      </c>
      <c r="M4112" s="26">
        <v>90684</v>
      </c>
      <c r="N4112" s="26">
        <v>0</v>
      </c>
      <c r="O4112" s="15">
        <f t="shared" si="351"/>
        <v>90684</v>
      </c>
      <c r="P4112" s="15">
        <f t="shared" si="352"/>
        <v>10.999999999999995</v>
      </c>
      <c r="Q4112" s="25">
        <v>5000</v>
      </c>
      <c r="R4112" s="22">
        <v>100</v>
      </c>
      <c r="S4112" s="22" t="s">
        <v>4997</v>
      </c>
      <c r="T4112" s="22">
        <f t="shared" si="353"/>
        <v>2</v>
      </c>
      <c r="U4112" s="22">
        <f t="shared" si="354"/>
        <v>2022</v>
      </c>
      <c r="V4112" s="22" t="str">
        <f t="shared" si="355"/>
        <v>METROPOLITANA</v>
      </c>
    </row>
    <row r="4113" spans="1:22" x14ac:dyDescent="0.2">
      <c r="A4113" s="23" t="s">
        <v>4992</v>
      </c>
      <c r="B4113" s="22" t="s">
        <v>33</v>
      </c>
      <c r="C4113" s="22" t="s">
        <v>128</v>
      </c>
      <c r="D4113" s="22" t="s">
        <v>30</v>
      </c>
      <c r="E4113" s="24" t="s">
        <v>31</v>
      </c>
      <c r="F4113" s="22" t="s">
        <v>129</v>
      </c>
      <c r="G4113" s="25">
        <v>2748</v>
      </c>
      <c r="H4113" s="22" t="s">
        <v>32</v>
      </c>
      <c r="I4113" s="22">
        <v>0</v>
      </c>
      <c r="J4113" s="22" t="s">
        <v>129</v>
      </c>
      <c r="K4113" s="22" t="s">
        <v>23</v>
      </c>
      <c r="L4113" s="22">
        <v>1</v>
      </c>
      <c r="M4113" s="26">
        <v>55000</v>
      </c>
      <c r="N4113" s="26">
        <v>0</v>
      </c>
      <c r="O4113" s="15">
        <f t="shared" si="351"/>
        <v>55000</v>
      </c>
      <c r="P4113" s="15">
        <f t="shared" si="352"/>
        <v>20.014556040756915</v>
      </c>
      <c r="Q4113" s="25">
        <v>5000</v>
      </c>
      <c r="R4113" s="22">
        <v>55</v>
      </c>
      <c r="S4113" s="22" t="s">
        <v>4998</v>
      </c>
      <c r="T4113" s="22">
        <f t="shared" si="353"/>
        <v>2</v>
      </c>
      <c r="U4113" s="22">
        <f t="shared" si="354"/>
        <v>2022</v>
      </c>
      <c r="V4113" s="22" t="str">
        <f t="shared" si="355"/>
        <v>METROPOLITANA</v>
      </c>
    </row>
    <row r="4114" spans="1:22" x14ac:dyDescent="0.2">
      <c r="A4114" s="23" t="s">
        <v>4992</v>
      </c>
      <c r="B4114" s="22" t="s">
        <v>33</v>
      </c>
      <c r="C4114" s="22" t="s">
        <v>128</v>
      </c>
      <c r="D4114" s="22" t="s">
        <v>47</v>
      </c>
      <c r="E4114" s="24" t="s">
        <v>52</v>
      </c>
      <c r="F4114" s="22" t="s">
        <v>129</v>
      </c>
      <c r="G4114" s="25">
        <v>2748</v>
      </c>
      <c r="H4114" s="22" t="s">
        <v>22</v>
      </c>
      <c r="I4114" s="22">
        <v>0</v>
      </c>
      <c r="J4114" s="22" t="s">
        <v>129</v>
      </c>
      <c r="K4114" s="22" t="s">
        <v>23</v>
      </c>
      <c r="L4114" s="22">
        <v>1</v>
      </c>
      <c r="M4114" s="26">
        <v>55000</v>
      </c>
      <c r="N4114" s="26">
        <v>0</v>
      </c>
      <c r="O4114" s="15">
        <f t="shared" si="351"/>
        <v>55000</v>
      </c>
      <c r="P4114" s="15">
        <f t="shared" si="352"/>
        <v>20.014556040756915</v>
      </c>
      <c r="Q4114" s="25">
        <v>5000</v>
      </c>
      <c r="R4114" s="22">
        <v>55</v>
      </c>
      <c r="S4114" s="22" t="s">
        <v>4999</v>
      </c>
      <c r="T4114" s="22">
        <f t="shared" si="353"/>
        <v>2</v>
      </c>
      <c r="U4114" s="22">
        <f t="shared" si="354"/>
        <v>2022</v>
      </c>
      <c r="V4114" s="22" t="str">
        <f t="shared" si="355"/>
        <v>METROPOLITANA</v>
      </c>
    </row>
    <row r="4115" spans="1:22" x14ac:dyDescent="0.2">
      <c r="A4115" s="23" t="s">
        <v>4992</v>
      </c>
      <c r="B4115" s="22" t="s">
        <v>33</v>
      </c>
      <c r="C4115" s="22" t="s">
        <v>909</v>
      </c>
      <c r="D4115" s="22" t="s">
        <v>41</v>
      </c>
      <c r="E4115" s="24" t="s">
        <v>25</v>
      </c>
      <c r="F4115" s="22" t="s">
        <v>2919</v>
      </c>
      <c r="G4115" s="25">
        <v>5400.8000000000011</v>
      </c>
      <c r="H4115" s="22" t="s">
        <v>43</v>
      </c>
      <c r="I4115" s="22">
        <v>0</v>
      </c>
      <c r="J4115" s="22" t="s">
        <v>2919</v>
      </c>
      <c r="K4115" s="22" t="s">
        <v>23</v>
      </c>
      <c r="L4115" s="22">
        <v>3</v>
      </c>
      <c r="M4115" s="26">
        <v>59409</v>
      </c>
      <c r="N4115" s="26">
        <v>0</v>
      </c>
      <c r="O4115" s="15">
        <f t="shared" si="351"/>
        <v>59409</v>
      </c>
      <c r="P4115" s="15">
        <f t="shared" si="352"/>
        <v>11.00003703155088</v>
      </c>
      <c r="Q4115" s="25">
        <v>5000</v>
      </c>
      <c r="R4115" s="22">
        <v>100</v>
      </c>
      <c r="S4115" s="22" t="s">
        <v>5000</v>
      </c>
      <c r="T4115" s="22">
        <f t="shared" si="353"/>
        <v>2</v>
      </c>
      <c r="U4115" s="22">
        <f t="shared" si="354"/>
        <v>2022</v>
      </c>
      <c r="V4115" s="22" t="str">
        <f t="shared" si="355"/>
        <v>METROPOLITANA</v>
      </c>
    </row>
    <row r="4116" spans="1:22" x14ac:dyDescent="0.2">
      <c r="A4116" s="23" t="s">
        <v>4992</v>
      </c>
      <c r="B4116" s="22" t="s">
        <v>33</v>
      </c>
      <c r="C4116" s="22" t="s">
        <v>29</v>
      </c>
      <c r="D4116" s="22" t="s">
        <v>38</v>
      </c>
      <c r="E4116" s="24" t="s">
        <v>42</v>
      </c>
      <c r="F4116" s="22" t="s">
        <v>39</v>
      </c>
      <c r="G4116" s="25">
        <v>2748</v>
      </c>
      <c r="H4116" s="22" t="s">
        <v>43</v>
      </c>
      <c r="I4116" s="22">
        <v>0</v>
      </c>
      <c r="J4116" s="22" t="s">
        <v>39</v>
      </c>
      <c r="K4116" s="22" t="s">
        <v>23</v>
      </c>
      <c r="L4116" s="22">
        <v>1</v>
      </c>
      <c r="M4116" s="26">
        <v>55000</v>
      </c>
      <c r="N4116" s="26">
        <v>0</v>
      </c>
      <c r="O4116" s="15">
        <f t="shared" si="351"/>
        <v>55000</v>
      </c>
      <c r="P4116" s="15">
        <f t="shared" si="352"/>
        <v>20.014556040756915</v>
      </c>
      <c r="Q4116" s="25">
        <v>5000</v>
      </c>
      <c r="R4116" s="22">
        <v>55</v>
      </c>
      <c r="S4116" s="22" t="s">
        <v>5001</v>
      </c>
      <c r="T4116" s="22">
        <f t="shared" si="353"/>
        <v>2</v>
      </c>
      <c r="U4116" s="22">
        <f t="shared" si="354"/>
        <v>2022</v>
      </c>
      <c r="V4116" s="22" t="str">
        <f t="shared" si="355"/>
        <v>METROPOLITANA</v>
      </c>
    </row>
    <row r="4117" spans="1:22" x14ac:dyDescent="0.2">
      <c r="A4117" s="23" t="s">
        <v>4992</v>
      </c>
      <c r="B4117" s="22" t="s">
        <v>33</v>
      </c>
      <c r="C4117" s="22" t="s">
        <v>29</v>
      </c>
      <c r="D4117" s="22" t="s">
        <v>38</v>
      </c>
      <c r="E4117" s="24" t="s">
        <v>42</v>
      </c>
      <c r="F4117" s="22" t="s">
        <v>129</v>
      </c>
      <c r="G4117" s="25">
        <v>5016</v>
      </c>
      <c r="H4117" s="22" t="s">
        <v>43</v>
      </c>
      <c r="I4117" s="22">
        <v>0</v>
      </c>
      <c r="J4117" s="22" t="s">
        <v>129</v>
      </c>
      <c r="K4117" s="22" t="s">
        <v>23</v>
      </c>
      <c r="L4117" s="22">
        <v>1</v>
      </c>
      <c r="M4117" s="26">
        <v>55176</v>
      </c>
      <c r="N4117" s="26">
        <v>0</v>
      </c>
      <c r="O4117" s="15">
        <f t="shared" si="351"/>
        <v>55176</v>
      </c>
      <c r="P4117" s="15">
        <f t="shared" si="352"/>
        <v>11</v>
      </c>
      <c r="Q4117" s="25">
        <v>5000</v>
      </c>
      <c r="R4117" s="22">
        <v>100</v>
      </c>
      <c r="S4117" s="22" t="s">
        <v>5002</v>
      </c>
      <c r="T4117" s="22">
        <f t="shared" si="353"/>
        <v>2</v>
      </c>
      <c r="U4117" s="22">
        <f t="shared" si="354"/>
        <v>2022</v>
      </c>
      <c r="V4117" s="22" t="str">
        <f t="shared" si="355"/>
        <v>METROPOLITANA</v>
      </c>
    </row>
    <row r="4118" spans="1:22" x14ac:dyDescent="0.2">
      <c r="A4118" s="23" t="s">
        <v>4992</v>
      </c>
      <c r="B4118" s="22" t="s">
        <v>33</v>
      </c>
      <c r="C4118" s="22" t="s">
        <v>29</v>
      </c>
      <c r="D4118" s="22" t="s">
        <v>37</v>
      </c>
      <c r="E4118" s="24" t="s">
        <v>40</v>
      </c>
      <c r="F4118" s="22" t="s">
        <v>39</v>
      </c>
      <c r="G4118" s="25">
        <v>2748</v>
      </c>
      <c r="H4118" s="22" t="s">
        <v>22</v>
      </c>
      <c r="I4118" s="22">
        <v>0</v>
      </c>
      <c r="J4118" s="22" t="s">
        <v>39</v>
      </c>
      <c r="K4118" s="22" t="s">
        <v>23</v>
      </c>
      <c r="L4118" s="22">
        <v>1</v>
      </c>
      <c r="M4118" s="26">
        <v>55000</v>
      </c>
      <c r="N4118" s="26">
        <v>0</v>
      </c>
      <c r="O4118" s="15">
        <f t="shared" si="351"/>
        <v>55000</v>
      </c>
      <c r="P4118" s="15">
        <f t="shared" si="352"/>
        <v>20.014556040756915</v>
      </c>
      <c r="Q4118" s="25">
        <v>5000</v>
      </c>
      <c r="R4118" s="22">
        <v>55</v>
      </c>
      <c r="S4118" s="22" t="s">
        <v>5003</v>
      </c>
      <c r="T4118" s="22">
        <f t="shared" si="353"/>
        <v>2</v>
      </c>
      <c r="U4118" s="22">
        <f t="shared" si="354"/>
        <v>2022</v>
      </c>
      <c r="V4118" s="22" t="str">
        <f t="shared" si="355"/>
        <v>METROPOLITANA</v>
      </c>
    </row>
    <row r="4119" spans="1:22" x14ac:dyDescent="0.2">
      <c r="A4119" s="23" t="s">
        <v>4992</v>
      </c>
      <c r="B4119" s="22" t="s">
        <v>33</v>
      </c>
      <c r="C4119" s="22" t="s">
        <v>29</v>
      </c>
      <c r="D4119" s="22" t="s">
        <v>47</v>
      </c>
      <c r="E4119" s="24" t="s">
        <v>52</v>
      </c>
      <c r="F4119" s="22" t="s">
        <v>129</v>
      </c>
      <c r="G4119" s="25">
        <v>4093.2000000000012</v>
      </c>
      <c r="H4119" s="22" t="s">
        <v>22</v>
      </c>
      <c r="I4119" s="22">
        <v>0</v>
      </c>
      <c r="J4119" s="22" t="s">
        <v>129</v>
      </c>
      <c r="K4119" s="22" t="s">
        <v>23</v>
      </c>
      <c r="L4119" s="22">
        <v>1</v>
      </c>
      <c r="M4119" s="26">
        <v>55000</v>
      </c>
      <c r="N4119" s="26">
        <v>0</v>
      </c>
      <c r="O4119" s="15">
        <f t="shared" si="351"/>
        <v>55000</v>
      </c>
      <c r="P4119" s="15">
        <f t="shared" si="352"/>
        <v>13.436919769373592</v>
      </c>
      <c r="Q4119" s="25">
        <v>5000</v>
      </c>
      <c r="R4119" s="22">
        <v>82</v>
      </c>
      <c r="S4119" s="22" t="s">
        <v>5004</v>
      </c>
      <c r="T4119" s="22">
        <f t="shared" si="353"/>
        <v>2</v>
      </c>
      <c r="U4119" s="22">
        <f t="shared" si="354"/>
        <v>2022</v>
      </c>
      <c r="V4119" s="22" t="str">
        <f t="shared" si="355"/>
        <v>METROPOLITANA</v>
      </c>
    </row>
    <row r="4120" spans="1:22" x14ac:dyDescent="0.2">
      <c r="A4120" s="23" t="s">
        <v>4992</v>
      </c>
      <c r="B4120" s="22" t="s">
        <v>33</v>
      </c>
      <c r="C4120" s="22" t="s">
        <v>29</v>
      </c>
      <c r="D4120" s="22" t="s">
        <v>164</v>
      </c>
      <c r="E4120" s="24" t="s">
        <v>1576</v>
      </c>
      <c r="F4120" s="22" t="s">
        <v>39</v>
      </c>
      <c r="G4120" s="25">
        <v>8244.0000000000036</v>
      </c>
      <c r="H4120" s="22" t="s">
        <v>22</v>
      </c>
      <c r="I4120" s="22">
        <v>1</v>
      </c>
      <c r="J4120" s="22" t="s">
        <v>39</v>
      </c>
      <c r="K4120" s="22" t="s">
        <v>23</v>
      </c>
      <c r="L4120" s="22">
        <v>1</v>
      </c>
      <c r="M4120" s="26">
        <v>90684</v>
      </c>
      <c r="N4120" s="26">
        <v>0</v>
      </c>
      <c r="O4120" s="15">
        <f t="shared" si="351"/>
        <v>90684</v>
      </c>
      <c r="P4120" s="15">
        <f t="shared" si="352"/>
        <v>10.999999999999995</v>
      </c>
      <c r="Q4120" s="25">
        <v>5000</v>
      </c>
      <c r="R4120" s="22">
        <v>100</v>
      </c>
      <c r="S4120" s="22" t="s">
        <v>5005</v>
      </c>
      <c r="T4120" s="22">
        <f t="shared" si="353"/>
        <v>2</v>
      </c>
      <c r="U4120" s="22">
        <f t="shared" si="354"/>
        <v>2022</v>
      </c>
      <c r="V4120" s="22" t="str">
        <f t="shared" si="355"/>
        <v>METROPOLITANA</v>
      </c>
    </row>
    <row r="4121" spans="1:22" x14ac:dyDescent="0.2">
      <c r="A4121" s="23" t="s">
        <v>4992</v>
      </c>
      <c r="B4121" s="22" t="s">
        <v>33</v>
      </c>
      <c r="C4121" s="22" t="s">
        <v>44</v>
      </c>
      <c r="D4121" s="22" t="s">
        <v>45</v>
      </c>
      <c r="E4121" s="24" t="s">
        <v>52</v>
      </c>
      <c r="F4121" s="22" t="s">
        <v>51</v>
      </c>
      <c r="G4121" s="25">
        <f>4371.4+229</f>
        <v>4600.3999999999996</v>
      </c>
      <c r="H4121" s="22" t="s">
        <v>22</v>
      </c>
      <c r="I4121" s="22">
        <v>0</v>
      </c>
      <c r="J4121" s="22" t="s">
        <v>51</v>
      </c>
      <c r="K4121" s="22" t="s">
        <v>23</v>
      </c>
      <c r="L4121" s="22">
        <v>4</v>
      </c>
      <c r="M4121" s="26">
        <v>55000</v>
      </c>
      <c r="N4121" s="26">
        <v>0</v>
      </c>
      <c r="O4121" s="15">
        <f t="shared" si="351"/>
        <v>55000</v>
      </c>
      <c r="P4121" s="15">
        <f t="shared" si="352"/>
        <v>11.955482131988523</v>
      </c>
      <c r="Q4121" s="25">
        <v>5000</v>
      </c>
      <c r="R4121" s="22">
        <v>95</v>
      </c>
      <c r="S4121" s="22" t="s">
        <v>5037</v>
      </c>
      <c r="T4121" s="22">
        <f t="shared" si="353"/>
        <v>2</v>
      </c>
      <c r="U4121" s="22">
        <f t="shared" si="354"/>
        <v>2022</v>
      </c>
      <c r="V4121" s="22" t="str">
        <f t="shared" si="355"/>
        <v>METROPOLITANA</v>
      </c>
    </row>
    <row r="4122" spans="1:22" x14ac:dyDescent="0.2">
      <c r="A4122" s="23" t="s">
        <v>4992</v>
      </c>
      <c r="B4122" s="22" t="s">
        <v>33</v>
      </c>
      <c r="C4122" s="22" t="s">
        <v>44</v>
      </c>
      <c r="D4122" s="22" t="s">
        <v>47</v>
      </c>
      <c r="E4122" s="24" t="s">
        <v>21</v>
      </c>
      <c r="F4122" s="22" t="s">
        <v>134</v>
      </c>
      <c r="G4122" s="25">
        <v>6871.0199999999986</v>
      </c>
      <c r="H4122" s="22" t="s">
        <v>22</v>
      </c>
      <c r="I4122" s="22">
        <v>0</v>
      </c>
      <c r="J4122" s="22" t="s">
        <v>134</v>
      </c>
      <c r="K4122" s="22" t="s">
        <v>23</v>
      </c>
      <c r="L4122" s="22">
        <v>2</v>
      </c>
      <c r="M4122" s="26">
        <v>75581</v>
      </c>
      <c r="N4122" s="26">
        <v>0</v>
      </c>
      <c r="O4122" s="15">
        <f t="shared" si="351"/>
        <v>75581</v>
      </c>
      <c r="P4122" s="15">
        <f t="shared" si="352"/>
        <v>10.999967981464181</v>
      </c>
      <c r="Q4122" s="25">
        <v>5000</v>
      </c>
      <c r="R4122" s="22">
        <v>100</v>
      </c>
      <c r="S4122" s="22" t="s">
        <v>5006</v>
      </c>
      <c r="T4122" s="22">
        <f t="shared" si="353"/>
        <v>2</v>
      </c>
      <c r="U4122" s="22">
        <f t="shared" si="354"/>
        <v>2022</v>
      </c>
      <c r="V4122" s="22" t="str">
        <f t="shared" si="355"/>
        <v>METROPOLITANA</v>
      </c>
    </row>
    <row r="4123" spans="1:22" x14ac:dyDescent="0.2">
      <c r="A4123" s="11" t="s">
        <v>5007</v>
      </c>
      <c r="B4123" s="12" t="s">
        <v>18</v>
      </c>
      <c r="C4123" s="12" t="s">
        <v>4880</v>
      </c>
      <c r="D4123" s="12" t="s">
        <v>45</v>
      </c>
      <c r="E4123" s="13" t="s">
        <v>52</v>
      </c>
      <c r="F4123" s="12" t="s">
        <v>129</v>
      </c>
      <c r="G4123" s="14">
        <v>1734</v>
      </c>
      <c r="H4123" s="12" t="s">
        <v>22</v>
      </c>
      <c r="I4123" s="12">
        <v>0</v>
      </c>
      <c r="J4123" s="12" t="s">
        <v>129</v>
      </c>
      <c r="K4123" s="12" t="s">
        <v>23</v>
      </c>
      <c r="L4123" s="12">
        <v>1</v>
      </c>
      <c r="M4123" s="15">
        <v>55000</v>
      </c>
      <c r="N4123" s="15">
        <v>0</v>
      </c>
      <c r="O4123" s="15">
        <f t="shared" ref="O4123:O4180" si="356">SUM(M4123:N4123)</f>
        <v>55000</v>
      </c>
      <c r="P4123" s="15">
        <f t="shared" si="352"/>
        <v>31.718569780853517</v>
      </c>
      <c r="Q4123" s="14">
        <v>5000</v>
      </c>
      <c r="R4123" s="12">
        <v>35</v>
      </c>
      <c r="S4123" s="12" t="s">
        <v>5008</v>
      </c>
      <c r="T4123" s="12">
        <f t="shared" si="353"/>
        <v>2</v>
      </c>
      <c r="U4123" s="12">
        <f t="shared" si="354"/>
        <v>2022</v>
      </c>
      <c r="V4123" s="12" t="str">
        <f t="shared" si="355"/>
        <v>METROPOLITANA</v>
      </c>
    </row>
    <row r="4124" spans="1:22" x14ac:dyDescent="0.2">
      <c r="A4124" s="11" t="s">
        <v>5007</v>
      </c>
      <c r="B4124" s="12" t="s">
        <v>18</v>
      </c>
      <c r="C4124" s="12" t="s">
        <v>500</v>
      </c>
      <c r="D4124" s="12" t="s">
        <v>37</v>
      </c>
      <c r="E4124" s="13" t="s">
        <v>40</v>
      </c>
      <c r="F4124" s="12" t="s">
        <v>120</v>
      </c>
      <c r="G4124" s="14">
        <v>11694.5</v>
      </c>
      <c r="H4124" s="12" t="s">
        <v>22</v>
      </c>
      <c r="I4124" s="12">
        <v>0</v>
      </c>
      <c r="J4124" s="12" t="s">
        <v>120</v>
      </c>
      <c r="K4124" s="12" t="s">
        <v>23</v>
      </c>
      <c r="L4124" s="12">
        <v>5</v>
      </c>
      <c r="M4124" s="15">
        <v>70000</v>
      </c>
      <c r="N4124" s="15">
        <v>0</v>
      </c>
      <c r="O4124" s="15">
        <f t="shared" si="356"/>
        <v>70000</v>
      </c>
      <c r="P4124" s="15">
        <f t="shared" si="352"/>
        <v>5.9857197828038817</v>
      </c>
      <c r="Q4124" s="14">
        <v>10000</v>
      </c>
      <c r="R4124" s="12">
        <v>100</v>
      </c>
      <c r="S4124" s="12" t="s">
        <v>5009</v>
      </c>
      <c r="T4124" s="12">
        <f t="shared" si="353"/>
        <v>2</v>
      </c>
      <c r="U4124" s="12">
        <f t="shared" si="354"/>
        <v>2022</v>
      </c>
      <c r="V4124" s="12" t="str">
        <f t="shared" si="355"/>
        <v>METROPOLITANA</v>
      </c>
    </row>
    <row r="4125" spans="1:22" x14ac:dyDescent="0.2">
      <c r="A4125" s="11" t="s">
        <v>5007</v>
      </c>
      <c r="B4125" s="12" t="s">
        <v>18</v>
      </c>
      <c r="C4125" s="12" t="s">
        <v>19</v>
      </c>
      <c r="D4125" s="12" t="s">
        <v>38</v>
      </c>
      <c r="E4125" s="13" t="s">
        <v>42</v>
      </c>
      <c r="F4125" s="12" t="s">
        <v>51</v>
      </c>
      <c r="G4125" s="14">
        <v>13131.72</v>
      </c>
      <c r="H4125" s="12" t="s">
        <v>43</v>
      </c>
      <c r="I4125" s="12">
        <v>0</v>
      </c>
      <c r="J4125" s="12" t="s">
        <v>51</v>
      </c>
      <c r="K4125" s="12" t="s">
        <v>23</v>
      </c>
      <c r="L4125" s="12">
        <v>4</v>
      </c>
      <c r="M4125" s="15">
        <v>144449</v>
      </c>
      <c r="N4125" s="15">
        <v>0</v>
      </c>
      <c r="O4125" s="15">
        <f t="shared" si="356"/>
        <v>144449</v>
      </c>
      <c r="P4125" s="15">
        <f t="shared" si="352"/>
        <v>11.00000609211893</v>
      </c>
      <c r="Q4125" s="14">
        <v>5000</v>
      </c>
      <c r="R4125" s="12">
        <v>100</v>
      </c>
      <c r="S4125" s="12" t="s">
        <v>5010</v>
      </c>
      <c r="T4125" s="12">
        <f t="shared" si="353"/>
        <v>2</v>
      </c>
      <c r="U4125" s="12">
        <f t="shared" si="354"/>
        <v>2022</v>
      </c>
      <c r="V4125" s="12" t="str">
        <f t="shared" si="355"/>
        <v>METROPOLITANA</v>
      </c>
    </row>
    <row r="4126" spans="1:22" x14ac:dyDescent="0.2">
      <c r="A4126" s="11" t="s">
        <v>5007</v>
      </c>
      <c r="B4126" s="12" t="s">
        <v>18</v>
      </c>
      <c r="C4126" s="12" t="s">
        <v>19</v>
      </c>
      <c r="D4126" s="12" t="s">
        <v>30</v>
      </c>
      <c r="E4126" s="13" t="s">
        <v>31</v>
      </c>
      <c r="F4126" s="12" t="s">
        <v>51</v>
      </c>
      <c r="G4126" s="14">
        <v>8411.64</v>
      </c>
      <c r="H4126" s="12" t="s">
        <v>32</v>
      </c>
      <c r="I4126" s="12">
        <v>0</v>
      </c>
      <c r="J4126" s="12" t="s">
        <v>51</v>
      </c>
      <c r="K4126" s="12" t="s">
        <v>23</v>
      </c>
      <c r="L4126" s="12">
        <v>4</v>
      </c>
      <c r="M4126" s="15">
        <v>92528</v>
      </c>
      <c r="N4126" s="15">
        <v>0</v>
      </c>
      <c r="O4126" s="15">
        <f t="shared" si="356"/>
        <v>92528</v>
      </c>
      <c r="P4126" s="15">
        <f t="shared" si="352"/>
        <v>10.999995244684747</v>
      </c>
      <c r="Q4126" s="14">
        <v>5000</v>
      </c>
      <c r="R4126" s="12">
        <v>100</v>
      </c>
      <c r="S4126" s="12" t="s">
        <v>5011</v>
      </c>
      <c r="T4126" s="12">
        <f t="shared" si="353"/>
        <v>2</v>
      </c>
      <c r="U4126" s="12">
        <f t="shared" si="354"/>
        <v>2022</v>
      </c>
      <c r="V4126" s="12" t="str">
        <f t="shared" si="355"/>
        <v>METROPOLITANA</v>
      </c>
    </row>
    <row r="4127" spans="1:22" x14ac:dyDescent="0.2">
      <c r="A4127" s="11" t="s">
        <v>5007</v>
      </c>
      <c r="B4127" s="12" t="s">
        <v>33</v>
      </c>
      <c r="C4127" s="12" t="s">
        <v>909</v>
      </c>
      <c r="D4127" s="12" t="s">
        <v>786</v>
      </c>
      <c r="E4127" s="13" t="s">
        <v>787</v>
      </c>
      <c r="F4127" s="12" t="s">
        <v>910</v>
      </c>
      <c r="G4127" s="14">
        <v>13000</v>
      </c>
      <c r="H4127" s="12" t="s">
        <v>788</v>
      </c>
      <c r="I4127" s="12">
        <v>1</v>
      </c>
      <c r="J4127" s="12" t="s">
        <v>910</v>
      </c>
      <c r="K4127" s="12" t="s">
        <v>171</v>
      </c>
      <c r="L4127" s="12">
        <v>0</v>
      </c>
      <c r="M4127" s="15">
        <v>230000</v>
      </c>
      <c r="N4127" s="15">
        <v>0</v>
      </c>
      <c r="O4127" s="15">
        <f t="shared" si="356"/>
        <v>230000</v>
      </c>
      <c r="P4127" s="15">
        <f t="shared" si="352"/>
        <v>17.692307692307693</v>
      </c>
      <c r="Q4127" s="14">
        <v>20000</v>
      </c>
      <c r="R4127" s="12">
        <v>65</v>
      </c>
      <c r="S4127" s="12" t="s">
        <v>5012</v>
      </c>
      <c r="T4127" s="12">
        <f t="shared" si="353"/>
        <v>2</v>
      </c>
      <c r="U4127" s="12">
        <f t="shared" si="354"/>
        <v>2022</v>
      </c>
      <c r="V4127" s="12" t="str">
        <f t="shared" si="355"/>
        <v>REGIONES</v>
      </c>
    </row>
    <row r="4128" spans="1:22" x14ac:dyDescent="0.2">
      <c r="A4128" s="11" t="s">
        <v>5007</v>
      </c>
      <c r="B4128" s="12" t="s">
        <v>33</v>
      </c>
      <c r="C4128" s="12" t="s">
        <v>29</v>
      </c>
      <c r="D4128" s="12" t="s">
        <v>41</v>
      </c>
      <c r="E4128" s="13" t="s">
        <v>25</v>
      </c>
      <c r="F4128" s="12" t="s">
        <v>39</v>
      </c>
      <c r="G4128" s="14">
        <v>2975.2200000000012</v>
      </c>
      <c r="H4128" s="12" t="s">
        <v>43</v>
      </c>
      <c r="I4128" s="12">
        <v>0</v>
      </c>
      <c r="J4128" s="12" t="s">
        <v>39</v>
      </c>
      <c r="K4128" s="12" t="s">
        <v>23</v>
      </c>
      <c r="L4128" s="12">
        <v>1</v>
      </c>
      <c r="M4128" s="15">
        <v>55000</v>
      </c>
      <c r="N4128" s="15">
        <v>0</v>
      </c>
      <c r="O4128" s="15">
        <f t="shared" si="356"/>
        <v>55000</v>
      </c>
      <c r="P4128" s="15">
        <f t="shared" si="352"/>
        <v>18.486027923985446</v>
      </c>
      <c r="Q4128" s="14">
        <v>5000</v>
      </c>
      <c r="R4128" s="12">
        <v>60</v>
      </c>
      <c r="S4128" s="12" t="s">
        <v>5013</v>
      </c>
      <c r="T4128" s="12">
        <f t="shared" si="353"/>
        <v>2</v>
      </c>
      <c r="U4128" s="12">
        <f t="shared" si="354"/>
        <v>2022</v>
      </c>
      <c r="V4128" s="12" t="str">
        <f t="shared" si="355"/>
        <v>METROPOLITANA</v>
      </c>
    </row>
    <row r="4129" spans="1:22" x14ac:dyDescent="0.2">
      <c r="A4129" s="11" t="s">
        <v>5007</v>
      </c>
      <c r="B4129" s="12" t="s">
        <v>33</v>
      </c>
      <c r="C4129" s="12" t="s">
        <v>29</v>
      </c>
      <c r="D4129" s="12" t="s">
        <v>164</v>
      </c>
      <c r="E4129" s="13" t="s">
        <v>1576</v>
      </c>
      <c r="F4129" s="12" t="s">
        <v>39</v>
      </c>
      <c r="G4129" s="14">
        <v>8244.0000000000036</v>
      </c>
      <c r="H4129" s="12" t="s">
        <v>22</v>
      </c>
      <c r="I4129" s="12">
        <v>1</v>
      </c>
      <c r="J4129" s="12" t="s">
        <v>39</v>
      </c>
      <c r="K4129" s="12" t="s">
        <v>23</v>
      </c>
      <c r="L4129" s="12">
        <v>1</v>
      </c>
      <c r="M4129" s="15">
        <v>90684</v>
      </c>
      <c r="N4129" s="15">
        <v>0</v>
      </c>
      <c r="O4129" s="15">
        <f t="shared" si="356"/>
        <v>90684</v>
      </c>
      <c r="P4129" s="15">
        <f t="shared" ref="P4129:P4192" si="357">O4129/G4129</f>
        <v>10.999999999999995</v>
      </c>
      <c r="Q4129" s="14">
        <v>5000</v>
      </c>
      <c r="R4129" s="12">
        <v>100</v>
      </c>
      <c r="S4129" s="12" t="s">
        <v>5014</v>
      </c>
      <c r="T4129" s="12">
        <f t="shared" si="353"/>
        <v>2</v>
      </c>
      <c r="U4129" s="12">
        <f t="shared" si="354"/>
        <v>2022</v>
      </c>
      <c r="V4129" s="12" t="str">
        <f t="shared" si="355"/>
        <v>METROPOLITANA</v>
      </c>
    </row>
    <row r="4130" spans="1:22" x14ac:dyDescent="0.2">
      <c r="A4130" s="11" t="s">
        <v>5007</v>
      </c>
      <c r="B4130" s="12" t="s">
        <v>33</v>
      </c>
      <c r="C4130" s="12" t="s">
        <v>29</v>
      </c>
      <c r="D4130" s="12" t="s">
        <v>20</v>
      </c>
      <c r="E4130" s="13" t="s">
        <v>21</v>
      </c>
      <c r="F4130" s="12" t="s">
        <v>39</v>
      </c>
      <c r="G4130" s="14">
        <v>2748</v>
      </c>
      <c r="H4130" s="12" t="s">
        <v>22</v>
      </c>
      <c r="I4130" s="12">
        <v>0</v>
      </c>
      <c r="J4130" s="12" t="s">
        <v>39</v>
      </c>
      <c r="K4130" s="12" t="s">
        <v>23</v>
      </c>
      <c r="L4130" s="12">
        <v>1</v>
      </c>
      <c r="M4130" s="15">
        <v>55000</v>
      </c>
      <c r="N4130" s="15">
        <v>0</v>
      </c>
      <c r="O4130" s="15">
        <f t="shared" si="356"/>
        <v>55000</v>
      </c>
      <c r="P4130" s="15">
        <f t="shared" si="357"/>
        <v>20.014556040756915</v>
      </c>
      <c r="Q4130" s="14">
        <v>5000</v>
      </c>
      <c r="R4130" s="12">
        <v>55</v>
      </c>
      <c r="S4130" s="12" t="s">
        <v>5015</v>
      </c>
      <c r="T4130" s="12">
        <f t="shared" si="353"/>
        <v>2</v>
      </c>
      <c r="U4130" s="12">
        <f t="shared" si="354"/>
        <v>2022</v>
      </c>
      <c r="V4130" s="12" t="str">
        <f t="shared" si="355"/>
        <v>METROPOLITANA</v>
      </c>
    </row>
    <row r="4131" spans="1:22" x14ac:dyDescent="0.2">
      <c r="A4131" s="11" t="s">
        <v>5007</v>
      </c>
      <c r="B4131" s="12" t="s">
        <v>33</v>
      </c>
      <c r="C4131" s="12" t="s">
        <v>44</v>
      </c>
      <c r="D4131" s="12" t="s">
        <v>1869</v>
      </c>
      <c r="E4131" s="13" t="s">
        <v>1870</v>
      </c>
      <c r="F4131" s="12" t="s">
        <v>3438</v>
      </c>
      <c r="G4131" s="14">
        <v>8072.4600000000028</v>
      </c>
      <c r="H4131" s="12" t="s">
        <v>24</v>
      </c>
      <c r="I4131" s="12">
        <v>1</v>
      </c>
      <c r="J4131" s="12" t="s">
        <v>3438</v>
      </c>
      <c r="K4131" s="12" t="s">
        <v>93</v>
      </c>
      <c r="L4131" s="12">
        <v>0</v>
      </c>
      <c r="M4131" s="15">
        <v>800000</v>
      </c>
      <c r="N4131" s="15">
        <v>0</v>
      </c>
      <c r="O4131" s="15">
        <f t="shared" si="356"/>
        <v>800000</v>
      </c>
      <c r="P4131" s="15">
        <f t="shared" si="357"/>
        <v>99.102380191416216</v>
      </c>
      <c r="Q4131" s="14">
        <v>20000</v>
      </c>
      <c r="R4131" s="12">
        <v>40</v>
      </c>
      <c r="S4131" s="12" t="s">
        <v>5016</v>
      </c>
      <c r="T4131" s="12">
        <f t="shared" si="353"/>
        <v>2</v>
      </c>
      <c r="U4131" s="12">
        <f t="shared" si="354"/>
        <v>2022</v>
      </c>
      <c r="V4131" s="12" t="str">
        <f t="shared" si="355"/>
        <v>REGIONES</v>
      </c>
    </row>
    <row r="4132" spans="1:22" x14ac:dyDescent="0.2">
      <c r="A4132" s="11" t="s">
        <v>5007</v>
      </c>
      <c r="B4132" s="12" t="s">
        <v>33</v>
      </c>
      <c r="C4132" s="12" t="s">
        <v>44</v>
      </c>
      <c r="D4132" s="12" t="s">
        <v>2262</v>
      </c>
      <c r="E4132" s="13" t="s">
        <v>83</v>
      </c>
      <c r="F4132" s="12" t="s">
        <v>84</v>
      </c>
      <c r="G4132" s="14">
        <v>10903.16</v>
      </c>
      <c r="H4132" s="12" t="s">
        <v>24</v>
      </c>
      <c r="I4132" s="12">
        <v>1</v>
      </c>
      <c r="J4132" s="12" t="s">
        <v>84</v>
      </c>
      <c r="K4132" s="12" t="s">
        <v>86</v>
      </c>
      <c r="L4132" s="12">
        <v>0</v>
      </c>
      <c r="M4132" s="15">
        <v>330000</v>
      </c>
      <c r="N4132" s="15">
        <v>0</v>
      </c>
      <c r="O4132" s="15">
        <f t="shared" si="356"/>
        <v>330000</v>
      </c>
      <c r="P4132" s="15">
        <f t="shared" si="357"/>
        <v>30.266454862626983</v>
      </c>
      <c r="Q4132" s="14">
        <v>20000</v>
      </c>
      <c r="R4132" s="12">
        <v>55</v>
      </c>
      <c r="S4132" s="12" t="s">
        <v>5017</v>
      </c>
      <c r="T4132" s="12">
        <f t="shared" si="353"/>
        <v>2</v>
      </c>
      <c r="U4132" s="12">
        <f t="shared" si="354"/>
        <v>2022</v>
      </c>
      <c r="V4132" s="12" t="str">
        <f t="shared" si="355"/>
        <v>REGIONES</v>
      </c>
    </row>
    <row r="4133" spans="1:22" x14ac:dyDescent="0.2">
      <c r="A4133" s="11" t="s">
        <v>5007</v>
      </c>
      <c r="B4133" s="12" t="s">
        <v>33</v>
      </c>
      <c r="C4133" s="12" t="s">
        <v>44</v>
      </c>
      <c r="D4133" s="12" t="s">
        <v>30</v>
      </c>
      <c r="E4133" s="13" t="s">
        <v>31</v>
      </c>
      <c r="F4133" s="12" t="s">
        <v>59</v>
      </c>
      <c r="G4133" s="14">
        <v>5209.7999999999984</v>
      </c>
      <c r="H4133" s="12" t="s">
        <v>32</v>
      </c>
      <c r="I4133" s="12">
        <v>0</v>
      </c>
      <c r="J4133" s="12" t="s">
        <v>59</v>
      </c>
      <c r="K4133" s="12" t="s">
        <v>78</v>
      </c>
      <c r="L4133" s="12">
        <v>0</v>
      </c>
      <c r="M4133" s="15">
        <v>180000</v>
      </c>
      <c r="N4133" s="15">
        <v>0</v>
      </c>
      <c r="O4133" s="15">
        <f t="shared" si="356"/>
        <v>180000</v>
      </c>
      <c r="P4133" s="15">
        <f t="shared" si="357"/>
        <v>34.550270643786718</v>
      </c>
      <c r="Q4133" s="14">
        <v>20000</v>
      </c>
      <c r="R4133" s="12">
        <v>26</v>
      </c>
      <c r="S4133" s="12" t="s">
        <v>5018</v>
      </c>
      <c r="T4133" s="12">
        <f t="shared" si="353"/>
        <v>2</v>
      </c>
      <c r="U4133" s="12">
        <f t="shared" si="354"/>
        <v>2022</v>
      </c>
      <c r="V4133" s="12" t="str">
        <f t="shared" si="355"/>
        <v>REGIONES</v>
      </c>
    </row>
    <row r="4134" spans="1:22" x14ac:dyDescent="0.2">
      <c r="A4134" s="11" t="s">
        <v>5007</v>
      </c>
      <c r="B4134" s="12" t="s">
        <v>33</v>
      </c>
      <c r="C4134" s="12" t="s">
        <v>44</v>
      </c>
      <c r="D4134" s="12" t="s">
        <v>45</v>
      </c>
      <c r="E4134" s="13" t="s">
        <v>21</v>
      </c>
      <c r="F4134" s="12" t="s">
        <v>26</v>
      </c>
      <c r="G4134" s="14">
        <v>6607.4</v>
      </c>
      <c r="H4134" s="12" t="s">
        <v>22</v>
      </c>
      <c r="I4134" s="12">
        <v>0</v>
      </c>
      <c r="J4134" s="12" t="s">
        <v>26</v>
      </c>
      <c r="K4134" s="12" t="s">
        <v>23</v>
      </c>
      <c r="L4134" s="12">
        <v>4</v>
      </c>
      <c r="M4134" s="15">
        <v>72681</v>
      </c>
      <c r="N4134" s="15">
        <v>0</v>
      </c>
      <c r="O4134" s="15">
        <f t="shared" si="356"/>
        <v>72681</v>
      </c>
      <c r="P4134" s="15">
        <f t="shared" si="357"/>
        <v>10.99993946181554</v>
      </c>
      <c r="Q4134" s="14">
        <v>5000</v>
      </c>
      <c r="R4134" s="12">
        <v>100</v>
      </c>
      <c r="S4134" s="12" t="s">
        <v>5019</v>
      </c>
      <c r="T4134" s="12">
        <f t="shared" si="353"/>
        <v>2</v>
      </c>
      <c r="U4134" s="12">
        <f t="shared" si="354"/>
        <v>2022</v>
      </c>
      <c r="V4134" s="12" t="str">
        <f t="shared" si="355"/>
        <v>METROPOLITANA</v>
      </c>
    </row>
    <row r="4135" spans="1:22" x14ac:dyDescent="0.2">
      <c r="A4135" s="11" t="s">
        <v>5007</v>
      </c>
      <c r="B4135" s="12" t="s">
        <v>33</v>
      </c>
      <c r="C4135" s="12" t="s">
        <v>44</v>
      </c>
      <c r="D4135" s="12" t="s">
        <v>47</v>
      </c>
      <c r="E4135" s="13" t="s">
        <v>52</v>
      </c>
      <c r="F4135" s="12" t="s">
        <v>48</v>
      </c>
      <c r="G4135" s="14">
        <v>6625.4199999999992</v>
      </c>
      <c r="H4135" s="12" t="s">
        <v>22</v>
      </c>
      <c r="I4135" s="12">
        <v>0</v>
      </c>
      <c r="J4135" s="12" t="s">
        <v>48</v>
      </c>
      <c r="K4135" s="12" t="s">
        <v>23</v>
      </c>
      <c r="L4135" s="12">
        <v>1</v>
      </c>
      <c r="M4135" s="15">
        <v>72880</v>
      </c>
      <c r="N4135" s="15">
        <v>0</v>
      </c>
      <c r="O4135" s="15">
        <f t="shared" si="356"/>
        <v>72880</v>
      </c>
      <c r="P4135" s="15">
        <f t="shared" si="357"/>
        <v>11.000057354854485</v>
      </c>
      <c r="Q4135" s="14">
        <v>5000</v>
      </c>
      <c r="R4135" s="12">
        <v>100</v>
      </c>
      <c r="S4135" s="12" t="s">
        <v>5020</v>
      </c>
      <c r="T4135" s="12">
        <f t="shared" si="353"/>
        <v>2</v>
      </c>
      <c r="U4135" s="12">
        <f t="shared" si="354"/>
        <v>2022</v>
      </c>
      <c r="V4135" s="12" t="str">
        <f t="shared" si="355"/>
        <v>METROPOLITANA</v>
      </c>
    </row>
    <row r="4136" spans="1:22" x14ac:dyDescent="0.2">
      <c r="A4136" s="23" t="s">
        <v>5021</v>
      </c>
      <c r="B4136" s="22" t="s">
        <v>18</v>
      </c>
      <c r="C4136" s="22" t="s">
        <v>270</v>
      </c>
      <c r="D4136" s="22" t="s">
        <v>37</v>
      </c>
      <c r="E4136" s="24" t="s">
        <v>40</v>
      </c>
      <c r="F4136" s="22" t="s">
        <v>120</v>
      </c>
      <c r="G4136" s="25">
        <v>10392</v>
      </c>
      <c r="H4136" s="22" t="s">
        <v>22</v>
      </c>
      <c r="I4136" s="22">
        <v>0</v>
      </c>
      <c r="J4136" s="22" t="s">
        <v>120</v>
      </c>
      <c r="K4136" s="22" t="s">
        <v>23</v>
      </c>
      <c r="L4136" s="22">
        <v>5</v>
      </c>
      <c r="M4136" s="26">
        <v>70000</v>
      </c>
      <c r="N4136" s="26">
        <v>0</v>
      </c>
      <c r="O4136" s="15">
        <f t="shared" si="356"/>
        <v>70000</v>
      </c>
      <c r="P4136" s="15">
        <f t="shared" si="357"/>
        <v>6.7359507313317941</v>
      </c>
      <c r="Q4136" s="25">
        <v>10000</v>
      </c>
      <c r="R4136" s="22">
        <v>100</v>
      </c>
      <c r="S4136" s="22" t="s">
        <v>5022</v>
      </c>
      <c r="T4136" s="22">
        <f t="shared" si="353"/>
        <v>2</v>
      </c>
      <c r="U4136" s="22">
        <f t="shared" si="354"/>
        <v>2022</v>
      </c>
      <c r="V4136" s="22" t="str">
        <f t="shared" si="355"/>
        <v>METROPOLITANA</v>
      </c>
    </row>
    <row r="4137" spans="1:22" x14ac:dyDescent="0.2">
      <c r="A4137" s="23" t="s">
        <v>5021</v>
      </c>
      <c r="B4137" s="22" t="s">
        <v>33</v>
      </c>
      <c r="C4137" s="22" t="s">
        <v>270</v>
      </c>
      <c r="D4137" s="22" t="s">
        <v>38</v>
      </c>
      <c r="E4137" s="24" t="s">
        <v>42</v>
      </c>
      <c r="F4137" s="22" t="s">
        <v>377</v>
      </c>
      <c r="G4137" s="25">
        <v>9985</v>
      </c>
      <c r="H4137" s="22" t="s">
        <v>43</v>
      </c>
      <c r="I4137" s="22">
        <v>0</v>
      </c>
      <c r="J4137" s="22" t="s">
        <v>377</v>
      </c>
      <c r="K4137" s="22" t="s">
        <v>23</v>
      </c>
      <c r="L4137" s="22">
        <v>4</v>
      </c>
      <c r="M4137" s="26">
        <v>109835</v>
      </c>
      <c r="N4137" s="26">
        <v>0</v>
      </c>
      <c r="O4137" s="15">
        <f t="shared" si="356"/>
        <v>109835</v>
      </c>
      <c r="P4137" s="15">
        <f t="shared" si="357"/>
        <v>11</v>
      </c>
      <c r="Q4137" s="25">
        <v>5000</v>
      </c>
      <c r="R4137" s="22">
        <v>100</v>
      </c>
      <c r="S4137" s="22" t="s">
        <v>5023</v>
      </c>
      <c r="T4137" s="22">
        <f t="shared" si="353"/>
        <v>2</v>
      </c>
      <c r="U4137" s="22">
        <f t="shared" si="354"/>
        <v>2022</v>
      </c>
      <c r="V4137" s="22" t="str">
        <f t="shared" si="355"/>
        <v>METROPOLITANA</v>
      </c>
    </row>
    <row r="4138" spans="1:22" x14ac:dyDescent="0.2">
      <c r="A4138" s="23" t="s">
        <v>5021</v>
      </c>
      <c r="B4138" s="22" t="s">
        <v>33</v>
      </c>
      <c r="C4138" s="22" t="s">
        <v>128</v>
      </c>
      <c r="D4138" s="22" t="s">
        <v>164</v>
      </c>
      <c r="E4138" s="24" t="s">
        <v>1576</v>
      </c>
      <c r="F4138" s="22" t="s">
        <v>129</v>
      </c>
      <c r="G4138" s="25">
        <v>14400.04</v>
      </c>
      <c r="H4138" s="22" t="s">
        <v>22</v>
      </c>
      <c r="I4138" s="22">
        <v>1</v>
      </c>
      <c r="J4138" s="22" t="s">
        <v>129</v>
      </c>
      <c r="K4138" s="22" t="s">
        <v>23</v>
      </c>
      <c r="L4138" s="22">
        <v>1</v>
      </c>
      <c r="M4138" s="26">
        <v>158400</v>
      </c>
      <c r="N4138" s="26">
        <v>0</v>
      </c>
      <c r="O4138" s="15">
        <f t="shared" si="356"/>
        <v>158400</v>
      </c>
      <c r="P4138" s="15">
        <f t="shared" si="357"/>
        <v>10.99996944452932</v>
      </c>
      <c r="Q4138" s="25">
        <v>5000</v>
      </c>
      <c r="R4138" s="22">
        <v>100</v>
      </c>
      <c r="S4138" s="22" t="s">
        <v>5024</v>
      </c>
      <c r="T4138" s="22">
        <f t="shared" si="353"/>
        <v>2</v>
      </c>
      <c r="U4138" s="22">
        <f t="shared" si="354"/>
        <v>2022</v>
      </c>
      <c r="V4138" s="22" t="str">
        <f t="shared" si="355"/>
        <v>METROPOLITANA</v>
      </c>
    </row>
    <row r="4139" spans="1:22" x14ac:dyDescent="0.2">
      <c r="A4139" s="23" t="s">
        <v>5021</v>
      </c>
      <c r="B4139" s="22" t="s">
        <v>33</v>
      </c>
      <c r="C4139" s="22" t="s">
        <v>36</v>
      </c>
      <c r="D4139" s="22" t="s">
        <v>41</v>
      </c>
      <c r="E4139" s="24" t="s">
        <v>25</v>
      </c>
      <c r="F4139" s="22" t="s">
        <v>170</v>
      </c>
      <c r="G4139" s="25">
        <v>8428.1999999999989</v>
      </c>
      <c r="H4139" s="22" t="s">
        <v>43</v>
      </c>
      <c r="I4139" s="22">
        <v>0</v>
      </c>
      <c r="J4139" s="22" t="s">
        <v>170</v>
      </c>
      <c r="K4139" s="22" t="s">
        <v>171</v>
      </c>
      <c r="L4139" s="22">
        <v>0</v>
      </c>
      <c r="M4139" s="26">
        <v>180000</v>
      </c>
      <c r="N4139" s="26">
        <v>0</v>
      </c>
      <c r="O4139" s="15">
        <f t="shared" si="356"/>
        <v>180000</v>
      </c>
      <c r="P4139" s="15">
        <f t="shared" si="357"/>
        <v>21.356873353741015</v>
      </c>
      <c r="Q4139" s="25">
        <v>20000</v>
      </c>
      <c r="R4139" s="22">
        <v>42</v>
      </c>
      <c r="S4139" s="22" t="s">
        <v>5025</v>
      </c>
      <c r="T4139" s="22">
        <f t="shared" si="353"/>
        <v>2</v>
      </c>
      <c r="U4139" s="22">
        <f t="shared" si="354"/>
        <v>2022</v>
      </c>
      <c r="V4139" s="22" t="str">
        <f t="shared" si="355"/>
        <v>REGIONES</v>
      </c>
    </row>
    <row r="4140" spans="1:22" x14ac:dyDescent="0.2">
      <c r="A4140" s="23" t="s">
        <v>5021</v>
      </c>
      <c r="B4140" s="22" t="s">
        <v>33</v>
      </c>
      <c r="C4140" s="22" t="s">
        <v>29</v>
      </c>
      <c r="D4140" s="22" t="s">
        <v>38</v>
      </c>
      <c r="E4140" s="24" t="s">
        <v>42</v>
      </c>
      <c r="F4140" s="22" t="s">
        <v>39</v>
      </c>
      <c r="G4140" s="25">
        <v>2748</v>
      </c>
      <c r="H4140" s="22" t="s">
        <v>43</v>
      </c>
      <c r="I4140" s="22">
        <v>0</v>
      </c>
      <c r="J4140" s="22" t="s">
        <v>39</v>
      </c>
      <c r="K4140" s="22" t="s">
        <v>23</v>
      </c>
      <c r="L4140" s="22">
        <v>1</v>
      </c>
      <c r="M4140" s="26">
        <v>55000</v>
      </c>
      <c r="N4140" s="26">
        <v>0</v>
      </c>
      <c r="O4140" s="15">
        <f t="shared" si="356"/>
        <v>55000</v>
      </c>
      <c r="P4140" s="15">
        <f t="shared" si="357"/>
        <v>20.014556040756915</v>
      </c>
      <c r="Q4140" s="25">
        <v>5000</v>
      </c>
      <c r="R4140" s="22">
        <v>55</v>
      </c>
      <c r="S4140" s="22" t="s">
        <v>5026</v>
      </c>
      <c r="T4140" s="22">
        <f t="shared" si="353"/>
        <v>2</v>
      </c>
      <c r="U4140" s="22">
        <f t="shared" si="354"/>
        <v>2022</v>
      </c>
      <c r="V4140" s="22" t="str">
        <f t="shared" si="355"/>
        <v>METROPOLITANA</v>
      </c>
    </row>
    <row r="4141" spans="1:22" x14ac:dyDescent="0.2">
      <c r="A4141" s="23" t="s">
        <v>5021</v>
      </c>
      <c r="B4141" s="22" t="s">
        <v>33</v>
      </c>
      <c r="C4141" s="22" t="s">
        <v>29</v>
      </c>
      <c r="D4141" s="22" t="s">
        <v>164</v>
      </c>
      <c r="E4141" s="24" t="s">
        <v>1576</v>
      </c>
      <c r="F4141" s="22" t="s">
        <v>39</v>
      </c>
      <c r="G4141" s="25">
        <v>8244.0000000000036</v>
      </c>
      <c r="H4141" s="22" t="s">
        <v>22</v>
      </c>
      <c r="I4141" s="22">
        <v>1</v>
      </c>
      <c r="J4141" s="22" t="s">
        <v>39</v>
      </c>
      <c r="K4141" s="22" t="s">
        <v>23</v>
      </c>
      <c r="L4141" s="22">
        <v>1</v>
      </c>
      <c r="M4141" s="26">
        <v>90684</v>
      </c>
      <c r="N4141" s="26">
        <v>0</v>
      </c>
      <c r="O4141" s="15">
        <f t="shared" si="356"/>
        <v>90684</v>
      </c>
      <c r="P4141" s="15">
        <f t="shared" si="357"/>
        <v>10.999999999999995</v>
      </c>
      <c r="Q4141" s="25">
        <v>5000</v>
      </c>
      <c r="R4141" s="22">
        <v>100</v>
      </c>
      <c r="S4141" s="22" t="s">
        <v>5027</v>
      </c>
      <c r="T4141" s="22">
        <f t="shared" si="353"/>
        <v>2</v>
      </c>
      <c r="U4141" s="22">
        <f t="shared" si="354"/>
        <v>2022</v>
      </c>
      <c r="V4141" s="22" t="str">
        <f t="shared" si="355"/>
        <v>METROPOLITANA</v>
      </c>
    </row>
    <row r="4142" spans="1:22" x14ac:dyDescent="0.2">
      <c r="A4142" s="23" t="s">
        <v>5021</v>
      </c>
      <c r="B4142" s="22" t="s">
        <v>33</v>
      </c>
      <c r="C4142" s="22" t="s">
        <v>29</v>
      </c>
      <c r="D4142" s="22" t="s">
        <v>20</v>
      </c>
      <c r="E4142" s="24" t="s">
        <v>21</v>
      </c>
      <c r="F4142" s="22" t="s">
        <v>39</v>
      </c>
      <c r="G4142" s="25">
        <v>2748</v>
      </c>
      <c r="H4142" s="22" t="s">
        <v>22</v>
      </c>
      <c r="I4142" s="22">
        <v>0</v>
      </c>
      <c r="J4142" s="22" t="s">
        <v>39</v>
      </c>
      <c r="K4142" s="22" t="s">
        <v>23</v>
      </c>
      <c r="L4142" s="22">
        <v>1</v>
      </c>
      <c r="M4142" s="26">
        <v>55000</v>
      </c>
      <c r="N4142" s="26">
        <v>0</v>
      </c>
      <c r="O4142" s="15">
        <f t="shared" si="356"/>
        <v>55000</v>
      </c>
      <c r="P4142" s="15">
        <f t="shared" si="357"/>
        <v>20.014556040756915</v>
      </c>
      <c r="Q4142" s="25">
        <v>5000</v>
      </c>
      <c r="R4142" s="22">
        <v>55</v>
      </c>
      <c r="S4142" s="22" t="s">
        <v>5028</v>
      </c>
      <c r="T4142" s="22">
        <f t="shared" si="353"/>
        <v>2</v>
      </c>
      <c r="U4142" s="22">
        <f t="shared" si="354"/>
        <v>2022</v>
      </c>
      <c r="V4142" s="22" t="str">
        <f t="shared" si="355"/>
        <v>METROPOLITANA</v>
      </c>
    </row>
    <row r="4143" spans="1:22" x14ac:dyDescent="0.2">
      <c r="A4143" s="23" t="s">
        <v>5021</v>
      </c>
      <c r="B4143" s="22" t="s">
        <v>33</v>
      </c>
      <c r="C4143" s="22" t="s">
        <v>44</v>
      </c>
      <c r="D4143" s="22" t="s">
        <v>5029</v>
      </c>
      <c r="E4143" s="24" t="s">
        <v>5030</v>
      </c>
      <c r="F4143" s="22" t="s">
        <v>66</v>
      </c>
      <c r="G4143" s="25">
        <f>5348+3847</f>
        <v>9195</v>
      </c>
      <c r="H4143" s="22" t="s">
        <v>24</v>
      </c>
      <c r="I4143" s="22">
        <v>1</v>
      </c>
      <c r="J4143" s="22" t="s">
        <v>66</v>
      </c>
      <c r="K4143" s="22" t="s">
        <v>75</v>
      </c>
      <c r="L4143" s="22">
        <v>0</v>
      </c>
      <c r="M4143" s="26">
        <v>420000</v>
      </c>
      <c r="N4143" s="26">
        <v>0</v>
      </c>
      <c r="O4143" s="15">
        <f t="shared" si="356"/>
        <v>420000</v>
      </c>
      <c r="P4143" s="15">
        <f t="shared" si="357"/>
        <v>45.676998368678632</v>
      </c>
      <c r="Q4143" s="25">
        <v>20000</v>
      </c>
      <c r="R4143" s="22">
        <v>75</v>
      </c>
      <c r="S4143" s="22" t="s">
        <v>5038</v>
      </c>
      <c r="T4143" s="22">
        <f t="shared" si="353"/>
        <v>2</v>
      </c>
      <c r="U4143" s="22">
        <f t="shared" si="354"/>
        <v>2022</v>
      </c>
      <c r="V4143" s="22" t="str">
        <f t="shared" si="355"/>
        <v>REGIONES</v>
      </c>
    </row>
    <row r="4144" spans="1:22" x14ac:dyDescent="0.2">
      <c r="A4144" s="23" t="s">
        <v>5021</v>
      </c>
      <c r="B4144" s="22" t="s">
        <v>33</v>
      </c>
      <c r="C4144" s="22" t="s">
        <v>44</v>
      </c>
      <c r="D4144" s="22" t="s">
        <v>45</v>
      </c>
      <c r="E4144" s="24" t="s">
        <v>52</v>
      </c>
      <c r="F4144" s="22" t="s">
        <v>67</v>
      </c>
      <c r="G4144" s="25">
        <v>3794.64</v>
      </c>
      <c r="H4144" s="22" t="s">
        <v>22</v>
      </c>
      <c r="I4144" s="22">
        <v>0</v>
      </c>
      <c r="J4144" s="22" t="s">
        <v>67</v>
      </c>
      <c r="K4144" s="22" t="s">
        <v>23</v>
      </c>
      <c r="L4144" s="22">
        <v>2</v>
      </c>
      <c r="M4144" s="26">
        <v>55000</v>
      </c>
      <c r="N4144" s="26">
        <v>0</v>
      </c>
      <c r="O4144" s="15">
        <f t="shared" si="356"/>
        <v>55000</v>
      </c>
      <c r="P4144" s="15">
        <f t="shared" si="357"/>
        <v>14.494128560285034</v>
      </c>
      <c r="Q4144" s="25">
        <v>5000</v>
      </c>
      <c r="R4144" s="22">
        <v>76</v>
      </c>
      <c r="S4144" s="22" t="s">
        <v>5031</v>
      </c>
      <c r="T4144" s="22">
        <f t="shared" si="353"/>
        <v>2</v>
      </c>
      <c r="U4144" s="22">
        <f t="shared" si="354"/>
        <v>2022</v>
      </c>
      <c r="V4144" s="22" t="str">
        <f t="shared" si="355"/>
        <v>METROPOLITANA</v>
      </c>
    </row>
    <row r="4145" spans="1:22" x14ac:dyDescent="0.2">
      <c r="A4145" s="61" t="s">
        <v>5021</v>
      </c>
      <c r="B4145" s="22" t="s">
        <v>33</v>
      </c>
      <c r="C4145" s="22" t="s">
        <v>44</v>
      </c>
      <c r="D4145" s="22" t="s">
        <v>47</v>
      </c>
      <c r="E4145" s="24" t="s">
        <v>21</v>
      </c>
      <c r="F4145" s="22" t="s">
        <v>53</v>
      </c>
      <c r="G4145" s="25">
        <v>5470.5999999999995</v>
      </c>
      <c r="H4145" s="22" t="s">
        <v>22</v>
      </c>
      <c r="I4145" s="22">
        <v>0</v>
      </c>
      <c r="J4145" s="22" t="s">
        <v>53</v>
      </c>
      <c r="K4145" s="22" t="s">
        <v>23</v>
      </c>
      <c r="L4145" s="22">
        <v>3</v>
      </c>
      <c r="M4145" s="26">
        <v>60177</v>
      </c>
      <c r="N4145" s="26">
        <v>0</v>
      </c>
      <c r="O4145" s="15">
        <f t="shared" si="356"/>
        <v>60177</v>
      </c>
      <c r="P4145" s="15">
        <f t="shared" si="357"/>
        <v>11.000073118122328</v>
      </c>
      <c r="Q4145" s="25">
        <v>5000</v>
      </c>
      <c r="R4145" s="22">
        <v>100</v>
      </c>
      <c r="S4145" s="22" t="s">
        <v>5032</v>
      </c>
      <c r="T4145" s="22">
        <f t="shared" si="353"/>
        <v>2</v>
      </c>
      <c r="U4145" s="22">
        <f t="shared" si="354"/>
        <v>2022</v>
      </c>
      <c r="V4145" s="22" t="str">
        <f t="shared" si="355"/>
        <v>METROPOLITANA</v>
      </c>
    </row>
    <row r="4146" spans="1:22" s="12" customFormat="1" x14ac:dyDescent="0.2">
      <c r="A4146" s="11" t="s">
        <v>5039</v>
      </c>
      <c r="B4146" s="12" t="s">
        <v>18</v>
      </c>
      <c r="C4146" s="12" t="s">
        <v>1173</v>
      </c>
      <c r="D4146" s="12" t="s">
        <v>37</v>
      </c>
      <c r="E4146" s="13" t="s">
        <v>40</v>
      </c>
      <c r="F4146" s="12" t="s">
        <v>182</v>
      </c>
      <c r="G4146" s="14">
        <v>7640.2699999999986</v>
      </c>
      <c r="H4146" s="12" t="s">
        <v>22</v>
      </c>
      <c r="I4146" s="12">
        <v>0</v>
      </c>
      <c r="J4146" s="12" t="s">
        <v>182</v>
      </c>
      <c r="K4146" s="12" t="s">
        <v>23</v>
      </c>
      <c r="L4146" s="12">
        <v>4</v>
      </c>
      <c r="M4146" s="15">
        <v>84043</v>
      </c>
      <c r="N4146" s="15">
        <v>0</v>
      </c>
      <c r="O4146" s="15">
        <f t="shared" si="356"/>
        <v>84043</v>
      </c>
      <c r="P4146" s="15">
        <f t="shared" si="357"/>
        <v>11.000003926562806</v>
      </c>
      <c r="Q4146" s="14">
        <v>5000</v>
      </c>
      <c r="R4146" s="12">
        <v>100</v>
      </c>
      <c r="S4146" s="12" t="s">
        <v>5040</v>
      </c>
      <c r="T4146" s="12">
        <f t="shared" si="353"/>
        <v>2</v>
      </c>
      <c r="U4146" s="12">
        <f t="shared" si="354"/>
        <v>2022</v>
      </c>
      <c r="V4146" s="12" t="str">
        <f t="shared" si="355"/>
        <v>METROPOLITANA</v>
      </c>
    </row>
    <row r="4147" spans="1:22" s="12" customFormat="1" x14ac:dyDescent="0.2">
      <c r="A4147" s="11" t="s">
        <v>5039</v>
      </c>
      <c r="B4147" s="12" t="s">
        <v>18</v>
      </c>
      <c r="C4147" s="12" t="s">
        <v>500</v>
      </c>
      <c r="D4147" s="12" t="s">
        <v>38</v>
      </c>
      <c r="E4147" s="13" t="s">
        <v>42</v>
      </c>
      <c r="F4147" s="12" t="s">
        <v>120</v>
      </c>
      <c r="G4147" s="14">
        <v>6882.55</v>
      </c>
      <c r="H4147" s="12" t="s">
        <v>43</v>
      </c>
      <c r="I4147" s="12">
        <v>0</v>
      </c>
      <c r="J4147" s="12" t="s">
        <v>120</v>
      </c>
      <c r="K4147" s="12" t="s">
        <v>23</v>
      </c>
      <c r="L4147" s="12">
        <v>5</v>
      </c>
      <c r="M4147" s="15">
        <v>70000</v>
      </c>
      <c r="N4147" s="15">
        <v>0</v>
      </c>
      <c r="O4147" s="15">
        <f t="shared" si="356"/>
        <v>70000</v>
      </c>
      <c r="P4147" s="15">
        <f t="shared" si="357"/>
        <v>10.170648960051144</v>
      </c>
      <c r="Q4147" s="14">
        <v>10000</v>
      </c>
      <c r="R4147" s="12">
        <v>69</v>
      </c>
      <c r="S4147" s="12" t="s">
        <v>5041</v>
      </c>
      <c r="T4147" s="12">
        <f t="shared" si="353"/>
        <v>2</v>
      </c>
      <c r="U4147" s="12">
        <f t="shared" si="354"/>
        <v>2022</v>
      </c>
      <c r="V4147" s="12" t="str">
        <f t="shared" si="355"/>
        <v>METROPOLITANA</v>
      </c>
    </row>
    <row r="4148" spans="1:22" s="12" customFormat="1" x14ac:dyDescent="0.2">
      <c r="A4148" s="11" t="s">
        <v>5039</v>
      </c>
      <c r="B4148" s="12" t="s">
        <v>18</v>
      </c>
      <c r="C4148" s="12" t="s">
        <v>87</v>
      </c>
      <c r="D4148" s="12" t="s">
        <v>786</v>
      </c>
      <c r="E4148" s="13" t="s">
        <v>787</v>
      </c>
      <c r="F4148" s="12" t="s">
        <v>51</v>
      </c>
      <c r="G4148" s="14">
        <v>26830.860000000011</v>
      </c>
      <c r="H4148" s="12" t="s">
        <v>788</v>
      </c>
      <c r="I4148" s="12">
        <v>1</v>
      </c>
      <c r="J4148" s="12" t="s">
        <v>51</v>
      </c>
      <c r="K4148" s="12" t="s">
        <v>23</v>
      </c>
      <c r="L4148" s="12">
        <v>4</v>
      </c>
      <c r="M4148" s="15">
        <v>295139</v>
      </c>
      <c r="N4148" s="15">
        <v>0</v>
      </c>
      <c r="O4148" s="15">
        <f t="shared" si="356"/>
        <v>295139</v>
      </c>
      <c r="P4148" s="15">
        <f t="shared" si="357"/>
        <v>10.999982855562582</v>
      </c>
      <c r="Q4148" s="14">
        <v>5000</v>
      </c>
      <c r="R4148" s="12">
        <v>100</v>
      </c>
      <c r="S4148" s="12" t="s">
        <v>5042</v>
      </c>
      <c r="T4148" s="12">
        <f t="shared" si="353"/>
        <v>2</v>
      </c>
      <c r="U4148" s="12">
        <f t="shared" si="354"/>
        <v>2022</v>
      </c>
      <c r="V4148" s="12" t="str">
        <f t="shared" si="355"/>
        <v>METROPOLITANA</v>
      </c>
    </row>
    <row r="4149" spans="1:22" s="12" customFormat="1" x14ac:dyDescent="0.2">
      <c r="A4149" s="11" t="s">
        <v>5039</v>
      </c>
      <c r="B4149" s="12" t="s">
        <v>33</v>
      </c>
      <c r="C4149" s="12" t="s">
        <v>270</v>
      </c>
      <c r="D4149" s="12" t="s">
        <v>20</v>
      </c>
      <c r="E4149" s="13" t="s">
        <v>21</v>
      </c>
      <c r="F4149" s="12" t="s">
        <v>377</v>
      </c>
      <c r="G4149" s="14">
        <f>17899.5+1196</f>
        <v>19095.5</v>
      </c>
      <c r="H4149" s="12" t="s">
        <v>22</v>
      </c>
      <c r="I4149" s="12">
        <v>0</v>
      </c>
      <c r="J4149" s="12" t="s">
        <v>377</v>
      </c>
      <c r="K4149" s="12" t="s">
        <v>23</v>
      </c>
      <c r="L4149" s="12">
        <v>4</v>
      </c>
      <c r="M4149" s="15">
        <v>196894</v>
      </c>
      <c r="N4149" s="15">
        <v>0</v>
      </c>
      <c r="O4149" s="15">
        <f t="shared" si="356"/>
        <v>196894</v>
      </c>
      <c r="P4149" s="15">
        <f t="shared" si="357"/>
        <v>10.311015684323532</v>
      </c>
      <c r="Q4149" s="14">
        <v>5000</v>
      </c>
      <c r="R4149" s="12">
        <v>100</v>
      </c>
      <c r="S4149" s="12" t="s">
        <v>5137</v>
      </c>
      <c r="T4149" s="12">
        <f t="shared" si="353"/>
        <v>2</v>
      </c>
      <c r="U4149" s="12">
        <f t="shared" si="354"/>
        <v>2022</v>
      </c>
      <c r="V4149" s="12" t="str">
        <f t="shared" si="355"/>
        <v>METROPOLITANA</v>
      </c>
    </row>
    <row r="4150" spans="1:22" s="12" customFormat="1" x14ac:dyDescent="0.2">
      <c r="A4150" s="11" t="s">
        <v>5039</v>
      </c>
      <c r="B4150" s="12" t="s">
        <v>33</v>
      </c>
      <c r="C4150" s="12" t="s">
        <v>128</v>
      </c>
      <c r="D4150" s="12" t="s">
        <v>1869</v>
      </c>
      <c r="E4150" s="13" t="s">
        <v>1870</v>
      </c>
      <c r="F4150" s="12" t="s">
        <v>129</v>
      </c>
      <c r="G4150" s="14">
        <v>8244.0000000000036</v>
      </c>
      <c r="H4150" s="12" t="s">
        <v>24</v>
      </c>
      <c r="I4150" s="12">
        <v>1</v>
      </c>
      <c r="J4150" s="12" t="s">
        <v>129</v>
      </c>
      <c r="K4150" s="12" t="s">
        <v>23</v>
      </c>
      <c r="L4150" s="12">
        <v>1</v>
      </c>
      <c r="M4150" s="15">
        <v>90684</v>
      </c>
      <c r="N4150" s="15">
        <v>0</v>
      </c>
      <c r="O4150" s="15">
        <f t="shared" si="356"/>
        <v>90684</v>
      </c>
      <c r="P4150" s="15">
        <f t="shared" si="357"/>
        <v>10.999999999999995</v>
      </c>
      <c r="Q4150" s="14">
        <v>5000</v>
      </c>
      <c r="R4150" s="12">
        <v>100</v>
      </c>
      <c r="S4150" s="12" t="s">
        <v>5043</v>
      </c>
      <c r="T4150" s="12">
        <f t="shared" si="353"/>
        <v>2</v>
      </c>
      <c r="U4150" s="12">
        <f t="shared" si="354"/>
        <v>2022</v>
      </c>
      <c r="V4150" s="12" t="str">
        <f t="shared" si="355"/>
        <v>METROPOLITANA</v>
      </c>
    </row>
    <row r="4151" spans="1:22" s="12" customFormat="1" x14ac:dyDescent="0.2">
      <c r="A4151" s="11" t="s">
        <v>5039</v>
      </c>
      <c r="B4151" s="12" t="s">
        <v>33</v>
      </c>
      <c r="C4151" s="12" t="s">
        <v>29</v>
      </c>
      <c r="D4151" s="12" t="s">
        <v>38</v>
      </c>
      <c r="E4151" s="13" t="s">
        <v>42</v>
      </c>
      <c r="F4151" s="12" t="s">
        <v>39</v>
      </c>
      <c r="G4151" s="14">
        <f>10094.9+1700</f>
        <v>11794.9</v>
      </c>
      <c r="H4151" s="12" t="s">
        <v>43</v>
      </c>
      <c r="I4151" s="12">
        <v>0</v>
      </c>
      <c r="J4151" s="12" t="s">
        <v>39</v>
      </c>
      <c r="K4151" s="12" t="s">
        <v>23</v>
      </c>
      <c r="L4151" s="12">
        <v>1</v>
      </c>
      <c r="M4151" s="15">
        <v>111044</v>
      </c>
      <c r="N4151" s="15">
        <v>0</v>
      </c>
      <c r="O4151" s="15">
        <f t="shared" si="356"/>
        <v>111044</v>
      </c>
      <c r="P4151" s="15">
        <f t="shared" si="357"/>
        <v>9.4145774868799226</v>
      </c>
      <c r="Q4151" s="14">
        <v>5000</v>
      </c>
      <c r="R4151" s="12">
        <v>100</v>
      </c>
      <c r="S4151" s="12" t="s">
        <v>5138</v>
      </c>
      <c r="T4151" s="12">
        <f t="shared" si="353"/>
        <v>2</v>
      </c>
      <c r="U4151" s="12">
        <f t="shared" si="354"/>
        <v>2022</v>
      </c>
      <c r="V4151" s="12" t="str">
        <f t="shared" si="355"/>
        <v>METROPOLITANA</v>
      </c>
    </row>
    <row r="4152" spans="1:22" s="12" customFormat="1" x14ac:dyDescent="0.2">
      <c r="A4152" s="11" t="s">
        <v>5039</v>
      </c>
      <c r="B4152" s="12" t="s">
        <v>33</v>
      </c>
      <c r="C4152" s="12" t="s">
        <v>29</v>
      </c>
      <c r="D4152" s="12" t="s">
        <v>41</v>
      </c>
      <c r="E4152" s="13" t="s">
        <v>25</v>
      </c>
      <c r="F4152" s="12" t="s">
        <v>39</v>
      </c>
      <c r="G4152" s="14">
        <v>2748</v>
      </c>
      <c r="H4152" s="12" t="s">
        <v>43</v>
      </c>
      <c r="I4152" s="12">
        <v>0</v>
      </c>
      <c r="J4152" s="12" t="s">
        <v>39</v>
      </c>
      <c r="K4152" s="12" t="s">
        <v>23</v>
      </c>
      <c r="L4152" s="12">
        <v>1</v>
      </c>
      <c r="M4152" s="15">
        <v>55000</v>
      </c>
      <c r="N4152" s="15">
        <v>0</v>
      </c>
      <c r="O4152" s="15">
        <f t="shared" si="356"/>
        <v>55000</v>
      </c>
      <c r="P4152" s="15">
        <f t="shared" si="357"/>
        <v>20.014556040756915</v>
      </c>
      <c r="Q4152" s="14">
        <v>5000</v>
      </c>
      <c r="R4152" s="12">
        <v>55</v>
      </c>
      <c r="S4152" s="12" t="s">
        <v>5044</v>
      </c>
      <c r="T4152" s="12">
        <f t="shared" si="353"/>
        <v>2</v>
      </c>
      <c r="U4152" s="12">
        <f t="shared" si="354"/>
        <v>2022</v>
      </c>
      <c r="V4152" s="12" t="str">
        <f t="shared" si="355"/>
        <v>METROPOLITANA</v>
      </c>
    </row>
    <row r="4153" spans="1:22" s="12" customFormat="1" x14ac:dyDescent="0.2">
      <c r="A4153" s="11" t="s">
        <v>5039</v>
      </c>
      <c r="B4153" s="12" t="s">
        <v>33</v>
      </c>
      <c r="C4153" s="12" t="s">
        <v>29</v>
      </c>
      <c r="D4153" s="12" t="s">
        <v>164</v>
      </c>
      <c r="E4153" s="13" t="s">
        <v>1576</v>
      </c>
      <c r="F4153" s="12" t="s">
        <v>39</v>
      </c>
      <c r="G4153" s="14">
        <v>8244.0000000000036</v>
      </c>
      <c r="H4153" s="12" t="s">
        <v>22</v>
      </c>
      <c r="I4153" s="12">
        <v>1</v>
      </c>
      <c r="J4153" s="12" t="s">
        <v>39</v>
      </c>
      <c r="K4153" s="12" t="s">
        <v>23</v>
      </c>
      <c r="L4153" s="12">
        <v>1</v>
      </c>
      <c r="M4153" s="15">
        <v>90684</v>
      </c>
      <c r="N4153" s="15">
        <v>0</v>
      </c>
      <c r="O4153" s="15">
        <f t="shared" si="356"/>
        <v>90684</v>
      </c>
      <c r="P4153" s="15">
        <f t="shared" si="357"/>
        <v>10.999999999999995</v>
      </c>
      <c r="Q4153" s="14">
        <v>5000</v>
      </c>
      <c r="R4153" s="12">
        <v>100</v>
      </c>
      <c r="S4153" s="12" t="s">
        <v>5045</v>
      </c>
      <c r="T4153" s="12">
        <f t="shared" si="353"/>
        <v>2</v>
      </c>
      <c r="U4153" s="12">
        <f t="shared" si="354"/>
        <v>2022</v>
      </c>
      <c r="V4153" s="12" t="str">
        <f t="shared" si="355"/>
        <v>METROPOLITANA</v>
      </c>
    </row>
    <row r="4154" spans="1:22" x14ac:dyDescent="0.2">
      <c r="A4154" s="23" t="s">
        <v>5046</v>
      </c>
      <c r="B4154" s="22" t="s">
        <v>18</v>
      </c>
      <c r="C4154" s="22" t="s">
        <v>1173</v>
      </c>
      <c r="D4154" s="22" t="s">
        <v>41</v>
      </c>
      <c r="E4154" s="24" t="s">
        <v>25</v>
      </c>
      <c r="F4154" s="22" t="s">
        <v>182</v>
      </c>
      <c r="G4154" s="25">
        <v>5697.19</v>
      </c>
      <c r="H4154" s="22" t="s">
        <v>43</v>
      </c>
      <c r="I4154" s="22">
        <v>0</v>
      </c>
      <c r="J4154" s="22" t="s">
        <v>182</v>
      </c>
      <c r="K4154" s="22" t="s">
        <v>23</v>
      </c>
      <c r="L4154" s="22">
        <v>4</v>
      </c>
      <c r="M4154" s="26">
        <v>62669</v>
      </c>
      <c r="N4154" s="26">
        <v>0</v>
      </c>
      <c r="O4154" s="15">
        <f t="shared" si="356"/>
        <v>62669</v>
      </c>
      <c r="P4154" s="15">
        <f t="shared" si="357"/>
        <v>10.999984202738544</v>
      </c>
      <c r="Q4154" s="25">
        <v>5000</v>
      </c>
      <c r="R4154" s="22">
        <v>100</v>
      </c>
      <c r="S4154" s="22" t="s">
        <v>5047</v>
      </c>
      <c r="T4154" s="22">
        <f t="shared" si="353"/>
        <v>2</v>
      </c>
      <c r="U4154" s="22">
        <f t="shared" si="354"/>
        <v>2022</v>
      </c>
      <c r="V4154" s="22" t="str">
        <f t="shared" si="355"/>
        <v>METROPOLITANA</v>
      </c>
    </row>
    <row r="4155" spans="1:22" x14ac:dyDescent="0.2">
      <c r="A4155" s="23" t="s">
        <v>5046</v>
      </c>
      <c r="B4155" s="22" t="s">
        <v>18</v>
      </c>
      <c r="C4155" s="22" t="s">
        <v>1173</v>
      </c>
      <c r="D4155" s="22" t="s">
        <v>20</v>
      </c>
      <c r="E4155" s="24" t="s">
        <v>21</v>
      </c>
      <c r="F4155" s="22" t="s">
        <v>182</v>
      </c>
      <c r="G4155" s="25">
        <v>6014.3999999999987</v>
      </c>
      <c r="H4155" s="22" t="s">
        <v>22</v>
      </c>
      <c r="I4155" s="22">
        <v>0</v>
      </c>
      <c r="J4155" s="22" t="s">
        <v>182</v>
      </c>
      <c r="K4155" s="22" t="s">
        <v>23</v>
      </c>
      <c r="L4155" s="22">
        <v>4</v>
      </c>
      <c r="M4155" s="26">
        <v>66158</v>
      </c>
      <c r="N4155" s="26">
        <v>0</v>
      </c>
      <c r="O4155" s="15">
        <f t="shared" si="356"/>
        <v>66158</v>
      </c>
      <c r="P4155" s="15">
        <f t="shared" si="357"/>
        <v>10.999933492950255</v>
      </c>
      <c r="Q4155" s="25">
        <v>5000</v>
      </c>
      <c r="R4155" s="22">
        <v>100</v>
      </c>
      <c r="S4155" s="22" t="s">
        <v>5048</v>
      </c>
      <c r="T4155" s="22">
        <f t="shared" si="353"/>
        <v>2</v>
      </c>
      <c r="U4155" s="22">
        <f t="shared" si="354"/>
        <v>2022</v>
      </c>
      <c r="V4155" s="22" t="str">
        <f t="shared" si="355"/>
        <v>METROPOLITANA</v>
      </c>
    </row>
    <row r="4156" spans="1:22" x14ac:dyDescent="0.2">
      <c r="A4156" s="23" t="s">
        <v>5046</v>
      </c>
      <c r="B4156" s="22" t="s">
        <v>18</v>
      </c>
      <c r="C4156" s="22" t="s">
        <v>19</v>
      </c>
      <c r="D4156" s="22" t="s">
        <v>2262</v>
      </c>
      <c r="E4156" s="24" t="s">
        <v>83</v>
      </c>
      <c r="F4156" s="22" t="s">
        <v>84</v>
      </c>
      <c r="G4156" s="25">
        <v>10695.63</v>
      </c>
      <c r="H4156" s="22" t="s">
        <v>24</v>
      </c>
      <c r="I4156" s="22">
        <v>1</v>
      </c>
      <c r="J4156" s="22" t="s">
        <v>84</v>
      </c>
      <c r="K4156" s="22" t="s">
        <v>86</v>
      </c>
      <c r="L4156" s="22">
        <v>0</v>
      </c>
      <c r="M4156" s="26">
        <v>330000</v>
      </c>
      <c r="N4156" s="26">
        <v>0</v>
      </c>
      <c r="O4156" s="15">
        <f t="shared" si="356"/>
        <v>330000</v>
      </c>
      <c r="P4156" s="15">
        <f t="shared" si="357"/>
        <v>30.853722501619824</v>
      </c>
      <c r="Q4156" s="25">
        <v>20000</v>
      </c>
      <c r="R4156" s="22">
        <v>53</v>
      </c>
      <c r="S4156" s="22" t="s">
        <v>5049</v>
      </c>
      <c r="T4156" s="22">
        <f t="shared" si="353"/>
        <v>2</v>
      </c>
      <c r="U4156" s="22">
        <f t="shared" si="354"/>
        <v>2022</v>
      </c>
      <c r="V4156" s="22" t="str">
        <f t="shared" si="355"/>
        <v>REGIONES</v>
      </c>
    </row>
    <row r="4157" spans="1:22" x14ac:dyDescent="0.2">
      <c r="A4157" s="23" t="s">
        <v>5046</v>
      </c>
      <c r="B4157" s="22" t="s">
        <v>18</v>
      </c>
      <c r="C4157" s="22" t="s">
        <v>87</v>
      </c>
      <c r="D4157" s="22" t="s">
        <v>37</v>
      </c>
      <c r="E4157" s="24" t="s">
        <v>40</v>
      </c>
      <c r="F4157" s="22" t="s">
        <v>51</v>
      </c>
      <c r="G4157" s="25">
        <v>12267.680000000009</v>
      </c>
      <c r="H4157" s="22" t="s">
        <v>22</v>
      </c>
      <c r="I4157" s="22">
        <v>0</v>
      </c>
      <c r="J4157" s="22" t="s">
        <v>51</v>
      </c>
      <c r="K4157" s="22" t="s">
        <v>23</v>
      </c>
      <c r="L4157" s="22">
        <v>4</v>
      </c>
      <c r="M4157" s="26">
        <v>134944</v>
      </c>
      <c r="N4157" s="26">
        <v>0</v>
      </c>
      <c r="O4157" s="15">
        <f t="shared" si="356"/>
        <v>134944</v>
      </c>
      <c r="P4157" s="15">
        <f t="shared" si="357"/>
        <v>10.999960872797455</v>
      </c>
      <c r="Q4157" s="25">
        <v>5000</v>
      </c>
      <c r="R4157" s="22">
        <v>100</v>
      </c>
      <c r="S4157" s="22" t="s">
        <v>5050</v>
      </c>
      <c r="T4157" s="22">
        <f t="shared" si="353"/>
        <v>2</v>
      </c>
      <c r="U4157" s="22">
        <f t="shared" si="354"/>
        <v>2022</v>
      </c>
      <c r="V4157" s="22" t="str">
        <f t="shared" si="355"/>
        <v>METROPOLITANA</v>
      </c>
    </row>
    <row r="4158" spans="1:22" x14ac:dyDescent="0.2">
      <c r="A4158" s="23" t="s">
        <v>5046</v>
      </c>
      <c r="B4158" s="22" t="s">
        <v>18</v>
      </c>
      <c r="C4158" s="22" t="s">
        <v>87</v>
      </c>
      <c r="D4158" s="22" t="s">
        <v>2955</v>
      </c>
      <c r="E4158" s="24" t="s">
        <v>64</v>
      </c>
      <c r="F4158" s="22" t="s">
        <v>51</v>
      </c>
      <c r="G4158" s="25">
        <v>14372.28</v>
      </c>
      <c r="H4158" s="22" t="s">
        <v>24</v>
      </c>
      <c r="I4158" s="22">
        <v>1</v>
      </c>
      <c r="J4158" s="22" t="s">
        <v>51</v>
      </c>
      <c r="K4158" s="22" t="s">
        <v>23</v>
      </c>
      <c r="L4158" s="22">
        <v>4</v>
      </c>
      <c r="M4158" s="26">
        <v>158095</v>
      </c>
      <c r="N4158" s="26">
        <v>0</v>
      </c>
      <c r="O4158" s="15">
        <f t="shared" si="356"/>
        <v>158095</v>
      </c>
      <c r="P4158" s="15">
        <f t="shared" si="357"/>
        <v>10.999994433729373</v>
      </c>
      <c r="Q4158" s="25">
        <v>5000</v>
      </c>
      <c r="R4158" s="22">
        <v>100</v>
      </c>
      <c r="S4158" s="22" t="s">
        <v>5051</v>
      </c>
      <c r="T4158" s="22">
        <f t="shared" si="353"/>
        <v>2</v>
      </c>
      <c r="U4158" s="22">
        <f t="shared" si="354"/>
        <v>2022</v>
      </c>
      <c r="V4158" s="22" t="str">
        <f t="shared" si="355"/>
        <v>METROPOLITANA</v>
      </c>
    </row>
    <row r="4159" spans="1:22" x14ac:dyDescent="0.2">
      <c r="A4159" s="23" t="s">
        <v>5046</v>
      </c>
      <c r="B4159" s="22" t="s">
        <v>33</v>
      </c>
      <c r="C4159" s="22" t="s">
        <v>128</v>
      </c>
      <c r="D4159" s="22" t="s">
        <v>786</v>
      </c>
      <c r="E4159" s="24" t="s">
        <v>787</v>
      </c>
      <c r="F4159" s="22" t="s">
        <v>34</v>
      </c>
      <c r="G4159" s="25">
        <f>18760+750</f>
        <v>19510</v>
      </c>
      <c r="H4159" s="22" t="s">
        <v>788</v>
      </c>
      <c r="I4159" s="22">
        <v>1</v>
      </c>
      <c r="J4159" s="22" t="s">
        <v>34</v>
      </c>
      <c r="K4159" s="22" t="s">
        <v>23</v>
      </c>
      <c r="L4159" s="22">
        <v>1</v>
      </c>
      <c r="M4159" s="26">
        <v>206360</v>
      </c>
      <c r="N4159" s="26">
        <v>0</v>
      </c>
      <c r="O4159" s="15">
        <f t="shared" si="356"/>
        <v>206360</v>
      </c>
      <c r="P4159" s="15">
        <f t="shared" si="357"/>
        <v>10.577139928241927</v>
      </c>
      <c r="Q4159" s="25">
        <v>5000</v>
      </c>
      <c r="R4159" s="22">
        <v>100</v>
      </c>
      <c r="S4159" s="22" t="s">
        <v>5139</v>
      </c>
      <c r="T4159" s="22">
        <f t="shared" si="353"/>
        <v>2</v>
      </c>
      <c r="U4159" s="22">
        <f t="shared" si="354"/>
        <v>2022</v>
      </c>
      <c r="V4159" s="22" t="str">
        <f t="shared" si="355"/>
        <v>METROPOLITANA</v>
      </c>
    </row>
    <row r="4160" spans="1:22" x14ac:dyDescent="0.2">
      <c r="A4160" s="23" t="s">
        <v>5046</v>
      </c>
      <c r="B4160" s="22" t="s">
        <v>33</v>
      </c>
      <c r="C4160" s="22" t="s">
        <v>128</v>
      </c>
      <c r="D4160" s="22" t="s">
        <v>164</v>
      </c>
      <c r="E4160" s="24" t="s">
        <v>1576</v>
      </c>
      <c r="F4160" s="22" t="s">
        <v>34</v>
      </c>
      <c r="G4160" s="25">
        <v>8244.0000000000036</v>
      </c>
      <c r="H4160" s="22" t="s">
        <v>22</v>
      </c>
      <c r="I4160" s="22">
        <v>1</v>
      </c>
      <c r="J4160" s="22" t="s">
        <v>34</v>
      </c>
      <c r="K4160" s="22" t="s">
        <v>23</v>
      </c>
      <c r="L4160" s="22">
        <v>1</v>
      </c>
      <c r="M4160" s="26">
        <v>90684</v>
      </c>
      <c r="N4160" s="26">
        <v>0</v>
      </c>
      <c r="O4160" s="15">
        <f t="shared" si="356"/>
        <v>90684</v>
      </c>
      <c r="P4160" s="15">
        <f t="shared" si="357"/>
        <v>10.999999999999995</v>
      </c>
      <c r="Q4160" s="25">
        <v>5000</v>
      </c>
      <c r="R4160" s="22">
        <v>100</v>
      </c>
      <c r="S4160" s="22" t="s">
        <v>5052</v>
      </c>
      <c r="T4160" s="22">
        <f t="shared" si="353"/>
        <v>2</v>
      </c>
      <c r="U4160" s="22">
        <f t="shared" si="354"/>
        <v>2022</v>
      </c>
      <c r="V4160" s="22" t="str">
        <f t="shared" si="355"/>
        <v>METROPOLITANA</v>
      </c>
    </row>
    <row r="4161" spans="1:22" x14ac:dyDescent="0.2">
      <c r="A4161" s="23" t="s">
        <v>5046</v>
      </c>
      <c r="B4161" s="22" t="s">
        <v>33</v>
      </c>
      <c r="C4161" s="22" t="s">
        <v>29</v>
      </c>
      <c r="D4161" s="22" t="s">
        <v>38</v>
      </c>
      <c r="E4161" s="24" t="s">
        <v>42</v>
      </c>
      <c r="F4161" s="22" t="s">
        <v>39</v>
      </c>
      <c r="G4161" s="25">
        <v>7948</v>
      </c>
      <c r="H4161" s="22" t="s">
        <v>43</v>
      </c>
      <c r="I4161" s="22">
        <v>0</v>
      </c>
      <c r="J4161" s="22" t="s">
        <v>39</v>
      </c>
      <c r="K4161" s="22" t="s">
        <v>23</v>
      </c>
      <c r="L4161" s="22">
        <v>1</v>
      </c>
      <c r="M4161" s="26">
        <v>87428</v>
      </c>
      <c r="N4161" s="26">
        <v>0</v>
      </c>
      <c r="O4161" s="15">
        <f t="shared" si="356"/>
        <v>87428</v>
      </c>
      <c r="P4161" s="15">
        <f t="shared" si="357"/>
        <v>11</v>
      </c>
      <c r="Q4161" s="25">
        <v>5000</v>
      </c>
      <c r="R4161" s="22">
        <v>100</v>
      </c>
      <c r="S4161" s="22" t="s">
        <v>5053</v>
      </c>
      <c r="T4161" s="22">
        <f t="shared" si="353"/>
        <v>2</v>
      </c>
      <c r="U4161" s="22">
        <f t="shared" si="354"/>
        <v>2022</v>
      </c>
      <c r="V4161" s="22" t="str">
        <f t="shared" si="355"/>
        <v>METROPOLITANA</v>
      </c>
    </row>
    <row r="4162" spans="1:22" x14ac:dyDescent="0.2">
      <c r="A4162" s="23" t="s">
        <v>5046</v>
      </c>
      <c r="B4162" s="22" t="s">
        <v>33</v>
      </c>
      <c r="C4162" s="22" t="s">
        <v>29</v>
      </c>
      <c r="D4162" s="22" t="s">
        <v>164</v>
      </c>
      <c r="E4162" s="24" t="s">
        <v>1576</v>
      </c>
      <c r="F4162" s="22" t="s">
        <v>39</v>
      </c>
      <c r="G4162" s="25">
        <v>8244.0000000000036</v>
      </c>
      <c r="H4162" s="22" t="s">
        <v>22</v>
      </c>
      <c r="I4162" s="22">
        <v>1</v>
      </c>
      <c r="J4162" s="22" t="s">
        <v>39</v>
      </c>
      <c r="K4162" s="22" t="s">
        <v>23</v>
      </c>
      <c r="L4162" s="22">
        <v>1</v>
      </c>
      <c r="M4162" s="26">
        <v>90684</v>
      </c>
      <c r="N4162" s="26">
        <v>0</v>
      </c>
      <c r="O4162" s="15">
        <f t="shared" si="356"/>
        <v>90684</v>
      </c>
      <c r="P4162" s="15">
        <f t="shared" si="357"/>
        <v>10.999999999999995</v>
      </c>
      <c r="Q4162" s="25">
        <v>5000</v>
      </c>
      <c r="R4162" s="22">
        <v>100</v>
      </c>
      <c r="S4162" s="22" t="s">
        <v>5054</v>
      </c>
      <c r="T4162" s="22">
        <f t="shared" si="353"/>
        <v>2</v>
      </c>
      <c r="U4162" s="22">
        <f t="shared" si="354"/>
        <v>2022</v>
      </c>
      <c r="V4162" s="22" t="str">
        <f t="shared" si="355"/>
        <v>METROPOLITANA</v>
      </c>
    </row>
    <row r="4163" spans="1:22" x14ac:dyDescent="0.2">
      <c r="A4163" s="23" t="s">
        <v>5046</v>
      </c>
      <c r="B4163" s="22" t="s">
        <v>33</v>
      </c>
      <c r="C4163" s="22" t="s">
        <v>29</v>
      </c>
      <c r="D4163" s="22" t="s">
        <v>20</v>
      </c>
      <c r="E4163" s="24" t="s">
        <v>21</v>
      </c>
      <c r="F4163" s="22" t="s">
        <v>39</v>
      </c>
      <c r="G4163" s="25">
        <v>2748</v>
      </c>
      <c r="H4163" s="22" t="s">
        <v>22</v>
      </c>
      <c r="I4163" s="22">
        <v>0</v>
      </c>
      <c r="J4163" s="22" t="s">
        <v>39</v>
      </c>
      <c r="K4163" s="22" t="s">
        <v>23</v>
      </c>
      <c r="L4163" s="22">
        <v>1</v>
      </c>
      <c r="M4163" s="26">
        <v>55000</v>
      </c>
      <c r="N4163" s="26">
        <v>0</v>
      </c>
      <c r="O4163" s="15">
        <f t="shared" si="356"/>
        <v>55000</v>
      </c>
      <c r="P4163" s="15">
        <f t="shared" si="357"/>
        <v>20.014556040756915</v>
      </c>
      <c r="Q4163" s="25">
        <v>5000</v>
      </c>
      <c r="R4163" s="22">
        <v>55</v>
      </c>
      <c r="S4163" s="22" t="s">
        <v>5055</v>
      </c>
      <c r="T4163" s="22">
        <f t="shared" si="353"/>
        <v>2</v>
      </c>
      <c r="U4163" s="22">
        <f t="shared" si="354"/>
        <v>2022</v>
      </c>
      <c r="V4163" s="22" t="str">
        <f t="shared" si="355"/>
        <v>METROPOLITANA</v>
      </c>
    </row>
    <row r="4164" spans="1:22" x14ac:dyDescent="0.2">
      <c r="A4164" s="23" t="s">
        <v>5046</v>
      </c>
      <c r="B4164" s="22" t="s">
        <v>33</v>
      </c>
      <c r="C4164" s="22" t="s">
        <v>44</v>
      </c>
      <c r="D4164" s="22" t="s">
        <v>1869</v>
      </c>
      <c r="E4164" s="24" t="s">
        <v>1870</v>
      </c>
      <c r="F4164" s="22" t="s">
        <v>876</v>
      </c>
      <c r="G4164" s="25">
        <v>9833.4</v>
      </c>
      <c r="H4164" s="22" t="s">
        <v>24</v>
      </c>
      <c r="I4164" s="22">
        <v>1</v>
      </c>
      <c r="J4164" s="22" t="s">
        <v>876</v>
      </c>
      <c r="K4164" s="22" t="s">
        <v>86</v>
      </c>
      <c r="L4164" s="22">
        <v>0</v>
      </c>
      <c r="M4164" s="26">
        <v>350000</v>
      </c>
      <c r="N4164" s="26">
        <v>0</v>
      </c>
      <c r="O4164" s="15">
        <f t="shared" si="356"/>
        <v>350000</v>
      </c>
      <c r="P4164" s="15">
        <f t="shared" si="357"/>
        <v>35.592979030650639</v>
      </c>
      <c r="Q4164" s="25">
        <v>20000</v>
      </c>
      <c r="R4164" s="22">
        <v>49</v>
      </c>
      <c r="S4164" s="22" t="s">
        <v>5056</v>
      </c>
      <c r="T4164" s="22">
        <f t="shared" si="353"/>
        <v>2</v>
      </c>
      <c r="U4164" s="22">
        <f t="shared" si="354"/>
        <v>2022</v>
      </c>
      <c r="V4164" s="22" t="str">
        <f t="shared" si="355"/>
        <v>REGIONES</v>
      </c>
    </row>
    <row r="4165" spans="1:22" x14ac:dyDescent="0.2">
      <c r="A4165" s="23" t="s">
        <v>5046</v>
      </c>
      <c r="B4165" s="22" t="s">
        <v>33</v>
      </c>
      <c r="C4165" s="22" t="s">
        <v>44</v>
      </c>
      <c r="D4165" s="22" t="s">
        <v>2825</v>
      </c>
      <c r="E4165" s="24" t="s">
        <v>639</v>
      </c>
      <c r="F4165" s="22" t="s">
        <v>84</v>
      </c>
      <c r="G4165" s="25">
        <v>7452.7</v>
      </c>
      <c r="H4165" s="22" t="s">
        <v>24</v>
      </c>
      <c r="I4165" s="22">
        <v>1</v>
      </c>
      <c r="J4165" s="22" t="s">
        <v>84</v>
      </c>
      <c r="K4165" s="22" t="s">
        <v>86</v>
      </c>
      <c r="L4165" s="22">
        <v>0</v>
      </c>
      <c r="M4165" s="26">
        <v>330000</v>
      </c>
      <c r="N4165" s="26">
        <v>0</v>
      </c>
      <c r="O4165" s="15">
        <f t="shared" si="356"/>
        <v>330000</v>
      </c>
      <c r="P4165" s="15">
        <f t="shared" si="357"/>
        <v>44.279254498369717</v>
      </c>
      <c r="Q4165" s="25">
        <v>20000</v>
      </c>
      <c r="R4165" s="22">
        <v>37</v>
      </c>
      <c r="S4165" s="22" t="s">
        <v>5057</v>
      </c>
      <c r="T4165" s="22">
        <f t="shared" si="353"/>
        <v>2</v>
      </c>
      <c r="U4165" s="22">
        <f t="shared" si="354"/>
        <v>2022</v>
      </c>
      <c r="V4165" s="22" t="str">
        <f t="shared" si="355"/>
        <v>REGIONES</v>
      </c>
    </row>
    <row r="4166" spans="1:22" s="12" customFormat="1" x14ac:dyDescent="0.2">
      <c r="A4166" s="11" t="s">
        <v>5058</v>
      </c>
      <c r="B4166" s="12" t="s">
        <v>18</v>
      </c>
      <c r="C4166" s="12" t="s">
        <v>57</v>
      </c>
      <c r="D4166" s="12" t="s">
        <v>20</v>
      </c>
      <c r="E4166" s="13" t="s">
        <v>21</v>
      </c>
      <c r="F4166" s="12" t="s">
        <v>89</v>
      </c>
      <c r="G4166" s="14">
        <v>4811.1399999999994</v>
      </c>
      <c r="H4166" s="12" t="s">
        <v>22</v>
      </c>
      <c r="I4166" s="12">
        <v>0</v>
      </c>
      <c r="J4166" s="12" t="s">
        <v>89</v>
      </c>
      <c r="K4166" s="12" t="s">
        <v>23</v>
      </c>
      <c r="L4166" s="12">
        <v>5</v>
      </c>
      <c r="M4166" s="15">
        <v>90000</v>
      </c>
      <c r="N4166" s="15">
        <v>0</v>
      </c>
      <c r="O4166" s="15">
        <f t="shared" si="356"/>
        <v>90000</v>
      </c>
      <c r="P4166" s="15">
        <f t="shared" si="357"/>
        <v>18.706585133668945</v>
      </c>
      <c r="Q4166" s="14">
        <v>10000</v>
      </c>
      <c r="R4166" s="12">
        <v>48</v>
      </c>
      <c r="S4166" s="12" t="s">
        <v>5059</v>
      </c>
      <c r="T4166" s="12">
        <f t="shared" si="353"/>
        <v>2</v>
      </c>
      <c r="U4166" s="12">
        <f t="shared" si="354"/>
        <v>2022</v>
      </c>
      <c r="V4166" s="12" t="str">
        <f t="shared" si="355"/>
        <v>METROPOLITANA</v>
      </c>
    </row>
    <row r="4167" spans="1:22" s="12" customFormat="1" x14ac:dyDescent="0.2">
      <c r="A4167" s="11" t="s">
        <v>5058</v>
      </c>
      <c r="B4167" s="12" t="s">
        <v>18</v>
      </c>
      <c r="C4167" s="12" t="s">
        <v>1173</v>
      </c>
      <c r="D4167" s="12" t="s">
        <v>37</v>
      </c>
      <c r="E4167" s="13" t="s">
        <v>40</v>
      </c>
      <c r="F4167" s="12" t="s">
        <v>182</v>
      </c>
      <c r="G4167" s="14">
        <v>8486.68</v>
      </c>
      <c r="H4167" s="12" t="s">
        <v>22</v>
      </c>
      <c r="I4167" s="12">
        <v>0</v>
      </c>
      <c r="J4167" s="12" t="s">
        <v>182</v>
      </c>
      <c r="K4167" s="12" t="s">
        <v>23</v>
      </c>
      <c r="L4167" s="12">
        <v>4</v>
      </c>
      <c r="M4167" s="15">
        <v>93353</v>
      </c>
      <c r="N4167" s="15">
        <v>0</v>
      </c>
      <c r="O4167" s="15">
        <f t="shared" si="356"/>
        <v>93353</v>
      </c>
      <c r="P4167" s="15">
        <f t="shared" si="357"/>
        <v>10.99994344078014</v>
      </c>
      <c r="Q4167" s="14">
        <v>5000</v>
      </c>
      <c r="R4167" s="12">
        <v>100</v>
      </c>
      <c r="S4167" s="12" t="s">
        <v>5060</v>
      </c>
      <c r="T4167" s="12">
        <f t="shared" si="353"/>
        <v>2</v>
      </c>
      <c r="U4167" s="12">
        <f t="shared" si="354"/>
        <v>2022</v>
      </c>
      <c r="V4167" s="12" t="str">
        <f t="shared" si="355"/>
        <v>METROPOLITANA</v>
      </c>
    </row>
    <row r="4168" spans="1:22" s="12" customFormat="1" x14ac:dyDescent="0.2">
      <c r="A4168" s="11" t="s">
        <v>5058</v>
      </c>
      <c r="B4168" s="12" t="s">
        <v>18</v>
      </c>
      <c r="C4168" s="12" t="s">
        <v>500</v>
      </c>
      <c r="D4168" s="12" t="s">
        <v>41</v>
      </c>
      <c r="E4168" s="13" t="s">
        <v>25</v>
      </c>
      <c r="F4168" s="12" t="s">
        <v>120</v>
      </c>
      <c r="G4168" s="14">
        <v>10783.68</v>
      </c>
      <c r="H4168" s="12" t="s">
        <v>43</v>
      </c>
      <c r="I4168" s="12">
        <v>0</v>
      </c>
      <c r="J4168" s="12" t="s">
        <v>120</v>
      </c>
      <c r="K4168" s="12" t="s">
        <v>23</v>
      </c>
      <c r="L4168" s="12">
        <v>5</v>
      </c>
      <c r="M4168" s="15">
        <v>70000</v>
      </c>
      <c r="N4168" s="15">
        <v>0</v>
      </c>
      <c r="O4168" s="15">
        <f t="shared" si="356"/>
        <v>70000</v>
      </c>
      <c r="P4168" s="15">
        <f t="shared" si="357"/>
        <v>6.491290542746075</v>
      </c>
      <c r="Q4168" s="14">
        <v>10000</v>
      </c>
      <c r="R4168" s="12">
        <v>100</v>
      </c>
      <c r="S4168" s="12" t="s">
        <v>5061</v>
      </c>
      <c r="T4168" s="12">
        <f t="shared" ref="T4168:T4231" si="358">MONTH(A4168)</f>
        <v>2</v>
      </c>
      <c r="U4168" s="12">
        <f t="shared" ref="U4168:U4231" si="359">YEAR(A4168)</f>
        <v>2022</v>
      </c>
      <c r="V4168" s="12" t="str">
        <f t="shared" ref="V4168:V4231" si="360">IF(K4168="METROPOLITANA DE SANTIAGO","METROPOLITANA","REGIONES")</f>
        <v>METROPOLITANA</v>
      </c>
    </row>
    <row r="4169" spans="1:22" s="12" customFormat="1" x14ac:dyDescent="0.2">
      <c r="A4169" s="11" t="s">
        <v>5058</v>
      </c>
      <c r="B4169" s="12" t="s">
        <v>33</v>
      </c>
      <c r="C4169" s="12" t="s">
        <v>57</v>
      </c>
      <c r="D4169" s="12" t="s">
        <v>20</v>
      </c>
      <c r="E4169" s="13" t="s">
        <v>21</v>
      </c>
      <c r="F4169" s="12" t="s">
        <v>89</v>
      </c>
      <c r="G4169" s="14">
        <v>1719.9</v>
      </c>
      <c r="H4169" s="12" t="s">
        <v>22</v>
      </c>
      <c r="I4169" s="12">
        <v>0</v>
      </c>
      <c r="J4169" s="12" t="s">
        <v>89</v>
      </c>
      <c r="K4169" s="12" t="s">
        <v>23</v>
      </c>
      <c r="L4169" s="12">
        <v>5</v>
      </c>
      <c r="M4169" s="15">
        <v>90000</v>
      </c>
      <c r="N4169" s="15">
        <v>0</v>
      </c>
      <c r="O4169" s="15">
        <f t="shared" si="356"/>
        <v>90000</v>
      </c>
      <c r="P4169" s="15">
        <f t="shared" si="357"/>
        <v>52.328623757195182</v>
      </c>
      <c r="Q4169" s="14">
        <v>10000</v>
      </c>
      <c r="R4169" s="12">
        <v>17</v>
      </c>
      <c r="S4169" s="12" t="s">
        <v>5062</v>
      </c>
      <c r="T4169" s="12">
        <f t="shared" si="358"/>
        <v>2</v>
      </c>
      <c r="U4169" s="12">
        <f t="shared" si="359"/>
        <v>2022</v>
      </c>
      <c r="V4169" s="12" t="str">
        <f t="shared" si="360"/>
        <v>METROPOLITANA</v>
      </c>
    </row>
    <row r="4170" spans="1:22" s="12" customFormat="1" x14ac:dyDescent="0.2">
      <c r="A4170" s="11" t="s">
        <v>5058</v>
      </c>
      <c r="B4170" s="12" t="s">
        <v>33</v>
      </c>
      <c r="C4170" s="12" t="s">
        <v>36</v>
      </c>
      <c r="D4170" s="12" t="s">
        <v>47</v>
      </c>
      <c r="E4170" s="13" t="s">
        <v>1576</v>
      </c>
      <c r="F4170" s="12" t="s">
        <v>376</v>
      </c>
      <c r="G4170" s="14">
        <v>5526.4</v>
      </c>
      <c r="H4170" s="12" t="s">
        <v>22</v>
      </c>
      <c r="I4170" s="12">
        <v>0</v>
      </c>
      <c r="J4170" s="12" t="s">
        <v>377</v>
      </c>
      <c r="K4170" s="12" t="s">
        <v>23</v>
      </c>
      <c r="L4170" s="12">
        <v>4</v>
      </c>
      <c r="M4170" s="15">
        <v>60790</v>
      </c>
      <c r="N4170" s="15">
        <v>0</v>
      </c>
      <c r="O4170" s="15">
        <f t="shared" si="356"/>
        <v>60790</v>
      </c>
      <c r="P4170" s="15">
        <f t="shared" si="357"/>
        <v>10.999927620150551</v>
      </c>
      <c r="Q4170" s="14">
        <v>5000</v>
      </c>
      <c r="R4170" s="12">
        <v>100</v>
      </c>
      <c r="S4170" s="12" t="s">
        <v>5063</v>
      </c>
      <c r="T4170" s="12">
        <f t="shared" si="358"/>
        <v>2</v>
      </c>
      <c r="U4170" s="12">
        <f t="shared" si="359"/>
        <v>2022</v>
      </c>
      <c r="V4170" s="12" t="str">
        <f t="shared" si="360"/>
        <v>METROPOLITANA</v>
      </c>
    </row>
    <row r="4171" spans="1:22" s="12" customFormat="1" x14ac:dyDescent="0.2">
      <c r="A4171" s="11" t="s">
        <v>5058</v>
      </c>
      <c r="B4171" s="12" t="s">
        <v>33</v>
      </c>
      <c r="C4171" s="12" t="s">
        <v>29</v>
      </c>
      <c r="D4171" s="12" t="s">
        <v>164</v>
      </c>
      <c r="E4171" s="13" t="s">
        <v>1576</v>
      </c>
      <c r="F4171" s="12" t="s">
        <v>39</v>
      </c>
      <c r="G4171" s="14">
        <v>9504.0000000000091</v>
      </c>
      <c r="H4171" s="12" t="s">
        <v>22</v>
      </c>
      <c r="I4171" s="12">
        <v>1</v>
      </c>
      <c r="J4171" s="12" t="s">
        <v>39</v>
      </c>
      <c r="K4171" s="12" t="s">
        <v>23</v>
      </c>
      <c r="L4171" s="12">
        <v>1</v>
      </c>
      <c r="M4171" s="15">
        <v>104544</v>
      </c>
      <c r="N4171" s="15">
        <v>0</v>
      </c>
      <c r="O4171" s="15">
        <f t="shared" si="356"/>
        <v>104544</v>
      </c>
      <c r="P4171" s="15">
        <f t="shared" si="357"/>
        <v>10.999999999999989</v>
      </c>
      <c r="Q4171" s="14">
        <v>5000</v>
      </c>
      <c r="R4171" s="12">
        <v>100</v>
      </c>
      <c r="S4171" s="12" t="s">
        <v>5064</v>
      </c>
      <c r="T4171" s="12">
        <f t="shared" si="358"/>
        <v>2</v>
      </c>
      <c r="U4171" s="12">
        <f t="shared" si="359"/>
        <v>2022</v>
      </c>
      <c r="V4171" s="12" t="str">
        <f t="shared" si="360"/>
        <v>METROPOLITANA</v>
      </c>
    </row>
    <row r="4172" spans="1:22" s="12" customFormat="1" x14ac:dyDescent="0.2">
      <c r="A4172" s="11" t="s">
        <v>5058</v>
      </c>
      <c r="B4172" s="12" t="s">
        <v>33</v>
      </c>
      <c r="C4172" s="12" t="s">
        <v>44</v>
      </c>
      <c r="D4172" s="12" t="s">
        <v>45</v>
      </c>
      <c r="E4172" s="13" t="s">
        <v>52</v>
      </c>
      <c r="F4172" s="12" t="s">
        <v>48</v>
      </c>
      <c r="G4172" s="14">
        <f>5933.7+275</f>
        <v>6208.7</v>
      </c>
      <c r="H4172" s="12" t="s">
        <v>22</v>
      </c>
      <c r="I4172" s="12">
        <v>0</v>
      </c>
      <c r="J4172" s="12" t="s">
        <v>48</v>
      </c>
      <c r="K4172" s="12" t="s">
        <v>23</v>
      </c>
      <c r="L4172" s="12">
        <v>1</v>
      </c>
      <c r="M4172" s="15">
        <v>65271</v>
      </c>
      <c r="N4172" s="15">
        <v>0</v>
      </c>
      <c r="O4172" s="15">
        <f t="shared" si="356"/>
        <v>65271</v>
      </c>
      <c r="P4172" s="15">
        <f t="shared" si="357"/>
        <v>10.512828772528872</v>
      </c>
      <c r="Q4172" s="14">
        <v>5000</v>
      </c>
      <c r="R4172" s="12">
        <v>100</v>
      </c>
      <c r="S4172" s="12" t="s">
        <v>5140</v>
      </c>
      <c r="T4172" s="12">
        <f t="shared" si="358"/>
        <v>2</v>
      </c>
      <c r="U4172" s="12">
        <f t="shared" si="359"/>
        <v>2022</v>
      </c>
      <c r="V4172" s="12" t="str">
        <f t="shared" si="360"/>
        <v>METROPOLITANA</v>
      </c>
    </row>
    <row r="4173" spans="1:22" x14ac:dyDescent="0.2">
      <c r="A4173" s="23" t="s">
        <v>5065</v>
      </c>
      <c r="B4173" s="22" t="s">
        <v>18</v>
      </c>
      <c r="C4173" s="22" t="s">
        <v>57</v>
      </c>
      <c r="D4173" s="22" t="s">
        <v>41</v>
      </c>
      <c r="E4173" s="24" t="s">
        <v>25</v>
      </c>
      <c r="F4173" s="22" t="s">
        <v>89</v>
      </c>
      <c r="G4173" s="25">
        <v>8289.77</v>
      </c>
      <c r="H4173" s="22" t="s">
        <v>43</v>
      </c>
      <c r="I4173" s="22">
        <v>0</v>
      </c>
      <c r="J4173" s="22" t="s">
        <v>89</v>
      </c>
      <c r="K4173" s="22" t="s">
        <v>23</v>
      </c>
      <c r="L4173" s="22">
        <v>5</v>
      </c>
      <c r="M4173" s="26">
        <v>90000</v>
      </c>
      <c r="N4173" s="26">
        <v>0</v>
      </c>
      <c r="O4173" s="15">
        <f t="shared" si="356"/>
        <v>90000</v>
      </c>
      <c r="P4173" s="15">
        <f t="shared" si="357"/>
        <v>10.856754771242144</v>
      </c>
      <c r="Q4173" s="25">
        <v>10000</v>
      </c>
      <c r="R4173" s="22">
        <v>83</v>
      </c>
      <c r="S4173" s="22" t="s">
        <v>5066</v>
      </c>
      <c r="T4173" s="22">
        <f t="shared" si="358"/>
        <v>2</v>
      </c>
      <c r="U4173" s="22">
        <f t="shared" si="359"/>
        <v>2022</v>
      </c>
      <c r="V4173" s="22" t="str">
        <f t="shared" si="360"/>
        <v>METROPOLITANA</v>
      </c>
    </row>
    <row r="4174" spans="1:22" x14ac:dyDescent="0.2">
      <c r="A4174" s="23" t="s">
        <v>5065</v>
      </c>
      <c r="B4174" s="22" t="s">
        <v>18</v>
      </c>
      <c r="C4174" s="22" t="s">
        <v>500</v>
      </c>
      <c r="D4174" s="22" t="s">
        <v>37</v>
      </c>
      <c r="E4174" s="24" t="s">
        <v>40</v>
      </c>
      <c r="F4174" s="22" t="s">
        <v>120</v>
      </c>
      <c r="G4174" s="25">
        <v>12799.49</v>
      </c>
      <c r="H4174" s="22" t="s">
        <v>22</v>
      </c>
      <c r="I4174" s="22">
        <v>0</v>
      </c>
      <c r="J4174" s="22" t="s">
        <v>120</v>
      </c>
      <c r="K4174" s="22" t="s">
        <v>23</v>
      </c>
      <c r="L4174" s="22">
        <v>5</v>
      </c>
      <c r="M4174" s="26">
        <v>70000</v>
      </c>
      <c r="N4174" s="26">
        <v>0</v>
      </c>
      <c r="O4174" s="15">
        <f t="shared" si="356"/>
        <v>70000</v>
      </c>
      <c r="P4174" s="15">
        <f t="shared" si="357"/>
        <v>5.4689679041899328</v>
      </c>
      <c r="Q4174" s="25">
        <v>10000</v>
      </c>
      <c r="R4174" s="22">
        <v>100</v>
      </c>
      <c r="S4174" s="22" t="s">
        <v>5067</v>
      </c>
      <c r="T4174" s="22">
        <f t="shared" si="358"/>
        <v>2</v>
      </c>
      <c r="U4174" s="22">
        <f t="shared" si="359"/>
        <v>2022</v>
      </c>
      <c r="V4174" s="22" t="str">
        <f t="shared" si="360"/>
        <v>METROPOLITANA</v>
      </c>
    </row>
    <row r="4175" spans="1:22" x14ac:dyDescent="0.2">
      <c r="A4175" s="23" t="s">
        <v>5065</v>
      </c>
      <c r="B4175" s="22" t="s">
        <v>18</v>
      </c>
      <c r="C4175" s="22" t="s">
        <v>19</v>
      </c>
      <c r="D4175" s="22" t="s">
        <v>191</v>
      </c>
      <c r="E4175" s="24" t="s">
        <v>192</v>
      </c>
      <c r="F4175" s="22" t="s">
        <v>481</v>
      </c>
      <c r="G4175" s="25">
        <v>16692.060000000001</v>
      </c>
      <c r="H4175" s="22" t="s">
        <v>85</v>
      </c>
      <c r="I4175" s="22">
        <v>1</v>
      </c>
      <c r="J4175" s="22" t="s">
        <v>481</v>
      </c>
      <c r="K4175" s="22" t="s">
        <v>93</v>
      </c>
      <c r="L4175" s="22">
        <v>0</v>
      </c>
      <c r="M4175" s="26">
        <v>800000</v>
      </c>
      <c r="N4175" s="26">
        <v>0</v>
      </c>
      <c r="O4175" s="15">
        <f t="shared" si="356"/>
        <v>800000</v>
      </c>
      <c r="P4175" s="15">
        <f t="shared" si="357"/>
        <v>47.926978455625004</v>
      </c>
      <c r="Q4175" s="25">
        <v>20000</v>
      </c>
      <c r="R4175" s="22">
        <v>83</v>
      </c>
      <c r="S4175" s="22" t="s">
        <v>5068</v>
      </c>
      <c r="T4175" s="22">
        <f t="shared" si="358"/>
        <v>2</v>
      </c>
      <c r="U4175" s="22">
        <f t="shared" si="359"/>
        <v>2022</v>
      </c>
      <c r="V4175" s="22" t="str">
        <f t="shared" si="360"/>
        <v>REGIONES</v>
      </c>
    </row>
    <row r="4176" spans="1:22" x14ac:dyDescent="0.2">
      <c r="A4176" s="23" t="s">
        <v>5065</v>
      </c>
      <c r="B4176" s="22" t="s">
        <v>33</v>
      </c>
      <c r="C4176" s="22" t="s">
        <v>29</v>
      </c>
      <c r="D4176" s="22" t="s">
        <v>38</v>
      </c>
      <c r="E4176" s="24" t="s">
        <v>42</v>
      </c>
      <c r="F4176" s="22" t="s">
        <v>39</v>
      </c>
      <c r="G4176" s="25">
        <v>7948</v>
      </c>
      <c r="H4176" s="22" t="s">
        <v>43</v>
      </c>
      <c r="I4176" s="22">
        <v>0</v>
      </c>
      <c r="J4176" s="22" t="s">
        <v>39</v>
      </c>
      <c r="K4176" s="22" t="s">
        <v>23</v>
      </c>
      <c r="L4176" s="22">
        <v>1</v>
      </c>
      <c r="M4176" s="26">
        <v>87428</v>
      </c>
      <c r="N4176" s="26">
        <v>0</v>
      </c>
      <c r="O4176" s="15">
        <f t="shared" si="356"/>
        <v>87428</v>
      </c>
      <c r="P4176" s="15">
        <f t="shared" si="357"/>
        <v>11</v>
      </c>
      <c r="Q4176" s="25">
        <v>5000</v>
      </c>
      <c r="R4176" s="22">
        <v>100</v>
      </c>
      <c r="S4176" s="22" t="s">
        <v>5069</v>
      </c>
      <c r="T4176" s="22">
        <f t="shared" si="358"/>
        <v>2</v>
      </c>
      <c r="U4176" s="22">
        <f t="shared" si="359"/>
        <v>2022</v>
      </c>
      <c r="V4176" s="22" t="str">
        <f t="shared" si="360"/>
        <v>METROPOLITANA</v>
      </c>
    </row>
    <row r="4177" spans="1:22" x14ac:dyDescent="0.2">
      <c r="A4177" s="23" t="s">
        <v>5065</v>
      </c>
      <c r="B4177" s="22" t="s">
        <v>33</v>
      </c>
      <c r="C4177" s="22" t="s">
        <v>29</v>
      </c>
      <c r="D4177" s="22" t="s">
        <v>38</v>
      </c>
      <c r="E4177" s="24" t="s">
        <v>21</v>
      </c>
      <c r="F4177" s="22" t="s">
        <v>39</v>
      </c>
      <c r="G4177" s="25">
        <v>5200</v>
      </c>
      <c r="H4177" s="22" t="s">
        <v>43</v>
      </c>
      <c r="I4177" s="22">
        <v>0</v>
      </c>
      <c r="J4177" s="22" t="s">
        <v>39</v>
      </c>
      <c r="K4177" s="22" t="s">
        <v>23</v>
      </c>
      <c r="L4177" s="22">
        <v>1</v>
      </c>
      <c r="M4177" s="26">
        <v>57200</v>
      </c>
      <c r="N4177" s="26">
        <v>0</v>
      </c>
      <c r="O4177" s="15">
        <f t="shared" si="356"/>
        <v>57200</v>
      </c>
      <c r="P4177" s="15">
        <f t="shared" si="357"/>
        <v>11</v>
      </c>
      <c r="Q4177" s="25">
        <v>5000</v>
      </c>
      <c r="R4177" s="22">
        <v>100</v>
      </c>
      <c r="S4177" s="22" t="s">
        <v>5070</v>
      </c>
      <c r="T4177" s="22">
        <f t="shared" si="358"/>
        <v>2</v>
      </c>
      <c r="U4177" s="22">
        <f t="shared" si="359"/>
        <v>2022</v>
      </c>
      <c r="V4177" s="22" t="str">
        <f t="shared" si="360"/>
        <v>METROPOLITANA</v>
      </c>
    </row>
    <row r="4178" spans="1:22" x14ac:dyDescent="0.2">
      <c r="A4178" s="23" t="s">
        <v>5065</v>
      </c>
      <c r="B4178" s="22" t="s">
        <v>33</v>
      </c>
      <c r="C4178" s="22" t="s">
        <v>29</v>
      </c>
      <c r="D4178" s="22" t="s">
        <v>164</v>
      </c>
      <c r="E4178" s="24" t="s">
        <v>1576</v>
      </c>
      <c r="F4178" s="22" t="s">
        <v>39</v>
      </c>
      <c r="G4178" s="25">
        <v>14552.8</v>
      </c>
      <c r="H4178" s="22" t="s">
        <v>22</v>
      </c>
      <c r="I4178" s="22">
        <v>1</v>
      </c>
      <c r="J4178" s="22" t="s">
        <v>39</v>
      </c>
      <c r="K4178" s="22" t="s">
        <v>23</v>
      </c>
      <c r="L4178" s="22">
        <v>1</v>
      </c>
      <c r="M4178" s="26">
        <v>160081</v>
      </c>
      <c r="N4178" s="26">
        <v>0</v>
      </c>
      <c r="O4178" s="15">
        <f t="shared" si="356"/>
        <v>160081</v>
      </c>
      <c r="P4178" s="15">
        <f t="shared" si="357"/>
        <v>11.000013743059755</v>
      </c>
      <c r="Q4178" s="25">
        <v>5000</v>
      </c>
      <c r="R4178" s="22">
        <v>100</v>
      </c>
      <c r="S4178" s="22" t="s">
        <v>5071</v>
      </c>
      <c r="T4178" s="22">
        <f t="shared" si="358"/>
        <v>2</v>
      </c>
      <c r="U4178" s="22">
        <f t="shared" si="359"/>
        <v>2022</v>
      </c>
      <c r="V4178" s="22" t="str">
        <f t="shared" si="360"/>
        <v>METROPOLITANA</v>
      </c>
    </row>
    <row r="4179" spans="1:22" x14ac:dyDescent="0.2">
      <c r="A4179" s="23" t="s">
        <v>5065</v>
      </c>
      <c r="B4179" s="22" t="s">
        <v>33</v>
      </c>
      <c r="C4179" s="22" t="s">
        <v>29</v>
      </c>
      <c r="D4179" s="22" t="s">
        <v>20</v>
      </c>
      <c r="E4179" s="24" t="s">
        <v>21</v>
      </c>
      <c r="F4179" s="22" t="s">
        <v>39</v>
      </c>
      <c r="G4179" s="25">
        <v>2748</v>
      </c>
      <c r="H4179" s="22" t="s">
        <v>22</v>
      </c>
      <c r="I4179" s="22">
        <v>0</v>
      </c>
      <c r="J4179" s="22" t="s">
        <v>39</v>
      </c>
      <c r="K4179" s="22" t="s">
        <v>23</v>
      </c>
      <c r="L4179" s="22">
        <v>1</v>
      </c>
      <c r="M4179" s="26">
        <v>55000</v>
      </c>
      <c r="N4179" s="26">
        <v>0</v>
      </c>
      <c r="O4179" s="15">
        <f t="shared" si="356"/>
        <v>55000</v>
      </c>
      <c r="P4179" s="15">
        <f t="shared" si="357"/>
        <v>20.014556040756915</v>
      </c>
      <c r="Q4179" s="25">
        <v>5000</v>
      </c>
      <c r="R4179" s="22">
        <v>55</v>
      </c>
      <c r="S4179" s="22" t="s">
        <v>5072</v>
      </c>
      <c r="T4179" s="22">
        <f t="shared" si="358"/>
        <v>2</v>
      </c>
      <c r="U4179" s="22">
        <f t="shared" si="359"/>
        <v>2022</v>
      </c>
      <c r="V4179" s="22" t="str">
        <f t="shared" si="360"/>
        <v>METROPOLITANA</v>
      </c>
    </row>
    <row r="4180" spans="1:22" x14ac:dyDescent="0.2">
      <c r="A4180" s="23" t="s">
        <v>5065</v>
      </c>
      <c r="B4180" s="22" t="s">
        <v>33</v>
      </c>
      <c r="C4180" s="22" t="s">
        <v>44</v>
      </c>
      <c r="D4180" s="22" t="s">
        <v>2262</v>
      </c>
      <c r="E4180" s="24" t="s">
        <v>83</v>
      </c>
      <c r="F4180" s="22" t="s">
        <v>92</v>
      </c>
      <c r="G4180" s="25">
        <v>16804.580000000002</v>
      </c>
      <c r="H4180" s="22" t="s">
        <v>24</v>
      </c>
      <c r="I4180" s="22">
        <v>1</v>
      </c>
      <c r="J4180" s="22" t="s">
        <v>92</v>
      </c>
      <c r="K4180" s="22" t="s">
        <v>93</v>
      </c>
      <c r="L4180" s="22">
        <v>0</v>
      </c>
      <c r="M4180" s="26">
        <v>665000</v>
      </c>
      <c r="N4180" s="26">
        <v>0</v>
      </c>
      <c r="O4180" s="15">
        <f t="shared" si="356"/>
        <v>665000</v>
      </c>
      <c r="P4180" s="15">
        <f t="shared" si="357"/>
        <v>39.572545103775276</v>
      </c>
      <c r="Q4180" s="25">
        <v>20000</v>
      </c>
      <c r="R4180" s="22">
        <v>84</v>
      </c>
      <c r="S4180" s="22" t="s">
        <v>5073</v>
      </c>
      <c r="T4180" s="22">
        <f t="shared" si="358"/>
        <v>2</v>
      </c>
      <c r="U4180" s="22">
        <f t="shared" si="359"/>
        <v>2022</v>
      </c>
      <c r="V4180" s="22" t="str">
        <f t="shared" si="360"/>
        <v>REGIONES</v>
      </c>
    </row>
    <row r="4181" spans="1:22" x14ac:dyDescent="0.2">
      <c r="A4181" s="23" t="s">
        <v>5065</v>
      </c>
      <c r="B4181" s="22" t="s">
        <v>33</v>
      </c>
      <c r="C4181" s="22" t="s">
        <v>44</v>
      </c>
      <c r="D4181" s="22" t="s">
        <v>2825</v>
      </c>
      <c r="E4181" s="24" t="s">
        <v>639</v>
      </c>
      <c r="F4181" s="22" t="s">
        <v>4649</v>
      </c>
      <c r="G4181" s="25">
        <f>3111.6+3200</f>
        <v>6311.6</v>
      </c>
      <c r="H4181" s="22" t="s">
        <v>24</v>
      </c>
      <c r="I4181" s="22">
        <v>1</v>
      </c>
      <c r="J4181" s="22" t="s">
        <v>4649</v>
      </c>
      <c r="K4181" s="22" t="s">
        <v>93</v>
      </c>
      <c r="L4181" s="22">
        <v>0</v>
      </c>
      <c r="M4181" s="26">
        <v>800000</v>
      </c>
      <c r="N4181" s="26">
        <v>0</v>
      </c>
      <c r="O4181" s="15">
        <v>600000</v>
      </c>
      <c r="P4181" s="15">
        <f t="shared" si="357"/>
        <v>95.063058495468653</v>
      </c>
      <c r="Q4181" s="25">
        <v>20000</v>
      </c>
      <c r="R4181" s="22">
        <v>38</v>
      </c>
      <c r="S4181" s="22" t="s">
        <v>5141</v>
      </c>
      <c r="T4181" s="22">
        <f t="shared" si="358"/>
        <v>2</v>
      </c>
      <c r="U4181" s="22">
        <f t="shared" si="359"/>
        <v>2022</v>
      </c>
      <c r="V4181" s="22" t="str">
        <f t="shared" si="360"/>
        <v>REGIONES</v>
      </c>
    </row>
    <row r="4182" spans="1:22" x14ac:dyDescent="0.2">
      <c r="A4182" s="23" t="s">
        <v>5065</v>
      </c>
      <c r="B4182" s="22" t="s">
        <v>33</v>
      </c>
      <c r="C4182" s="22" t="s">
        <v>44</v>
      </c>
      <c r="D4182" s="22" t="s">
        <v>45</v>
      </c>
      <c r="E4182" s="24" t="s">
        <v>52</v>
      </c>
      <c r="F4182" s="22" t="s">
        <v>48</v>
      </c>
      <c r="G4182" s="25">
        <f>3025.4+1919</f>
        <v>4944.3999999999996</v>
      </c>
      <c r="H4182" s="22" t="s">
        <v>22</v>
      </c>
      <c r="I4182" s="22">
        <v>0</v>
      </c>
      <c r="J4182" s="22" t="s">
        <v>48</v>
      </c>
      <c r="K4182" s="22" t="s">
        <v>23</v>
      </c>
      <c r="L4182" s="22">
        <v>1</v>
      </c>
      <c r="M4182" s="26">
        <v>55000</v>
      </c>
      <c r="N4182" s="26">
        <v>0</v>
      </c>
      <c r="O4182" s="15">
        <f t="shared" ref="O4182:O4213" si="361">SUM(M4182:N4182)</f>
        <v>55000</v>
      </c>
      <c r="P4182" s="15">
        <f t="shared" si="357"/>
        <v>11.123695493892081</v>
      </c>
      <c r="Q4182" s="25">
        <v>5000</v>
      </c>
      <c r="R4182" s="22">
        <v>85</v>
      </c>
      <c r="S4182" s="22" t="s">
        <v>5142</v>
      </c>
      <c r="T4182" s="22">
        <f t="shared" si="358"/>
        <v>2</v>
      </c>
      <c r="U4182" s="22">
        <f t="shared" si="359"/>
        <v>2022</v>
      </c>
      <c r="V4182" s="22" t="str">
        <f t="shared" si="360"/>
        <v>METROPOLITANA</v>
      </c>
    </row>
    <row r="4183" spans="1:22" s="12" customFormat="1" x14ac:dyDescent="0.2">
      <c r="A4183" s="11" t="s">
        <v>5074</v>
      </c>
      <c r="B4183" s="12" t="s">
        <v>18</v>
      </c>
      <c r="C4183" s="12" t="s">
        <v>1173</v>
      </c>
      <c r="D4183" s="12" t="s">
        <v>37</v>
      </c>
      <c r="E4183" s="13" t="s">
        <v>40</v>
      </c>
      <c r="F4183" s="12" t="s">
        <v>182</v>
      </c>
      <c r="G4183" s="14">
        <v>13292.8</v>
      </c>
      <c r="H4183" s="12" t="s">
        <v>22</v>
      </c>
      <c r="I4183" s="12">
        <v>0</v>
      </c>
      <c r="J4183" s="12" t="s">
        <v>182</v>
      </c>
      <c r="K4183" s="12" t="s">
        <v>23</v>
      </c>
      <c r="L4183" s="12">
        <v>4</v>
      </c>
      <c r="M4183" s="15">
        <v>146221</v>
      </c>
      <c r="N4183" s="15">
        <v>0</v>
      </c>
      <c r="O4183" s="15">
        <f t="shared" si="361"/>
        <v>146221</v>
      </c>
      <c r="P4183" s="15">
        <f t="shared" si="357"/>
        <v>11.000015045739048</v>
      </c>
      <c r="Q4183" s="14">
        <v>5000</v>
      </c>
      <c r="R4183" s="12">
        <v>100</v>
      </c>
      <c r="S4183" s="12" t="s">
        <v>5075</v>
      </c>
      <c r="T4183" s="12">
        <f t="shared" si="358"/>
        <v>2</v>
      </c>
      <c r="U4183" s="12">
        <f t="shared" si="359"/>
        <v>2022</v>
      </c>
      <c r="V4183" s="12" t="str">
        <f t="shared" si="360"/>
        <v>METROPOLITANA</v>
      </c>
    </row>
    <row r="4184" spans="1:22" s="12" customFormat="1" x14ac:dyDescent="0.2">
      <c r="A4184" s="11" t="s">
        <v>5074</v>
      </c>
      <c r="B4184" s="12" t="s">
        <v>18</v>
      </c>
      <c r="C4184" s="12" t="s">
        <v>1173</v>
      </c>
      <c r="D4184" s="12" t="s">
        <v>20</v>
      </c>
      <c r="E4184" s="13" t="s">
        <v>21</v>
      </c>
      <c r="F4184" s="12" t="s">
        <v>182</v>
      </c>
      <c r="G4184" s="14">
        <v>6736.4599999999991</v>
      </c>
      <c r="H4184" s="12" t="s">
        <v>22</v>
      </c>
      <c r="I4184" s="12">
        <v>0</v>
      </c>
      <c r="J4184" s="12" t="s">
        <v>182</v>
      </c>
      <c r="K4184" s="12" t="s">
        <v>23</v>
      </c>
      <c r="L4184" s="12">
        <v>4</v>
      </c>
      <c r="M4184" s="15">
        <v>74101</v>
      </c>
      <c r="N4184" s="15">
        <v>0</v>
      </c>
      <c r="O4184" s="15">
        <f t="shared" si="361"/>
        <v>74101</v>
      </c>
      <c r="P4184" s="15">
        <f t="shared" si="357"/>
        <v>10.999991093244821</v>
      </c>
      <c r="Q4184" s="14">
        <v>5000</v>
      </c>
      <c r="R4184" s="12">
        <v>100</v>
      </c>
      <c r="S4184" s="12" t="s">
        <v>5076</v>
      </c>
      <c r="T4184" s="12">
        <f t="shared" si="358"/>
        <v>2</v>
      </c>
      <c r="U4184" s="12">
        <f t="shared" si="359"/>
        <v>2022</v>
      </c>
      <c r="V4184" s="12" t="str">
        <f t="shared" si="360"/>
        <v>METROPOLITANA</v>
      </c>
    </row>
    <row r="4185" spans="1:22" s="12" customFormat="1" x14ac:dyDescent="0.2">
      <c r="A4185" s="11" t="s">
        <v>5074</v>
      </c>
      <c r="B4185" s="12" t="s">
        <v>18</v>
      </c>
      <c r="C4185" s="12" t="s">
        <v>19</v>
      </c>
      <c r="D4185" s="12" t="s">
        <v>37</v>
      </c>
      <c r="E4185" s="13" t="s">
        <v>40</v>
      </c>
      <c r="F4185" s="12" t="s">
        <v>51</v>
      </c>
      <c r="G4185" s="14">
        <v>9315</v>
      </c>
      <c r="H4185" s="12" t="s">
        <v>22</v>
      </c>
      <c r="I4185" s="12">
        <v>0</v>
      </c>
      <c r="J4185" s="12" t="s">
        <v>51</v>
      </c>
      <c r="K4185" s="12" t="s">
        <v>23</v>
      </c>
      <c r="L4185" s="12">
        <v>4</v>
      </c>
      <c r="M4185" s="15">
        <v>102465</v>
      </c>
      <c r="N4185" s="15">
        <v>0</v>
      </c>
      <c r="O4185" s="15">
        <f t="shared" si="361"/>
        <v>102465</v>
      </c>
      <c r="P4185" s="15">
        <f t="shared" si="357"/>
        <v>11</v>
      </c>
      <c r="Q4185" s="14">
        <v>5000</v>
      </c>
      <c r="R4185" s="12">
        <v>100</v>
      </c>
      <c r="S4185" s="12" t="s">
        <v>5077</v>
      </c>
      <c r="T4185" s="12">
        <f t="shared" si="358"/>
        <v>2</v>
      </c>
      <c r="U4185" s="12">
        <f t="shared" si="359"/>
        <v>2022</v>
      </c>
      <c r="V4185" s="12" t="str">
        <f t="shared" si="360"/>
        <v>METROPOLITANA</v>
      </c>
    </row>
    <row r="4186" spans="1:22" s="12" customFormat="1" x14ac:dyDescent="0.2">
      <c r="A4186" s="11" t="s">
        <v>5074</v>
      </c>
      <c r="B4186" s="12" t="s">
        <v>33</v>
      </c>
      <c r="C4186" s="12" t="s">
        <v>36</v>
      </c>
      <c r="D4186" s="12" t="s">
        <v>47</v>
      </c>
      <c r="E4186" s="13" t="s">
        <v>1576</v>
      </c>
      <c r="F4186" s="12" t="s">
        <v>67</v>
      </c>
      <c r="G4186" s="14">
        <v>8935.8000000000011</v>
      </c>
      <c r="H4186" s="12" t="s">
        <v>22</v>
      </c>
      <c r="I4186" s="12">
        <v>0</v>
      </c>
      <c r="J4186" s="12" t="s">
        <v>67</v>
      </c>
      <c r="K4186" s="12" t="s">
        <v>23</v>
      </c>
      <c r="L4186" s="12">
        <v>2</v>
      </c>
      <c r="M4186" s="15">
        <v>98294</v>
      </c>
      <c r="N4186" s="15">
        <v>0</v>
      </c>
      <c r="O4186" s="15">
        <f t="shared" si="361"/>
        <v>98294</v>
      </c>
      <c r="P4186" s="15">
        <f t="shared" si="357"/>
        <v>11.00002238187963</v>
      </c>
      <c r="Q4186" s="14">
        <v>5000</v>
      </c>
      <c r="R4186" s="12">
        <v>100</v>
      </c>
      <c r="S4186" s="12" t="s">
        <v>5078</v>
      </c>
      <c r="T4186" s="12">
        <f t="shared" si="358"/>
        <v>2</v>
      </c>
      <c r="U4186" s="12">
        <f t="shared" si="359"/>
        <v>2022</v>
      </c>
      <c r="V4186" s="12" t="str">
        <f t="shared" si="360"/>
        <v>METROPOLITANA</v>
      </c>
    </row>
    <row r="4187" spans="1:22" s="12" customFormat="1" x14ac:dyDescent="0.2">
      <c r="A4187" s="11" t="s">
        <v>5074</v>
      </c>
      <c r="B4187" s="12" t="s">
        <v>33</v>
      </c>
      <c r="C4187" s="12" t="s">
        <v>36</v>
      </c>
      <c r="D4187" s="12" t="s">
        <v>20</v>
      </c>
      <c r="E4187" s="13" t="s">
        <v>21</v>
      </c>
      <c r="F4187" s="12" t="s">
        <v>230</v>
      </c>
      <c r="G4187" s="14">
        <v>7327.4000000000005</v>
      </c>
      <c r="H4187" s="12" t="s">
        <v>22</v>
      </c>
      <c r="I4187" s="12">
        <v>0</v>
      </c>
      <c r="J4187" s="12" t="s">
        <v>230</v>
      </c>
      <c r="K4187" s="12" t="s">
        <v>23</v>
      </c>
      <c r="L4187" s="12">
        <v>4</v>
      </c>
      <c r="M4187" s="15">
        <v>80601</v>
      </c>
      <c r="N4187" s="15">
        <v>0</v>
      </c>
      <c r="O4187" s="15">
        <f t="shared" si="361"/>
        <v>80601</v>
      </c>
      <c r="P4187" s="15">
        <f t="shared" si="357"/>
        <v>10.999945410377487</v>
      </c>
      <c r="Q4187" s="14">
        <v>5000</v>
      </c>
      <c r="R4187" s="12">
        <v>100</v>
      </c>
      <c r="S4187" s="12" t="s">
        <v>5079</v>
      </c>
      <c r="T4187" s="12">
        <f t="shared" si="358"/>
        <v>2</v>
      </c>
      <c r="U4187" s="12">
        <f t="shared" si="359"/>
        <v>2022</v>
      </c>
      <c r="V4187" s="12" t="str">
        <f t="shared" si="360"/>
        <v>METROPOLITANA</v>
      </c>
    </row>
    <row r="4188" spans="1:22" s="12" customFormat="1" x14ac:dyDescent="0.2">
      <c r="A4188" s="11" t="s">
        <v>5074</v>
      </c>
      <c r="B4188" s="12" t="s">
        <v>33</v>
      </c>
      <c r="C4188" s="12" t="s">
        <v>29</v>
      </c>
      <c r="D4188" s="12" t="s">
        <v>37</v>
      </c>
      <c r="E4188" s="13" t="s">
        <v>40</v>
      </c>
      <c r="F4188" s="12" t="s">
        <v>39</v>
      </c>
      <c r="G4188" s="14">
        <v>3721.6799999999989</v>
      </c>
      <c r="H4188" s="12" t="s">
        <v>22</v>
      </c>
      <c r="I4188" s="12">
        <v>0</v>
      </c>
      <c r="J4188" s="12" t="s">
        <v>39</v>
      </c>
      <c r="K4188" s="12" t="s">
        <v>23</v>
      </c>
      <c r="L4188" s="12">
        <v>1</v>
      </c>
      <c r="M4188" s="15">
        <v>55000</v>
      </c>
      <c r="N4188" s="15">
        <v>0</v>
      </c>
      <c r="O4188" s="15">
        <f t="shared" si="361"/>
        <v>55000</v>
      </c>
      <c r="P4188" s="15">
        <f t="shared" si="357"/>
        <v>14.778272178156106</v>
      </c>
      <c r="Q4188" s="14">
        <v>5000</v>
      </c>
      <c r="R4188" s="12">
        <v>74</v>
      </c>
      <c r="S4188" s="12" t="s">
        <v>5080</v>
      </c>
      <c r="T4188" s="12">
        <f t="shared" si="358"/>
        <v>2</v>
      </c>
      <c r="U4188" s="12">
        <f t="shared" si="359"/>
        <v>2022</v>
      </c>
      <c r="V4188" s="12" t="str">
        <f t="shared" si="360"/>
        <v>METROPOLITANA</v>
      </c>
    </row>
    <row r="4189" spans="1:22" s="12" customFormat="1" x14ac:dyDescent="0.2">
      <c r="A4189" s="11" t="s">
        <v>5074</v>
      </c>
      <c r="B4189" s="12" t="s">
        <v>33</v>
      </c>
      <c r="C4189" s="12" t="s">
        <v>29</v>
      </c>
      <c r="D4189" s="12" t="s">
        <v>37</v>
      </c>
      <c r="E4189" s="13" t="s">
        <v>5081</v>
      </c>
      <c r="F4189" s="12" t="s">
        <v>39</v>
      </c>
      <c r="G4189" s="14">
        <v>5200</v>
      </c>
      <c r="H4189" s="12" t="s">
        <v>22</v>
      </c>
      <c r="I4189" s="12">
        <v>0</v>
      </c>
      <c r="J4189" s="12" t="s">
        <v>39</v>
      </c>
      <c r="K4189" s="12" t="s">
        <v>23</v>
      </c>
      <c r="L4189" s="12">
        <v>1</v>
      </c>
      <c r="M4189" s="15">
        <v>57200</v>
      </c>
      <c r="N4189" s="15">
        <v>0</v>
      </c>
      <c r="O4189" s="15">
        <f t="shared" si="361"/>
        <v>57200</v>
      </c>
      <c r="P4189" s="15">
        <f t="shared" si="357"/>
        <v>11</v>
      </c>
      <c r="Q4189" s="14">
        <v>5000</v>
      </c>
      <c r="R4189" s="12">
        <v>100</v>
      </c>
      <c r="S4189" s="12" t="s">
        <v>5082</v>
      </c>
      <c r="T4189" s="12">
        <f t="shared" si="358"/>
        <v>2</v>
      </c>
      <c r="U4189" s="12">
        <f t="shared" si="359"/>
        <v>2022</v>
      </c>
      <c r="V4189" s="12" t="str">
        <f t="shared" si="360"/>
        <v>METROPOLITANA</v>
      </c>
    </row>
    <row r="4190" spans="1:22" s="12" customFormat="1" x14ac:dyDescent="0.2">
      <c r="A4190" s="11" t="s">
        <v>5074</v>
      </c>
      <c r="B4190" s="12" t="s">
        <v>33</v>
      </c>
      <c r="C4190" s="12" t="s">
        <v>29</v>
      </c>
      <c r="D4190" s="12" t="s">
        <v>47</v>
      </c>
      <c r="E4190" s="13" t="s">
        <v>52</v>
      </c>
      <c r="F4190" s="12" t="s">
        <v>134</v>
      </c>
      <c r="G4190" s="14">
        <v>6473.6000000000013</v>
      </c>
      <c r="H4190" s="12" t="s">
        <v>22</v>
      </c>
      <c r="I4190" s="12">
        <v>0</v>
      </c>
      <c r="J4190" s="12" t="s">
        <v>134</v>
      </c>
      <c r="K4190" s="12" t="s">
        <v>23</v>
      </c>
      <c r="L4190" s="12">
        <v>2</v>
      </c>
      <c r="M4190" s="15">
        <v>71210</v>
      </c>
      <c r="N4190" s="15">
        <v>0</v>
      </c>
      <c r="O4190" s="15">
        <f t="shared" si="361"/>
        <v>71210</v>
      </c>
      <c r="P4190" s="15">
        <f t="shared" si="357"/>
        <v>11.000061789421649</v>
      </c>
      <c r="Q4190" s="14">
        <v>5000</v>
      </c>
      <c r="R4190" s="12">
        <v>100</v>
      </c>
      <c r="S4190" s="12" t="s">
        <v>5083</v>
      </c>
      <c r="T4190" s="12">
        <f t="shared" si="358"/>
        <v>2</v>
      </c>
      <c r="U4190" s="12">
        <f t="shared" si="359"/>
        <v>2022</v>
      </c>
      <c r="V4190" s="12" t="str">
        <f t="shared" si="360"/>
        <v>METROPOLITANA</v>
      </c>
    </row>
    <row r="4191" spans="1:22" s="12" customFormat="1" x14ac:dyDescent="0.2">
      <c r="A4191" s="11" t="s">
        <v>5074</v>
      </c>
      <c r="B4191" s="12" t="s">
        <v>33</v>
      </c>
      <c r="C4191" s="12" t="s">
        <v>29</v>
      </c>
      <c r="D4191" s="12" t="s">
        <v>41</v>
      </c>
      <c r="E4191" s="13" t="s">
        <v>25</v>
      </c>
      <c r="F4191" s="12" t="s">
        <v>173</v>
      </c>
      <c r="G4191" s="14">
        <v>4989.6000000000004</v>
      </c>
      <c r="H4191" s="12" t="s">
        <v>43</v>
      </c>
      <c r="I4191" s="12">
        <v>0</v>
      </c>
      <c r="J4191" s="12" t="s">
        <v>173</v>
      </c>
      <c r="K4191" s="12" t="s">
        <v>23</v>
      </c>
      <c r="L4191" s="12">
        <v>5</v>
      </c>
      <c r="M4191" s="15">
        <v>90000</v>
      </c>
      <c r="N4191" s="15">
        <v>0</v>
      </c>
      <c r="O4191" s="15">
        <f t="shared" si="361"/>
        <v>90000</v>
      </c>
      <c r="P4191" s="15">
        <f t="shared" si="357"/>
        <v>18.037518037518037</v>
      </c>
      <c r="Q4191" s="14">
        <v>10000</v>
      </c>
      <c r="R4191" s="12">
        <v>50</v>
      </c>
      <c r="S4191" s="12" t="s">
        <v>5084</v>
      </c>
      <c r="T4191" s="12">
        <f t="shared" si="358"/>
        <v>2</v>
      </c>
      <c r="U4191" s="12">
        <f t="shared" si="359"/>
        <v>2022</v>
      </c>
      <c r="V4191" s="12" t="str">
        <f t="shared" si="360"/>
        <v>METROPOLITANA</v>
      </c>
    </row>
    <row r="4192" spans="1:22" s="12" customFormat="1" x14ac:dyDescent="0.2">
      <c r="A4192" s="11" t="s">
        <v>5074</v>
      </c>
      <c r="B4192" s="12" t="s">
        <v>33</v>
      </c>
      <c r="C4192" s="12" t="s">
        <v>29</v>
      </c>
      <c r="D4192" s="12" t="s">
        <v>164</v>
      </c>
      <c r="E4192" s="13" t="s">
        <v>1576</v>
      </c>
      <c r="F4192" s="12" t="s">
        <v>39</v>
      </c>
      <c r="G4192" s="14">
        <f>12019.8+824</f>
        <v>12843.8</v>
      </c>
      <c r="H4192" s="12" t="s">
        <v>22</v>
      </c>
      <c r="I4192" s="12">
        <v>1</v>
      </c>
      <c r="J4192" s="12" t="s">
        <v>39</v>
      </c>
      <c r="K4192" s="12" t="s">
        <v>23</v>
      </c>
      <c r="L4192" s="12">
        <v>1</v>
      </c>
      <c r="M4192" s="15">
        <v>132218</v>
      </c>
      <c r="N4192" s="15">
        <v>0</v>
      </c>
      <c r="O4192" s="15">
        <f t="shared" si="361"/>
        <v>132218</v>
      </c>
      <c r="P4192" s="15">
        <f t="shared" si="357"/>
        <v>10.294305423628522</v>
      </c>
      <c r="Q4192" s="14">
        <v>5000</v>
      </c>
      <c r="R4192" s="12">
        <v>100</v>
      </c>
      <c r="S4192" s="12" t="s">
        <v>5143</v>
      </c>
      <c r="T4192" s="12">
        <f t="shared" si="358"/>
        <v>2</v>
      </c>
      <c r="U4192" s="12">
        <f t="shared" si="359"/>
        <v>2022</v>
      </c>
      <c r="V4192" s="12" t="str">
        <f t="shared" si="360"/>
        <v>METROPOLITANA</v>
      </c>
    </row>
    <row r="4193" spans="1:22" s="12" customFormat="1" x14ac:dyDescent="0.2">
      <c r="A4193" s="11" t="s">
        <v>5074</v>
      </c>
      <c r="B4193" s="12" t="s">
        <v>33</v>
      </c>
      <c r="C4193" s="12" t="s">
        <v>29</v>
      </c>
      <c r="D4193" s="12" t="s">
        <v>20</v>
      </c>
      <c r="E4193" s="13" t="s">
        <v>21</v>
      </c>
      <c r="F4193" s="12" t="s">
        <v>39</v>
      </c>
      <c r="G4193" s="14">
        <v>4752</v>
      </c>
      <c r="H4193" s="12" t="s">
        <v>22</v>
      </c>
      <c r="I4193" s="12">
        <v>0</v>
      </c>
      <c r="J4193" s="12" t="s">
        <v>39</v>
      </c>
      <c r="K4193" s="12" t="s">
        <v>23</v>
      </c>
      <c r="L4193" s="12">
        <v>1</v>
      </c>
      <c r="M4193" s="15">
        <v>55000</v>
      </c>
      <c r="N4193" s="15">
        <v>0</v>
      </c>
      <c r="O4193" s="15">
        <f t="shared" si="361"/>
        <v>55000</v>
      </c>
      <c r="P4193" s="15">
        <f t="shared" ref="P4193:P4256" si="362">O4193/G4193</f>
        <v>11.574074074074074</v>
      </c>
      <c r="Q4193" s="14">
        <v>5000</v>
      </c>
      <c r="R4193" s="12">
        <v>95</v>
      </c>
      <c r="S4193" s="12" t="s">
        <v>5085</v>
      </c>
      <c r="T4193" s="12">
        <f t="shared" si="358"/>
        <v>2</v>
      </c>
      <c r="U4193" s="12">
        <f t="shared" si="359"/>
        <v>2022</v>
      </c>
      <c r="V4193" s="12" t="str">
        <f t="shared" si="360"/>
        <v>METROPOLITANA</v>
      </c>
    </row>
    <row r="4194" spans="1:22" s="12" customFormat="1" x14ac:dyDescent="0.2">
      <c r="A4194" s="11" t="s">
        <v>5074</v>
      </c>
      <c r="B4194" s="12" t="s">
        <v>33</v>
      </c>
      <c r="C4194" s="12" t="s">
        <v>44</v>
      </c>
      <c r="D4194" s="12" t="s">
        <v>5086</v>
      </c>
      <c r="E4194" s="13" t="s">
        <v>5087</v>
      </c>
      <c r="F4194" s="12" t="s">
        <v>34</v>
      </c>
      <c r="G4194" s="14">
        <v>5690</v>
      </c>
      <c r="H4194" s="12" t="s">
        <v>24</v>
      </c>
      <c r="I4194" s="12">
        <v>1</v>
      </c>
      <c r="J4194" s="12" t="s">
        <v>34</v>
      </c>
      <c r="K4194" s="12" t="s">
        <v>23</v>
      </c>
      <c r="L4194" s="12">
        <v>1</v>
      </c>
      <c r="M4194" s="15">
        <v>62590</v>
      </c>
      <c r="N4194" s="15">
        <v>0</v>
      </c>
      <c r="O4194" s="15">
        <f t="shared" si="361"/>
        <v>62590</v>
      </c>
      <c r="P4194" s="15">
        <f t="shared" si="362"/>
        <v>11</v>
      </c>
      <c r="Q4194" s="14">
        <v>5000</v>
      </c>
      <c r="R4194" s="12">
        <v>100</v>
      </c>
      <c r="S4194" s="12" t="s">
        <v>5088</v>
      </c>
      <c r="T4194" s="12">
        <f t="shared" si="358"/>
        <v>2</v>
      </c>
      <c r="U4194" s="12">
        <f t="shared" si="359"/>
        <v>2022</v>
      </c>
      <c r="V4194" s="12" t="str">
        <f t="shared" si="360"/>
        <v>METROPOLITANA</v>
      </c>
    </row>
    <row r="4195" spans="1:22" s="12" customFormat="1" x14ac:dyDescent="0.2">
      <c r="A4195" s="11" t="s">
        <v>5074</v>
      </c>
      <c r="B4195" s="12" t="s">
        <v>33</v>
      </c>
      <c r="C4195" s="12" t="s">
        <v>44</v>
      </c>
      <c r="D4195" s="12" t="s">
        <v>45</v>
      </c>
      <c r="E4195" s="13" t="s">
        <v>52</v>
      </c>
      <c r="F4195" s="12" t="s">
        <v>48</v>
      </c>
      <c r="G4195" s="14">
        <f>1839.22+1659</f>
        <v>3498.2200000000003</v>
      </c>
      <c r="H4195" s="12" t="s">
        <v>22</v>
      </c>
      <c r="I4195" s="12">
        <v>0</v>
      </c>
      <c r="J4195" s="12" t="s">
        <v>48</v>
      </c>
      <c r="K4195" s="12" t="s">
        <v>23</v>
      </c>
      <c r="L4195" s="12">
        <v>1</v>
      </c>
      <c r="M4195" s="15">
        <v>55000</v>
      </c>
      <c r="N4195" s="15">
        <v>0</v>
      </c>
      <c r="O4195" s="15">
        <f t="shared" si="361"/>
        <v>55000</v>
      </c>
      <c r="P4195" s="15">
        <f t="shared" si="362"/>
        <v>15.722281617508331</v>
      </c>
      <c r="Q4195" s="14">
        <v>5000</v>
      </c>
      <c r="R4195" s="12">
        <v>48</v>
      </c>
      <c r="S4195" s="12" t="s">
        <v>5144</v>
      </c>
      <c r="T4195" s="12">
        <f t="shared" si="358"/>
        <v>2</v>
      </c>
      <c r="U4195" s="12">
        <f t="shared" si="359"/>
        <v>2022</v>
      </c>
      <c r="V4195" s="12" t="str">
        <f t="shared" si="360"/>
        <v>METROPOLITANA</v>
      </c>
    </row>
    <row r="4196" spans="1:22" s="12" customFormat="1" x14ac:dyDescent="0.2">
      <c r="A4196" s="11" t="s">
        <v>5074</v>
      </c>
      <c r="B4196" s="12" t="s">
        <v>33</v>
      </c>
      <c r="C4196" s="12" t="s">
        <v>44</v>
      </c>
      <c r="D4196" s="12" t="s">
        <v>41</v>
      </c>
      <c r="E4196" s="13" t="s">
        <v>25</v>
      </c>
      <c r="F4196" s="12" t="s">
        <v>94</v>
      </c>
      <c r="G4196" s="14">
        <v>6128.0000000000027</v>
      </c>
      <c r="H4196" s="12" t="s">
        <v>43</v>
      </c>
      <c r="I4196" s="12">
        <v>0</v>
      </c>
      <c r="J4196" s="12" t="s">
        <v>59</v>
      </c>
      <c r="K4196" s="12" t="s">
        <v>78</v>
      </c>
      <c r="L4196" s="12">
        <v>0</v>
      </c>
      <c r="M4196" s="15">
        <v>180000</v>
      </c>
      <c r="N4196" s="15">
        <v>0</v>
      </c>
      <c r="O4196" s="15">
        <f t="shared" si="361"/>
        <v>180000</v>
      </c>
      <c r="P4196" s="15">
        <f t="shared" si="362"/>
        <v>29.373368146214087</v>
      </c>
      <c r="Q4196" s="14">
        <v>20000</v>
      </c>
      <c r="R4196" s="12">
        <v>31</v>
      </c>
      <c r="S4196" s="12" t="s">
        <v>5089</v>
      </c>
      <c r="T4196" s="12">
        <f t="shared" si="358"/>
        <v>2</v>
      </c>
      <c r="U4196" s="12">
        <f t="shared" si="359"/>
        <v>2022</v>
      </c>
      <c r="V4196" s="12" t="str">
        <f t="shared" si="360"/>
        <v>REGIONES</v>
      </c>
    </row>
    <row r="4197" spans="1:22" x14ac:dyDescent="0.2">
      <c r="A4197" s="23" t="s">
        <v>5090</v>
      </c>
      <c r="B4197" s="22" t="s">
        <v>18</v>
      </c>
      <c r="C4197" s="22" t="s">
        <v>57</v>
      </c>
      <c r="D4197" s="22" t="s">
        <v>20</v>
      </c>
      <c r="E4197" s="24" t="s">
        <v>21</v>
      </c>
      <c r="F4197" s="22" t="s">
        <v>89</v>
      </c>
      <c r="G4197" s="25">
        <v>9094.48</v>
      </c>
      <c r="H4197" s="22" t="s">
        <v>22</v>
      </c>
      <c r="I4197" s="22">
        <v>0</v>
      </c>
      <c r="J4197" s="22" t="s">
        <v>89</v>
      </c>
      <c r="K4197" s="22" t="s">
        <v>23</v>
      </c>
      <c r="L4197" s="22">
        <v>5</v>
      </c>
      <c r="M4197" s="26">
        <v>90000</v>
      </c>
      <c r="N4197" s="26">
        <v>0</v>
      </c>
      <c r="O4197" s="15">
        <f t="shared" si="361"/>
        <v>90000</v>
      </c>
      <c r="P4197" s="15">
        <f t="shared" si="362"/>
        <v>9.8961128068894535</v>
      </c>
      <c r="Q4197" s="25">
        <v>10000</v>
      </c>
      <c r="R4197" s="22">
        <v>91</v>
      </c>
      <c r="S4197" s="22" t="s">
        <v>5091</v>
      </c>
      <c r="T4197" s="22">
        <f t="shared" si="358"/>
        <v>2</v>
      </c>
      <c r="U4197" s="22">
        <f t="shared" si="359"/>
        <v>2022</v>
      </c>
      <c r="V4197" s="22" t="str">
        <f t="shared" si="360"/>
        <v>METROPOLITANA</v>
      </c>
    </row>
    <row r="4198" spans="1:22" x14ac:dyDescent="0.2">
      <c r="A4198" s="23" t="s">
        <v>5090</v>
      </c>
      <c r="B4198" s="22" t="s">
        <v>18</v>
      </c>
      <c r="C4198" s="22" t="s">
        <v>500</v>
      </c>
      <c r="D4198" s="22" t="s">
        <v>37</v>
      </c>
      <c r="E4198" s="24" t="s">
        <v>40</v>
      </c>
      <c r="F4198" s="22" t="s">
        <v>120</v>
      </c>
      <c r="G4198" s="25">
        <v>8889.56</v>
      </c>
      <c r="H4198" s="22" t="s">
        <v>22</v>
      </c>
      <c r="I4198" s="22">
        <v>0</v>
      </c>
      <c r="J4198" s="22" t="s">
        <v>120</v>
      </c>
      <c r="K4198" s="22" t="s">
        <v>23</v>
      </c>
      <c r="L4198" s="22">
        <v>5</v>
      </c>
      <c r="M4198" s="26">
        <v>70000</v>
      </c>
      <c r="N4198" s="26">
        <v>0</v>
      </c>
      <c r="O4198" s="15">
        <f t="shared" si="361"/>
        <v>70000</v>
      </c>
      <c r="P4198" s="15">
        <f t="shared" si="362"/>
        <v>7.8744054823860807</v>
      </c>
      <c r="Q4198" s="25">
        <v>10000</v>
      </c>
      <c r="R4198" s="22">
        <v>89</v>
      </c>
      <c r="S4198" s="22" t="s">
        <v>5092</v>
      </c>
      <c r="T4198" s="22">
        <f t="shared" si="358"/>
        <v>2</v>
      </c>
      <c r="U4198" s="22">
        <f t="shared" si="359"/>
        <v>2022</v>
      </c>
      <c r="V4198" s="22" t="str">
        <f t="shared" si="360"/>
        <v>METROPOLITANA</v>
      </c>
    </row>
    <row r="4199" spans="1:22" x14ac:dyDescent="0.2">
      <c r="A4199" s="23" t="s">
        <v>5090</v>
      </c>
      <c r="B4199" s="22" t="s">
        <v>18</v>
      </c>
      <c r="C4199" s="22" t="s">
        <v>87</v>
      </c>
      <c r="D4199" s="22" t="s">
        <v>45</v>
      </c>
      <c r="E4199" s="24" t="s">
        <v>52</v>
      </c>
      <c r="F4199" s="22" t="s">
        <v>51</v>
      </c>
      <c r="G4199" s="25">
        <v>2561.25</v>
      </c>
      <c r="H4199" s="22" t="s">
        <v>22</v>
      </c>
      <c r="I4199" s="22">
        <v>0</v>
      </c>
      <c r="J4199" s="22" t="s">
        <v>51</v>
      </c>
      <c r="K4199" s="22" t="s">
        <v>23</v>
      </c>
      <c r="L4199" s="22">
        <v>4</v>
      </c>
      <c r="M4199" s="26">
        <v>55000</v>
      </c>
      <c r="N4199" s="26">
        <v>0</v>
      </c>
      <c r="O4199" s="15">
        <f t="shared" si="361"/>
        <v>55000</v>
      </c>
      <c r="P4199" s="15">
        <f t="shared" si="362"/>
        <v>21.473889702293803</v>
      </c>
      <c r="Q4199" s="25">
        <v>5000</v>
      </c>
      <c r="R4199" s="22">
        <v>51</v>
      </c>
      <c r="S4199" s="22" t="s">
        <v>5093</v>
      </c>
      <c r="T4199" s="22">
        <f t="shared" si="358"/>
        <v>2</v>
      </c>
      <c r="U4199" s="22">
        <f t="shared" si="359"/>
        <v>2022</v>
      </c>
      <c r="V4199" s="22" t="str">
        <f t="shared" si="360"/>
        <v>METROPOLITANA</v>
      </c>
    </row>
    <row r="4200" spans="1:22" x14ac:dyDescent="0.2">
      <c r="A4200" s="23" t="s">
        <v>5090</v>
      </c>
      <c r="B4200" s="22" t="s">
        <v>33</v>
      </c>
      <c r="C4200" s="22" t="s">
        <v>1997</v>
      </c>
      <c r="D4200" s="22" t="s">
        <v>30</v>
      </c>
      <c r="E4200" s="24" t="s">
        <v>5094</v>
      </c>
      <c r="F4200" s="22" t="s">
        <v>58</v>
      </c>
      <c r="G4200" s="25">
        <v>3400.8</v>
      </c>
      <c r="H4200" s="22" t="s">
        <v>32</v>
      </c>
      <c r="I4200" s="22">
        <v>0</v>
      </c>
      <c r="J4200" s="22" t="s">
        <v>58</v>
      </c>
      <c r="K4200" s="22" t="s">
        <v>23</v>
      </c>
      <c r="L4200" s="22">
        <v>5</v>
      </c>
      <c r="M4200" s="26">
        <v>70000</v>
      </c>
      <c r="N4200" s="26">
        <v>0</v>
      </c>
      <c r="O4200" s="15">
        <f t="shared" si="361"/>
        <v>70000</v>
      </c>
      <c r="P4200" s="15">
        <f t="shared" si="362"/>
        <v>20.583392143025169</v>
      </c>
      <c r="Q4200" s="25">
        <v>10000</v>
      </c>
      <c r="R4200" s="22">
        <v>34</v>
      </c>
      <c r="S4200" s="22" t="s">
        <v>5095</v>
      </c>
      <c r="T4200" s="22">
        <f t="shared" si="358"/>
        <v>2</v>
      </c>
      <c r="U4200" s="22">
        <f t="shared" si="359"/>
        <v>2022</v>
      </c>
      <c r="V4200" s="22" t="str">
        <f t="shared" si="360"/>
        <v>METROPOLITANA</v>
      </c>
    </row>
    <row r="4201" spans="1:22" x14ac:dyDescent="0.2">
      <c r="A4201" s="23" t="s">
        <v>5090</v>
      </c>
      <c r="B4201" s="22" t="s">
        <v>33</v>
      </c>
      <c r="C4201" s="22" t="s">
        <v>128</v>
      </c>
      <c r="D4201" s="22" t="s">
        <v>63</v>
      </c>
      <c r="E4201" s="24" t="s">
        <v>64</v>
      </c>
      <c r="F4201" s="22" t="s">
        <v>129</v>
      </c>
      <c r="G4201" s="25">
        <v>9504.0000000000091</v>
      </c>
      <c r="H4201" s="22" t="s">
        <v>65</v>
      </c>
      <c r="I4201" s="22">
        <v>0</v>
      </c>
      <c r="J4201" s="22" t="s">
        <v>129</v>
      </c>
      <c r="K4201" s="22" t="s">
        <v>23</v>
      </c>
      <c r="L4201" s="22">
        <v>1</v>
      </c>
      <c r="M4201" s="26">
        <v>104544</v>
      </c>
      <c r="N4201" s="26">
        <v>0</v>
      </c>
      <c r="O4201" s="15">
        <f t="shared" si="361"/>
        <v>104544</v>
      </c>
      <c r="P4201" s="15">
        <f t="shared" si="362"/>
        <v>10.999999999999989</v>
      </c>
      <c r="Q4201" s="25">
        <v>5000</v>
      </c>
      <c r="R4201" s="22">
        <v>100</v>
      </c>
      <c r="S4201" s="22" t="s">
        <v>5096</v>
      </c>
      <c r="T4201" s="22">
        <f t="shared" si="358"/>
        <v>2</v>
      </c>
      <c r="U4201" s="22">
        <f t="shared" si="359"/>
        <v>2022</v>
      </c>
      <c r="V4201" s="22" t="str">
        <f t="shared" si="360"/>
        <v>METROPOLITANA</v>
      </c>
    </row>
    <row r="4202" spans="1:22" x14ac:dyDescent="0.2">
      <c r="A4202" s="23" t="s">
        <v>5090</v>
      </c>
      <c r="B4202" s="22" t="s">
        <v>33</v>
      </c>
      <c r="C4202" s="22" t="s">
        <v>36</v>
      </c>
      <c r="D4202" s="22" t="s">
        <v>4247</v>
      </c>
      <c r="E4202" s="24" t="s">
        <v>62</v>
      </c>
      <c r="F4202" s="22" t="s">
        <v>426</v>
      </c>
      <c r="G4202" s="25">
        <v>9668.9999999999964</v>
      </c>
      <c r="H4202" s="22" t="s">
        <v>24</v>
      </c>
      <c r="I4202" s="22">
        <v>1</v>
      </c>
      <c r="J4202" s="22" t="s">
        <v>426</v>
      </c>
      <c r="K4202" s="22" t="s">
        <v>75</v>
      </c>
      <c r="L4202" s="22">
        <v>0</v>
      </c>
      <c r="M4202" s="26">
        <v>400000</v>
      </c>
      <c r="N4202" s="26">
        <v>0</v>
      </c>
      <c r="O4202" s="15">
        <f t="shared" si="361"/>
        <v>400000</v>
      </c>
      <c r="P4202" s="15">
        <f t="shared" si="362"/>
        <v>41.369324645775173</v>
      </c>
      <c r="Q4202" s="25">
        <v>20000</v>
      </c>
      <c r="R4202" s="22">
        <v>48</v>
      </c>
      <c r="S4202" s="22" t="s">
        <v>5097</v>
      </c>
      <c r="T4202" s="22">
        <f t="shared" si="358"/>
        <v>2</v>
      </c>
      <c r="U4202" s="22">
        <f t="shared" si="359"/>
        <v>2022</v>
      </c>
      <c r="V4202" s="22" t="str">
        <f t="shared" si="360"/>
        <v>REGIONES</v>
      </c>
    </row>
    <row r="4203" spans="1:22" x14ac:dyDescent="0.2">
      <c r="A4203" s="23" t="s">
        <v>5090</v>
      </c>
      <c r="B4203" s="22" t="s">
        <v>33</v>
      </c>
      <c r="C4203" s="22" t="s">
        <v>36</v>
      </c>
      <c r="D4203" s="22" t="s">
        <v>30</v>
      </c>
      <c r="E4203" s="24" t="s">
        <v>4681</v>
      </c>
      <c r="F4203" s="22" t="s">
        <v>170</v>
      </c>
      <c r="G4203" s="25">
        <f>7759.8+824</f>
        <v>8583.7999999999993</v>
      </c>
      <c r="H4203" s="22" t="s">
        <v>32</v>
      </c>
      <c r="I4203" s="22">
        <v>0</v>
      </c>
      <c r="J4203" s="22" t="s">
        <v>170</v>
      </c>
      <c r="K4203" s="22" t="s">
        <v>171</v>
      </c>
      <c r="L4203" s="22">
        <v>0</v>
      </c>
      <c r="M4203" s="26">
        <v>180000</v>
      </c>
      <c r="N4203" s="26">
        <v>0</v>
      </c>
      <c r="O4203" s="15">
        <f t="shared" si="361"/>
        <v>180000</v>
      </c>
      <c r="P4203" s="15">
        <f t="shared" si="362"/>
        <v>20.969733684382209</v>
      </c>
      <c r="Q4203" s="25">
        <v>20000</v>
      </c>
      <c r="R4203" s="22">
        <v>49</v>
      </c>
      <c r="S4203" s="22" t="s">
        <v>5145</v>
      </c>
      <c r="T4203" s="22">
        <f t="shared" si="358"/>
        <v>2</v>
      </c>
      <c r="U4203" s="22">
        <f t="shared" si="359"/>
        <v>2022</v>
      </c>
      <c r="V4203" s="22" t="str">
        <f t="shared" si="360"/>
        <v>REGIONES</v>
      </c>
    </row>
    <row r="4204" spans="1:22" x14ac:dyDescent="0.2">
      <c r="A4204" s="23" t="s">
        <v>5090</v>
      </c>
      <c r="B4204" s="22" t="s">
        <v>33</v>
      </c>
      <c r="C4204" s="22" t="s">
        <v>36</v>
      </c>
      <c r="D4204" s="22" t="s">
        <v>45</v>
      </c>
      <c r="E4204" s="24" t="s">
        <v>52</v>
      </c>
      <c r="F4204" s="22" t="s">
        <v>53</v>
      </c>
      <c r="G4204" s="25">
        <v>5769.2</v>
      </c>
      <c r="H4204" s="22" t="s">
        <v>22</v>
      </c>
      <c r="I4204" s="22">
        <v>0</v>
      </c>
      <c r="J4204" s="22" t="s">
        <v>53</v>
      </c>
      <c r="K4204" s="22" t="s">
        <v>23</v>
      </c>
      <c r="L4204" s="22">
        <v>3</v>
      </c>
      <c r="M4204" s="26">
        <v>63461</v>
      </c>
      <c r="N4204" s="26">
        <v>0</v>
      </c>
      <c r="O4204" s="15">
        <f t="shared" si="361"/>
        <v>63461</v>
      </c>
      <c r="P4204" s="15">
        <f t="shared" si="362"/>
        <v>10.999965333148443</v>
      </c>
      <c r="Q4204" s="25">
        <v>5000</v>
      </c>
      <c r="R4204" s="22">
        <v>100</v>
      </c>
      <c r="S4204" s="22" t="s">
        <v>5098</v>
      </c>
      <c r="T4204" s="22">
        <f t="shared" si="358"/>
        <v>2</v>
      </c>
      <c r="U4204" s="22">
        <f t="shared" si="359"/>
        <v>2022</v>
      </c>
      <c r="V4204" s="22" t="str">
        <f t="shared" si="360"/>
        <v>METROPOLITANA</v>
      </c>
    </row>
    <row r="4205" spans="1:22" x14ac:dyDescent="0.2">
      <c r="A4205" s="23" t="s">
        <v>5090</v>
      </c>
      <c r="B4205" s="22" t="s">
        <v>33</v>
      </c>
      <c r="C4205" s="22" t="s">
        <v>29</v>
      </c>
      <c r="D4205" s="22" t="s">
        <v>164</v>
      </c>
      <c r="E4205" s="24" t="s">
        <v>1576</v>
      </c>
      <c r="F4205" s="22" t="s">
        <v>39</v>
      </c>
      <c r="G4205" s="25">
        <v>20494.600000000009</v>
      </c>
      <c r="H4205" s="22" t="s">
        <v>22</v>
      </c>
      <c r="I4205" s="22">
        <v>1</v>
      </c>
      <c r="J4205" s="22" t="s">
        <v>39</v>
      </c>
      <c r="K4205" s="22" t="s">
        <v>23</v>
      </c>
      <c r="L4205" s="22">
        <v>1</v>
      </c>
      <c r="M4205" s="26">
        <v>225441</v>
      </c>
      <c r="N4205" s="26">
        <v>0</v>
      </c>
      <c r="O4205" s="15">
        <f t="shared" si="361"/>
        <v>225441</v>
      </c>
      <c r="P4205" s="15">
        <f t="shared" si="362"/>
        <v>11.000019517336268</v>
      </c>
      <c r="Q4205" s="25">
        <v>5000</v>
      </c>
      <c r="R4205" s="22">
        <v>100</v>
      </c>
      <c r="S4205" s="22" t="s">
        <v>5099</v>
      </c>
      <c r="T4205" s="22">
        <f t="shared" si="358"/>
        <v>2</v>
      </c>
      <c r="U4205" s="22">
        <f t="shared" si="359"/>
        <v>2022</v>
      </c>
      <c r="V4205" s="22" t="str">
        <f t="shared" si="360"/>
        <v>METROPOLITANA</v>
      </c>
    </row>
    <row r="4206" spans="1:22" x14ac:dyDescent="0.2">
      <c r="A4206" s="23" t="s">
        <v>5090</v>
      </c>
      <c r="B4206" s="22" t="s">
        <v>33</v>
      </c>
      <c r="C4206" s="22" t="s">
        <v>44</v>
      </c>
      <c r="D4206" s="22" t="s">
        <v>786</v>
      </c>
      <c r="E4206" s="24" t="s">
        <v>787</v>
      </c>
      <c r="F4206" s="22" t="s">
        <v>407</v>
      </c>
      <c r="G4206" s="25">
        <v>8788</v>
      </c>
      <c r="H4206" s="22" t="s">
        <v>788</v>
      </c>
      <c r="I4206" s="22">
        <v>1</v>
      </c>
      <c r="J4206" s="22" t="s">
        <v>407</v>
      </c>
      <c r="K4206" s="22" t="s">
        <v>408</v>
      </c>
      <c r="L4206" s="22">
        <v>0</v>
      </c>
      <c r="M4206" s="26">
        <v>650000</v>
      </c>
      <c r="N4206" s="26">
        <v>0</v>
      </c>
      <c r="O4206" s="15">
        <f t="shared" si="361"/>
        <v>650000</v>
      </c>
      <c r="P4206" s="15">
        <f t="shared" si="362"/>
        <v>73.964497041420117</v>
      </c>
      <c r="Q4206" s="25">
        <v>20000</v>
      </c>
      <c r="R4206" s="22">
        <v>44</v>
      </c>
      <c r="S4206" s="22" t="s">
        <v>5100</v>
      </c>
      <c r="T4206" s="22">
        <f t="shared" si="358"/>
        <v>2</v>
      </c>
      <c r="U4206" s="22">
        <f t="shared" si="359"/>
        <v>2022</v>
      </c>
      <c r="V4206" s="22" t="str">
        <f t="shared" si="360"/>
        <v>REGIONES</v>
      </c>
    </row>
    <row r="4207" spans="1:22" x14ac:dyDescent="0.2">
      <c r="A4207" s="23" t="s">
        <v>5090</v>
      </c>
      <c r="B4207" s="22" t="s">
        <v>33</v>
      </c>
      <c r="C4207" s="22" t="s">
        <v>44</v>
      </c>
      <c r="D4207" s="22" t="s">
        <v>47</v>
      </c>
      <c r="E4207" s="24" t="s">
        <v>1576</v>
      </c>
      <c r="F4207" s="22" t="s">
        <v>48</v>
      </c>
      <c r="G4207" s="25">
        <v>6702.9999999999991</v>
      </c>
      <c r="H4207" s="22" t="s">
        <v>22</v>
      </c>
      <c r="I4207" s="22">
        <v>0</v>
      </c>
      <c r="J4207" s="22" t="s">
        <v>48</v>
      </c>
      <c r="K4207" s="22" t="s">
        <v>23</v>
      </c>
      <c r="L4207" s="22">
        <v>1</v>
      </c>
      <c r="M4207" s="26">
        <v>73733</v>
      </c>
      <c r="N4207" s="26">
        <v>0</v>
      </c>
      <c r="O4207" s="15">
        <f t="shared" si="361"/>
        <v>73733</v>
      </c>
      <c r="P4207" s="15">
        <f t="shared" si="362"/>
        <v>11.000000000000002</v>
      </c>
      <c r="Q4207" s="25">
        <v>5000</v>
      </c>
      <c r="R4207" s="22">
        <v>100</v>
      </c>
      <c r="S4207" s="22" t="s">
        <v>5101</v>
      </c>
      <c r="T4207" s="22">
        <f t="shared" si="358"/>
        <v>2</v>
      </c>
      <c r="U4207" s="22">
        <f t="shared" si="359"/>
        <v>2022</v>
      </c>
      <c r="V4207" s="22" t="str">
        <f t="shared" si="360"/>
        <v>METROPOLITANA</v>
      </c>
    </row>
    <row r="4208" spans="1:22" s="12" customFormat="1" x14ac:dyDescent="0.2">
      <c r="A4208" s="11" t="s">
        <v>5102</v>
      </c>
      <c r="B4208" s="12" t="s">
        <v>18</v>
      </c>
      <c r="C4208" s="12" t="s">
        <v>270</v>
      </c>
      <c r="D4208" s="12" t="s">
        <v>164</v>
      </c>
      <c r="E4208" s="13" t="s">
        <v>1576</v>
      </c>
      <c r="F4208" s="12" t="s">
        <v>120</v>
      </c>
      <c r="G4208" s="14">
        <v>12342.22</v>
      </c>
      <c r="H4208" s="12" t="s">
        <v>22</v>
      </c>
      <c r="I4208" s="12">
        <v>1</v>
      </c>
      <c r="J4208" s="12" t="s">
        <v>120</v>
      </c>
      <c r="K4208" s="12" t="s">
        <v>23</v>
      </c>
      <c r="L4208" s="12">
        <v>5</v>
      </c>
      <c r="M4208" s="15">
        <v>120000</v>
      </c>
      <c r="N4208" s="15">
        <v>0</v>
      </c>
      <c r="O4208" s="15">
        <f t="shared" si="361"/>
        <v>120000</v>
      </c>
      <c r="P4208" s="15">
        <f t="shared" si="362"/>
        <v>9.7227241128419362</v>
      </c>
      <c r="Q4208" s="14">
        <v>10000</v>
      </c>
      <c r="R4208" s="12">
        <v>100</v>
      </c>
      <c r="S4208" s="12" t="s">
        <v>5103</v>
      </c>
      <c r="T4208" s="12">
        <f t="shared" si="358"/>
        <v>2</v>
      </c>
      <c r="U4208" s="12">
        <f t="shared" si="359"/>
        <v>2022</v>
      </c>
      <c r="V4208" s="12" t="str">
        <f t="shared" si="360"/>
        <v>METROPOLITANA</v>
      </c>
    </row>
    <row r="4209" spans="1:22" s="12" customFormat="1" x14ac:dyDescent="0.2">
      <c r="A4209" s="11" t="s">
        <v>5102</v>
      </c>
      <c r="B4209" s="12" t="s">
        <v>18</v>
      </c>
      <c r="C4209" s="12" t="s">
        <v>57</v>
      </c>
      <c r="D4209" s="12" t="s">
        <v>41</v>
      </c>
      <c r="E4209" s="13" t="s">
        <v>25</v>
      </c>
      <c r="F4209" s="12" t="s">
        <v>89</v>
      </c>
      <c r="G4209" s="14">
        <v>5067.8799999999992</v>
      </c>
      <c r="H4209" s="12" t="s">
        <v>43</v>
      </c>
      <c r="I4209" s="12">
        <v>0</v>
      </c>
      <c r="J4209" s="12" t="s">
        <v>89</v>
      </c>
      <c r="K4209" s="12" t="s">
        <v>23</v>
      </c>
      <c r="L4209" s="12">
        <v>5</v>
      </c>
      <c r="M4209" s="15">
        <v>90000</v>
      </c>
      <c r="N4209" s="15">
        <v>0</v>
      </c>
      <c r="O4209" s="15">
        <f t="shared" si="361"/>
        <v>90000</v>
      </c>
      <c r="P4209" s="15">
        <f t="shared" si="362"/>
        <v>17.758905104303974</v>
      </c>
      <c r="Q4209" s="14">
        <v>10000</v>
      </c>
      <c r="R4209" s="12">
        <v>51</v>
      </c>
      <c r="S4209" s="12" t="s">
        <v>5104</v>
      </c>
      <c r="T4209" s="12">
        <f t="shared" si="358"/>
        <v>2</v>
      </c>
      <c r="U4209" s="12">
        <f t="shared" si="359"/>
        <v>2022</v>
      </c>
      <c r="V4209" s="12" t="str">
        <f t="shared" si="360"/>
        <v>METROPOLITANA</v>
      </c>
    </row>
    <row r="4210" spans="1:22" s="12" customFormat="1" x14ac:dyDescent="0.2">
      <c r="A4210" s="11" t="s">
        <v>5102</v>
      </c>
      <c r="B4210" s="12" t="s">
        <v>18</v>
      </c>
      <c r="C4210" s="12" t="s">
        <v>1173</v>
      </c>
      <c r="D4210" s="12" t="s">
        <v>37</v>
      </c>
      <c r="E4210" s="13" t="s">
        <v>40</v>
      </c>
      <c r="F4210" s="12" t="s">
        <v>182</v>
      </c>
      <c r="G4210" s="14">
        <v>4617.07</v>
      </c>
      <c r="H4210" s="12" t="s">
        <v>22</v>
      </c>
      <c r="I4210" s="12">
        <v>0</v>
      </c>
      <c r="J4210" s="12" t="s">
        <v>182</v>
      </c>
      <c r="K4210" s="12" t="s">
        <v>23</v>
      </c>
      <c r="L4210" s="12">
        <v>4</v>
      </c>
      <c r="M4210" s="15">
        <v>55000</v>
      </c>
      <c r="N4210" s="15">
        <v>0</v>
      </c>
      <c r="O4210" s="15">
        <f t="shared" si="361"/>
        <v>55000</v>
      </c>
      <c r="P4210" s="15">
        <f t="shared" si="362"/>
        <v>11.912316685690277</v>
      </c>
      <c r="Q4210" s="14">
        <v>5000</v>
      </c>
      <c r="R4210" s="12">
        <v>92</v>
      </c>
      <c r="S4210" s="12" t="s">
        <v>5105</v>
      </c>
      <c r="T4210" s="12">
        <f t="shared" si="358"/>
        <v>2</v>
      </c>
      <c r="U4210" s="12">
        <f t="shared" si="359"/>
        <v>2022</v>
      </c>
      <c r="V4210" s="12" t="str">
        <f t="shared" si="360"/>
        <v>METROPOLITANA</v>
      </c>
    </row>
    <row r="4211" spans="1:22" s="12" customFormat="1" x14ac:dyDescent="0.2">
      <c r="A4211" s="11" t="s">
        <v>5102</v>
      </c>
      <c r="B4211" s="12" t="s">
        <v>33</v>
      </c>
      <c r="C4211" s="12" t="s">
        <v>270</v>
      </c>
      <c r="D4211" s="12" t="s">
        <v>164</v>
      </c>
      <c r="E4211" s="13" t="s">
        <v>1576</v>
      </c>
      <c r="F4211" s="12" t="s">
        <v>377</v>
      </c>
      <c r="G4211" s="14">
        <v>4908</v>
      </c>
      <c r="H4211" s="12" t="s">
        <v>22</v>
      </c>
      <c r="I4211" s="12">
        <v>1</v>
      </c>
      <c r="J4211" s="12" t="s">
        <v>377</v>
      </c>
      <c r="K4211" s="12" t="s">
        <v>23</v>
      </c>
      <c r="L4211" s="12">
        <v>4</v>
      </c>
      <c r="M4211" s="15">
        <v>55000</v>
      </c>
      <c r="N4211" s="15">
        <v>0</v>
      </c>
      <c r="O4211" s="15">
        <f t="shared" si="361"/>
        <v>55000</v>
      </c>
      <c r="P4211" s="15">
        <f t="shared" si="362"/>
        <v>11.206193969030155</v>
      </c>
      <c r="Q4211" s="14">
        <v>5000</v>
      </c>
      <c r="R4211" s="12">
        <v>98</v>
      </c>
      <c r="S4211" s="12" t="s">
        <v>5106</v>
      </c>
      <c r="T4211" s="12">
        <f t="shared" si="358"/>
        <v>2</v>
      </c>
      <c r="U4211" s="12">
        <f t="shared" si="359"/>
        <v>2022</v>
      </c>
      <c r="V4211" s="12" t="str">
        <f t="shared" si="360"/>
        <v>METROPOLITANA</v>
      </c>
    </row>
    <row r="4212" spans="1:22" s="12" customFormat="1" x14ac:dyDescent="0.2">
      <c r="A4212" s="11" t="s">
        <v>5102</v>
      </c>
      <c r="B4212" s="12" t="s">
        <v>33</v>
      </c>
      <c r="C4212" s="12" t="s">
        <v>128</v>
      </c>
      <c r="D4212" s="12" t="s">
        <v>2825</v>
      </c>
      <c r="E4212" s="13" t="s">
        <v>639</v>
      </c>
      <c r="F4212" s="12" t="s">
        <v>66</v>
      </c>
      <c r="G4212" s="14">
        <v>9028.8000000000084</v>
      </c>
      <c r="H4212" s="12" t="s">
        <v>24</v>
      </c>
      <c r="I4212" s="12">
        <v>1</v>
      </c>
      <c r="J4212" s="12" t="s">
        <v>66</v>
      </c>
      <c r="K4212" s="12" t="s">
        <v>75</v>
      </c>
      <c r="L4212" s="12">
        <v>0</v>
      </c>
      <c r="M4212" s="15">
        <v>420000</v>
      </c>
      <c r="N4212" s="15">
        <v>0</v>
      </c>
      <c r="O4212" s="15">
        <f t="shared" si="361"/>
        <v>420000</v>
      </c>
      <c r="P4212" s="15">
        <f t="shared" si="362"/>
        <v>46.51780967570437</v>
      </c>
      <c r="Q4212" s="14">
        <v>20000</v>
      </c>
      <c r="R4212" s="12">
        <v>45</v>
      </c>
      <c r="S4212" s="12" t="s">
        <v>5107</v>
      </c>
      <c r="T4212" s="12">
        <f t="shared" si="358"/>
        <v>2</v>
      </c>
      <c r="U4212" s="12">
        <f t="shared" si="359"/>
        <v>2022</v>
      </c>
      <c r="V4212" s="12" t="str">
        <f t="shared" si="360"/>
        <v>REGIONES</v>
      </c>
    </row>
    <row r="4213" spans="1:22" s="12" customFormat="1" x14ac:dyDescent="0.2">
      <c r="A4213" s="11" t="s">
        <v>5102</v>
      </c>
      <c r="B4213" s="12" t="s">
        <v>33</v>
      </c>
      <c r="C4213" s="12" t="s">
        <v>128</v>
      </c>
      <c r="D4213" s="12" t="s">
        <v>63</v>
      </c>
      <c r="E4213" s="13" t="s">
        <v>64</v>
      </c>
      <c r="F4213" s="12" t="s">
        <v>129</v>
      </c>
      <c r="G4213" s="14">
        <v>9504.0000000000091</v>
      </c>
      <c r="H4213" s="12" t="s">
        <v>65</v>
      </c>
      <c r="I4213" s="12">
        <v>0</v>
      </c>
      <c r="J4213" s="12" t="s">
        <v>129</v>
      </c>
      <c r="K4213" s="12" t="s">
        <v>23</v>
      </c>
      <c r="L4213" s="12">
        <v>1</v>
      </c>
      <c r="M4213" s="15">
        <v>104544</v>
      </c>
      <c r="N4213" s="15">
        <v>0</v>
      </c>
      <c r="O4213" s="15">
        <f t="shared" si="361"/>
        <v>104544</v>
      </c>
      <c r="P4213" s="15">
        <f t="shared" si="362"/>
        <v>10.999999999999989</v>
      </c>
      <c r="Q4213" s="14">
        <v>5000</v>
      </c>
      <c r="R4213" s="12">
        <v>100</v>
      </c>
      <c r="S4213" s="12" t="s">
        <v>5108</v>
      </c>
      <c r="T4213" s="12">
        <f t="shared" si="358"/>
        <v>2</v>
      </c>
      <c r="U4213" s="12">
        <f t="shared" si="359"/>
        <v>2022</v>
      </c>
      <c r="V4213" s="12" t="str">
        <f t="shared" si="360"/>
        <v>METROPOLITANA</v>
      </c>
    </row>
    <row r="4214" spans="1:22" s="12" customFormat="1" x14ac:dyDescent="0.2">
      <c r="A4214" s="11" t="s">
        <v>5102</v>
      </c>
      <c r="B4214" s="12" t="s">
        <v>33</v>
      </c>
      <c r="C4214" s="12" t="s">
        <v>36</v>
      </c>
      <c r="D4214" s="12" t="s">
        <v>2262</v>
      </c>
      <c r="E4214" s="13" t="s">
        <v>83</v>
      </c>
      <c r="F4214" s="12" t="s">
        <v>893</v>
      </c>
      <c r="G4214" s="14">
        <v>10550.7</v>
      </c>
      <c r="H4214" s="12" t="s">
        <v>24</v>
      </c>
      <c r="I4214" s="12">
        <v>1</v>
      </c>
      <c r="J4214" s="12" t="s">
        <v>893</v>
      </c>
      <c r="K4214" s="12" t="s">
        <v>437</v>
      </c>
      <c r="L4214" s="12">
        <v>0</v>
      </c>
      <c r="M4214" s="15">
        <v>1000000</v>
      </c>
      <c r="N4214" s="15">
        <v>0</v>
      </c>
      <c r="O4214" s="15">
        <f t="shared" ref="O4214:O4245" si="363">SUM(M4214:N4214)</f>
        <v>1000000</v>
      </c>
      <c r="P4214" s="15">
        <f t="shared" si="362"/>
        <v>94.780441108172909</v>
      </c>
      <c r="Q4214" s="14">
        <v>20000</v>
      </c>
      <c r="R4214" s="12">
        <v>53</v>
      </c>
      <c r="S4214" s="12" t="s">
        <v>5109</v>
      </c>
      <c r="T4214" s="12">
        <f t="shared" si="358"/>
        <v>2</v>
      </c>
      <c r="U4214" s="12">
        <f t="shared" si="359"/>
        <v>2022</v>
      </c>
      <c r="V4214" s="12" t="str">
        <f t="shared" si="360"/>
        <v>REGIONES</v>
      </c>
    </row>
    <row r="4215" spans="1:22" s="12" customFormat="1" x14ac:dyDescent="0.2">
      <c r="A4215" s="11" t="s">
        <v>5102</v>
      </c>
      <c r="B4215" s="12" t="s">
        <v>33</v>
      </c>
      <c r="C4215" s="12" t="s">
        <v>36</v>
      </c>
      <c r="D4215" s="12" t="s">
        <v>41</v>
      </c>
      <c r="E4215" s="13" t="s">
        <v>25</v>
      </c>
      <c r="F4215" s="12" t="s">
        <v>274</v>
      </c>
      <c r="G4215" s="14">
        <v>5682.7999999999984</v>
      </c>
      <c r="H4215" s="12" t="s">
        <v>43</v>
      </c>
      <c r="I4215" s="12">
        <v>0</v>
      </c>
      <c r="J4215" s="12" t="s">
        <v>274</v>
      </c>
      <c r="K4215" s="12" t="s">
        <v>78</v>
      </c>
      <c r="L4215" s="12">
        <v>0</v>
      </c>
      <c r="M4215" s="15">
        <v>180000</v>
      </c>
      <c r="N4215" s="15">
        <v>0</v>
      </c>
      <c r="O4215" s="15">
        <f t="shared" si="363"/>
        <v>180000</v>
      </c>
      <c r="P4215" s="15">
        <f t="shared" si="362"/>
        <v>31.674526641796305</v>
      </c>
      <c r="Q4215" s="14">
        <v>20000</v>
      </c>
      <c r="R4215" s="12">
        <v>28</v>
      </c>
      <c r="S4215" s="12" t="s">
        <v>5110</v>
      </c>
      <c r="T4215" s="12">
        <f t="shared" si="358"/>
        <v>2</v>
      </c>
      <c r="U4215" s="12">
        <f t="shared" si="359"/>
        <v>2022</v>
      </c>
      <c r="V4215" s="12" t="str">
        <f t="shared" si="360"/>
        <v>REGIONES</v>
      </c>
    </row>
    <row r="4216" spans="1:22" s="12" customFormat="1" x14ac:dyDescent="0.2">
      <c r="A4216" s="11" t="s">
        <v>5102</v>
      </c>
      <c r="B4216" s="12" t="s">
        <v>33</v>
      </c>
      <c r="C4216" s="12" t="s">
        <v>29</v>
      </c>
      <c r="D4216" s="12" t="s">
        <v>38</v>
      </c>
      <c r="E4216" s="13" t="s">
        <v>42</v>
      </c>
      <c r="F4216" s="12" t="s">
        <v>39</v>
      </c>
      <c r="G4216" s="14">
        <v>11375</v>
      </c>
      <c r="H4216" s="12" t="s">
        <v>43</v>
      </c>
      <c r="I4216" s="12">
        <v>0</v>
      </c>
      <c r="J4216" s="12" t="s">
        <v>39</v>
      </c>
      <c r="K4216" s="12" t="s">
        <v>23</v>
      </c>
      <c r="L4216" s="12">
        <v>1</v>
      </c>
      <c r="M4216" s="15">
        <v>125125</v>
      </c>
      <c r="N4216" s="15">
        <v>0</v>
      </c>
      <c r="O4216" s="15">
        <f t="shared" si="363"/>
        <v>125125</v>
      </c>
      <c r="P4216" s="15">
        <f t="shared" si="362"/>
        <v>11</v>
      </c>
      <c r="Q4216" s="14">
        <v>5000</v>
      </c>
      <c r="R4216" s="12">
        <v>100</v>
      </c>
      <c r="S4216" s="12" t="s">
        <v>5111</v>
      </c>
      <c r="T4216" s="12">
        <f t="shared" si="358"/>
        <v>2</v>
      </c>
      <c r="U4216" s="12">
        <f t="shared" si="359"/>
        <v>2022</v>
      </c>
      <c r="V4216" s="12" t="str">
        <f t="shared" si="360"/>
        <v>METROPOLITANA</v>
      </c>
    </row>
    <row r="4217" spans="1:22" s="12" customFormat="1" x14ac:dyDescent="0.2">
      <c r="A4217" s="11" t="s">
        <v>5102</v>
      </c>
      <c r="B4217" s="12" t="s">
        <v>33</v>
      </c>
      <c r="C4217" s="12" t="s">
        <v>44</v>
      </c>
      <c r="D4217" s="12" t="s">
        <v>45</v>
      </c>
      <c r="E4217" s="13" t="s">
        <v>52</v>
      </c>
      <c r="F4217" s="12" t="s">
        <v>26</v>
      </c>
      <c r="G4217" s="14">
        <v>3911</v>
      </c>
      <c r="H4217" s="12" t="s">
        <v>22</v>
      </c>
      <c r="I4217" s="12">
        <v>0</v>
      </c>
      <c r="J4217" s="12" t="s">
        <v>26</v>
      </c>
      <c r="K4217" s="12" t="s">
        <v>23</v>
      </c>
      <c r="L4217" s="12">
        <v>4</v>
      </c>
      <c r="M4217" s="15">
        <v>55000</v>
      </c>
      <c r="N4217" s="15">
        <v>0</v>
      </c>
      <c r="O4217" s="15">
        <f t="shared" si="363"/>
        <v>55000</v>
      </c>
      <c r="P4217" s="15">
        <f t="shared" si="362"/>
        <v>14.062899514190745</v>
      </c>
      <c r="Q4217" s="14">
        <v>5000</v>
      </c>
      <c r="R4217" s="12">
        <v>78</v>
      </c>
      <c r="S4217" s="12" t="s">
        <v>5112</v>
      </c>
      <c r="T4217" s="12">
        <f t="shared" si="358"/>
        <v>2</v>
      </c>
      <c r="U4217" s="12">
        <f t="shared" si="359"/>
        <v>2022</v>
      </c>
      <c r="V4217" s="12" t="str">
        <f t="shared" si="360"/>
        <v>METROPOLITANA</v>
      </c>
    </row>
    <row r="4218" spans="1:22" s="12" customFormat="1" x14ac:dyDescent="0.2">
      <c r="A4218" s="11" t="s">
        <v>5102</v>
      </c>
      <c r="B4218" s="12" t="s">
        <v>33</v>
      </c>
      <c r="C4218" s="12" t="s">
        <v>44</v>
      </c>
      <c r="D4218" s="12" t="s">
        <v>45</v>
      </c>
      <c r="E4218" s="13" t="s">
        <v>52</v>
      </c>
      <c r="F4218" s="12" t="s">
        <v>51</v>
      </c>
      <c r="G4218" s="14">
        <v>3952</v>
      </c>
      <c r="H4218" s="12" t="s">
        <v>22</v>
      </c>
      <c r="I4218" s="12">
        <v>0</v>
      </c>
      <c r="J4218" s="12" t="s">
        <v>51</v>
      </c>
      <c r="K4218" s="12" t="s">
        <v>23</v>
      </c>
      <c r="L4218" s="12">
        <v>4</v>
      </c>
      <c r="M4218" s="15">
        <v>55000</v>
      </c>
      <c r="N4218" s="15">
        <v>0</v>
      </c>
      <c r="O4218" s="15">
        <f t="shared" si="363"/>
        <v>55000</v>
      </c>
      <c r="P4218" s="15">
        <f t="shared" si="362"/>
        <v>13.917004048582996</v>
      </c>
      <c r="Q4218" s="14">
        <v>5000</v>
      </c>
      <c r="R4218" s="12">
        <v>79</v>
      </c>
      <c r="S4218" s="12" t="s">
        <v>5113</v>
      </c>
      <c r="T4218" s="12">
        <f t="shared" si="358"/>
        <v>2</v>
      </c>
      <c r="U4218" s="12">
        <f t="shared" si="359"/>
        <v>2022</v>
      </c>
      <c r="V4218" s="12" t="str">
        <f t="shared" si="360"/>
        <v>METROPOLITANA</v>
      </c>
    </row>
    <row r="4219" spans="1:22" s="12" customFormat="1" x14ac:dyDescent="0.2">
      <c r="A4219" s="11" t="s">
        <v>5102</v>
      </c>
      <c r="B4219" s="12" t="s">
        <v>33</v>
      </c>
      <c r="C4219" s="12" t="s">
        <v>44</v>
      </c>
      <c r="D4219" s="12" t="s">
        <v>20</v>
      </c>
      <c r="E4219" s="13" t="s">
        <v>21</v>
      </c>
      <c r="F4219" s="12" t="s">
        <v>48</v>
      </c>
      <c r="G4219" s="14">
        <v>4193.1000000000004</v>
      </c>
      <c r="H4219" s="12" t="s">
        <v>22</v>
      </c>
      <c r="I4219" s="12">
        <v>0</v>
      </c>
      <c r="J4219" s="12" t="s">
        <v>48</v>
      </c>
      <c r="K4219" s="12" t="s">
        <v>23</v>
      </c>
      <c r="L4219" s="12">
        <v>1</v>
      </c>
      <c r="M4219" s="15">
        <v>55000</v>
      </c>
      <c r="N4219" s="15">
        <v>0</v>
      </c>
      <c r="O4219" s="15">
        <f t="shared" si="363"/>
        <v>55000</v>
      </c>
      <c r="P4219" s="15">
        <f t="shared" si="362"/>
        <v>13.116787102620972</v>
      </c>
      <c r="Q4219" s="14">
        <v>5000</v>
      </c>
      <c r="R4219" s="12">
        <v>84</v>
      </c>
      <c r="S4219" s="12" t="s">
        <v>5114</v>
      </c>
      <c r="T4219" s="12">
        <f t="shared" si="358"/>
        <v>2</v>
      </c>
      <c r="U4219" s="12">
        <f t="shared" si="359"/>
        <v>2022</v>
      </c>
      <c r="V4219" s="12" t="str">
        <f t="shared" si="360"/>
        <v>METROPOLITANA</v>
      </c>
    </row>
    <row r="4220" spans="1:22" x14ac:dyDescent="0.2">
      <c r="A4220" s="23" t="s">
        <v>5115</v>
      </c>
      <c r="B4220" s="22" t="s">
        <v>18</v>
      </c>
      <c r="C4220" s="22" t="s">
        <v>1173</v>
      </c>
      <c r="D4220" s="22" t="s">
        <v>37</v>
      </c>
      <c r="E4220" s="24" t="s">
        <v>40</v>
      </c>
      <c r="F4220" s="22" t="s">
        <v>182</v>
      </c>
      <c r="G4220" s="25">
        <v>2953.4</v>
      </c>
      <c r="H4220" s="22" t="s">
        <v>22</v>
      </c>
      <c r="I4220" s="22">
        <v>0</v>
      </c>
      <c r="J4220" s="22" t="s">
        <v>182</v>
      </c>
      <c r="K4220" s="22" t="s">
        <v>23</v>
      </c>
      <c r="L4220" s="22">
        <v>4</v>
      </c>
      <c r="M4220" s="26">
        <v>55000</v>
      </c>
      <c r="N4220" s="26">
        <v>0</v>
      </c>
      <c r="O4220" s="15">
        <f t="shared" si="363"/>
        <v>55000</v>
      </c>
      <c r="P4220" s="15">
        <f t="shared" si="362"/>
        <v>18.622604455881355</v>
      </c>
      <c r="Q4220" s="25">
        <v>5000</v>
      </c>
      <c r="R4220" s="22">
        <v>59</v>
      </c>
      <c r="S4220" s="22" t="s">
        <v>5116</v>
      </c>
      <c r="T4220" s="22">
        <f t="shared" si="358"/>
        <v>2</v>
      </c>
      <c r="U4220" s="22">
        <f t="shared" si="359"/>
        <v>2022</v>
      </c>
      <c r="V4220" s="22" t="str">
        <f t="shared" si="360"/>
        <v>METROPOLITANA</v>
      </c>
    </row>
    <row r="4221" spans="1:22" x14ac:dyDescent="0.2">
      <c r="A4221" s="23" t="s">
        <v>5115</v>
      </c>
      <c r="B4221" s="22" t="s">
        <v>18</v>
      </c>
      <c r="C4221" s="22" t="s">
        <v>500</v>
      </c>
      <c r="D4221" s="22" t="s">
        <v>41</v>
      </c>
      <c r="E4221" s="24" t="s">
        <v>25</v>
      </c>
      <c r="F4221" s="22" t="s">
        <v>120</v>
      </c>
      <c r="G4221" s="25">
        <v>4342</v>
      </c>
      <c r="H4221" s="22" t="s">
        <v>43</v>
      </c>
      <c r="I4221" s="22">
        <v>0</v>
      </c>
      <c r="J4221" s="22" t="s">
        <v>120</v>
      </c>
      <c r="K4221" s="22" t="s">
        <v>23</v>
      </c>
      <c r="L4221" s="22">
        <v>5</v>
      </c>
      <c r="M4221" s="26">
        <v>70000</v>
      </c>
      <c r="N4221" s="26">
        <v>0</v>
      </c>
      <c r="O4221" s="15">
        <f t="shared" si="363"/>
        <v>70000</v>
      </c>
      <c r="P4221" s="15">
        <f t="shared" si="362"/>
        <v>16.121602947950255</v>
      </c>
      <c r="Q4221" s="25">
        <v>10000</v>
      </c>
      <c r="R4221" s="22">
        <v>43</v>
      </c>
      <c r="S4221" s="22" t="s">
        <v>5117</v>
      </c>
      <c r="T4221" s="22">
        <f t="shared" si="358"/>
        <v>2</v>
      </c>
      <c r="U4221" s="22">
        <f t="shared" si="359"/>
        <v>2022</v>
      </c>
      <c r="V4221" s="22" t="str">
        <f t="shared" si="360"/>
        <v>METROPOLITANA</v>
      </c>
    </row>
    <row r="4222" spans="1:22" x14ac:dyDescent="0.2">
      <c r="A4222" s="23" t="s">
        <v>5115</v>
      </c>
      <c r="B4222" s="22" t="s">
        <v>18</v>
      </c>
      <c r="C4222" s="22" t="s">
        <v>29</v>
      </c>
      <c r="D4222" s="22" t="s">
        <v>164</v>
      </c>
      <c r="E4222" s="24" t="s">
        <v>1576</v>
      </c>
      <c r="F4222" s="22" t="s">
        <v>39</v>
      </c>
      <c r="G4222" s="25">
        <v>6027.1200000000008</v>
      </c>
      <c r="H4222" s="22" t="s">
        <v>22</v>
      </c>
      <c r="I4222" s="22">
        <v>1</v>
      </c>
      <c r="J4222" s="22" t="s">
        <v>39</v>
      </c>
      <c r="K4222" s="22" t="s">
        <v>23</v>
      </c>
      <c r="L4222" s="22">
        <v>1</v>
      </c>
      <c r="M4222" s="26">
        <v>66298</v>
      </c>
      <c r="N4222" s="26">
        <v>0</v>
      </c>
      <c r="O4222" s="15">
        <f t="shared" si="363"/>
        <v>66298</v>
      </c>
      <c r="P4222" s="15">
        <f t="shared" si="362"/>
        <v>10.999946906648614</v>
      </c>
      <c r="Q4222" s="25">
        <v>5000</v>
      </c>
      <c r="R4222" s="22">
        <v>100</v>
      </c>
      <c r="S4222" s="22" t="s">
        <v>5118</v>
      </c>
      <c r="T4222" s="22">
        <f t="shared" si="358"/>
        <v>2</v>
      </c>
      <c r="U4222" s="22">
        <f t="shared" si="359"/>
        <v>2022</v>
      </c>
      <c r="V4222" s="22" t="str">
        <f t="shared" si="360"/>
        <v>METROPOLITANA</v>
      </c>
    </row>
    <row r="4223" spans="1:22" x14ac:dyDescent="0.2">
      <c r="A4223" s="23" t="s">
        <v>5115</v>
      </c>
      <c r="B4223" s="22" t="s">
        <v>33</v>
      </c>
      <c r="C4223" s="22" t="s">
        <v>270</v>
      </c>
      <c r="D4223" s="22" t="s">
        <v>164</v>
      </c>
      <c r="E4223" s="24" t="s">
        <v>1576</v>
      </c>
      <c r="F4223" s="22" t="s">
        <v>377</v>
      </c>
      <c r="G4223" s="25">
        <v>7963.5000000000027</v>
      </c>
      <c r="H4223" s="22" t="s">
        <v>22</v>
      </c>
      <c r="I4223" s="22">
        <v>1</v>
      </c>
      <c r="J4223" s="22" t="s">
        <v>377</v>
      </c>
      <c r="K4223" s="22" t="s">
        <v>23</v>
      </c>
      <c r="L4223" s="22">
        <v>4</v>
      </c>
      <c r="M4223" s="26">
        <v>87599</v>
      </c>
      <c r="N4223" s="26">
        <v>0</v>
      </c>
      <c r="O4223" s="15">
        <f t="shared" si="363"/>
        <v>87599</v>
      </c>
      <c r="P4223" s="15">
        <f t="shared" si="362"/>
        <v>11.000062786463234</v>
      </c>
      <c r="Q4223" s="25">
        <v>5000</v>
      </c>
      <c r="R4223" s="22">
        <v>100</v>
      </c>
      <c r="S4223" s="22" t="s">
        <v>5119</v>
      </c>
      <c r="T4223" s="22">
        <f t="shared" si="358"/>
        <v>2</v>
      </c>
      <c r="U4223" s="22">
        <f t="shared" si="359"/>
        <v>2022</v>
      </c>
      <c r="V4223" s="22" t="str">
        <f t="shared" si="360"/>
        <v>METROPOLITANA</v>
      </c>
    </row>
    <row r="4224" spans="1:22" x14ac:dyDescent="0.2">
      <c r="A4224" s="23" t="s">
        <v>5115</v>
      </c>
      <c r="B4224" s="22" t="s">
        <v>33</v>
      </c>
      <c r="C4224" s="22" t="s">
        <v>3361</v>
      </c>
      <c r="D4224" s="22" t="s">
        <v>45</v>
      </c>
      <c r="E4224" s="24" t="s">
        <v>21</v>
      </c>
      <c r="F4224" s="22" t="s">
        <v>161</v>
      </c>
      <c r="G4224" s="25">
        <v>2721.6</v>
      </c>
      <c r="H4224" s="22" t="s">
        <v>22</v>
      </c>
      <c r="I4224" s="22">
        <v>0</v>
      </c>
      <c r="J4224" s="22" t="s">
        <v>161</v>
      </c>
      <c r="K4224" s="22" t="s">
        <v>23</v>
      </c>
      <c r="L4224" s="22">
        <v>5</v>
      </c>
      <c r="M4224" s="26">
        <v>70000</v>
      </c>
      <c r="N4224" s="26">
        <v>0</v>
      </c>
      <c r="O4224" s="15">
        <f t="shared" si="363"/>
        <v>70000</v>
      </c>
      <c r="P4224" s="15">
        <f t="shared" si="362"/>
        <v>25.720164609053498</v>
      </c>
      <c r="Q4224" s="25">
        <v>10000</v>
      </c>
      <c r="R4224" s="22">
        <v>27</v>
      </c>
      <c r="S4224" s="22" t="s">
        <v>5120</v>
      </c>
      <c r="T4224" s="22">
        <f t="shared" si="358"/>
        <v>2</v>
      </c>
      <c r="U4224" s="22">
        <f t="shared" si="359"/>
        <v>2022</v>
      </c>
      <c r="V4224" s="22" t="str">
        <f t="shared" si="360"/>
        <v>METROPOLITANA</v>
      </c>
    </row>
    <row r="4225" spans="1:22" x14ac:dyDescent="0.2">
      <c r="A4225" s="23" t="s">
        <v>5115</v>
      </c>
      <c r="B4225" s="22" t="s">
        <v>33</v>
      </c>
      <c r="C4225" s="22" t="s">
        <v>29</v>
      </c>
      <c r="D4225" s="22" t="s">
        <v>164</v>
      </c>
      <c r="E4225" s="24" t="s">
        <v>1576</v>
      </c>
      <c r="F4225" s="22" t="s">
        <v>39</v>
      </c>
      <c r="G4225" s="25">
        <v>5877.2000000000016</v>
      </c>
      <c r="H4225" s="22" t="s">
        <v>22</v>
      </c>
      <c r="I4225" s="22">
        <v>1</v>
      </c>
      <c r="J4225" s="22" t="s">
        <v>39</v>
      </c>
      <c r="K4225" s="22" t="s">
        <v>23</v>
      </c>
      <c r="L4225" s="22">
        <v>1</v>
      </c>
      <c r="M4225" s="26">
        <v>64649</v>
      </c>
      <c r="N4225" s="26">
        <v>0</v>
      </c>
      <c r="O4225" s="15">
        <f t="shared" si="363"/>
        <v>64649</v>
      </c>
      <c r="P4225" s="15">
        <f t="shared" si="362"/>
        <v>10.999965970189884</v>
      </c>
      <c r="Q4225" s="25">
        <v>5000</v>
      </c>
      <c r="R4225" s="22">
        <v>100</v>
      </c>
      <c r="S4225" s="22" t="s">
        <v>5121</v>
      </c>
      <c r="T4225" s="22">
        <f t="shared" si="358"/>
        <v>2</v>
      </c>
      <c r="U4225" s="22">
        <f t="shared" si="359"/>
        <v>2022</v>
      </c>
      <c r="V4225" s="22" t="str">
        <f t="shared" si="360"/>
        <v>METROPOLITANA</v>
      </c>
    </row>
    <row r="4226" spans="1:22" x14ac:dyDescent="0.2">
      <c r="A4226" s="23" t="s">
        <v>5115</v>
      </c>
      <c r="B4226" s="22" t="s">
        <v>33</v>
      </c>
      <c r="C4226" s="22" t="s">
        <v>44</v>
      </c>
      <c r="D4226" s="22" t="s">
        <v>47</v>
      </c>
      <c r="E4226" s="24" t="s">
        <v>1576</v>
      </c>
      <c r="F4226" s="22" t="s">
        <v>48</v>
      </c>
      <c r="G4226" s="25">
        <v>7515.6</v>
      </c>
      <c r="H4226" s="22" t="s">
        <v>22</v>
      </c>
      <c r="I4226" s="22">
        <v>0</v>
      </c>
      <c r="J4226" s="22" t="s">
        <v>48</v>
      </c>
      <c r="K4226" s="22" t="s">
        <v>23</v>
      </c>
      <c r="L4226" s="22">
        <v>1</v>
      </c>
      <c r="M4226" s="26">
        <v>82672</v>
      </c>
      <c r="N4226" s="26">
        <v>0</v>
      </c>
      <c r="O4226" s="15">
        <f t="shared" si="363"/>
        <v>82672</v>
      </c>
      <c r="P4226" s="15">
        <f t="shared" si="362"/>
        <v>11.000053222630262</v>
      </c>
      <c r="Q4226" s="25">
        <v>5000</v>
      </c>
      <c r="R4226" s="22">
        <v>100</v>
      </c>
      <c r="S4226" s="22" t="s">
        <v>5122</v>
      </c>
      <c r="T4226" s="22">
        <f t="shared" si="358"/>
        <v>2</v>
      </c>
      <c r="U4226" s="22">
        <f t="shared" si="359"/>
        <v>2022</v>
      </c>
      <c r="V4226" s="22" t="str">
        <f t="shared" si="360"/>
        <v>METROPOLITANA</v>
      </c>
    </row>
    <row r="4227" spans="1:22" s="12" customFormat="1" x14ac:dyDescent="0.2">
      <c r="A4227" s="11" t="s">
        <v>5123</v>
      </c>
      <c r="B4227" s="12" t="s">
        <v>18</v>
      </c>
      <c r="C4227" s="12" t="s">
        <v>57</v>
      </c>
      <c r="D4227" s="12" t="s">
        <v>20</v>
      </c>
      <c r="E4227" s="13" t="s">
        <v>21</v>
      </c>
      <c r="F4227" s="12" t="s">
        <v>89</v>
      </c>
      <c r="G4227" s="14">
        <f>3679.11+1296</f>
        <v>4975.1100000000006</v>
      </c>
      <c r="H4227" s="12" t="s">
        <v>22</v>
      </c>
      <c r="I4227" s="12">
        <v>0</v>
      </c>
      <c r="J4227" s="12" t="s">
        <v>89</v>
      </c>
      <c r="K4227" s="12" t="s">
        <v>23</v>
      </c>
      <c r="L4227" s="12">
        <v>5</v>
      </c>
      <c r="M4227" s="15">
        <v>90000</v>
      </c>
      <c r="N4227" s="15">
        <v>0</v>
      </c>
      <c r="O4227" s="15">
        <f t="shared" si="363"/>
        <v>90000</v>
      </c>
      <c r="P4227" s="15">
        <f t="shared" si="362"/>
        <v>18.090052280251086</v>
      </c>
      <c r="Q4227" s="14">
        <v>10000</v>
      </c>
      <c r="R4227" s="12">
        <v>50</v>
      </c>
      <c r="S4227" s="12" t="s">
        <v>5146</v>
      </c>
      <c r="T4227" s="12">
        <f t="shared" si="358"/>
        <v>2</v>
      </c>
      <c r="U4227" s="12">
        <f t="shared" si="359"/>
        <v>2022</v>
      </c>
      <c r="V4227" s="12" t="str">
        <f t="shared" si="360"/>
        <v>METROPOLITANA</v>
      </c>
    </row>
    <row r="4228" spans="1:22" s="12" customFormat="1" x14ac:dyDescent="0.2">
      <c r="A4228" s="11" t="s">
        <v>5123</v>
      </c>
      <c r="B4228" s="12" t="s">
        <v>18</v>
      </c>
      <c r="C4228" s="12" t="s">
        <v>29</v>
      </c>
      <c r="D4228" s="12" t="s">
        <v>3641</v>
      </c>
      <c r="E4228" s="13" t="s">
        <v>5124</v>
      </c>
      <c r="F4228" s="12" t="s">
        <v>195</v>
      </c>
      <c r="G4228" s="14">
        <v>10032</v>
      </c>
      <c r="H4228" s="12" t="s">
        <v>24</v>
      </c>
      <c r="I4228" s="12">
        <v>1</v>
      </c>
      <c r="J4228" s="12" t="s">
        <v>195</v>
      </c>
      <c r="K4228" s="12" t="s">
        <v>124</v>
      </c>
      <c r="L4228" s="12">
        <v>0</v>
      </c>
      <c r="M4228" s="15">
        <v>350000</v>
      </c>
      <c r="N4228" s="15">
        <v>0</v>
      </c>
      <c r="O4228" s="15">
        <f t="shared" si="363"/>
        <v>350000</v>
      </c>
      <c r="P4228" s="15">
        <f t="shared" si="362"/>
        <v>34.888357256778306</v>
      </c>
      <c r="Q4228" s="14">
        <v>20000</v>
      </c>
      <c r="R4228" s="12">
        <v>50</v>
      </c>
      <c r="S4228" s="12" t="s">
        <v>5125</v>
      </c>
      <c r="T4228" s="12">
        <f t="shared" si="358"/>
        <v>2</v>
      </c>
      <c r="U4228" s="12">
        <f t="shared" si="359"/>
        <v>2022</v>
      </c>
      <c r="V4228" s="12" t="str">
        <f t="shared" si="360"/>
        <v>REGIONES</v>
      </c>
    </row>
    <row r="4229" spans="1:22" s="12" customFormat="1" x14ac:dyDescent="0.2">
      <c r="A4229" s="11" t="s">
        <v>5123</v>
      </c>
      <c r="B4229" s="12" t="s">
        <v>18</v>
      </c>
      <c r="C4229" s="12" t="s">
        <v>44</v>
      </c>
      <c r="D4229" s="12" t="s">
        <v>786</v>
      </c>
      <c r="E4229" s="13" t="s">
        <v>787</v>
      </c>
      <c r="F4229" s="12" t="s">
        <v>407</v>
      </c>
      <c r="G4229" s="14">
        <f>3825.38+9096</f>
        <v>12921.380000000001</v>
      </c>
      <c r="H4229" s="12" t="s">
        <v>788</v>
      </c>
      <c r="I4229" s="12">
        <v>1</v>
      </c>
      <c r="J4229" s="12" t="s">
        <v>407</v>
      </c>
      <c r="K4229" s="12" t="s">
        <v>408</v>
      </c>
      <c r="L4229" s="12">
        <v>0</v>
      </c>
      <c r="M4229" s="15">
        <v>650000</v>
      </c>
      <c r="N4229" s="15">
        <v>0</v>
      </c>
      <c r="O4229" s="15">
        <f t="shared" si="363"/>
        <v>650000</v>
      </c>
      <c r="P4229" s="15">
        <f t="shared" si="362"/>
        <v>50.304224471379989</v>
      </c>
      <c r="Q4229" s="14">
        <v>20000</v>
      </c>
      <c r="R4229" s="12">
        <v>19</v>
      </c>
      <c r="S4229" s="12" t="s">
        <v>5147</v>
      </c>
      <c r="T4229" s="12">
        <f t="shared" si="358"/>
        <v>2</v>
      </c>
      <c r="U4229" s="12">
        <f t="shared" si="359"/>
        <v>2022</v>
      </c>
      <c r="V4229" s="12" t="str">
        <f t="shared" si="360"/>
        <v>REGIONES</v>
      </c>
    </row>
    <row r="4230" spans="1:22" s="12" customFormat="1" x14ac:dyDescent="0.2">
      <c r="A4230" s="11" t="s">
        <v>5123</v>
      </c>
      <c r="B4230" s="12" t="s">
        <v>33</v>
      </c>
      <c r="C4230" s="12" t="s">
        <v>36</v>
      </c>
      <c r="D4230" s="12" t="s">
        <v>2262</v>
      </c>
      <c r="E4230" s="13" t="s">
        <v>83</v>
      </c>
      <c r="F4230" s="12" t="s">
        <v>84</v>
      </c>
      <c r="G4230" s="14">
        <v>9887.1999999999971</v>
      </c>
      <c r="H4230" s="12" t="s">
        <v>24</v>
      </c>
      <c r="I4230" s="12">
        <v>1</v>
      </c>
      <c r="J4230" s="12" t="s">
        <v>84</v>
      </c>
      <c r="K4230" s="12" t="s">
        <v>86</v>
      </c>
      <c r="L4230" s="12">
        <v>0</v>
      </c>
      <c r="M4230" s="15">
        <v>330000</v>
      </c>
      <c r="N4230" s="15">
        <v>0</v>
      </c>
      <c r="O4230" s="15">
        <f t="shared" si="363"/>
        <v>330000</v>
      </c>
      <c r="P4230" s="15">
        <f t="shared" si="362"/>
        <v>33.376486770774342</v>
      </c>
      <c r="Q4230" s="14">
        <v>20000</v>
      </c>
      <c r="R4230" s="12">
        <v>49</v>
      </c>
      <c r="S4230" s="12" t="s">
        <v>5126</v>
      </c>
      <c r="T4230" s="12">
        <f t="shared" si="358"/>
        <v>2</v>
      </c>
      <c r="U4230" s="12">
        <f t="shared" si="359"/>
        <v>2022</v>
      </c>
      <c r="V4230" s="12" t="str">
        <f t="shared" si="360"/>
        <v>REGIONES</v>
      </c>
    </row>
    <row r="4231" spans="1:22" s="12" customFormat="1" x14ac:dyDescent="0.2">
      <c r="A4231" s="11" t="s">
        <v>5123</v>
      </c>
      <c r="B4231" s="12" t="s">
        <v>33</v>
      </c>
      <c r="C4231" s="12" t="s">
        <v>36</v>
      </c>
      <c r="D4231" s="12" t="s">
        <v>4247</v>
      </c>
      <c r="E4231" s="13" t="s">
        <v>62</v>
      </c>
      <c r="F4231" s="12" t="s">
        <v>92</v>
      </c>
      <c r="G4231" s="14">
        <v>9757.7999999999956</v>
      </c>
      <c r="H4231" s="12" t="s">
        <v>24</v>
      </c>
      <c r="I4231" s="12">
        <v>1</v>
      </c>
      <c r="J4231" s="12" t="s">
        <v>92</v>
      </c>
      <c r="K4231" s="12" t="s">
        <v>93</v>
      </c>
      <c r="L4231" s="12">
        <v>0</v>
      </c>
      <c r="M4231" s="15">
        <v>665000</v>
      </c>
      <c r="N4231" s="15">
        <v>0</v>
      </c>
      <c r="O4231" s="15">
        <f t="shared" si="363"/>
        <v>665000</v>
      </c>
      <c r="P4231" s="15">
        <f t="shared" si="362"/>
        <v>68.150607718953069</v>
      </c>
      <c r="Q4231" s="14">
        <v>20000</v>
      </c>
      <c r="R4231" s="12">
        <v>49</v>
      </c>
      <c r="S4231" s="12" t="s">
        <v>5127</v>
      </c>
      <c r="T4231" s="12">
        <f t="shared" si="358"/>
        <v>2</v>
      </c>
      <c r="U4231" s="12">
        <f t="shared" si="359"/>
        <v>2022</v>
      </c>
      <c r="V4231" s="12" t="str">
        <f t="shared" si="360"/>
        <v>REGIONES</v>
      </c>
    </row>
    <row r="4232" spans="1:22" s="12" customFormat="1" x14ac:dyDescent="0.2">
      <c r="A4232" s="11" t="s">
        <v>5123</v>
      </c>
      <c r="B4232" s="12" t="s">
        <v>33</v>
      </c>
      <c r="C4232" s="12" t="s">
        <v>36</v>
      </c>
      <c r="D4232" s="12" t="s">
        <v>5128</v>
      </c>
      <c r="E4232" s="13" t="s">
        <v>304</v>
      </c>
      <c r="F4232" s="12" t="s">
        <v>305</v>
      </c>
      <c r="G4232" s="14">
        <v>9743.2000000000044</v>
      </c>
      <c r="H4232" s="12" t="s">
        <v>24</v>
      </c>
      <c r="I4232" s="12">
        <v>1</v>
      </c>
      <c r="J4232" s="12" t="s">
        <v>305</v>
      </c>
      <c r="K4232" s="12" t="s">
        <v>306</v>
      </c>
      <c r="L4232" s="12">
        <v>0</v>
      </c>
      <c r="M4232" s="15">
        <v>1600000</v>
      </c>
      <c r="N4232" s="15">
        <v>0</v>
      </c>
      <c r="O4232" s="15">
        <f t="shared" si="363"/>
        <v>1600000</v>
      </c>
      <c r="P4232" s="15">
        <f t="shared" si="362"/>
        <v>164.21709499958939</v>
      </c>
      <c r="Q4232" s="14">
        <v>20000</v>
      </c>
      <c r="R4232" s="12">
        <v>49</v>
      </c>
      <c r="S4232" s="12" t="s">
        <v>5129</v>
      </c>
      <c r="T4232" s="12">
        <f t="shared" ref="T4232:T4295" si="364">MONTH(A4232)</f>
        <v>2</v>
      </c>
      <c r="U4232" s="12">
        <f t="shared" ref="U4232:U4295" si="365">YEAR(A4232)</f>
        <v>2022</v>
      </c>
      <c r="V4232" s="12" t="str">
        <f t="shared" ref="V4232:V4295" si="366">IF(K4232="METROPOLITANA DE SANTIAGO","METROPOLITANA","REGIONES")</f>
        <v>REGIONES</v>
      </c>
    </row>
    <row r="4233" spans="1:22" s="12" customFormat="1" x14ac:dyDescent="0.2">
      <c r="A4233" s="11" t="s">
        <v>5123</v>
      </c>
      <c r="B4233" s="12" t="s">
        <v>33</v>
      </c>
      <c r="C4233" s="12" t="s">
        <v>36</v>
      </c>
      <c r="D4233" s="12" t="s">
        <v>5130</v>
      </c>
      <c r="E4233" s="13" t="s">
        <v>83</v>
      </c>
      <c r="F4233" s="12" t="s">
        <v>876</v>
      </c>
      <c r="G4233" s="14">
        <v>5633</v>
      </c>
      <c r="H4233" s="12" t="s">
        <v>24</v>
      </c>
      <c r="I4233" s="12">
        <v>1</v>
      </c>
      <c r="J4233" s="12" t="s">
        <v>876</v>
      </c>
      <c r="K4233" s="12" t="s">
        <v>86</v>
      </c>
      <c r="L4233" s="12">
        <v>0</v>
      </c>
      <c r="M4233" s="15">
        <v>350000</v>
      </c>
      <c r="N4233" s="15">
        <v>0</v>
      </c>
      <c r="O4233" s="15">
        <f t="shared" si="363"/>
        <v>350000</v>
      </c>
      <c r="P4233" s="15">
        <f t="shared" si="362"/>
        <v>62.133854074205573</v>
      </c>
      <c r="Q4233" s="14">
        <v>20000</v>
      </c>
      <c r="R4233" s="12">
        <v>28</v>
      </c>
      <c r="S4233" s="12" t="s">
        <v>5131</v>
      </c>
      <c r="T4233" s="12">
        <f t="shared" si="364"/>
        <v>2</v>
      </c>
      <c r="U4233" s="12">
        <f t="shared" si="365"/>
        <v>2022</v>
      </c>
      <c r="V4233" s="12" t="str">
        <f t="shared" si="366"/>
        <v>REGIONES</v>
      </c>
    </row>
    <row r="4234" spans="1:22" s="12" customFormat="1" x14ac:dyDescent="0.2">
      <c r="A4234" s="11" t="s">
        <v>5123</v>
      </c>
      <c r="B4234" s="12" t="s">
        <v>33</v>
      </c>
      <c r="C4234" s="12" t="s">
        <v>29</v>
      </c>
      <c r="D4234" s="12" t="s">
        <v>3641</v>
      </c>
      <c r="E4234" s="13" t="s">
        <v>5124</v>
      </c>
      <c r="F4234" s="12" t="s">
        <v>132</v>
      </c>
      <c r="G4234" s="14">
        <v>4502.3999999999996</v>
      </c>
      <c r="H4234" s="12" t="s">
        <v>24</v>
      </c>
      <c r="I4234" s="12">
        <v>1</v>
      </c>
      <c r="J4234" s="12" t="s">
        <v>132</v>
      </c>
      <c r="K4234" s="12" t="s">
        <v>124</v>
      </c>
      <c r="L4234" s="12">
        <v>0</v>
      </c>
      <c r="M4234" s="15">
        <v>400000</v>
      </c>
      <c r="N4234" s="15">
        <v>0</v>
      </c>
      <c r="O4234" s="15">
        <f t="shared" si="363"/>
        <v>400000</v>
      </c>
      <c r="P4234" s="15">
        <f t="shared" si="362"/>
        <v>88.841506751954526</v>
      </c>
      <c r="Q4234" s="14">
        <v>20000</v>
      </c>
      <c r="R4234" s="12">
        <v>23</v>
      </c>
      <c r="S4234" s="12" t="s">
        <v>5132</v>
      </c>
      <c r="T4234" s="12">
        <f t="shared" si="364"/>
        <v>2</v>
      </c>
      <c r="U4234" s="12">
        <f t="shared" si="365"/>
        <v>2022</v>
      </c>
      <c r="V4234" s="12" t="str">
        <f t="shared" si="366"/>
        <v>REGIONES</v>
      </c>
    </row>
    <row r="4235" spans="1:22" s="12" customFormat="1" x14ac:dyDescent="0.2">
      <c r="A4235" s="11" t="s">
        <v>5123</v>
      </c>
      <c r="B4235" s="12" t="s">
        <v>33</v>
      </c>
      <c r="C4235" s="12" t="s">
        <v>44</v>
      </c>
      <c r="D4235" s="12" t="s">
        <v>38</v>
      </c>
      <c r="E4235" s="13" t="s">
        <v>42</v>
      </c>
      <c r="F4235" s="12" t="s">
        <v>138</v>
      </c>
      <c r="G4235" s="14">
        <v>6639.9999999999973</v>
      </c>
      <c r="H4235" s="12" t="s">
        <v>43</v>
      </c>
      <c r="I4235" s="12">
        <v>0</v>
      </c>
      <c r="J4235" s="12" t="s">
        <v>138</v>
      </c>
      <c r="K4235" s="12" t="s">
        <v>23</v>
      </c>
      <c r="L4235" s="12">
        <v>3</v>
      </c>
      <c r="M4235" s="15">
        <v>73040</v>
      </c>
      <c r="N4235" s="15">
        <v>0</v>
      </c>
      <c r="O4235" s="15">
        <f t="shared" si="363"/>
        <v>73040</v>
      </c>
      <c r="P4235" s="15">
        <f t="shared" si="362"/>
        <v>11.000000000000005</v>
      </c>
      <c r="Q4235" s="14">
        <v>5000</v>
      </c>
      <c r="R4235" s="12">
        <v>100</v>
      </c>
      <c r="S4235" s="12" t="s">
        <v>5133</v>
      </c>
      <c r="T4235" s="12">
        <f t="shared" si="364"/>
        <v>2</v>
      </c>
      <c r="U4235" s="12">
        <f t="shared" si="365"/>
        <v>2022</v>
      </c>
      <c r="V4235" s="12" t="str">
        <f t="shared" si="366"/>
        <v>METROPOLITANA</v>
      </c>
    </row>
    <row r="4236" spans="1:22" s="12" customFormat="1" x14ac:dyDescent="0.2">
      <c r="A4236" s="11" t="s">
        <v>5123</v>
      </c>
      <c r="B4236" s="12" t="s">
        <v>33</v>
      </c>
      <c r="C4236" s="12" t="s">
        <v>44</v>
      </c>
      <c r="D4236" s="12" t="s">
        <v>2825</v>
      </c>
      <c r="E4236" s="13" t="s">
        <v>639</v>
      </c>
      <c r="F4236" s="12" t="s">
        <v>691</v>
      </c>
      <c r="G4236" s="14">
        <v>16942.8</v>
      </c>
      <c r="H4236" s="12" t="s">
        <v>24</v>
      </c>
      <c r="I4236" s="12">
        <v>1</v>
      </c>
      <c r="J4236" s="12" t="s">
        <v>691</v>
      </c>
      <c r="K4236" s="12" t="s">
        <v>873</v>
      </c>
      <c r="L4236" s="12">
        <v>0</v>
      </c>
      <c r="M4236" s="15">
        <v>1100000</v>
      </c>
      <c r="N4236" s="15">
        <v>0</v>
      </c>
      <c r="O4236" s="15">
        <f t="shared" si="363"/>
        <v>1100000</v>
      </c>
      <c r="P4236" s="15">
        <f t="shared" si="362"/>
        <v>64.924333640248364</v>
      </c>
      <c r="Q4236" s="14">
        <v>20000</v>
      </c>
      <c r="R4236" s="12">
        <v>85</v>
      </c>
      <c r="S4236" s="12" t="s">
        <v>5134</v>
      </c>
      <c r="T4236" s="12">
        <f t="shared" si="364"/>
        <v>2</v>
      </c>
      <c r="U4236" s="12">
        <f t="shared" si="365"/>
        <v>2022</v>
      </c>
      <c r="V4236" s="12" t="str">
        <f t="shared" si="366"/>
        <v>REGIONES</v>
      </c>
    </row>
    <row r="4237" spans="1:22" s="12" customFormat="1" x14ac:dyDescent="0.2">
      <c r="A4237" s="11" t="s">
        <v>5123</v>
      </c>
      <c r="B4237" s="12" t="s">
        <v>33</v>
      </c>
      <c r="C4237" s="12" t="s">
        <v>44</v>
      </c>
      <c r="D4237" s="12" t="s">
        <v>45</v>
      </c>
      <c r="E4237" s="13" t="s">
        <v>52</v>
      </c>
      <c r="F4237" s="12" t="s">
        <v>53</v>
      </c>
      <c r="G4237" s="14">
        <v>4604.46</v>
      </c>
      <c r="H4237" s="12" t="s">
        <v>22</v>
      </c>
      <c r="I4237" s="12">
        <v>0</v>
      </c>
      <c r="J4237" s="12" t="s">
        <v>53</v>
      </c>
      <c r="K4237" s="12" t="s">
        <v>23</v>
      </c>
      <c r="L4237" s="12">
        <v>3</v>
      </c>
      <c r="M4237" s="15">
        <v>55000</v>
      </c>
      <c r="N4237" s="15">
        <v>0</v>
      </c>
      <c r="O4237" s="15">
        <f t="shared" si="363"/>
        <v>55000</v>
      </c>
      <c r="P4237" s="15">
        <f t="shared" si="362"/>
        <v>11.944940340452519</v>
      </c>
      <c r="Q4237" s="14">
        <v>5000</v>
      </c>
      <c r="R4237" s="12">
        <v>92</v>
      </c>
      <c r="S4237" s="12" t="s">
        <v>5135</v>
      </c>
      <c r="T4237" s="12">
        <f t="shared" si="364"/>
        <v>2</v>
      </c>
      <c r="U4237" s="12">
        <f t="shared" si="365"/>
        <v>2022</v>
      </c>
      <c r="V4237" s="12" t="str">
        <f t="shared" si="366"/>
        <v>METROPOLITANA</v>
      </c>
    </row>
    <row r="4238" spans="1:22" s="12" customFormat="1" x14ac:dyDescent="0.2">
      <c r="A4238" s="11" t="s">
        <v>5123</v>
      </c>
      <c r="B4238" s="12" t="s">
        <v>33</v>
      </c>
      <c r="C4238" s="12" t="s">
        <v>44</v>
      </c>
      <c r="D4238" s="12" t="s">
        <v>47</v>
      </c>
      <c r="E4238" s="13" t="s">
        <v>1576</v>
      </c>
      <c r="F4238" s="12" t="s">
        <v>48</v>
      </c>
      <c r="G4238" s="14">
        <v>8063.4000000000024</v>
      </c>
      <c r="H4238" s="12" t="s">
        <v>22</v>
      </c>
      <c r="I4238" s="12">
        <v>0</v>
      </c>
      <c r="J4238" s="12" t="s">
        <v>48</v>
      </c>
      <c r="K4238" s="12" t="s">
        <v>23</v>
      </c>
      <c r="L4238" s="12">
        <v>1</v>
      </c>
      <c r="M4238" s="15">
        <v>88697</v>
      </c>
      <c r="N4238" s="15">
        <v>0</v>
      </c>
      <c r="O4238" s="15">
        <f t="shared" si="363"/>
        <v>88697</v>
      </c>
      <c r="P4238" s="15">
        <f t="shared" si="362"/>
        <v>10.999950393134407</v>
      </c>
      <c r="Q4238" s="14">
        <v>5000</v>
      </c>
      <c r="R4238" s="12">
        <v>100</v>
      </c>
      <c r="S4238" s="12" t="s">
        <v>5136</v>
      </c>
      <c r="T4238" s="12">
        <f t="shared" si="364"/>
        <v>2</v>
      </c>
      <c r="U4238" s="12">
        <f t="shared" si="365"/>
        <v>2022</v>
      </c>
      <c r="V4238" s="12" t="str">
        <f t="shared" si="366"/>
        <v>METROPOLITANA</v>
      </c>
    </row>
    <row r="4239" spans="1:22" x14ac:dyDescent="0.2">
      <c r="A4239" s="23" t="s">
        <v>5148</v>
      </c>
      <c r="B4239" s="22" t="s">
        <v>18</v>
      </c>
      <c r="C4239" s="22" t="s">
        <v>57</v>
      </c>
      <c r="D4239" s="22" t="s">
        <v>37</v>
      </c>
      <c r="E4239" s="24" t="s">
        <v>40</v>
      </c>
      <c r="F4239" s="22" t="s">
        <v>89</v>
      </c>
      <c r="G4239" s="25">
        <v>9003.74</v>
      </c>
      <c r="H4239" s="22" t="s">
        <v>22</v>
      </c>
      <c r="I4239" s="22">
        <v>0</v>
      </c>
      <c r="J4239" s="22" t="s">
        <v>89</v>
      </c>
      <c r="K4239" s="22" t="s">
        <v>23</v>
      </c>
      <c r="L4239" s="22">
        <v>5</v>
      </c>
      <c r="M4239" s="26">
        <v>90000</v>
      </c>
      <c r="N4239" s="26">
        <v>0</v>
      </c>
      <c r="O4239" s="15">
        <f t="shared" si="363"/>
        <v>90000</v>
      </c>
      <c r="P4239" s="15">
        <f t="shared" si="362"/>
        <v>9.9958461705913315</v>
      </c>
      <c r="Q4239" s="25">
        <v>10000</v>
      </c>
      <c r="R4239" s="22">
        <v>90</v>
      </c>
      <c r="S4239" s="22" t="s">
        <v>5149</v>
      </c>
      <c r="T4239" s="22">
        <f t="shared" si="364"/>
        <v>2</v>
      </c>
      <c r="U4239" s="22">
        <f t="shared" si="365"/>
        <v>2022</v>
      </c>
      <c r="V4239" s="22" t="str">
        <f t="shared" si="366"/>
        <v>METROPOLITANA</v>
      </c>
    </row>
    <row r="4240" spans="1:22" x14ac:dyDescent="0.2">
      <c r="A4240" s="23" t="s">
        <v>5148</v>
      </c>
      <c r="B4240" s="22" t="s">
        <v>18</v>
      </c>
      <c r="C4240" s="22" t="s">
        <v>19</v>
      </c>
      <c r="D4240" s="22" t="s">
        <v>5150</v>
      </c>
      <c r="E4240" s="24" t="s">
        <v>131</v>
      </c>
      <c r="F4240" s="22" t="s">
        <v>481</v>
      </c>
      <c r="G4240" s="25">
        <v>22330.420000000009</v>
      </c>
      <c r="H4240" s="22" t="s">
        <v>24</v>
      </c>
      <c r="I4240" s="22">
        <v>1</v>
      </c>
      <c r="J4240" s="22" t="s">
        <v>481</v>
      </c>
      <c r="K4240" s="22" t="s">
        <v>93</v>
      </c>
      <c r="L4240" s="22">
        <v>0</v>
      </c>
      <c r="M4240" s="26">
        <v>665000</v>
      </c>
      <c r="N4240" s="26">
        <v>0</v>
      </c>
      <c r="O4240" s="15">
        <f t="shared" si="363"/>
        <v>665000</v>
      </c>
      <c r="P4240" s="15">
        <f t="shared" si="362"/>
        <v>29.780004137853194</v>
      </c>
      <c r="Q4240" s="25">
        <v>20000</v>
      </c>
      <c r="R4240" s="22">
        <v>100</v>
      </c>
      <c r="S4240" s="22" t="s">
        <v>5151</v>
      </c>
      <c r="T4240" s="22">
        <f t="shared" si="364"/>
        <v>2</v>
      </c>
      <c r="U4240" s="22">
        <f t="shared" si="365"/>
        <v>2022</v>
      </c>
      <c r="V4240" s="22" t="str">
        <f t="shared" si="366"/>
        <v>REGIONES</v>
      </c>
    </row>
    <row r="4241" spans="1:22" x14ac:dyDescent="0.2">
      <c r="A4241" s="23" t="s">
        <v>5148</v>
      </c>
      <c r="B4241" s="22" t="s">
        <v>18</v>
      </c>
      <c r="C4241" s="22" t="s">
        <v>4331</v>
      </c>
      <c r="D4241" s="22" t="s">
        <v>41</v>
      </c>
      <c r="E4241" s="24" t="s">
        <v>42</v>
      </c>
      <c r="F4241" s="22" t="s">
        <v>161</v>
      </c>
      <c r="G4241" s="25">
        <v>10054.469999999999</v>
      </c>
      <c r="H4241" s="22" t="s">
        <v>43</v>
      </c>
      <c r="I4241" s="22">
        <v>0</v>
      </c>
      <c r="J4241" s="22" t="s">
        <v>161</v>
      </c>
      <c r="K4241" s="22" t="s">
        <v>23</v>
      </c>
      <c r="L4241" s="22">
        <v>5</v>
      </c>
      <c r="M4241" s="26">
        <v>70000</v>
      </c>
      <c r="N4241" s="26">
        <v>0</v>
      </c>
      <c r="O4241" s="15">
        <f t="shared" si="363"/>
        <v>70000</v>
      </c>
      <c r="P4241" s="15">
        <f t="shared" si="362"/>
        <v>6.9620775635115528</v>
      </c>
      <c r="Q4241" s="25">
        <v>10000</v>
      </c>
      <c r="R4241" s="22">
        <v>100</v>
      </c>
      <c r="S4241" s="22" t="s">
        <v>5152</v>
      </c>
      <c r="T4241" s="22">
        <f t="shared" si="364"/>
        <v>2</v>
      </c>
      <c r="U4241" s="22">
        <f t="shared" si="365"/>
        <v>2022</v>
      </c>
      <c r="V4241" s="22" t="str">
        <f t="shared" si="366"/>
        <v>METROPOLITANA</v>
      </c>
    </row>
    <row r="4242" spans="1:22" x14ac:dyDescent="0.2">
      <c r="A4242" s="23" t="s">
        <v>5148</v>
      </c>
      <c r="B4242" s="22" t="s">
        <v>33</v>
      </c>
      <c r="C4242" s="22" t="s">
        <v>1233</v>
      </c>
      <c r="D4242" s="22" t="s">
        <v>38</v>
      </c>
      <c r="E4242" s="24" t="s">
        <v>42</v>
      </c>
      <c r="F4242" s="22" t="s">
        <v>1234</v>
      </c>
      <c r="G4242" s="25">
        <v>3525.6000000000008</v>
      </c>
      <c r="H4242" s="22" t="s">
        <v>43</v>
      </c>
      <c r="I4242" s="22">
        <v>0</v>
      </c>
      <c r="J4242" s="22" t="s">
        <v>1234</v>
      </c>
      <c r="K4242" s="22" t="s">
        <v>23</v>
      </c>
      <c r="L4242" s="22">
        <v>3</v>
      </c>
      <c r="M4242" s="26">
        <v>55000</v>
      </c>
      <c r="N4242" s="26">
        <v>0</v>
      </c>
      <c r="O4242" s="15">
        <f t="shared" si="363"/>
        <v>55000</v>
      </c>
      <c r="P4242" s="15">
        <f t="shared" si="362"/>
        <v>15.600181529385065</v>
      </c>
      <c r="Q4242" s="25">
        <v>5000</v>
      </c>
      <c r="R4242" s="22">
        <v>71</v>
      </c>
      <c r="S4242" s="22" t="s">
        <v>5153</v>
      </c>
      <c r="T4242" s="22">
        <f t="shared" si="364"/>
        <v>2</v>
      </c>
      <c r="U4242" s="22">
        <f t="shared" si="365"/>
        <v>2022</v>
      </c>
      <c r="V4242" s="22" t="str">
        <f t="shared" si="366"/>
        <v>METROPOLITANA</v>
      </c>
    </row>
    <row r="4243" spans="1:22" x14ac:dyDescent="0.2">
      <c r="A4243" s="23" t="s">
        <v>5148</v>
      </c>
      <c r="B4243" s="22" t="s">
        <v>33</v>
      </c>
      <c r="C4243" s="22" t="s">
        <v>128</v>
      </c>
      <c r="D4243" s="22" t="s">
        <v>63</v>
      </c>
      <c r="E4243" s="24" t="s">
        <v>64</v>
      </c>
      <c r="F4243" s="22" t="s">
        <v>34</v>
      </c>
      <c r="G4243" s="25">
        <v>28164</v>
      </c>
      <c r="H4243" s="22" t="s">
        <v>65</v>
      </c>
      <c r="I4243" s="22">
        <v>0</v>
      </c>
      <c r="J4243" s="22" t="s">
        <v>34</v>
      </c>
      <c r="K4243" s="22" t="s">
        <v>23</v>
      </c>
      <c r="L4243" s="22">
        <v>1</v>
      </c>
      <c r="M4243" s="26">
        <v>309804</v>
      </c>
      <c r="N4243" s="26">
        <v>0</v>
      </c>
      <c r="O4243" s="15">
        <f t="shared" si="363"/>
        <v>309804</v>
      </c>
      <c r="P4243" s="15">
        <f t="shared" si="362"/>
        <v>11</v>
      </c>
      <c r="Q4243" s="25">
        <v>5000</v>
      </c>
      <c r="R4243" s="22">
        <v>100</v>
      </c>
      <c r="S4243" s="22" t="s">
        <v>5154</v>
      </c>
      <c r="T4243" s="22">
        <f t="shared" si="364"/>
        <v>2</v>
      </c>
      <c r="U4243" s="22">
        <f t="shared" si="365"/>
        <v>2022</v>
      </c>
      <c r="V4243" s="22" t="str">
        <f t="shared" si="366"/>
        <v>METROPOLITANA</v>
      </c>
    </row>
    <row r="4244" spans="1:22" x14ac:dyDescent="0.2">
      <c r="A4244" s="23" t="s">
        <v>5148</v>
      </c>
      <c r="B4244" s="22" t="s">
        <v>33</v>
      </c>
      <c r="C4244" s="22" t="s">
        <v>909</v>
      </c>
      <c r="D4244" s="22" t="s">
        <v>63</v>
      </c>
      <c r="E4244" s="24" t="s">
        <v>64</v>
      </c>
      <c r="F4244" s="22" t="s">
        <v>910</v>
      </c>
      <c r="G4244" s="25">
        <v>9504.0000000000091</v>
      </c>
      <c r="H4244" s="22" t="s">
        <v>65</v>
      </c>
      <c r="I4244" s="22">
        <v>0</v>
      </c>
      <c r="J4244" s="22" t="s">
        <v>910</v>
      </c>
      <c r="K4244" s="22" t="s">
        <v>171</v>
      </c>
      <c r="L4244" s="22">
        <v>0</v>
      </c>
      <c r="M4244" s="26">
        <v>180000</v>
      </c>
      <c r="N4244" s="26">
        <v>0</v>
      </c>
      <c r="O4244" s="15">
        <f t="shared" si="363"/>
        <v>180000</v>
      </c>
      <c r="P4244" s="15">
        <f t="shared" si="362"/>
        <v>18.93939393939392</v>
      </c>
      <c r="Q4244" s="25">
        <v>20000</v>
      </c>
      <c r="R4244" s="22">
        <v>48</v>
      </c>
      <c r="S4244" s="22" t="s">
        <v>5155</v>
      </c>
      <c r="T4244" s="22">
        <f t="shared" si="364"/>
        <v>2</v>
      </c>
      <c r="U4244" s="22">
        <f t="shared" si="365"/>
        <v>2022</v>
      </c>
      <c r="V4244" s="22" t="str">
        <f t="shared" si="366"/>
        <v>REGIONES</v>
      </c>
    </row>
    <row r="4245" spans="1:22" x14ac:dyDescent="0.2">
      <c r="A4245" s="23" t="s">
        <v>5148</v>
      </c>
      <c r="B4245" s="22" t="s">
        <v>33</v>
      </c>
      <c r="C4245" s="22" t="s">
        <v>44</v>
      </c>
      <c r="D4245" s="22" t="s">
        <v>191</v>
      </c>
      <c r="E4245" s="24" t="s">
        <v>192</v>
      </c>
      <c r="F4245" s="22" t="s">
        <v>1105</v>
      </c>
      <c r="G4245" s="25">
        <v>12450.4</v>
      </c>
      <c r="H4245" s="22" t="s">
        <v>85</v>
      </c>
      <c r="I4245" s="22">
        <v>1</v>
      </c>
      <c r="J4245" s="22" t="s">
        <v>1105</v>
      </c>
      <c r="K4245" s="22" t="s">
        <v>873</v>
      </c>
      <c r="L4245" s="22">
        <v>0</v>
      </c>
      <c r="M4245" s="26">
        <v>950000</v>
      </c>
      <c r="N4245" s="26">
        <v>0</v>
      </c>
      <c r="O4245" s="15">
        <f t="shared" si="363"/>
        <v>950000</v>
      </c>
      <c r="P4245" s="15">
        <f t="shared" si="362"/>
        <v>76.302769388935303</v>
      </c>
      <c r="Q4245" s="25">
        <v>20000</v>
      </c>
      <c r="R4245" s="22">
        <v>62</v>
      </c>
      <c r="S4245" s="22" t="s">
        <v>5156</v>
      </c>
      <c r="T4245" s="22">
        <f t="shared" si="364"/>
        <v>2</v>
      </c>
      <c r="U4245" s="22">
        <f t="shared" si="365"/>
        <v>2022</v>
      </c>
      <c r="V4245" s="22" t="str">
        <f t="shared" si="366"/>
        <v>REGIONES</v>
      </c>
    </row>
    <row r="4246" spans="1:22" x14ac:dyDescent="0.2">
      <c r="A4246" s="23" t="s">
        <v>5148</v>
      </c>
      <c r="B4246" s="22" t="s">
        <v>33</v>
      </c>
      <c r="C4246" s="22" t="s">
        <v>44</v>
      </c>
      <c r="D4246" s="22" t="s">
        <v>45</v>
      </c>
      <c r="E4246" s="24" t="s">
        <v>21</v>
      </c>
      <c r="F4246" s="22" t="s">
        <v>95</v>
      </c>
      <c r="G4246" s="25">
        <v>4211.2</v>
      </c>
      <c r="H4246" s="22" t="s">
        <v>22</v>
      </c>
      <c r="I4246" s="22">
        <v>0</v>
      </c>
      <c r="J4246" s="22" t="s">
        <v>95</v>
      </c>
      <c r="K4246" s="22" t="s">
        <v>23</v>
      </c>
      <c r="L4246" s="22">
        <v>4</v>
      </c>
      <c r="M4246" s="26">
        <v>55000</v>
      </c>
      <c r="N4246" s="26">
        <v>0</v>
      </c>
      <c r="O4246" s="15">
        <f t="shared" ref="O4246:O4277" si="367">SUM(M4246:N4246)</f>
        <v>55000</v>
      </c>
      <c r="P4246" s="15">
        <f t="shared" si="362"/>
        <v>13.060410334346505</v>
      </c>
      <c r="Q4246" s="25">
        <v>5000</v>
      </c>
      <c r="R4246" s="22">
        <v>84</v>
      </c>
      <c r="S4246" s="22" t="s">
        <v>5157</v>
      </c>
      <c r="T4246" s="22">
        <f t="shared" si="364"/>
        <v>2</v>
      </c>
      <c r="U4246" s="22">
        <f t="shared" si="365"/>
        <v>2022</v>
      </c>
      <c r="V4246" s="22" t="str">
        <f t="shared" si="366"/>
        <v>METROPOLITANA</v>
      </c>
    </row>
    <row r="4247" spans="1:22" x14ac:dyDescent="0.2">
      <c r="A4247" s="23" t="s">
        <v>5148</v>
      </c>
      <c r="B4247" s="22" t="s">
        <v>33</v>
      </c>
      <c r="C4247" s="22" t="s">
        <v>44</v>
      </c>
      <c r="D4247" s="22" t="s">
        <v>47</v>
      </c>
      <c r="E4247" s="24" t="s">
        <v>1576</v>
      </c>
      <c r="F4247" s="22" t="s">
        <v>48</v>
      </c>
      <c r="G4247" s="25">
        <v>2763.34</v>
      </c>
      <c r="H4247" s="22" t="s">
        <v>22</v>
      </c>
      <c r="I4247" s="22">
        <v>0</v>
      </c>
      <c r="J4247" s="22" t="s">
        <v>48</v>
      </c>
      <c r="K4247" s="22" t="s">
        <v>23</v>
      </c>
      <c r="L4247" s="22">
        <v>1</v>
      </c>
      <c r="M4247" s="26">
        <v>55000</v>
      </c>
      <c r="N4247" s="26">
        <v>0</v>
      </c>
      <c r="O4247" s="15">
        <f t="shared" si="367"/>
        <v>55000</v>
      </c>
      <c r="P4247" s="15">
        <f t="shared" si="362"/>
        <v>19.903450172617195</v>
      </c>
      <c r="Q4247" s="25">
        <v>5000</v>
      </c>
      <c r="R4247" s="22">
        <v>55</v>
      </c>
      <c r="S4247" s="22" t="s">
        <v>5158</v>
      </c>
      <c r="T4247" s="22">
        <f t="shared" si="364"/>
        <v>2</v>
      </c>
      <c r="U4247" s="22">
        <f t="shared" si="365"/>
        <v>2022</v>
      </c>
      <c r="V4247" s="22" t="str">
        <f t="shared" si="366"/>
        <v>METROPOLITANA</v>
      </c>
    </row>
    <row r="4248" spans="1:22" x14ac:dyDescent="0.2">
      <c r="A4248" s="23" t="s">
        <v>5148</v>
      </c>
      <c r="B4248" s="22" t="s">
        <v>33</v>
      </c>
      <c r="C4248" s="22" t="s">
        <v>44</v>
      </c>
      <c r="D4248" s="22" t="s">
        <v>20</v>
      </c>
      <c r="E4248" s="24" t="s">
        <v>21</v>
      </c>
      <c r="F4248" s="22" t="s">
        <v>26</v>
      </c>
      <c r="G4248" s="25">
        <v>3576.6000000000008</v>
      </c>
      <c r="H4248" s="22" t="s">
        <v>22</v>
      </c>
      <c r="I4248" s="22">
        <v>0</v>
      </c>
      <c r="J4248" s="22" t="s">
        <v>26</v>
      </c>
      <c r="K4248" s="22" t="s">
        <v>23</v>
      </c>
      <c r="L4248" s="22">
        <v>4</v>
      </c>
      <c r="M4248" s="26">
        <v>55000</v>
      </c>
      <c r="N4248" s="26">
        <v>0</v>
      </c>
      <c r="O4248" s="15">
        <f t="shared" si="367"/>
        <v>55000</v>
      </c>
      <c r="P4248" s="15">
        <f t="shared" si="362"/>
        <v>15.377733042554377</v>
      </c>
      <c r="Q4248" s="25">
        <v>5000</v>
      </c>
      <c r="R4248" s="22">
        <v>72</v>
      </c>
      <c r="S4248" s="22" t="s">
        <v>5159</v>
      </c>
      <c r="T4248" s="22">
        <f t="shared" si="364"/>
        <v>2</v>
      </c>
      <c r="U4248" s="22">
        <f t="shared" si="365"/>
        <v>2022</v>
      </c>
      <c r="V4248" s="22" t="str">
        <f t="shared" si="366"/>
        <v>METROPOLITANA</v>
      </c>
    </row>
    <row r="4249" spans="1:22" x14ac:dyDescent="0.2">
      <c r="A4249" s="11" t="s">
        <v>5160</v>
      </c>
      <c r="B4249" s="12" t="s">
        <v>33</v>
      </c>
      <c r="C4249" s="12" t="s">
        <v>4331</v>
      </c>
      <c r="D4249" s="12" t="s">
        <v>37</v>
      </c>
      <c r="E4249" s="13" t="s">
        <v>40</v>
      </c>
      <c r="F4249" s="12" t="s">
        <v>161</v>
      </c>
      <c r="G4249" s="14">
        <v>5925</v>
      </c>
      <c r="H4249" s="12" t="s">
        <v>22</v>
      </c>
      <c r="I4249" s="12">
        <v>0</v>
      </c>
      <c r="J4249" s="12" t="s">
        <v>161</v>
      </c>
      <c r="K4249" s="12" t="s">
        <v>23</v>
      </c>
      <c r="L4249" s="12">
        <v>5</v>
      </c>
      <c r="M4249" s="15">
        <v>70000</v>
      </c>
      <c r="N4249" s="15">
        <v>0</v>
      </c>
      <c r="O4249" s="15">
        <f t="shared" si="367"/>
        <v>70000</v>
      </c>
      <c r="P4249" s="15">
        <f t="shared" si="362"/>
        <v>11.814345991561181</v>
      </c>
      <c r="Q4249" s="14">
        <v>10000</v>
      </c>
      <c r="R4249" s="12">
        <v>59</v>
      </c>
      <c r="S4249" s="12" t="s">
        <v>5161</v>
      </c>
      <c r="T4249" s="22">
        <f t="shared" si="364"/>
        <v>3</v>
      </c>
      <c r="U4249" s="22">
        <f t="shared" si="365"/>
        <v>2022</v>
      </c>
      <c r="V4249" s="22" t="str">
        <f t="shared" si="366"/>
        <v>METROPOLITANA</v>
      </c>
    </row>
    <row r="4250" spans="1:22" x14ac:dyDescent="0.2">
      <c r="A4250" s="11" t="s">
        <v>5160</v>
      </c>
      <c r="B4250" s="12" t="s">
        <v>33</v>
      </c>
      <c r="C4250" s="12" t="s">
        <v>29</v>
      </c>
      <c r="D4250" s="12" t="s">
        <v>37</v>
      </c>
      <c r="E4250" s="13" t="s">
        <v>40</v>
      </c>
      <c r="F4250" s="12" t="s">
        <v>39</v>
      </c>
      <c r="G4250" s="14">
        <v>4752</v>
      </c>
      <c r="H4250" s="12" t="s">
        <v>22</v>
      </c>
      <c r="I4250" s="12">
        <v>0</v>
      </c>
      <c r="J4250" s="12" t="s">
        <v>39</v>
      </c>
      <c r="K4250" s="12" t="s">
        <v>23</v>
      </c>
      <c r="L4250" s="12">
        <v>1</v>
      </c>
      <c r="M4250" s="15">
        <v>55000</v>
      </c>
      <c r="N4250" s="15">
        <v>0</v>
      </c>
      <c r="O4250" s="15">
        <f t="shared" si="367"/>
        <v>55000</v>
      </c>
      <c r="P4250" s="15">
        <f t="shared" si="362"/>
        <v>11.574074074074074</v>
      </c>
      <c r="Q4250" s="14">
        <v>5000</v>
      </c>
      <c r="R4250" s="12">
        <v>95</v>
      </c>
      <c r="S4250" s="12" t="s">
        <v>5162</v>
      </c>
      <c r="T4250" s="22">
        <f t="shared" si="364"/>
        <v>3</v>
      </c>
      <c r="U4250" s="22">
        <f t="shared" si="365"/>
        <v>2022</v>
      </c>
      <c r="V4250" s="22" t="str">
        <f t="shared" si="366"/>
        <v>METROPOLITANA</v>
      </c>
    </row>
    <row r="4251" spans="1:22" x14ac:dyDescent="0.2">
      <c r="A4251" s="11" t="s">
        <v>5160</v>
      </c>
      <c r="B4251" s="12" t="s">
        <v>33</v>
      </c>
      <c r="C4251" s="12" t="s">
        <v>29</v>
      </c>
      <c r="D4251" s="12" t="s">
        <v>164</v>
      </c>
      <c r="E4251" s="13" t="s">
        <v>1576</v>
      </c>
      <c r="F4251" s="12" t="s">
        <v>39</v>
      </c>
      <c r="G4251" s="14">
        <v>19853.400000000001</v>
      </c>
      <c r="H4251" s="12" t="s">
        <v>22</v>
      </c>
      <c r="I4251" s="12">
        <v>1</v>
      </c>
      <c r="J4251" s="12" t="s">
        <v>39</v>
      </c>
      <c r="K4251" s="12" t="s">
        <v>23</v>
      </c>
      <c r="L4251" s="12">
        <v>1</v>
      </c>
      <c r="M4251" s="15">
        <v>218387</v>
      </c>
      <c r="N4251" s="15">
        <v>0</v>
      </c>
      <c r="O4251" s="15">
        <f t="shared" si="367"/>
        <v>218387</v>
      </c>
      <c r="P4251" s="15">
        <f t="shared" si="362"/>
        <v>10.999979852317486</v>
      </c>
      <c r="Q4251" s="14">
        <v>5000</v>
      </c>
      <c r="R4251" s="12">
        <v>100</v>
      </c>
      <c r="S4251" s="12" t="s">
        <v>5163</v>
      </c>
      <c r="T4251" s="22">
        <f t="shared" si="364"/>
        <v>3</v>
      </c>
      <c r="U4251" s="22">
        <f t="shared" si="365"/>
        <v>2022</v>
      </c>
      <c r="V4251" s="22" t="str">
        <f t="shared" si="366"/>
        <v>METROPOLITANA</v>
      </c>
    </row>
    <row r="4252" spans="1:22" x14ac:dyDescent="0.2">
      <c r="A4252" s="11" t="s">
        <v>5160</v>
      </c>
      <c r="B4252" s="12" t="s">
        <v>33</v>
      </c>
      <c r="C4252" s="12" t="s">
        <v>44</v>
      </c>
      <c r="D4252" s="12" t="s">
        <v>38</v>
      </c>
      <c r="E4252" s="13" t="s">
        <v>42</v>
      </c>
      <c r="F4252" s="12" t="s">
        <v>229</v>
      </c>
      <c r="G4252" s="14">
        <v>3952</v>
      </c>
      <c r="H4252" s="12" t="s">
        <v>43</v>
      </c>
      <c r="I4252" s="12">
        <v>0</v>
      </c>
      <c r="J4252" s="12" t="s">
        <v>230</v>
      </c>
      <c r="K4252" s="12" t="s">
        <v>23</v>
      </c>
      <c r="L4252" s="12">
        <v>4</v>
      </c>
      <c r="M4252" s="15">
        <v>55000</v>
      </c>
      <c r="N4252" s="15">
        <v>0</v>
      </c>
      <c r="O4252" s="15">
        <f t="shared" si="367"/>
        <v>55000</v>
      </c>
      <c r="P4252" s="15">
        <f t="shared" si="362"/>
        <v>13.917004048582996</v>
      </c>
      <c r="Q4252" s="14">
        <v>5000</v>
      </c>
      <c r="R4252" s="12">
        <v>79</v>
      </c>
      <c r="S4252" s="12" t="s">
        <v>5164</v>
      </c>
      <c r="T4252" s="22">
        <f t="shared" si="364"/>
        <v>3</v>
      </c>
      <c r="U4252" s="22">
        <f t="shared" si="365"/>
        <v>2022</v>
      </c>
      <c r="V4252" s="22" t="str">
        <f t="shared" si="366"/>
        <v>METROPOLITANA</v>
      </c>
    </row>
    <row r="4253" spans="1:22" x14ac:dyDescent="0.2">
      <c r="A4253" s="11" t="s">
        <v>5160</v>
      </c>
      <c r="B4253" s="12" t="s">
        <v>33</v>
      </c>
      <c r="C4253" s="12" t="s">
        <v>44</v>
      </c>
      <c r="D4253" s="12" t="s">
        <v>47</v>
      </c>
      <c r="E4253" s="13" t="s">
        <v>1576</v>
      </c>
      <c r="F4253" s="12" t="s">
        <v>48</v>
      </c>
      <c r="G4253" s="14">
        <f>5246.6+2251</f>
        <v>7497.6</v>
      </c>
      <c r="H4253" s="12" t="s">
        <v>22</v>
      </c>
      <c r="I4253" s="12">
        <v>0</v>
      </c>
      <c r="J4253" s="12" t="s">
        <v>48</v>
      </c>
      <c r="K4253" s="12" t="s">
        <v>23</v>
      </c>
      <c r="L4253" s="12">
        <v>1</v>
      </c>
      <c r="M4253" s="15">
        <v>57713</v>
      </c>
      <c r="N4253" s="15">
        <v>0</v>
      </c>
      <c r="O4253" s="15">
        <f t="shared" si="367"/>
        <v>57713</v>
      </c>
      <c r="P4253" s="15">
        <f t="shared" si="362"/>
        <v>7.6975298762270592</v>
      </c>
      <c r="Q4253" s="14">
        <v>5000</v>
      </c>
      <c r="R4253" s="12">
        <v>100</v>
      </c>
      <c r="S4253" s="12" t="s">
        <v>5165</v>
      </c>
      <c r="T4253" s="22">
        <f t="shared" si="364"/>
        <v>3</v>
      </c>
      <c r="U4253" s="22">
        <f t="shared" si="365"/>
        <v>2022</v>
      </c>
      <c r="V4253" s="22" t="str">
        <f t="shared" si="366"/>
        <v>METROPOLITANA</v>
      </c>
    </row>
    <row r="4254" spans="1:22" x14ac:dyDescent="0.2">
      <c r="A4254" s="23" t="s">
        <v>5166</v>
      </c>
      <c r="B4254" s="22" t="s">
        <v>18</v>
      </c>
      <c r="C4254" s="22" t="s">
        <v>19</v>
      </c>
      <c r="D4254" s="22" t="s">
        <v>4247</v>
      </c>
      <c r="E4254" s="24" t="s">
        <v>62</v>
      </c>
      <c r="F4254" s="22" t="s">
        <v>481</v>
      </c>
      <c r="G4254" s="25">
        <f>4872.22+6350</f>
        <v>11222.220000000001</v>
      </c>
      <c r="H4254" s="22" t="s">
        <v>24</v>
      </c>
      <c r="I4254" s="22">
        <v>1</v>
      </c>
      <c r="J4254" s="22" t="s">
        <v>481</v>
      </c>
      <c r="K4254" s="22" t="s">
        <v>93</v>
      </c>
      <c r="L4254" s="22">
        <v>0</v>
      </c>
      <c r="M4254" s="26">
        <v>800000</v>
      </c>
      <c r="N4254" s="26">
        <v>0</v>
      </c>
      <c r="O4254" s="15">
        <f t="shared" si="367"/>
        <v>800000</v>
      </c>
      <c r="P4254" s="15">
        <f t="shared" si="362"/>
        <v>71.287142829137181</v>
      </c>
      <c r="Q4254" s="25">
        <v>20000</v>
      </c>
      <c r="R4254" s="22">
        <v>85</v>
      </c>
      <c r="S4254" s="22" t="s">
        <v>5176</v>
      </c>
      <c r="T4254" s="22">
        <f t="shared" si="364"/>
        <v>3</v>
      </c>
      <c r="U4254" s="22">
        <f t="shared" si="365"/>
        <v>2022</v>
      </c>
      <c r="V4254" s="22" t="str">
        <f t="shared" si="366"/>
        <v>REGIONES</v>
      </c>
    </row>
    <row r="4255" spans="1:22" x14ac:dyDescent="0.2">
      <c r="A4255" s="23" t="s">
        <v>5166</v>
      </c>
      <c r="B4255" s="22" t="s">
        <v>33</v>
      </c>
      <c r="C4255" s="22" t="s">
        <v>2431</v>
      </c>
      <c r="D4255" s="22" t="s">
        <v>2955</v>
      </c>
      <c r="E4255" s="24" t="s">
        <v>2956</v>
      </c>
      <c r="F4255" s="22" t="s">
        <v>67</v>
      </c>
      <c r="G4255" s="25">
        <v>14075</v>
      </c>
      <c r="H4255" s="22" t="s">
        <v>24</v>
      </c>
      <c r="I4255" s="22">
        <v>1</v>
      </c>
      <c r="J4255" s="22" t="s">
        <v>67</v>
      </c>
      <c r="K4255" s="22" t="s">
        <v>23</v>
      </c>
      <c r="L4255" s="22">
        <v>2</v>
      </c>
      <c r="M4255" s="26">
        <v>154825</v>
      </c>
      <c r="N4255" s="26">
        <v>0</v>
      </c>
      <c r="O4255" s="15">
        <f t="shared" si="367"/>
        <v>154825</v>
      </c>
      <c r="P4255" s="15">
        <f t="shared" si="362"/>
        <v>11</v>
      </c>
      <c r="Q4255" s="25">
        <v>5000</v>
      </c>
      <c r="R4255" s="22">
        <v>100</v>
      </c>
      <c r="S4255" s="22" t="s">
        <v>5167</v>
      </c>
      <c r="T4255" s="22">
        <f t="shared" si="364"/>
        <v>3</v>
      </c>
      <c r="U4255" s="22">
        <f t="shared" si="365"/>
        <v>2022</v>
      </c>
      <c r="V4255" s="22" t="str">
        <f t="shared" si="366"/>
        <v>METROPOLITANA</v>
      </c>
    </row>
    <row r="4256" spans="1:22" x14ac:dyDescent="0.2">
      <c r="A4256" s="23" t="s">
        <v>5166</v>
      </c>
      <c r="B4256" s="22" t="s">
        <v>33</v>
      </c>
      <c r="C4256" s="22" t="s">
        <v>36</v>
      </c>
      <c r="D4256" s="22" t="s">
        <v>45</v>
      </c>
      <c r="E4256" s="24" t="s">
        <v>52</v>
      </c>
      <c r="F4256" s="22" t="s">
        <v>182</v>
      </c>
      <c r="G4256" s="25">
        <v>5488.800000000002</v>
      </c>
      <c r="H4256" s="22" t="s">
        <v>22</v>
      </c>
      <c r="I4256" s="22">
        <v>0</v>
      </c>
      <c r="J4256" s="22" t="s">
        <v>182</v>
      </c>
      <c r="K4256" s="22" t="s">
        <v>23</v>
      </c>
      <c r="L4256" s="22">
        <v>4</v>
      </c>
      <c r="M4256" s="26">
        <v>60377</v>
      </c>
      <c r="N4256" s="26">
        <v>0</v>
      </c>
      <c r="O4256" s="15">
        <f t="shared" si="367"/>
        <v>60377</v>
      </c>
      <c r="P4256" s="15">
        <f t="shared" si="362"/>
        <v>11.000036437837046</v>
      </c>
      <c r="Q4256" s="25">
        <v>5000</v>
      </c>
      <c r="R4256" s="22">
        <v>100</v>
      </c>
      <c r="S4256" s="22" t="s">
        <v>5168</v>
      </c>
      <c r="T4256" s="22">
        <f t="shared" si="364"/>
        <v>3</v>
      </c>
      <c r="U4256" s="22">
        <f t="shared" si="365"/>
        <v>2022</v>
      </c>
      <c r="V4256" s="22" t="str">
        <f t="shared" si="366"/>
        <v>METROPOLITANA</v>
      </c>
    </row>
    <row r="4257" spans="1:22" x14ac:dyDescent="0.2">
      <c r="A4257" s="23" t="s">
        <v>5166</v>
      </c>
      <c r="B4257" s="22" t="s">
        <v>33</v>
      </c>
      <c r="C4257" s="22" t="s">
        <v>36</v>
      </c>
      <c r="D4257" s="22" t="s">
        <v>47</v>
      </c>
      <c r="E4257" s="24" t="s">
        <v>2113</v>
      </c>
      <c r="F4257" s="22" t="s">
        <v>308</v>
      </c>
      <c r="G4257" s="25">
        <v>5563.6</v>
      </c>
      <c r="H4257" s="22" t="s">
        <v>22</v>
      </c>
      <c r="I4257" s="22">
        <v>0</v>
      </c>
      <c r="J4257" s="22" t="s">
        <v>308</v>
      </c>
      <c r="K4257" s="22" t="s">
        <v>78</v>
      </c>
      <c r="L4257" s="22">
        <v>0</v>
      </c>
      <c r="M4257" s="26">
        <v>180000</v>
      </c>
      <c r="N4257" s="26">
        <v>0</v>
      </c>
      <c r="O4257" s="15">
        <f t="shared" si="367"/>
        <v>180000</v>
      </c>
      <c r="P4257" s="15">
        <f t="shared" ref="P4257:P4320" si="368">O4257/G4257</f>
        <v>32.353152634984539</v>
      </c>
      <c r="Q4257" s="25">
        <v>20000</v>
      </c>
      <c r="R4257" s="22">
        <v>28</v>
      </c>
      <c r="S4257" s="22" t="s">
        <v>5169</v>
      </c>
      <c r="T4257" s="22">
        <f t="shared" si="364"/>
        <v>3</v>
      </c>
      <c r="U4257" s="22">
        <f t="shared" si="365"/>
        <v>2022</v>
      </c>
      <c r="V4257" s="22" t="str">
        <f t="shared" si="366"/>
        <v>REGIONES</v>
      </c>
    </row>
    <row r="4258" spans="1:22" x14ac:dyDescent="0.2">
      <c r="A4258" s="23" t="s">
        <v>5166</v>
      </c>
      <c r="B4258" s="22" t="s">
        <v>33</v>
      </c>
      <c r="C4258" s="22" t="s">
        <v>29</v>
      </c>
      <c r="D4258" s="22" t="s">
        <v>38</v>
      </c>
      <c r="E4258" s="24" t="s">
        <v>42</v>
      </c>
      <c r="F4258" s="22" t="s">
        <v>39</v>
      </c>
      <c r="G4258" s="25">
        <v>2748</v>
      </c>
      <c r="H4258" s="22" t="s">
        <v>43</v>
      </c>
      <c r="I4258" s="22">
        <v>0</v>
      </c>
      <c r="J4258" s="22" t="s">
        <v>39</v>
      </c>
      <c r="K4258" s="22" t="s">
        <v>23</v>
      </c>
      <c r="L4258" s="22">
        <v>1</v>
      </c>
      <c r="M4258" s="26">
        <v>55000</v>
      </c>
      <c r="N4258" s="26">
        <v>0</v>
      </c>
      <c r="O4258" s="15">
        <f t="shared" si="367"/>
        <v>55000</v>
      </c>
      <c r="P4258" s="15">
        <f t="shared" si="368"/>
        <v>20.014556040756915</v>
      </c>
      <c r="Q4258" s="25">
        <v>5000</v>
      </c>
      <c r="R4258" s="22">
        <v>55</v>
      </c>
      <c r="S4258" s="22" t="s">
        <v>5170</v>
      </c>
      <c r="T4258" s="22">
        <f t="shared" si="364"/>
        <v>3</v>
      </c>
      <c r="U4258" s="22">
        <f t="shared" si="365"/>
        <v>2022</v>
      </c>
      <c r="V4258" s="22" t="str">
        <f t="shared" si="366"/>
        <v>METROPOLITANA</v>
      </c>
    </row>
    <row r="4259" spans="1:22" x14ac:dyDescent="0.2">
      <c r="A4259" s="23" t="s">
        <v>5166</v>
      </c>
      <c r="B4259" s="22" t="s">
        <v>33</v>
      </c>
      <c r="C4259" s="22" t="s">
        <v>29</v>
      </c>
      <c r="D4259" s="22" t="s">
        <v>37</v>
      </c>
      <c r="E4259" s="24" t="s">
        <v>40</v>
      </c>
      <c r="F4259" s="22" t="s">
        <v>39</v>
      </c>
      <c r="G4259" s="25">
        <v>2748</v>
      </c>
      <c r="H4259" s="22" t="s">
        <v>22</v>
      </c>
      <c r="I4259" s="22">
        <v>0</v>
      </c>
      <c r="J4259" s="22" t="s">
        <v>39</v>
      </c>
      <c r="K4259" s="22" t="s">
        <v>23</v>
      </c>
      <c r="L4259" s="22">
        <v>1</v>
      </c>
      <c r="M4259" s="26">
        <v>55000</v>
      </c>
      <c r="N4259" s="26">
        <v>0</v>
      </c>
      <c r="O4259" s="15">
        <f t="shared" si="367"/>
        <v>55000</v>
      </c>
      <c r="P4259" s="15">
        <f t="shared" si="368"/>
        <v>20.014556040756915</v>
      </c>
      <c r="Q4259" s="25">
        <v>5000</v>
      </c>
      <c r="R4259" s="22">
        <v>55</v>
      </c>
      <c r="S4259" s="22" t="s">
        <v>5171</v>
      </c>
      <c r="T4259" s="22">
        <f t="shared" si="364"/>
        <v>3</v>
      </c>
      <c r="U4259" s="22">
        <f t="shared" si="365"/>
        <v>2022</v>
      </c>
      <c r="V4259" s="22" t="str">
        <f t="shared" si="366"/>
        <v>METROPOLITANA</v>
      </c>
    </row>
    <row r="4260" spans="1:22" x14ac:dyDescent="0.2">
      <c r="A4260" s="23" t="s">
        <v>5166</v>
      </c>
      <c r="B4260" s="22" t="s">
        <v>33</v>
      </c>
      <c r="C4260" s="22" t="s">
        <v>29</v>
      </c>
      <c r="D4260" s="22" t="s">
        <v>164</v>
      </c>
      <c r="E4260" s="24" t="s">
        <v>1576</v>
      </c>
      <c r="F4260" s="22" t="s">
        <v>39</v>
      </c>
      <c r="G4260" s="25">
        <v>8244.0000000000036</v>
      </c>
      <c r="H4260" s="22" t="s">
        <v>22</v>
      </c>
      <c r="I4260" s="22">
        <v>1</v>
      </c>
      <c r="J4260" s="22" t="s">
        <v>39</v>
      </c>
      <c r="K4260" s="22" t="s">
        <v>23</v>
      </c>
      <c r="L4260" s="22">
        <v>1</v>
      </c>
      <c r="M4260" s="26">
        <v>90684</v>
      </c>
      <c r="N4260" s="26">
        <v>0</v>
      </c>
      <c r="O4260" s="15">
        <f t="shared" si="367"/>
        <v>90684</v>
      </c>
      <c r="P4260" s="15">
        <f t="shared" si="368"/>
        <v>10.999999999999995</v>
      </c>
      <c r="Q4260" s="25">
        <v>5000</v>
      </c>
      <c r="R4260" s="22">
        <v>100</v>
      </c>
      <c r="S4260" s="22" t="s">
        <v>5172</v>
      </c>
      <c r="T4260" s="22">
        <f t="shared" si="364"/>
        <v>3</v>
      </c>
      <c r="U4260" s="22">
        <f t="shared" si="365"/>
        <v>2022</v>
      </c>
      <c r="V4260" s="22" t="str">
        <f t="shared" si="366"/>
        <v>METROPOLITANA</v>
      </c>
    </row>
    <row r="4261" spans="1:22" x14ac:dyDescent="0.2">
      <c r="A4261" s="23" t="s">
        <v>5166</v>
      </c>
      <c r="B4261" s="22" t="s">
        <v>33</v>
      </c>
      <c r="C4261" s="22" t="s">
        <v>44</v>
      </c>
      <c r="D4261" s="22" t="s">
        <v>786</v>
      </c>
      <c r="E4261" s="24" t="s">
        <v>787</v>
      </c>
      <c r="F4261" s="22" t="s">
        <v>114</v>
      </c>
      <c r="G4261" s="25">
        <v>18793.2</v>
      </c>
      <c r="H4261" s="22" t="s">
        <v>788</v>
      </c>
      <c r="I4261" s="22">
        <v>1</v>
      </c>
      <c r="J4261" s="22" t="s">
        <v>114</v>
      </c>
      <c r="K4261" s="22" t="s">
        <v>75</v>
      </c>
      <c r="L4261" s="22">
        <v>0</v>
      </c>
      <c r="M4261" s="26">
        <v>480000</v>
      </c>
      <c r="N4261" s="26">
        <v>0</v>
      </c>
      <c r="O4261" s="15">
        <f t="shared" si="367"/>
        <v>480000</v>
      </c>
      <c r="P4261" s="15">
        <f t="shared" si="368"/>
        <v>25.541153183066214</v>
      </c>
      <c r="Q4261" s="25">
        <v>20000</v>
      </c>
      <c r="R4261" s="22">
        <v>94</v>
      </c>
      <c r="S4261" s="22" t="s">
        <v>5175</v>
      </c>
      <c r="T4261" s="22">
        <f t="shared" si="364"/>
        <v>3</v>
      </c>
      <c r="U4261" s="22">
        <f t="shared" si="365"/>
        <v>2022</v>
      </c>
      <c r="V4261" s="22" t="str">
        <f t="shared" si="366"/>
        <v>REGIONES</v>
      </c>
    </row>
    <row r="4262" spans="1:22" x14ac:dyDescent="0.2">
      <c r="A4262" s="23" t="s">
        <v>5166</v>
      </c>
      <c r="B4262" s="22" t="s">
        <v>33</v>
      </c>
      <c r="C4262" s="22" t="s">
        <v>44</v>
      </c>
      <c r="D4262" s="22" t="s">
        <v>5174</v>
      </c>
      <c r="E4262" s="24" t="s">
        <v>5173</v>
      </c>
      <c r="F4262" s="22" t="s">
        <v>84</v>
      </c>
      <c r="G4262" s="25">
        <f>7365.6+1426</f>
        <v>8791.6</v>
      </c>
      <c r="H4262" s="22" t="s">
        <v>24</v>
      </c>
      <c r="I4262" s="22">
        <v>1</v>
      </c>
      <c r="J4262" s="22" t="s">
        <v>84</v>
      </c>
      <c r="K4262" s="22" t="s">
        <v>86</v>
      </c>
      <c r="L4262" s="22">
        <v>0</v>
      </c>
      <c r="M4262" s="26">
        <v>330000</v>
      </c>
      <c r="N4262" s="26">
        <v>0</v>
      </c>
      <c r="O4262" s="15">
        <f t="shared" si="367"/>
        <v>330000</v>
      </c>
      <c r="P4262" s="15">
        <f t="shared" si="368"/>
        <v>37.535829655580322</v>
      </c>
      <c r="Q4262" s="25">
        <v>20000</v>
      </c>
      <c r="R4262" s="22">
        <v>70</v>
      </c>
      <c r="S4262" s="22" t="s">
        <v>5177</v>
      </c>
      <c r="T4262" s="22">
        <f t="shared" si="364"/>
        <v>3</v>
      </c>
      <c r="U4262" s="22">
        <f t="shared" si="365"/>
        <v>2022</v>
      </c>
      <c r="V4262" s="22" t="str">
        <f t="shared" si="366"/>
        <v>REGIONES</v>
      </c>
    </row>
    <row r="4263" spans="1:22" x14ac:dyDescent="0.2">
      <c r="A4263" s="11" t="s">
        <v>5178</v>
      </c>
      <c r="B4263" s="12" t="s">
        <v>33</v>
      </c>
      <c r="C4263" s="12" t="s">
        <v>19</v>
      </c>
      <c r="D4263" s="12" t="s">
        <v>38</v>
      </c>
      <c r="E4263" s="13" t="s">
        <v>42</v>
      </c>
      <c r="F4263" s="12" t="s">
        <v>137</v>
      </c>
      <c r="G4263" s="14">
        <v>6901.7000000000016</v>
      </c>
      <c r="H4263" s="12" t="s">
        <v>43</v>
      </c>
      <c r="I4263" s="12">
        <v>0</v>
      </c>
      <c r="J4263" s="12" t="s">
        <v>137</v>
      </c>
      <c r="K4263" s="12" t="s">
        <v>23</v>
      </c>
      <c r="L4263" s="12">
        <v>1</v>
      </c>
      <c r="M4263" s="15">
        <v>75919</v>
      </c>
      <c r="N4263" s="15">
        <v>0</v>
      </c>
      <c r="O4263" s="15">
        <f t="shared" si="367"/>
        <v>75919</v>
      </c>
      <c r="P4263" s="15">
        <f t="shared" si="368"/>
        <v>11.000043467551469</v>
      </c>
      <c r="Q4263" s="14">
        <v>5000</v>
      </c>
      <c r="R4263" s="12">
        <v>100</v>
      </c>
      <c r="S4263" s="12" t="s">
        <v>5179</v>
      </c>
      <c r="T4263" s="22">
        <f t="shared" si="364"/>
        <v>3</v>
      </c>
      <c r="U4263" s="22">
        <f t="shared" si="365"/>
        <v>2022</v>
      </c>
      <c r="V4263" s="22" t="str">
        <f t="shared" si="366"/>
        <v>METROPOLITANA</v>
      </c>
    </row>
    <row r="4264" spans="1:22" x14ac:dyDescent="0.2">
      <c r="A4264" s="11" t="s">
        <v>5178</v>
      </c>
      <c r="B4264" s="12" t="s">
        <v>33</v>
      </c>
      <c r="C4264" s="12" t="s">
        <v>36</v>
      </c>
      <c r="D4264" s="12" t="s">
        <v>38</v>
      </c>
      <c r="E4264" s="13" t="s">
        <v>42</v>
      </c>
      <c r="F4264" s="12" t="s">
        <v>46</v>
      </c>
      <c r="G4264" s="14">
        <v>5699.2000000000025</v>
      </c>
      <c r="H4264" s="12" t="s">
        <v>43</v>
      </c>
      <c r="I4264" s="12">
        <v>0</v>
      </c>
      <c r="J4264" s="12" t="s">
        <v>46</v>
      </c>
      <c r="K4264" s="12" t="s">
        <v>23</v>
      </c>
      <c r="L4264" s="12">
        <v>2</v>
      </c>
      <c r="M4264" s="15">
        <v>62691</v>
      </c>
      <c r="N4264" s="15">
        <v>0</v>
      </c>
      <c r="O4264" s="15">
        <f t="shared" si="367"/>
        <v>62691</v>
      </c>
      <c r="P4264" s="15">
        <f t="shared" si="368"/>
        <v>10.999964907355414</v>
      </c>
      <c r="Q4264" s="14">
        <v>5000</v>
      </c>
      <c r="R4264" s="12">
        <v>100</v>
      </c>
      <c r="S4264" s="12" t="s">
        <v>5180</v>
      </c>
      <c r="T4264" s="22">
        <f t="shared" si="364"/>
        <v>3</v>
      </c>
      <c r="U4264" s="22">
        <f t="shared" si="365"/>
        <v>2022</v>
      </c>
      <c r="V4264" s="22" t="str">
        <f t="shared" si="366"/>
        <v>METROPOLITANA</v>
      </c>
    </row>
    <row r="4265" spans="1:22" x14ac:dyDescent="0.2">
      <c r="A4265" s="11" t="s">
        <v>5178</v>
      </c>
      <c r="B4265" s="12" t="s">
        <v>33</v>
      </c>
      <c r="C4265" s="12" t="s">
        <v>36</v>
      </c>
      <c r="D4265" s="12" t="s">
        <v>47</v>
      </c>
      <c r="E4265" s="13" t="s">
        <v>5181</v>
      </c>
      <c r="F4265" s="12" t="s">
        <v>51</v>
      </c>
      <c r="G4265" s="14">
        <f>5226+824</f>
        <v>6050</v>
      </c>
      <c r="H4265" s="12" t="s">
        <v>22</v>
      </c>
      <c r="I4265" s="12">
        <v>0</v>
      </c>
      <c r="J4265" s="12" t="s">
        <v>51</v>
      </c>
      <c r="K4265" s="12" t="s">
        <v>23</v>
      </c>
      <c r="L4265" s="12">
        <v>4</v>
      </c>
      <c r="M4265" s="15">
        <v>57486</v>
      </c>
      <c r="N4265" s="15">
        <v>0</v>
      </c>
      <c r="O4265" s="15">
        <f t="shared" si="367"/>
        <v>57486</v>
      </c>
      <c r="P4265" s="15">
        <f t="shared" si="368"/>
        <v>9.5018181818181819</v>
      </c>
      <c r="Q4265" s="14">
        <v>5000</v>
      </c>
      <c r="R4265" s="12">
        <v>100</v>
      </c>
      <c r="S4265" s="12" t="s">
        <v>5187</v>
      </c>
      <c r="T4265" s="22">
        <f t="shared" si="364"/>
        <v>3</v>
      </c>
      <c r="U4265" s="22">
        <f t="shared" si="365"/>
        <v>2022</v>
      </c>
      <c r="V4265" s="22" t="str">
        <f t="shared" si="366"/>
        <v>METROPOLITANA</v>
      </c>
    </row>
    <row r="4266" spans="1:22" x14ac:dyDescent="0.2">
      <c r="A4266" s="11" t="s">
        <v>5178</v>
      </c>
      <c r="B4266" s="12" t="s">
        <v>33</v>
      </c>
      <c r="C4266" s="12" t="s">
        <v>223</v>
      </c>
      <c r="D4266" s="12" t="s">
        <v>37</v>
      </c>
      <c r="E4266" s="13" t="s">
        <v>40</v>
      </c>
      <c r="F4266" s="12" t="s">
        <v>51</v>
      </c>
      <c r="G4266" s="14">
        <v>10324</v>
      </c>
      <c r="H4266" s="12" t="s">
        <v>22</v>
      </c>
      <c r="I4266" s="12">
        <v>0</v>
      </c>
      <c r="J4266" s="12" t="s">
        <v>51</v>
      </c>
      <c r="K4266" s="12" t="s">
        <v>23</v>
      </c>
      <c r="L4266" s="12">
        <v>4</v>
      </c>
      <c r="M4266" s="15">
        <v>113564</v>
      </c>
      <c r="N4266" s="15">
        <v>0</v>
      </c>
      <c r="O4266" s="15">
        <f t="shared" si="367"/>
        <v>113564</v>
      </c>
      <c r="P4266" s="15">
        <f t="shared" si="368"/>
        <v>11</v>
      </c>
      <c r="Q4266" s="14">
        <v>5000</v>
      </c>
      <c r="R4266" s="12">
        <v>100</v>
      </c>
      <c r="S4266" s="12" t="s">
        <v>5182</v>
      </c>
      <c r="T4266" s="22">
        <f t="shared" si="364"/>
        <v>3</v>
      </c>
      <c r="U4266" s="22">
        <f t="shared" si="365"/>
        <v>2022</v>
      </c>
      <c r="V4266" s="22" t="str">
        <f t="shared" si="366"/>
        <v>METROPOLITANA</v>
      </c>
    </row>
    <row r="4267" spans="1:22" x14ac:dyDescent="0.2">
      <c r="A4267" s="11" t="s">
        <v>5178</v>
      </c>
      <c r="B4267" s="12" t="s">
        <v>33</v>
      </c>
      <c r="C4267" s="12" t="s">
        <v>29</v>
      </c>
      <c r="D4267" s="12" t="s">
        <v>37</v>
      </c>
      <c r="E4267" s="13" t="s">
        <v>40</v>
      </c>
      <c r="F4267" s="12" t="s">
        <v>39</v>
      </c>
      <c r="G4267" s="14">
        <v>2748</v>
      </c>
      <c r="H4267" s="12" t="s">
        <v>22</v>
      </c>
      <c r="I4267" s="12">
        <v>0</v>
      </c>
      <c r="J4267" s="12" t="s">
        <v>39</v>
      </c>
      <c r="K4267" s="12" t="s">
        <v>23</v>
      </c>
      <c r="L4267" s="12">
        <v>1</v>
      </c>
      <c r="M4267" s="15">
        <v>55000</v>
      </c>
      <c r="N4267" s="15">
        <v>0</v>
      </c>
      <c r="O4267" s="15">
        <f t="shared" si="367"/>
        <v>55000</v>
      </c>
      <c r="P4267" s="15">
        <f t="shared" si="368"/>
        <v>20.014556040756915</v>
      </c>
      <c r="Q4267" s="14">
        <v>5000</v>
      </c>
      <c r="R4267" s="12">
        <v>55</v>
      </c>
      <c r="S4267" s="12" t="s">
        <v>5183</v>
      </c>
      <c r="T4267" s="22">
        <f t="shared" si="364"/>
        <v>3</v>
      </c>
      <c r="U4267" s="22">
        <f t="shared" si="365"/>
        <v>2022</v>
      </c>
      <c r="V4267" s="22" t="str">
        <f t="shared" si="366"/>
        <v>METROPOLITANA</v>
      </c>
    </row>
    <row r="4268" spans="1:22" x14ac:dyDescent="0.2">
      <c r="A4268" s="11" t="s">
        <v>5178</v>
      </c>
      <c r="B4268" s="12" t="s">
        <v>33</v>
      </c>
      <c r="C4268" s="12" t="s">
        <v>29</v>
      </c>
      <c r="D4268" s="12" t="s">
        <v>164</v>
      </c>
      <c r="E4268" s="13" t="s">
        <v>1576</v>
      </c>
      <c r="F4268" s="12" t="s">
        <v>39</v>
      </c>
      <c r="G4268" s="14">
        <v>8244.0000000000036</v>
      </c>
      <c r="H4268" s="12" t="s">
        <v>22</v>
      </c>
      <c r="I4268" s="12">
        <v>1</v>
      </c>
      <c r="J4268" s="12" t="s">
        <v>39</v>
      </c>
      <c r="K4268" s="12" t="s">
        <v>23</v>
      </c>
      <c r="L4268" s="12">
        <v>1</v>
      </c>
      <c r="M4268" s="15">
        <v>90684</v>
      </c>
      <c r="N4268" s="15">
        <v>0</v>
      </c>
      <c r="O4268" s="15">
        <f t="shared" si="367"/>
        <v>90684</v>
      </c>
      <c r="P4268" s="15">
        <f t="shared" si="368"/>
        <v>10.999999999999995</v>
      </c>
      <c r="Q4268" s="14">
        <v>5000</v>
      </c>
      <c r="R4268" s="12">
        <v>100</v>
      </c>
      <c r="S4268" s="12" t="s">
        <v>5184</v>
      </c>
      <c r="T4268" s="22">
        <f t="shared" si="364"/>
        <v>3</v>
      </c>
      <c r="U4268" s="22">
        <f t="shared" si="365"/>
        <v>2022</v>
      </c>
      <c r="V4268" s="22" t="str">
        <f t="shared" si="366"/>
        <v>METROPOLITANA</v>
      </c>
    </row>
    <row r="4269" spans="1:22" x14ac:dyDescent="0.2">
      <c r="A4269" s="11" t="s">
        <v>5178</v>
      </c>
      <c r="B4269" s="12" t="s">
        <v>33</v>
      </c>
      <c r="C4269" s="12" t="s">
        <v>29</v>
      </c>
      <c r="D4269" s="12" t="s">
        <v>20</v>
      </c>
      <c r="E4269" s="13" t="s">
        <v>21</v>
      </c>
      <c r="F4269" s="12" t="s">
        <v>39</v>
      </c>
      <c r="G4269" s="14">
        <v>2748</v>
      </c>
      <c r="H4269" s="12" t="s">
        <v>22</v>
      </c>
      <c r="I4269" s="12">
        <v>0</v>
      </c>
      <c r="J4269" s="12" t="s">
        <v>39</v>
      </c>
      <c r="K4269" s="12" t="s">
        <v>23</v>
      </c>
      <c r="L4269" s="12">
        <v>1</v>
      </c>
      <c r="M4269" s="15">
        <v>55000</v>
      </c>
      <c r="N4269" s="15">
        <v>0</v>
      </c>
      <c r="O4269" s="15">
        <f t="shared" si="367"/>
        <v>55000</v>
      </c>
      <c r="P4269" s="15">
        <f t="shared" si="368"/>
        <v>20.014556040756915</v>
      </c>
      <c r="Q4269" s="14">
        <v>5000</v>
      </c>
      <c r="R4269" s="12">
        <v>55</v>
      </c>
      <c r="S4269" s="12" t="s">
        <v>5185</v>
      </c>
      <c r="T4269" s="22">
        <f t="shared" si="364"/>
        <v>3</v>
      </c>
      <c r="U4269" s="22">
        <f t="shared" si="365"/>
        <v>2022</v>
      </c>
      <c r="V4269" s="22" t="str">
        <f t="shared" si="366"/>
        <v>METROPOLITANA</v>
      </c>
    </row>
    <row r="4270" spans="1:22" x14ac:dyDescent="0.2">
      <c r="A4270" s="11" t="s">
        <v>5178</v>
      </c>
      <c r="B4270" s="12" t="s">
        <v>33</v>
      </c>
      <c r="C4270" s="12" t="s">
        <v>29</v>
      </c>
      <c r="D4270" s="12" t="s">
        <v>20</v>
      </c>
      <c r="E4270" s="13" t="s">
        <v>21</v>
      </c>
      <c r="F4270" s="12" t="s">
        <v>129</v>
      </c>
      <c r="G4270" s="14">
        <v>3762.0000000000009</v>
      </c>
      <c r="H4270" s="12" t="s">
        <v>22</v>
      </c>
      <c r="I4270" s="12">
        <v>0</v>
      </c>
      <c r="J4270" s="12" t="s">
        <v>129</v>
      </c>
      <c r="K4270" s="12" t="s">
        <v>23</v>
      </c>
      <c r="L4270" s="12">
        <v>1</v>
      </c>
      <c r="M4270" s="15">
        <v>55000</v>
      </c>
      <c r="N4270" s="15">
        <v>0</v>
      </c>
      <c r="O4270" s="15">
        <f t="shared" si="367"/>
        <v>55000</v>
      </c>
      <c r="P4270" s="15">
        <f t="shared" si="368"/>
        <v>14.619883040935669</v>
      </c>
      <c r="Q4270" s="14">
        <v>5000</v>
      </c>
      <c r="R4270" s="12">
        <v>75</v>
      </c>
      <c r="S4270" s="12" t="s">
        <v>5186</v>
      </c>
      <c r="T4270" s="22">
        <f t="shared" si="364"/>
        <v>3</v>
      </c>
      <c r="U4270" s="22">
        <f t="shared" si="365"/>
        <v>2022</v>
      </c>
      <c r="V4270" s="22" t="str">
        <f t="shared" si="366"/>
        <v>METROPOLITANA</v>
      </c>
    </row>
    <row r="4271" spans="1:22" x14ac:dyDescent="0.2">
      <c r="A4271" s="23" t="s">
        <v>5188</v>
      </c>
      <c r="B4271" s="22" t="s">
        <v>33</v>
      </c>
      <c r="C4271" s="22" t="s">
        <v>36</v>
      </c>
      <c r="D4271" s="22" t="s">
        <v>45</v>
      </c>
      <c r="E4271" s="24" t="s">
        <v>52</v>
      </c>
      <c r="F4271" s="22" t="s">
        <v>34</v>
      </c>
      <c r="G4271" s="25">
        <v>5974.800000000002</v>
      </c>
      <c r="H4271" s="22" t="s">
        <v>22</v>
      </c>
      <c r="I4271" s="22">
        <v>0</v>
      </c>
      <c r="J4271" s="22" t="s">
        <v>34</v>
      </c>
      <c r="K4271" s="22" t="s">
        <v>23</v>
      </c>
      <c r="L4271" s="22">
        <v>1</v>
      </c>
      <c r="M4271" s="26">
        <v>65723</v>
      </c>
      <c r="N4271" s="26">
        <v>0</v>
      </c>
      <c r="O4271" s="15">
        <f t="shared" si="367"/>
        <v>65723</v>
      </c>
      <c r="P4271" s="15">
        <f t="shared" si="368"/>
        <v>11.000033473923809</v>
      </c>
      <c r="Q4271" s="25">
        <v>5000</v>
      </c>
      <c r="R4271" s="22">
        <v>100</v>
      </c>
      <c r="S4271" s="22" t="s">
        <v>5189</v>
      </c>
      <c r="T4271" s="22">
        <f t="shared" si="364"/>
        <v>3</v>
      </c>
      <c r="U4271" s="22">
        <f t="shared" si="365"/>
        <v>2022</v>
      </c>
      <c r="V4271" s="22" t="str">
        <f t="shared" si="366"/>
        <v>METROPOLITANA</v>
      </c>
    </row>
    <row r="4272" spans="1:22" x14ac:dyDescent="0.2">
      <c r="A4272" s="23" t="s">
        <v>5188</v>
      </c>
      <c r="B4272" s="22" t="s">
        <v>33</v>
      </c>
      <c r="C4272" s="22" t="s">
        <v>29</v>
      </c>
      <c r="D4272" s="22" t="s">
        <v>38</v>
      </c>
      <c r="E4272" s="24" t="s">
        <v>42</v>
      </c>
      <c r="F4272" s="22" t="s">
        <v>39</v>
      </c>
      <c r="G4272" s="25">
        <v>2748</v>
      </c>
      <c r="H4272" s="22" t="s">
        <v>43</v>
      </c>
      <c r="I4272" s="22">
        <v>0</v>
      </c>
      <c r="J4272" s="22" t="s">
        <v>39</v>
      </c>
      <c r="K4272" s="22" t="s">
        <v>23</v>
      </c>
      <c r="L4272" s="22">
        <v>1</v>
      </c>
      <c r="M4272" s="26">
        <v>55000</v>
      </c>
      <c r="N4272" s="26">
        <v>0</v>
      </c>
      <c r="O4272" s="15">
        <f t="shared" si="367"/>
        <v>55000</v>
      </c>
      <c r="P4272" s="15">
        <f t="shared" si="368"/>
        <v>20.014556040756915</v>
      </c>
      <c r="Q4272" s="25">
        <v>5000</v>
      </c>
      <c r="R4272" s="22">
        <v>55</v>
      </c>
      <c r="S4272" s="22" t="s">
        <v>5190</v>
      </c>
      <c r="T4272" s="22">
        <f t="shared" si="364"/>
        <v>3</v>
      </c>
      <c r="U4272" s="22">
        <f t="shared" si="365"/>
        <v>2022</v>
      </c>
      <c r="V4272" s="22" t="str">
        <f t="shared" si="366"/>
        <v>METROPOLITANA</v>
      </c>
    </row>
    <row r="4273" spans="1:22" x14ac:dyDescent="0.2">
      <c r="A4273" s="23" t="s">
        <v>5188</v>
      </c>
      <c r="B4273" s="22" t="s">
        <v>33</v>
      </c>
      <c r="C4273" s="22" t="s">
        <v>29</v>
      </c>
      <c r="D4273" s="22" t="s">
        <v>37</v>
      </c>
      <c r="E4273" s="24" t="s">
        <v>40</v>
      </c>
      <c r="F4273" s="22" t="s">
        <v>39</v>
      </c>
      <c r="G4273" s="25">
        <v>2748</v>
      </c>
      <c r="H4273" s="22" t="s">
        <v>22</v>
      </c>
      <c r="I4273" s="22">
        <v>0</v>
      </c>
      <c r="J4273" s="22" t="s">
        <v>39</v>
      </c>
      <c r="K4273" s="22" t="s">
        <v>23</v>
      </c>
      <c r="L4273" s="22">
        <v>1</v>
      </c>
      <c r="M4273" s="26">
        <v>55000</v>
      </c>
      <c r="N4273" s="26">
        <v>0</v>
      </c>
      <c r="O4273" s="15">
        <f t="shared" si="367"/>
        <v>55000</v>
      </c>
      <c r="P4273" s="15">
        <f t="shared" si="368"/>
        <v>20.014556040756915</v>
      </c>
      <c r="Q4273" s="25">
        <v>5000</v>
      </c>
      <c r="R4273" s="22">
        <v>55</v>
      </c>
      <c r="S4273" s="22" t="s">
        <v>5191</v>
      </c>
      <c r="T4273" s="22">
        <f t="shared" si="364"/>
        <v>3</v>
      </c>
      <c r="U4273" s="22">
        <f t="shared" si="365"/>
        <v>2022</v>
      </c>
      <c r="V4273" s="22" t="str">
        <f t="shared" si="366"/>
        <v>METROPOLITANA</v>
      </c>
    </row>
    <row r="4274" spans="1:22" x14ac:dyDescent="0.2">
      <c r="A4274" s="23" t="s">
        <v>5188</v>
      </c>
      <c r="B4274" s="22" t="s">
        <v>33</v>
      </c>
      <c r="C4274" s="22" t="s">
        <v>29</v>
      </c>
      <c r="D4274" s="22" t="s">
        <v>164</v>
      </c>
      <c r="E4274" s="24" t="s">
        <v>1576</v>
      </c>
      <c r="F4274" s="22" t="s">
        <v>39</v>
      </c>
      <c r="G4274" s="25">
        <v>8244.0000000000036</v>
      </c>
      <c r="H4274" s="22" t="s">
        <v>22</v>
      </c>
      <c r="I4274" s="22">
        <v>1</v>
      </c>
      <c r="J4274" s="22" t="s">
        <v>39</v>
      </c>
      <c r="K4274" s="22" t="s">
        <v>23</v>
      </c>
      <c r="L4274" s="22">
        <v>1</v>
      </c>
      <c r="M4274" s="26">
        <v>90684</v>
      </c>
      <c r="N4274" s="26">
        <v>0</v>
      </c>
      <c r="O4274" s="15">
        <f t="shared" si="367"/>
        <v>90684</v>
      </c>
      <c r="P4274" s="15">
        <f t="shared" si="368"/>
        <v>10.999999999999995</v>
      </c>
      <c r="Q4274" s="25">
        <v>5000</v>
      </c>
      <c r="R4274" s="22">
        <v>100</v>
      </c>
      <c r="S4274" s="22" t="s">
        <v>5192</v>
      </c>
      <c r="T4274" s="22">
        <f t="shared" si="364"/>
        <v>3</v>
      </c>
      <c r="U4274" s="22">
        <f t="shared" si="365"/>
        <v>2022</v>
      </c>
      <c r="V4274" s="22" t="str">
        <f t="shared" si="366"/>
        <v>METROPOLITANA</v>
      </c>
    </row>
    <row r="4275" spans="1:22" x14ac:dyDescent="0.2">
      <c r="A4275" s="23" t="s">
        <v>5188</v>
      </c>
      <c r="B4275" s="22" t="s">
        <v>33</v>
      </c>
      <c r="C4275" s="22" t="s">
        <v>44</v>
      </c>
      <c r="D4275" s="22" t="s">
        <v>45</v>
      </c>
      <c r="E4275" s="24" t="s">
        <v>21</v>
      </c>
      <c r="F4275" s="22" t="s">
        <v>26</v>
      </c>
      <c r="G4275" s="25">
        <v>4131.62</v>
      </c>
      <c r="H4275" s="22" t="s">
        <v>22</v>
      </c>
      <c r="I4275" s="22">
        <v>0</v>
      </c>
      <c r="J4275" s="22" t="s">
        <v>26</v>
      </c>
      <c r="K4275" s="22" t="s">
        <v>23</v>
      </c>
      <c r="L4275" s="22">
        <v>4</v>
      </c>
      <c r="M4275" s="26">
        <v>55000</v>
      </c>
      <c r="N4275" s="26">
        <v>0</v>
      </c>
      <c r="O4275" s="15">
        <f t="shared" si="367"/>
        <v>55000</v>
      </c>
      <c r="P4275" s="15">
        <f t="shared" si="368"/>
        <v>13.31196963902779</v>
      </c>
      <c r="Q4275" s="25">
        <v>5000</v>
      </c>
      <c r="R4275" s="22">
        <v>83</v>
      </c>
      <c r="S4275" s="22" t="s">
        <v>5193</v>
      </c>
      <c r="T4275" s="22">
        <f t="shared" si="364"/>
        <v>3</v>
      </c>
      <c r="U4275" s="22">
        <f t="shared" si="365"/>
        <v>2022</v>
      </c>
      <c r="V4275" s="22" t="str">
        <f t="shared" si="366"/>
        <v>METROPOLITANA</v>
      </c>
    </row>
    <row r="4276" spans="1:22" x14ac:dyDescent="0.2">
      <c r="A4276" s="23" t="s">
        <v>5188</v>
      </c>
      <c r="B4276" s="22" t="s">
        <v>33</v>
      </c>
      <c r="C4276" s="22" t="s">
        <v>44</v>
      </c>
      <c r="D4276" s="22" t="s">
        <v>47</v>
      </c>
      <c r="E4276" s="24" t="s">
        <v>1576</v>
      </c>
      <c r="F4276" s="22" t="s">
        <v>48</v>
      </c>
      <c r="G4276" s="25">
        <v>9088.84</v>
      </c>
      <c r="H4276" s="22" t="s">
        <v>22</v>
      </c>
      <c r="I4276" s="22">
        <v>0</v>
      </c>
      <c r="J4276" s="22" t="s">
        <v>48</v>
      </c>
      <c r="K4276" s="22" t="s">
        <v>23</v>
      </c>
      <c r="L4276" s="22">
        <v>1</v>
      </c>
      <c r="M4276" s="26">
        <v>99977</v>
      </c>
      <c r="N4276" s="26">
        <v>0</v>
      </c>
      <c r="O4276" s="15">
        <f t="shared" si="367"/>
        <v>99977</v>
      </c>
      <c r="P4276" s="15">
        <f t="shared" si="368"/>
        <v>10.999973593989992</v>
      </c>
      <c r="Q4276" s="25">
        <v>5000</v>
      </c>
      <c r="R4276" s="22">
        <v>100</v>
      </c>
      <c r="S4276" s="22" t="s">
        <v>5194</v>
      </c>
      <c r="T4276" s="22">
        <f t="shared" si="364"/>
        <v>3</v>
      </c>
      <c r="U4276" s="22">
        <f t="shared" si="365"/>
        <v>2022</v>
      </c>
      <c r="V4276" s="22" t="str">
        <f t="shared" si="366"/>
        <v>METROPOLITANA</v>
      </c>
    </row>
    <row r="4277" spans="1:22" x14ac:dyDescent="0.2">
      <c r="A4277" s="23" t="s">
        <v>5188</v>
      </c>
      <c r="B4277" s="22" t="s">
        <v>33</v>
      </c>
      <c r="C4277" s="22" t="s">
        <v>44</v>
      </c>
      <c r="D4277" s="22" t="s">
        <v>20</v>
      </c>
      <c r="E4277" s="24" t="s">
        <v>21</v>
      </c>
      <c r="F4277" s="22" t="s">
        <v>46</v>
      </c>
      <c r="G4277" s="25">
        <v>5032.83</v>
      </c>
      <c r="H4277" s="22" t="s">
        <v>22</v>
      </c>
      <c r="I4277" s="22">
        <v>0</v>
      </c>
      <c r="J4277" s="22" t="s">
        <v>46</v>
      </c>
      <c r="K4277" s="22" t="s">
        <v>23</v>
      </c>
      <c r="L4277" s="22">
        <v>2</v>
      </c>
      <c r="M4277" s="26">
        <v>55361</v>
      </c>
      <c r="N4277" s="26">
        <v>0</v>
      </c>
      <c r="O4277" s="15">
        <f t="shared" si="367"/>
        <v>55361</v>
      </c>
      <c r="P4277" s="15">
        <f t="shared" si="368"/>
        <v>10.999974169602391</v>
      </c>
      <c r="Q4277" s="25">
        <v>5000</v>
      </c>
      <c r="R4277" s="22">
        <v>100</v>
      </c>
      <c r="S4277" s="22" t="s">
        <v>5195</v>
      </c>
      <c r="T4277" s="22">
        <f t="shared" si="364"/>
        <v>3</v>
      </c>
      <c r="U4277" s="22">
        <f t="shared" si="365"/>
        <v>2022</v>
      </c>
      <c r="V4277" s="22" t="str">
        <f t="shared" si="366"/>
        <v>METROPOLITANA</v>
      </c>
    </row>
    <row r="4278" spans="1:22" x14ac:dyDescent="0.2">
      <c r="A4278" s="11" t="s">
        <v>5196</v>
      </c>
      <c r="B4278" s="12" t="s">
        <v>18</v>
      </c>
      <c r="C4278" s="12" t="s">
        <v>4331</v>
      </c>
      <c r="D4278" s="12" t="s">
        <v>38</v>
      </c>
      <c r="E4278" s="13" t="s">
        <v>42</v>
      </c>
      <c r="F4278" s="12" t="s">
        <v>161</v>
      </c>
      <c r="G4278" s="14">
        <v>6696.23</v>
      </c>
      <c r="H4278" s="12" t="s">
        <v>43</v>
      </c>
      <c r="I4278" s="12">
        <v>0</v>
      </c>
      <c r="J4278" s="12" t="s">
        <v>161</v>
      </c>
      <c r="K4278" s="12" t="s">
        <v>23</v>
      </c>
      <c r="L4278" s="12">
        <v>5</v>
      </c>
      <c r="M4278" s="15">
        <v>70000</v>
      </c>
      <c r="N4278" s="15">
        <v>0</v>
      </c>
      <c r="O4278" s="15">
        <f t="shared" ref="O4278:O4309" si="369">SUM(M4278:N4278)</f>
        <v>70000</v>
      </c>
      <c r="P4278" s="15">
        <f t="shared" si="368"/>
        <v>10.453643318703211</v>
      </c>
      <c r="Q4278" s="14">
        <v>10000</v>
      </c>
      <c r="R4278" s="12">
        <v>67</v>
      </c>
      <c r="S4278" s="12" t="s">
        <v>5197</v>
      </c>
      <c r="T4278" s="22">
        <f t="shared" si="364"/>
        <v>3</v>
      </c>
      <c r="U4278" s="22">
        <f t="shared" si="365"/>
        <v>2022</v>
      </c>
      <c r="V4278" s="22" t="str">
        <f t="shared" si="366"/>
        <v>METROPOLITANA</v>
      </c>
    </row>
    <row r="4279" spans="1:22" x14ac:dyDescent="0.2">
      <c r="A4279" s="11" t="s">
        <v>5196</v>
      </c>
      <c r="B4279" s="12" t="s">
        <v>33</v>
      </c>
      <c r="C4279" s="12" t="s">
        <v>223</v>
      </c>
      <c r="D4279" s="12" t="s">
        <v>20</v>
      </c>
      <c r="E4279" s="13" t="s">
        <v>21</v>
      </c>
      <c r="F4279" s="12" t="s">
        <v>51</v>
      </c>
      <c r="G4279" s="14">
        <v>11155.6</v>
      </c>
      <c r="H4279" s="12" t="s">
        <v>22</v>
      </c>
      <c r="I4279" s="12">
        <v>0</v>
      </c>
      <c r="J4279" s="12" t="s">
        <v>51</v>
      </c>
      <c r="K4279" s="12" t="s">
        <v>23</v>
      </c>
      <c r="L4279" s="12">
        <v>4</v>
      </c>
      <c r="M4279" s="15">
        <v>122712</v>
      </c>
      <c r="N4279" s="15">
        <v>0</v>
      </c>
      <c r="O4279" s="15">
        <f t="shared" si="369"/>
        <v>122712</v>
      </c>
      <c r="P4279" s="15">
        <f t="shared" si="368"/>
        <v>11.00003585643085</v>
      </c>
      <c r="Q4279" s="14">
        <v>5000</v>
      </c>
      <c r="R4279" s="12">
        <v>100</v>
      </c>
      <c r="S4279" s="12" t="s">
        <v>5198</v>
      </c>
      <c r="T4279" s="22">
        <f t="shared" si="364"/>
        <v>3</v>
      </c>
      <c r="U4279" s="22">
        <f t="shared" si="365"/>
        <v>2022</v>
      </c>
      <c r="V4279" s="22" t="str">
        <f t="shared" si="366"/>
        <v>METROPOLITANA</v>
      </c>
    </row>
    <row r="4280" spans="1:22" x14ac:dyDescent="0.2">
      <c r="A4280" s="11" t="s">
        <v>5196</v>
      </c>
      <c r="B4280" s="12" t="s">
        <v>33</v>
      </c>
      <c r="C4280" s="12" t="s">
        <v>29</v>
      </c>
      <c r="D4280" s="12" t="s">
        <v>38</v>
      </c>
      <c r="E4280" s="13" t="s">
        <v>42</v>
      </c>
      <c r="F4280" s="12" t="s">
        <v>39</v>
      </c>
      <c r="G4280" s="14">
        <f>5901.8+3725</f>
        <v>9626.7999999999993</v>
      </c>
      <c r="H4280" s="12" t="s">
        <v>43</v>
      </c>
      <c r="I4280" s="12">
        <v>0</v>
      </c>
      <c r="J4280" s="12" t="s">
        <v>39</v>
      </c>
      <c r="K4280" s="12" t="s">
        <v>23</v>
      </c>
      <c r="L4280" s="12">
        <v>1</v>
      </c>
      <c r="M4280" s="15">
        <v>64920</v>
      </c>
      <c r="N4280" s="15">
        <v>0</v>
      </c>
      <c r="O4280" s="15">
        <f t="shared" si="369"/>
        <v>64920</v>
      </c>
      <c r="P4280" s="15">
        <f t="shared" si="368"/>
        <v>6.7436739103336523</v>
      </c>
      <c r="Q4280" s="14">
        <v>5000</v>
      </c>
      <c r="R4280" s="12">
        <v>100</v>
      </c>
      <c r="S4280" s="12" t="s">
        <v>5203</v>
      </c>
      <c r="T4280" s="22">
        <f t="shared" si="364"/>
        <v>3</v>
      </c>
      <c r="U4280" s="22">
        <f t="shared" si="365"/>
        <v>2022</v>
      </c>
      <c r="V4280" s="22" t="str">
        <f t="shared" si="366"/>
        <v>METROPOLITANA</v>
      </c>
    </row>
    <row r="4281" spans="1:22" x14ac:dyDescent="0.2">
      <c r="A4281" s="11" t="s">
        <v>5196</v>
      </c>
      <c r="B4281" s="12" t="s">
        <v>33</v>
      </c>
      <c r="C4281" s="12" t="s">
        <v>29</v>
      </c>
      <c r="D4281" s="12" t="s">
        <v>37</v>
      </c>
      <c r="E4281" s="13" t="s">
        <v>40</v>
      </c>
      <c r="F4281" s="12" t="s">
        <v>39</v>
      </c>
      <c r="G4281" s="14">
        <v>7239.6000000000022</v>
      </c>
      <c r="H4281" s="12" t="s">
        <v>22</v>
      </c>
      <c r="I4281" s="12">
        <v>0</v>
      </c>
      <c r="J4281" s="12" t="s">
        <v>39</v>
      </c>
      <c r="K4281" s="12" t="s">
        <v>23</v>
      </c>
      <c r="L4281" s="12">
        <v>1</v>
      </c>
      <c r="M4281" s="15">
        <v>79636</v>
      </c>
      <c r="N4281" s="15">
        <v>0</v>
      </c>
      <c r="O4281" s="15">
        <f t="shared" si="369"/>
        <v>79636</v>
      </c>
      <c r="P4281" s="15">
        <f t="shared" si="368"/>
        <v>11.000055251671359</v>
      </c>
      <c r="Q4281" s="14">
        <v>5000</v>
      </c>
      <c r="R4281" s="12">
        <v>100</v>
      </c>
      <c r="S4281" s="12" t="s">
        <v>5199</v>
      </c>
      <c r="T4281" s="22">
        <f t="shared" si="364"/>
        <v>3</v>
      </c>
      <c r="U4281" s="22">
        <f t="shared" si="365"/>
        <v>2022</v>
      </c>
      <c r="V4281" s="22" t="str">
        <f t="shared" si="366"/>
        <v>METROPOLITANA</v>
      </c>
    </row>
    <row r="4282" spans="1:22" x14ac:dyDescent="0.2">
      <c r="A4282" s="11" t="s">
        <v>5196</v>
      </c>
      <c r="B4282" s="12" t="s">
        <v>33</v>
      </c>
      <c r="C4282" s="12" t="s">
        <v>29</v>
      </c>
      <c r="D4282" s="12" t="s">
        <v>20</v>
      </c>
      <c r="E4282" s="13" t="s">
        <v>21</v>
      </c>
      <c r="F4282" s="12" t="s">
        <v>39</v>
      </c>
      <c r="G4282" s="14">
        <v>2251.1999999999998</v>
      </c>
      <c r="H4282" s="12" t="s">
        <v>22</v>
      </c>
      <c r="I4282" s="12">
        <v>0</v>
      </c>
      <c r="J4282" s="12" t="s">
        <v>39</v>
      </c>
      <c r="K4282" s="12" t="s">
        <v>23</v>
      </c>
      <c r="L4282" s="12">
        <v>1</v>
      </c>
      <c r="M4282" s="15">
        <v>55000</v>
      </c>
      <c r="N4282" s="15">
        <v>0</v>
      </c>
      <c r="O4282" s="15">
        <f t="shared" si="369"/>
        <v>55000</v>
      </c>
      <c r="P4282" s="15">
        <f t="shared" si="368"/>
        <v>24.431414356787492</v>
      </c>
      <c r="Q4282" s="14">
        <v>5000</v>
      </c>
      <c r="R4282" s="12">
        <v>45</v>
      </c>
      <c r="S4282" s="12" t="s">
        <v>5200</v>
      </c>
      <c r="T4282" s="22">
        <f t="shared" si="364"/>
        <v>3</v>
      </c>
      <c r="U4282" s="22">
        <f t="shared" si="365"/>
        <v>2022</v>
      </c>
      <c r="V4282" s="22" t="str">
        <f t="shared" si="366"/>
        <v>METROPOLITANA</v>
      </c>
    </row>
    <row r="4283" spans="1:22" x14ac:dyDescent="0.2">
      <c r="A4283" s="11" t="s">
        <v>5196</v>
      </c>
      <c r="B4283" s="12" t="s">
        <v>33</v>
      </c>
      <c r="C4283" s="12" t="s">
        <v>2698</v>
      </c>
      <c r="D4283" s="12" t="s">
        <v>47</v>
      </c>
      <c r="E4283" s="13" t="s">
        <v>52</v>
      </c>
      <c r="F4283" s="12" t="s">
        <v>51</v>
      </c>
      <c r="G4283" s="14">
        <v>5328</v>
      </c>
      <c r="H4283" s="12" t="s">
        <v>22</v>
      </c>
      <c r="I4283" s="12">
        <v>0</v>
      </c>
      <c r="J4283" s="12" t="s">
        <v>51</v>
      </c>
      <c r="K4283" s="12" t="s">
        <v>23</v>
      </c>
      <c r="L4283" s="12">
        <v>4</v>
      </c>
      <c r="M4283" s="15">
        <v>58608</v>
      </c>
      <c r="N4283" s="15">
        <v>0</v>
      </c>
      <c r="O4283" s="15">
        <f t="shared" si="369"/>
        <v>58608</v>
      </c>
      <c r="P4283" s="15">
        <f t="shared" si="368"/>
        <v>11</v>
      </c>
      <c r="Q4283" s="14">
        <v>5000</v>
      </c>
      <c r="R4283" s="12">
        <v>100</v>
      </c>
      <c r="S4283" s="12" t="s">
        <v>5201</v>
      </c>
      <c r="T4283" s="22">
        <f t="shared" si="364"/>
        <v>3</v>
      </c>
      <c r="U4283" s="22">
        <f t="shared" si="365"/>
        <v>2022</v>
      </c>
      <c r="V4283" s="22" t="str">
        <f t="shared" si="366"/>
        <v>METROPOLITANA</v>
      </c>
    </row>
    <row r="4284" spans="1:22" x14ac:dyDescent="0.2">
      <c r="A4284" s="11" t="s">
        <v>5196</v>
      </c>
      <c r="B4284" s="12" t="s">
        <v>33</v>
      </c>
      <c r="C4284" s="12" t="s">
        <v>44</v>
      </c>
      <c r="D4284" s="12" t="s">
        <v>1869</v>
      </c>
      <c r="E4284" s="13" t="s">
        <v>1870</v>
      </c>
      <c r="F4284" s="12" t="s">
        <v>92</v>
      </c>
      <c r="G4284" s="14">
        <v>9712.6700000000055</v>
      </c>
      <c r="H4284" s="12" t="s">
        <v>24</v>
      </c>
      <c r="I4284" s="12">
        <v>1</v>
      </c>
      <c r="J4284" s="12" t="s">
        <v>92</v>
      </c>
      <c r="K4284" s="12" t="s">
        <v>93</v>
      </c>
      <c r="L4284" s="12">
        <v>0</v>
      </c>
      <c r="M4284" s="15">
        <v>665000</v>
      </c>
      <c r="N4284" s="15">
        <v>0</v>
      </c>
      <c r="O4284" s="15">
        <f t="shared" si="369"/>
        <v>665000</v>
      </c>
      <c r="P4284" s="15">
        <f t="shared" si="368"/>
        <v>68.46727007094853</v>
      </c>
      <c r="Q4284" s="14">
        <v>20000</v>
      </c>
      <c r="R4284" s="12">
        <v>49</v>
      </c>
      <c r="S4284" s="12" t="s">
        <v>5202</v>
      </c>
      <c r="T4284" s="22">
        <f t="shared" si="364"/>
        <v>3</v>
      </c>
      <c r="U4284" s="22">
        <f t="shared" si="365"/>
        <v>2022</v>
      </c>
      <c r="V4284" s="22" t="str">
        <f t="shared" si="366"/>
        <v>REGIONES</v>
      </c>
    </row>
    <row r="4285" spans="1:22" x14ac:dyDescent="0.2">
      <c r="A4285" s="23" t="s">
        <v>5204</v>
      </c>
      <c r="B4285" s="22" t="s">
        <v>18</v>
      </c>
      <c r="C4285" s="22" t="s">
        <v>57</v>
      </c>
      <c r="D4285" s="22" t="s">
        <v>20</v>
      </c>
      <c r="E4285" s="24" t="s">
        <v>21</v>
      </c>
      <c r="F4285" s="22" t="s">
        <v>89</v>
      </c>
      <c r="G4285" s="25">
        <v>8016.44</v>
      </c>
      <c r="H4285" s="22" t="s">
        <v>22</v>
      </c>
      <c r="I4285" s="22">
        <v>0</v>
      </c>
      <c r="J4285" s="22" t="s">
        <v>89</v>
      </c>
      <c r="K4285" s="22" t="s">
        <v>23</v>
      </c>
      <c r="L4285" s="22">
        <v>5</v>
      </c>
      <c r="M4285" s="26">
        <v>90000</v>
      </c>
      <c r="N4285" s="26">
        <v>0</v>
      </c>
      <c r="O4285" s="15">
        <f t="shared" si="369"/>
        <v>90000</v>
      </c>
      <c r="P4285" s="15">
        <f t="shared" si="368"/>
        <v>11.226928661600411</v>
      </c>
      <c r="Q4285" s="25">
        <v>10000</v>
      </c>
      <c r="R4285" s="22">
        <v>80</v>
      </c>
      <c r="S4285" s="22" t="s">
        <v>5205</v>
      </c>
      <c r="T4285" s="22">
        <f t="shared" si="364"/>
        <v>3</v>
      </c>
      <c r="U4285" s="22">
        <f t="shared" si="365"/>
        <v>2022</v>
      </c>
      <c r="V4285" s="22" t="str">
        <f t="shared" si="366"/>
        <v>METROPOLITANA</v>
      </c>
    </row>
    <row r="4286" spans="1:22" x14ac:dyDescent="0.2">
      <c r="A4286" s="23" t="s">
        <v>5204</v>
      </c>
      <c r="B4286" s="22" t="s">
        <v>18</v>
      </c>
      <c r="C4286" s="22" t="s">
        <v>160</v>
      </c>
      <c r="D4286" s="22" t="s">
        <v>38</v>
      </c>
      <c r="E4286" s="24" t="s">
        <v>42</v>
      </c>
      <c r="F4286" s="22" t="s">
        <v>800</v>
      </c>
      <c r="G4286" s="25">
        <v>12101.25</v>
      </c>
      <c r="H4286" s="22" t="s">
        <v>43</v>
      </c>
      <c r="I4286" s="22">
        <v>0</v>
      </c>
      <c r="J4286" s="22" t="s">
        <v>800</v>
      </c>
      <c r="K4286" s="22" t="s">
        <v>23</v>
      </c>
      <c r="L4286" s="22">
        <v>5</v>
      </c>
      <c r="M4286" s="26">
        <v>90000</v>
      </c>
      <c r="N4286" s="26">
        <v>0</v>
      </c>
      <c r="O4286" s="15">
        <f t="shared" si="369"/>
        <v>90000</v>
      </c>
      <c r="P4286" s="15">
        <f t="shared" si="368"/>
        <v>7.4372482181592812</v>
      </c>
      <c r="Q4286" s="25">
        <v>10000</v>
      </c>
      <c r="R4286" s="22">
        <v>100</v>
      </c>
      <c r="S4286" s="22" t="s">
        <v>5206</v>
      </c>
      <c r="T4286" s="22">
        <f t="shared" si="364"/>
        <v>3</v>
      </c>
      <c r="U4286" s="22">
        <f t="shared" si="365"/>
        <v>2022</v>
      </c>
      <c r="V4286" s="22" t="str">
        <f t="shared" si="366"/>
        <v>METROPOLITANA</v>
      </c>
    </row>
    <row r="4287" spans="1:22" x14ac:dyDescent="0.2">
      <c r="A4287" s="23" t="s">
        <v>5204</v>
      </c>
      <c r="B4287" s="22" t="s">
        <v>33</v>
      </c>
      <c r="C4287" s="22" t="s">
        <v>270</v>
      </c>
      <c r="D4287" s="22" t="s">
        <v>164</v>
      </c>
      <c r="E4287" s="24" t="s">
        <v>1576</v>
      </c>
      <c r="F4287" s="22" t="s">
        <v>120</v>
      </c>
      <c r="G4287" s="25">
        <v>7963.5000000000027</v>
      </c>
      <c r="H4287" s="22" t="s">
        <v>22</v>
      </c>
      <c r="I4287" s="22">
        <v>1</v>
      </c>
      <c r="J4287" s="22" t="s">
        <v>120</v>
      </c>
      <c r="K4287" s="22" t="s">
        <v>23</v>
      </c>
      <c r="L4287" s="22">
        <v>5</v>
      </c>
      <c r="M4287" s="26">
        <v>120000</v>
      </c>
      <c r="N4287" s="26">
        <v>0</v>
      </c>
      <c r="O4287" s="15">
        <f t="shared" si="369"/>
        <v>120000</v>
      </c>
      <c r="P4287" s="15">
        <f t="shared" si="368"/>
        <v>15.068751177246181</v>
      </c>
      <c r="Q4287" s="25">
        <v>10000</v>
      </c>
      <c r="R4287" s="22">
        <v>80</v>
      </c>
      <c r="S4287" s="22" t="s">
        <v>5207</v>
      </c>
      <c r="T4287" s="22">
        <f t="shared" si="364"/>
        <v>3</v>
      </c>
      <c r="U4287" s="22">
        <f t="shared" si="365"/>
        <v>2022</v>
      </c>
      <c r="V4287" s="22" t="str">
        <f t="shared" si="366"/>
        <v>METROPOLITANA</v>
      </c>
    </row>
    <row r="4288" spans="1:22" x14ac:dyDescent="0.2">
      <c r="A4288" s="23" t="s">
        <v>5204</v>
      </c>
      <c r="B4288" s="22" t="s">
        <v>33</v>
      </c>
      <c r="C4288" s="22" t="s">
        <v>270</v>
      </c>
      <c r="D4288" s="22" t="s">
        <v>164</v>
      </c>
      <c r="E4288" s="24" t="s">
        <v>1576</v>
      </c>
      <c r="F4288" s="22" t="s">
        <v>377</v>
      </c>
      <c r="G4288" s="25">
        <v>11662</v>
      </c>
      <c r="H4288" s="22" t="s">
        <v>22</v>
      </c>
      <c r="I4288" s="22">
        <v>1</v>
      </c>
      <c r="J4288" s="22" t="s">
        <v>377</v>
      </c>
      <c r="K4288" s="22" t="s">
        <v>23</v>
      </c>
      <c r="L4288" s="22">
        <v>4</v>
      </c>
      <c r="M4288" s="26">
        <v>128282</v>
      </c>
      <c r="N4288" s="26">
        <v>0</v>
      </c>
      <c r="O4288" s="15">
        <f t="shared" si="369"/>
        <v>128282</v>
      </c>
      <c r="P4288" s="15">
        <f t="shared" si="368"/>
        <v>11</v>
      </c>
      <c r="Q4288" s="25">
        <v>5000</v>
      </c>
      <c r="R4288" s="22">
        <v>100</v>
      </c>
      <c r="S4288" s="22" t="s">
        <v>5208</v>
      </c>
      <c r="T4288" s="22">
        <f t="shared" si="364"/>
        <v>3</v>
      </c>
      <c r="U4288" s="22">
        <f t="shared" si="365"/>
        <v>2022</v>
      </c>
      <c r="V4288" s="22" t="str">
        <f t="shared" si="366"/>
        <v>METROPOLITANA</v>
      </c>
    </row>
    <row r="4289" spans="1:22" x14ac:dyDescent="0.2">
      <c r="A4289" s="23" t="s">
        <v>5204</v>
      </c>
      <c r="B4289" s="22" t="s">
        <v>33</v>
      </c>
      <c r="C4289" s="22" t="s">
        <v>128</v>
      </c>
      <c r="D4289" s="22" t="s">
        <v>2955</v>
      </c>
      <c r="E4289" s="24" t="s">
        <v>2956</v>
      </c>
      <c r="F4289" s="22" t="s">
        <v>129</v>
      </c>
      <c r="G4289" s="25">
        <v>9504.0000000000091</v>
      </c>
      <c r="H4289" s="22" t="s">
        <v>24</v>
      </c>
      <c r="I4289" s="22">
        <v>1</v>
      </c>
      <c r="J4289" s="22" t="s">
        <v>129</v>
      </c>
      <c r="K4289" s="22" t="s">
        <v>23</v>
      </c>
      <c r="L4289" s="22">
        <v>1</v>
      </c>
      <c r="M4289" s="26">
        <v>104544</v>
      </c>
      <c r="N4289" s="26">
        <v>0</v>
      </c>
      <c r="O4289" s="15">
        <f t="shared" si="369"/>
        <v>104544</v>
      </c>
      <c r="P4289" s="15">
        <f t="shared" si="368"/>
        <v>10.999999999999989</v>
      </c>
      <c r="Q4289" s="25">
        <v>5000</v>
      </c>
      <c r="R4289" s="22">
        <v>100</v>
      </c>
      <c r="S4289" s="22" t="s">
        <v>5209</v>
      </c>
      <c r="T4289" s="22">
        <f t="shared" si="364"/>
        <v>3</v>
      </c>
      <c r="U4289" s="22">
        <f t="shared" si="365"/>
        <v>2022</v>
      </c>
      <c r="V4289" s="22" t="str">
        <f t="shared" si="366"/>
        <v>METROPOLITANA</v>
      </c>
    </row>
    <row r="4290" spans="1:22" x14ac:dyDescent="0.2">
      <c r="A4290" s="23" t="s">
        <v>5204</v>
      </c>
      <c r="B4290" s="22" t="s">
        <v>33</v>
      </c>
      <c r="C4290" s="22" t="s">
        <v>36</v>
      </c>
      <c r="D4290" s="22" t="s">
        <v>4247</v>
      </c>
      <c r="E4290" s="24" t="s">
        <v>62</v>
      </c>
      <c r="F4290" s="22" t="s">
        <v>2744</v>
      </c>
      <c r="G4290" s="25">
        <f>8071.4+6571</f>
        <v>14642.4</v>
      </c>
      <c r="H4290" s="22" t="s">
        <v>24</v>
      </c>
      <c r="I4290" s="22">
        <v>1</v>
      </c>
      <c r="J4290" s="22" t="s">
        <v>2744</v>
      </c>
      <c r="K4290" s="22" t="s">
        <v>75</v>
      </c>
      <c r="L4290" s="22">
        <v>0</v>
      </c>
      <c r="M4290" s="26">
        <v>380000</v>
      </c>
      <c r="N4290" s="26">
        <v>0</v>
      </c>
      <c r="O4290" s="15">
        <f t="shared" si="369"/>
        <v>380000</v>
      </c>
      <c r="P4290" s="15">
        <f t="shared" si="368"/>
        <v>25.952029721903514</v>
      </c>
      <c r="Q4290" s="25">
        <v>20000</v>
      </c>
      <c r="R4290" s="22">
        <v>75</v>
      </c>
      <c r="S4290" s="22" t="s">
        <v>5215</v>
      </c>
      <c r="T4290" s="22">
        <f t="shared" si="364"/>
        <v>3</v>
      </c>
      <c r="U4290" s="22">
        <f t="shared" si="365"/>
        <v>2022</v>
      </c>
      <c r="V4290" s="22" t="str">
        <f t="shared" si="366"/>
        <v>REGIONES</v>
      </c>
    </row>
    <row r="4291" spans="1:22" x14ac:dyDescent="0.2">
      <c r="A4291" s="23" t="s">
        <v>5204</v>
      </c>
      <c r="B4291" s="22" t="s">
        <v>33</v>
      </c>
      <c r="C4291" s="22" t="s">
        <v>29</v>
      </c>
      <c r="D4291" s="22" t="s">
        <v>38</v>
      </c>
      <c r="E4291" s="24" t="s">
        <v>42</v>
      </c>
      <c r="F4291" s="22" t="s">
        <v>39</v>
      </c>
      <c r="G4291" s="25">
        <v>2330.46</v>
      </c>
      <c r="H4291" s="22" t="s">
        <v>43</v>
      </c>
      <c r="I4291" s="22">
        <v>0</v>
      </c>
      <c r="J4291" s="22" t="s">
        <v>39</v>
      </c>
      <c r="K4291" s="22" t="s">
        <v>23</v>
      </c>
      <c r="L4291" s="22">
        <v>1</v>
      </c>
      <c r="M4291" s="26">
        <v>55000</v>
      </c>
      <c r="N4291" s="26">
        <v>0</v>
      </c>
      <c r="O4291" s="15">
        <f t="shared" si="369"/>
        <v>55000</v>
      </c>
      <c r="P4291" s="15">
        <f t="shared" si="368"/>
        <v>23.600490890210516</v>
      </c>
      <c r="Q4291" s="25">
        <v>5000</v>
      </c>
      <c r="R4291" s="22">
        <v>47</v>
      </c>
      <c r="S4291" s="22" t="s">
        <v>5210</v>
      </c>
      <c r="T4291" s="22">
        <f t="shared" si="364"/>
        <v>3</v>
      </c>
      <c r="U4291" s="22">
        <f t="shared" si="365"/>
        <v>2022</v>
      </c>
      <c r="V4291" s="22" t="str">
        <f t="shared" si="366"/>
        <v>METROPOLITANA</v>
      </c>
    </row>
    <row r="4292" spans="1:22" x14ac:dyDescent="0.2">
      <c r="A4292" s="23" t="s">
        <v>5204</v>
      </c>
      <c r="B4292" s="22" t="s">
        <v>33</v>
      </c>
      <c r="C4292" s="22" t="s">
        <v>29</v>
      </c>
      <c r="D4292" s="22" t="s">
        <v>37</v>
      </c>
      <c r="E4292" s="24" t="s">
        <v>40</v>
      </c>
      <c r="F4292" s="22" t="s">
        <v>39</v>
      </c>
      <c r="G4292" s="25">
        <v>7504.1999999999989</v>
      </c>
      <c r="H4292" s="22" t="s">
        <v>22</v>
      </c>
      <c r="I4292" s="22">
        <v>0</v>
      </c>
      <c r="J4292" s="22" t="s">
        <v>39</v>
      </c>
      <c r="K4292" s="22" t="s">
        <v>23</v>
      </c>
      <c r="L4292" s="22">
        <v>1</v>
      </c>
      <c r="M4292" s="26">
        <v>82546</v>
      </c>
      <c r="N4292" s="26">
        <v>0</v>
      </c>
      <c r="O4292" s="15">
        <f t="shared" si="369"/>
        <v>82546</v>
      </c>
      <c r="P4292" s="15">
        <f t="shared" si="368"/>
        <v>10.99997334825831</v>
      </c>
      <c r="Q4292" s="25">
        <v>5000</v>
      </c>
      <c r="R4292" s="22">
        <v>100</v>
      </c>
      <c r="S4292" s="22" t="s">
        <v>5211</v>
      </c>
      <c r="T4292" s="22">
        <f t="shared" si="364"/>
        <v>3</v>
      </c>
      <c r="U4292" s="22">
        <f t="shared" si="365"/>
        <v>2022</v>
      </c>
      <c r="V4292" s="22" t="str">
        <f t="shared" si="366"/>
        <v>METROPOLITANA</v>
      </c>
    </row>
    <row r="4293" spans="1:22" x14ac:dyDescent="0.2">
      <c r="A4293" s="23" t="s">
        <v>5204</v>
      </c>
      <c r="B4293" s="22" t="s">
        <v>33</v>
      </c>
      <c r="C4293" s="22" t="s">
        <v>29</v>
      </c>
      <c r="D4293" s="22" t="s">
        <v>37</v>
      </c>
      <c r="E4293" s="24" t="s">
        <v>40</v>
      </c>
      <c r="F4293" s="22" t="s">
        <v>134</v>
      </c>
      <c r="G4293" s="25">
        <v>6901.9999999999991</v>
      </c>
      <c r="H4293" s="22" t="s">
        <v>22</v>
      </c>
      <c r="I4293" s="22">
        <v>0</v>
      </c>
      <c r="J4293" s="22" t="s">
        <v>134</v>
      </c>
      <c r="K4293" s="22" t="s">
        <v>23</v>
      </c>
      <c r="L4293" s="22">
        <v>2</v>
      </c>
      <c r="M4293" s="26">
        <v>75922</v>
      </c>
      <c r="N4293" s="26">
        <v>0</v>
      </c>
      <c r="O4293" s="15">
        <f t="shared" si="369"/>
        <v>75922</v>
      </c>
      <c r="P4293" s="15">
        <f t="shared" si="368"/>
        <v>11.000000000000002</v>
      </c>
      <c r="Q4293" s="25">
        <v>5000</v>
      </c>
      <c r="R4293" s="22">
        <v>100</v>
      </c>
      <c r="S4293" s="22" t="s">
        <v>5212</v>
      </c>
      <c r="T4293" s="22">
        <f t="shared" si="364"/>
        <v>3</v>
      </c>
      <c r="U4293" s="22">
        <f t="shared" si="365"/>
        <v>2022</v>
      </c>
      <c r="V4293" s="22" t="str">
        <f t="shared" si="366"/>
        <v>METROPOLITANA</v>
      </c>
    </row>
    <row r="4294" spans="1:22" x14ac:dyDescent="0.2">
      <c r="A4294" s="23" t="s">
        <v>5204</v>
      </c>
      <c r="B4294" s="22" t="s">
        <v>33</v>
      </c>
      <c r="C4294" s="22" t="s">
        <v>29</v>
      </c>
      <c r="D4294" s="22" t="s">
        <v>164</v>
      </c>
      <c r="E4294" s="24" t="s">
        <v>1576</v>
      </c>
      <c r="F4294" s="22" t="s">
        <v>39</v>
      </c>
      <c r="G4294" s="25">
        <v>8156.6099999999979</v>
      </c>
      <c r="H4294" s="22" t="s">
        <v>22</v>
      </c>
      <c r="I4294" s="22">
        <v>1</v>
      </c>
      <c r="J4294" s="22" t="s">
        <v>39</v>
      </c>
      <c r="K4294" s="22" t="s">
        <v>23</v>
      </c>
      <c r="L4294" s="22">
        <v>1</v>
      </c>
      <c r="M4294" s="26">
        <v>89723</v>
      </c>
      <c r="N4294" s="26">
        <v>0</v>
      </c>
      <c r="O4294" s="15">
        <f t="shared" si="369"/>
        <v>89723</v>
      </c>
      <c r="P4294" s="15">
        <f t="shared" si="368"/>
        <v>11.00003555398628</v>
      </c>
      <c r="Q4294" s="25">
        <v>5000</v>
      </c>
      <c r="R4294" s="22">
        <v>100</v>
      </c>
      <c r="S4294" s="22" t="s">
        <v>5213</v>
      </c>
      <c r="T4294" s="22">
        <f t="shared" si="364"/>
        <v>3</v>
      </c>
      <c r="U4294" s="22">
        <f t="shared" si="365"/>
        <v>2022</v>
      </c>
      <c r="V4294" s="22" t="str">
        <f t="shared" si="366"/>
        <v>METROPOLITANA</v>
      </c>
    </row>
    <row r="4295" spans="1:22" x14ac:dyDescent="0.2">
      <c r="A4295" s="23" t="s">
        <v>5204</v>
      </c>
      <c r="B4295" s="22" t="s">
        <v>33</v>
      </c>
      <c r="C4295" s="22" t="s">
        <v>44</v>
      </c>
      <c r="D4295" s="22" t="s">
        <v>45</v>
      </c>
      <c r="E4295" s="24" t="s">
        <v>52</v>
      </c>
      <c r="F4295" s="22" t="s">
        <v>137</v>
      </c>
      <c r="G4295" s="25">
        <v>4801.8</v>
      </c>
      <c r="H4295" s="22" t="s">
        <v>22</v>
      </c>
      <c r="I4295" s="22">
        <v>0</v>
      </c>
      <c r="J4295" s="22" t="s">
        <v>137</v>
      </c>
      <c r="K4295" s="22" t="s">
        <v>23</v>
      </c>
      <c r="L4295" s="22">
        <v>1</v>
      </c>
      <c r="M4295" s="26">
        <v>55000</v>
      </c>
      <c r="N4295" s="26">
        <v>0</v>
      </c>
      <c r="O4295" s="15">
        <f t="shared" si="369"/>
        <v>55000</v>
      </c>
      <c r="P4295" s="15">
        <f t="shared" si="368"/>
        <v>11.454038069057436</v>
      </c>
      <c r="Q4295" s="25">
        <v>5000</v>
      </c>
      <c r="R4295" s="22">
        <v>96</v>
      </c>
      <c r="S4295" s="22" t="s">
        <v>5214</v>
      </c>
      <c r="T4295" s="22">
        <f t="shared" si="364"/>
        <v>3</v>
      </c>
      <c r="U4295" s="22">
        <f t="shared" si="365"/>
        <v>2022</v>
      </c>
      <c r="V4295" s="22" t="str">
        <f t="shared" si="366"/>
        <v>METROPOLITANA</v>
      </c>
    </row>
    <row r="4296" spans="1:22" x14ac:dyDescent="0.2">
      <c r="A4296" s="11" t="s">
        <v>5216</v>
      </c>
      <c r="B4296" s="12" t="s">
        <v>18</v>
      </c>
      <c r="C4296" s="12" t="s">
        <v>270</v>
      </c>
      <c r="D4296" s="12" t="s">
        <v>164</v>
      </c>
      <c r="E4296" s="13" t="s">
        <v>1576</v>
      </c>
      <c r="F4296" s="12" t="s">
        <v>377</v>
      </c>
      <c r="G4296" s="14">
        <v>16462.420000000009</v>
      </c>
      <c r="H4296" s="12" t="s">
        <v>22</v>
      </c>
      <c r="I4296" s="12">
        <v>1</v>
      </c>
      <c r="J4296" s="12" t="s">
        <v>377</v>
      </c>
      <c r="K4296" s="12" t="s">
        <v>23</v>
      </c>
      <c r="L4296" s="12">
        <v>4</v>
      </c>
      <c r="M4296" s="15">
        <v>181087</v>
      </c>
      <c r="N4296" s="15">
        <v>0</v>
      </c>
      <c r="O4296" s="15">
        <f t="shared" si="369"/>
        <v>181087</v>
      </c>
      <c r="P4296" s="15">
        <f t="shared" si="368"/>
        <v>11.000023082876023</v>
      </c>
      <c r="Q4296" s="14">
        <v>5000</v>
      </c>
      <c r="R4296" s="12">
        <v>100</v>
      </c>
      <c r="S4296" s="12" t="s">
        <v>5217</v>
      </c>
      <c r="T4296" s="22">
        <f t="shared" ref="T4296:T4359" si="370">MONTH(A4296)</f>
        <v>3</v>
      </c>
      <c r="U4296" s="22">
        <f t="shared" ref="U4296:U4359" si="371">YEAR(A4296)</f>
        <v>2022</v>
      </c>
      <c r="V4296" s="22" t="str">
        <f t="shared" ref="V4296:V4359" si="372">IF(K4296="METROPOLITANA DE SANTIAGO","METROPOLITANA","REGIONES")</f>
        <v>METROPOLITANA</v>
      </c>
    </row>
    <row r="4297" spans="1:22" x14ac:dyDescent="0.2">
      <c r="A4297" s="11" t="s">
        <v>5216</v>
      </c>
      <c r="B4297" s="12" t="s">
        <v>18</v>
      </c>
      <c r="C4297" s="12" t="s">
        <v>160</v>
      </c>
      <c r="D4297" s="12" t="s">
        <v>38</v>
      </c>
      <c r="E4297" s="13" t="s">
        <v>42</v>
      </c>
      <c r="F4297" s="12" t="s">
        <v>800</v>
      </c>
      <c r="G4297" s="14">
        <v>10535.92</v>
      </c>
      <c r="H4297" s="12" t="s">
        <v>43</v>
      </c>
      <c r="I4297" s="12">
        <v>0</v>
      </c>
      <c r="J4297" s="12" t="s">
        <v>800</v>
      </c>
      <c r="K4297" s="12" t="s">
        <v>23</v>
      </c>
      <c r="L4297" s="12">
        <v>5</v>
      </c>
      <c r="M4297" s="15">
        <v>90000</v>
      </c>
      <c r="N4297" s="15">
        <v>0</v>
      </c>
      <c r="O4297" s="15">
        <f t="shared" si="369"/>
        <v>90000</v>
      </c>
      <c r="P4297" s="15">
        <f t="shared" si="368"/>
        <v>8.5422060911624236</v>
      </c>
      <c r="Q4297" s="14">
        <v>10000</v>
      </c>
      <c r="R4297" s="12">
        <v>100</v>
      </c>
      <c r="S4297" s="12" t="s">
        <v>5218</v>
      </c>
      <c r="T4297" s="22">
        <f t="shared" si="370"/>
        <v>3</v>
      </c>
      <c r="U4297" s="22">
        <f t="shared" si="371"/>
        <v>2022</v>
      </c>
      <c r="V4297" s="22" t="str">
        <f t="shared" si="372"/>
        <v>METROPOLITANA</v>
      </c>
    </row>
    <row r="4298" spans="1:22" x14ac:dyDescent="0.2">
      <c r="A4298" s="11" t="s">
        <v>5216</v>
      </c>
      <c r="B4298" s="12" t="s">
        <v>33</v>
      </c>
      <c r="C4298" s="12" t="s">
        <v>2431</v>
      </c>
      <c r="D4298" s="12" t="s">
        <v>786</v>
      </c>
      <c r="E4298" s="13" t="s">
        <v>787</v>
      </c>
      <c r="F4298" s="12" t="s">
        <v>67</v>
      </c>
      <c r="G4298" s="14">
        <v>14059</v>
      </c>
      <c r="H4298" s="12" t="s">
        <v>788</v>
      </c>
      <c r="I4298" s="12">
        <v>1</v>
      </c>
      <c r="J4298" s="12" t="s">
        <v>67</v>
      </c>
      <c r="K4298" s="12" t="s">
        <v>23</v>
      </c>
      <c r="L4298" s="12">
        <v>2</v>
      </c>
      <c r="M4298" s="15">
        <v>154649</v>
      </c>
      <c r="N4298" s="15">
        <v>0</v>
      </c>
      <c r="O4298" s="15">
        <f t="shared" si="369"/>
        <v>154649</v>
      </c>
      <c r="P4298" s="15">
        <f t="shared" si="368"/>
        <v>11</v>
      </c>
      <c r="Q4298" s="14">
        <v>5000</v>
      </c>
      <c r="R4298" s="12">
        <v>100</v>
      </c>
      <c r="S4298" s="12" t="s">
        <v>5219</v>
      </c>
      <c r="T4298" s="22">
        <f t="shared" si="370"/>
        <v>3</v>
      </c>
      <c r="U4298" s="22">
        <f t="shared" si="371"/>
        <v>2022</v>
      </c>
      <c r="V4298" s="22" t="str">
        <f t="shared" si="372"/>
        <v>METROPOLITANA</v>
      </c>
    </row>
    <row r="4299" spans="1:22" x14ac:dyDescent="0.2">
      <c r="A4299" s="11" t="s">
        <v>5216</v>
      </c>
      <c r="B4299" s="12" t="s">
        <v>33</v>
      </c>
      <c r="C4299" s="12" t="s">
        <v>44</v>
      </c>
      <c r="D4299" s="12" t="s">
        <v>2262</v>
      </c>
      <c r="E4299" s="13" t="s">
        <v>83</v>
      </c>
      <c r="F4299" s="12" t="s">
        <v>92</v>
      </c>
      <c r="G4299" s="14">
        <v>8956.739999999998</v>
      </c>
      <c r="H4299" s="12" t="s">
        <v>24</v>
      </c>
      <c r="I4299" s="12">
        <v>1</v>
      </c>
      <c r="J4299" s="12" t="s">
        <v>92</v>
      </c>
      <c r="K4299" s="12" t="s">
        <v>93</v>
      </c>
      <c r="L4299" s="12">
        <v>0</v>
      </c>
      <c r="M4299" s="15">
        <v>665000</v>
      </c>
      <c r="N4299" s="15">
        <v>0</v>
      </c>
      <c r="O4299" s="15">
        <f t="shared" si="369"/>
        <v>665000</v>
      </c>
      <c r="P4299" s="15">
        <f t="shared" si="368"/>
        <v>74.245763525568478</v>
      </c>
      <c r="Q4299" s="14">
        <v>20000</v>
      </c>
      <c r="R4299" s="12">
        <v>45</v>
      </c>
      <c r="S4299" s="12" t="s">
        <v>5220</v>
      </c>
      <c r="T4299" s="22">
        <f t="shared" si="370"/>
        <v>3</v>
      </c>
      <c r="U4299" s="22">
        <f t="shared" si="371"/>
        <v>2022</v>
      </c>
      <c r="V4299" s="22" t="str">
        <f t="shared" si="372"/>
        <v>REGIONES</v>
      </c>
    </row>
    <row r="4300" spans="1:22" x14ac:dyDescent="0.2">
      <c r="A4300" s="11" t="s">
        <v>5216</v>
      </c>
      <c r="B4300" s="12" t="s">
        <v>33</v>
      </c>
      <c r="C4300" s="12" t="s">
        <v>44</v>
      </c>
      <c r="D4300" s="12" t="s">
        <v>37</v>
      </c>
      <c r="E4300" s="13" t="s">
        <v>40</v>
      </c>
      <c r="F4300" s="12" t="s">
        <v>48</v>
      </c>
      <c r="G4300" s="14">
        <v>5700.2</v>
      </c>
      <c r="H4300" s="12" t="s">
        <v>22</v>
      </c>
      <c r="I4300" s="12">
        <v>0</v>
      </c>
      <c r="J4300" s="12" t="s">
        <v>48</v>
      </c>
      <c r="K4300" s="12" t="s">
        <v>23</v>
      </c>
      <c r="L4300" s="12">
        <v>1</v>
      </c>
      <c r="M4300" s="15">
        <v>62702</v>
      </c>
      <c r="N4300" s="15">
        <v>0</v>
      </c>
      <c r="O4300" s="15">
        <f t="shared" si="369"/>
        <v>62702</v>
      </c>
      <c r="P4300" s="15">
        <f t="shared" si="368"/>
        <v>10.999964913511807</v>
      </c>
      <c r="Q4300" s="14">
        <v>5000</v>
      </c>
      <c r="R4300" s="12">
        <v>100</v>
      </c>
      <c r="S4300" s="12" t="s">
        <v>5221</v>
      </c>
      <c r="T4300" s="22">
        <f t="shared" si="370"/>
        <v>3</v>
      </c>
      <c r="U4300" s="22">
        <f t="shared" si="371"/>
        <v>2022</v>
      </c>
      <c r="V4300" s="22" t="str">
        <f t="shared" si="372"/>
        <v>METROPOLITANA</v>
      </c>
    </row>
    <row r="4301" spans="1:22" x14ac:dyDescent="0.2">
      <c r="A4301" s="11" t="s">
        <v>5216</v>
      </c>
      <c r="B4301" s="12" t="s">
        <v>33</v>
      </c>
      <c r="C4301" s="12" t="s">
        <v>44</v>
      </c>
      <c r="D4301" s="12" t="s">
        <v>45</v>
      </c>
      <c r="E4301" s="13" t="s">
        <v>52</v>
      </c>
      <c r="F4301" s="12" t="s">
        <v>53</v>
      </c>
      <c r="G4301" s="14">
        <v>5368.6200000000008</v>
      </c>
      <c r="H4301" s="12" t="s">
        <v>22</v>
      </c>
      <c r="I4301" s="12">
        <v>0</v>
      </c>
      <c r="J4301" s="12" t="s">
        <v>53</v>
      </c>
      <c r="K4301" s="12" t="s">
        <v>23</v>
      </c>
      <c r="L4301" s="12">
        <v>3</v>
      </c>
      <c r="M4301" s="15">
        <v>59055</v>
      </c>
      <c r="N4301" s="15">
        <v>0</v>
      </c>
      <c r="O4301" s="15">
        <f t="shared" si="369"/>
        <v>59055</v>
      </c>
      <c r="P4301" s="15">
        <f t="shared" si="368"/>
        <v>11.000033528169249</v>
      </c>
      <c r="Q4301" s="14">
        <v>5000</v>
      </c>
      <c r="R4301" s="12">
        <v>100</v>
      </c>
      <c r="S4301" s="12" t="s">
        <v>5222</v>
      </c>
      <c r="T4301" s="22">
        <f t="shared" si="370"/>
        <v>3</v>
      </c>
      <c r="U4301" s="22">
        <f t="shared" si="371"/>
        <v>2022</v>
      </c>
      <c r="V4301" s="22" t="str">
        <f t="shared" si="372"/>
        <v>METROPOLITANA</v>
      </c>
    </row>
    <row r="4302" spans="1:22" x14ac:dyDescent="0.2">
      <c r="A4302" s="11" t="s">
        <v>5216</v>
      </c>
      <c r="B4302" s="12" t="s">
        <v>33</v>
      </c>
      <c r="C4302" s="12" t="s">
        <v>44</v>
      </c>
      <c r="D4302" s="12" t="s">
        <v>47</v>
      </c>
      <c r="E4302" s="13" t="s">
        <v>49</v>
      </c>
      <c r="F4302" s="12" t="s">
        <v>94</v>
      </c>
      <c r="G4302" s="14">
        <v>6421.2</v>
      </c>
      <c r="H4302" s="12" t="s">
        <v>22</v>
      </c>
      <c r="I4302" s="12">
        <v>0</v>
      </c>
      <c r="J4302" s="12" t="s">
        <v>59</v>
      </c>
      <c r="K4302" s="12" t="s">
        <v>78</v>
      </c>
      <c r="L4302" s="12">
        <v>0</v>
      </c>
      <c r="M4302" s="15">
        <v>180000</v>
      </c>
      <c r="N4302" s="15">
        <v>0</v>
      </c>
      <c r="O4302" s="15">
        <f t="shared" si="369"/>
        <v>180000</v>
      </c>
      <c r="P4302" s="15">
        <f t="shared" si="368"/>
        <v>28.032143524574845</v>
      </c>
      <c r="Q4302" s="14">
        <v>20000</v>
      </c>
      <c r="R4302" s="12">
        <v>32</v>
      </c>
      <c r="S4302" s="12" t="s">
        <v>5223</v>
      </c>
      <c r="T4302" s="22">
        <f t="shared" si="370"/>
        <v>3</v>
      </c>
      <c r="U4302" s="22">
        <f t="shared" si="371"/>
        <v>2022</v>
      </c>
      <c r="V4302" s="22" t="str">
        <f t="shared" si="372"/>
        <v>REGIONES</v>
      </c>
    </row>
    <row r="4303" spans="1:22" x14ac:dyDescent="0.2">
      <c r="A4303" s="11" t="s">
        <v>5216</v>
      </c>
      <c r="B4303" s="12" t="s">
        <v>33</v>
      </c>
      <c r="C4303" s="12" t="s">
        <v>44</v>
      </c>
      <c r="D4303" s="12" t="s">
        <v>20</v>
      </c>
      <c r="E4303" s="13" t="s">
        <v>21</v>
      </c>
      <c r="F4303" s="12" t="s">
        <v>95</v>
      </c>
      <c r="G4303" s="14">
        <v>3916.2</v>
      </c>
      <c r="H4303" s="12" t="s">
        <v>22</v>
      </c>
      <c r="I4303" s="12">
        <v>0</v>
      </c>
      <c r="J4303" s="12" t="s">
        <v>95</v>
      </c>
      <c r="K4303" s="12" t="s">
        <v>23</v>
      </c>
      <c r="L4303" s="12">
        <v>4</v>
      </c>
      <c r="M4303" s="15">
        <v>55000</v>
      </c>
      <c r="N4303" s="15">
        <v>0</v>
      </c>
      <c r="O4303" s="15">
        <f t="shared" si="369"/>
        <v>55000</v>
      </c>
      <c r="P4303" s="15">
        <f t="shared" si="368"/>
        <v>14.044226546141669</v>
      </c>
      <c r="Q4303" s="14">
        <v>5000</v>
      </c>
      <c r="R4303" s="12">
        <v>78</v>
      </c>
      <c r="S4303" s="12" t="s">
        <v>5224</v>
      </c>
      <c r="T4303" s="22">
        <f t="shared" si="370"/>
        <v>3</v>
      </c>
      <c r="U4303" s="22">
        <f t="shared" si="371"/>
        <v>2022</v>
      </c>
      <c r="V4303" s="22" t="str">
        <f t="shared" si="372"/>
        <v>METROPOLITANA</v>
      </c>
    </row>
    <row r="4304" spans="1:22" x14ac:dyDescent="0.2">
      <c r="A4304" s="23" t="s">
        <v>5225</v>
      </c>
      <c r="B4304" s="22" t="s">
        <v>18</v>
      </c>
      <c r="C4304" s="22" t="s">
        <v>29</v>
      </c>
      <c r="D4304" s="22" t="s">
        <v>786</v>
      </c>
      <c r="E4304" s="24">
        <v>95707734</v>
      </c>
      <c r="F4304" s="22" t="s">
        <v>195</v>
      </c>
      <c r="G4304" s="25">
        <f>9804+1088+5253</f>
        <v>16145</v>
      </c>
      <c r="H4304" s="22" t="s">
        <v>788</v>
      </c>
      <c r="I4304" s="22">
        <v>1</v>
      </c>
      <c r="J4304" s="22" t="s">
        <v>195</v>
      </c>
      <c r="K4304" s="22" t="s">
        <v>124</v>
      </c>
      <c r="L4304" s="22">
        <v>0</v>
      </c>
      <c r="M4304" s="26">
        <v>350000</v>
      </c>
      <c r="N4304" s="26">
        <v>0</v>
      </c>
      <c r="O4304" s="15">
        <f t="shared" si="369"/>
        <v>350000</v>
      </c>
      <c r="P4304" s="15">
        <f t="shared" si="368"/>
        <v>21.678538247135336</v>
      </c>
      <c r="Q4304" s="25">
        <v>20000</v>
      </c>
      <c r="R4304" s="22">
        <v>85</v>
      </c>
      <c r="S4304" s="22" t="s">
        <v>5228</v>
      </c>
      <c r="T4304" s="22">
        <f t="shared" si="370"/>
        <v>3</v>
      </c>
      <c r="U4304" s="22">
        <f t="shared" si="371"/>
        <v>2022</v>
      </c>
      <c r="V4304" s="22" t="str">
        <f t="shared" si="372"/>
        <v>REGIONES</v>
      </c>
    </row>
    <row r="4305" spans="1:22" x14ac:dyDescent="0.2">
      <c r="A4305" s="23" t="s">
        <v>5225</v>
      </c>
      <c r="B4305" s="22" t="s">
        <v>33</v>
      </c>
      <c r="C4305" s="22" t="s">
        <v>44</v>
      </c>
      <c r="D4305" s="22" t="s">
        <v>2825</v>
      </c>
      <c r="E4305" s="24">
        <v>113693568</v>
      </c>
      <c r="F4305" s="22" t="s">
        <v>3438</v>
      </c>
      <c r="G4305" s="25">
        <v>13088</v>
      </c>
      <c r="H4305" s="22" t="s">
        <v>24</v>
      </c>
      <c r="I4305" s="22">
        <v>1</v>
      </c>
      <c r="J4305" s="22" t="s">
        <v>3438</v>
      </c>
      <c r="K4305" s="22" t="s">
        <v>93</v>
      </c>
      <c r="L4305" s="22">
        <v>0</v>
      </c>
      <c r="M4305" s="26">
        <v>800000</v>
      </c>
      <c r="N4305" s="26">
        <v>0</v>
      </c>
      <c r="O4305" s="15">
        <f t="shared" si="369"/>
        <v>800000</v>
      </c>
      <c r="P4305" s="15">
        <f t="shared" si="368"/>
        <v>61.124694376528119</v>
      </c>
      <c r="Q4305" s="25">
        <v>20000</v>
      </c>
      <c r="R4305" s="22">
        <v>65</v>
      </c>
      <c r="S4305" s="22" t="s">
        <v>5226</v>
      </c>
      <c r="T4305" s="22">
        <f t="shared" si="370"/>
        <v>3</v>
      </c>
      <c r="U4305" s="22">
        <f t="shared" si="371"/>
        <v>2022</v>
      </c>
      <c r="V4305" s="22" t="str">
        <f t="shared" si="372"/>
        <v>REGIONES</v>
      </c>
    </row>
    <row r="4306" spans="1:22" x14ac:dyDescent="0.2">
      <c r="A4306" s="23" t="s">
        <v>5225</v>
      </c>
      <c r="B4306" s="22" t="s">
        <v>33</v>
      </c>
      <c r="C4306" s="22" t="s">
        <v>44</v>
      </c>
      <c r="D4306" s="22" t="s">
        <v>45</v>
      </c>
      <c r="E4306" s="24">
        <v>99626232</v>
      </c>
      <c r="F4306" s="22" t="s">
        <v>26</v>
      </c>
      <c r="G4306" s="25">
        <v>3190.7000000000012</v>
      </c>
      <c r="H4306" s="22" t="s">
        <v>22</v>
      </c>
      <c r="I4306" s="22">
        <v>0</v>
      </c>
      <c r="J4306" s="22" t="s">
        <v>26</v>
      </c>
      <c r="K4306" s="22" t="s">
        <v>23</v>
      </c>
      <c r="L4306" s="22">
        <v>4</v>
      </c>
      <c r="M4306" s="26">
        <v>55000</v>
      </c>
      <c r="N4306" s="26">
        <v>0</v>
      </c>
      <c r="O4306" s="15">
        <f t="shared" si="369"/>
        <v>55000</v>
      </c>
      <c r="P4306" s="15">
        <f t="shared" si="368"/>
        <v>17.237596765600017</v>
      </c>
      <c r="Q4306" s="25">
        <v>5000</v>
      </c>
      <c r="R4306" s="22">
        <v>64</v>
      </c>
      <c r="S4306" s="22" t="s">
        <v>5227</v>
      </c>
      <c r="T4306" s="22">
        <f t="shared" si="370"/>
        <v>3</v>
      </c>
      <c r="U4306" s="22">
        <f t="shared" si="371"/>
        <v>2022</v>
      </c>
      <c r="V4306" s="22" t="str">
        <f t="shared" si="372"/>
        <v>METROPOLITANA</v>
      </c>
    </row>
    <row r="4307" spans="1:22" x14ac:dyDescent="0.2">
      <c r="A4307" s="11" t="s">
        <v>5229</v>
      </c>
      <c r="B4307" s="12" t="s">
        <v>18</v>
      </c>
      <c r="C4307" s="12" t="s">
        <v>57</v>
      </c>
      <c r="D4307" s="12" t="s">
        <v>37</v>
      </c>
      <c r="E4307" s="13" t="s">
        <v>40</v>
      </c>
      <c r="F4307" s="12" t="s">
        <v>89</v>
      </c>
      <c r="G4307" s="14">
        <v>9409.56</v>
      </c>
      <c r="H4307" s="12" t="s">
        <v>22</v>
      </c>
      <c r="I4307" s="12">
        <v>0</v>
      </c>
      <c r="J4307" s="12" t="s">
        <v>89</v>
      </c>
      <c r="K4307" s="12" t="s">
        <v>23</v>
      </c>
      <c r="L4307" s="12">
        <v>5</v>
      </c>
      <c r="M4307" s="15">
        <v>90000</v>
      </c>
      <c r="N4307" s="15">
        <v>0</v>
      </c>
      <c r="O4307" s="15">
        <f t="shared" si="369"/>
        <v>90000</v>
      </c>
      <c r="P4307" s="15">
        <f t="shared" si="368"/>
        <v>9.5647405404716057</v>
      </c>
      <c r="Q4307" s="14">
        <v>10000</v>
      </c>
      <c r="R4307" s="12">
        <v>94</v>
      </c>
      <c r="S4307" s="12" t="s">
        <v>5230</v>
      </c>
      <c r="T4307" s="22">
        <f t="shared" si="370"/>
        <v>3</v>
      </c>
      <c r="U4307" s="22">
        <f t="shared" si="371"/>
        <v>2022</v>
      </c>
      <c r="V4307" s="22" t="str">
        <f t="shared" si="372"/>
        <v>METROPOLITANA</v>
      </c>
    </row>
    <row r="4308" spans="1:22" x14ac:dyDescent="0.2">
      <c r="A4308" s="11" t="s">
        <v>5229</v>
      </c>
      <c r="B4308" s="12" t="s">
        <v>33</v>
      </c>
      <c r="C4308" s="12" t="s">
        <v>128</v>
      </c>
      <c r="D4308" s="12" t="s">
        <v>2955</v>
      </c>
      <c r="E4308" s="13" t="s">
        <v>2956</v>
      </c>
      <c r="F4308" s="12" t="s">
        <v>34</v>
      </c>
      <c r="G4308" s="14">
        <f>14257.6+750</f>
        <v>15007.6</v>
      </c>
      <c r="H4308" s="12" t="s">
        <v>24</v>
      </c>
      <c r="I4308" s="12">
        <v>1</v>
      </c>
      <c r="J4308" s="12" t="s">
        <v>34</v>
      </c>
      <c r="K4308" s="12" t="s">
        <v>23</v>
      </c>
      <c r="L4308" s="12">
        <v>1</v>
      </c>
      <c r="M4308" s="15">
        <v>156834</v>
      </c>
      <c r="N4308" s="15">
        <v>0</v>
      </c>
      <c r="O4308" s="15">
        <f t="shared" si="369"/>
        <v>156834</v>
      </c>
      <c r="P4308" s="15">
        <f t="shared" si="368"/>
        <v>10.450305178709453</v>
      </c>
      <c r="Q4308" s="14">
        <v>5000</v>
      </c>
      <c r="R4308" s="12">
        <v>100</v>
      </c>
      <c r="S4308" s="12" t="s">
        <v>5238</v>
      </c>
      <c r="T4308" s="22">
        <f t="shared" si="370"/>
        <v>3</v>
      </c>
      <c r="U4308" s="22">
        <f t="shared" si="371"/>
        <v>2022</v>
      </c>
      <c r="V4308" s="22" t="str">
        <f t="shared" si="372"/>
        <v>METROPOLITANA</v>
      </c>
    </row>
    <row r="4309" spans="1:22" x14ac:dyDescent="0.2">
      <c r="A4309" s="11" t="s">
        <v>5229</v>
      </c>
      <c r="B4309" s="12" t="s">
        <v>33</v>
      </c>
      <c r="C4309" s="12" t="s">
        <v>29</v>
      </c>
      <c r="D4309" s="12" t="s">
        <v>38</v>
      </c>
      <c r="E4309" s="13" t="s">
        <v>42</v>
      </c>
      <c r="F4309" s="12" t="s">
        <v>39</v>
      </c>
      <c r="G4309" s="14">
        <v>12350</v>
      </c>
      <c r="H4309" s="12" t="s">
        <v>43</v>
      </c>
      <c r="I4309" s="12">
        <v>0</v>
      </c>
      <c r="J4309" s="12" t="s">
        <v>39</v>
      </c>
      <c r="K4309" s="12" t="s">
        <v>23</v>
      </c>
      <c r="L4309" s="12">
        <v>1</v>
      </c>
      <c r="M4309" s="15">
        <v>135850</v>
      </c>
      <c r="N4309" s="15">
        <v>0</v>
      </c>
      <c r="O4309" s="15">
        <f t="shared" si="369"/>
        <v>135850</v>
      </c>
      <c r="P4309" s="15">
        <f t="shared" si="368"/>
        <v>11</v>
      </c>
      <c r="Q4309" s="14">
        <v>5000</v>
      </c>
      <c r="R4309" s="12">
        <v>100</v>
      </c>
      <c r="S4309" s="12" t="s">
        <v>5231</v>
      </c>
      <c r="T4309" s="22">
        <f t="shared" si="370"/>
        <v>3</v>
      </c>
      <c r="U4309" s="22">
        <f t="shared" si="371"/>
        <v>2022</v>
      </c>
      <c r="V4309" s="22" t="str">
        <f t="shared" si="372"/>
        <v>METROPOLITANA</v>
      </c>
    </row>
    <row r="4310" spans="1:22" x14ac:dyDescent="0.2">
      <c r="A4310" s="11" t="s">
        <v>5229</v>
      </c>
      <c r="B4310" s="12" t="s">
        <v>33</v>
      </c>
      <c r="C4310" s="12" t="s">
        <v>29</v>
      </c>
      <c r="D4310" s="12" t="s">
        <v>37</v>
      </c>
      <c r="E4310" s="13" t="s">
        <v>40</v>
      </c>
      <c r="F4310" s="12" t="s">
        <v>39</v>
      </c>
      <c r="G4310" s="14">
        <v>2748</v>
      </c>
      <c r="H4310" s="12" t="s">
        <v>22</v>
      </c>
      <c r="I4310" s="12">
        <v>0</v>
      </c>
      <c r="J4310" s="12" t="s">
        <v>39</v>
      </c>
      <c r="K4310" s="12" t="s">
        <v>23</v>
      </c>
      <c r="L4310" s="12">
        <v>1</v>
      </c>
      <c r="M4310" s="15">
        <v>55000</v>
      </c>
      <c r="N4310" s="15">
        <v>0</v>
      </c>
      <c r="O4310" s="15">
        <f t="shared" ref="O4310:O4337" si="373">SUM(M4310:N4310)</f>
        <v>55000</v>
      </c>
      <c r="P4310" s="15">
        <f t="shared" si="368"/>
        <v>20.014556040756915</v>
      </c>
      <c r="Q4310" s="14">
        <v>5000</v>
      </c>
      <c r="R4310" s="12">
        <v>55</v>
      </c>
      <c r="S4310" s="12" t="s">
        <v>5232</v>
      </c>
      <c r="T4310" s="22">
        <f t="shared" si="370"/>
        <v>3</v>
      </c>
      <c r="U4310" s="22">
        <f t="shared" si="371"/>
        <v>2022</v>
      </c>
      <c r="V4310" s="22" t="str">
        <f t="shared" si="372"/>
        <v>METROPOLITANA</v>
      </c>
    </row>
    <row r="4311" spans="1:22" x14ac:dyDescent="0.2">
      <c r="A4311" s="11" t="s">
        <v>5229</v>
      </c>
      <c r="B4311" s="12" t="s">
        <v>33</v>
      </c>
      <c r="C4311" s="12" t="s">
        <v>29</v>
      </c>
      <c r="D4311" s="12" t="s">
        <v>164</v>
      </c>
      <c r="E4311" s="13" t="s">
        <v>1576</v>
      </c>
      <c r="F4311" s="12" t="s">
        <v>39</v>
      </c>
      <c r="G4311" s="14">
        <v>8244.0000000000036</v>
      </c>
      <c r="H4311" s="12" t="s">
        <v>22</v>
      </c>
      <c r="I4311" s="12">
        <v>1</v>
      </c>
      <c r="J4311" s="12" t="s">
        <v>39</v>
      </c>
      <c r="K4311" s="12" t="s">
        <v>23</v>
      </c>
      <c r="L4311" s="12">
        <v>1</v>
      </c>
      <c r="M4311" s="15">
        <v>90684</v>
      </c>
      <c r="N4311" s="15">
        <v>0</v>
      </c>
      <c r="O4311" s="15">
        <f t="shared" si="373"/>
        <v>90684</v>
      </c>
      <c r="P4311" s="15">
        <f t="shared" si="368"/>
        <v>10.999999999999995</v>
      </c>
      <c r="Q4311" s="14">
        <v>5000</v>
      </c>
      <c r="R4311" s="12">
        <v>100</v>
      </c>
      <c r="S4311" s="12" t="s">
        <v>5233</v>
      </c>
      <c r="T4311" s="22">
        <f t="shared" si="370"/>
        <v>3</v>
      </c>
      <c r="U4311" s="22">
        <f t="shared" si="371"/>
        <v>2022</v>
      </c>
      <c r="V4311" s="22" t="str">
        <f t="shared" si="372"/>
        <v>METROPOLITANA</v>
      </c>
    </row>
    <row r="4312" spans="1:22" x14ac:dyDescent="0.2">
      <c r="A4312" s="11" t="s">
        <v>5229</v>
      </c>
      <c r="B4312" s="12" t="s">
        <v>33</v>
      </c>
      <c r="C4312" s="12" t="s">
        <v>29</v>
      </c>
      <c r="D4312" s="12" t="s">
        <v>20</v>
      </c>
      <c r="E4312" s="13" t="s">
        <v>21</v>
      </c>
      <c r="F4312" s="12" t="s">
        <v>39</v>
      </c>
      <c r="G4312" s="14">
        <v>2748</v>
      </c>
      <c r="H4312" s="12" t="s">
        <v>22</v>
      </c>
      <c r="I4312" s="12">
        <v>0</v>
      </c>
      <c r="J4312" s="12" t="s">
        <v>39</v>
      </c>
      <c r="K4312" s="12" t="s">
        <v>23</v>
      </c>
      <c r="L4312" s="12">
        <v>1</v>
      </c>
      <c r="M4312" s="15">
        <v>55000</v>
      </c>
      <c r="N4312" s="15">
        <v>0</v>
      </c>
      <c r="O4312" s="15">
        <f t="shared" si="373"/>
        <v>55000</v>
      </c>
      <c r="P4312" s="15">
        <f t="shared" si="368"/>
        <v>20.014556040756915</v>
      </c>
      <c r="Q4312" s="14">
        <v>5000</v>
      </c>
      <c r="R4312" s="12">
        <v>55</v>
      </c>
      <c r="S4312" s="12" t="s">
        <v>5234</v>
      </c>
      <c r="T4312" s="22">
        <f t="shared" si="370"/>
        <v>3</v>
      </c>
      <c r="U4312" s="22">
        <f t="shared" si="371"/>
        <v>2022</v>
      </c>
      <c r="V4312" s="22" t="str">
        <f t="shared" si="372"/>
        <v>METROPOLITANA</v>
      </c>
    </row>
    <row r="4313" spans="1:22" x14ac:dyDescent="0.2">
      <c r="A4313" s="11" t="s">
        <v>5229</v>
      </c>
      <c r="B4313" s="12" t="s">
        <v>33</v>
      </c>
      <c r="C4313" s="12" t="s">
        <v>44</v>
      </c>
      <c r="D4313" s="12" t="s">
        <v>4247</v>
      </c>
      <c r="E4313" s="13" t="s">
        <v>62</v>
      </c>
      <c r="F4313" s="12" t="s">
        <v>3139</v>
      </c>
      <c r="G4313" s="14">
        <v>12814</v>
      </c>
      <c r="H4313" s="12" t="s">
        <v>24</v>
      </c>
      <c r="I4313" s="12">
        <v>1</v>
      </c>
      <c r="J4313" s="12" t="s">
        <v>3139</v>
      </c>
      <c r="K4313" s="12" t="s">
        <v>93</v>
      </c>
      <c r="L4313" s="12">
        <v>0</v>
      </c>
      <c r="M4313" s="15">
        <v>530000</v>
      </c>
      <c r="N4313" s="15">
        <v>0</v>
      </c>
      <c r="O4313" s="15">
        <f t="shared" si="373"/>
        <v>530000</v>
      </c>
      <c r="P4313" s="15">
        <f t="shared" si="368"/>
        <v>41.361011393788047</v>
      </c>
      <c r="Q4313" s="14">
        <v>20000</v>
      </c>
      <c r="R4313" s="12">
        <v>64</v>
      </c>
      <c r="S4313" s="12" t="s">
        <v>5235</v>
      </c>
      <c r="T4313" s="22">
        <f t="shared" si="370"/>
        <v>3</v>
      </c>
      <c r="U4313" s="22">
        <f t="shared" si="371"/>
        <v>2022</v>
      </c>
      <c r="V4313" s="22" t="str">
        <f t="shared" si="372"/>
        <v>REGIONES</v>
      </c>
    </row>
    <row r="4314" spans="1:22" x14ac:dyDescent="0.2">
      <c r="A4314" s="11" t="s">
        <v>5229</v>
      </c>
      <c r="B4314" s="12" t="s">
        <v>33</v>
      </c>
      <c r="C4314" s="12" t="s">
        <v>44</v>
      </c>
      <c r="D4314" s="12" t="s">
        <v>45</v>
      </c>
      <c r="E4314" s="13" t="s">
        <v>52</v>
      </c>
      <c r="F4314" s="12" t="s">
        <v>48</v>
      </c>
      <c r="G4314" s="14">
        <v>3864.01</v>
      </c>
      <c r="H4314" s="12" t="s">
        <v>22</v>
      </c>
      <c r="I4314" s="12">
        <v>0</v>
      </c>
      <c r="J4314" s="12" t="s">
        <v>48</v>
      </c>
      <c r="K4314" s="12" t="s">
        <v>23</v>
      </c>
      <c r="L4314" s="12">
        <v>1</v>
      </c>
      <c r="M4314" s="15">
        <v>55000</v>
      </c>
      <c r="N4314" s="15">
        <v>0</v>
      </c>
      <c r="O4314" s="15">
        <f t="shared" si="373"/>
        <v>55000</v>
      </c>
      <c r="P4314" s="15">
        <f t="shared" si="368"/>
        <v>14.233917614084849</v>
      </c>
      <c r="Q4314" s="14">
        <v>5000</v>
      </c>
      <c r="R4314" s="12">
        <v>77</v>
      </c>
      <c r="S4314" s="12" t="s">
        <v>5236</v>
      </c>
      <c r="T4314" s="22">
        <f t="shared" si="370"/>
        <v>3</v>
      </c>
      <c r="U4314" s="22">
        <f t="shared" si="371"/>
        <v>2022</v>
      </c>
      <c r="V4314" s="22" t="str">
        <f t="shared" si="372"/>
        <v>METROPOLITANA</v>
      </c>
    </row>
    <row r="4315" spans="1:22" x14ac:dyDescent="0.2">
      <c r="A4315" s="11" t="s">
        <v>5229</v>
      </c>
      <c r="B4315" s="12" t="s">
        <v>33</v>
      </c>
      <c r="C4315" s="12" t="s">
        <v>44</v>
      </c>
      <c r="D4315" s="12" t="s">
        <v>47</v>
      </c>
      <c r="E4315" s="13" t="s">
        <v>49</v>
      </c>
      <c r="F4315" s="12" t="s">
        <v>67</v>
      </c>
      <c r="G4315" s="14">
        <v>6878.619999999999</v>
      </c>
      <c r="H4315" s="12" t="s">
        <v>22</v>
      </c>
      <c r="I4315" s="12">
        <v>0</v>
      </c>
      <c r="J4315" s="12" t="s">
        <v>67</v>
      </c>
      <c r="K4315" s="12" t="s">
        <v>23</v>
      </c>
      <c r="L4315" s="12">
        <v>2</v>
      </c>
      <c r="M4315" s="15">
        <v>75665</v>
      </c>
      <c r="N4315" s="15">
        <v>0</v>
      </c>
      <c r="O4315" s="15">
        <f t="shared" si="373"/>
        <v>75665</v>
      </c>
      <c r="P4315" s="15">
        <f t="shared" si="368"/>
        <v>11.000026168039522</v>
      </c>
      <c r="Q4315" s="14">
        <v>5000</v>
      </c>
      <c r="R4315" s="12">
        <v>100</v>
      </c>
      <c r="S4315" s="12" t="s">
        <v>5237</v>
      </c>
      <c r="T4315" s="22">
        <f t="shared" si="370"/>
        <v>3</v>
      </c>
      <c r="U4315" s="22">
        <f t="shared" si="371"/>
        <v>2022</v>
      </c>
      <c r="V4315" s="22" t="str">
        <f t="shared" si="372"/>
        <v>METROPOLITANA</v>
      </c>
    </row>
    <row r="4316" spans="1:22" x14ac:dyDescent="0.2">
      <c r="A4316" s="23" t="s">
        <v>5239</v>
      </c>
      <c r="B4316" s="22" t="s">
        <v>18</v>
      </c>
      <c r="C4316" s="22" t="s">
        <v>160</v>
      </c>
      <c r="D4316" s="22" t="s">
        <v>63</v>
      </c>
      <c r="E4316" s="24" t="s">
        <v>64</v>
      </c>
      <c r="F4316" s="22" t="s">
        <v>5240</v>
      </c>
      <c r="G4316" s="25">
        <v>8811.4399999999987</v>
      </c>
      <c r="H4316" s="22" t="s">
        <v>65</v>
      </c>
      <c r="I4316" s="22">
        <v>0</v>
      </c>
      <c r="J4316" s="22" t="s">
        <v>5240</v>
      </c>
      <c r="K4316" s="22" t="s">
        <v>78</v>
      </c>
      <c r="L4316" s="22">
        <v>0</v>
      </c>
      <c r="M4316" s="26">
        <v>180000</v>
      </c>
      <c r="N4316" s="26">
        <v>0</v>
      </c>
      <c r="O4316" s="15">
        <f t="shared" si="373"/>
        <v>180000</v>
      </c>
      <c r="P4316" s="15">
        <f t="shared" si="368"/>
        <v>20.427989068756073</v>
      </c>
      <c r="Q4316" s="25">
        <v>20000</v>
      </c>
      <c r="R4316" s="22">
        <v>44</v>
      </c>
      <c r="S4316" s="22" t="s">
        <v>5241</v>
      </c>
      <c r="T4316" s="22">
        <f t="shared" si="370"/>
        <v>3</v>
      </c>
      <c r="U4316" s="22">
        <f t="shared" si="371"/>
        <v>2022</v>
      </c>
      <c r="V4316" s="22" t="str">
        <f t="shared" si="372"/>
        <v>REGIONES</v>
      </c>
    </row>
    <row r="4317" spans="1:22" x14ac:dyDescent="0.2">
      <c r="A4317" s="23" t="s">
        <v>5239</v>
      </c>
      <c r="B4317" s="22" t="s">
        <v>18</v>
      </c>
      <c r="C4317" s="22" t="s">
        <v>19</v>
      </c>
      <c r="D4317" s="22" t="s">
        <v>786</v>
      </c>
      <c r="E4317" s="24" t="s">
        <v>787</v>
      </c>
      <c r="F4317" s="22" t="s">
        <v>407</v>
      </c>
      <c r="G4317" s="25">
        <v>25429.659999999989</v>
      </c>
      <c r="H4317" s="22" t="s">
        <v>788</v>
      </c>
      <c r="I4317" s="22">
        <v>1</v>
      </c>
      <c r="J4317" s="22" t="s">
        <v>407</v>
      </c>
      <c r="K4317" s="22" t="s">
        <v>408</v>
      </c>
      <c r="L4317" s="22">
        <v>0</v>
      </c>
      <c r="M4317" s="26">
        <v>600000</v>
      </c>
      <c r="N4317" s="26">
        <v>0</v>
      </c>
      <c r="O4317" s="15">
        <f t="shared" si="373"/>
        <v>600000</v>
      </c>
      <c r="P4317" s="15">
        <f t="shared" si="368"/>
        <v>23.594495561482155</v>
      </c>
      <c r="Q4317" s="25">
        <v>20000</v>
      </c>
      <c r="R4317" s="22">
        <v>100</v>
      </c>
      <c r="S4317" s="22" t="s">
        <v>5242</v>
      </c>
      <c r="T4317" s="22">
        <f t="shared" si="370"/>
        <v>3</v>
      </c>
      <c r="U4317" s="22">
        <f t="shared" si="371"/>
        <v>2022</v>
      </c>
      <c r="V4317" s="22" t="str">
        <f t="shared" si="372"/>
        <v>REGIONES</v>
      </c>
    </row>
    <row r="4318" spans="1:22" x14ac:dyDescent="0.2">
      <c r="A4318" s="23" t="s">
        <v>5239</v>
      </c>
      <c r="B4318" s="22" t="s">
        <v>33</v>
      </c>
      <c r="C4318" s="22" t="s">
        <v>128</v>
      </c>
      <c r="D4318" s="22" t="s">
        <v>2955</v>
      </c>
      <c r="E4318" s="24" t="s">
        <v>2956</v>
      </c>
      <c r="F4318" s="22" t="s">
        <v>34</v>
      </c>
      <c r="G4318" s="25">
        <v>14305.6</v>
      </c>
      <c r="H4318" s="22" t="s">
        <v>24</v>
      </c>
      <c r="I4318" s="22">
        <v>1</v>
      </c>
      <c r="J4318" s="22" t="s">
        <v>34</v>
      </c>
      <c r="K4318" s="22" t="s">
        <v>23</v>
      </c>
      <c r="L4318" s="22">
        <v>1</v>
      </c>
      <c r="M4318" s="26">
        <v>157362</v>
      </c>
      <c r="N4318" s="26">
        <v>0</v>
      </c>
      <c r="O4318" s="15">
        <f t="shared" si="373"/>
        <v>157362</v>
      </c>
      <c r="P4318" s="15">
        <f t="shared" si="368"/>
        <v>11.000027961078178</v>
      </c>
      <c r="Q4318" s="25">
        <v>5000</v>
      </c>
      <c r="R4318" s="22">
        <v>100</v>
      </c>
      <c r="S4318" s="22" t="s">
        <v>5243</v>
      </c>
      <c r="T4318" s="22">
        <f t="shared" si="370"/>
        <v>3</v>
      </c>
      <c r="U4318" s="22">
        <f t="shared" si="371"/>
        <v>2022</v>
      </c>
      <c r="V4318" s="22" t="str">
        <f t="shared" si="372"/>
        <v>METROPOLITANA</v>
      </c>
    </row>
    <row r="4319" spans="1:22" x14ac:dyDescent="0.2">
      <c r="A4319" s="23" t="s">
        <v>5239</v>
      </c>
      <c r="B4319" s="22" t="s">
        <v>33</v>
      </c>
      <c r="C4319" s="22" t="s">
        <v>29</v>
      </c>
      <c r="D4319" s="22" t="s">
        <v>38</v>
      </c>
      <c r="E4319" s="24" t="s">
        <v>42</v>
      </c>
      <c r="F4319" s="22" t="s">
        <v>39</v>
      </c>
      <c r="G4319" s="25">
        <f>2198.4+550</f>
        <v>2748.4</v>
      </c>
      <c r="H4319" s="22" t="s">
        <v>43</v>
      </c>
      <c r="I4319" s="22">
        <v>0</v>
      </c>
      <c r="J4319" s="22" t="s">
        <v>39</v>
      </c>
      <c r="K4319" s="22" t="s">
        <v>23</v>
      </c>
      <c r="L4319" s="22">
        <v>1</v>
      </c>
      <c r="M4319" s="26">
        <v>55000</v>
      </c>
      <c r="N4319" s="26">
        <v>0</v>
      </c>
      <c r="O4319" s="15">
        <f t="shared" si="373"/>
        <v>55000</v>
      </c>
      <c r="P4319" s="15">
        <f t="shared" si="368"/>
        <v>20.011643137825644</v>
      </c>
      <c r="Q4319" s="25">
        <v>5000</v>
      </c>
      <c r="R4319" s="22">
        <v>55</v>
      </c>
      <c r="S4319" s="22" t="s">
        <v>5249</v>
      </c>
      <c r="T4319" s="22">
        <f t="shared" si="370"/>
        <v>3</v>
      </c>
      <c r="U4319" s="22">
        <f t="shared" si="371"/>
        <v>2022</v>
      </c>
      <c r="V4319" s="22" t="str">
        <f t="shared" si="372"/>
        <v>METROPOLITANA</v>
      </c>
    </row>
    <row r="4320" spans="1:22" x14ac:dyDescent="0.2">
      <c r="A4320" s="23" t="s">
        <v>5239</v>
      </c>
      <c r="B4320" s="22" t="s">
        <v>33</v>
      </c>
      <c r="C4320" s="22" t="s">
        <v>29</v>
      </c>
      <c r="D4320" s="22" t="s">
        <v>37</v>
      </c>
      <c r="E4320" s="24" t="s">
        <v>40</v>
      </c>
      <c r="F4320" s="22" t="s">
        <v>39</v>
      </c>
      <c r="G4320" s="25">
        <v>13000</v>
      </c>
      <c r="H4320" s="22" t="s">
        <v>22</v>
      </c>
      <c r="I4320" s="22">
        <v>0</v>
      </c>
      <c r="J4320" s="22" t="s">
        <v>39</v>
      </c>
      <c r="K4320" s="22" t="s">
        <v>23</v>
      </c>
      <c r="L4320" s="22">
        <v>1</v>
      </c>
      <c r="M4320" s="26">
        <v>143000</v>
      </c>
      <c r="N4320" s="26">
        <v>0</v>
      </c>
      <c r="O4320" s="15">
        <f t="shared" si="373"/>
        <v>143000</v>
      </c>
      <c r="P4320" s="15">
        <f t="shared" si="368"/>
        <v>11</v>
      </c>
      <c r="Q4320" s="25">
        <v>5000</v>
      </c>
      <c r="R4320" s="22">
        <v>100</v>
      </c>
      <c r="S4320" s="22" t="s">
        <v>5244</v>
      </c>
      <c r="T4320" s="22">
        <f t="shared" si="370"/>
        <v>3</v>
      </c>
      <c r="U4320" s="22">
        <f t="shared" si="371"/>
        <v>2022</v>
      </c>
      <c r="V4320" s="22" t="str">
        <f t="shared" si="372"/>
        <v>METROPOLITANA</v>
      </c>
    </row>
    <row r="4321" spans="1:22" x14ac:dyDescent="0.2">
      <c r="A4321" s="23" t="s">
        <v>5239</v>
      </c>
      <c r="B4321" s="22" t="s">
        <v>33</v>
      </c>
      <c r="C4321" s="22" t="s">
        <v>29</v>
      </c>
      <c r="D4321" s="22" t="s">
        <v>164</v>
      </c>
      <c r="E4321" s="24" t="s">
        <v>1576</v>
      </c>
      <c r="F4321" s="22" t="s">
        <v>39</v>
      </c>
      <c r="G4321" s="25">
        <f>5221.2+275</f>
        <v>5496.2</v>
      </c>
      <c r="H4321" s="22" t="s">
        <v>22</v>
      </c>
      <c r="I4321" s="22">
        <v>1</v>
      </c>
      <c r="J4321" s="22" t="s">
        <v>39</v>
      </c>
      <c r="K4321" s="22" t="s">
        <v>23</v>
      </c>
      <c r="L4321" s="22">
        <v>1</v>
      </c>
      <c r="M4321" s="26">
        <v>57433</v>
      </c>
      <c r="N4321" s="26">
        <v>0</v>
      </c>
      <c r="O4321" s="15">
        <f t="shared" si="373"/>
        <v>57433</v>
      </c>
      <c r="P4321" s="15">
        <f t="shared" ref="P4321:P4384" si="374">O4321/G4321</f>
        <v>10.449583348495324</v>
      </c>
      <c r="Q4321" s="25">
        <v>5000</v>
      </c>
      <c r="R4321" s="22">
        <v>100</v>
      </c>
      <c r="S4321" s="22" t="s">
        <v>5250</v>
      </c>
      <c r="T4321" s="22">
        <f t="shared" si="370"/>
        <v>3</v>
      </c>
      <c r="U4321" s="22">
        <f t="shared" si="371"/>
        <v>2022</v>
      </c>
      <c r="V4321" s="22" t="str">
        <f t="shared" si="372"/>
        <v>METROPOLITANA</v>
      </c>
    </row>
    <row r="4322" spans="1:22" x14ac:dyDescent="0.2">
      <c r="A4322" s="23" t="s">
        <v>5239</v>
      </c>
      <c r="B4322" s="22" t="s">
        <v>33</v>
      </c>
      <c r="C4322" s="22" t="s">
        <v>29</v>
      </c>
      <c r="D4322" s="22" t="s">
        <v>20</v>
      </c>
      <c r="E4322" s="24" t="s">
        <v>21</v>
      </c>
      <c r="F4322" s="22" t="s">
        <v>39</v>
      </c>
      <c r="G4322" s="25">
        <v>2748</v>
      </c>
      <c r="H4322" s="22" t="s">
        <v>22</v>
      </c>
      <c r="I4322" s="22">
        <v>0</v>
      </c>
      <c r="J4322" s="22" t="s">
        <v>39</v>
      </c>
      <c r="K4322" s="22" t="s">
        <v>23</v>
      </c>
      <c r="L4322" s="22">
        <v>1</v>
      </c>
      <c r="M4322" s="26">
        <v>55000</v>
      </c>
      <c r="N4322" s="26">
        <v>0</v>
      </c>
      <c r="O4322" s="15">
        <f t="shared" si="373"/>
        <v>55000</v>
      </c>
      <c r="P4322" s="15">
        <f t="shared" si="374"/>
        <v>20.014556040756915</v>
      </c>
      <c r="Q4322" s="25">
        <v>5000</v>
      </c>
      <c r="R4322" s="22">
        <v>55</v>
      </c>
      <c r="S4322" s="22" t="s">
        <v>5245</v>
      </c>
      <c r="T4322" s="22">
        <f t="shared" si="370"/>
        <v>3</v>
      </c>
      <c r="U4322" s="22">
        <f t="shared" si="371"/>
        <v>2022</v>
      </c>
      <c r="V4322" s="22" t="str">
        <f t="shared" si="372"/>
        <v>METROPOLITANA</v>
      </c>
    </row>
    <row r="4323" spans="1:22" x14ac:dyDescent="0.2">
      <c r="A4323" s="23" t="s">
        <v>5239</v>
      </c>
      <c r="B4323" s="22" t="s">
        <v>33</v>
      </c>
      <c r="C4323" s="22" t="s">
        <v>44</v>
      </c>
      <c r="D4323" s="22" t="s">
        <v>2825</v>
      </c>
      <c r="E4323" s="24" t="s">
        <v>639</v>
      </c>
      <c r="F4323" s="22" t="s">
        <v>2308</v>
      </c>
      <c r="G4323" s="25">
        <v>13740.22</v>
      </c>
      <c r="H4323" s="22" t="s">
        <v>24</v>
      </c>
      <c r="I4323" s="22">
        <v>1</v>
      </c>
      <c r="J4323" s="22" t="s">
        <v>2308</v>
      </c>
      <c r="K4323" s="22" t="s">
        <v>2309</v>
      </c>
      <c r="L4323" s="22">
        <v>0</v>
      </c>
      <c r="M4323" s="26">
        <v>800000</v>
      </c>
      <c r="N4323" s="26">
        <v>0</v>
      </c>
      <c r="O4323" s="15">
        <f t="shared" si="373"/>
        <v>800000</v>
      </c>
      <c r="P4323" s="15">
        <f t="shared" si="374"/>
        <v>58.223230777964254</v>
      </c>
      <c r="Q4323" s="25">
        <v>20000</v>
      </c>
      <c r="R4323" s="22">
        <v>69</v>
      </c>
      <c r="S4323" s="22" t="s">
        <v>5246</v>
      </c>
      <c r="T4323" s="22">
        <f t="shared" si="370"/>
        <v>3</v>
      </c>
      <c r="U4323" s="22">
        <f t="shared" si="371"/>
        <v>2022</v>
      </c>
      <c r="V4323" s="22" t="str">
        <f t="shared" si="372"/>
        <v>REGIONES</v>
      </c>
    </row>
    <row r="4324" spans="1:22" x14ac:dyDescent="0.2">
      <c r="A4324" s="23" t="s">
        <v>5239</v>
      </c>
      <c r="B4324" s="22" t="s">
        <v>33</v>
      </c>
      <c r="C4324" s="22" t="s">
        <v>44</v>
      </c>
      <c r="D4324" s="22" t="s">
        <v>45</v>
      </c>
      <c r="E4324" s="24" t="s">
        <v>52</v>
      </c>
      <c r="F4324" s="22" t="s">
        <v>225</v>
      </c>
      <c r="G4324" s="25">
        <v>3865.71</v>
      </c>
      <c r="H4324" s="22" t="s">
        <v>22</v>
      </c>
      <c r="I4324" s="22">
        <v>0</v>
      </c>
      <c r="J4324" s="22" t="s">
        <v>225</v>
      </c>
      <c r="K4324" s="22" t="s">
        <v>23</v>
      </c>
      <c r="L4324" s="22">
        <v>3</v>
      </c>
      <c r="M4324" s="26">
        <v>55000</v>
      </c>
      <c r="N4324" s="26">
        <v>0</v>
      </c>
      <c r="O4324" s="15">
        <f t="shared" si="373"/>
        <v>55000</v>
      </c>
      <c r="P4324" s="15">
        <f t="shared" si="374"/>
        <v>14.227658049879581</v>
      </c>
      <c r="Q4324" s="25">
        <v>5000</v>
      </c>
      <c r="R4324" s="22">
        <v>77</v>
      </c>
      <c r="S4324" s="22" t="s">
        <v>5247</v>
      </c>
      <c r="T4324" s="22">
        <f t="shared" si="370"/>
        <v>3</v>
      </c>
      <c r="U4324" s="22">
        <f t="shared" si="371"/>
        <v>2022</v>
      </c>
      <c r="V4324" s="22" t="str">
        <f t="shared" si="372"/>
        <v>METROPOLITANA</v>
      </c>
    </row>
    <row r="4325" spans="1:22" x14ac:dyDescent="0.2">
      <c r="A4325" s="23" t="s">
        <v>5239</v>
      </c>
      <c r="B4325" s="22" t="s">
        <v>33</v>
      </c>
      <c r="C4325" s="22" t="s">
        <v>44</v>
      </c>
      <c r="D4325" s="22" t="s">
        <v>47</v>
      </c>
      <c r="E4325" s="24" t="s">
        <v>49</v>
      </c>
      <c r="F4325" s="22" t="s">
        <v>46</v>
      </c>
      <c r="G4325" s="25">
        <v>4394.8999999999996</v>
      </c>
      <c r="H4325" s="22" t="s">
        <v>22</v>
      </c>
      <c r="I4325" s="22">
        <v>0</v>
      </c>
      <c r="J4325" s="22" t="s">
        <v>46</v>
      </c>
      <c r="K4325" s="22" t="s">
        <v>23</v>
      </c>
      <c r="L4325" s="22">
        <v>2</v>
      </c>
      <c r="M4325" s="26">
        <v>55000</v>
      </c>
      <c r="N4325" s="26">
        <v>0</v>
      </c>
      <c r="O4325" s="15">
        <f t="shared" si="373"/>
        <v>55000</v>
      </c>
      <c r="P4325" s="15">
        <f t="shared" si="374"/>
        <v>12.514505449498284</v>
      </c>
      <c r="Q4325" s="25">
        <v>5000</v>
      </c>
      <c r="R4325" s="22">
        <v>88</v>
      </c>
      <c r="S4325" s="22" t="s">
        <v>5248</v>
      </c>
      <c r="T4325" s="22">
        <f t="shared" si="370"/>
        <v>3</v>
      </c>
      <c r="U4325" s="22">
        <f t="shared" si="371"/>
        <v>2022</v>
      </c>
      <c r="V4325" s="22" t="str">
        <f t="shared" si="372"/>
        <v>METROPOLITANA</v>
      </c>
    </row>
    <row r="4326" spans="1:22" x14ac:dyDescent="0.2">
      <c r="A4326" s="11" t="s">
        <v>5251</v>
      </c>
      <c r="B4326" s="12" t="s">
        <v>18</v>
      </c>
      <c r="C4326" s="12" t="s">
        <v>57</v>
      </c>
      <c r="D4326" s="12" t="s">
        <v>38</v>
      </c>
      <c r="E4326" s="13" t="s">
        <v>42</v>
      </c>
      <c r="F4326" s="12" t="s">
        <v>58</v>
      </c>
      <c r="G4326" s="14">
        <v>13653.23</v>
      </c>
      <c r="H4326" s="12" t="s">
        <v>43</v>
      </c>
      <c r="I4326" s="12">
        <v>0</v>
      </c>
      <c r="J4326" s="12" t="s">
        <v>58</v>
      </c>
      <c r="K4326" s="12" t="s">
        <v>23</v>
      </c>
      <c r="L4326" s="12">
        <v>5</v>
      </c>
      <c r="M4326" s="15">
        <v>70000</v>
      </c>
      <c r="N4326" s="15">
        <v>0</v>
      </c>
      <c r="O4326" s="15">
        <f t="shared" si="373"/>
        <v>70000</v>
      </c>
      <c r="P4326" s="15">
        <f t="shared" si="374"/>
        <v>5.1269919279174232</v>
      </c>
      <c r="Q4326" s="14">
        <v>10000</v>
      </c>
      <c r="R4326" s="12">
        <v>100</v>
      </c>
      <c r="S4326" s="12" t="s">
        <v>5252</v>
      </c>
      <c r="T4326" s="22">
        <f t="shared" si="370"/>
        <v>3</v>
      </c>
      <c r="U4326" s="22">
        <f t="shared" si="371"/>
        <v>2022</v>
      </c>
      <c r="V4326" s="22" t="str">
        <f t="shared" si="372"/>
        <v>METROPOLITANA</v>
      </c>
    </row>
    <row r="4327" spans="1:22" x14ac:dyDescent="0.2">
      <c r="A4327" s="11" t="s">
        <v>5251</v>
      </c>
      <c r="B4327" s="12" t="s">
        <v>18</v>
      </c>
      <c r="C4327" s="12" t="s">
        <v>57</v>
      </c>
      <c r="D4327" s="12" t="s">
        <v>37</v>
      </c>
      <c r="E4327" s="13" t="s">
        <v>40</v>
      </c>
      <c r="F4327" s="12" t="s">
        <v>58</v>
      </c>
      <c r="G4327" s="14">
        <v>11124.2</v>
      </c>
      <c r="H4327" s="12" t="s">
        <v>22</v>
      </c>
      <c r="I4327" s="12">
        <v>0</v>
      </c>
      <c r="J4327" s="12" t="s">
        <v>58</v>
      </c>
      <c r="K4327" s="12" t="s">
        <v>23</v>
      </c>
      <c r="L4327" s="12">
        <v>5</v>
      </c>
      <c r="M4327" s="15">
        <v>70000</v>
      </c>
      <c r="N4327" s="15">
        <v>0</v>
      </c>
      <c r="O4327" s="15">
        <f t="shared" si="373"/>
        <v>70000</v>
      </c>
      <c r="P4327" s="15">
        <f t="shared" si="374"/>
        <v>6.2925873321227588</v>
      </c>
      <c r="Q4327" s="14">
        <v>10000</v>
      </c>
      <c r="R4327" s="12">
        <v>100</v>
      </c>
      <c r="S4327" s="12" t="s">
        <v>5253</v>
      </c>
      <c r="T4327" s="22">
        <f t="shared" si="370"/>
        <v>3</v>
      </c>
      <c r="U4327" s="22">
        <f t="shared" si="371"/>
        <v>2022</v>
      </c>
      <c r="V4327" s="22" t="str">
        <f t="shared" si="372"/>
        <v>METROPOLITANA</v>
      </c>
    </row>
    <row r="4328" spans="1:22" x14ac:dyDescent="0.2">
      <c r="A4328" s="11" t="s">
        <v>5251</v>
      </c>
      <c r="B4328" s="12" t="s">
        <v>18</v>
      </c>
      <c r="C4328" s="12" t="s">
        <v>160</v>
      </c>
      <c r="D4328" s="12" t="s">
        <v>63</v>
      </c>
      <c r="E4328" s="13" t="s">
        <v>64</v>
      </c>
      <c r="F4328" s="12" t="s">
        <v>5240</v>
      </c>
      <c r="G4328" s="14">
        <v>8811.4399999999987</v>
      </c>
      <c r="H4328" s="12" t="s">
        <v>65</v>
      </c>
      <c r="I4328" s="12">
        <v>0</v>
      </c>
      <c r="J4328" s="12" t="s">
        <v>5240</v>
      </c>
      <c r="K4328" s="12" t="s">
        <v>78</v>
      </c>
      <c r="L4328" s="12">
        <v>0</v>
      </c>
      <c r="M4328" s="15">
        <v>180000</v>
      </c>
      <c r="N4328" s="15">
        <v>0</v>
      </c>
      <c r="O4328" s="15">
        <f t="shared" si="373"/>
        <v>180000</v>
      </c>
      <c r="P4328" s="15">
        <f t="shared" si="374"/>
        <v>20.427989068756073</v>
      </c>
      <c r="Q4328" s="14">
        <v>20000</v>
      </c>
      <c r="R4328" s="12">
        <v>44</v>
      </c>
      <c r="S4328" s="12" t="s">
        <v>5254</v>
      </c>
      <c r="T4328" s="22">
        <f t="shared" si="370"/>
        <v>3</v>
      </c>
      <c r="U4328" s="22">
        <f t="shared" si="371"/>
        <v>2022</v>
      </c>
      <c r="V4328" s="22" t="str">
        <f t="shared" si="372"/>
        <v>REGIONES</v>
      </c>
    </row>
    <row r="4329" spans="1:22" x14ac:dyDescent="0.2">
      <c r="A4329" s="11" t="s">
        <v>5251</v>
      </c>
      <c r="B4329" s="12" t="s">
        <v>33</v>
      </c>
      <c r="C4329" s="12" t="s">
        <v>128</v>
      </c>
      <c r="D4329" s="12" t="s">
        <v>2955</v>
      </c>
      <c r="E4329" s="13" t="s">
        <v>2956</v>
      </c>
      <c r="F4329" s="12" t="s">
        <v>34</v>
      </c>
      <c r="G4329" s="14">
        <v>8244.0000000000036</v>
      </c>
      <c r="H4329" s="12" t="s">
        <v>24</v>
      </c>
      <c r="I4329" s="12">
        <v>1</v>
      </c>
      <c r="J4329" s="12" t="s">
        <v>34</v>
      </c>
      <c r="K4329" s="12" t="s">
        <v>23</v>
      </c>
      <c r="L4329" s="12">
        <v>1</v>
      </c>
      <c r="M4329" s="15">
        <v>90684</v>
      </c>
      <c r="N4329" s="15">
        <v>0</v>
      </c>
      <c r="O4329" s="15">
        <f t="shared" si="373"/>
        <v>90684</v>
      </c>
      <c r="P4329" s="15">
        <f t="shared" si="374"/>
        <v>10.999999999999995</v>
      </c>
      <c r="Q4329" s="14">
        <v>5000</v>
      </c>
      <c r="R4329" s="12">
        <v>100</v>
      </c>
      <c r="S4329" s="12" t="s">
        <v>5255</v>
      </c>
      <c r="T4329" s="22">
        <f t="shared" si="370"/>
        <v>3</v>
      </c>
      <c r="U4329" s="22">
        <f t="shared" si="371"/>
        <v>2022</v>
      </c>
      <c r="V4329" s="22" t="str">
        <f t="shared" si="372"/>
        <v>METROPOLITANA</v>
      </c>
    </row>
    <row r="4330" spans="1:22" x14ac:dyDescent="0.2">
      <c r="A4330" s="11" t="s">
        <v>5251</v>
      </c>
      <c r="B4330" s="12" t="s">
        <v>33</v>
      </c>
      <c r="C4330" s="12" t="s">
        <v>29</v>
      </c>
      <c r="D4330" s="12" t="s">
        <v>38</v>
      </c>
      <c r="E4330" s="13" t="s">
        <v>42</v>
      </c>
      <c r="F4330" s="12" t="s">
        <v>39</v>
      </c>
      <c r="G4330" s="14">
        <v>7948</v>
      </c>
      <c r="H4330" s="12" t="s">
        <v>43</v>
      </c>
      <c r="I4330" s="12">
        <v>0</v>
      </c>
      <c r="J4330" s="12" t="s">
        <v>39</v>
      </c>
      <c r="K4330" s="12" t="s">
        <v>23</v>
      </c>
      <c r="L4330" s="12">
        <v>1</v>
      </c>
      <c r="M4330" s="15">
        <v>87428</v>
      </c>
      <c r="N4330" s="15">
        <v>0</v>
      </c>
      <c r="O4330" s="15">
        <f t="shared" si="373"/>
        <v>87428</v>
      </c>
      <c r="P4330" s="15">
        <f t="shared" si="374"/>
        <v>11</v>
      </c>
      <c r="Q4330" s="14">
        <v>5000</v>
      </c>
      <c r="R4330" s="12">
        <v>100</v>
      </c>
      <c r="S4330" s="12" t="s">
        <v>5256</v>
      </c>
      <c r="T4330" s="22">
        <f t="shared" si="370"/>
        <v>3</v>
      </c>
      <c r="U4330" s="22">
        <f t="shared" si="371"/>
        <v>2022</v>
      </c>
      <c r="V4330" s="22" t="str">
        <f t="shared" si="372"/>
        <v>METROPOLITANA</v>
      </c>
    </row>
    <row r="4331" spans="1:22" x14ac:dyDescent="0.2">
      <c r="A4331" s="11" t="s">
        <v>5251</v>
      </c>
      <c r="B4331" s="12" t="s">
        <v>33</v>
      </c>
      <c r="C4331" s="12" t="s">
        <v>29</v>
      </c>
      <c r="D4331" s="12" t="s">
        <v>164</v>
      </c>
      <c r="E4331" s="13" t="s">
        <v>1576</v>
      </c>
      <c r="F4331" s="12" t="s">
        <v>39</v>
      </c>
      <c r="G4331" s="14">
        <v>21815</v>
      </c>
      <c r="H4331" s="12" t="s">
        <v>22</v>
      </c>
      <c r="I4331" s="12">
        <v>1</v>
      </c>
      <c r="J4331" s="12" t="s">
        <v>39</v>
      </c>
      <c r="K4331" s="12" t="s">
        <v>23</v>
      </c>
      <c r="L4331" s="12">
        <v>1</v>
      </c>
      <c r="M4331" s="15">
        <v>239965</v>
      </c>
      <c r="N4331" s="15">
        <v>0</v>
      </c>
      <c r="O4331" s="15">
        <f t="shared" si="373"/>
        <v>239965</v>
      </c>
      <c r="P4331" s="15">
        <f t="shared" si="374"/>
        <v>11</v>
      </c>
      <c r="Q4331" s="14">
        <v>5000</v>
      </c>
      <c r="R4331" s="12">
        <v>100</v>
      </c>
      <c r="S4331" s="12" t="s">
        <v>5257</v>
      </c>
      <c r="T4331" s="22">
        <f t="shared" si="370"/>
        <v>3</v>
      </c>
      <c r="U4331" s="22">
        <f t="shared" si="371"/>
        <v>2022</v>
      </c>
      <c r="V4331" s="22" t="str">
        <f t="shared" si="372"/>
        <v>METROPOLITANA</v>
      </c>
    </row>
    <row r="4332" spans="1:22" x14ac:dyDescent="0.2">
      <c r="A4332" s="11" t="s">
        <v>5251</v>
      </c>
      <c r="B4332" s="12" t="s">
        <v>33</v>
      </c>
      <c r="C4332" s="12" t="s">
        <v>29</v>
      </c>
      <c r="D4332" s="12" t="s">
        <v>20</v>
      </c>
      <c r="E4332" s="13" t="s">
        <v>21</v>
      </c>
      <c r="F4332" s="12" t="s">
        <v>39</v>
      </c>
      <c r="G4332" s="14">
        <v>7623.0000000000027</v>
      </c>
      <c r="H4332" s="12" t="s">
        <v>22</v>
      </c>
      <c r="I4332" s="12">
        <v>0</v>
      </c>
      <c r="J4332" s="12" t="s">
        <v>39</v>
      </c>
      <c r="K4332" s="12" t="s">
        <v>23</v>
      </c>
      <c r="L4332" s="12">
        <v>1</v>
      </c>
      <c r="M4332" s="15">
        <v>83853</v>
      </c>
      <c r="N4332" s="15">
        <v>0</v>
      </c>
      <c r="O4332" s="15">
        <f t="shared" si="373"/>
        <v>83853</v>
      </c>
      <c r="P4332" s="15">
        <f t="shared" si="374"/>
        <v>10.999999999999996</v>
      </c>
      <c r="Q4332" s="14">
        <v>5000</v>
      </c>
      <c r="R4332" s="12">
        <v>100</v>
      </c>
      <c r="S4332" s="12" t="s">
        <v>5258</v>
      </c>
      <c r="T4332" s="22">
        <f t="shared" si="370"/>
        <v>3</v>
      </c>
      <c r="U4332" s="22">
        <f t="shared" si="371"/>
        <v>2022</v>
      </c>
      <c r="V4332" s="22" t="str">
        <f t="shared" si="372"/>
        <v>METROPOLITANA</v>
      </c>
    </row>
    <row r="4333" spans="1:22" x14ac:dyDescent="0.2">
      <c r="A4333" s="11" t="s">
        <v>5251</v>
      </c>
      <c r="B4333" s="12" t="s">
        <v>33</v>
      </c>
      <c r="C4333" s="12" t="s">
        <v>44</v>
      </c>
      <c r="D4333" s="12" t="s">
        <v>47</v>
      </c>
      <c r="E4333" s="13" t="s">
        <v>49</v>
      </c>
      <c r="F4333" s="12" t="s">
        <v>34</v>
      </c>
      <c r="G4333" s="14">
        <v>6889.7999999999984</v>
      </c>
      <c r="H4333" s="12" t="s">
        <v>22</v>
      </c>
      <c r="I4333" s="12">
        <v>0</v>
      </c>
      <c r="J4333" s="12" t="s">
        <v>34</v>
      </c>
      <c r="K4333" s="12" t="s">
        <v>23</v>
      </c>
      <c r="L4333" s="12">
        <v>1</v>
      </c>
      <c r="M4333" s="15">
        <v>75788</v>
      </c>
      <c r="N4333" s="15">
        <v>0</v>
      </c>
      <c r="O4333" s="15">
        <f t="shared" si="373"/>
        <v>75788</v>
      </c>
      <c r="P4333" s="15">
        <f t="shared" si="374"/>
        <v>11.000029028418824</v>
      </c>
      <c r="Q4333" s="14">
        <v>5000</v>
      </c>
      <c r="R4333" s="12">
        <v>100</v>
      </c>
      <c r="S4333" s="12" t="s">
        <v>5259</v>
      </c>
      <c r="T4333" s="22">
        <f t="shared" si="370"/>
        <v>3</v>
      </c>
      <c r="U4333" s="22">
        <f t="shared" si="371"/>
        <v>2022</v>
      </c>
      <c r="V4333" s="22" t="str">
        <f t="shared" si="372"/>
        <v>METROPOLITANA</v>
      </c>
    </row>
    <row r="4334" spans="1:22" x14ac:dyDescent="0.2">
      <c r="A4334" s="23" t="s">
        <v>5260</v>
      </c>
      <c r="B4334" s="22" t="s">
        <v>18</v>
      </c>
      <c r="C4334" s="22" t="s">
        <v>270</v>
      </c>
      <c r="D4334" s="22" t="s">
        <v>786</v>
      </c>
      <c r="E4334" s="24" t="s">
        <v>787</v>
      </c>
      <c r="F4334" s="22" t="s">
        <v>377</v>
      </c>
      <c r="G4334" s="25">
        <f>3040.96+14908+10986</f>
        <v>28934.959999999999</v>
      </c>
      <c r="H4334" s="22" t="s">
        <v>788</v>
      </c>
      <c r="I4334" s="22">
        <v>1</v>
      </c>
      <c r="J4334" s="22" t="s">
        <v>377</v>
      </c>
      <c r="K4334" s="22" t="s">
        <v>23</v>
      </c>
      <c r="L4334" s="22">
        <v>4</v>
      </c>
      <c r="M4334" s="26">
        <v>55000</v>
      </c>
      <c r="N4334" s="26">
        <v>0</v>
      </c>
      <c r="O4334" s="15">
        <f t="shared" si="373"/>
        <v>55000</v>
      </c>
      <c r="P4334" s="15">
        <f t="shared" si="374"/>
        <v>1.9008147929010444</v>
      </c>
      <c r="Q4334" s="25">
        <v>5000</v>
      </c>
      <c r="R4334" s="22">
        <v>100</v>
      </c>
      <c r="S4334" s="22" t="s">
        <v>5274</v>
      </c>
      <c r="T4334" s="22">
        <f t="shared" si="370"/>
        <v>3</v>
      </c>
      <c r="U4334" s="22">
        <f t="shared" si="371"/>
        <v>2022</v>
      </c>
      <c r="V4334" s="22" t="str">
        <f t="shared" si="372"/>
        <v>METROPOLITANA</v>
      </c>
    </row>
    <row r="4335" spans="1:22" x14ac:dyDescent="0.2">
      <c r="A4335" s="23" t="s">
        <v>5260</v>
      </c>
      <c r="B4335" s="22" t="s">
        <v>18</v>
      </c>
      <c r="C4335" s="22" t="s">
        <v>57</v>
      </c>
      <c r="D4335" s="22" t="s">
        <v>37</v>
      </c>
      <c r="E4335" s="24" t="s">
        <v>40</v>
      </c>
      <c r="F4335" s="22" t="s">
        <v>58</v>
      </c>
      <c r="G4335" s="25">
        <v>15732.4</v>
      </c>
      <c r="H4335" s="22" t="s">
        <v>22</v>
      </c>
      <c r="I4335" s="22">
        <v>0</v>
      </c>
      <c r="J4335" s="22" t="s">
        <v>58</v>
      </c>
      <c r="K4335" s="22" t="s">
        <v>23</v>
      </c>
      <c r="L4335" s="22">
        <v>5</v>
      </c>
      <c r="M4335" s="26">
        <v>70000</v>
      </c>
      <c r="N4335" s="26">
        <v>0</v>
      </c>
      <c r="O4335" s="15">
        <f t="shared" si="373"/>
        <v>70000</v>
      </c>
      <c r="P4335" s="15">
        <f t="shared" si="374"/>
        <v>4.449416490808777</v>
      </c>
      <c r="Q4335" s="25">
        <v>10000</v>
      </c>
      <c r="R4335" s="22">
        <v>100</v>
      </c>
      <c r="S4335" s="22" t="s">
        <v>5261</v>
      </c>
      <c r="T4335" s="22">
        <f t="shared" si="370"/>
        <v>3</v>
      </c>
      <c r="U4335" s="22">
        <f t="shared" si="371"/>
        <v>2022</v>
      </c>
      <c r="V4335" s="22" t="str">
        <f t="shared" si="372"/>
        <v>METROPOLITANA</v>
      </c>
    </row>
    <row r="4336" spans="1:22" x14ac:dyDescent="0.2">
      <c r="A4336" s="23" t="s">
        <v>5260</v>
      </c>
      <c r="B4336" s="22" t="s">
        <v>18</v>
      </c>
      <c r="C4336" s="22" t="s">
        <v>160</v>
      </c>
      <c r="D4336" s="22" t="s">
        <v>38</v>
      </c>
      <c r="E4336" s="24" t="s">
        <v>42</v>
      </c>
      <c r="F4336" s="22" t="s">
        <v>800</v>
      </c>
      <c r="G4336" s="25">
        <v>7890.6799999999976</v>
      </c>
      <c r="H4336" s="22" t="s">
        <v>43</v>
      </c>
      <c r="I4336" s="22">
        <v>0</v>
      </c>
      <c r="J4336" s="22" t="s">
        <v>800</v>
      </c>
      <c r="K4336" s="22" t="s">
        <v>23</v>
      </c>
      <c r="L4336" s="22">
        <v>5</v>
      </c>
      <c r="M4336" s="26">
        <v>90000</v>
      </c>
      <c r="N4336" s="26">
        <v>0</v>
      </c>
      <c r="O4336" s="15">
        <f t="shared" si="373"/>
        <v>90000</v>
      </c>
      <c r="P4336" s="15">
        <f t="shared" si="374"/>
        <v>11.40586109181972</v>
      </c>
      <c r="Q4336" s="25">
        <v>10000</v>
      </c>
      <c r="R4336" s="22">
        <v>79</v>
      </c>
      <c r="S4336" s="22" t="s">
        <v>5262</v>
      </c>
      <c r="T4336" s="22">
        <f t="shared" si="370"/>
        <v>3</v>
      </c>
      <c r="U4336" s="22">
        <f t="shared" si="371"/>
        <v>2022</v>
      </c>
      <c r="V4336" s="22" t="str">
        <f t="shared" si="372"/>
        <v>METROPOLITANA</v>
      </c>
    </row>
    <row r="4337" spans="1:22" x14ac:dyDescent="0.2">
      <c r="A4337" s="23" t="s">
        <v>5260</v>
      </c>
      <c r="B4337" s="22" t="s">
        <v>18</v>
      </c>
      <c r="C4337" s="22" t="s">
        <v>160</v>
      </c>
      <c r="D4337" s="22" t="s">
        <v>63</v>
      </c>
      <c r="E4337" s="24" t="s">
        <v>64</v>
      </c>
      <c r="F4337" s="22" t="s">
        <v>5240</v>
      </c>
      <c r="G4337" s="25">
        <v>8811.4399999999987</v>
      </c>
      <c r="H4337" s="22" t="s">
        <v>65</v>
      </c>
      <c r="I4337" s="22">
        <v>0</v>
      </c>
      <c r="J4337" s="22" t="s">
        <v>5240</v>
      </c>
      <c r="K4337" s="22" t="s">
        <v>78</v>
      </c>
      <c r="L4337" s="22">
        <v>0</v>
      </c>
      <c r="M4337" s="26">
        <v>180000</v>
      </c>
      <c r="N4337" s="26">
        <v>0</v>
      </c>
      <c r="O4337" s="15">
        <f t="shared" si="373"/>
        <v>180000</v>
      </c>
      <c r="P4337" s="15">
        <f t="shared" si="374"/>
        <v>20.427989068756073</v>
      </c>
      <c r="Q4337" s="25">
        <v>20000</v>
      </c>
      <c r="R4337" s="22">
        <v>44</v>
      </c>
      <c r="S4337" s="22" t="s">
        <v>5263</v>
      </c>
      <c r="T4337" s="22">
        <f t="shared" si="370"/>
        <v>3</v>
      </c>
      <c r="U4337" s="22">
        <f t="shared" si="371"/>
        <v>2022</v>
      </c>
      <c r="V4337" s="22" t="str">
        <f t="shared" si="372"/>
        <v>REGIONES</v>
      </c>
    </row>
    <row r="4338" spans="1:22" x14ac:dyDescent="0.2">
      <c r="A4338" s="23" t="s">
        <v>5260</v>
      </c>
      <c r="B4338" s="22" t="s">
        <v>33</v>
      </c>
      <c r="C4338" s="22" t="s">
        <v>5264</v>
      </c>
      <c r="D4338" s="22" t="s">
        <v>20</v>
      </c>
      <c r="E4338" s="24" t="s">
        <v>21</v>
      </c>
      <c r="F4338" s="22" t="s">
        <v>182</v>
      </c>
      <c r="G4338" s="25">
        <v>281.39999999999998</v>
      </c>
      <c r="H4338" s="22" t="s">
        <v>22</v>
      </c>
      <c r="I4338" s="22">
        <v>0</v>
      </c>
      <c r="J4338" s="22" t="s">
        <v>182</v>
      </c>
      <c r="K4338" s="22" t="s">
        <v>23</v>
      </c>
      <c r="L4338" s="22">
        <v>4</v>
      </c>
      <c r="M4338" s="26">
        <v>55000</v>
      </c>
      <c r="N4338" s="26">
        <v>0</v>
      </c>
      <c r="O4338" s="15">
        <v>0</v>
      </c>
      <c r="P4338" s="15">
        <f t="shared" si="374"/>
        <v>0</v>
      </c>
      <c r="Q4338" s="25">
        <v>0</v>
      </c>
      <c r="R4338" s="22">
        <v>100</v>
      </c>
      <c r="S4338" s="22" t="s">
        <v>5265</v>
      </c>
      <c r="T4338" s="22">
        <f t="shared" si="370"/>
        <v>3</v>
      </c>
      <c r="U4338" s="22">
        <f t="shared" si="371"/>
        <v>2022</v>
      </c>
      <c r="V4338" s="22" t="str">
        <f t="shared" si="372"/>
        <v>METROPOLITANA</v>
      </c>
    </row>
    <row r="4339" spans="1:22" x14ac:dyDescent="0.2">
      <c r="A4339" s="23" t="s">
        <v>5260</v>
      </c>
      <c r="B4339" s="22" t="s">
        <v>33</v>
      </c>
      <c r="C4339" s="22" t="s">
        <v>5264</v>
      </c>
      <c r="D4339" s="22" t="s">
        <v>20</v>
      </c>
      <c r="E4339" s="24" t="s">
        <v>21</v>
      </c>
      <c r="F4339" s="22" t="s">
        <v>134</v>
      </c>
      <c r="G4339" s="25">
        <v>375.2</v>
      </c>
      <c r="H4339" s="22" t="s">
        <v>22</v>
      </c>
      <c r="I4339" s="22">
        <v>0</v>
      </c>
      <c r="J4339" s="22" t="s">
        <v>134</v>
      </c>
      <c r="K4339" s="22" t="s">
        <v>23</v>
      </c>
      <c r="L4339" s="22">
        <v>2</v>
      </c>
      <c r="M4339" s="26">
        <v>55000</v>
      </c>
      <c r="N4339" s="26">
        <v>0</v>
      </c>
      <c r="O4339" s="15">
        <v>0</v>
      </c>
      <c r="P4339" s="15">
        <f t="shared" si="374"/>
        <v>0</v>
      </c>
      <c r="Q4339" s="25">
        <v>0</v>
      </c>
      <c r="R4339" s="22">
        <v>100</v>
      </c>
      <c r="S4339" s="22" t="s">
        <v>5266</v>
      </c>
      <c r="T4339" s="22">
        <f t="shared" si="370"/>
        <v>3</v>
      </c>
      <c r="U4339" s="22">
        <f t="shared" si="371"/>
        <v>2022</v>
      </c>
      <c r="V4339" s="22" t="str">
        <f t="shared" si="372"/>
        <v>METROPOLITANA</v>
      </c>
    </row>
    <row r="4340" spans="1:22" x14ac:dyDescent="0.2">
      <c r="A4340" s="23" t="s">
        <v>5260</v>
      </c>
      <c r="B4340" s="22" t="s">
        <v>33</v>
      </c>
      <c r="C4340" s="22" t="s">
        <v>29</v>
      </c>
      <c r="D4340" s="22" t="s">
        <v>38</v>
      </c>
      <c r="E4340" s="24" t="s">
        <v>42</v>
      </c>
      <c r="F4340" s="22" t="s">
        <v>39</v>
      </c>
      <c r="G4340" s="25">
        <v>12093</v>
      </c>
      <c r="H4340" s="22" t="s">
        <v>43</v>
      </c>
      <c r="I4340" s="22">
        <v>0</v>
      </c>
      <c r="J4340" s="22" t="s">
        <v>39</v>
      </c>
      <c r="K4340" s="22" t="s">
        <v>23</v>
      </c>
      <c r="L4340" s="22">
        <v>1</v>
      </c>
      <c r="M4340" s="26">
        <v>133023</v>
      </c>
      <c r="N4340" s="26">
        <v>0</v>
      </c>
      <c r="O4340" s="15">
        <f t="shared" ref="O4340:O4371" si="375">SUM(M4340:N4340)</f>
        <v>133023</v>
      </c>
      <c r="P4340" s="15">
        <f t="shared" si="374"/>
        <v>11</v>
      </c>
      <c r="Q4340" s="25">
        <v>5000</v>
      </c>
      <c r="R4340" s="22">
        <v>100</v>
      </c>
      <c r="S4340" s="22" t="s">
        <v>5267</v>
      </c>
      <c r="T4340" s="22">
        <f t="shared" si="370"/>
        <v>3</v>
      </c>
      <c r="U4340" s="22">
        <f t="shared" si="371"/>
        <v>2022</v>
      </c>
      <c r="V4340" s="22" t="str">
        <f t="shared" si="372"/>
        <v>METROPOLITANA</v>
      </c>
    </row>
    <row r="4341" spans="1:22" x14ac:dyDescent="0.2">
      <c r="A4341" s="23" t="s">
        <v>5260</v>
      </c>
      <c r="B4341" s="22" t="s">
        <v>33</v>
      </c>
      <c r="C4341" s="22" t="s">
        <v>29</v>
      </c>
      <c r="D4341" s="22" t="s">
        <v>45</v>
      </c>
      <c r="E4341" s="24" t="s">
        <v>21</v>
      </c>
      <c r="F4341" s="22" t="s">
        <v>129</v>
      </c>
      <c r="G4341" s="25">
        <v>5257.8</v>
      </c>
      <c r="H4341" s="22" t="s">
        <v>22</v>
      </c>
      <c r="I4341" s="22">
        <v>0</v>
      </c>
      <c r="J4341" s="22" t="s">
        <v>129</v>
      </c>
      <c r="K4341" s="22" t="s">
        <v>23</v>
      </c>
      <c r="L4341" s="22">
        <v>1</v>
      </c>
      <c r="M4341" s="26">
        <v>57836</v>
      </c>
      <c r="N4341" s="26">
        <v>0</v>
      </c>
      <c r="O4341" s="15">
        <f t="shared" si="375"/>
        <v>57836</v>
      </c>
      <c r="P4341" s="15">
        <f t="shared" si="374"/>
        <v>11.000038038723421</v>
      </c>
      <c r="Q4341" s="25">
        <v>5000</v>
      </c>
      <c r="R4341" s="22">
        <v>100</v>
      </c>
      <c r="S4341" s="22" t="s">
        <v>5268</v>
      </c>
      <c r="T4341" s="22">
        <f t="shared" si="370"/>
        <v>3</v>
      </c>
      <c r="U4341" s="22">
        <f t="shared" si="371"/>
        <v>2022</v>
      </c>
      <c r="V4341" s="22" t="str">
        <f t="shared" si="372"/>
        <v>METROPOLITANA</v>
      </c>
    </row>
    <row r="4342" spans="1:22" x14ac:dyDescent="0.2">
      <c r="A4342" s="23" t="s">
        <v>5260</v>
      </c>
      <c r="B4342" s="22" t="s">
        <v>33</v>
      </c>
      <c r="C4342" s="22" t="s">
        <v>29</v>
      </c>
      <c r="D4342" s="22" t="s">
        <v>164</v>
      </c>
      <c r="E4342" s="24" t="s">
        <v>1576</v>
      </c>
      <c r="F4342" s="22" t="s">
        <v>39</v>
      </c>
      <c r="G4342" s="25">
        <v>9171.6</v>
      </c>
      <c r="H4342" s="22" t="s">
        <v>22</v>
      </c>
      <c r="I4342" s="22">
        <v>1</v>
      </c>
      <c r="J4342" s="22" t="s">
        <v>39</v>
      </c>
      <c r="K4342" s="22" t="s">
        <v>23</v>
      </c>
      <c r="L4342" s="22">
        <v>1</v>
      </c>
      <c r="M4342" s="26">
        <v>100888</v>
      </c>
      <c r="N4342" s="26">
        <v>0</v>
      </c>
      <c r="O4342" s="15">
        <f t="shared" si="375"/>
        <v>100888</v>
      </c>
      <c r="P4342" s="15">
        <f t="shared" si="374"/>
        <v>11.00004361289197</v>
      </c>
      <c r="Q4342" s="25">
        <v>5000</v>
      </c>
      <c r="R4342" s="22">
        <v>100</v>
      </c>
      <c r="S4342" s="22" t="s">
        <v>5269</v>
      </c>
      <c r="T4342" s="22">
        <f t="shared" si="370"/>
        <v>3</v>
      </c>
      <c r="U4342" s="22">
        <f t="shared" si="371"/>
        <v>2022</v>
      </c>
      <c r="V4342" s="22" t="str">
        <f t="shared" si="372"/>
        <v>METROPOLITANA</v>
      </c>
    </row>
    <row r="4343" spans="1:22" x14ac:dyDescent="0.2">
      <c r="A4343" s="23" t="s">
        <v>5260</v>
      </c>
      <c r="B4343" s="22" t="s">
        <v>33</v>
      </c>
      <c r="C4343" s="22" t="s">
        <v>29</v>
      </c>
      <c r="D4343" s="22" t="s">
        <v>20</v>
      </c>
      <c r="E4343" s="24" t="s">
        <v>5270</v>
      </c>
      <c r="F4343" s="22" t="s">
        <v>39</v>
      </c>
      <c r="G4343" s="25">
        <f>1099.2+1374</f>
        <v>2473.1999999999998</v>
      </c>
      <c r="H4343" s="22" t="s">
        <v>22</v>
      </c>
      <c r="I4343" s="22">
        <v>0</v>
      </c>
      <c r="J4343" s="22" t="s">
        <v>39</v>
      </c>
      <c r="K4343" s="22" t="s">
        <v>23</v>
      </c>
      <c r="L4343" s="22">
        <v>1</v>
      </c>
      <c r="M4343" s="26">
        <v>55000</v>
      </c>
      <c r="N4343" s="26">
        <v>0</v>
      </c>
      <c r="O4343" s="15">
        <f t="shared" si="375"/>
        <v>55000</v>
      </c>
      <c r="P4343" s="15">
        <f t="shared" si="374"/>
        <v>22.238395600841017</v>
      </c>
      <c r="Q4343" s="25">
        <v>5000</v>
      </c>
      <c r="R4343" s="22">
        <v>22</v>
      </c>
      <c r="S4343" s="22" t="s">
        <v>5273</v>
      </c>
      <c r="T4343" s="22">
        <f t="shared" si="370"/>
        <v>3</v>
      </c>
      <c r="U4343" s="22">
        <f t="shared" si="371"/>
        <v>2022</v>
      </c>
      <c r="V4343" s="22" t="str">
        <f t="shared" si="372"/>
        <v>METROPOLITANA</v>
      </c>
    </row>
    <row r="4344" spans="1:22" x14ac:dyDescent="0.2">
      <c r="A4344" s="23" t="s">
        <v>5260</v>
      </c>
      <c r="B4344" s="22" t="s">
        <v>33</v>
      </c>
      <c r="C4344" s="22" t="s">
        <v>44</v>
      </c>
      <c r="D4344" s="22" t="s">
        <v>45</v>
      </c>
      <c r="E4344" s="24" t="s">
        <v>52</v>
      </c>
      <c r="F4344" s="22" t="s">
        <v>51</v>
      </c>
      <c r="G4344" s="38">
        <v>4744.8999999999996</v>
      </c>
      <c r="H4344" s="22" t="s">
        <v>22</v>
      </c>
      <c r="I4344" s="22">
        <v>0</v>
      </c>
      <c r="J4344" s="22" t="s">
        <v>51</v>
      </c>
      <c r="K4344" s="22" t="s">
        <v>23</v>
      </c>
      <c r="L4344" s="22">
        <v>4</v>
      </c>
      <c r="M4344" s="26">
        <v>55000</v>
      </c>
      <c r="N4344" s="26">
        <v>0</v>
      </c>
      <c r="O4344" s="15">
        <f t="shared" si="375"/>
        <v>55000</v>
      </c>
      <c r="P4344" s="15">
        <f t="shared" si="374"/>
        <v>11.591392863917049</v>
      </c>
      <c r="Q4344" s="25">
        <v>5000</v>
      </c>
      <c r="R4344" s="22">
        <v>95</v>
      </c>
      <c r="S4344" s="22" t="s">
        <v>5271</v>
      </c>
      <c r="T4344" s="22">
        <f t="shared" si="370"/>
        <v>3</v>
      </c>
      <c r="U4344" s="22">
        <f t="shared" si="371"/>
        <v>2022</v>
      </c>
      <c r="V4344" s="22" t="str">
        <f t="shared" si="372"/>
        <v>METROPOLITANA</v>
      </c>
    </row>
    <row r="4345" spans="1:22" x14ac:dyDescent="0.2">
      <c r="A4345" s="23" t="s">
        <v>5260</v>
      </c>
      <c r="B4345" s="22" t="s">
        <v>33</v>
      </c>
      <c r="C4345" s="22" t="s">
        <v>44</v>
      </c>
      <c r="D4345" s="22" t="s">
        <v>47</v>
      </c>
      <c r="E4345" s="24" t="s">
        <v>49</v>
      </c>
      <c r="F4345" s="22" t="s">
        <v>48</v>
      </c>
      <c r="G4345" s="25">
        <v>6251</v>
      </c>
      <c r="H4345" s="22" t="s">
        <v>22</v>
      </c>
      <c r="I4345" s="22">
        <v>0</v>
      </c>
      <c r="J4345" s="22" t="s">
        <v>48</v>
      </c>
      <c r="K4345" s="22" t="s">
        <v>23</v>
      </c>
      <c r="L4345" s="22">
        <v>1</v>
      </c>
      <c r="M4345" s="26">
        <v>68761</v>
      </c>
      <c r="N4345" s="26">
        <v>0</v>
      </c>
      <c r="O4345" s="15">
        <f t="shared" si="375"/>
        <v>68761</v>
      </c>
      <c r="P4345" s="15">
        <f t="shared" si="374"/>
        <v>11</v>
      </c>
      <c r="Q4345" s="25">
        <v>5000</v>
      </c>
      <c r="R4345" s="22">
        <v>100</v>
      </c>
      <c r="S4345" s="22" t="s">
        <v>5272</v>
      </c>
      <c r="T4345" s="22">
        <f t="shared" si="370"/>
        <v>3</v>
      </c>
      <c r="U4345" s="22">
        <f t="shared" si="371"/>
        <v>2022</v>
      </c>
      <c r="V4345" s="22" t="str">
        <f t="shared" si="372"/>
        <v>METROPOLITANA</v>
      </c>
    </row>
    <row r="4346" spans="1:22" x14ac:dyDescent="0.2">
      <c r="A4346" s="11" t="s">
        <v>5275</v>
      </c>
      <c r="B4346" s="12" t="s">
        <v>18</v>
      </c>
      <c r="C4346" s="12" t="s">
        <v>160</v>
      </c>
      <c r="D4346" s="12" t="s">
        <v>63</v>
      </c>
      <c r="E4346" s="13" t="s">
        <v>64</v>
      </c>
      <c r="F4346" s="12" t="s">
        <v>5240</v>
      </c>
      <c r="G4346" s="14">
        <v>8340.24</v>
      </c>
      <c r="H4346" s="12" t="s">
        <v>65</v>
      </c>
      <c r="I4346" s="12">
        <v>0</v>
      </c>
      <c r="J4346" s="12" t="s">
        <v>5240</v>
      </c>
      <c r="K4346" s="12" t="s">
        <v>78</v>
      </c>
      <c r="L4346" s="12">
        <v>0</v>
      </c>
      <c r="M4346" s="15">
        <v>180000</v>
      </c>
      <c r="N4346" s="15">
        <v>0</v>
      </c>
      <c r="O4346" s="15">
        <f t="shared" si="375"/>
        <v>180000</v>
      </c>
      <c r="P4346" s="15">
        <f t="shared" si="374"/>
        <v>21.58211274495698</v>
      </c>
      <c r="Q4346" s="14">
        <v>20000</v>
      </c>
      <c r="R4346" s="12">
        <v>42</v>
      </c>
      <c r="S4346" s="12" t="s">
        <v>5276</v>
      </c>
      <c r="T4346" s="22">
        <f t="shared" si="370"/>
        <v>3</v>
      </c>
      <c r="U4346" s="22">
        <f t="shared" si="371"/>
        <v>2022</v>
      </c>
      <c r="V4346" s="22" t="str">
        <f t="shared" si="372"/>
        <v>REGIONES</v>
      </c>
    </row>
    <row r="4347" spans="1:22" x14ac:dyDescent="0.2">
      <c r="A4347" s="11" t="s">
        <v>5275</v>
      </c>
      <c r="B4347" s="12" t="s">
        <v>33</v>
      </c>
      <c r="C4347" s="12" t="s">
        <v>128</v>
      </c>
      <c r="D4347" s="12" t="s">
        <v>786</v>
      </c>
      <c r="E4347" s="13" t="s">
        <v>1891</v>
      </c>
      <c r="F4347" s="12" t="s">
        <v>129</v>
      </c>
      <c r="G4347" s="14">
        <v>16487.999999999982</v>
      </c>
      <c r="H4347" s="12" t="s">
        <v>788</v>
      </c>
      <c r="I4347" s="12">
        <v>1</v>
      </c>
      <c r="J4347" s="12" t="s">
        <v>129</v>
      </c>
      <c r="K4347" s="12" t="s">
        <v>23</v>
      </c>
      <c r="L4347" s="12">
        <v>1</v>
      </c>
      <c r="M4347" s="15">
        <v>181368</v>
      </c>
      <c r="N4347" s="15">
        <v>0</v>
      </c>
      <c r="O4347" s="15">
        <f t="shared" si="375"/>
        <v>181368</v>
      </c>
      <c r="P4347" s="15">
        <f t="shared" si="374"/>
        <v>11.000000000000012</v>
      </c>
      <c r="Q4347" s="14">
        <v>5000</v>
      </c>
      <c r="R4347" s="12">
        <v>100</v>
      </c>
      <c r="S4347" s="12" t="s">
        <v>5277</v>
      </c>
      <c r="T4347" s="22">
        <f t="shared" si="370"/>
        <v>3</v>
      </c>
      <c r="U4347" s="22">
        <f t="shared" si="371"/>
        <v>2022</v>
      </c>
      <c r="V4347" s="22" t="str">
        <f t="shared" si="372"/>
        <v>METROPOLITANA</v>
      </c>
    </row>
    <row r="4348" spans="1:22" x14ac:dyDescent="0.2">
      <c r="A4348" s="11" t="s">
        <v>5275</v>
      </c>
      <c r="B4348" s="12" t="s">
        <v>33</v>
      </c>
      <c r="C4348" s="12" t="s">
        <v>36</v>
      </c>
      <c r="D4348" s="12" t="s">
        <v>63</v>
      </c>
      <c r="E4348" s="13" t="s">
        <v>64</v>
      </c>
      <c r="F4348" s="12" t="s">
        <v>127</v>
      </c>
      <c r="G4348" s="14">
        <v>7278.2200000000012</v>
      </c>
      <c r="H4348" s="12" t="s">
        <v>65</v>
      </c>
      <c r="I4348" s="12">
        <v>0</v>
      </c>
      <c r="J4348" s="12" t="s">
        <v>127</v>
      </c>
      <c r="K4348" s="12" t="s">
        <v>78</v>
      </c>
      <c r="L4348" s="12">
        <v>0</v>
      </c>
      <c r="M4348" s="15">
        <v>180000</v>
      </c>
      <c r="N4348" s="15">
        <v>0</v>
      </c>
      <c r="O4348" s="15">
        <f t="shared" si="375"/>
        <v>180000</v>
      </c>
      <c r="P4348" s="15">
        <f t="shared" si="374"/>
        <v>24.731321669309249</v>
      </c>
      <c r="Q4348" s="14">
        <v>20000</v>
      </c>
      <c r="R4348" s="12">
        <v>36</v>
      </c>
      <c r="S4348" s="12" t="s">
        <v>5278</v>
      </c>
      <c r="T4348" s="22">
        <f t="shared" si="370"/>
        <v>3</v>
      </c>
      <c r="U4348" s="22">
        <f t="shared" si="371"/>
        <v>2022</v>
      </c>
      <c r="V4348" s="22" t="str">
        <f t="shared" si="372"/>
        <v>REGIONES</v>
      </c>
    </row>
    <row r="4349" spans="1:22" x14ac:dyDescent="0.2">
      <c r="A4349" s="11" t="s">
        <v>5275</v>
      </c>
      <c r="B4349" s="12" t="s">
        <v>33</v>
      </c>
      <c r="C4349" s="12" t="s">
        <v>87</v>
      </c>
      <c r="D4349" s="12" t="s">
        <v>38</v>
      </c>
      <c r="E4349" s="13" t="s">
        <v>42</v>
      </c>
      <c r="F4349" s="12" t="s">
        <v>51</v>
      </c>
      <c r="G4349" s="14">
        <v>5667.9999999999991</v>
      </c>
      <c r="H4349" s="12" t="s">
        <v>43</v>
      </c>
      <c r="I4349" s="12">
        <v>0</v>
      </c>
      <c r="J4349" s="12" t="s">
        <v>51</v>
      </c>
      <c r="K4349" s="12" t="s">
        <v>23</v>
      </c>
      <c r="L4349" s="12">
        <v>4</v>
      </c>
      <c r="M4349" s="15">
        <v>62348</v>
      </c>
      <c r="N4349" s="15">
        <v>0</v>
      </c>
      <c r="O4349" s="15">
        <f t="shared" si="375"/>
        <v>62348</v>
      </c>
      <c r="P4349" s="15">
        <f t="shared" si="374"/>
        <v>11.000000000000002</v>
      </c>
      <c r="Q4349" s="14">
        <v>5000</v>
      </c>
      <c r="R4349" s="12">
        <v>100</v>
      </c>
      <c r="S4349" s="12" t="s">
        <v>5279</v>
      </c>
      <c r="T4349" s="22">
        <f t="shared" si="370"/>
        <v>3</v>
      </c>
      <c r="U4349" s="22">
        <f t="shared" si="371"/>
        <v>2022</v>
      </c>
      <c r="V4349" s="22" t="str">
        <f t="shared" si="372"/>
        <v>METROPOLITANA</v>
      </c>
    </row>
    <row r="4350" spans="1:22" x14ac:dyDescent="0.2">
      <c r="A4350" s="11" t="s">
        <v>5275</v>
      </c>
      <c r="B4350" s="12" t="s">
        <v>33</v>
      </c>
      <c r="C4350" s="12" t="s">
        <v>87</v>
      </c>
      <c r="D4350" s="12" t="s">
        <v>164</v>
      </c>
      <c r="E4350" s="13" t="s">
        <v>1576</v>
      </c>
      <c r="F4350" s="12" t="s">
        <v>51</v>
      </c>
      <c r="G4350" s="14">
        <v>14703.000000000009</v>
      </c>
      <c r="H4350" s="12" t="s">
        <v>22</v>
      </c>
      <c r="I4350" s="12">
        <v>1</v>
      </c>
      <c r="J4350" s="12" t="s">
        <v>51</v>
      </c>
      <c r="K4350" s="12" t="s">
        <v>23</v>
      </c>
      <c r="L4350" s="12">
        <v>4</v>
      </c>
      <c r="M4350" s="15">
        <v>161733</v>
      </c>
      <c r="N4350" s="15">
        <v>0</v>
      </c>
      <c r="O4350" s="15">
        <f t="shared" si="375"/>
        <v>161733</v>
      </c>
      <c r="P4350" s="15">
        <f t="shared" si="374"/>
        <v>10.999999999999993</v>
      </c>
      <c r="Q4350" s="14">
        <v>5000</v>
      </c>
      <c r="R4350" s="12">
        <v>100</v>
      </c>
      <c r="S4350" s="12" t="s">
        <v>5280</v>
      </c>
      <c r="T4350" s="22">
        <f t="shared" si="370"/>
        <v>3</v>
      </c>
      <c r="U4350" s="22">
        <f t="shared" si="371"/>
        <v>2022</v>
      </c>
      <c r="V4350" s="22" t="str">
        <f t="shared" si="372"/>
        <v>METROPOLITANA</v>
      </c>
    </row>
    <row r="4351" spans="1:22" x14ac:dyDescent="0.2">
      <c r="A4351" s="11" t="s">
        <v>5275</v>
      </c>
      <c r="B4351" s="12" t="s">
        <v>33</v>
      </c>
      <c r="C4351" s="12" t="s">
        <v>29</v>
      </c>
      <c r="D4351" s="12" t="s">
        <v>37</v>
      </c>
      <c r="E4351" s="13" t="s">
        <v>40</v>
      </c>
      <c r="F4351" s="12" t="s">
        <v>39</v>
      </c>
      <c r="G4351" s="14">
        <v>8254.3999999999978</v>
      </c>
      <c r="H4351" s="12" t="s">
        <v>22</v>
      </c>
      <c r="I4351" s="12">
        <v>0</v>
      </c>
      <c r="J4351" s="12" t="s">
        <v>39</v>
      </c>
      <c r="K4351" s="12" t="s">
        <v>23</v>
      </c>
      <c r="L4351" s="12">
        <v>1</v>
      </c>
      <c r="M4351" s="15">
        <v>90798</v>
      </c>
      <c r="N4351" s="15">
        <v>0</v>
      </c>
      <c r="O4351" s="15">
        <f t="shared" si="375"/>
        <v>90798</v>
      </c>
      <c r="P4351" s="15">
        <f t="shared" si="374"/>
        <v>10.999951540996321</v>
      </c>
      <c r="Q4351" s="14">
        <v>5000</v>
      </c>
      <c r="R4351" s="12">
        <v>100</v>
      </c>
      <c r="S4351" s="12" t="s">
        <v>5281</v>
      </c>
      <c r="T4351" s="22">
        <f t="shared" si="370"/>
        <v>3</v>
      </c>
      <c r="U4351" s="22">
        <f t="shared" si="371"/>
        <v>2022</v>
      </c>
      <c r="V4351" s="22" t="str">
        <f t="shared" si="372"/>
        <v>METROPOLITANA</v>
      </c>
    </row>
    <row r="4352" spans="1:22" x14ac:dyDescent="0.2">
      <c r="A4352" s="11" t="s">
        <v>5275</v>
      </c>
      <c r="B4352" s="12" t="s">
        <v>33</v>
      </c>
      <c r="C4352" s="12" t="s">
        <v>29</v>
      </c>
      <c r="D4352" s="12" t="s">
        <v>164</v>
      </c>
      <c r="E4352" s="13" t="s">
        <v>1576</v>
      </c>
      <c r="F4352" s="12" t="s">
        <v>39</v>
      </c>
      <c r="G4352" s="14">
        <v>20496.59999999998</v>
      </c>
      <c r="H4352" s="12" t="s">
        <v>22</v>
      </c>
      <c r="I4352" s="12">
        <v>1</v>
      </c>
      <c r="J4352" s="12" t="s">
        <v>39</v>
      </c>
      <c r="K4352" s="12" t="s">
        <v>23</v>
      </c>
      <c r="L4352" s="12">
        <v>1</v>
      </c>
      <c r="M4352" s="15">
        <v>225463</v>
      </c>
      <c r="N4352" s="15">
        <v>0</v>
      </c>
      <c r="O4352" s="15">
        <f t="shared" si="375"/>
        <v>225463</v>
      </c>
      <c r="P4352" s="15">
        <f t="shared" si="374"/>
        <v>11.000019515431838</v>
      </c>
      <c r="Q4352" s="14">
        <v>5000</v>
      </c>
      <c r="R4352" s="12">
        <v>100</v>
      </c>
      <c r="S4352" s="12" t="s">
        <v>5282</v>
      </c>
      <c r="T4352" s="22">
        <f t="shared" si="370"/>
        <v>3</v>
      </c>
      <c r="U4352" s="22">
        <f t="shared" si="371"/>
        <v>2022</v>
      </c>
      <c r="V4352" s="22" t="str">
        <f t="shared" si="372"/>
        <v>METROPOLITANA</v>
      </c>
    </row>
    <row r="4353" spans="1:22" x14ac:dyDescent="0.2">
      <c r="A4353" s="11" t="s">
        <v>5275</v>
      </c>
      <c r="B4353" s="12" t="s">
        <v>33</v>
      </c>
      <c r="C4353" s="12" t="s">
        <v>29</v>
      </c>
      <c r="D4353" s="12" t="s">
        <v>20</v>
      </c>
      <c r="E4353" s="13" t="s">
        <v>21</v>
      </c>
      <c r="F4353" s="12" t="s">
        <v>173</v>
      </c>
      <c r="G4353" s="14">
        <v>3323.400000000001</v>
      </c>
      <c r="H4353" s="12" t="s">
        <v>22</v>
      </c>
      <c r="I4353" s="12">
        <v>0</v>
      </c>
      <c r="J4353" s="12" t="s">
        <v>173</v>
      </c>
      <c r="K4353" s="12" t="s">
        <v>23</v>
      </c>
      <c r="L4353" s="12">
        <v>5</v>
      </c>
      <c r="M4353" s="15">
        <v>90000</v>
      </c>
      <c r="N4353" s="15">
        <v>0</v>
      </c>
      <c r="O4353" s="15">
        <f t="shared" si="375"/>
        <v>90000</v>
      </c>
      <c r="P4353" s="15">
        <f t="shared" si="374"/>
        <v>27.080700487452599</v>
      </c>
      <c r="Q4353" s="14">
        <v>10000</v>
      </c>
      <c r="R4353" s="12">
        <v>33</v>
      </c>
      <c r="S4353" s="12" t="s">
        <v>5283</v>
      </c>
      <c r="T4353" s="22">
        <f t="shared" si="370"/>
        <v>3</v>
      </c>
      <c r="U4353" s="22">
        <f t="shared" si="371"/>
        <v>2022</v>
      </c>
      <c r="V4353" s="22" t="str">
        <f t="shared" si="372"/>
        <v>METROPOLITANA</v>
      </c>
    </row>
    <row r="4354" spans="1:22" x14ac:dyDescent="0.2">
      <c r="A4354" s="11" t="s">
        <v>5275</v>
      </c>
      <c r="B4354" s="12" t="s">
        <v>33</v>
      </c>
      <c r="C4354" s="12" t="s">
        <v>29</v>
      </c>
      <c r="D4354" s="12" t="s">
        <v>20</v>
      </c>
      <c r="E4354" s="13" t="s">
        <v>21</v>
      </c>
      <c r="F4354" s="12" t="s">
        <v>39</v>
      </c>
      <c r="G4354" s="14">
        <v>8254.3999999999978</v>
      </c>
      <c r="H4354" s="12" t="s">
        <v>22</v>
      </c>
      <c r="I4354" s="12">
        <v>0</v>
      </c>
      <c r="J4354" s="12" t="s">
        <v>39</v>
      </c>
      <c r="K4354" s="12" t="s">
        <v>23</v>
      </c>
      <c r="L4354" s="12">
        <v>1</v>
      </c>
      <c r="M4354" s="15">
        <v>90798</v>
      </c>
      <c r="N4354" s="15">
        <v>0</v>
      </c>
      <c r="O4354" s="15">
        <f t="shared" si="375"/>
        <v>90798</v>
      </c>
      <c r="P4354" s="15">
        <f t="shared" si="374"/>
        <v>10.999951540996321</v>
      </c>
      <c r="Q4354" s="14">
        <v>5000</v>
      </c>
      <c r="R4354" s="12">
        <v>100</v>
      </c>
      <c r="S4354" s="12" t="s">
        <v>5284</v>
      </c>
      <c r="T4354" s="22">
        <f t="shared" si="370"/>
        <v>3</v>
      </c>
      <c r="U4354" s="22">
        <f t="shared" si="371"/>
        <v>2022</v>
      </c>
      <c r="V4354" s="22" t="str">
        <f t="shared" si="372"/>
        <v>METROPOLITANA</v>
      </c>
    </row>
    <row r="4355" spans="1:22" x14ac:dyDescent="0.2">
      <c r="A4355" s="11" t="s">
        <v>5275</v>
      </c>
      <c r="B4355" s="12" t="s">
        <v>33</v>
      </c>
      <c r="C4355" s="12" t="s">
        <v>44</v>
      </c>
      <c r="D4355" s="12" t="s">
        <v>45</v>
      </c>
      <c r="E4355" s="13" t="s">
        <v>52</v>
      </c>
      <c r="F4355" s="12" t="s">
        <v>53</v>
      </c>
      <c r="G4355" s="14">
        <v>3201.2000000000012</v>
      </c>
      <c r="H4355" s="12" t="s">
        <v>22</v>
      </c>
      <c r="I4355" s="12">
        <v>0</v>
      </c>
      <c r="J4355" s="12" t="s">
        <v>53</v>
      </c>
      <c r="K4355" s="12" t="s">
        <v>23</v>
      </c>
      <c r="L4355" s="12">
        <v>3</v>
      </c>
      <c r="M4355" s="15">
        <v>55000</v>
      </c>
      <c r="N4355" s="15">
        <v>0</v>
      </c>
      <c r="O4355" s="15">
        <f t="shared" si="375"/>
        <v>55000</v>
      </c>
      <c r="P4355" s="15">
        <f t="shared" si="374"/>
        <v>17.181057103586149</v>
      </c>
      <c r="Q4355" s="14">
        <v>5000</v>
      </c>
      <c r="R4355" s="12">
        <v>64</v>
      </c>
      <c r="S4355" s="12" t="s">
        <v>5285</v>
      </c>
      <c r="T4355" s="22">
        <f t="shared" si="370"/>
        <v>3</v>
      </c>
      <c r="U4355" s="22">
        <f t="shared" si="371"/>
        <v>2022</v>
      </c>
      <c r="V4355" s="22" t="str">
        <f t="shared" si="372"/>
        <v>METROPOLITANA</v>
      </c>
    </row>
    <row r="4356" spans="1:22" x14ac:dyDescent="0.2">
      <c r="A4356" s="23" t="s">
        <v>5286</v>
      </c>
      <c r="B4356" s="22" t="s">
        <v>18</v>
      </c>
      <c r="C4356" s="22" t="s">
        <v>87</v>
      </c>
      <c r="D4356" s="22" t="s">
        <v>38</v>
      </c>
      <c r="E4356" s="24" t="s">
        <v>42</v>
      </c>
      <c r="F4356" s="22" t="s">
        <v>51</v>
      </c>
      <c r="G4356" s="25">
        <v>8339.7599999999984</v>
      </c>
      <c r="H4356" s="22" t="s">
        <v>43</v>
      </c>
      <c r="I4356" s="22">
        <v>0</v>
      </c>
      <c r="J4356" s="22" t="s">
        <v>51</v>
      </c>
      <c r="K4356" s="22" t="s">
        <v>23</v>
      </c>
      <c r="L4356" s="22">
        <v>4</v>
      </c>
      <c r="M4356" s="26">
        <v>91737</v>
      </c>
      <c r="N4356" s="26">
        <v>0</v>
      </c>
      <c r="O4356" s="15">
        <f t="shared" si="375"/>
        <v>91737</v>
      </c>
      <c r="P4356" s="15">
        <f t="shared" si="374"/>
        <v>10.999956833290168</v>
      </c>
      <c r="Q4356" s="25">
        <v>5000</v>
      </c>
      <c r="R4356" s="22">
        <v>100</v>
      </c>
      <c r="S4356" s="22" t="s">
        <v>5287</v>
      </c>
      <c r="T4356" s="22">
        <f t="shared" si="370"/>
        <v>3</v>
      </c>
      <c r="U4356" s="22">
        <f t="shared" si="371"/>
        <v>2022</v>
      </c>
      <c r="V4356" s="22" t="str">
        <f t="shared" si="372"/>
        <v>METROPOLITANA</v>
      </c>
    </row>
    <row r="4357" spans="1:22" x14ac:dyDescent="0.2">
      <c r="A4357" s="23" t="s">
        <v>5286</v>
      </c>
      <c r="B4357" s="22" t="s">
        <v>18</v>
      </c>
      <c r="C4357" s="22" t="s">
        <v>87</v>
      </c>
      <c r="D4357" s="22" t="s">
        <v>37</v>
      </c>
      <c r="E4357" s="24" t="s">
        <v>40</v>
      </c>
      <c r="F4357" s="22" t="s">
        <v>51</v>
      </c>
      <c r="G4357" s="25">
        <v>10327.950000000001</v>
      </c>
      <c r="H4357" s="22" t="s">
        <v>22</v>
      </c>
      <c r="I4357" s="22">
        <v>0</v>
      </c>
      <c r="J4357" s="22" t="s">
        <v>51</v>
      </c>
      <c r="K4357" s="22" t="s">
        <v>23</v>
      </c>
      <c r="L4357" s="22">
        <v>4</v>
      </c>
      <c r="M4357" s="26">
        <v>113607</v>
      </c>
      <c r="N4357" s="26">
        <v>0</v>
      </c>
      <c r="O4357" s="15">
        <f t="shared" si="375"/>
        <v>113607</v>
      </c>
      <c r="P4357" s="15">
        <f t="shared" si="374"/>
        <v>10.999956428913771</v>
      </c>
      <c r="Q4357" s="25">
        <v>5000</v>
      </c>
      <c r="R4357" s="22">
        <v>100</v>
      </c>
      <c r="S4357" s="22" t="s">
        <v>5288</v>
      </c>
      <c r="T4357" s="22">
        <f t="shared" si="370"/>
        <v>3</v>
      </c>
      <c r="U4357" s="22">
        <f t="shared" si="371"/>
        <v>2022</v>
      </c>
      <c r="V4357" s="22" t="str">
        <f t="shared" si="372"/>
        <v>METROPOLITANA</v>
      </c>
    </row>
    <row r="4358" spans="1:22" x14ac:dyDescent="0.2">
      <c r="A4358" s="23" t="s">
        <v>5286</v>
      </c>
      <c r="B4358" s="22" t="s">
        <v>33</v>
      </c>
      <c r="C4358" s="22" t="s">
        <v>128</v>
      </c>
      <c r="D4358" s="22" t="s">
        <v>786</v>
      </c>
      <c r="E4358" s="24" t="s">
        <v>787</v>
      </c>
      <c r="F4358" s="22" t="s">
        <v>66</v>
      </c>
      <c r="G4358" s="25">
        <v>8244.0000000000036</v>
      </c>
      <c r="H4358" s="22" t="s">
        <v>788</v>
      </c>
      <c r="I4358" s="22">
        <v>1</v>
      </c>
      <c r="J4358" s="22" t="s">
        <v>66</v>
      </c>
      <c r="K4358" s="22" t="s">
        <v>75</v>
      </c>
      <c r="L4358" s="22">
        <v>0</v>
      </c>
      <c r="M4358" s="26">
        <v>420000</v>
      </c>
      <c r="N4358" s="26">
        <v>0</v>
      </c>
      <c r="O4358" s="15">
        <f t="shared" si="375"/>
        <v>420000</v>
      </c>
      <c r="P4358" s="15">
        <f t="shared" si="374"/>
        <v>50.946142649199395</v>
      </c>
      <c r="Q4358" s="25">
        <v>20000</v>
      </c>
      <c r="R4358" s="22">
        <v>41</v>
      </c>
      <c r="S4358" s="22" t="s">
        <v>5289</v>
      </c>
      <c r="T4358" s="22">
        <f t="shared" si="370"/>
        <v>3</v>
      </c>
      <c r="U4358" s="22">
        <f t="shared" si="371"/>
        <v>2022</v>
      </c>
      <c r="V4358" s="22" t="str">
        <f t="shared" si="372"/>
        <v>REGIONES</v>
      </c>
    </row>
    <row r="4359" spans="1:22" x14ac:dyDescent="0.2">
      <c r="A4359" s="23" t="s">
        <v>5286</v>
      </c>
      <c r="B4359" s="22" t="s">
        <v>33</v>
      </c>
      <c r="C4359" s="22" t="s">
        <v>36</v>
      </c>
      <c r="D4359" s="22" t="s">
        <v>45</v>
      </c>
      <c r="E4359" s="24" t="s">
        <v>52</v>
      </c>
      <c r="F4359" s="22" t="s">
        <v>34</v>
      </c>
      <c r="G4359" s="25">
        <v>4606.6000000000004</v>
      </c>
      <c r="H4359" s="22" t="s">
        <v>22</v>
      </c>
      <c r="I4359" s="22">
        <v>0</v>
      </c>
      <c r="J4359" s="22" t="s">
        <v>34</v>
      </c>
      <c r="K4359" s="22" t="s">
        <v>23</v>
      </c>
      <c r="L4359" s="22">
        <v>1</v>
      </c>
      <c r="M4359" s="26">
        <v>55000</v>
      </c>
      <c r="N4359" s="26">
        <v>0</v>
      </c>
      <c r="O4359" s="15">
        <f t="shared" si="375"/>
        <v>55000</v>
      </c>
      <c r="P4359" s="15">
        <f t="shared" si="374"/>
        <v>11.939391308123128</v>
      </c>
      <c r="Q4359" s="25">
        <v>5000</v>
      </c>
      <c r="R4359" s="22">
        <v>92</v>
      </c>
      <c r="S4359" s="22" t="s">
        <v>5290</v>
      </c>
      <c r="T4359" s="22">
        <f t="shared" si="370"/>
        <v>3</v>
      </c>
      <c r="U4359" s="22">
        <f t="shared" si="371"/>
        <v>2022</v>
      </c>
      <c r="V4359" s="22" t="str">
        <f t="shared" si="372"/>
        <v>METROPOLITANA</v>
      </c>
    </row>
    <row r="4360" spans="1:22" x14ac:dyDescent="0.2">
      <c r="A4360" s="23" t="s">
        <v>5286</v>
      </c>
      <c r="B4360" s="22" t="s">
        <v>33</v>
      </c>
      <c r="C4360" s="22" t="s">
        <v>44</v>
      </c>
      <c r="D4360" s="22" t="s">
        <v>47</v>
      </c>
      <c r="E4360" s="24" t="s">
        <v>49</v>
      </c>
      <c r="F4360" s="22" t="s">
        <v>48</v>
      </c>
      <c r="G4360" s="25">
        <f>3925.4+988</f>
        <v>4913.3999999999996</v>
      </c>
      <c r="H4360" s="22" t="s">
        <v>22</v>
      </c>
      <c r="I4360" s="22">
        <v>0</v>
      </c>
      <c r="J4360" s="22" t="s">
        <v>48</v>
      </c>
      <c r="K4360" s="22" t="s">
        <v>23</v>
      </c>
      <c r="L4360" s="22">
        <v>1</v>
      </c>
      <c r="M4360" s="26">
        <v>55000</v>
      </c>
      <c r="N4360" s="26">
        <v>0</v>
      </c>
      <c r="O4360" s="15">
        <f t="shared" si="375"/>
        <v>55000</v>
      </c>
      <c r="P4360" s="15">
        <f t="shared" si="374"/>
        <v>11.193877966377661</v>
      </c>
      <c r="Q4360" s="25">
        <v>5000</v>
      </c>
      <c r="R4360" s="22">
        <v>99</v>
      </c>
      <c r="S4360" s="22" t="s">
        <v>5292</v>
      </c>
      <c r="T4360" s="22">
        <f t="shared" ref="T4360:T4423" si="376">MONTH(A4360)</f>
        <v>3</v>
      </c>
      <c r="U4360" s="22">
        <f t="shared" ref="U4360:U4423" si="377">YEAR(A4360)</f>
        <v>2022</v>
      </c>
      <c r="V4360" s="22" t="str">
        <f t="shared" ref="V4360:V4423" si="378">IF(K4360="METROPOLITANA DE SANTIAGO","METROPOLITANA","REGIONES")</f>
        <v>METROPOLITANA</v>
      </c>
    </row>
    <row r="4361" spans="1:22" x14ac:dyDescent="0.2">
      <c r="A4361" s="23" t="s">
        <v>5286</v>
      </c>
      <c r="B4361" s="22" t="s">
        <v>33</v>
      </c>
      <c r="C4361" s="22" t="s">
        <v>44</v>
      </c>
      <c r="D4361" s="22" t="s">
        <v>20</v>
      </c>
      <c r="E4361" s="24" t="s">
        <v>21</v>
      </c>
      <c r="F4361" s="22" t="s">
        <v>137</v>
      </c>
      <c r="G4361" s="25">
        <v>3925.81</v>
      </c>
      <c r="H4361" s="22" t="s">
        <v>22</v>
      </c>
      <c r="I4361" s="22">
        <v>0</v>
      </c>
      <c r="J4361" s="22" t="s">
        <v>137</v>
      </c>
      <c r="K4361" s="22" t="s">
        <v>23</v>
      </c>
      <c r="L4361" s="22">
        <v>1</v>
      </c>
      <c r="M4361" s="26">
        <v>55000</v>
      </c>
      <c r="N4361" s="26">
        <v>0</v>
      </c>
      <c r="O4361" s="15">
        <f t="shared" si="375"/>
        <v>55000</v>
      </c>
      <c r="P4361" s="15">
        <f t="shared" si="374"/>
        <v>14.009847649274928</v>
      </c>
      <c r="Q4361" s="25">
        <v>5000</v>
      </c>
      <c r="R4361" s="22">
        <v>79</v>
      </c>
      <c r="S4361" s="22" t="s">
        <v>5291</v>
      </c>
      <c r="T4361" s="22">
        <f t="shared" si="376"/>
        <v>3</v>
      </c>
      <c r="U4361" s="22">
        <f t="shared" si="377"/>
        <v>2022</v>
      </c>
      <c r="V4361" s="22" t="str">
        <f t="shared" si="378"/>
        <v>METROPOLITANA</v>
      </c>
    </row>
    <row r="4362" spans="1:22" x14ac:dyDescent="0.2">
      <c r="A4362" s="11" t="s">
        <v>5293</v>
      </c>
      <c r="B4362" s="12" t="s">
        <v>18</v>
      </c>
      <c r="C4362" s="12" t="s">
        <v>270</v>
      </c>
      <c r="D4362" s="12" t="s">
        <v>63</v>
      </c>
      <c r="E4362" s="13" t="s">
        <v>64</v>
      </c>
      <c r="F4362" s="12" t="s">
        <v>120</v>
      </c>
      <c r="G4362" s="14">
        <v>8240.4</v>
      </c>
      <c r="H4362" s="12" t="s">
        <v>65</v>
      </c>
      <c r="I4362" s="12">
        <v>0</v>
      </c>
      <c r="J4362" s="12" t="s">
        <v>120</v>
      </c>
      <c r="K4362" s="12" t="s">
        <v>23</v>
      </c>
      <c r="L4362" s="12">
        <v>5</v>
      </c>
      <c r="M4362" s="15">
        <v>70000</v>
      </c>
      <c r="N4362" s="15">
        <v>0</v>
      </c>
      <c r="O4362" s="15">
        <f t="shared" si="375"/>
        <v>70000</v>
      </c>
      <c r="P4362" s="15">
        <f t="shared" si="374"/>
        <v>8.4947332653754675</v>
      </c>
      <c r="Q4362" s="14">
        <v>10000</v>
      </c>
      <c r="R4362" s="12">
        <v>82</v>
      </c>
      <c r="S4362" s="12" t="s">
        <v>5294</v>
      </c>
      <c r="T4362" s="22">
        <f t="shared" si="376"/>
        <v>3</v>
      </c>
      <c r="U4362" s="22">
        <f t="shared" si="377"/>
        <v>2022</v>
      </c>
      <c r="V4362" s="22" t="str">
        <f t="shared" si="378"/>
        <v>METROPOLITANA</v>
      </c>
    </row>
    <row r="4363" spans="1:22" x14ac:dyDescent="0.2">
      <c r="A4363" s="11" t="s">
        <v>5293</v>
      </c>
      <c r="B4363" s="12" t="s">
        <v>18</v>
      </c>
      <c r="C4363" s="12" t="s">
        <v>160</v>
      </c>
      <c r="D4363" s="12" t="s">
        <v>38</v>
      </c>
      <c r="E4363" s="13" t="s">
        <v>25</v>
      </c>
      <c r="F4363" s="12" t="s">
        <v>5240</v>
      </c>
      <c r="G4363" s="14">
        <v>6642.2399999999989</v>
      </c>
      <c r="H4363" s="12" t="s">
        <v>43</v>
      </c>
      <c r="I4363" s="12">
        <v>0</v>
      </c>
      <c r="J4363" s="12" t="s">
        <v>5240</v>
      </c>
      <c r="K4363" s="12" t="s">
        <v>78</v>
      </c>
      <c r="L4363" s="12">
        <v>0</v>
      </c>
      <c r="M4363" s="15">
        <v>180000</v>
      </c>
      <c r="N4363" s="15">
        <v>0</v>
      </c>
      <c r="O4363" s="15">
        <f t="shared" si="375"/>
        <v>180000</v>
      </c>
      <c r="P4363" s="15">
        <f t="shared" si="374"/>
        <v>27.099291805174161</v>
      </c>
      <c r="Q4363" s="14">
        <v>20000</v>
      </c>
      <c r="R4363" s="12">
        <v>33</v>
      </c>
      <c r="S4363" s="12" t="s">
        <v>5295</v>
      </c>
      <c r="T4363" s="22">
        <f t="shared" si="376"/>
        <v>3</v>
      </c>
      <c r="U4363" s="22">
        <f t="shared" si="377"/>
        <v>2022</v>
      </c>
      <c r="V4363" s="22" t="str">
        <f t="shared" si="378"/>
        <v>REGIONES</v>
      </c>
    </row>
    <row r="4364" spans="1:22" x14ac:dyDescent="0.2">
      <c r="A4364" s="11" t="s">
        <v>5293</v>
      </c>
      <c r="B4364" s="12" t="s">
        <v>18</v>
      </c>
      <c r="C4364" s="12" t="s">
        <v>160</v>
      </c>
      <c r="D4364" s="12" t="s">
        <v>37</v>
      </c>
      <c r="E4364" s="13" t="s">
        <v>40</v>
      </c>
      <c r="F4364" s="12" t="s">
        <v>5240</v>
      </c>
      <c r="G4364" s="14">
        <v>9286.6499999999978</v>
      </c>
      <c r="H4364" s="12" t="s">
        <v>22</v>
      </c>
      <c r="I4364" s="12">
        <v>0</v>
      </c>
      <c r="J4364" s="12" t="s">
        <v>5240</v>
      </c>
      <c r="K4364" s="12" t="s">
        <v>78</v>
      </c>
      <c r="L4364" s="12">
        <v>0</v>
      </c>
      <c r="M4364" s="15">
        <v>180000</v>
      </c>
      <c r="N4364" s="15">
        <v>0</v>
      </c>
      <c r="O4364" s="15">
        <f t="shared" si="375"/>
        <v>180000</v>
      </c>
      <c r="P4364" s="15">
        <f t="shared" si="374"/>
        <v>19.382662208654363</v>
      </c>
      <c r="Q4364" s="14">
        <v>20000</v>
      </c>
      <c r="R4364" s="12">
        <v>46</v>
      </c>
      <c r="S4364" s="12" t="s">
        <v>5296</v>
      </c>
      <c r="T4364" s="22">
        <f t="shared" si="376"/>
        <v>3</v>
      </c>
      <c r="U4364" s="22">
        <f t="shared" si="377"/>
        <v>2022</v>
      </c>
      <c r="V4364" s="22" t="str">
        <f t="shared" si="378"/>
        <v>REGIONES</v>
      </c>
    </row>
    <row r="4365" spans="1:22" x14ac:dyDescent="0.2">
      <c r="A4365" s="11" t="s">
        <v>5293</v>
      </c>
      <c r="B4365" s="12" t="s">
        <v>18</v>
      </c>
      <c r="C4365" s="12" t="s">
        <v>160</v>
      </c>
      <c r="D4365" s="12" t="s">
        <v>20</v>
      </c>
      <c r="E4365" s="13" t="s">
        <v>21</v>
      </c>
      <c r="F4365" s="12" t="s">
        <v>800</v>
      </c>
      <c r="G4365" s="14">
        <v>10407.5</v>
      </c>
      <c r="H4365" s="12" t="s">
        <v>22</v>
      </c>
      <c r="I4365" s="12">
        <v>0</v>
      </c>
      <c r="J4365" s="12" t="s">
        <v>800</v>
      </c>
      <c r="K4365" s="12" t="s">
        <v>23</v>
      </c>
      <c r="L4365" s="12">
        <v>5</v>
      </c>
      <c r="M4365" s="15">
        <v>90000</v>
      </c>
      <c r="N4365" s="15">
        <v>0</v>
      </c>
      <c r="O4365" s="15">
        <f t="shared" si="375"/>
        <v>90000</v>
      </c>
      <c r="P4365" s="15">
        <f t="shared" si="374"/>
        <v>8.6476098967091044</v>
      </c>
      <c r="Q4365" s="14">
        <v>10000</v>
      </c>
      <c r="R4365" s="12">
        <v>100</v>
      </c>
      <c r="S4365" s="12" t="s">
        <v>5297</v>
      </c>
      <c r="T4365" s="22">
        <f t="shared" si="376"/>
        <v>3</v>
      </c>
      <c r="U4365" s="22">
        <f t="shared" si="377"/>
        <v>2022</v>
      </c>
      <c r="V4365" s="22" t="str">
        <f t="shared" si="378"/>
        <v>METROPOLITANA</v>
      </c>
    </row>
    <row r="4366" spans="1:22" x14ac:dyDescent="0.2">
      <c r="A4366" s="11" t="s">
        <v>5293</v>
      </c>
      <c r="B4366" s="12" t="s">
        <v>33</v>
      </c>
      <c r="C4366" s="12" t="s">
        <v>270</v>
      </c>
      <c r="D4366" s="12" t="s">
        <v>63</v>
      </c>
      <c r="E4366" s="13" t="s">
        <v>64</v>
      </c>
      <c r="F4366" s="12" t="s">
        <v>120</v>
      </c>
      <c r="G4366" s="14">
        <v>4302.6499999999996</v>
      </c>
      <c r="H4366" s="12" t="s">
        <v>65</v>
      </c>
      <c r="I4366" s="12">
        <v>0</v>
      </c>
      <c r="J4366" s="12" t="s">
        <v>120</v>
      </c>
      <c r="K4366" s="12" t="s">
        <v>23</v>
      </c>
      <c r="L4366" s="12">
        <v>5</v>
      </c>
      <c r="M4366" s="15">
        <v>70000</v>
      </c>
      <c r="N4366" s="15">
        <v>0</v>
      </c>
      <c r="O4366" s="15">
        <f t="shared" si="375"/>
        <v>70000</v>
      </c>
      <c r="P4366" s="15">
        <f t="shared" si="374"/>
        <v>16.269043496449864</v>
      </c>
      <c r="Q4366" s="14">
        <v>10000</v>
      </c>
      <c r="R4366" s="12">
        <v>43</v>
      </c>
      <c r="S4366" s="12" t="s">
        <v>5298</v>
      </c>
      <c r="T4366" s="22">
        <f t="shared" si="376"/>
        <v>3</v>
      </c>
      <c r="U4366" s="22">
        <f t="shared" si="377"/>
        <v>2022</v>
      </c>
      <c r="V4366" s="22" t="str">
        <f t="shared" si="378"/>
        <v>METROPOLITANA</v>
      </c>
    </row>
    <row r="4367" spans="1:22" x14ac:dyDescent="0.2">
      <c r="A4367" s="11" t="s">
        <v>5293</v>
      </c>
      <c r="B4367" s="12" t="s">
        <v>33</v>
      </c>
      <c r="C4367" s="12" t="s">
        <v>163</v>
      </c>
      <c r="D4367" s="12" t="s">
        <v>47</v>
      </c>
      <c r="E4367" s="13" t="s">
        <v>52</v>
      </c>
      <c r="F4367" s="12" t="s">
        <v>165</v>
      </c>
      <c r="G4367" s="14">
        <v>12164.81</v>
      </c>
      <c r="H4367" s="12" t="s">
        <v>22</v>
      </c>
      <c r="I4367" s="12">
        <v>0</v>
      </c>
      <c r="J4367" s="12" t="s">
        <v>165</v>
      </c>
      <c r="K4367" s="12" t="s">
        <v>23</v>
      </c>
      <c r="L4367" s="12">
        <v>4</v>
      </c>
      <c r="M4367" s="15">
        <v>133813</v>
      </c>
      <c r="N4367" s="15">
        <v>0</v>
      </c>
      <c r="O4367" s="15">
        <f t="shared" si="375"/>
        <v>133813</v>
      </c>
      <c r="P4367" s="15">
        <f t="shared" si="374"/>
        <v>11.00000739838929</v>
      </c>
      <c r="Q4367" s="14">
        <v>5000</v>
      </c>
      <c r="R4367" s="12">
        <v>100</v>
      </c>
      <c r="S4367" s="12" t="s">
        <v>5299</v>
      </c>
      <c r="T4367" s="22">
        <f t="shared" si="376"/>
        <v>3</v>
      </c>
      <c r="U4367" s="22">
        <f t="shared" si="377"/>
        <v>2022</v>
      </c>
      <c r="V4367" s="22" t="str">
        <f t="shared" si="378"/>
        <v>METROPOLITANA</v>
      </c>
    </row>
    <row r="4368" spans="1:22" x14ac:dyDescent="0.2">
      <c r="A4368" s="11" t="s">
        <v>5293</v>
      </c>
      <c r="B4368" s="12" t="s">
        <v>33</v>
      </c>
      <c r="C4368" s="12" t="s">
        <v>36</v>
      </c>
      <c r="D4368" s="12" t="s">
        <v>191</v>
      </c>
      <c r="E4368" s="13" t="s">
        <v>192</v>
      </c>
      <c r="F4368" s="12" t="s">
        <v>84</v>
      </c>
      <c r="G4368" s="14">
        <f>5039.54+3805</f>
        <v>8844.5400000000009</v>
      </c>
      <c r="H4368" s="12" t="s">
        <v>85</v>
      </c>
      <c r="I4368" s="12">
        <v>1</v>
      </c>
      <c r="J4368" s="12" t="s">
        <v>84</v>
      </c>
      <c r="K4368" s="12" t="s">
        <v>86</v>
      </c>
      <c r="L4368" s="12">
        <v>0</v>
      </c>
      <c r="M4368" s="15">
        <v>330000</v>
      </c>
      <c r="N4368" s="15">
        <v>0</v>
      </c>
      <c r="O4368" s="15">
        <f t="shared" si="375"/>
        <v>330000</v>
      </c>
      <c r="P4368" s="15">
        <f t="shared" si="374"/>
        <v>37.311154678479603</v>
      </c>
      <c r="Q4368" s="14">
        <v>20000</v>
      </c>
      <c r="R4368" s="12">
        <v>55</v>
      </c>
      <c r="S4368" s="12" t="s">
        <v>5305</v>
      </c>
      <c r="T4368" s="22">
        <f t="shared" si="376"/>
        <v>3</v>
      </c>
      <c r="U4368" s="22">
        <f t="shared" si="377"/>
        <v>2022</v>
      </c>
      <c r="V4368" s="22" t="str">
        <f t="shared" si="378"/>
        <v>REGIONES</v>
      </c>
    </row>
    <row r="4369" spans="1:22" x14ac:dyDescent="0.2">
      <c r="A4369" s="11" t="s">
        <v>5293</v>
      </c>
      <c r="B4369" s="12" t="s">
        <v>33</v>
      </c>
      <c r="C4369" s="12" t="s">
        <v>36</v>
      </c>
      <c r="D4369" s="12" t="s">
        <v>2262</v>
      </c>
      <c r="E4369" s="13" t="s">
        <v>83</v>
      </c>
      <c r="F4369" s="12" t="s">
        <v>1105</v>
      </c>
      <c r="G4369" s="14">
        <f>6094.02+7854</f>
        <v>13948.02</v>
      </c>
      <c r="H4369" s="12" t="s">
        <v>24</v>
      </c>
      <c r="I4369" s="12">
        <v>1</v>
      </c>
      <c r="J4369" s="12" t="s">
        <v>1105</v>
      </c>
      <c r="K4369" s="12" t="s">
        <v>873</v>
      </c>
      <c r="L4369" s="12">
        <v>0</v>
      </c>
      <c r="M4369" s="15">
        <v>950000</v>
      </c>
      <c r="N4369" s="15">
        <v>0</v>
      </c>
      <c r="O4369" s="15">
        <f t="shared" si="375"/>
        <v>950000</v>
      </c>
      <c r="P4369" s="15">
        <f t="shared" si="374"/>
        <v>68.110025652386497</v>
      </c>
      <c r="Q4369" s="14">
        <v>20000</v>
      </c>
      <c r="R4369" s="12">
        <v>80</v>
      </c>
      <c r="S4369" s="12" t="s">
        <v>5306</v>
      </c>
      <c r="T4369" s="22">
        <f t="shared" si="376"/>
        <v>3</v>
      </c>
      <c r="U4369" s="22">
        <f t="shared" si="377"/>
        <v>2022</v>
      </c>
      <c r="V4369" s="22" t="str">
        <f t="shared" si="378"/>
        <v>REGIONES</v>
      </c>
    </row>
    <row r="4370" spans="1:22" x14ac:dyDescent="0.2">
      <c r="A4370" s="11" t="s">
        <v>5293</v>
      </c>
      <c r="B4370" s="12" t="s">
        <v>33</v>
      </c>
      <c r="C4370" s="12" t="s">
        <v>29</v>
      </c>
      <c r="D4370" s="12" t="s">
        <v>38</v>
      </c>
      <c r="E4370" s="13" t="s">
        <v>42</v>
      </c>
      <c r="F4370" s="12" t="s">
        <v>39</v>
      </c>
      <c r="G4370" s="14">
        <v>2748</v>
      </c>
      <c r="H4370" s="12" t="s">
        <v>43</v>
      </c>
      <c r="I4370" s="12">
        <v>0</v>
      </c>
      <c r="J4370" s="12" t="s">
        <v>39</v>
      </c>
      <c r="K4370" s="12" t="s">
        <v>23</v>
      </c>
      <c r="L4370" s="12">
        <v>1</v>
      </c>
      <c r="M4370" s="15">
        <v>55000</v>
      </c>
      <c r="N4370" s="15">
        <v>0</v>
      </c>
      <c r="O4370" s="15">
        <f t="shared" si="375"/>
        <v>55000</v>
      </c>
      <c r="P4370" s="15">
        <f t="shared" si="374"/>
        <v>20.014556040756915</v>
      </c>
      <c r="Q4370" s="14">
        <v>5000</v>
      </c>
      <c r="R4370" s="12">
        <v>55</v>
      </c>
      <c r="S4370" s="12" t="s">
        <v>5300</v>
      </c>
      <c r="T4370" s="22">
        <f t="shared" si="376"/>
        <v>3</v>
      </c>
      <c r="U4370" s="22">
        <f t="shared" si="377"/>
        <v>2022</v>
      </c>
      <c r="V4370" s="22" t="str">
        <f t="shared" si="378"/>
        <v>METROPOLITANA</v>
      </c>
    </row>
    <row r="4371" spans="1:22" x14ac:dyDescent="0.2">
      <c r="A4371" s="11" t="s">
        <v>5293</v>
      </c>
      <c r="B4371" s="12" t="s">
        <v>33</v>
      </c>
      <c r="C4371" s="12" t="s">
        <v>29</v>
      </c>
      <c r="D4371" s="12" t="s">
        <v>164</v>
      </c>
      <c r="E4371" s="13" t="s">
        <v>1576</v>
      </c>
      <c r="F4371" s="12" t="s">
        <v>39</v>
      </c>
      <c r="G4371" s="14">
        <v>9961.4999999999964</v>
      </c>
      <c r="H4371" s="12" t="s">
        <v>22</v>
      </c>
      <c r="I4371" s="12">
        <v>1</v>
      </c>
      <c r="J4371" s="12" t="s">
        <v>39</v>
      </c>
      <c r="K4371" s="12" t="s">
        <v>23</v>
      </c>
      <c r="L4371" s="12">
        <v>1</v>
      </c>
      <c r="M4371" s="15">
        <v>109576</v>
      </c>
      <c r="N4371" s="15">
        <v>0</v>
      </c>
      <c r="O4371" s="15">
        <f t="shared" si="375"/>
        <v>109576</v>
      </c>
      <c r="P4371" s="15">
        <f t="shared" si="374"/>
        <v>10.999949806756014</v>
      </c>
      <c r="Q4371" s="14">
        <v>5000</v>
      </c>
      <c r="R4371" s="12">
        <v>100</v>
      </c>
      <c r="S4371" s="12" t="s">
        <v>5301</v>
      </c>
      <c r="T4371" s="22">
        <f t="shared" si="376"/>
        <v>3</v>
      </c>
      <c r="U4371" s="22">
        <f t="shared" si="377"/>
        <v>2022</v>
      </c>
      <c r="V4371" s="22" t="str">
        <f t="shared" si="378"/>
        <v>METROPOLITANA</v>
      </c>
    </row>
    <row r="4372" spans="1:22" x14ac:dyDescent="0.2">
      <c r="A4372" s="11" t="s">
        <v>5293</v>
      </c>
      <c r="B4372" s="12" t="s">
        <v>33</v>
      </c>
      <c r="C4372" s="12" t="s">
        <v>29</v>
      </c>
      <c r="D4372" s="12" t="s">
        <v>20</v>
      </c>
      <c r="E4372" s="13" t="s">
        <v>40</v>
      </c>
      <c r="F4372" s="12" t="s">
        <v>39</v>
      </c>
      <c r="G4372" s="14">
        <v>2748</v>
      </c>
      <c r="H4372" s="12" t="s">
        <v>22</v>
      </c>
      <c r="I4372" s="12">
        <v>0</v>
      </c>
      <c r="J4372" s="12" t="s">
        <v>39</v>
      </c>
      <c r="K4372" s="12" t="s">
        <v>23</v>
      </c>
      <c r="L4372" s="12">
        <v>1</v>
      </c>
      <c r="M4372" s="15">
        <v>55000</v>
      </c>
      <c r="N4372" s="15">
        <v>0</v>
      </c>
      <c r="O4372" s="15">
        <f t="shared" ref="O4372:O4403" si="379">SUM(M4372:N4372)</f>
        <v>55000</v>
      </c>
      <c r="P4372" s="15">
        <f t="shared" si="374"/>
        <v>20.014556040756915</v>
      </c>
      <c r="Q4372" s="14">
        <v>5000</v>
      </c>
      <c r="R4372" s="12">
        <v>55</v>
      </c>
      <c r="S4372" s="12" t="s">
        <v>5302</v>
      </c>
      <c r="T4372" s="22">
        <f t="shared" si="376"/>
        <v>3</v>
      </c>
      <c r="U4372" s="22">
        <f t="shared" si="377"/>
        <v>2022</v>
      </c>
      <c r="V4372" s="22" t="str">
        <f t="shared" si="378"/>
        <v>METROPOLITANA</v>
      </c>
    </row>
    <row r="4373" spans="1:22" x14ac:dyDescent="0.2">
      <c r="A4373" s="11" t="s">
        <v>5293</v>
      </c>
      <c r="B4373" s="12" t="s">
        <v>33</v>
      </c>
      <c r="C4373" s="12" t="s">
        <v>44</v>
      </c>
      <c r="D4373" s="12" t="s">
        <v>786</v>
      </c>
      <c r="E4373" s="13" t="s">
        <v>787</v>
      </c>
      <c r="F4373" s="12" t="s">
        <v>84</v>
      </c>
      <c r="G4373" s="14">
        <v>11584.07</v>
      </c>
      <c r="H4373" s="12" t="s">
        <v>788</v>
      </c>
      <c r="I4373" s="12">
        <v>1</v>
      </c>
      <c r="J4373" s="12" t="s">
        <v>84</v>
      </c>
      <c r="K4373" s="12" t="s">
        <v>86</v>
      </c>
      <c r="L4373" s="12">
        <v>0</v>
      </c>
      <c r="M4373" s="15">
        <v>330000</v>
      </c>
      <c r="N4373" s="15">
        <v>0</v>
      </c>
      <c r="O4373" s="15">
        <f t="shared" si="379"/>
        <v>330000</v>
      </c>
      <c r="P4373" s="15">
        <f t="shared" si="374"/>
        <v>28.487396916627748</v>
      </c>
      <c r="Q4373" s="14">
        <v>20000</v>
      </c>
      <c r="R4373" s="12">
        <v>58</v>
      </c>
      <c r="S4373" s="12" t="s">
        <v>5303</v>
      </c>
      <c r="T4373" s="22">
        <f t="shared" si="376"/>
        <v>3</v>
      </c>
      <c r="U4373" s="22">
        <f t="shared" si="377"/>
        <v>2022</v>
      </c>
      <c r="V4373" s="22" t="str">
        <f t="shared" si="378"/>
        <v>REGIONES</v>
      </c>
    </row>
    <row r="4374" spans="1:22" x14ac:dyDescent="0.2">
      <c r="A4374" s="11" t="s">
        <v>5293</v>
      </c>
      <c r="B4374" s="12" t="s">
        <v>33</v>
      </c>
      <c r="C4374" s="12" t="s">
        <v>44</v>
      </c>
      <c r="D4374" s="12" t="s">
        <v>45</v>
      </c>
      <c r="E4374" s="13" t="s">
        <v>52</v>
      </c>
      <c r="F4374" s="12" t="s">
        <v>95</v>
      </c>
      <c r="G4374" s="14">
        <v>6668.7999999999984</v>
      </c>
      <c r="H4374" s="12" t="s">
        <v>22</v>
      </c>
      <c r="I4374" s="12">
        <v>0</v>
      </c>
      <c r="J4374" s="12" t="s">
        <v>95</v>
      </c>
      <c r="K4374" s="12" t="s">
        <v>23</v>
      </c>
      <c r="L4374" s="12">
        <v>4</v>
      </c>
      <c r="M4374" s="15">
        <v>73357</v>
      </c>
      <c r="N4374" s="15">
        <v>0</v>
      </c>
      <c r="O4374" s="15">
        <f t="shared" si="379"/>
        <v>73357</v>
      </c>
      <c r="P4374" s="15">
        <f t="shared" si="374"/>
        <v>11.000029990403073</v>
      </c>
      <c r="Q4374" s="14">
        <v>5000</v>
      </c>
      <c r="R4374" s="12">
        <v>100</v>
      </c>
      <c r="S4374" s="12" t="s">
        <v>5304</v>
      </c>
      <c r="T4374" s="22">
        <f t="shared" si="376"/>
        <v>3</v>
      </c>
      <c r="U4374" s="22">
        <f t="shared" si="377"/>
        <v>2022</v>
      </c>
      <c r="V4374" s="22" t="str">
        <f t="shared" si="378"/>
        <v>METROPOLITANA</v>
      </c>
    </row>
    <row r="4375" spans="1:22" x14ac:dyDescent="0.2">
      <c r="A4375" s="23" t="s">
        <v>5307</v>
      </c>
      <c r="B4375" s="22" t="s">
        <v>18</v>
      </c>
      <c r="C4375" s="22" t="s">
        <v>270</v>
      </c>
      <c r="D4375" s="22" t="s">
        <v>47</v>
      </c>
      <c r="E4375" s="24" t="s">
        <v>52</v>
      </c>
      <c r="F4375" s="22" t="s">
        <v>120</v>
      </c>
      <c r="G4375" s="25">
        <v>6867</v>
      </c>
      <c r="H4375" s="22" t="s">
        <v>22</v>
      </c>
      <c r="I4375" s="22">
        <v>0</v>
      </c>
      <c r="J4375" s="22" t="s">
        <v>120</v>
      </c>
      <c r="K4375" s="22" t="s">
        <v>23</v>
      </c>
      <c r="L4375" s="22">
        <v>5</v>
      </c>
      <c r="M4375" s="26">
        <v>70000</v>
      </c>
      <c r="N4375" s="26">
        <v>0</v>
      </c>
      <c r="O4375" s="15">
        <f t="shared" si="379"/>
        <v>70000</v>
      </c>
      <c r="P4375" s="15">
        <f t="shared" si="374"/>
        <v>10.193679918450561</v>
      </c>
      <c r="Q4375" s="25">
        <v>10000</v>
      </c>
      <c r="R4375" s="22">
        <v>69</v>
      </c>
      <c r="S4375" s="22" t="s">
        <v>5308</v>
      </c>
      <c r="T4375" s="22">
        <f t="shared" si="376"/>
        <v>3</v>
      </c>
      <c r="U4375" s="22">
        <f t="shared" si="377"/>
        <v>2022</v>
      </c>
      <c r="V4375" s="22" t="str">
        <f t="shared" si="378"/>
        <v>METROPOLITANA</v>
      </c>
    </row>
    <row r="4376" spans="1:22" x14ac:dyDescent="0.2">
      <c r="A4376" s="23" t="s">
        <v>5307</v>
      </c>
      <c r="B4376" s="22" t="s">
        <v>18</v>
      </c>
      <c r="C4376" s="22" t="s">
        <v>270</v>
      </c>
      <c r="D4376" s="22" t="s">
        <v>164</v>
      </c>
      <c r="E4376" s="24" t="s">
        <v>1576</v>
      </c>
      <c r="F4376" s="22" t="s">
        <v>377</v>
      </c>
      <c r="G4376" s="25">
        <f>3040.96+3313</f>
        <v>6353.96</v>
      </c>
      <c r="H4376" s="22" t="s">
        <v>22</v>
      </c>
      <c r="I4376" s="22">
        <v>1</v>
      </c>
      <c r="J4376" s="22" t="s">
        <v>377</v>
      </c>
      <c r="K4376" s="22" t="s">
        <v>23</v>
      </c>
      <c r="L4376" s="22">
        <v>4</v>
      </c>
      <c r="M4376" s="26">
        <v>55000</v>
      </c>
      <c r="N4376" s="26">
        <v>0</v>
      </c>
      <c r="O4376" s="15">
        <f t="shared" si="379"/>
        <v>55000</v>
      </c>
      <c r="P4376" s="15">
        <f t="shared" si="374"/>
        <v>8.6560192383962136</v>
      </c>
      <c r="Q4376" s="25">
        <v>5000</v>
      </c>
      <c r="R4376" s="22">
        <v>100</v>
      </c>
      <c r="S4376" s="22" t="s">
        <v>5332</v>
      </c>
      <c r="T4376" s="22">
        <f t="shared" si="376"/>
        <v>3</v>
      </c>
      <c r="U4376" s="22">
        <f t="shared" si="377"/>
        <v>2022</v>
      </c>
      <c r="V4376" s="22" t="str">
        <f t="shared" si="378"/>
        <v>METROPOLITANA</v>
      </c>
    </row>
    <row r="4377" spans="1:22" x14ac:dyDescent="0.2">
      <c r="A4377" s="23" t="s">
        <v>5307</v>
      </c>
      <c r="B4377" s="22" t="s">
        <v>18</v>
      </c>
      <c r="C4377" s="22" t="s">
        <v>160</v>
      </c>
      <c r="D4377" s="22" t="s">
        <v>37</v>
      </c>
      <c r="E4377" s="24" t="s">
        <v>40</v>
      </c>
      <c r="F4377" s="22" t="s">
        <v>5240</v>
      </c>
      <c r="G4377" s="25">
        <v>9420.2999999999956</v>
      </c>
      <c r="H4377" s="22" t="s">
        <v>22</v>
      </c>
      <c r="I4377" s="22">
        <v>0</v>
      </c>
      <c r="J4377" s="22" t="s">
        <v>5240</v>
      </c>
      <c r="K4377" s="22" t="s">
        <v>78</v>
      </c>
      <c r="L4377" s="22">
        <v>0</v>
      </c>
      <c r="M4377" s="26">
        <v>180000</v>
      </c>
      <c r="N4377" s="26">
        <v>0</v>
      </c>
      <c r="O4377" s="15">
        <f t="shared" si="379"/>
        <v>180000</v>
      </c>
      <c r="P4377" s="15">
        <f t="shared" si="374"/>
        <v>19.107671730199684</v>
      </c>
      <c r="Q4377" s="25">
        <v>20000</v>
      </c>
      <c r="R4377" s="22">
        <v>47</v>
      </c>
      <c r="S4377" s="22" t="s">
        <v>5309</v>
      </c>
      <c r="T4377" s="22">
        <f t="shared" si="376"/>
        <v>3</v>
      </c>
      <c r="U4377" s="22">
        <f t="shared" si="377"/>
        <v>2022</v>
      </c>
      <c r="V4377" s="22" t="str">
        <f t="shared" si="378"/>
        <v>REGIONES</v>
      </c>
    </row>
    <row r="4378" spans="1:22" x14ac:dyDescent="0.2">
      <c r="A4378" s="23" t="s">
        <v>5307</v>
      </c>
      <c r="B4378" s="22" t="s">
        <v>18</v>
      </c>
      <c r="C4378" s="22" t="s">
        <v>160</v>
      </c>
      <c r="D4378" s="22" t="s">
        <v>41</v>
      </c>
      <c r="E4378" s="24" t="s">
        <v>25</v>
      </c>
      <c r="F4378" s="22" t="s">
        <v>5240</v>
      </c>
      <c r="G4378" s="25">
        <v>10469.959999999999</v>
      </c>
      <c r="H4378" s="22" t="s">
        <v>43</v>
      </c>
      <c r="I4378" s="22">
        <v>0</v>
      </c>
      <c r="J4378" s="22" t="s">
        <v>5240</v>
      </c>
      <c r="K4378" s="22" t="s">
        <v>78</v>
      </c>
      <c r="L4378" s="22">
        <v>0</v>
      </c>
      <c r="M4378" s="26">
        <v>180000</v>
      </c>
      <c r="N4378" s="26">
        <v>0</v>
      </c>
      <c r="O4378" s="15">
        <f t="shared" si="379"/>
        <v>180000</v>
      </c>
      <c r="P4378" s="15">
        <f t="shared" si="374"/>
        <v>17.192042758520568</v>
      </c>
      <c r="Q4378" s="25">
        <v>20000</v>
      </c>
      <c r="R4378" s="22">
        <v>52</v>
      </c>
      <c r="S4378" s="22" t="s">
        <v>5310</v>
      </c>
      <c r="T4378" s="22">
        <f t="shared" si="376"/>
        <v>3</v>
      </c>
      <c r="U4378" s="22">
        <f t="shared" si="377"/>
        <v>2022</v>
      </c>
      <c r="V4378" s="22" t="str">
        <f t="shared" si="378"/>
        <v>REGIONES</v>
      </c>
    </row>
    <row r="4379" spans="1:22" x14ac:dyDescent="0.2">
      <c r="A4379" s="23" t="s">
        <v>5307</v>
      </c>
      <c r="B4379" s="22" t="s">
        <v>33</v>
      </c>
      <c r="C4379" s="22" t="s">
        <v>270</v>
      </c>
      <c r="D4379" s="22" t="s">
        <v>164</v>
      </c>
      <c r="E4379" s="24" t="s">
        <v>1576</v>
      </c>
      <c r="F4379" s="22" t="s">
        <v>120</v>
      </c>
      <c r="G4379" s="25">
        <v>9839</v>
      </c>
      <c r="H4379" s="22" t="s">
        <v>22</v>
      </c>
      <c r="I4379" s="22">
        <v>1</v>
      </c>
      <c r="J4379" s="22" t="s">
        <v>120</v>
      </c>
      <c r="K4379" s="22" t="s">
        <v>23</v>
      </c>
      <c r="L4379" s="22">
        <v>5</v>
      </c>
      <c r="M4379" s="26">
        <v>120000</v>
      </c>
      <c r="N4379" s="26">
        <v>0</v>
      </c>
      <c r="O4379" s="15">
        <f t="shared" si="379"/>
        <v>120000</v>
      </c>
      <c r="P4379" s="15">
        <f t="shared" si="374"/>
        <v>12.196361418843379</v>
      </c>
      <c r="Q4379" s="25">
        <v>10000</v>
      </c>
      <c r="R4379" s="22">
        <v>98</v>
      </c>
      <c r="S4379" s="22" t="s">
        <v>5311</v>
      </c>
      <c r="T4379" s="22">
        <f t="shared" si="376"/>
        <v>3</v>
      </c>
      <c r="U4379" s="22">
        <f t="shared" si="377"/>
        <v>2022</v>
      </c>
      <c r="V4379" s="22" t="str">
        <f t="shared" si="378"/>
        <v>METROPOLITANA</v>
      </c>
    </row>
    <row r="4380" spans="1:22" x14ac:dyDescent="0.2">
      <c r="A4380" s="23" t="s">
        <v>5307</v>
      </c>
      <c r="B4380" s="22" t="s">
        <v>33</v>
      </c>
      <c r="C4380" s="22" t="s">
        <v>29</v>
      </c>
      <c r="D4380" s="22" t="s">
        <v>38</v>
      </c>
      <c r="E4380" s="24" t="s">
        <v>42</v>
      </c>
      <c r="F4380" s="22" t="s">
        <v>39</v>
      </c>
      <c r="G4380" s="25">
        <v>4373</v>
      </c>
      <c r="H4380" s="22" t="s">
        <v>43</v>
      </c>
      <c r="I4380" s="22">
        <v>0</v>
      </c>
      <c r="J4380" s="22" t="s">
        <v>39</v>
      </c>
      <c r="K4380" s="22" t="s">
        <v>23</v>
      </c>
      <c r="L4380" s="22">
        <v>1</v>
      </c>
      <c r="M4380" s="26">
        <v>55000</v>
      </c>
      <c r="N4380" s="26">
        <v>0</v>
      </c>
      <c r="O4380" s="15">
        <f t="shared" si="379"/>
        <v>55000</v>
      </c>
      <c r="P4380" s="15">
        <f t="shared" si="374"/>
        <v>12.577178138577635</v>
      </c>
      <c r="Q4380" s="25">
        <v>5000</v>
      </c>
      <c r="R4380" s="22">
        <v>87</v>
      </c>
      <c r="S4380" s="22" t="s">
        <v>5312</v>
      </c>
      <c r="T4380" s="22">
        <f t="shared" si="376"/>
        <v>3</v>
      </c>
      <c r="U4380" s="22">
        <f t="shared" si="377"/>
        <v>2022</v>
      </c>
      <c r="V4380" s="22" t="str">
        <f t="shared" si="378"/>
        <v>METROPOLITANA</v>
      </c>
    </row>
    <row r="4381" spans="1:22" x14ac:dyDescent="0.2">
      <c r="A4381" s="23" t="s">
        <v>5307</v>
      </c>
      <c r="B4381" s="22" t="s">
        <v>33</v>
      </c>
      <c r="C4381" s="22" t="s">
        <v>29</v>
      </c>
      <c r="D4381" s="22" t="s">
        <v>2955</v>
      </c>
      <c r="E4381" s="24" t="s">
        <v>2956</v>
      </c>
      <c r="F4381" s="22" t="s">
        <v>173</v>
      </c>
      <c r="G4381" s="25">
        <v>15758.4</v>
      </c>
      <c r="H4381" s="22" t="s">
        <v>24</v>
      </c>
      <c r="I4381" s="22">
        <v>1</v>
      </c>
      <c r="J4381" s="22" t="s">
        <v>173</v>
      </c>
      <c r="K4381" s="22" t="s">
        <v>23</v>
      </c>
      <c r="L4381" s="22">
        <v>5</v>
      </c>
      <c r="M4381" s="26">
        <v>120000</v>
      </c>
      <c r="N4381" s="26">
        <v>0</v>
      </c>
      <c r="O4381" s="15">
        <f t="shared" si="379"/>
        <v>120000</v>
      </c>
      <c r="P4381" s="15">
        <f t="shared" si="374"/>
        <v>7.614986293024673</v>
      </c>
      <c r="Q4381" s="25">
        <v>10000</v>
      </c>
      <c r="R4381" s="22">
        <v>100</v>
      </c>
      <c r="S4381" s="22" t="s">
        <v>5313</v>
      </c>
      <c r="T4381" s="22">
        <f t="shared" si="376"/>
        <v>3</v>
      </c>
      <c r="U4381" s="22">
        <f t="shared" si="377"/>
        <v>2022</v>
      </c>
      <c r="V4381" s="22" t="str">
        <f t="shared" si="378"/>
        <v>METROPOLITANA</v>
      </c>
    </row>
    <row r="4382" spans="1:22" x14ac:dyDescent="0.2">
      <c r="A4382" s="23" t="s">
        <v>5307</v>
      </c>
      <c r="B4382" s="22" t="s">
        <v>33</v>
      </c>
      <c r="C4382" s="22" t="s">
        <v>29</v>
      </c>
      <c r="D4382" s="22" t="s">
        <v>63</v>
      </c>
      <c r="E4382" s="24" t="s">
        <v>64</v>
      </c>
      <c r="F4382" s="22" t="s">
        <v>173</v>
      </c>
      <c r="G4382" s="25">
        <v>7503.9999999999973</v>
      </c>
      <c r="H4382" s="22" t="s">
        <v>65</v>
      </c>
      <c r="I4382" s="22">
        <v>0</v>
      </c>
      <c r="J4382" s="22" t="s">
        <v>173</v>
      </c>
      <c r="K4382" s="22" t="s">
        <v>23</v>
      </c>
      <c r="L4382" s="22">
        <v>5</v>
      </c>
      <c r="M4382" s="26">
        <v>90000</v>
      </c>
      <c r="N4382" s="26">
        <v>0</v>
      </c>
      <c r="O4382" s="15">
        <f t="shared" si="379"/>
        <v>90000</v>
      </c>
      <c r="P4382" s="15">
        <f t="shared" si="374"/>
        <v>11.993603411513863</v>
      </c>
      <c r="Q4382" s="25">
        <v>10000</v>
      </c>
      <c r="R4382" s="22">
        <v>75</v>
      </c>
      <c r="S4382" s="22" t="s">
        <v>5314</v>
      </c>
      <c r="T4382" s="22">
        <f t="shared" si="376"/>
        <v>3</v>
      </c>
      <c r="U4382" s="22">
        <f t="shared" si="377"/>
        <v>2022</v>
      </c>
      <c r="V4382" s="22" t="str">
        <f t="shared" si="378"/>
        <v>METROPOLITANA</v>
      </c>
    </row>
    <row r="4383" spans="1:22" x14ac:dyDescent="0.2">
      <c r="A4383" s="23" t="s">
        <v>5307</v>
      </c>
      <c r="B4383" s="22" t="s">
        <v>33</v>
      </c>
      <c r="C4383" s="22" t="s">
        <v>29</v>
      </c>
      <c r="D4383" s="22" t="s">
        <v>164</v>
      </c>
      <c r="E4383" s="24" t="s">
        <v>1576</v>
      </c>
      <c r="F4383" s="22" t="s">
        <v>39</v>
      </c>
      <c r="G4383" s="25">
        <f>20144+292</f>
        <v>20436</v>
      </c>
      <c r="H4383" s="22" t="s">
        <v>22</v>
      </c>
      <c r="I4383" s="22">
        <v>1</v>
      </c>
      <c r="J4383" s="22" t="s">
        <v>39</v>
      </c>
      <c r="K4383" s="22" t="s">
        <v>23</v>
      </c>
      <c r="L4383" s="22">
        <v>1</v>
      </c>
      <c r="M4383" s="26">
        <v>221584</v>
      </c>
      <c r="N4383" s="26">
        <v>0</v>
      </c>
      <c r="O4383" s="15">
        <f t="shared" si="379"/>
        <v>221584</v>
      </c>
      <c r="P4383" s="15">
        <f t="shared" si="374"/>
        <v>10.842826384811117</v>
      </c>
      <c r="Q4383" s="25">
        <v>5000</v>
      </c>
      <c r="R4383" s="22">
        <v>100</v>
      </c>
      <c r="S4383" s="22" t="s">
        <v>5331</v>
      </c>
      <c r="T4383" s="22">
        <f t="shared" si="376"/>
        <v>3</v>
      </c>
      <c r="U4383" s="22">
        <f t="shared" si="377"/>
        <v>2022</v>
      </c>
      <c r="V4383" s="22" t="str">
        <f t="shared" si="378"/>
        <v>METROPOLITANA</v>
      </c>
    </row>
    <row r="4384" spans="1:22" x14ac:dyDescent="0.2">
      <c r="A4384" s="23" t="s">
        <v>5307</v>
      </c>
      <c r="B4384" s="22" t="s">
        <v>33</v>
      </c>
      <c r="C4384" s="22" t="s">
        <v>29</v>
      </c>
      <c r="D4384" s="22" t="s">
        <v>20</v>
      </c>
      <c r="E4384" s="24" t="s">
        <v>21</v>
      </c>
      <c r="F4384" s="22" t="s">
        <v>39</v>
      </c>
      <c r="G4384" s="25">
        <v>2748</v>
      </c>
      <c r="H4384" s="22" t="s">
        <v>22</v>
      </c>
      <c r="I4384" s="22">
        <v>0</v>
      </c>
      <c r="J4384" s="22" t="s">
        <v>39</v>
      </c>
      <c r="K4384" s="22" t="s">
        <v>23</v>
      </c>
      <c r="L4384" s="22">
        <v>1</v>
      </c>
      <c r="M4384" s="26">
        <v>55000</v>
      </c>
      <c r="N4384" s="26">
        <v>0</v>
      </c>
      <c r="O4384" s="15">
        <f t="shared" si="379"/>
        <v>55000</v>
      </c>
      <c r="P4384" s="15">
        <f t="shared" si="374"/>
        <v>20.014556040756915</v>
      </c>
      <c r="Q4384" s="25">
        <v>5000</v>
      </c>
      <c r="R4384" s="22">
        <v>55</v>
      </c>
      <c r="S4384" s="22" t="s">
        <v>5315</v>
      </c>
      <c r="T4384" s="22">
        <f t="shared" si="376"/>
        <v>3</v>
      </c>
      <c r="U4384" s="22">
        <f t="shared" si="377"/>
        <v>2022</v>
      </c>
      <c r="V4384" s="22" t="str">
        <f t="shared" si="378"/>
        <v>METROPOLITANA</v>
      </c>
    </row>
    <row r="4385" spans="1:22" x14ac:dyDescent="0.2">
      <c r="A4385" s="23" t="s">
        <v>5307</v>
      </c>
      <c r="B4385" s="22" t="s">
        <v>33</v>
      </c>
      <c r="C4385" s="22" t="s">
        <v>44</v>
      </c>
      <c r="D4385" s="22" t="s">
        <v>37</v>
      </c>
      <c r="E4385" s="24" t="s">
        <v>40</v>
      </c>
      <c r="F4385" s="22" t="s">
        <v>48</v>
      </c>
      <c r="G4385" s="25">
        <v>8928.3999999999978</v>
      </c>
      <c r="H4385" s="22" t="s">
        <v>22</v>
      </c>
      <c r="I4385" s="22">
        <v>0</v>
      </c>
      <c r="J4385" s="22" t="s">
        <v>48</v>
      </c>
      <c r="K4385" s="22" t="s">
        <v>23</v>
      </c>
      <c r="L4385" s="22">
        <v>1</v>
      </c>
      <c r="M4385" s="26">
        <v>98212</v>
      </c>
      <c r="N4385" s="26">
        <v>0</v>
      </c>
      <c r="O4385" s="15">
        <f t="shared" si="379"/>
        <v>98212</v>
      </c>
      <c r="P4385" s="15">
        <f t="shared" ref="P4385:P4448" si="380">O4385/G4385</f>
        <v>10.999955199139826</v>
      </c>
      <c r="Q4385" s="25">
        <v>5000</v>
      </c>
      <c r="R4385" s="22">
        <v>100</v>
      </c>
      <c r="S4385" s="22" t="s">
        <v>5316</v>
      </c>
      <c r="T4385" s="22">
        <f t="shared" si="376"/>
        <v>3</v>
      </c>
      <c r="U4385" s="22">
        <f t="shared" si="377"/>
        <v>2022</v>
      </c>
      <c r="V4385" s="22" t="str">
        <f t="shared" si="378"/>
        <v>METROPOLITANA</v>
      </c>
    </row>
    <row r="4386" spans="1:22" x14ac:dyDescent="0.2">
      <c r="A4386" s="23" t="s">
        <v>5307</v>
      </c>
      <c r="B4386" s="22" t="s">
        <v>33</v>
      </c>
      <c r="C4386" s="22" t="s">
        <v>44</v>
      </c>
      <c r="D4386" s="22" t="s">
        <v>45</v>
      </c>
      <c r="E4386" s="24" t="s">
        <v>52</v>
      </c>
      <c r="F4386" s="22" t="s">
        <v>26</v>
      </c>
      <c r="G4386" s="25">
        <v>5407.7199999999984</v>
      </c>
      <c r="H4386" s="22" t="s">
        <v>22</v>
      </c>
      <c r="I4386" s="22">
        <v>0</v>
      </c>
      <c r="J4386" s="22" t="s">
        <v>26</v>
      </c>
      <c r="K4386" s="22" t="s">
        <v>23</v>
      </c>
      <c r="L4386" s="22">
        <v>4</v>
      </c>
      <c r="M4386" s="26">
        <v>59485</v>
      </c>
      <c r="N4386" s="26">
        <v>0</v>
      </c>
      <c r="O4386" s="15">
        <f t="shared" si="379"/>
        <v>59485</v>
      </c>
      <c r="P4386" s="15">
        <f t="shared" si="380"/>
        <v>11.000014793665356</v>
      </c>
      <c r="Q4386" s="25">
        <v>5000</v>
      </c>
      <c r="R4386" s="22">
        <v>100</v>
      </c>
      <c r="S4386" s="22" t="s">
        <v>5317</v>
      </c>
      <c r="T4386" s="22">
        <f t="shared" si="376"/>
        <v>3</v>
      </c>
      <c r="U4386" s="22">
        <f t="shared" si="377"/>
        <v>2022</v>
      </c>
      <c r="V4386" s="22" t="str">
        <f t="shared" si="378"/>
        <v>METROPOLITANA</v>
      </c>
    </row>
    <row r="4387" spans="1:22" x14ac:dyDescent="0.2">
      <c r="A4387" s="23" t="s">
        <v>5307</v>
      </c>
      <c r="B4387" s="22" t="s">
        <v>33</v>
      </c>
      <c r="C4387" s="22" t="s">
        <v>44</v>
      </c>
      <c r="D4387" s="22" t="s">
        <v>47</v>
      </c>
      <c r="E4387" s="24" t="s">
        <v>5318</v>
      </c>
      <c r="F4387" s="22" t="s">
        <v>94</v>
      </c>
      <c r="G4387" s="25">
        <f>4731.22+3002</f>
        <v>7733.22</v>
      </c>
      <c r="H4387" s="22" t="s">
        <v>22</v>
      </c>
      <c r="I4387" s="22">
        <v>0</v>
      </c>
      <c r="J4387" s="22" t="s">
        <v>59</v>
      </c>
      <c r="K4387" s="22" t="s">
        <v>78</v>
      </c>
      <c r="L4387" s="22">
        <v>0</v>
      </c>
      <c r="M4387" s="26">
        <v>180000</v>
      </c>
      <c r="N4387" s="26">
        <v>0</v>
      </c>
      <c r="O4387" s="15">
        <f t="shared" si="379"/>
        <v>180000</v>
      </c>
      <c r="P4387" s="15">
        <f t="shared" si="380"/>
        <v>23.276203185736343</v>
      </c>
      <c r="Q4387" s="25">
        <v>20000</v>
      </c>
      <c r="R4387" s="22">
        <v>45</v>
      </c>
      <c r="S4387" s="22" t="s">
        <v>5333</v>
      </c>
      <c r="T4387" s="22">
        <f t="shared" si="376"/>
        <v>3</v>
      </c>
      <c r="U4387" s="22">
        <f t="shared" si="377"/>
        <v>2022</v>
      </c>
      <c r="V4387" s="22" t="str">
        <f t="shared" si="378"/>
        <v>REGIONES</v>
      </c>
    </row>
    <row r="4388" spans="1:22" x14ac:dyDescent="0.2">
      <c r="A4388" s="23" t="s">
        <v>5307</v>
      </c>
      <c r="B4388" s="22" t="s">
        <v>33</v>
      </c>
      <c r="C4388" s="22" t="s">
        <v>44</v>
      </c>
      <c r="D4388" s="22" t="s">
        <v>41</v>
      </c>
      <c r="E4388" s="24" t="s">
        <v>25</v>
      </c>
      <c r="F4388" s="22" t="s">
        <v>95</v>
      </c>
      <c r="G4388" s="25">
        <v>4354.42</v>
      </c>
      <c r="H4388" s="22" t="s">
        <v>43</v>
      </c>
      <c r="I4388" s="22">
        <v>0</v>
      </c>
      <c r="J4388" s="22" t="s">
        <v>95</v>
      </c>
      <c r="K4388" s="22" t="s">
        <v>23</v>
      </c>
      <c r="L4388" s="22">
        <v>4</v>
      </c>
      <c r="M4388" s="26">
        <v>55000</v>
      </c>
      <c r="N4388" s="26">
        <v>0</v>
      </c>
      <c r="O4388" s="15">
        <f t="shared" si="379"/>
        <v>55000</v>
      </c>
      <c r="P4388" s="15">
        <f t="shared" si="380"/>
        <v>12.630844061895729</v>
      </c>
      <c r="Q4388" s="25">
        <v>5000</v>
      </c>
      <c r="R4388" s="22">
        <v>87</v>
      </c>
      <c r="S4388" s="22" t="s">
        <v>5319</v>
      </c>
      <c r="T4388" s="22">
        <f t="shared" si="376"/>
        <v>3</v>
      </c>
      <c r="U4388" s="22">
        <f t="shared" si="377"/>
        <v>2022</v>
      </c>
      <c r="V4388" s="22" t="str">
        <f t="shared" si="378"/>
        <v>METROPOLITANA</v>
      </c>
    </row>
    <row r="4389" spans="1:22" x14ac:dyDescent="0.2">
      <c r="A4389" s="11" t="s">
        <v>5320</v>
      </c>
      <c r="B4389" s="12" t="s">
        <v>18</v>
      </c>
      <c r="C4389" s="12" t="s">
        <v>4880</v>
      </c>
      <c r="D4389" s="12" t="s">
        <v>2955</v>
      </c>
      <c r="E4389" s="13" t="s">
        <v>2956</v>
      </c>
      <c r="F4389" s="12" t="s">
        <v>129</v>
      </c>
      <c r="G4389" s="14">
        <v>12510</v>
      </c>
      <c r="H4389" s="12" t="s">
        <v>24</v>
      </c>
      <c r="I4389" s="12">
        <v>1</v>
      </c>
      <c r="J4389" s="12" t="s">
        <v>129</v>
      </c>
      <c r="K4389" s="12" t="s">
        <v>23</v>
      </c>
      <c r="L4389" s="12">
        <v>1</v>
      </c>
      <c r="M4389" s="15">
        <v>137610</v>
      </c>
      <c r="N4389" s="15">
        <v>0</v>
      </c>
      <c r="O4389" s="15">
        <f t="shared" si="379"/>
        <v>137610</v>
      </c>
      <c r="P4389" s="15">
        <f t="shared" si="380"/>
        <v>11</v>
      </c>
      <c r="Q4389" s="14">
        <v>5000</v>
      </c>
      <c r="R4389" s="12">
        <v>100</v>
      </c>
      <c r="S4389" s="12" t="s">
        <v>5321</v>
      </c>
      <c r="T4389" s="22">
        <f t="shared" si="376"/>
        <v>3</v>
      </c>
      <c r="U4389" s="22">
        <f t="shared" si="377"/>
        <v>2022</v>
      </c>
      <c r="V4389" s="22" t="str">
        <f t="shared" si="378"/>
        <v>METROPOLITANA</v>
      </c>
    </row>
    <row r="4390" spans="1:22" x14ac:dyDescent="0.2">
      <c r="A4390" s="11" t="s">
        <v>5320</v>
      </c>
      <c r="B4390" s="12" t="s">
        <v>18</v>
      </c>
      <c r="C4390" s="12" t="s">
        <v>160</v>
      </c>
      <c r="D4390" s="12" t="s">
        <v>37</v>
      </c>
      <c r="E4390" s="13" t="s">
        <v>40</v>
      </c>
      <c r="F4390" s="12" t="s">
        <v>5240</v>
      </c>
      <c r="G4390" s="14">
        <v>7423.6799999999976</v>
      </c>
      <c r="H4390" s="12" t="s">
        <v>22</v>
      </c>
      <c r="I4390" s="12">
        <v>0</v>
      </c>
      <c r="J4390" s="12" t="s">
        <v>5240</v>
      </c>
      <c r="K4390" s="12" t="s">
        <v>78</v>
      </c>
      <c r="L4390" s="12">
        <v>0</v>
      </c>
      <c r="M4390" s="15">
        <v>180000</v>
      </c>
      <c r="N4390" s="15">
        <v>0</v>
      </c>
      <c r="O4390" s="15">
        <f t="shared" si="379"/>
        <v>180000</v>
      </c>
      <c r="P4390" s="15">
        <f t="shared" si="380"/>
        <v>24.246734773050569</v>
      </c>
      <c r="Q4390" s="14">
        <v>20000</v>
      </c>
      <c r="R4390" s="12">
        <v>37</v>
      </c>
      <c r="S4390" s="12" t="s">
        <v>5322</v>
      </c>
      <c r="T4390" s="22">
        <f t="shared" si="376"/>
        <v>3</v>
      </c>
      <c r="U4390" s="22">
        <f t="shared" si="377"/>
        <v>2022</v>
      </c>
      <c r="V4390" s="22" t="str">
        <f t="shared" si="378"/>
        <v>REGIONES</v>
      </c>
    </row>
    <row r="4391" spans="1:22" x14ac:dyDescent="0.2">
      <c r="A4391" s="11" t="s">
        <v>5320</v>
      </c>
      <c r="B4391" s="12" t="s">
        <v>18</v>
      </c>
      <c r="C4391" s="12" t="s">
        <v>160</v>
      </c>
      <c r="D4391" s="12" t="s">
        <v>63</v>
      </c>
      <c r="E4391" s="13" t="s">
        <v>64</v>
      </c>
      <c r="F4391" s="12" t="s">
        <v>5240</v>
      </c>
      <c r="G4391" s="14">
        <v>8779.32</v>
      </c>
      <c r="H4391" s="12" t="s">
        <v>65</v>
      </c>
      <c r="I4391" s="12">
        <v>0</v>
      </c>
      <c r="J4391" s="12" t="s">
        <v>5240</v>
      </c>
      <c r="K4391" s="12" t="s">
        <v>78</v>
      </c>
      <c r="L4391" s="12">
        <v>0</v>
      </c>
      <c r="M4391" s="15">
        <v>180000</v>
      </c>
      <c r="N4391" s="15">
        <v>0</v>
      </c>
      <c r="O4391" s="15">
        <f t="shared" si="379"/>
        <v>180000</v>
      </c>
      <c r="P4391" s="15">
        <f t="shared" si="380"/>
        <v>20.502726862672738</v>
      </c>
      <c r="Q4391" s="14">
        <v>20000</v>
      </c>
      <c r="R4391" s="12">
        <v>44</v>
      </c>
      <c r="S4391" s="12" t="s">
        <v>5323</v>
      </c>
      <c r="T4391" s="22">
        <f t="shared" si="376"/>
        <v>3</v>
      </c>
      <c r="U4391" s="22">
        <f t="shared" si="377"/>
        <v>2022</v>
      </c>
      <c r="V4391" s="22" t="str">
        <f t="shared" si="378"/>
        <v>REGIONES</v>
      </c>
    </row>
    <row r="4392" spans="1:22" x14ac:dyDescent="0.2">
      <c r="A4392" s="11" t="s">
        <v>5320</v>
      </c>
      <c r="B4392" s="12" t="s">
        <v>18</v>
      </c>
      <c r="C4392" s="12" t="s">
        <v>19</v>
      </c>
      <c r="D4392" s="12" t="s">
        <v>786</v>
      </c>
      <c r="E4392" s="13" t="s">
        <v>5324</v>
      </c>
      <c r="F4392" s="12" t="s">
        <v>407</v>
      </c>
      <c r="G4392" s="14">
        <v>18632.759999999998</v>
      </c>
      <c r="H4392" s="12" t="s">
        <v>788</v>
      </c>
      <c r="I4392" s="12">
        <v>1</v>
      </c>
      <c r="J4392" s="12" t="s">
        <v>407</v>
      </c>
      <c r="K4392" s="12" t="s">
        <v>408</v>
      </c>
      <c r="L4392" s="12">
        <v>0</v>
      </c>
      <c r="M4392" s="15">
        <v>700000</v>
      </c>
      <c r="N4392" s="15">
        <v>0</v>
      </c>
      <c r="O4392" s="15">
        <f t="shared" si="379"/>
        <v>700000</v>
      </c>
      <c r="P4392" s="15">
        <f t="shared" si="380"/>
        <v>37.568240024558897</v>
      </c>
      <c r="Q4392" s="14">
        <v>20000</v>
      </c>
      <c r="R4392" s="12">
        <v>93</v>
      </c>
      <c r="S4392" s="12" t="s">
        <v>5325</v>
      </c>
      <c r="T4392" s="22">
        <f t="shared" si="376"/>
        <v>3</v>
      </c>
      <c r="U4392" s="22">
        <f t="shared" si="377"/>
        <v>2022</v>
      </c>
      <c r="V4392" s="22" t="str">
        <f t="shared" si="378"/>
        <v>REGIONES</v>
      </c>
    </row>
    <row r="4393" spans="1:22" x14ac:dyDescent="0.2">
      <c r="A4393" s="11" t="s">
        <v>5320</v>
      </c>
      <c r="B4393" s="12" t="s">
        <v>18</v>
      </c>
      <c r="C4393" s="12" t="s">
        <v>87</v>
      </c>
      <c r="D4393" s="12" t="s">
        <v>38</v>
      </c>
      <c r="E4393" s="13" t="s">
        <v>42</v>
      </c>
      <c r="F4393" s="12" t="s">
        <v>51</v>
      </c>
      <c r="G4393" s="14">
        <v>14044.45</v>
      </c>
      <c r="H4393" s="12" t="s">
        <v>43</v>
      </c>
      <c r="I4393" s="12">
        <v>0</v>
      </c>
      <c r="J4393" s="12" t="s">
        <v>51</v>
      </c>
      <c r="K4393" s="12" t="s">
        <v>23</v>
      </c>
      <c r="L4393" s="12">
        <v>4</v>
      </c>
      <c r="M4393" s="15">
        <v>154489</v>
      </c>
      <c r="N4393" s="15">
        <v>0</v>
      </c>
      <c r="O4393" s="15">
        <f t="shared" si="379"/>
        <v>154489</v>
      </c>
      <c r="P4393" s="15">
        <f t="shared" si="380"/>
        <v>11.000003560125174</v>
      </c>
      <c r="Q4393" s="14">
        <v>5000</v>
      </c>
      <c r="R4393" s="12">
        <v>100</v>
      </c>
      <c r="S4393" s="12" t="s">
        <v>5326</v>
      </c>
      <c r="T4393" s="22">
        <f t="shared" si="376"/>
        <v>3</v>
      </c>
      <c r="U4393" s="22">
        <f t="shared" si="377"/>
        <v>2022</v>
      </c>
      <c r="V4393" s="22" t="str">
        <f t="shared" si="378"/>
        <v>METROPOLITANA</v>
      </c>
    </row>
    <row r="4394" spans="1:22" x14ac:dyDescent="0.2">
      <c r="A4394" s="11" t="s">
        <v>5320</v>
      </c>
      <c r="B4394" s="12" t="s">
        <v>18</v>
      </c>
      <c r="C4394" s="12" t="s">
        <v>87</v>
      </c>
      <c r="D4394" s="12" t="s">
        <v>41</v>
      </c>
      <c r="E4394" s="13" t="s">
        <v>25</v>
      </c>
      <c r="F4394" s="12" t="s">
        <v>51</v>
      </c>
      <c r="G4394" s="14">
        <v>10452.48</v>
      </c>
      <c r="H4394" s="12" t="s">
        <v>43</v>
      </c>
      <c r="I4394" s="12">
        <v>0</v>
      </c>
      <c r="J4394" s="12" t="s">
        <v>51</v>
      </c>
      <c r="K4394" s="12" t="s">
        <v>23</v>
      </c>
      <c r="L4394" s="12">
        <v>4</v>
      </c>
      <c r="M4394" s="15">
        <v>114977</v>
      </c>
      <c r="N4394" s="15">
        <v>0</v>
      </c>
      <c r="O4394" s="15">
        <f t="shared" si="379"/>
        <v>114977</v>
      </c>
      <c r="P4394" s="15">
        <f t="shared" si="380"/>
        <v>10.999973212098947</v>
      </c>
      <c r="Q4394" s="14">
        <v>5000</v>
      </c>
      <c r="R4394" s="12">
        <v>100</v>
      </c>
      <c r="S4394" s="12" t="s">
        <v>5327</v>
      </c>
      <c r="T4394" s="22">
        <f t="shared" si="376"/>
        <v>3</v>
      </c>
      <c r="U4394" s="22">
        <f t="shared" si="377"/>
        <v>2022</v>
      </c>
      <c r="V4394" s="22" t="str">
        <f t="shared" si="378"/>
        <v>METROPOLITANA</v>
      </c>
    </row>
    <row r="4395" spans="1:22" x14ac:dyDescent="0.2">
      <c r="A4395" s="11" t="s">
        <v>5320</v>
      </c>
      <c r="B4395" s="12" t="s">
        <v>33</v>
      </c>
      <c r="C4395" s="12" t="s">
        <v>223</v>
      </c>
      <c r="D4395" s="12" t="s">
        <v>45</v>
      </c>
      <c r="E4395" s="13" t="s">
        <v>52</v>
      </c>
      <c r="F4395" s="12" t="s">
        <v>67</v>
      </c>
      <c r="G4395" s="14">
        <v>5452.4</v>
      </c>
      <c r="H4395" s="12" t="s">
        <v>22</v>
      </c>
      <c r="I4395" s="12">
        <v>0</v>
      </c>
      <c r="J4395" s="12" t="s">
        <v>67</v>
      </c>
      <c r="K4395" s="12" t="s">
        <v>23</v>
      </c>
      <c r="L4395" s="12">
        <v>2</v>
      </c>
      <c r="M4395" s="15">
        <v>59976</v>
      </c>
      <c r="N4395" s="15">
        <v>0</v>
      </c>
      <c r="O4395" s="15">
        <f t="shared" si="379"/>
        <v>59976</v>
      </c>
      <c r="P4395" s="15">
        <f t="shared" si="380"/>
        <v>10.999926637810873</v>
      </c>
      <c r="Q4395" s="14">
        <v>5000</v>
      </c>
      <c r="R4395" s="12">
        <v>100</v>
      </c>
      <c r="S4395" s="12" t="s">
        <v>5328</v>
      </c>
      <c r="T4395" s="22">
        <f t="shared" si="376"/>
        <v>3</v>
      </c>
      <c r="U4395" s="22">
        <f t="shared" si="377"/>
        <v>2022</v>
      </c>
      <c r="V4395" s="22" t="str">
        <f t="shared" si="378"/>
        <v>METROPOLITANA</v>
      </c>
    </row>
    <row r="4396" spans="1:22" x14ac:dyDescent="0.2">
      <c r="A4396" s="11" t="s">
        <v>5320</v>
      </c>
      <c r="B4396" s="12" t="s">
        <v>33</v>
      </c>
      <c r="C4396" s="12" t="s">
        <v>44</v>
      </c>
      <c r="D4396" s="12" t="s">
        <v>2825</v>
      </c>
      <c r="E4396" s="13" t="s">
        <v>639</v>
      </c>
      <c r="F4396" s="12" t="s">
        <v>66</v>
      </c>
      <c r="G4396" s="14">
        <v>14399.919999999989</v>
      </c>
      <c r="H4396" s="12" t="s">
        <v>24</v>
      </c>
      <c r="I4396" s="12">
        <v>1</v>
      </c>
      <c r="J4396" s="12" t="s">
        <v>66</v>
      </c>
      <c r="K4396" s="12" t="s">
        <v>75</v>
      </c>
      <c r="L4396" s="12">
        <v>0</v>
      </c>
      <c r="M4396" s="15">
        <v>420000</v>
      </c>
      <c r="N4396" s="15">
        <v>0</v>
      </c>
      <c r="O4396" s="15">
        <f t="shared" si="379"/>
        <v>420000</v>
      </c>
      <c r="P4396" s="15">
        <f t="shared" si="380"/>
        <v>29.166828704603937</v>
      </c>
      <c r="Q4396" s="14">
        <v>20000</v>
      </c>
      <c r="R4396" s="12">
        <v>72</v>
      </c>
      <c r="S4396" s="12" t="s">
        <v>5329</v>
      </c>
      <c r="T4396" s="22">
        <f t="shared" si="376"/>
        <v>3</v>
      </c>
      <c r="U4396" s="22">
        <f t="shared" si="377"/>
        <v>2022</v>
      </c>
      <c r="V4396" s="22" t="str">
        <f t="shared" si="378"/>
        <v>REGIONES</v>
      </c>
    </row>
    <row r="4397" spans="1:22" x14ac:dyDescent="0.2">
      <c r="A4397" s="11" t="s">
        <v>5320</v>
      </c>
      <c r="B4397" s="12" t="s">
        <v>33</v>
      </c>
      <c r="C4397" s="12" t="s">
        <v>44</v>
      </c>
      <c r="D4397" s="12" t="s">
        <v>45</v>
      </c>
      <c r="E4397" s="13" t="s">
        <v>21</v>
      </c>
      <c r="F4397" s="12" t="s">
        <v>134</v>
      </c>
      <c r="G4397" s="14">
        <v>3750.8</v>
      </c>
      <c r="H4397" s="12" t="s">
        <v>22</v>
      </c>
      <c r="I4397" s="12">
        <v>0</v>
      </c>
      <c r="J4397" s="12" t="s">
        <v>134</v>
      </c>
      <c r="K4397" s="12" t="s">
        <v>23</v>
      </c>
      <c r="L4397" s="12">
        <v>2</v>
      </c>
      <c r="M4397" s="15">
        <v>55000</v>
      </c>
      <c r="N4397" s="15">
        <v>0</v>
      </c>
      <c r="O4397" s="15">
        <f t="shared" si="379"/>
        <v>55000</v>
      </c>
      <c r="P4397" s="15">
        <f t="shared" si="380"/>
        <v>14.663538445131705</v>
      </c>
      <c r="Q4397" s="14">
        <v>5000</v>
      </c>
      <c r="R4397" s="12">
        <v>75</v>
      </c>
      <c r="S4397" s="12" t="s">
        <v>5330</v>
      </c>
      <c r="T4397" s="22">
        <f t="shared" si="376"/>
        <v>3</v>
      </c>
      <c r="U4397" s="22">
        <f t="shared" si="377"/>
        <v>2022</v>
      </c>
      <c r="V4397" s="22" t="str">
        <f t="shared" si="378"/>
        <v>METROPOLITANA</v>
      </c>
    </row>
    <row r="4398" spans="1:22" x14ac:dyDescent="0.2">
      <c r="A4398" s="23" t="s">
        <v>5334</v>
      </c>
      <c r="B4398" s="22" t="s">
        <v>18</v>
      </c>
      <c r="C4398" s="22" t="s">
        <v>57</v>
      </c>
      <c r="D4398" s="22" t="s">
        <v>47</v>
      </c>
      <c r="E4398" s="24" t="s">
        <v>49</v>
      </c>
      <c r="F4398" s="22" t="s">
        <v>308</v>
      </c>
      <c r="G4398" s="25">
        <v>10737.65</v>
      </c>
      <c r="H4398" s="22" t="s">
        <v>22</v>
      </c>
      <c r="I4398" s="22">
        <v>0</v>
      </c>
      <c r="J4398" s="22" t="s">
        <v>308</v>
      </c>
      <c r="K4398" s="22" t="s">
        <v>78</v>
      </c>
      <c r="L4398" s="22">
        <v>0</v>
      </c>
      <c r="M4398" s="26">
        <v>180000</v>
      </c>
      <c r="N4398" s="26">
        <v>0</v>
      </c>
      <c r="O4398" s="15">
        <f t="shared" si="379"/>
        <v>180000</v>
      </c>
      <c r="P4398" s="15">
        <f t="shared" si="380"/>
        <v>16.76344451532691</v>
      </c>
      <c r="Q4398" s="25">
        <v>20000</v>
      </c>
      <c r="R4398" s="22">
        <v>54</v>
      </c>
      <c r="S4398" s="22" t="s">
        <v>5335</v>
      </c>
      <c r="T4398" s="22">
        <f t="shared" si="376"/>
        <v>3</v>
      </c>
      <c r="U4398" s="22">
        <f t="shared" si="377"/>
        <v>2022</v>
      </c>
      <c r="V4398" s="22" t="str">
        <f t="shared" si="378"/>
        <v>REGIONES</v>
      </c>
    </row>
    <row r="4399" spans="1:22" x14ac:dyDescent="0.2">
      <c r="A4399" s="23" t="s">
        <v>5334</v>
      </c>
      <c r="B4399" s="22" t="s">
        <v>18</v>
      </c>
      <c r="C4399" s="22" t="s">
        <v>57</v>
      </c>
      <c r="D4399" s="22" t="s">
        <v>164</v>
      </c>
      <c r="E4399" s="24" t="s">
        <v>1576</v>
      </c>
      <c r="F4399" s="22" t="s">
        <v>308</v>
      </c>
      <c r="G4399" s="25">
        <v>15014.38</v>
      </c>
      <c r="H4399" s="22" t="s">
        <v>22</v>
      </c>
      <c r="I4399" s="22">
        <v>1</v>
      </c>
      <c r="J4399" s="22" t="s">
        <v>308</v>
      </c>
      <c r="K4399" s="22" t="s">
        <v>78</v>
      </c>
      <c r="L4399" s="22">
        <v>0</v>
      </c>
      <c r="M4399" s="26">
        <v>230000</v>
      </c>
      <c r="N4399" s="26">
        <v>0</v>
      </c>
      <c r="O4399" s="15">
        <f t="shared" si="379"/>
        <v>230000</v>
      </c>
      <c r="P4399" s="15">
        <f t="shared" si="380"/>
        <v>15.318647856255138</v>
      </c>
      <c r="Q4399" s="25">
        <v>20000</v>
      </c>
      <c r="R4399" s="22">
        <v>75</v>
      </c>
      <c r="S4399" s="22" t="s">
        <v>5336</v>
      </c>
      <c r="T4399" s="22">
        <f t="shared" si="376"/>
        <v>3</v>
      </c>
      <c r="U4399" s="22">
        <f t="shared" si="377"/>
        <v>2022</v>
      </c>
      <c r="V4399" s="22" t="str">
        <f t="shared" si="378"/>
        <v>REGIONES</v>
      </c>
    </row>
    <row r="4400" spans="1:22" x14ac:dyDescent="0.2">
      <c r="A4400" s="23" t="s">
        <v>5334</v>
      </c>
      <c r="B4400" s="22" t="s">
        <v>18</v>
      </c>
      <c r="C4400" s="22" t="s">
        <v>160</v>
      </c>
      <c r="D4400" s="22" t="s">
        <v>41</v>
      </c>
      <c r="E4400" s="24" t="s">
        <v>25</v>
      </c>
      <c r="F4400" s="22" t="s">
        <v>5240</v>
      </c>
      <c r="G4400" s="25">
        <v>10375.56</v>
      </c>
      <c r="H4400" s="22" t="s">
        <v>43</v>
      </c>
      <c r="I4400" s="22">
        <v>0</v>
      </c>
      <c r="J4400" s="22" t="s">
        <v>5240</v>
      </c>
      <c r="K4400" s="22" t="s">
        <v>78</v>
      </c>
      <c r="L4400" s="22">
        <v>0</v>
      </c>
      <c r="M4400" s="26">
        <v>180000</v>
      </c>
      <c r="N4400" s="26">
        <v>0</v>
      </c>
      <c r="O4400" s="15">
        <f t="shared" si="379"/>
        <v>180000</v>
      </c>
      <c r="P4400" s="15">
        <f t="shared" si="380"/>
        <v>17.348461191492316</v>
      </c>
      <c r="Q4400" s="25">
        <v>20000</v>
      </c>
      <c r="R4400" s="22">
        <v>52</v>
      </c>
      <c r="S4400" s="22" t="s">
        <v>5337</v>
      </c>
      <c r="T4400" s="22">
        <f t="shared" si="376"/>
        <v>3</v>
      </c>
      <c r="U4400" s="22">
        <f t="shared" si="377"/>
        <v>2022</v>
      </c>
      <c r="V4400" s="22" t="str">
        <f t="shared" si="378"/>
        <v>REGIONES</v>
      </c>
    </row>
    <row r="4401" spans="1:22" x14ac:dyDescent="0.2">
      <c r="A4401" s="23" t="s">
        <v>5334</v>
      </c>
      <c r="B4401" s="22" t="s">
        <v>33</v>
      </c>
      <c r="C4401" s="22" t="s">
        <v>29</v>
      </c>
      <c r="D4401" s="22" t="s">
        <v>37</v>
      </c>
      <c r="E4401" s="24" t="s">
        <v>40</v>
      </c>
      <c r="F4401" s="22" t="s">
        <v>173</v>
      </c>
      <c r="G4401" s="25">
        <v>6003.1999999999989</v>
      </c>
      <c r="H4401" s="22" t="s">
        <v>22</v>
      </c>
      <c r="I4401" s="22">
        <v>0</v>
      </c>
      <c r="J4401" s="22" t="s">
        <v>173</v>
      </c>
      <c r="K4401" s="22" t="s">
        <v>23</v>
      </c>
      <c r="L4401" s="22">
        <v>5</v>
      </c>
      <c r="M4401" s="26">
        <v>90000</v>
      </c>
      <c r="N4401" s="26">
        <v>0</v>
      </c>
      <c r="O4401" s="15">
        <f t="shared" si="379"/>
        <v>90000</v>
      </c>
      <c r="P4401" s="15">
        <f t="shared" si="380"/>
        <v>14.992004264392326</v>
      </c>
      <c r="Q4401" s="25">
        <v>10000</v>
      </c>
      <c r="R4401" s="22">
        <v>60</v>
      </c>
      <c r="S4401" s="22" t="s">
        <v>5338</v>
      </c>
      <c r="T4401" s="22">
        <f t="shared" si="376"/>
        <v>3</v>
      </c>
      <c r="U4401" s="22">
        <f t="shared" si="377"/>
        <v>2022</v>
      </c>
      <c r="V4401" s="22" t="str">
        <f t="shared" si="378"/>
        <v>METROPOLITANA</v>
      </c>
    </row>
    <row r="4402" spans="1:22" x14ac:dyDescent="0.2">
      <c r="A4402" s="23" t="s">
        <v>5334</v>
      </c>
      <c r="B4402" s="22" t="s">
        <v>33</v>
      </c>
      <c r="C4402" s="22" t="s">
        <v>29</v>
      </c>
      <c r="D4402" s="22" t="s">
        <v>2955</v>
      </c>
      <c r="E4402" s="24" t="s">
        <v>2956</v>
      </c>
      <c r="F4402" s="22" t="s">
        <v>173</v>
      </c>
      <c r="G4402" s="25">
        <v>12328.2</v>
      </c>
      <c r="H4402" s="22" t="s">
        <v>24</v>
      </c>
      <c r="I4402" s="22">
        <v>1</v>
      </c>
      <c r="J4402" s="22" t="s">
        <v>173</v>
      </c>
      <c r="K4402" s="22" t="s">
        <v>23</v>
      </c>
      <c r="L4402" s="22">
        <v>5</v>
      </c>
      <c r="M4402" s="26">
        <v>120000</v>
      </c>
      <c r="N4402" s="26">
        <v>0</v>
      </c>
      <c r="O4402" s="15">
        <f t="shared" si="379"/>
        <v>120000</v>
      </c>
      <c r="P4402" s="15">
        <f t="shared" si="380"/>
        <v>9.7337810872633472</v>
      </c>
      <c r="Q4402" s="25">
        <v>10000</v>
      </c>
      <c r="R4402" s="22">
        <v>100</v>
      </c>
      <c r="S4402" s="22" t="s">
        <v>5339</v>
      </c>
      <c r="T4402" s="22">
        <f t="shared" si="376"/>
        <v>3</v>
      </c>
      <c r="U4402" s="22">
        <f t="shared" si="377"/>
        <v>2022</v>
      </c>
      <c r="V4402" s="22" t="str">
        <f t="shared" si="378"/>
        <v>METROPOLITANA</v>
      </c>
    </row>
    <row r="4403" spans="1:22" x14ac:dyDescent="0.2">
      <c r="A4403" s="23" t="s">
        <v>5334</v>
      </c>
      <c r="B4403" s="22" t="s">
        <v>33</v>
      </c>
      <c r="C4403" s="22" t="s">
        <v>44</v>
      </c>
      <c r="D4403" s="22" t="s">
        <v>2262</v>
      </c>
      <c r="E4403" s="24" t="s">
        <v>83</v>
      </c>
      <c r="F4403" s="22" t="s">
        <v>3438</v>
      </c>
      <c r="G4403" s="25">
        <v>8244.0000000000036</v>
      </c>
      <c r="H4403" s="22" t="s">
        <v>24</v>
      </c>
      <c r="I4403" s="22">
        <v>1</v>
      </c>
      <c r="J4403" s="22" t="s">
        <v>3438</v>
      </c>
      <c r="K4403" s="22" t="s">
        <v>93</v>
      </c>
      <c r="L4403" s="22">
        <v>0</v>
      </c>
      <c r="M4403" s="26">
        <v>800000</v>
      </c>
      <c r="N4403" s="26">
        <v>0</v>
      </c>
      <c r="O4403" s="15">
        <f t="shared" si="379"/>
        <v>800000</v>
      </c>
      <c r="P4403" s="15">
        <f t="shared" si="380"/>
        <v>97.040271712760756</v>
      </c>
      <c r="Q4403" s="25">
        <v>20000</v>
      </c>
      <c r="R4403" s="22">
        <v>41</v>
      </c>
      <c r="S4403" s="22" t="s">
        <v>5340</v>
      </c>
      <c r="T4403" s="22">
        <f t="shared" si="376"/>
        <v>3</v>
      </c>
      <c r="U4403" s="22">
        <f t="shared" si="377"/>
        <v>2022</v>
      </c>
      <c r="V4403" s="22" t="str">
        <f t="shared" si="378"/>
        <v>REGIONES</v>
      </c>
    </row>
    <row r="4404" spans="1:22" x14ac:dyDescent="0.2">
      <c r="A4404" s="23" t="s">
        <v>5334</v>
      </c>
      <c r="B4404" s="22" t="s">
        <v>33</v>
      </c>
      <c r="C4404" s="22" t="s">
        <v>44</v>
      </c>
      <c r="D4404" s="22" t="s">
        <v>45</v>
      </c>
      <c r="E4404" s="24" t="s">
        <v>52</v>
      </c>
      <c r="F4404" s="22" t="s">
        <v>26</v>
      </c>
      <c r="G4404" s="25">
        <v>5351.4000000000005</v>
      </c>
      <c r="H4404" s="22" t="s">
        <v>22</v>
      </c>
      <c r="I4404" s="22">
        <v>0</v>
      </c>
      <c r="J4404" s="22" t="s">
        <v>26</v>
      </c>
      <c r="K4404" s="22" t="s">
        <v>23</v>
      </c>
      <c r="L4404" s="22">
        <v>4</v>
      </c>
      <c r="M4404" s="26">
        <v>58865</v>
      </c>
      <c r="N4404" s="26">
        <v>0</v>
      </c>
      <c r="O4404" s="15">
        <f t="shared" ref="O4404:O4435" si="381">SUM(M4404:N4404)</f>
        <v>58865</v>
      </c>
      <c r="P4404" s="15">
        <f t="shared" si="380"/>
        <v>10.999925253204768</v>
      </c>
      <c r="Q4404" s="25">
        <v>5000</v>
      </c>
      <c r="R4404" s="22">
        <v>100</v>
      </c>
      <c r="S4404" s="22" t="s">
        <v>5341</v>
      </c>
      <c r="T4404" s="22">
        <f t="shared" si="376"/>
        <v>3</v>
      </c>
      <c r="U4404" s="22">
        <f t="shared" si="377"/>
        <v>2022</v>
      </c>
      <c r="V4404" s="22" t="str">
        <f t="shared" si="378"/>
        <v>METROPOLITANA</v>
      </c>
    </row>
    <row r="4405" spans="1:22" x14ac:dyDescent="0.2">
      <c r="A4405" s="23" t="s">
        <v>5334</v>
      </c>
      <c r="B4405" s="22" t="s">
        <v>33</v>
      </c>
      <c r="C4405" s="22" t="s">
        <v>44</v>
      </c>
      <c r="D4405" s="22" t="s">
        <v>47</v>
      </c>
      <c r="E4405" s="24" t="s">
        <v>49</v>
      </c>
      <c r="F4405" s="22" t="s">
        <v>48</v>
      </c>
      <c r="G4405" s="25">
        <f>8875.51+334</f>
        <v>9209.51</v>
      </c>
      <c r="H4405" s="22" t="s">
        <v>22</v>
      </c>
      <c r="I4405" s="22">
        <v>0</v>
      </c>
      <c r="J4405" s="22" t="s">
        <v>48</v>
      </c>
      <c r="K4405" s="22" t="s">
        <v>23</v>
      </c>
      <c r="L4405" s="22">
        <v>1</v>
      </c>
      <c r="M4405" s="26">
        <v>97631</v>
      </c>
      <c r="N4405" s="26">
        <v>0</v>
      </c>
      <c r="O4405" s="15">
        <f t="shared" si="381"/>
        <v>97631</v>
      </c>
      <c r="P4405" s="15">
        <f t="shared" si="380"/>
        <v>10.601106899281286</v>
      </c>
      <c r="Q4405" s="25">
        <v>5000</v>
      </c>
      <c r="R4405" s="22">
        <v>100</v>
      </c>
      <c r="S4405" s="22" t="s">
        <v>5342</v>
      </c>
      <c r="T4405" s="22">
        <f t="shared" si="376"/>
        <v>3</v>
      </c>
      <c r="U4405" s="22">
        <f t="shared" si="377"/>
        <v>2022</v>
      </c>
      <c r="V4405" s="22" t="str">
        <f t="shared" si="378"/>
        <v>METROPOLITANA</v>
      </c>
    </row>
    <row r="4406" spans="1:22" x14ac:dyDescent="0.2">
      <c r="A4406" s="11" t="s">
        <v>5343</v>
      </c>
      <c r="B4406" s="12" t="s">
        <v>18</v>
      </c>
      <c r="C4406" s="12" t="s">
        <v>57</v>
      </c>
      <c r="D4406" s="12" t="s">
        <v>37</v>
      </c>
      <c r="E4406" s="13" t="s">
        <v>40</v>
      </c>
      <c r="F4406" s="12" t="s">
        <v>89</v>
      </c>
      <c r="G4406" s="14">
        <v>8466.3100000000013</v>
      </c>
      <c r="H4406" s="12" t="s">
        <v>22</v>
      </c>
      <c r="I4406" s="12">
        <v>0</v>
      </c>
      <c r="J4406" s="12" t="s">
        <v>89</v>
      </c>
      <c r="K4406" s="12" t="s">
        <v>23</v>
      </c>
      <c r="L4406" s="12">
        <v>5</v>
      </c>
      <c r="M4406" s="15">
        <v>90000</v>
      </c>
      <c r="N4406" s="15">
        <v>0</v>
      </c>
      <c r="O4406" s="15">
        <f t="shared" si="381"/>
        <v>90000</v>
      </c>
      <c r="P4406" s="15">
        <f t="shared" si="380"/>
        <v>10.630369074602747</v>
      </c>
      <c r="Q4406" s="14">
        <v>10000</v>
      </c>
      <c r="R4406" s="12">
        <v>85</v>
      </c>
      <c r="S4406" s="12" t="s">
        <v>5344</v>
      </c>
      <c r="T4406" s="22">
        <f t="shared" si="376"/>
        <v>3</v>
      </c>
      <c r="U4406" s="22">
        <f t="shared" si="377"/>
        <v>2022</v>
      </c>
      <c r="V4406" s="22" t="str">
        <f t="shared" si="378"/>
        <v>METROPOLITANA</v>
      </c>
    </row>
    <row r="4407" spans="1:22" x14ac:dyDescent="0.2">
      <c r="A4407" s="11" t="s">
        <v>5343</v>
      </c>
      <c r="B4407" s="12" t="s">
        <v>18</v>
      </c>
      <c r="C4407" s="12" t="s">
        <v>160</v>
      </c>
      <c r="D4407" s="12" t="s">
        <v>63</v>
      </c>
      <c r="E4407" s="13" t="s">
        <v>64</v>
      </c>
      <c r="F4407" s="12" t="s">
        <v>5240</v>
      </c>
      <c r="G4407" s="14">
        <v>8779.32</v>
      </c>
      <c r="H4407" s="12" t="s">
        <v>65</v>
      </c>
      <c r="I4407" s="12">
        <v>0</v>
      </c>
      <c r="J4407" s="12" t="s">
        <v>5240</v>
      </c>
      <c r="K4407" s="12" t="s">
        <v>78</v>
      </c>
      <c r="L4407" s="12">
        <v>0</v>
      </c>
      <c r="M4407" s="15">
        <v>180000</v>
      </c>
      <c r="N4407" s="15">
        <v>0</v>
      </c>
      <c r="O4407" s="15">
        <f t="shared" si="381"/>
        <v>180000</v>
      </c>
      <c r="P4407" s="15">
        <f t="shared" si="380"/>
        <v>20.502726862672738</v>
      </c>
      <c r="Q4407" s="14">
        <v>20000</v>
      </c>
      <c r="R4407" s="12">
        <v>44</v>
      </c>
      <c r="S4407" s="12" t="s">
        <v>5345</v>
      </c>
      <c r="T4407" s="22">
        <f t="shared" si="376"/>
        <v>3</v>
      </c>
      <c r="U4407" s="22">
        <f t="shared" si="377"/>
        <v>2022</v>
      </c>
      <c r="V4407" s="22" t="str">
        <f t="shared" si="378"/>
        <v>REGIONES</v>
      </c>
    </row>
    <row r="4408" spans="1:22" x14ac:dyDescent="0.2">
      <c r="A4408" s="11" t="s">
        <v>5343</v>
      </c>
      <c r="B4408" s="12" t="s">
        <v>33</v>
      </c>
      <c r="C4408" s="12" t="s">
        <v>417</v>
      </c>
      <c r="D4408" s="12" t="s">
        <v>786</v>
      </c>
      <c r="E4408" s="13" t="s">
        <v>787</v>
      </c>
      <c r="F4408" s="12" t="s">
        <v>418</v>
      </c>
      <c r="G4408" s="14">
        <v>13649.39999999998</v>
      </c>
      <c r="H4408" s="12" t="s">
        <v>788</v>
      </c>
      <c r="I4408" s="12">
        <v>1</v>
      </c>
      <c r="J4408" s="12" t="s">
        <v>418</v>
      </c>
      <c r="K4408" s="12" t="s">
        <v>171</v>
      </c>
      <c r="L4408" s="12">
        <v>0</v>
      </c>
      <c r="M4408" s="15">
        <v>230000</v>
      </c>
      <c r="N4408" s="15">
        <v>0</v>
      </c>
      <c r="O4408" s="15">
        <f t="shared" si="381"/>
        <v>230000</v>
      </c>
      <c r="P4408" s="15">
        <f t="shared" si="380"/>
        <v>16.85055753366451</v>
      </c>
      <c r="Q4408" s="14">
        <v>20000</v>
      </c>
      <c r="R4408" s="12">
        <v>68</v>
      </c>
      <c r="S4408" s="12" t="s">
        <v>5346</v>
      </c>
      <c r="T4408" s="22">
        <f t="shared" si="376"/>
        <v>3</v>
      </c>
      <c r="U4408" s="22">
        <f t="shared" si="377"/>
        <v>2022</v>
      </c>
      <c r="V4408" s="22" t="str">
        <f t="shared" si="378"/>
        <v>REGIONES</v>
      </c>
    </row>
    <row r="4409" spans="1:22" x14ac:dyDescent="0.2">
      <c r="A4409" s="11" t="s">
        <v>5343</v>
      </c>
      <c r="B4409" s="12" t="s">
        <v>33</v>
      </c>
      <c r="C4409" s="12" t="s">
        <v>223</v>
      </c>
      <c r="D4409" s="12" t="s">
        <v>191</v>
      </c>
      <c r="E4409" s="13" t="s">
        <v>192</v>
      </c>
      <c r="F4409" s="12" t="s">
        <v>92</v>
      </c>
      <c r="G4409" s="14">
        <v>8244.0000000000036</v>
      </c>
      <c r="H4409" s="12" t="s">
        <v>85</v>
      </c>
      <c r="I4409" s="12">
        <v>1</v>
      </c>
      <c r="J4409" s="12" t="s">
        <v>92</v>
      </c>
      <c r="K4409" s="12" t="s">
        <v>93</v>
      </c>
      <c r="L4409" s="12">
        <v>0</v>
      </c>
      <c r="M4409" s="15">
        <v>665000</v>
      </c>
      <c r="N4409" s="15">
        <v>0</v>
      </c>
      <c r="O4409" s="15">
        <f t="shared" si="381"/>
        <v>665000</v>
      </c>
      <c r="P4409" s="15">
        <f t="shared" si="380"/>
        <v>80.66472586123237</v>
      </c>
      <c r="Q4409" s="14">
        <v>20000</v>
      </c>
      <c r="R4409" s="12">
        <v>41</v>
      </c>
      <c r="S4409" s="12" t="s">
        <v>5347</v>
      </c>
      <c r="T4409" s="22">
        <f t="shared" si="376"/>
        <v>3</v>
      </c>
      <c r="U4409" s="22">
        <f t="shared" si="377"/>
        <v>2022</v>
      </c>
      <c r="V4409" s="22" t="str">
        <f t="shared" si="378"/>
        <v>REGIONES</v>
      </c>
    </row>
    <row r="4410" spans="1:22" x14ac:dyDescent="0.2">
      <c r="A4410" s="11" t="s">
        <v>5343</v>
      </c>
      <c r="B4410" s="12" t="s">
        <v>33</v>
      </c>
      <c r="C4410" s="12" t="s">
        <v>29</v>
      </c>
      <c r="D4410" s="12" t="s">
        <v>37</v>
      </c>
      <c r="E4410" s="13" t="s">
        <v>40</v>
      </c>
      <c r="F4410" s="12" t="s">
        <v>39</v>
      </c>
      <c r="G4410" s="14">
        <f>3073+1625</f>
        <v>4698</v>
      </c>
      <c r="H4410" s="12" t="s">
        <v>22</v>
      </c>
      <c r="I4410" s="12">
        <v>0</v>
      </c>
      <c r="J4410" s="12" t="s">
        <v>39</v>
      </c>
      <c r="K4410" s="12" t="s">
        <v>23</v>
      </c>
      <c r="L4410" s="12">
        <v>1</v>
      </c>
      <c r="M4410" s="15">
        <v>55000</v>
      </c>
      <c r="N4410" s="15">
        <v>0</v>
      </c>
      <c r="O4410" s="15">
        <f t="shared" si="381"/>
        <v>55000</v>
      </c>
      <c r="P4410" s="15">
        <f t="shared" si="380"/>
        <v>11.707109408258834</v>
      </c>
      <c r="Q4410" s="14">
        <v>5000</v>
      </c>
      <c r="R4410" s="12">
        <v>93</v>
      </c>
      <c r="S4410" s="12" t="s">
        <v>5354</v>
      </c>
      <c r="T4410" s="22">
        <f t="shared" si="376"/>
        <v>3</v>
      </c>
      <c r="U4410" s="22">
        <f t="shared" si="377"/>
        <v>2022</v>
      </c>
      <c r="V4410" s="22" t="str">
        <f t="shared" si="378"/>
        <v>METROPOLITANA</v>
      </c>
    </row>
    <row r="4411" spans="1:22" x14ac:dyDescent="0.2">
      <c r="A4411" s="11" t="s">
        <v>5343</v>
      </c>
      <c r="B4411" s="12" t="s">
        <v>33</v>
      </c>
      <c r="C4411" s="12" t="s">
        <v>29</v>
      </c>
      <c r="D4411" s="12" t="s">
        <v>164</v>
      </c>
      <c r="E4411" s="13" t="s">
        <v>28</v>
      </c>
      <c r="F4411" s="12" t="s">
        <v>39</v>
      </c>
      <c r="G4411" s="14">
        <v>24306.80000000001</v>
      </c>
      <c r="H4411" s="12" t="s">
        <v>22</v>
      </c>
      <c r="I4411" s="12">
        <v>1</v>
      </c>
      <c r="J4411" s="12" t="s">
        <v>39</v>
      </c>
      <c r="K4411" s="12" t="s">
        <v>23</v>
      </c>
      <c r="L4411" s="12">
        <v>1</v>
      </c>
      <c r="M4411" s="15">
        <v>267375</v>
      </c>
      <c r="N4411" s="15">
        <v>0</v>
      </c>
      <c r="O4411" s="15">
        <f t="shared" si="381"/>
        <v>267375</v>
      </c>
      <c r="P4411" s="15">
        <f t="shared" si="380"/>
        <v>11.000008228150143</v>
      </c>
      <c r="Q4411" s="14">
        <v>5000</v>
      </c>
      <c r="R4411" s="12">
        <v>100</v>
      </c>
      <c r="S4411" s="12" t="s">
        <v>5348</v>
      </c>
      <c r="T4411" s="22">
        <f t="shared" si="376"/>
        <v>3</v>
      </c>
      <c r="U4411" s="22">
        <f t="shared" si="377"/>
        <v>2022</v>
      </c>
      <c r="V4411" s="22" t="str">
        <f t="shared" si="378"/>
        <v>METROPOLITANA</v>
      </c>
    </row>
    <row r="4412" spans="1:22" x14ac:dyDescent="0.2">
      <c r="A4412" s="11" t="s">
        <v>5343</v>
      </c>
      <c r="B4412" s="12" t="s">
        <v>33</v>
      </c>
      <c r="C4412" s="12" t="s">
        <v>29</v>
      </c>
      <c r="D4412" s="12" t="s">
        <v>20</v>
      </c>
      <c r="E4412" s="13" t="s">
        <v>21</v>
      </c>
      <c r="F4412" s="12" t="s">
        <v>39</v>
      </c>
      <c r="G4412" s="14">
        <f>5515.2+781</f>
        <v>6296.2</v>
      </c>
      <c r="H4412" s="12" t="s">
        <v>22</v>
      </c>
      <c r="I4412" s="12">
        <v>0</v>
      </c>
      <c r="J4412" s="12" t="s">
        <v>39</v>
      </c>
      <c r="K4412" s="12" t="s">
        <v>23</v>
      </c>
      <c r="L4412" s="12">
        <v>1</v>
      </c>
      <c r="M4412" s="15">
        <v>60667</v>
      </c>
      <c r="N4412" s="15">
        <v>0</v>
      </c>
      <c r="O4412" s="15">
        <f t="shared" si="381"/>
        <v>60667</v>
      </c>
      <c r="P4412" s="15">
        <f t="shared" si="380"/>
        <v>9.6354944252088561</v>
      </c>
      <c r="Q4412" s="14">
        <v>5000</v>
      </c>
      <c r="R4412" s="12">
        <v>100</v>
      </c>
      <c r="S4412" s="12" t="s">
        <v>5355</v>
      </c>
      <c r="T4412" s="22">
        <f t="shared" si="376"/>
        <v>3</v>
      </c>
      <c r="U4412" s="22">
        <f t="shared" si="377"/>
        <v>2022</v>
      </c>
      <c r="V4412" s="22" t="str">
        <f t="shared" si="378"/>
        <v>METROPOLITANA</v>
      </c>
    </row>
    <row r="4413" spans="1:22" x14ac:dyDescent="0.2">
      <c r="A4413" s="11" t="s">
        <v>5343</v>
      </c>
      <c r="B4413" s="12" t="s">
        <v>33</v>
      </c>
      <c r="C4413" s="12" t="s">
        <v>44</v>
      </c>
      <c r="D4413" s="12" t="s">
        <v>38</v>
      </c>
      <c r="E4413" s="13" t="s">
        <v>42</v>
      </c>
      <c r="F4413" s="12" t="s">
        <v>182</v>
      </c>
      <c r="G4413" s="14">
        <v>4231.8499999999995</v>
      </c>
      <c r="H4413" s="12" t="s">
        <v>43</v>
      </c>
      <c r="I4413" s="12">
        <v>0</v>
      </c>
      <c r="J4413" s="12" t="s">
        <v>182</v>
      </c>
      <c r="K4413" s="12" t="s">
        <v>23</v>
      </c>
      <c r="L4413" s="12">
        <v>4</v>
      </c>
      <c r="M4413" s="15">
        <v>55000</v>
      </c>
      <c r="N4413" s="15">
        <v>0</v>
      </c>
      <c r="O4413" s="15">
        <f t="shared" si="381"/>
        <v>55000</v>
      </c>
      <c r="P4413" s="15">
        <f t="shared" si="380"/>
        <v>12.996679939033758</v>
      </c>
      <c r="Q4413" s="14">
        <v>5000</v>
      </c>
      <c r="R4413" s="12">
        <v>85</v>
      </c>
      <c r="S4413" s="12" t="s">
        <v>5349</v>
      </c>
      <c r="T4413" s="22">
        <f t="shared" si="376"/>
        <v>3</v>
      </c>
      <c r="U4413" s="22">
        <f t="shared" si="377"/>
        <v>2022</v>
      </c>
      <c r="V4413" s="22" t="str">
        <f t="shared" si="378"/>
        <v>METROPOLITANA</v>
      </c>
    </row>
    <row r="4414" spans="1:22" x14ac:dyDescent="0.2">
      <c r="A4414" s="11" t="s">
        <v>5343</v>
      </c>
      <c r="B4414" s="12" t="s">
        <v>33</v>
      </c>
      <c r="C4414" s="12" t="s">
        <v>44</v>
      </c>
      <c r="D4414" s="12" t="s">
        <v>45</v>
      </c>
      <c r="E4414" s="13" t="s">
        <v>52</v>
      </c>
      <c r="F4414" s="12" t="s">
        <v>48</v>
      </c>
      <c r="G4414" s="14">
        <v>3020.62</v>
      </c>
      <c r="H4414" s="12" t="s">
        <v>22</v>
      </c>
      <c r="I4414" s="12">
        <v>0</v>
      </c>
      <c r="J4414" s="12" t="s">
        <v>48</v>
      </c>
      <c r="K4414" s="12" t="s">
        <v>23</v>
      </c>
      <c r="L4414" s="12">
        <v>1</v>
      </c>
      <c r="M4414" s="15">
        <v>55000</v>
      </c>
      <c r="N4414" s="15">
        <v>0</v>
      </c>
      <c r="O4414" s="15">
        <f t="shared" si="381"/>
        <v>55000</v>
      </c>
      <c r="P4414" s="15">
        <f t="shared" si="380"/>
        <v>18.208182426124438</v>
      </c>
      <c r="Q4414" s="14">
        <v>5000</v>
      </c>
      <c r="R4414" s="12">
        <v>60</v>
      </c>
      <c r="S4414" s="12" t="s">
        <v>5350</v>
      </c>
      <c r="T4414" s="22">
        <f t="shared" si="376"/>
        <v>3</v>
      </c>
      <c r="U4414" s="22">
        <f t="shared" si="377"/>
        <v>2022</v>
      </c>
      <c r="V4414" s="22" t="str">
        <f t="shared" si="378"/>
        <v>METROPOLITANA</v>
      </c>
    </row>
    <row r="4415" spans="1:22" x14ac:dyDescent="0.2">
      <c r="A4415" s="11" t="s">
        <v>5343</v>
      </c>
      <c r="B4415" s="12" t="s">
        <v>33</v>
      </c>
      <c r="C4415" s="12" t="s">
        <v>44</v>
      </c>
      <c r="D4415" s="12" t="s">
        <v>47</v>
      </c>
      <c r="E4415" s="13" t="s">
        <v>49</v>
      </c>
      <c r="F4415" s="12" t="s">
        <v>94</v>
      </c>
      <c r="G4415" s="14">
        <v>5126</v>
      </c>
      <c r="H4415" s="12" t="s">
        <v>22</v>
      </c>
      <c r="I4415" s="12">
        <v>0</v>
      </c>
      <c r="J4415" s="12" t="s">
        <v>59</v>
      </c>
      <c r="K4415" s="12" t="s">
        <v>78</v>
      </c>
      <c r="L4415" s="12">
        <v>0</v>
      </c>
      <c r="M4415" s="15">
        <v>180000</v>
      </c>
      <c r="N4415" s="15">
        <v>0</v>
      </c>
      <c r="O4415" s="15">
        <f t="shared" si="381"/>
        <v>180000</v>
      </c>
      <c r="P4415" s="15">
        <f t="shared" si="380"/>
        <v>35.115099492781894</v>
      </c>
      <c r="Q4415" s="14">
        <v>20000</v>
      </c>
      <c r="R4415" s="12">
        <v>26</v>
      </c>
      <c r="S4415" s="12" t="s">
        <v>5351</v>
      </c>
      <c r="T4415" s="22">
        <f t="shared" si="376"/>
        <v>3</v>
      </c>
      <c r="U4415" s="22">
        <f t="shared" si="377"/>
        <v>2022</v>
      </c>
      <c r="V4415" s="22" t="str">
        <f t="shared" si="378"/>
        <v>REGIONES</v>
      </c>
    </row>
    <row r="4416" spans="1:22" x14ac:dyDescent="0.2">
      <c r="A4416" s="11" t="s">
        <v>5343</v>
      </c>
      <c r="B4416" s="12" t="s">
        <v>33</v>
      </c>
      <c r="C4416" s="12" t="s">
        <v>44</v>
      </c>
      <c r="D4416" s="12" t="s">
        <v>41</v>
      </c>
      <c r="E4416" s="13" t="s">
        <v>25</v>
      </c>
      <c r="F4416" s="12" t="s">
        <v>94</v>
      </c>
      <c r="G4416" s="14">
        <v>5126.0000000000009</v>
      </c>
      <c r="H4416" s="12" t="s">
        <v>43</v>
      </c>
      <c r="I4416" s="12">
        <v>0</v>
      </c>
      <c r="J4416" s="12" t="s">
        <v>59</v>
      </c>
      <c r="K4416" s="12" t="s">
        <v>78</v>
      </c>
      <c r="L4416" s="12">
        <v>0</v>
      </c>
      <c r="M4416" s="15">
        <v>180000</v>
      </c>
      <c r="N4416" s="15">
        <v>0</v>
      </c>
      <c r="O4416" s="15">
        <f t="shared" si="381"/>
        <v>180000</v>
      </c>
      <c r="P4416" s="15">
        <f t="shared" si="380"/>
        <v>35.115099492781887</v>
      </c>
      <c r="Q4416" s="14">
        <v>20000</v>
      </c>
      <c r="R4416" s="12">
        <v>26</v>
      </c>
      <c r="S4416" s="12" t="s">
        <v>5352</v>
      </c>
      <c r="T4416" s="22">
        <f t="shared" si="376"/>
        <v>3</v>
      </c>
      <c r="U4416" s="22">
        <f t="shared" si="377"/>
        <v>2022</v>
      </c>
      <c r="V4416" s="22" t="str">
        <f t="shared" si="378"/>
        <v>REGIONES</v>
      </c>
    </row>
    <row r="4417" spans="1:22" x14ac:dyDescent="0.2">
      <c r="A4417" s="11" t="s">
        <v>5343</v>
      </c>
      <c r="B4417" s="12" t="s">
        <v>33</v>
      </c>
      <c r="C4417" s="12" t="s">
        <v>44</v>
      </c>
      <c r="D4417" s="12" t="s">
        <v>20</v>
      </c>
      <c r="E4417" s="13" t="s">
        <v>21</v>
      </c>
      <c r="F4417" s="12" t="s">
        <v>53</v>
      </c>
      <c r="G4417" s="14">
        <v>3459.079999999999</v>
      </c>
      <c r="H4417" s="12" t="s">
        <v>22</v>
      </c>
      <c r="I4417" s="12">
        <v>0</v>
      </c>
      <c r="J4417" s="12" t="s">
        <v>53</v>
      </c>
      <c r="K4417" s="12" t="s">
        <v>23</v>
      </c>
      <c r="L4417" s="12">
        <v>3</v>
      </c>
      <c r="M4417" s="15">
        <v>55000</v>
      </c>
      <c r="N4417" s="15">
        <v>0</v>
      </c>
      <c r="O4417" s="15">
        <f t="shared" si="381"/>
        <v>55000</v>
      </c>
      <c r="P4417" s="15">
        <f t="shared" si="380"/>
        <v>15.900181551163898</v>
      </c>
      <c r="Q4417" s="14">
        <v>5000</v>
      </c>
      <c r="R4417" s="12">
        <v>69</v>
      </c>
      <c r="S4417" s="12" t="s">
        <v>5353</v>
      </c>
      <c r="T4417" s="22">
        <f t="shared" si="376"/>
        <v>3</v>
      </c>
      <c r="U4417" s="22">
        <f t="shared" si="377"/>
        <v>2022</v>
      </c>
      <c r="V4417" s="22" t="str">
        <f t="shared" si="378"/>
        <v>METROPOLITANA</v>
      </c>
    </row>
    <row r="4418" spans="1:22" x14ac:dyDescent="0.2">
      <c r="A4418" s="23" t="s">
        <v>5356</v>
      </c>
      <c r="B4418" s="22" t="s">
        <v>18</v>
      </c>
      <c r="C4418" s="22" t="s">
        <v>160</v>
      </c>
      <c r="D4418" s="22" t="s">
        <v>63</v>
      </c>
      <c r="E4418" s="24" t="s">
        <v>64</v>
      </c>
      <c r="F4418" s="22" t="s">
        <v>5240</v>
      </c>
      <c r="G4418" s="25">
        <v>8646.2999999999993</v>
      </c>
      <c r="H4418" s="22" t="s">
        <v>65</v>
      </c>
      <c r="I4418" s="22">
        <v>0</v>
      </c>
      <c r="J4418" s="22" t="s">
        <v>5240</v>
      </c>
      <c r="K4418" s="22" t="s">
        <v>78</v>
      </c>
      <c r="L4418" s="22">
        <v>0</v>
      </c>
      <c r="M4418" s="26">
        <v>180000</v>
      </c>
      <c r="N4418" s="26">
        <v>0</v>
      </c>
      <c r="O4418" s="15">
        <f t="shared" si="381"/>
        <v>180000</v>
      </c>
      <c r="P4418" s="15">
        <f t="shared" si="380"/>
        <v>20.81815342979078</v>
      </c>
      <c r="Q4418" s="25">
        <v>20000</v>
      </c>
      <c r="R4418" s="22">
        <v>43</v>
      </c>
      <c r="S4418" s="22" t="s">
        <v>5357</v>
      </c>
      <c r="T4418" s="22">
        <f t="shared" si="376"/>
        <v>3</v>
      </c>
      <c r="U4418" s="22">
        <f t="shared" si="377"/>
        <v>2022</v>
      </c>
      <c r="V4418" s="22" t="str">
        <f t="shared" si="378"/>
        <v>REGIONES</v>
      </c>
    </row>
    <row r="4419" spans="1:22" x14ac:dyDescent="0.2">
      <c r="A4419" s="23" t="s">
        <v>5356</v>
      </c>
      <c r="B4419" s="22" t="s">
        <v>33</v>
      </c>
      <c r="C4419" s="22" t="s">
        <v>270</v>
      </c>
      <c r="D4419" s="22" t="s">
        <v>20</v>
      </c>
      <c r="E4419" s="24" t="s">
        <v>21</v>
      </c>
      <c r="F4419" s="22" t="s">
        <v>120</v>
      </c>
      <c r="G4419" s="25">
        <f>4778.1+2749</f>
        <v>7527.1</v>
      </c>
      <c r="H4419" s="22" t="s">
        <v>22</v>
      </c>
      <c r="I4419" s="22">
        <v>0</v>
      </c>
      <c r="J4419" s="22" t="s">
        <v>120</v>
      </c>
      <c r="K4419" s="22" t="s">
        <v>23</v>
      </c>
      <c r="L4419" s="22">
        <v>5</v>
      </c>
      <c r="M4419" s="26">
        <v>70000</v>
      </c>
      <c r="N4419" s="26">
        <v>0</v>
      </c>
      <c r="O4419" s="15">
        <f t="shared" si="381"/>
        <v>70000</v>
      </c>
      <c r="P4419" s="15">
        <f t="shared" si="380"/>
        <v>9.299730307821072</v>
      </c>
      <c r="Q4419" s="25">
        <v>10000</v>
      </c>
      <c r="R4419" s="22">
        <v>100</v>
      </c>
      <c r="S4419" s="22" t="s">
        <v>5364</v>
      </c>
      <c r="T4419" s="22">
        <f t="shared" si="376"/>
        <v>3</v>
      </c>
      <c r="U4419" s="22">
        <f t="shared" si="377"/>
        <v>2022</v>
      </c>
      <c r="V4419" s="22" t="str">
        <f t="shared" si="378"/>
        <v>METROPOLITANA</v>
      </c>
    </row>
    <row r="4420" spans="1:22" x14ac:dyDescent="0.2">
      <c r="A4420" s="23" t="s">
        <v>5356</v>
      </c>
      <c r="B4420" s="22" t="s">
        <v>33</v>
      </c>
      <c r="C4420" s="22" t="s">
        <v>417</v>
      </c>
      <c r="D4420" s="22" t="s">
        <v>2955</v>
      </c>
      <c r="E4420" s="24" t="s">
        <v>2956</v>
      </c>
      <c r="F4420" s="22" t="s">
        <v>418</v>
      </c>
      <c r="G4420" s="25">
        <v>9060.0000000000091</v>
      </c>
      <c r="H4420" s="22" t="s">
        <v>24</v>
      </c>
      <c r="I4420" s="22">
        <v>1</v>
      </c>
      <c r="J4420" s="22" t="s">
        <v>418</v>
      </c>
      <c r="K4420" s="22" t="s">
        <v>171</v>
      </c>
      <c r="L4420" s="22">
        <v>0</v>
      </c>
      <c r="M4420" s="26">
        <v>230000</v>
      </c>
      <c r="N4420" s="26">
        <v>0</v>
      </c>
      <c r="O4420" s="15">
        <f t="shared" si="381"/>
        <v>230000</v>
      </c>
      <c r="P4420" s="15">
        <f t="shared" si="380"/>
        <v>25.38631346578364</v>
      </c>
      <c r="Q4420" s="25">
        <v>20000</v>
      </c>
      <c r="R4420" s="22">
        <v>45</v>
      </c>
      <c r="S4420" s="22" t="s">
        <v>5358</v>
      </c>
      <c r="T4420" s="22">
        <f t="shared" si="376"/>
        <v>3</v>
      </c>
      <c r="U4420" s="22">
        <f t="shared" si="377"/>
        <v>2022</v>
      </c>
      <c r="V4420" s="22" t="str">
        <f t="shared" si="378"/>
        <v>REGIONES</v>
      </c>
    </row>
    <row r="4421" spans="1:22" x14ac:dyDescent="0.2">
      <c r="A4421" s="23" t="s">
        <v>5356</v>
      </c>
      <c r="B4421" s="22" t="s">
        <v>33</v>
      </c>
      <c r="C4421" s="22" t="s">
        <v>223</v>
      </c>
      <c r="D4421" s="22" t="s">
        <v>38</v>
      </c>
      <c r="E4421" s="24" t="s">
        <v>42</v>
      </c>
      <c r="F4421" s="22" t="s">
        <v>51</v>
      </c>
      <c r="G4421" s="25">
        <v>3111.6000000000008</v>
      </c>
      <c r="H4421" s="22" t="s">
        <v>43</v>
      </c>
      <c r="I4421" s="22">
        <v>0</v>
      </c>
      <c r="J4421" s="22" t="s">
        <v>51</v>
      </c>
      <c r="K4421" s="22" t="s">
        <v>23</v>
      </c>
      <c r="L4421" s="22">
        <v>4</v>
      </c>
      <c r="M4421" s="26">
        <v>55000</v>
      </c>
      <c r="N4421" s="26">
        <v>0</v>
      </c>
      <c r="O4421" s="15">
        <f t="shared" si="381"/>
        <v>55000</v>
      </c>
      <c r="P4421" s="15">
        <f t="shared" si="380"/>
        <v>17.675793803830821</v>
      </c>
      <c r="Q4421" s="25">
        <v>5000</v>
      </c>
      <c r="R4421" s="22">
        <v>62</v>
      </c>
      <c r="S4421" s="22" t="s">
        <v>5359</v>
      </c>
      <c r="T4421" s="22">
        <f t="shared" si="376"/>
        <v>3</v>
      </c>
      <c r="U4421" s="22">
        <f t="shared" si="377"/>
        <v>2022</v>
      </c>
      <c r="V4421" s="22" t="str">
        <f t="shared" si="378"/>
        <v>METROPOLITANA</v>
      </c>
    </row>
    <row r="4422" spans="1:22" x14ac:dyDescent="0.2">
      <c r="A4422" s="23" t="s">
        <v>5356</v>
      </c>
      <c r="B4422" s="22" t="s">
        <v>33</v>
      </c>
      <c r="C4422" s="22" t="s">
        <v>223</v>
      </c>
      <c r="D4422" s="22" t="s">
        <v>786</v>
      </c>
      <c r="E4422" s="24" t="s">
        <v>1891</v>
      </c>
      <c r="F4422" s="22" t="s">
        <v>2308</v>
      </c>
      <c r="G4422" s="25">
        <f>4946.4+10202</f>
        <v>15148.4</v>
      </c>
      <c r="H4422" s="22" t="s">
        <v>788</v>
      </c>
      <c r="I4422" s="22">
        <v>1</v>
      </c>
      <c r="J4422" s="22" t="s">
        <v>2308</v>
      </c>
      <c r="K4422" s="22" t="s">
        <v>2309</v>
      </c>
      <c r="L4422" s="22">
        <v>0</v>
      </c>
      <c r="M4422" s="26">
        <v>800000</v>
      </c>
      <c r="N4422" s="26">
        <v>0</v>
      </c>
      <c r="O4422" s="15">
        <f t="shared" si="381"/>
        <v>800000</v>
      </c>
      <c r="P4422" s="15">
        <f t="shared" si="380"/>
        <v>52.810857912386787</v>
      </c>
      <c r="Q4422" s="25">
        <v>20000</v>
      </c>
      <c r="R4422" s="22">
        <v>100</v>
      </c>
      <c r="S4422" s="22" t="s">
        <v>5365</v>
      </c>
      <c r="T4422" s="22">
        <f t="shared" si="376"/>
        <v>3</v>
      </c>
      <c r="U4422" s="22">
        <f t="shared" si="377"/>
        <v>2022</v>
      </c>
      <c r="V4422" s="22" t="str">
        <f t="shared" si="378"/>
        <v>REGIONES</v>
      </c>
    </row>
    <row r="4423" spans="1:22" x14ac:dyDescent="0.2">
      <c r="A4423" s="23" t="s">
        <v>5356</v>
      </c>
      <c r="B4423" s="22" t="s">
        <v>33</v>
      </c>
      <c r="C4423" s="22" t="s">
        <v>29</v>
      </c>
      <c r="D4423" s="22" t="s">
        <v>37</v>
      </c>
      <c r="E4423" s="24" t="s">
        <v>40</v>
      </c>
      <c r="F4423" s="22" t="s">
        <v>39</v>
      </c>
      <c r="G4423" s="25">
        <f>1099.2+1649</f>
        <v>2748.2</v>
      </c>
      <c r="H4423" s="22" t="s">
        <v>22</v>
      </c>
      <c r="I4423" s="22">
        <v>0</v>
      </c>
      <c r="J4423" s="22" t="s">
        <v>39</v>
      </c>
      <c r="K4423" s="22" t="s">
        <v>23</v>
      </c>
      <c r="L4423" s="22">
        <v>1</v>
      </c>
      <c r="M4423" s="26">
        <v>55000</v>
      </c>
      <c r="N4423" s="26">
        <v>0</v>
      </c>
      <c r="O4423" s="15">
        <f t="shared" si="381"/>
        <v>55000</v>
      </c>
      <c r="P4423" s="15">
        <f t="shared" si="380"/>
        <v>20.013099483298159</v>
      </c>
      <c r="Q4423" s="25">
        <v>5000</v>
      </c>
      <c r="R4423" s="22">
        <v>55</v>
      </c>
      <c r="S4423" s="22" t="s">
        <v>5366</v>
      </c>
      <c r="T4423" s="22">
        <f t="shared" si="376"/>
        <v>3</v>
      </c>
      <c r="U4423" s="22">
        <f t="shared" si="377"/>
        <v>2022</v>
      </c>
      <c r="V4423" s="22" t="str">
        <f t="shared" si="378"/>
        <v>METROPOLITANA</v>
      </c>
    </row>
    <row r="4424" spans="1:22" x14ac:dyDescent="0.2">
      <c r="A4424" s="23" t="s">
        <v>5356</v>
      </c>
      <c r="B4424" s="22" t="s">
        <v>33</v>
      </c>
      <c r="C4424" s="22" t="s">
        <v>29</v>
      </c>
      <c r="D4424" s="22" t="s">
        <v>164</v>
      </c>
      <c r="E4424" s="24" t="s">
        <v>28</v>
      </c>
      <c r="F4424" s="22" t="s">
        <v>39</v>
      </c>
      <c r="G4424" s="25">
        <v>8244.0000000000036</v>
      </c>
      <c r="H4424" s="22" t="s">
        <v>22</v>
      </c>
      <c r="I4424" s="22">
        <v>1</v>
      </c>
      <c r="J4424" s="22" t="s">
        <v>39</v>
      </c>
      <c r="K4424" s="22" t="s">
        <v>23</v>
      </c>
      <c r="L4424" s="22">
        <v>1</v>
      </c>
      <c r="M4424" s="26">
        <v>90684</v>
      </c>
      <c r="N4424" s="26">
        <v>0</v>
      </c>
      <c r="O4424" s="15">
        <f t="shared" si="381"/>
        <v>90684</v>
      </c>
      <c r="P4424" s="15">
        <f t="shared" si="380"/>
        <v>10.999999999999995</v>
      </c>
      <c r="Q4424" s="25">
        <v>5000</v>
      </c>
      <c r="R4424" s="22">
        <v>100</v>
      </c>
      <c r="S4424" s="22" t="s">
        <v>5360</v>
      </c>
      <c r="T4424" s="22">
        <f t="shared" ref="T4424:T4487" si="382">MONTH(A4424)</f>
        <v>3</v>
      </c>
      <c r="U4424" s="22">
        <f t="shared" ref="U4424:U4487" si="383">YEAR(A4424)</f>
        <v>2022</v>
      </c>
      <c r="V4424" s="22" t="str">
        <f t="shared" ref="V4424:V4487" si="384">IF(K4424="METROPOLITANA DE SANTIAGO","METROPOLITANA","REGIONES")</f>
        <v>METROPOLITANA</v>
      </c>
    </row>
    <row r="4425" spans="1:22" x14ac:dyDescent="0.2">
      <c r="A4425" s="23" t="s">
        <v>5356</v>
      </c>
      <c r="B4425" s="22" t="s">
        <v>33</v>
      </c>
      <c r="C4425" s="22" t="s">
        <v>44</v>
      </c>
      <c r="D4425" s="22" t="s">
        <v>38</v>
      </c>
      <c r="E4425" s="24" t="s">
        <v>42</v>
      </c>
      <c r="F4425" s="22" t="s">
        <v>95</v>
      </c>
      <c r="G4425" s="25">
        <v>5153.2299999999996</v>
      </c>
      <c r="H4425" s="22" t="s">
        <v>43</v>
      </c>
      <c r="I4425" s="22">
        <v>0</v>
      </c>
      <c r="J4425" s="22" t="s">
        <v>95</v>
      </c>
      <c r="K4425" s="22" t="s">
        <v>23</v>
      </c>
      <c r="L4425" s="22">
        <v>4</v>
      </c>
      <c r="M4425" s="26">
        <v>56686</v>
      </c>
      <c r="N4425" s="26">
        <v>0</v>
      </c>
      <c r="O4425" s="15">
        <f t="shared" si="381"/>
        <v>56686</v>
      </c>
      <c r="P4425" s="15">
        <f t="shared" si="380"/>
        <v>11.000091204933605</v>
      </c>
      <c r="Q4425" s="25">
        <v>5000</v>
      </c>
      <c r="R4425" s="22">
        <v>100</v>
      </c>
      <c r="S4425" s="22" t="s">
        <v>5361</v>
      </c>
      <c r="T4425" s="22">
        <f t="shared" si="382"/>
        <v>3</v>
      </c>
      <c r="U4425" s="22">
        <f t="shared" si="383"/>
        <v>2022</v>
      </c>
      <c r="V4425" s="22" t="str">
        <f t="shared" si="384"/>
        <v>METROPOLITANA</v>
      </c>
    </row>
    <row r="4426" spans="1:22" x14ac:dyDescent="0.2">
      <c r="A4426" s="23" t="s">
        <v>5356</v>
      </c>
      <c r="B4426" s="22" t="s">
        <v>33</v>
      </c>
      <c r="C4426" s="22" t="s">
        <v>44</v>
      </c>
      <c r="D4426" s="22" t="s">
        <v>1170</v>
      </c>
      <c r="E4426" s="24" t="s">
        <v>81</v>
      </c>
      <c r="F4426" s="22" t="s">
        <v>114</v>
      </c>
      <c r="G4426" s="25">
        <v>12925.9</v>
      </c>
      <c r="H4426" s="22" t="s">
        <v>24</v>
      </c>
      <c r="I4426" s="22">
        <v>1</v>
      </c>
      <c r="J4426" s="22" t="s">
        <v>114</v>
      </c>
      <c r="K4426" s="22" t="s">
        <v>75</v>
      </c>
      <c r="L4426" s="22">
        <v>0</v>
      </c>
      <c r="M4426" s="26">
        <v>480000</v>
      </c>
      <c r="N4426" s="26">
        <v>0</v>
      </c>
      <c r="O4426" s="15">
        <f t="shared" si="381"/>
        <v>480000</v>
      </c>
      <c r="P4426" s="15">
        <f t="shared" si="380"/>
        <v>37.134744969402519</v>
      </c>
      <c r="Q4426" s="25">
        <v>20000</v>
      </c>
      <c r="R4426" s="22">
        <v>65</v>
      </c>
      <c r="S4426" s="22" t="s">
        <v>5362</v>
      </c>
      <c r="T4426" s="22">
        <f t="shared" si="382"/>
        <v>3</v>
      </c>
      <c r="U4426" s="22">
        <f t="shared" si="383"/>
        <v>2022</v>
      </c>
      <c r="V4426" s="22" t="str">
        <f t="shared" si="384"/>
        <v>REGIONES</v>
      </c>
    </row>
    <row r="4427" spans="1:22" x14ac:dyDescent="0.2">
      <c r="A4427" s="23" t="s">
        <v>5356</v>
      </c>
      <c r="B4427" s="22" t="s">
        <v>33</v>
      </c>
      <c r="C4427" s="22" t="s">
        <v>44</v>
      </c>
      <c r="D4427" s="22" t="s">
        <v>45</v>
      </c>
      <c r="E4427" s="24" t="s">
        <v>52</v>
      </c>
      <c r="F4427" s="22" t="s">
        <v>46</v>
      </c>
      <c r="G4427" s="25">
        <v>4015.65</v>
      </c>
      <c r="H4427" s="22" t="s">
        <v>22</v>
      </c>
      <c r="I4427" s="22">
        <v>0</v>
      </c>
      <c r="J4427" s="22" t="s">
        <v>46</v>
      </c>
      <c r="K4427" s="22" t="s">
        <v>23</v>
      </c>
      <c r="L4427" s="22">
        <v>2</v>
      </c>
      <c r="M4427" s="26">
        <v>55000</v>
      </c>
      <c r="N4427" s="26">
        <v>0</v>
      </c>
      <c r="O4427" s="15">
        <f t="shared" si="381"/>
        <v>55000</v>
      </c>
      <c r="P4427" s="15">
        <f t="shared" si="380"/>
        <v>13.69641278497877</v>
      </c>
      <c r="Q4427" s="25">
        <v>5000</v>
      </c>
      <c r="R4427" s="22">
        <v>80</v>
      </c>
      <c r="S4427" s="22" t="s">
        <v>5363</v>
      </c>
      <c r="T4427" s="22">
        <f t="shared" si="382"/>
        <v>3</v>
      </c>
      <c r="U4427" s="22">
        <f t="shared" si="383"/>
        <v>2022</v>
      </c>
      <c r="V4427" s="22" t="str">
        <f t="shared" si="384"/>
        <v>METROPOLITANA</v>
      </c>
    </row>
    <row r="4428" spans="1:22" x14ac:dyDescent="0.2">
      <c r="A4428" s="11" t="s">
        <v>5367</v>
      </c>
      <c r="B4428" s="12" t="s">
        <v>18</v>
      </c>
      <c r="C4428" s="12" t="s">
        <v>160</v>
      </c>
      <c r="D4428" s="12" t="s">
        <v>63</v>
      </c>
      <c r="E4428" s="13" t="s">
        <v>64</v>
      </c>
      <c r="F4428" s="12" t="s">
        <v>5240</v>
      </c>
      <c r="G4428" s="14">
        <v>6513.5999999999995</v>
      </c>
      <c r="H4428" s="12" t="s">
        <v>65</v>
      </c>
      <c r="I4428" s="12">
        <v>0</v>
      </c>
      <c r="J4428" s="12" t="s">
        <v>5240</v>
      </c>
      <c r="K4428" s="12" t="s">
        <v>78</v>
      </c>
      <c r="L4428" s="12">
        <v>0</v>
      </c>
      <c r="M4428" s="15">
        <v>180000</v>
      </c>
      <c r="N4428" s="15">
        <v>0</v>
      </c>
      <c r="O4428" s="15">
        <f t="shared" si="381"/>
        <v>180000</v>
      </c>
      <c r="P4428" s="15">
        <f t="shared" si="380"/>
        <v>27.634487840825351</v>
      </c>
      <c r="Q4428" s="14">
        <v>20000</v>
      </c>
      <c r="R4428" s="12">
        <v>33</v>
      </c>
      <c r="S4428" s="12" t="s">
        <v>5368</v>
      </c>
      <c r="T4428" s="22">
        <f t="shared" si="382"/>
        <v>3</v>
      </c>
      <c r="U4428" s="22">
        <f t="shared" si="383"/>
        <v>2022</v>
      </c>
      <c r="V4428" s="22" t="str">
        <f t="shared" si="384"/>
        <v>REGIONES</v>
      </c>
    </row>
    <row r="4429" spans="1:22" x14ac:dyDescent="0.2">
      <c r="A4429" s="11" t="s">
        <v>5367</v>
      </c>
      <c r="B4429" s="12" t="s">
        <v>33</v>
      </c>
      <c r="C4429" s="12" t="s">
        <v>270</v>
      </c>
      <c r="D4429" s="12" t="s">
        <v>41</v>
      </c>
      <c r="E4429" s="13" t="s">
        <v>25</v>
      </c>
      <c r="F4429" s="12" t="s">
        <v>120</v>
      </c>
      <c r="G4429" s="14">
        <f>7935.6+382</f>
        <v>8317.6</v>
      </c>
      <c r="H4429" s="12" t="s">
        <v>43</v>
      </c>
      <c r="I4429" s="12">
        <v>0</v>
      </c>
      <c r="J4429" s="12" t="s">
        <v>120</v>
      </c>
      <c r="K4429" s="12" t="s">
        <v>23</v>
      </c>
      <c r="L4429" s="12">
        <v>5</v>
      </c>
      <c r="M4429" s="15">
        <v>70000</v>
      </c>
      <c r="N4429" s="15">
        <v>0</v>
      </c>
      <c r="O4429" s="15">
        <f t="shared" si="381"/>
        <v>70000</v>
      </c>
      <c r="P4429" s="15">
        <f t="shared" si="380"/>
        <v>8.4158891988073474</v>
      </c>
      <c r="Q4429" s="14">
        <v>10000</v>
      </c>
      <c r="R4429" s="12">
        <v>83</v>
      </c>
      <c r="S4429" s="12" t="s">
        <v>5381</v>
      </c>
      <c r="T4429" s="22">
        <f t="shared" si="382"/>
        <v>3</v>
      </c>
      <c r="U4429" s="22">
        <f t="shared" si="383"/>
        <v>2022</v>
      </c>
      <c r="V4429" s="22" t="str">
        <f t="shared" si="384"/>
        <v>METROPOLITANA</v>
      </c>
    </row>
    <row r="4430" spans="1:22" x14ac:dyDescent="0.2">
      <c r="A4430" s="11" t="s">
        <v>5367</v>
      </c>
      <c r="B4430" s="12" t="s">
        <v>33</v>
      </c>
      <c r="C4430" s="12" t="s">
        <v>128</v>
      </c>
      <c r="D4430" s="12" t="s">
        <v>130</v>
      </c>
      <c r="E4430" s="13" t="s">
        <v>131</v>
      </c>
      <c r="F4430" s="12" t="s">
        <v>66</v>
      </c>
      <c r="G4430" s="14">
        <v>9504.0000000000091</v>
      </c>
      <c r="H4430" s="12" t="s">
        <v>85</v>
      </c>
      <c r="I4430" s="12">
        <v>1</v>
      </c>
      <c r="J4430" s="12" t="s">
        <v>66</v>
      </c>
      <c r="K4430" s="12" t="s">
        <v>75</v>
      </c>
      <c r="L4430" s="12">
        <v>0</v>
      </c>
      <c r="M4430" s="15">
        <v>420000</v>
      </c>
      <c r="N4430" s="15">
        <v>0</v>
      </c>
      <c r="O4430" s="15">
        <f t="shared" si="381"/>
        <v>420000</v>
      </c>
      <c r="P4430" s="15">
        <f t="shared" si="380"/>
        <v>44.191919191919148</v>
      </c>
      <c r="Q4430" s="14">
        <v>20000</v>
      </c>
      <c r="R4430" s="12">
        <v>48</v>
      </c>
      <c r="S4430" s="12" t="s">
        <v>5369</v>
      </c>
      <c r="T4430" s="22">
        <f t="shared" si="382"/>
        <v>3</v>
      </c>
      <c r="U4430" s="22">
        <f t="shared" si="383"/>
        <v>2022</v>
      </c>
      <c r="V4430" s="22" t="str">
        <f t="shared" si="384"/>
        <v>REGIONES</v>
      </c>
    </row>
    <row r="4431" spans="1:22" x14ac:dyDescent="0.2">
      <c r="A4431" s="11" t="s">
        <v>5367</v>
      </c>
      <c r="B4431" s="12" t="s">
        <v>33</v>
      </c>
      <c r="C4431" s="12" t="s">
        <v>128</v>
      </c>
      <c r="D4431" s="12" t="s">
        <v>27</v>
      </c>
      <c r="E4431" s="13" t="s">
        <v>28</v>
      </c>
      <c r="F4431" s="12" t="s">
        <v>129</v>
      </c>
      <c r="G4431" s="14">
        <v>15629.599999999989</v>
      </c>
      <c r="H4431" s="12" t="s">
        <v>22</v>
      </c>
      <c r="I4431" s="12">
        <v>1</v>
      </c>
      <c r="J4431" s="12" t="s">
        <v>129</v>
      </c>
      <c r="K4431" s="12" t="s">
        <v>23</v>
      </c>
      <c r="L4431" s="12">
        <v>1</v>
      </c>
      <c r="M4431" s="15">
        <v>171926</v>
      </c>
      <c r="N4431" s="15">
        <v>0</v>
      </c>
      <c r="O4431" s="15">
        <f t="shared" si="381"/>
        <v>171926</v>
      </c>
      <c r="P4431" s="15">
        <f t="shared" si="380"/>
        <v>11.000025592465585</v>
      </c>
      <c r="Q4431" s="14">
        <v>5000</v>
      </c>
      <c r="R4431" s="12">
        <v>100</v>
      </c>
      <c r="S4431" s="12" t="s">
        <v>5370</v>
      </c>
      <c r="T4431" s="22">
        <f t="shared" si="382"/>
        <v>3</v>
      </c>
      <c r="U4431" s="22">
        <f t="shared" si="383"/>
        <v>2022</v>
      </c>
      <c r="V4431" s="22" t="str">
        <f t="shared" si="384"/>
        <v>METROPOLITANA</v>
      </c>
    </row>
    <row r="4432" spans="1:22" x14ac:dyDescent="0.2">
      <c r="A4432" s="11" t="s">
        <v>5367</v>
      </c>
      <c r="B4432" s="12" t="s">
        <v>33</v>
      </c>
      <c r="C4432" s="12" t="s">
        <v>128</v>
      </c>
      <c r="D4432" s="12" t="s">
        <v>2955</v>
      </c>
      <c r="E4432" s="13" t="s">
        <v>2956</v>
      </c>
      <c r="F4432" s="12" t="s">
        <v>129</v>
      </c>
      <c r="G4432" s="14">
        <v>15668.400000000011</v>
      </c>
      <c r="H4432" s="12" t="s">
        <v>24</v>
      </c>
      <c r="I4432" s="12">
        <v>1</v>
      </c>
      <c r="J4432" s="12" t="s">
        <v>129</v>
      </c>
      <c r="K4432" s="12" t="s">
        <v>23</v>
      </c>
      <c r="L4432" s="12">
        <v>1</v>
      </c>
      <c r="M4432" s="15">
        <v>172352</v>
      </c>
      <c r="N4432" s="15">
        <v>0</v>
      </c>
      <c r="O4432" s="15">
        <f t="shared" si="381"/>
        <v>172352</v>
      </c>
      <c r="P4432" s="15">
        <f t="shared" si="380"/>
        <v>10.999974470909594</v>
      </c>
      <c r="Q4432" s="14">
        <v>5000</v>
      </c>
      <c r="R4432" s="12">
        <v>100</v>
      </c>
      <c r="S4432" s="12" t="s">
        <v>5371</v>
      </c>
      <c r="T4432" s="22">
        <f t="shared" si="382"/>
        <v>3</v>
      </c>
      <c r="U4432" s="22">
        <f t="shared" si="383"/>
        <v>2022</v>
      </c>
      <c r="V4432" s="22" t="str">
        <f t="shared" si="384"/>
        <v>METROPOLITANA</v>
      </c>
    </row>
    <row r="4433" spans="1:22" x14ac:dyDescent="0.2">
      <c r="A4433" s="11" t="s">
        <v>5367</v>
      </c>
      <c r="B4433" s="12" t="s">
        <v>33</v>
      </c>
      <c r="C4433" s="12" t="s">
        <v>128</v>
      </c>
      <c r="D4433" s="12" t="s">
        <v>164</v>
      </c>
      <c r="E4433" s="13" t="s">
        <v>1576</v>
      </c>
      <c r="F4433" s="12" t="s">
        <v>129</v>
      </c>
      <c r="G4433" s="14">
        <f>5993.2+4397</f>
        <v>10390.200000000001</v>
      </c>
      <c r="H4433" s="12" t="s">
        <v>22</v>
      </c>
      <c r="I4433" s="12">
        <v>1</v>
      </c>
      <c r="J4433" s="12" t="s">
        <v>129</v>
      </c>
      <c r="K4433" s="12" t="s">
        <v>23</v>
      </c>
      <c r="L4433" s="12">
        <v>1</v>
      </c>
      <c r="M4433" s="15">
        <v>65925</v>
      </c>
      <c r="N4433" s="15">
        <v>0</v>
      </c>
      <c r="O4433" s="15">
        <f t="shared" si="381"/>
        <v>65925</v>
      </c>
      <c r="P4433" s="15">
        <f t="shared" si="380"/>
        <v>6.3449211757232771</v>
      </c>
      <c r="Q4433" s="14">
        <v>5000</v>
      </c>
      <c r="R4433" s="12">
        <v>100</v>
      </c>
      <c r="S4433" s="12" t="s">
        <v>5383</v>
      </c>
      <c r="T4433" s="22">
        <f t="shared" si="382"/>
        <v>3</v>
      </c>
      <c r="U4433" s="22">
        <f t="shared" si="383"/>
        <v>2022</v>
      </c>
      <c r="V4433" s="22" t="str">
        <f t="shared" si="384"/>
        <v>METROPOLITANA</v>
      </c>
    </row>
    <row r="4434" spans="1:22" x14ac:dyDescent="0.2">
      <c r="A4434" s="11" t="s">
        <v>5367</v>
      </c>
      <c r="B4434" s="12" t="s">
        <v>33</v>
      </c>
      <c r="C4434" s="12" t="s">
        <v>29</v>
      </c>
      <c r="D4434" s="12" t="s">
        <v>38</v>
      </c>
      <c r="E4434" s="13" t="s">
        <v>42</v>
      </c>
      <c r="F4434" s="12" t="s">
        <v>39</v>
      </c>
      <c r="G4434" s="14">
        <v>2748</v>
      </c>
      <c r="H4434" s="12" t="s">
        <v>43</v>
      </c>
      <c r="I4434" s="12">
        <v>0</v>
      </c>
      <c r="J4434" s="12" t="s">
        <v>39</v>
      </c>
      <c r="K4434" s="12" t="s">
        <v>23</v>
      </c>
      <c r="L4434" s="12">
        <v>1</v>
      </c>
      <c r="M4434" s="15">
        <v>55000</v>
      </c>
      <c r="N4434" s="15">
        <v>0</v>
      </c>
      <c r="O4434" s="15">
        <f t="shared" si="381"/>
        <v>55000</v>
      </c>
      <c r="P4434" s="15">
        <f t="shared" si="380"/>
        <v>20.014556040756915</v>
      </c>
      <c r="Q4434" s="14">
        <v>5000</v>
      </c>
      <c r="R4434" s="12">
        <v>55</v>
      </c>
      <c r="S4434" s="12" t="s">
        <v>5372</v>
      </c>
      <c r="T4434" s="22">
        <f t="shared" si="382"/>
        <v>3</v>
      </c>
      <c r="U4434" s="22">
        <f t="shared" si="383"/>
        <v>2022</v>
      </c>
      <c r="V4434" s="22" t="str">
        <f t="shared" si="384"/>
        <v>METROPOLITANA</v>
      </c>
    </row>
    <row r="4435" spans="1:22" x14ac:dyDescent="0.2">
      <c r="A4435" s="11" t="s">
        <v>5367</v>
      </c>
      <c r="B4435" s="12" t="s">
        <v>33</v>
      </c>
      <c r="C4435" s="12" t="s">
        <v>29</v>
      </c>
      <c r="D4435" s="12" t="s">
        <v>37</v>
      </c>
      <c r="E4435" s="13" t="s">
        <v>40</v>
      </c>
      <c r="F4435" s="12" t="s">
        <v>39</v>
      </c>
      <c r="G4435" s="14">
        <v>2748</v>
      </c>
      <c r="H4435" s="12" t="s">
        <v>22</v>
      </c>
      <c r="I4435" s="12">
        <v>0</v>
      </c>
      <c r="J4435" s="12" t="s">
        <v>39</v>
      </c>
      <c r="K4435" s="12" t="s">
        <v>23</v>
      </c>
      <c r="L4435" s="12">
        <v>1</v>
      </c>
      <c r="M4435" s="15">
        <v>55000</v>
      </c>
      <c r="N4435" s="15">
        <v>0</v>
      </c>
      <c r="O4435" s="15">
        <f t="shared" si="381"/>
        <v>55000</v>
      </c>
      <c r="P4435" s="15">
        <f t="shared" si="380"/>
        <v>20.014556040756915</v>
      </c>
      <c r="Q4435" s="14">
        <v>5000</v>
      </c>
      <c r="R4435" s="12">
        <v>55</v>
      </c>
      <c r="S4435" s="12" t="s">
        <v>5373</v>
      </c>
      <c r="T4435" s="22">
        <f t="shared" si="382"/>
        <v>3</v>
      </c>
      <c r="U4435" s="22">
        <f t="shared" si="383"/>
        <v>2022</v>
      </c>
      <c r="V4435" s="22" t="str">
        <f t="shared" si="384"/>
        <v>METROPOLITANA</v>
      </c>
    </row>
    <row r="4436" spans="1:22" x14ac:dyDescent="0.2">
      <c r="A4436" s="11" t="s">
        <v>5367</v>
      </c>
      <c r="B4436" s="12" t="s">
        <v>33</v>
      </c>
      <c r="C4436" s="12" t="s">
        <v>29</v>
      </c>
      <c r="D4436" s="12" t="s">
        <v>164</v>
      </c>
      <c r="E4436" s="13" t="s">
        <v>28</v>
      </c>
      <c r="F4436" s="12" t="s">
        <v>39</v>
      </c>
      <c r="G4436" s="14">
        <v>8244.0000000000036</v>
      </c>
      <c r="H4436" s="12" t="s">
        <v>22</v>
      </c>
      <c r="I4436" s="12">
        <v>1</v>
      </c>
      <c r="J4436" s="12" t="s">
        <v>39</v>
      </c>
      <c r="K4436" s="12" t="s">
        <v>23</v>
      </c>
      <c r="L4436" s="12">
        <v>1</v>
      </c>
      <c r="M4436" s="15">
        <v>90684</v>
      </c>
      <c r="N4436" s="15">
        <v>0</v>
      </c>
      <c r="O4436" s="15">
        <f t="shared" ref="O4436:O4467" si="385">SUM(M4436:N4436)</f>
        <v>90684</v>
      </c>
      <c r="P4436" s="15">
        <f t="shared" si="380"/>
        <v>10.999999999999995</v>
      </c>
      <c r="Q4436" s="14">
        <v>5000</v>
      </c>
      <c r="R4436" s="12">
        <v>100</v>
      </c>
      <c r="S4436" s="12" t="s">
        <v>5374</v>
      </c>
      <c r="T4436" s="22">
        <f t="shared" si="382"/>
        <v>3</v>
      </c>
      <c r="U4436" s="22">
        <f t="shared" si="383"/>
        <v>2022</v>
      </c>
      <c r="V4436" s="22" t="str">
        <f t="shared" si="384"/>
        <v>METROPOLITANA</v>
      </c>
    </row>
    <row r="4437" spans="1:22" x14ac:dyDescent="0.2">
      <c r="A4437" s="11" t="s">
        <v>5367</v>
      </c>
      <c r="B4437" s="12" t="s">
        <v>33</v>
      </c>
      <c r="C4437" s="12" t="s">
        <v>44</v>
      </c>
      <c r="D4437" s="12" t="s">
        <v>4569</v>
      </c>
      <c r="E4437" s="13" t="s">
        <v>5375</v>
      </c>
      <c r="F4437" s="12" t="s">
        <v>1105</v>
      </c>
      <c r="G4437" s="14">
        <f>5496.64+7141</f>
        <v>12637.64</v>
      </c>
      <c r="H4437" s="12" t="s">
        <v>24</v>
      </c>
      <c r="I4437" s="12">
        <v>1</v>
      </c>
      <c r="J4437" s="12" t="s">
        <v>1105</v>
      </c>
      <c r="K4437" s="12" t="s">
        <v>873</v>
      </c>
      <c r="L4437" s="12">
        <v>0</v>
      </c>
      <c r="M4437" s="15">
        <v>950000</v>
      </c>
      <c r="N4437" s="15">
        <v>0</v>
      </c>
      <c r="O4437" s="15">
        <f t="shared" si="385"/>
        <v>950000</v>
      </c>
      <c r="P4437" s="15">
        <f t="shared" si="380"/>
        <v>75.172263175719522</v>
      </c>
      <c r="Q4437" s="14">
        <v>20000</v>
      </c>
      <c r="R4437" s="12">
        <v>63</v>
      </c>
      <c r="S4437" s="12" t="s">
        <v>5382</v>
      </c>
      <c r="T4437" s="22">
        <f t="shared" si="382"/>
        <v>3</v>
      </c>
      <c r="U4437" s="22">
        <f t="shared" si="383"/>
        <v>2022</v>
      </c>
      <c r="V4437" s="22" t="str">
        <f t="shared" si="384"/>
        <v>REGIONES</v>
      </c>
    </row>
    <row r="4438" spans="1:22" x14ac:dyDescent="0.2">
      <c r="A4438" s="11" t="s">
        <v>5367</v>
      </c>
      <c r="B4438" s="12" t="s">
        <v>33</v>
      </c>
      <c r="C4438" s="12" t="s">
        <v>44</v>
      </c>
      <c r="D4438" s="12" t="s">
        <v>191</v>
      </c>
      <c r="E4438" s="13" t="s">
        <v>192</v>
      </c>
      <c r="F4438" s="12" t="s">
        <v>132</v>
      </c>
      <c r="G4438" s="14">
        <v>8946.9800000000014</v>
      </c>
      <c r="H4438" s="12" t="s">
        <v>85</v>
      </c>
      <c r="I4438" s="12">
        <v>1</v>
      </c>
      <c r="J4438" s="12" t="s">
        <v>132</v>
      </c>
      <c r="K4438" s="12" t="s">
        <v>124</v>
      </c>
      <c r="L4438" s="12">
        <v>0</v>
      </c>
      <c r="M4438" s="15">
        <v>400000</v>
      </c>
      <c r="N4438" s="15">
        <v>0</v>
      </c>
      <c r="O4438" s="15">
        <f t="shared" si="385"/>
        <v>400000</v>
      </c>
      <c r="P4438" s="15">
        <f t="shared" si="380"/>
        <v>44.70782319844237</v>
      </c>
      <c r="Q4438" s="14">
        <v>20000</v>
      </c>
      <c r="R4438" s="12">
        <v>45</v>
      </c>
      <c r="S4438" s="12" t="s">
        <v>5376</v>
      </c>
      <c r="T4438" s="22">
        <f t="shared" si="382"/>
        <v>3</v>
      </c>
      <c r="U4438" s="22">
        <f t="shared" si="383"/>
        <v>2022</v>
      </c>
      <c r="V4438" s="22" t="str">
        <f t="shared" si="384"/>
        <v>REGIONES</v>
      </c>
    </row>
    <row r="4439" spans="1:22" x14ac:dyDescent="0.2">
      <c r="A4439" s="11" t="s">
        <v>5367</v>
      </c>
      <c r="B4439" s="12" t="s">
        <v>33</v>
      </c>
      <c r="C4439" s="12" t="s">
        <v>44</v>
      </c>
      <c r="D4439" s="12" t="s">
        <v>2262</v>
      </c>
      <c r="E4439" s="13" t="s">
        <v>83</v>
      </c>
      <c r="F4439" s="12" t="s">
        <v>5377</v>
      </c>
      <c r="G4439" s="14">
        <v>7328.0000000000036</v>
      </c>
      <c r="H4439" s="12" t="s">
        <v>24</v>
      </c>
      <c r="I4439" s="12">
        <v>1</v>
      </c>
      <c r="J4439" s="12" t="s">
        <v>5377</v>
      </c>
      <c r="K4439" s="12" t="s">
        <v>86</v>
      </c>
      <c r="L4439" s="12">
        <v>0</v>
      </c>
      <c r="M4439" s="15">
        <v>350000</v>
      </c>
      <c r="N4439" s="15">
        <v>0</v>
      </c>
      <c r="O4439" s="15">
        <f t="shared" si="385"/>
        <v>350000</v>
      </c>
      <c r="P4439" s="15">
        <f t="shared" si="380"/>
        <v>47.762008733624434</v>
      </c>
      <c r="Q4439" s="14">
        <v>20000</v>
      </c>
      <c r="R4439" s="12">
        <v>37</v>
      </c>
      <c r="S4439" s="12" t="s">
        <v>5378</v>
      </c>
      <c r="T4439" s="22">
        <f t="shared" si="382"/>
        <v>3</v>
      </c>
      <c r="U4439" s="22">
        <f t="shared" si="383"/>
        <v>2022</v>
      </c>
      <c r="V4439" s="22" t="str">
        <f t="shared" si="384"/>
        <v>REGIONES</v>
      </c>
    </row>
    <row r="4440" spans="1:22" x14ac:dyDescent="0.2">
      <c r="A4440" s="11" t="s">
        <v>5367</v>
      </c>
      <c r="B4440" s="12" t="s">
        <v>33</v>
      </c>
      <c r="C4440" s="12" t="s">
        <v>44</v>
      </c>
      <c r="D4440" s="12" t="s">
        <v>47</v>
      </c>
      <c r="E4440" s="13" t="s">
        <v>49</v>
      </c>
      <c r="F4440" s="12" t="s">
        <v>48</v>
      </c>
      <c r="G4440" s="14">
        <v>10027.02</v>
      </c>
      <c r="H4440" s="12" t="s">
        <v>22</v>
      </c>
      <c r="I4440" s="12">
        <v>0</v>
      </c>
      <c r="J4440" s="12" t="s">
        <v>48</v>
      </c>
      <c r="K4440" s="12" t="s">
        <v>23</v>
      </c>
      <c r="L4440" s="12">
        <v>1</v>
      </c>
      <c r="M4440" s="15">
        <v>110297</v>
      </c>
      <c r="N4440" s="15">
        <v>0</v>
      </c>
      <c r="O4440" s="15">
        <f t="shared" si="385"/>
        <v>110297</v>
      </c>
      <c r="P4440" s="15">
        <f t="shared" si="380"/>
        <v>10.999978059283814</v>
      </c>
      <c r="Q4440" s="14">
        <v>5000</v>
      </c>
      <c r="R4440" s="12">
        <v>100</v>
      </c>
      <c r="S4440" s="12" t="s">
        <v>5379</v>
      </c>
      <c r="T4440" s="22">
        <f t="shared" si="382"/>
        <v>3</v>
      </c>
      <c r="U4440" s="22">
        <f t="shared" si="383"/>
        <v>2022</v>
      </c>
      <c r="V4440" s="22" t="str">
        <f t="shared" si="384"/>
        <v>METROPOLITANA</v>
      </c>
    </row>
    <row r="4441" spans="1:22" x14ac:dyDescent="0.2">
      <c r="A4441" s="11" t="s">
        <v>5367</v>
      </c>
      <c r="B4441" s="12" t="s">
        <v>33</v>
      </c>
      <c r="C4441" s="12" t="s">
        <v>44</v>
      </c>
      <c r="D4441" s="12" t="s">
        <v>20</v>
      </c>
      <c r="E4441" s="13" t="s">
        <v>21</v>
      </c>
      <c r="F4441" s="12" t="s">
        <v>51</v>
      </c>
      <c r="G4441" s="14">
        <v>3401.33</v>
      </c>
      <c r="H4441" s="12" t="s">
        <v>22</v>
      </c>
      <c r="I4441" s="12">
        <v>0</v>
      </c>
      <c r="J4441" s="12" t="s">
        <v>51</v>
      </c>
      <c r="K4441" s="12" t="s">
        <v>23</v>
      </c>
      <c r="L4441" s="12">
        <v>4</v>
      </c>
      <c r="M4441" s="15">
        <v>55000</v>
      </c>
      <c r="N4441" s="15">
        <v>0</v>
      </c>
      <c r="O4441" s="15">
        <f t="shared" si="385"/>
        <v>55000</v>
      </c>
      <c r="P4441" s="15">
        <f t="shared" si="380"/>
        <v>16.170145207903968</v>
      </c>
      <c r="Q4441" s="14">
        <v>5000</v>
      </c>
      <c r="R4441" s="12">
        <v>68</v>
      </c>
      <c r="S4441" s="12" t="s">
        <v>5380</v>
      </c>
      <c r="T4441" s="22">
        <f t="shared" si="382"/>
        <v>3</v>
      </c>
      <c r="U4441" s="22">
        <f t="shared" si="383"/>
        <v>2022</v>
      </c>
      <c r="V4441" s="22" t="str">
        <f t="shared" si="384"/>
        <v>METROPOLITANA</v>
      </c>
    </row>
    <row r="4442" spans="1:22" x14ac:dyDescent="0.2">
      <c r="A4442" s="23" t="s">
        <v>5384</v>
      </c>
      <c r="B4442" s="22" t="s">
        <v>18</v>
      </c>
      <c r="C4442" s="22" t="s">
        <v>270</v>
      </c>
      <c r="D4442" s="22" t="s">
        <v>63</v>
      </c>
      <c r="E4442" s="24" t="s">
        <v>64</v>
      </c>
      <c r="F4442" s="22" t="s">
        <v>377</v>
      </c>
      <c r="G4442" s="25">
        <v>3139.5</v>
      </c>
      <c r="H4442" s="22" t="s">
        <v>65</v>
      </c>
      <c r="I4442" s="22">
        <v>0</v>
      </c>
      <c r="J4442" s="22" t="s">
        <v>377</v>
      </c>
      <c r="K4442" s="22" t="s">
        <v>23</v>
      </c>
      <c r="L4442" s="22">
        <v>4</v>
      </c>
      <c r="M4442" s="26">
        <v>55000</v>
      </c>
      <c r="N4442" s="26">
        <v>0</v>
      </c>
      <c r="O4442" s="15">
        <f t="shared" si="385"/>
        <v>55000</v>
      </c>
      <c r="P4442" s="15">
        <f t="shared" si="380"/>
        <v>17.518713170887082</v>
      </c>
      <c r="Q4442" s="25">
        <v>5000</v>
      </c>
      <c r="R4442" s="22">
        <v>63</v>
      </c>
      <c r="S4442" s="22" t="s">
        <v>5385</v>
      </c>
      <c r="T4442" s="22">
        <f t="shared" si="382"/>
        <v>3</v>
      </c>
      <c r="U4442" s="22">
        <f t="shared" si="383"/>
        <v>2022</v>
      </c>
      <c r="V4442" s="22" t="str">
        <f t="shared" si="384"/>
        <v>METROPOLITANA</v>
      </c>
    </row>
    <row r="4443" spans="1:22" x14ac:dyDescent="0.2">
      <c r="A4443" s="23" t="s">
        <v>5384</v>
      </c>
      <c r="B4443" s="22" t="s">
        <v>18</v>
      </c>
      <c r="C4443" s="22" t="s">
        <v>4880</v>
      </c>
      <c r="D4443" s="22" t="s">
        <v>37</v>
      </c>
      <c r="E4443" s="24" t="s">
        <v>40</v>
      </c>
      <c r="F4443" s="22" t="s">
        <v>129</v>
      </c>
      <c r="G4443" s="25">
        <v>14012.160000000011</v>
      </c>
      <c r="H4443" s="22" t="s">
        <v>22</v>
      </c>
      <c r="I4443" s="22">
        <v>0</v>
      </c>
      <c r="J4443" s="22" t="s">
        <v>129</v>
      </c>
      <c r="K4443" s="22" t="s">
        <v>23</v>
      </c>
      <c r="L4443" s="22">
        <v>1</v>
      </c>
      <c r="M4443" s="26">
        <v>154134</v>
      </c>
      <c r="N4443" s="26">
        <v>0</v>
      </c>
      <c r="O4443" s="15">
        <f t="shared" si="385"/>
        <v>154134</v>
      </c>
      <c r="P4443" s="15">
        <f t="shared" si="380"/>
        <v>11.000017127980261</v>
      </c>
      <c r="Q4443" s="25">
        <v>5000</v>
      </c>
      <c r="R4443" s="22">
        <v>100</v>
      </c>
      <c r="S4443" s="22" t="s">
        <v>5386</v>
      </c>
      <c r="T4443" s="22">
        <f t="shared" si="382"/>
        <v>3</v>
      </c>
      <c r="U4443" s="22">
        <f t="shared" si="383"/>
        <v>2022</v>
      </c>
      <c r="V4443" s="22" t="str">
        <f t="shared" si="384"/>
        <v>METROPOLITANA</v>
      </c>
    </row>
    <row r="4444" spans="1:22" x14ac:dyDescent="0.2">
      <c r="A4444" s="23" t="s">
        <v>5384</v>
      </c>
      <c r="B4444" s="22" t="s">
        <v>18</v>
      </c>
      <c r="C4444" s="22" t="s">
        <v>57</v>
      </c>
      <c r="D4444" s="22" t="s">
        <v>20</v>
      </c>
      <c r="E4444" s="24" t="s">
        <v>21</v>
      </c>
      <c r="F4444" s="22" t="s">
        <v>308</v>
      </c>
      <c r="G4444" s="25">
        <v>5008.3</v>
      </c>
      <c r="H4444" s="22" t="s">
        <v>22</v>
      </c>
      <c r="I4444" s="22">
        <v>0</v>
      </c>
      <c r="J4444" s="22" t="s">
        <v>308</v>
      </c>
      <c r="K4444" s="22" t="s">
        <v>78</v>
      </c>
      <c r="L4444" s="22">
        <v>0</v>
      </c>
      <c r="M4444" s="26">
        <v>180000</v>
      </c>
      <c r="N4444" s="26">
        <v>0</v>
      </c>
      <c r="O4444" s="15">
        <f t="shared" si="385"/>
        <v>180000</v>
      </c>
      <c r="P4444" s="15">
        <f t="shared" si="380"/>
        <v>35.94033903719825</v>
      </c>
      <c r="Q4444" s="25">
        <v>20000</v>
      </c>
      <c r="R4444" s="22">
        <v>25</v>
      </c>
      <c r="S4444" s="22" t="s">
        <v>5387</v>
      </c>
      <c r="T4444" s="22">
        <f t="shared" si="382"/>
        <v>3</v>
      </c>
      <c r="U4444" s="22">
        <f t="shared" si="383"/>
        <v>2022</v>
      </c>
      <c r="V4444" s="22" t="str">
        <f t="shared" si="384"/>
        <v>REGIONES</v>
      </c>
    </row>
    <row r="4445" spans="1:22" x14ac:dyDescent="0.2">
      <c r="A4445" s="23" t="s">
        <v>5384</v>
      </c>
      <c r="B4445" s="22" t="s">
        <v>18</v>
      </c>
      <c r="C4445" s="22" t="s">
        <v>160</v>
      </c>
      <c r="D4445" s="22" t="s">
        <v>41</v>
      </c>
      <c r="E4445" s="24" t="s">
        <v>25</v>
      </c>
      <c r="F4445" s="22" t="s">
        <v>800</v>
      </c>
      <c r="G4445" s="25">
        <v>9510</v>
      </c>
      <c r="H4445" s="22" t="s">
        <v>43</v>
      </c>
      <c r="I4445" s="22">
        <v>0</v>
      </c>
      <c r="J4445" s="22" t="s">
        <v>800</v>
      </c>
      <c r="K4445" s="22" t="s">
        <v>23</v>
      </c>
      <c r="L4445" s="22">
        <v>5</v>
      </c>
      <c r="M4445" s="26">
        <v>90000</v>
      </c>
      <c r="N4445" s="26">
        <v>0</v>
      </c>
      <c r="O4445" s="15">
        <f t="shared" si="385"/>
        <v>90000</v>
      </c>
      <c r="P4445" s="15">
        <f t="shared" si="380"/>
        <v>9.4637223974763405</v>
      </c>
      <c r="Q4445" s="25">
        <v>10000</v>
      </c>
      <c r="R4445" s="22">
        <v>95</v>
      </c>
      <c r="S4445" s="22" t="s">
        <v>5388</v>
      </c>
      <c r="T4445" s="22">
        <f t="shared" si="382"/>
        <v>3</v>
      </c>
      <c r="U4445" s="22">
        <f t="shared" si="383"/>
        <v>2022</v>
      </c>
      <c r="V4445" s="22" t="str">
        <f t="shared" si="384"/>
        <v>METROPOLITANA</v>
      </c>
    </row>
    <row r="4446" spans="1:22" x14ac:dyDescent="0.2">
      <c r="A4446" s="23" t="s">
        <v>5384</v>
      </c>
      <c r="B4446" s="22" t="s">
        <v>18</v>
      </c>
      <c r="C4446" s="22" t="s">
        <v>87</v>
      </c>
      <c r="D4446" s="22" t="s">
        <v>38</v>
      </c>
      <c r="E4446" s="24" t="s">
        <v>42</v>
      </c>
      <c r="F4446" s="22" t="s">
        <v>51</v>
      </c>
      <c r="G4446" s="25">
        <v>9893.9500000000007</v>
      </c>
      <c r="H4446" s="22" t="s">
        <v>43</v>
      </c>
      <c r="I4446" s="22">
        <v>0</v>
      </c>
      <c r="J4446" s="22" t="s">
        <v>51</v>
      </c>
      <c r="K4446" s="22" t="s">
        <v>23</v>
      </c>
      <c r="L4446" s="22">
        <v>4</v>
      </c>
      <c r="M4446" s="26">
        <v>108833</v>
      </c>
      <c r="N4446" s="26">
        <v>0</v>
      </c>
      <c r="O4446" s="15">
        <f t="shared" si="385"/>
        <v>108833</v>
      </c>
      <c r="P4446" s="15">
        <f t="shared" si="380"/>
        <v>10.999954517659781</v>
      </c>
      <c r="Q4446" s="25">
        <v>5000</v>
      </c>
      <c r="R4446" s="22">
        <v>100</v>
      </c>
      <c r="S4446" s="22" t="s">
        <v>5389</v>
      </c>
      <c r="T4446" s="22">
        <f t="shared" si="382"/>
        <v>3</v>
      </c>
      <c r="U4446" s="22">
        <f t="shared" si="383"/>
        <v>2022</v>
      </c>
      <c r="V4446" s="22" t="str">
        <f t="shared" si="384"/>
        <v>METROPOLITANA</v>
      </c>
    </row>
    <row r="4447" spans="1:22" x14ac:dyDescent="0.2">
      <c r="A4447" s="23" t="s">
        <v>5384</v>
      </c>
      <c r="B4447" s="22" t="s">
        <v>33</v>
      </c>
      <c r="C4447" s="22" t="s">
        <v>270</v>
      </c>
      <c r="D4447" s="22" t="s">
        <v>63</v>
      </c>
      <c r="E4447" s="24" t="s">
        <v>64</v>
      </c>
      <c r="F4447" s="22" t="s">
        <v>120</v>
      </c>
      <c r="G4447" s="25">
        <v>11148.900000000011</v>
      </c>
      <c r="H4447" s="22" t="s">
        <v>65</v>
      </c>
      <c r="I4447" s="22">
        <v>0</v>
      </c>
      <c r="J4447" s="22" t="s">
        <v>120</v>
      </c>
      <c r="K4447" s="22" t="s">
        <v>23</v>
      </c>
      <c r="L4447" s="22">
        <v>5</v>
      </c>
      <c r="M4447" s="26">
        <v>70000</v>
      </c>
      <c r="N4447" s="26">
        <v>0</v>
      </c>
      <c r="O4447" s="15">
        <f t="shared" si="385"/>
        <v>70000</v>
      </c>
      <c r="P4447" s="15">
        <f t="shared" si="380"/>
        <v>6.2786463238525716</v>
      </c>
      <c r="Q4447" s="25">
        <v>10000</v>
      </c>
      <c r="R4447" s="22">
        <v>100</v>
      </c>
      <c r="S4447" s="22" t="s">
        <v>5390</v>
      </c>
      <c r="T4447" s="22">
        <f t="shared" si="382"/>
        <v>3</v>
      </c>
      <c r="U4447" s="22">
        <f t="shared" si="383"/>
        <v>2022</v>
      </c>
      <c r="V4447" s="22" t="str">
        <f t="shared" si="384"/>
        <v>METROPOLITANA</v>
      </c>
    </row>
    <row r="4448" spans="1:22" x14ac:dyDescent="0.2">
      <c r="A4448" s="23" t="s">
        <v>5384</v>
      </c>
      <c r="B4448" s="22" t="s">
        <v>33</v>
      </c>
      <c r="C4448" s="22" t="s">
        <v>60</v>
      </c>
      <c r="D4448" s="22" t="s">
        <v>47</v>
      </c>
      <c r="E4448" s="24" t="s">
        <v>52</v>
      </c>
      <c r="F4448" s="22" t="s">
        <v>51</v>
      </c>
      <c r="G4448" s="25">
        <v>9004.7999999999975</v>
      </c>
      <c r="H4448" s="22" t="s">
        <v>22</v>
      </c>
      <c r="I4448" s="22">
        <v>0</v>
      </c>
      <c r="J4448" s="22" t="s">
        <v>51</v>
      </c>
      <c r="K4448" s="22" t="s">
        <v>23</v>
      </c>
      <c r="L4448" s="22">
        <v>4</v>
      </c>
      <c r="M4448" s="26">
        <v>99053</v>
      </c>
      <c r="N4448" s="26">
        <v>0</v>
      </c>
      <c r="O4448" s="15">
        <f t="shared" si="385"/>
        <v>99053</v>
      </c>
      <c r="P4448" s="15">
        <f t="shared" si="380"/>
        <v>11.000022210376692</v>
      </c>
      <c r="Q4448" s="25">
        <v>5000</v>
      </c>
      <c r="R4448" s="22">
        <v>100</v>
      </c>
      <c r="S4448" s="22" t="s">
        <v>5391</v>
      </c>
      <c r="T4448" s="22">
        <f t="shared" si="382"/>
        <v>3</v>
      </c>
      <c r="U4448" s="22">
        <f t="shared" si="383"/>
        <v>2022</v>
      </c>
      <c r="V4448" s="22" t="str">
        <f t="shared" si="384"/>
        <v>METROPOLITANA</v>
      </c>
    </row>
    <row r="4449" spans="1:22" x14ac:dyDescent="0.2">
      <c r="A4449" s="23" t="s">
        <v>5384</v>
      </c>
      <c r="B4449" s="22" t="s">
        <v>33</v>
      </c>
      <c r="C4449" s="22" t="s">
        <v>3747</v>
      </c>
      <c r="D4449" s="22" t="s">
        <v>20</v>
      </c>
      <c r="E4449" s="24" t="s">
        <v>21</v>
      </c>
      <c r="F4449" s="22" t="s">
        <v>182</v>
      </c>
      <c r="G4449" s="25">
        <v>6739.2</v>
      </c>
      <c r="H4449" s="22" t="s">
        <v>22</v>
      </c>
      <c r="I4449" s="22">
        <v>0</v>
      </c>
      <c r="J4449" s="22" t="s">
        <v>182</v>
      </c>
      <c r="K4449" s="22" t="s">
        <v>23</v>
      </c>
      <c r="L4449" s="22">
        <v>4</v>
      </c>
      <c r="M4449" s="26">
        <v>74131</v>
      </c>
      <c r="N4449" s="26">
        <v>0</v>
      </c>
      <c r="O4449" s="15">
        <f t="shared" si="385"/>
        <v>74131</v>
      </c>
      <c r="P4449" s="15">
        <f t="shared" ref="P4449:P4512" si="386">O4449/G4449</f>
        <v>10.999970322886989</v>
      </c>
      <c r="Q4449" s="25">
        <v>5000</v>
      </c>
      <c r="R4449" s="22">
        <v>100</v>
      </c>
      <c r="S4449" s="22" t="s">
        <v>5392</v>
      </c>
      <c r="T4449" s="22">
        <f t="shared" si="382"/>
        <v>3</v>
      </c>
      <c r="U4449" s="22">
        <f t="shared" si="383"/>
        <v>2022</v>
      </c>
      <c r="V4449" s="22" t="str">
        <f t="shared" si="384"/>
        <v>METROPOLITANA</v>
      </c>
    </row>
    <row r="4450" spans="1:22" x14ac:dyDescent="0.2">
      <c r="A4450" s="23" t="s">
        <v>5384</v>
      </c>
      <c r="B4450" s="22" t="s">
        <v>33</v>
      </c>
      <c r="C4450" s="22" t="s">
        <v>128</v>
      </c>
      <c r="D4450" s="22" t="s">
        <v>2955</v>
      </c>
      <c r="E4450" s="24" t="s">
        <v>2956</v>
      </c>
      <c r="F4450" s="22" t="s">
        <v>129</v>
      </c>
      <c r="G4450" s="25">
        <v>10257.9</v>
      </c>
      <c r="H4450" s="22" t="s">
        <v>24</v>
      </c>
      <c r="I4450" s="22">
        <v>1</v>
      </c>
      <c r="J4450" s="22" t="s">
        <v>129</v>
      </c>
      <c r="K4450" s="22" t="s">
        <v>23</v>
      </c>
      <c r="L4450" s="22">
        <v>1</v>
      </c>
      <c r="M4450" s="26">
        <v>112837</v>
      </c>
      <c r="N4450" s="26">
        <v>0</v>
      </c>
      <c r="O4450" s="15">
        <f t="shared" si="385"/>
        <v>112837</v>
      </c>
      <c r="P4450" s="15">
        <f t="shared" si="386"/>
        <v>11.000009748584018</v>
      </c>
      <c r="Q4450" s="25">
        <v>5000</v>
      </c>
      <c r="R4450" s="22">
        <v>100</v>
      </c>
      <c r="S4450" s="22" t="s">
        <v>5393</v>
      </c>
      <c r="T4450" s="22">
        <f t="shared" si="382"/>
        <v>3</v>
      </c>
      <c r="U4450" s="22">
        <f t="shared" si="383"/>
        <v>2022</v>
      </c>
      <c r="V4450" s="22" t="str">
        <f t="shared" si="384"/>
        <v>METROPOLITANA</v>
      </c>
    </row>
    <row r="4451" spans="1:22" x14ac:dyDescent="0.2">
      <c r="A4451" s="23" t="s">
        <v>5384</v>
      </c>
      <c r="B4451" s="22" t="s">
        <v>33</v>
      </c>
      <c r="C4451" s="22" t="s">
        <v>36</v>
      </c>
      <c r="D4451" s="22" t="s">
        <v>4247</v>
      </c>
      <c r="E4451" s="24" t="s">
        <v>62</v>
      </c>
      <c r="F4451" s="22" t="s">
        <v>2055</v>
      </c>
      <c r="G4451" s="25">
        <v>6370.84</v>
      </c>
      <c r="H4451" s="22" t="s">
        <v>24</v>
      </c>
      <c r="I4451" s="22">
        <v>1</v>
      </c>
      <c r="J4451" s="22" t="s">
        <v>2055</v>
      </c>
      <c r="K4451" s="22" t="s">
        <v>86</v>
      </c>
      <c r="L4451" s="22">
        <v>0</v>
      </c>
      <c r="M4451" s="26">
        <v>300000</v>
      </c>
      <c r="N4451" s="26">
        <v>0</v>
      </c>
      <c r="O4451" s="15">
        <f t="shared" si="385"/>
        <v>300000</v>
      </c>
      <c r="P4451" s="15">
        <f t="shared" si="386"/>
        <v>47.089551770253216</v>
      </c>
      <c r="Q4451" s="25">
        <v>20000</v>
      </c>
      <c r="R4451" s="22">
        <v>32</v>
      </c>
      <c r="S4451" s="22" t="s">
        <v>5394</v>
      </c>
      <c r="T4451" s="22">
        <f t="shared" si="382"/>
        <v>3</v>
      </c>
      <c r="U4451" s="22">
        <f t="shared" si="383"/>
        <v>2022</v>
      </c>
      <c r="V4451" s="22" t="str">
        <f t="shared" si="384"/>
        <v>REGIONES</v>
      </c>
    </row>
    <row r="4452" spans="1:22" x14ac:dyDescent="0.2">
      <c r="A4452" s="23" t="s">
        <v>5384</v>
      </c>
      <c r="B4452" s="22" t="s">
        <v>33</v>
      </c>
      <c r="C4452" s="22" t="s">
        <v>223</v>
      </c>
      <c r="D4452" s="22" t="s">
        <v>63</v>
      </c>
      <c r="E4452" s="24" t="s">
        <v>64</v>
      </c>
      <c r="F4452" s="22" t="s">
        <v>67</v>
      </c>
      <c r="G4452" s="25">
        <v>8254.3999999999978</v>
      </c>
      <c r="H4452" s="22" t="s">
        <v>65</v>
      </c>
      <c r="I4452" s="22">
        <v>0</v>
      </c>
      <c r="J4452" s="22" t="s">
        <v>67</v>
      </c>
      <c r="K4452" s="22" t="s">
        <v>23</v>
      </c>
      <c r="L4452" s="22">
        <v>2</v>
      </c>
      <c r="M4452" s="26">
        <v>90798</v>
      </c>
      <c r="N4452" s="26">
        <v>0</v>
      </c>
      <c r="O4452" s="15">
        <f t="shared" si="385"/>
        <v>90798</v>
      </c>
      <c r="P4452" s="15">
        <f t="shared" si="386"/>
        <v>10.999951540996321</v>
      </c>
      <c r="Q4452" s="25">
        <v>5000</v>
      </c>
      <c r="R4452" s="22">
        <v>100</v>
      </c>
      <c r="S4452" s="22" t="s">
        <v>5395</v>
      </c>
      <c r="T4452" s="22">
        <f t="shared" si="382"/>
        <v>3</v>
      </c>
      <c r="U4452" s="22">
        <f t="shared" si="383"/>
        <v>2022</v>
      </c>
      <c r="V4452" s="22" t="str">
        <f t="shared" si="384"/>
        <v>METROPOLITANA</v>
      </c>
    </row>
    <row r="4453" spans="1:22" x14ac:dyDescent="0.2">
      <c r="A4453" s="23" t="s">
        <v>5384</v>
      </c>
      <c r="B4453" s="22" t="s">
        <v>33</v>
      </c>
      <c r="C4453" s="22" t="s">
        <v>29</v>
      </c>
      <c r="D4453" s="22" t="s">
        <v>37</v>
      </c>
      <c r="E4453" s="24" t="s">
        <v>40</v>
      </c>
      <c r="F4453" s="22" t="s">
        <v>39</v>
      </c>
      <c r="G4453" s="25">
        <v>2748</v>
      </c>
      <c r="H4453" s="22" t="s">
        <v>22</v>
      </c>
      <c r="I4453" s="22">
        <v>0</v>
      </c>
      <c r="J4453" s="22" t="s">
        <v>39</v>
      </c>
      <c r="K4453" s="22" t="s">
        <v>23</v>
      </c>
      <c r="L4453" s="22">
        <v>1</v>
      </c>
      <c r="M4453" s="26">
        <v>55000</v>
      </c>
      <c r="N4453" s="26">
        <v>0</v>
      </c>
      <c r="O4453" s="15">
        <f t="shared" si="385"/>
        <v>55000</v>
      </c>
      <c r="P4453" s="15">
        <f t="shared" si="386"/>
        <v>20.014556040756915</v>
      </c>
      <c r="Q4453" s="25">
        <v>5000</v>
      </c>
      <c r="R4453" s="22">
        <v>55</v>
      </c>
      <c r="S4453" s="22" t="s">
        <v>5396</v>
      </c>
      <c r="T4453" s="22">
        <f t="shared" si="382"/>
        <v>3</v>
      </c>
      <c r="U4453" s="22">
        <f t="shared" si="383"/>
        <v>2022</v>
      </c>
      <c r="V4453" s="22" t="str">
        <f t="shared" si="384"/>
        <v>METROPOLITANA</v>
      </c>
    </row>
    <row r="4454" spans="1:22" x14ac:dyDescent="0.2">
      <c r="A4454" s="23" t="s">
        <v>5384</v>
      </c>
      <c r="B4454" s="22" t="s">
        <v>33</v>
      </c>
      <c r="C4454" s="22" t="s">
        <v>29</v>
      </c>
      <c r="D4454" s="22" t="s">
        <v>41</v>
      </c>
      <c r="E4454" s="24" t="s">
        <v>25</v>
      </c>
      <c r="F4454" s="22" t="s">
        <v>39</v>
      </c>
      <c r="G4454" s="25">
        <v>2748</v>
      </c>
      <c r="H4454" s="22" t="s">
        <v>43</v>
      </c>
      <c r="I4454" s="22">
        <v>0</v>
      </c>
      <c r="J4454" s="22" t="s">
        <v>39</v>
      </c>
      <c r="K4454" s="22" t="s">
        <v>23</v>
      </c>
      <c r="L4454" s="22">
        <v>1</v>
      </c>
      <c r="M4454" s="26">
        <v>55000</v>
      </c>
      <c r="N4454" s="26">
        <v>0</v>
      </c>
      <c r="O4454" s="15">
        <f t="shared" si="385"/>
        <v>55000</v>
      </c>
      <c r="P4454" s="15">
        <f t="shared" si="386"/>
        <v>20.014556040756915</v>
      </c>
      <c r="Q4454" s="25">
        <v>5000</v>
      </c>
      <c r="R4454" s="22">
        <v>55</v>
      </c>
      <c r="S4454" s="22" t="s">
        <v>5397</v>
      </c>
      <c r="T4454" s="22">
        <f t="shared" si="382"/>
        <v>3</v>
      </c>
      <c r="U4454" s="22">
        <f t="shared" si="383"/>
        <v>2022</v>
      </c>
      <c r="V4454" s="22" t="str">
        <f t="shared" si="384"/>
        <v>METROPOLITANA</v>
      </c>
    </row>
    <row r="4455" spans="1:22" x14ac:dyDescent="0.2">
      <c r="A4455" s="23" t="s">
        <v>5384</v>
      </c>
      <c r="B4455" s="22" t="s">
        <v>33</v>
      </c>
      <c r="C4455" s="22" t="s">
        <v>29</v>
      </c>
      <c r="D4455" s="22" t="s">
        <v>164</v>
      </c>
      <c r="E4455" s="24" t="s">
        <v>28</v>
      </c>
      <c r="F4455" s="22" t="s">
        <v>39</v>
      </c>
      <c r="G4455" s="25">
        <v>15167.399999999991</v>
      </c>
      <c r="H4455" s="22" t="s">
        <v>22</v>
      </c>
      <c r="I4455" s="22">
        <v>1</v>
      </c>
      <c r="J4455" s="22" t="s">
        <v>39</v>
      </c>
      <c r="K4455" s="22" t="s">
        <v>23</v>
      </c>
      <c r="L4455" s="22">
        <v>1</v>
      </c>
      <c r="M4455" s="26">
        <v>166841</v>
      </c>
      <c r="N4455" s="26">
        <v>0</v>
      </c>
      <c r="O4455" s="15">
        <f t="shared" si="385"/>
        <v>166841</v>
      </c>
      <c r="P4455" s="15">
        <f t="shared" si="386"/>
        <v>10.99997362764878</v>
      </c>
      <c r="Q4455" s="25">
        <v>5000</v>
      </c>
      <c r="R4455" s="22">
        <v>100</v>
      </c>
      <c r="S4455" s="22" t="s">
        <v>5398</v>
      </c>
      <c r="T4455" s="22">
        <f t="shared" si="382"/>
        <v>3</v>
      </c>
      <c r="U4455" s="22">
        <f t="shared" si="383"/>
        <v>2022</v>
      </c>
      <c r="V4455" s="22" t="str">
        <f t="shared" si="384"/>
        <v>METROPOLITANA</v>
      </c>
    </row>
    <row r="4456" spans="1:22" x14ac:dyDescent="0.2">
      <c r="A4456" s="23" t="s">
        <v>5384</v>
      </c>
      <c r="B4456" s="22" t="s">
        <v>33</v>
      </c>
      <c r="C4456" s="22" t="s">
        <v>44</v>
      </c>
      <c r="D4456" s="22" t="s">
        <v>1869</v>
      </c>
      <c r="E4456" s="24" t="s">
        <v>1870</v>
      </c>
      <c r="F4456" s="22" t="s">
        <v>876</v>
      </c>
      <c r="G4456" s="25">
        <v>9046.2999999999993</v>
      </c>
      <c r="H4456" s="22" t="s">
        <v>24</v>
      </c>
      <c r="I4456" s="22">
        <v>1</v>
      </c>
      <c r="J4456" s="22" t="s">
        <v>876</v>
      </c>
      <c r="K4456" s="22" t="s">
        <v>86</v>
      </c>
      <c r="L4456" s="22">
        <v>0</v>
      </c>
      <c r="M4456" s="26">
        <v>350000</v>
      </c>
      <c r="N4456" s="26">
        <v>0</v>
      </c>
      <c r="O4456" s="15">
        <f t="shared" si="385"/>
        <v>350000</v>
      </c>
      <c r="P4456" s="15">
        <f t="shared" si="386"/>
        <v>38.689851099344487</v>
      </c>
      <c r="Q4456" s="25">
        <v>20000</v>
      </c>
      <c r="R4456" s="22">
        <v>45</v>
      </c>
      <c r="S4456" s="22" t="s">
        <v>5399</v>
      </c>
      <c r="T4456" s="22">
        <f t="shared" si="382"/>
        <v>3</v>
      </c>
      <c r="U4456" s="22">
        <f t="shared" si="383"/>
        <v>2022</v>
      </c>
      <c r="V4456" s="22" t="str">
        <f t="shared" si="384"/>
        <v>REGIONES</v>
      </c>
    </row>
    <row r="4457" spans="1:22" x14ac:dyDescent="0.2">
      <c r="A4457" s="11" t="s">
        <v>5400</v>
      </c>
      <c r="B4457" s="12" t="s">
        <v>33</v>
      </c>
      <c r="C4457" s="12" t="s">
        <v>128</v>
      </c>
      <c r="D4457" s="12" t="s">
        <v>786</v>
      </c>
      <c r="E4457" s="13" t="s">
        <v>1891</v>
      </c>
      <c r="F4457" s="12" t="s">
        <v>34</v>
      </c>
      <c r="G4457" s="14">
        <f>12006.4+3002</f>
        <v>15008.4</v>
      </c>
      <c r="H4457" s="12" t="s">
        <v>788</v>
      </c>
      <c r="I4457" s="12">
        <v>1</v>
      </c>
      <c r="J4457" s="12" t="s">
        <v>34</v>
      </c>
      <c r="K4457" s="12" t="s">
        <v>23</v>
      </c>
      <c r="L4457" s="12">
        <v>1</v>
      </c>
      <c r="M4457" s="15">
        <v>132070</v>
      </c>
      <c r="N4457" s="15">
        <v>0</v>
      </c>
      <c r="O4457" s="15">
        <f t="shared" si="385"/>
        <v>132070</v>
      </c>
      <c r="P4457" s="15">
        <f t="shared" si="386"/>
        <v>8.7997388129314249</v>
      </c>
      <c r="Q4457" s="14">
        <v>5000</v>
      </c>
      <c r="R4457" s="12">
        <v>100</v>
      </c>
      <c r="S4457" s="12" t="s">
        <v>5409</v>
      </c>
      <c r="T4457" s="22">
        <f t="shared" si="382"/>
        <v>4</v>
      </c>
      <c r="U4457" s="22">
        <f t="shared" si="383"/>
        <v>2022</v>
      </c>
      <c r="V4457" s="22" t="str">
        <f t="shared" si="384"/>
        <v>METROPOLITANA</v>
      </c>
    </row>
    <row r="4458" spans="1:22" x14ac:dyDescent="0.2">
      <c r="A4458" s="11" t="s">
        <v>5400</v>
      </c>
      <c r="B4458" s="12" t="s">
        <v>33</v>
      </c>
      <c r="C4458" s="12" t="s">
        <v>128</v>
      </c>
      <c r="D4458" s="12" t="s">
        <v>63</v>
      </c>
      <c r="E4458" s="13" t="s">
        <v>64</v>
      </c>
      <c r="F4458" s="12" t="s">
        <v>34</v>
      </c>
      <c r="G4458" s="14">
        <v>4474.2</v>
      </c>
      <c r="H4458" s="12" t="s">
        <v>65</v>
      </c>
      <c r="I4458" s="12">
        <v>0</v>
      </c>
      <c r="J4458" s="12" t="s">
        <v>34</v>
      </c>
      <c r="K4458" s="12" t="s">
        <v>23</v>
      </c>
      <c r="L4458" s="12">
        <v>1</v>
      </c>
      <c r="M4458" s="15">
        <v>55000</v>
      </c>
      <c r="N4458" s="15">
        <v>0</v>
      </c>
      <c r="O4458" s="15">
        <f t="shared" si="385"/>
        <v>55000</v>
      </c>
      <c r="P4458" s="15">
        <f t="shared" si="386"/>
        <v>12.292700371016048</v>
      </c>
      <c r="Q4458" s="14">
        <v>5000</v>
      </c>
      <c r="R4458" s="12">
        <v>89</v>
      </c>
      <c r="S4458" s="12" t="s">
        <v>5401</v>
      </c>
      <c r="T4458" s="22">
        <f t="shared" si="382"/>
        <v>4</v>
      </c>
      <c r="U4458" s="22">
        <f t="shared" si="383"/>
        <v>2022</v>
      </c>
      <c r="V4458" s="22" t="str">
        <f t="shared" si="384"/>
        <v>METROPOLITANA</v>
      </c>
    </row>
    <row r="4459" spans="1:22" x14ac:dyDescent="0.2">
      <c r="A4459" s="11" t="s">
        <v>5400</v>
      </c>
      <c r="B4459" s="12" t="s">
        <v>33</v>
      </c>
      <c r="C4459" s="12" t="s">
        <v>1669</v>
      </c>
      <c r="D4459" s="12" t="s">
        <v>38</v>
      </c>
      <c r="E4459" s="13" t="s">
        <v>25</v>
      </c>
      <c r="F4459" s="12" t="s">
        <v>727</v>
      </c>
      <c r="G4459" s="14">
        <v>6325.1599999999989</v>
      </c>
      <c r="H4459" s="12" t="s">
        <v>43</v>
      </c>
      <c r="I4459" s="12">
        <v>0</v>
      </c>
      <c r="J4459" s="12" t="s">
        <v>727</v>
      </c>
      <c r="K4459" s="12" t="s">
        <v>23</v>
      </c>
      <c r="L4459" s="12">
        <v>2</v>
      </c>
      <c r="M4459" s="15">
        <v>69577</v>
      </c>
      <c r="N4459" s="15">
        <v>0</v>
      </c>
      <c r="O4459" s="15">
        <f t="shared" si="385"/>
        <v>69577</v>
      </c>
      <c r="P4459" s="15">
        <f t="shared" si="386"/>
        <v>11.000037943704193</v>
      </c>
      <c r="Q4459" s="14">
        <v>5000</v>
      </c>
      <c r="R4459" s="12">
        <v>100</v>
      </c>
      <c r="S4459" s="12" t="s">
        <v>5402</v>
      </c>
      <c r="T4459" s="22">
        <f t="shared" si="382"/>
        <v>4</v>
      </c>
      <c r="U4459" s="22">
        <f t="shared" si="383"/>
        <v>2022</v>
      </c>
      <c r="V4459" s="22" t="str">
        <f t="shared" si="384"/>
        <v>METROPOLITANA</v>
      </c>
    </row>
    <row r="4460" spans="1:22" x14ac:dyDescent="0.2">
      <c r="A4460" s="11" t="s">
        <v>5400</v>
      </c>
      <c r="B4460" s="12" t="s">
        <v>33</v>
      </c>
      <c r="C4460" s="12" t="s">
        <v>29</v>
      </c>
      <c r="D4460" s="12" t="s">
        <v>37</v>
      </c>
      <c r="E4460" s="13" t="s">
        <v>40</v>
      </c>
      <c r="F4460" s="12" t="s">
        <v>39</v>
      </c>
      <c r="G4460" s="14">
        <v>2748</v>
      </c>
      <c r="H4460" s="12" t="s">
        <v>22</v>
      </c>
      <c r="I4460" s="12">
        <v>0</v>
      </c>
      <c r="J4460" s="12" t="s">
        <v>39</v>
      </c>
      <c r="K4460" s="12" t="s">
        <v>23</v>
      </c>
      <c r="L4460" s="12">
        <v>1</v>
      </c>
      <c r="M4460" s="15">
        <v>55000</v>
      </c>
      <c r="N4460" s="15">
        <v>0</v>
      </c>
      <c r="O4460" s="15">
        <f t="shared" si="385"/>
        <v>55000</v>
      </c>
      <c r="P4460" s="15">
        <f t="shared" si="386"/>
        <v>20.014556040756915</v>
      </c>
      <c r="Q4460" s="14">
        <v>5000</v>
      </c>
      <c r="R4460" s="12">
        <v>55</v>
      </c>
      <c r="S4460" s="12" t="s">
        <v>5403</v>
      </c>
      <c r="T4460" s="22">
        <f t="shared" si="382"/>
        <v>4</v>
      </c>
      <c r="U4460" s="22">
        <f t="shared" si="383"/>
        <v>2022</v>
      </c>
      <c r="V4460" s="22" t="str">
        <f t="shared" si="384"/>
        <v>METROPOLITANA</v>
      </c>
    </row>
    <row r="4461" spans="1:22" x14ac:dyDescent="0.2">
      <c r="A4461" s="11" t="s">
        <v>5400</v>
      </c>
      <c r="B4461" s="12" t="s">
        <v>33</v>
      </c>
      <c r="C4461" s="12" t="s">
        <v>29</v>
      </c>
      <c r="D4461" s="12" t="s">
        <v>41</v>
      </c>
      <c r="E4461" s="13" t="s">
        <v>25</v>
      </c>
      <c r="F4461" s="12" t="s">
        <v>39</v>
      </c>
      <c r="G4461" s="14">
        <v>2748</v>
      </c>
      <c r="H4461" s="12" t="s">
        <v>43</v>
      </c>
      <c r="I4461" s="12">
        <v>0</v>
      </c>
      <c r="J4461" s="12" t="s">
        <v>39</v>
      </c>
      <c r="K4461" s="12" t="s">
        <v>23</v>
      </c>
      <c r="L4461" s="12">
        <v>1</v>
      </c>
      <c r="M4461" s="15">
        <v>55000</v>
      </c>
      <c r="N4461" s="15">
        <v>0</v>
      </c>
      <c r="O4461" s="15">
        <f t="shared" si="385"/>
        <v>55000</v>
      </c>
      <c r="P4461" s="15">
        <f t="shared" si="386"/>
        <v>20.014556040756915</v>
      </c>
      <c r="Q4461" s="14">
        <v>5000</v>
      </c>
      <c r="R4461" s="12">
        <v>55</v>
      </c>
      <c r="S4461" s="12" t="s">
        <v>5404</v>
      </c>
      <c r="T4461" s="22">
        <f t="shared" si="382"/>
        <v>4</v>
      </c>
      <c r="U4461" s="22">
        <f t="shared" si="383"/>
        <v>2022</v>
      </c>
      <c r="V4461" s="22" t="str">
        <f t="shared" si="384"/>
        <v>METROPOLITANA</v>
      </c>
    </row>
    <row r="4462" spans="1:22" x14ac:dyDescent="0.2">
      <c r="A4462" s="11" t="s">
        <v>5400</v>
      </c>
      <c r="B4462" s="12" t="s">
        <v>33</v>
      </c>
      <c r="C4462" s="12" t="s">
        <v>29</v>
      </c>
      <c r="D4462" s="12" t="s">
        <v>164</v>
      </c>
      <c r="E4462" s="13" t="s">
        <v>28</v>
      </c>
      <c r="F4462" s="12" t="s">
        <v>39</v>
      </c>
      <c r="G4462" s="14">
        <v>8244.0000000000036</v>
      </c>
      <c r="H4462" s="12" t="s">
        <v>22</v>
      </c>
      <c r="I4462" s="12">
        <v>1</v>
      </c>
      <c r="J4462" s="12" t="s">
        <v>39</v>
      </c>
      <c r="K4462" s="12" t="s">
        <v>23</v>
      </c>
      <c r="L4462" s="12">
        <v>1</v>
      </c>
      <c r="M4462" s="15">
        <v>90684</v>
      </c>
      <c r="N4462" s="15">
        <v>0</v>
      </c>
      <c r="O4462" s="15">
        <f t="shared" si="385"/>
        <v>90684</v>
      </c>
      <c r="P4462" s="15">
        <f t="shared" si="386"/>
        <v>10.999999999999995</v>
      </c>
      <c r="Q4462" s="14">
        <v>5000</v>
      </c>
      <c r="R4462" s="12">
        <v>100</v>
      </c>
      <c r="S4462" s="12" t="s">
        <v>5405</v>
      </c>
      <c r="T4462" s="22">
        <f t="shared" si="382"/>
        <v>4</v>
      </c>
      <c r="U4462" s="22">
        <f t="shared" si="383"/>
        <v>2022</v>
      </c>
      <c r="V4462" s="22" t="str">
        <f t="shared" si="384"/>
        <v>METROPOLITANA</v>
      </c>
    </row>
    <row r="4463" spans="1:22" x14ac:dyDescent="0.2">
      <c r="A4463" s="11" t="s">
        <v>5400</v>
      </c>
      <c r="B4463" s="12" t="s">
        <v>33</v>
      </c>
      <c r="C4463" s="12" t="s">
        <v>44</v>
      </c>
      <c r="D4463" s="12" t="s">
        <v>130</v>
      </c>
      <c r="E4463" s="13" t="s">
        <v>131</v>
      </c>
      <c r="F4463" s="12" t="s">
        <v>132</v>
      </c>
      <c r="G4463" s="14">
        <v>11069.9</v>
      </c>
      <c r="H4463" s="12" t="s">
        <v>85</v>
      </c>
      <c r="I4463" s="12">
        <v>1</v>
      </c>
      <c r="J4463" s="12" t="s">
        <v>132</v>
      </c>
      <c r="K4463" s="12" t="s">
        <v>124</v>
      </c>
      <c r="L4463" s="12">
        <v>0</v>
      </c>
      <c r="M4463" s="15">
        <v>400000</v>
      </c>
      <c r="N4463" s="15">
        <v>0</v>
      </c>
      <c r="O4463" s="15">
        <f t="shared" si="385"/>
        <v>400000</v>
      </c>
      <c r="P4463" s="15">
        <f t="shared" si="386"/>
        <v>36.134021084201301</v>
      </c>
      <c r="Q4463" s="14">
        <v>20000</v>
      </c>
      <c r="R4463" s="12">
        <v>55</v>
      </c>
      <c r="S4463" s="12" t="s">
        <v>5406</v>
      </c>
      <c r="T4463" s="22">
        <f t="shared" si="382"/>
        <v>4</v>
      </c>
      <c r="U4463" s="22">
        <f t="shared" si="383"/>
        <v>2022</v>
      </c>
      <c r="V4463" s="22" t="str">
        <f t="shared" si="384"/>
        <v>REGIONES</v>
      </c>
    </row>
    <row r="4464" spans="1:22" x14ac:dyDescent="0.2">
      <c r="A4464" s="11" t="s">
        <v>5400</v>
      </c>
      <c r="B4464" s="12" t="s">
        <v>33</v>
      </c>
      <c r="C4464" s="12" t="s">
        <v>44</v>
      </c>
      <c r="D4464" s="12" t="s">
        <v>45</v>
      </c>
      <c r="E4464" s="13" t="s">
        <v>52</v>
      </c>
      <c r="F4464" s="12" t="s">
        <v>138</v>
      </c>
      <c r="G4464" s="14">
        <v>3509.2</v>
      </c>
      <c r="H4464" s="12" t="s">
        <v>22</v>
      </c>
      <c r="I4464" s="12">
        <v>0</v>
      </c>
      <c r="J4464" s="12" t="s">
        <v>138</v>
      </c>
      <c r="K4464" s="12" t="s">
        <v>23</v>
      </c>
      <c r="L4464" s="12">
        <v>3</v>
      </c>
      <c r="M4464" s="15">
        <v>55000</v>
      </c>
      <c r="N4464" s="15">
        <v>0</v>
      </c>
      <c r="O4464" s="15">
        <f t="shared" si="385"/>
        <v>55000</v>
      </c>
      <c r="P4464" s="15">
        <f t="shared" si="386"/>
        <v>15.673087883278241</v>
      </c>
      <c r="Q4464" s="14">
        <v>5000</v>
      </c>
      <c r="R4464" s="12">
        <v>70</v>
      </c>
      <c r="S4464" s="12" t="s">
        <v>5407</v>
      </c>
      <c r="T4464" s="22">
        <f t="shared" si="382"/>
        <v>4</v>
      </c>
      <c r="U4464" s="22">
        <f t="shared" si="383"/>
        <v>2022</v>
      </c>
      <c r="V4464" s="22" t="str">
        <f t="shared" si="384"/>
        <v>METROPOLITANA</v>
      </c>
    </row>
    <row r="4465" spans="1:22" x14ac:dyDescent="0.2">
      <c r="A4465" s="11" t="s">
        <v>5400</v>
      </c>
      <c r="B4465" s="12" t="s">
        <v>33</v>
      </c>
      <c r="C4465" s="12" t="s">
        <v>44</v>
      </c>
      <c r="D4465" s="12" t="s">
        <v>47</v>
      </c>
      <c r="E4465" s="13" t="s">
        <v>49</v>
      </c>
      <c r="F4465" s="12" t="s">
        <v>48</v>
      </c>
      <c r="G4465" s="14">
        <v>6679.7399999999989</v>
      </c>
      <c r="H4465" s="12" t="s">
        <v>22</v>
      </c>
      <c r="I4465" s="12">
        <v>0</v>
      </c>
      <c r="J4465" s="12" t="s">
        <v>48</v>
      </c>
      <c r="K4465" s="12" t="s">
        <v>23</v>
      </c>
      <c r="L4465" s="12">
        <v>1</v>
      </c>
      <c r="M4465" s="15">
        <v>73477</v>
      </c>
      <c r="N4465" s="15">
        <v>0</v>
      </c>
      <c r="O4465" s="15">
        <f t="shared" si="385"/>
        <v>73477</v>
      </c>
      <c r="P4465" s="15">
        <f t="shared" si="386"/>
        <v>10.999979041100405</v>
      </c>
      <c r="Q4465" s="14">
        <v>5000</v>
      </c>
      <c r="R4465" s="12">
        <v>100</v>
      </c>
      <c r="S4465" s="12" t="s">
        <v>5408</v>
      </c>
      <c r="T4465" s="22">
        <f t="shared" si="382"/>
        <v>4</v>
      </c>
      <c r="U4465" s="22">
        <f t="shared" si="383"/>
        <v>2022</v>
      </c>
      <c r="V4465" s="22" t="str">
        <f t="shared" si="384"/>
        <v>METROPOLITANA</v>
      </c>
    </row>
    <row r="4466" spans="1:22" x14ac:dyDescent="0.2">
      <c r="A4466" s="23" t="s">
        <v>5410</v>
      </c>
      <c r="B4466" s="22" t="s">
        <v>18</v>
      </c>
      <c r="C4466" s="22" t="s">
        <v>4880</v>
      </c>
      <c r="D4466" s="22" t="s">
        <v>20</v>
      </c>
      <c r="E4466" s="24" t="s">
        <v>21</v>
      </c>
      <c r="F4466" s="22" t="s">
        <v>129</v>
      </c>
      <c r="G4466" s="25">
        <v>7828.2600000000011</v>
      </c>
      <c r="H4466" s="22" t="s">
        <v>22</v>
      </c>
      <c r="I4466" s="22">
        <v>0</v>
      </c>
      <c r="J4466" s="22" t="s">
        <v>129</v>
      </c>
      <c r="K4466" s="22" t="s">
        <v>23</v>
      </c>
      <c r="L4466" s="22">
        <v>1</v>
      </c>
      <c r="M4466" s="26">
        <v>86111</v>
      </c>
      <c r="N4466" s="26">
        <v>0</v>
      </c>
      <c r="O4466" s="15">
        <f t="shared" si="385"/>
        <v>86111</v>
      </c>
      <c r="P4466" s="15">
        <f t="shared" si="386"/>
        <v>11.000017883923118</v>
      </c>
      <c r="Q4466" s="25">
        <v>5000</v>
      </c>
      <c r="R4466" s="22">
        <v>100</v>
      </c>
      <c r="S4466" s="22" t="s">
        <v>5411</v>
      </c>
      <c r="T4466" s="22">
        <f t="shared" si="382"/>
        <v>4</v>
      </c>
      <c r="U4466" s="22">
        <f t="shared" si="383"/>
        <v>2022</v>
      </c>
      <c r="V4466" s="22" t="str">
        <f t="shared" si="384"/>
        <v>METROPOLITANA</v>
      </c>
    </row>
    <row r="4467" spans="1:22" x14ac:dyDescent="0.2">
      <c r="A4467" s="23" t="s">
        <v>5410</v>
      </c>
      <c r="B4467" s="22" t="s">
        <v>18</v>
      </c>
      <c r="C4467" s="22" t="s">
        <v>19</v>
      </c>
      <c r="D4467" s="22" t="s">
        <v>41</v>
      </c>
      <c r="E4467" s="24" t="s">
        <v>5412</v>
      </c>
      <c r="F4467" s="22" t="s">
        <v>51</v>
      </c>
      <c r="G4467" s="25">
        <v>9214.4500000000007</v>
      </c>
      <c r="H4467" s="22" t="s">
        <v>43</v>
      </c>
      <c r="I4467" s="22">
        <v>0</v>
      </c>
      <c r="J4467" s="22" t="s">
        <v>51</v>
      </c>
      <c r="K4467" s="22" t="s">
        <v>23</v>
      </c>
      <c r="L4467" s="22">
        <v>4</v>
      </c>
      <c r="M4467" s="26">
        <v>101359</v>
      </c>
      <c r="N4467" s="26">
        <v>0</v>
      </c>
      <c r="O4467" s="15">
        <f t="shared" si="385"/>
        <v>101359</v>
      </c>
      <c r="P4467" s="15">
        <f t="shared" si="386"/>
        <v>11.000005426259841</v>
      </c>
      <c r="Q4467" s="25">
        <v>5000</v>
      </c>
      <c r="R4467" s="22">
        <v>100</v>
      </c>
      <c r="S4467" s="22" t="s">
        <v>5413</v>
      </c>
      <c r="T4467" s="22">
        <f t="shared" si="382"/>
        <v>4</v>
      </c>
      <c r="U4467" s="22">
        <f t="shared" si="383"/>
        <v>2022</v>
      </c>
      <c r="V4467" s="22" t="str">
        <f t="shared" si="384"/>
        <v>METROPOLITANA</v>
      </c>
    </row>
    <row r="4468" spans="1:22" x14ac:dyDescent="0.2">
      <c r="A4468" s="23" t="s">
        <v>5410</v>
      </c>
      <c r="B4468" s="22" t="s">
        <v>33</v>
      </c>
      <c r="C4468" s="22" t="s">
        <v>60</v>
      </c>
      <c r="D4468" s="22" t="s">
        <v>2825</v>
      </c>
      <c r="E4468" s="24" t="s">
        <v>639</v>
      </c>
      <c r="F4468" s="22" t="s">
        <v>815</v>
      </c>
      <c r="G4468" s="25">
        <v>9284.0000000000036</v>
      </c>
      <c r="H4468" s="22" t="s">
        <v>24</v>
      </c>
      <c r="I4468" s="22">
        <v>1</v>
      </c>
      <c r="J4468" s="22" t="s">
        <v>815</v>
      </c>
      <c r="K4468" s="22" t="s">
        <v>75</v>
      </c>
      <c r="L4468" s="22">
        <v>0</v>
      </c>
      <c r="M4468" s="26">
        <v>20000</v>
      </c>
      <c r="N4468" s="26">
        <v>0</v>
      </c>
      <c r="O4468" s="15">
        <f t="shared" ref="O4468:O4492" si="387">SUM(M4468:N4468)</f>
        <v>20000</v>
      </c>
      <c r="P4468" s="15">
        <f t="shared" si="386"/>
        <v>2.1542438604049972</v>
      </c>
      <c r="Q4468" s="25">
        <v>20000</v>
      </c>
      <c r="R4468" s="22">
        <v>46</v>
      </c>
      <c r="S4468" s="22" t="s">
        <v>5414</v>
      </c>
      <c r="T4468" s="22">
        <f t="shared" si="382"/>
        <v>4</v>
      </c>
      <c r="U4468" s="22">
        <f t="shared" si="383"/>
        <v>2022</v>
      </c>
      <c r="V4468" s="22" t="str">
        <f t="shared" si="384"/>
        <v>REGIONES</v>
      </c>
    </row>
    <row r="4469" spans="1:22" x14ac:dyDescent="0.2">
      <c r="A4469" s="23" t="s">
        <v>5410</v>
      </c>
      <c r="B4469" s="22" t="s">
        <v>33</v>
      </c>
      <c r="C4469" s="22" t="s">
        <v>60</v>
      </c>
      <c r="D4469" s="22" t="s">
        <v>37</v>
      </c>
      <c r="E4469" s="24" t="s">
        <v>1576</v>
      </c>
      <c r="F4469" s="22" t="s">
        <v>161</v>
      </c>
      <c r="G4469" s="25">
        <v>8254.3999999999978</v>
      </c>
      <c r="H4469" s="22" t="s">
        <v>22</v>
      </c>
      <c r="I4469" s="22">
        <v>0</v>
      </c>
      <c r="J4469" s="22" t="s">
        <v>161</v>
      </c>
      <c r="K4469" s="22" t="s">
        <v>23</v>
      </c>
      <c r="L4469" s="22">
        <v>5</v>
      </c>
      <c r="M4469" s="26">
        <v>70000</v>
      </c>
      <c r="N4469" s="26">
        <v>0</v>
      </c>
      <c r="O4469" s="15">
        <f t="shared" si="387"/>
        <v>70000</v>
      </c>
      <c r="P4469" s="15">
        <f t="shared" si="386"/>
        <v>8.4803256445047506</v>
      </c>
      <c r="Q4469" s="25">
        <v>10000</v>
      </c>
      <c r="R4469" s="22">
        <v>83</v>
      </c>
      <c r="S4469" s="22" t="s">
        <v>5415</v>
      </c>
      <c r="T4469" s="22">
        <f t="shared" si="382"/>
        <v>4</v>
      </c>
      <c r="U4469" s="22">
        <f t="shared" si="383"/>
        <v>2022</v>
      </c>
      <c r="V4469" s="22" t="str">
        <f t="shared" si="384"/>
        <v>METROPOLITANA</v>
      </c>
    </row>
    <row r="4470" spans="1:22" x14ac:dyDescent="0.2">
      <c r="A4470" s="23" t="s">
        <v>5410</v>
      </c>
      <c r="B4470" s="22" t="s">
        <v>33</v>
      </c>
      <c r="C4470" s="22" t="s">
        <v>128</v>
      </c>
      <c r="D4470" s="22" t="s">
        <v>786</v>
      </c>
      <c r="E4470" s="24" t="s">
        <v>787</v>
      </c>
      <c r="F4470" s="22" t="s">
        <v>34</v>
      </c>
      <c r="G4470" s="25">
        <v>9760.7999999999993</v>
      </c>
      <c r="H4470" s="22" t="s">
        <v>788</v>
      </c>
      <c r="I4470" s="22">
        <v>1</v>
      </c>
      <c r="J4470" s="22" t="s">
        <v>34</v>
      </c>
      <c r="K4470" s="22" t="s">
        <v>23</v>
      </c>
      <c r="L4470" s="22">
        <v>1</v>
      </c>
      <c r="M4470" s="26">
        <v>107369</v>
      </c>
      <c r="N4470" s="26">
        <v>0</v>
      </c>
      <c r="O4470" s="15">
        <f t="shared" si="387"/>
        <v>107369</v>
      </c>
      <c r="P4470" s="15">
        <f t="shared" si="386"/>
        <v>11.000020490123761</v>
      </c>
      <c r="Q4470" s="25">
        <v>5000</v>
      </c>
      <c r="R4470" s="22">
        <v>100</v>
      </c>
      <c r="S4470" s="22" t="s">
        <v>5416</v>
      </c>
      <c r="T4470" s="22">
        <f t="shared" si="382"/>
        <v>4</v>
      </c>
      <c r="U4470" s="22">
        <f t="shared" si="383"/>
        <v>2022</v>
      </c>
      <c r="V4470" s="22" t="str">
        <f t="shared" si="384"/>
        <v>METROPOLITANA</v>
      </c>
    </row>
    <row r="4471" spans="1:22" x14ac:dyDescent="0.2">
      <c r="A4471" s="23" t="s">
        <v>5410</v>
      </c>
      <c r="B4471" s="22" t="s">
        <v>33</v>
      </c>
      <c r="C4471" s="22" t="s">
        <v>128</v>
      </c>
      <c r="D4471" s="22" t="s">
        <v>2955</v>
      </c>
      <c r="E4471" s="24" t="s">
        <v>2956</v>
      </c>
      <c r="F4471" s="22" t="s">
        <v>34</v>
      </c>
      <c r="G4471" s="25">
        <f>5580.36+218+218+218</f>
        <v>6234.36</v>
      </c>
      <c r="H4471" s="22" t="s">
        <v>24</v>
      </c>
      <c r="I4471" s="22">
        <v>1</v>
      </c>
      <c r="J4471" s="22" t="s">
        <v>34</v>
      </c>
      <c r="K4471" s="22" t="s">
        <v>23</v>
      </c>
      <c r="L4471" s="22">
        <v>1</v>
      </c>
      <c r="M4471" s="26">
        <v>61384</v>
      </c>
      <c r="N4471" s="26">
        <v>0</v>
      </c>
      <c r="O4471" s="15">
        <f t="shared" si="387"/>
        <v>61384</v>
      </c>
      <c r="P4471" s="15">
        <f t="shared" si="386"/>
        <v>9.8460788276583333</v>
      </c>
      <c r="Q4471" s="25">
        <v>5000</v>
      </c>
      <c r="R4471" s="22">
        <v>100</v>
      </c>
      <c r="S4471" s="22" t="s">
        <v>5418</v>
      </c>
      <c r="T4471" s="22">
        <f t="shared" si="382"/>
        <v>4</v>
      </c>
      <c r="U4471" s="22">
        <f t="shared" si="383"/>
        <v>2022</v>
      </c>
      <c r="V4471" s="22" t="str">
        <f t="shared" si="384"/>
        <v>METROPOLITANA</v>
      </c>
    </row>
    <row r="4472" spans="1:22" x14ac:dyDescent="0.2">
      <c r="A4472" s="23" t="s">
        <v>5410</v>
      </c>
      <c r="B4472" s="22" t="s">
        <v>33</v>
      </c>
      <c r="C4472" s="22" t="s">
        <v>128</v>
      </c>
      <c r="D4472" s="22" t="s">
        <v>164</v>
      </c>
      <c r="E4472" s="24" t="s">
        <v>1576</v>
      </c>
      <c r="F4472" s="22" t="s">
        <v>34</v>
      </c>
      <c r="G4472" s="25">
        <f>15648.85+388</f>
        <v>16036.85</v>
      </c>
      <c r="H4472" s="22" t="s">
        <v>22</v>
      </c>
      <c r="I4472" s="22">
        <v>1</v>
      </c>
      <c r="J4472" s="22" t="s">
        <v>34</v>
      </c>
      <c r="K4472" s="22" t="s">
        <v>23</v>
      </c>
      <c r="L4472" s="22">
        <v>1</v>
      </c>
      <c r="M4472" s="26">
        <v>172137</v>
      </c>
      <c r="N4472" s="26">
        <v>0</v>
      </c>
      <c r="O4472" s="15">
        <f t="shared" si="387"/>
        <v>172137</v>
      </c>
      <c r="P4472" s="15">
        <f t="shared" si="386"/>
        <v>10.733841122165511</v>
      </c>
      <c r="Q4472" s="25">
        <v>5000</v>
      </c>
      <c r="R4472" s="22">
        <v>100</v>
      </c>
      <c r="S4472" s="22" t="s">
        <v>5419</v>
      </c>
      <c r="T4472" s="22">
        <f t="shared" si="382"/>
        <v>4</v>
      </c>
      <c r="U4472" s="22">
        <f t="shared" si="383"/>
        <v>2022</v>
      </c>
      <c r="V4472" s="22" t="str">
        <f t="shared" si="384"/>
        <v>METROPOLITANA</v>
      </c>
    </row>
    <row r="4473" spans="1:22" x14ac:dyDescent="0.2">
      <c r="A4473" s="23" t="s">
        <v>5410</v>
      </c>
      <c r="B4473" s="22" t="s">
        <v>33</v>
      </c>
      <c r="C4473" s="22" t="s">
        <v>29</v>
      </c>
      <c r="D4473" s="22" t="s">
        <v>38</v>
      </c>
      <c r="E4473" s="24" t="s">
        <v>42</v>
      </c>
      <c r="F4473" s="22" t="s">
        <v>39</v>
      </c>
      <c r="G4473" s="25">
        <v>3801.599999999999</v>
      </c>
      <c r="H4473" s="22" t="s">
        <v>43</v>
      </c>
      <c r="I4473" s="22">
        <v>0</v>
      </c>
      <c r="J4473" s="22" t="s">
        <v>39</v>
      </c>
      <c r="K4473" s="22" t="s">
        <v>23</v>
      </c>
      <c r="L4473" s="22">
        <v>1</v>
      </c>
      <c r="M4473" s="26">
        <v>55000</v>
      </c>
      <c r="N4473" s="26">
        <v>0</v>
      </c>
      <c r="O4473" s="15">
        <f t="shared" si="387"/>
        <v>55000</v>
      </c>
      <c r="P4473" s="15">
        <f t="shared" si="386"/>
        <v>14.467592592592597</v>
      </c>
      <c r="Q4473" s="25">
        <v>5000</v>
      </c>
      <c r="R4473" s="22">
        <v>76</v>
      </c>
      <c r="S4473" s="22" t="s">
        <v>5417</v>
      </c>
      <c r="T4473" s="22">
        <f t="shared" si="382"/>
        <v>4</v>
      </c>
      <c r="U4473" s="22">
        <f t="shared" si="383"/>
        <v>2022</v>
      </c>
      <c r="V4473" s="22" t="str">
        <f t="shared" si="384"/>
        <v>METROPOLITANA</v>
      </c>
    </row>
    <row r="4474" spans="1:22" x14ac:dyDescent="0.2">
      <c r="A4474" s="23" t="s">
        <v>5410</v>
      </c>
      <c r="B4474" s="22" t="s">
        <v>33</v>
      </c>
      <c r="C4474" s="22" t="s">
        <v>29</v>
      </c>
      <c r="D4474" s="22" t="s">
        <v>37</v>
      </c>
      <c r="E4474" s="24" t="s">
        <v>40</v>
      </c>
      <c r="F4474" s="22" t="s">
        <v>39</v>
      </c>
      <c r="G4474" s="25">
        <f>3326.4+1426</f>
        <v>4752.3999999999996</v>
      </c>
      <c r="H4474" s="22" t="s">
        <v>22</v>
      </c>
      <c r="I4474" s="22">
        <v>0</v>
      </c>
      <c r="J4474" s="22" t="s">
        <v>39</v>
      </c>
      <c r="K4474" s="22" t="s">
        <v>23</v>
      </c>
      <c r="L4474" s="22">
        <v>1</v>
      </c>
      <c r="M4474" s="26">
        <v>55000</v>
      </c>
      <c r="N4474" s="26">
        <v>0</v>
      </c>
      <c r="O4474" s="15">
        <f t="shared" si="387"/>
        <v>55000</v>
      </c>
      <c r="P4474" s="15">
        <f t="shared" si="386"/>
        <v>11.573099907415202</v>
      </c>
      <c r="Q4474" s="25">
        <v>5000</v>
      </c>
      <c r="R4474" s="22">
        <v>100</v>
      </c>
      <c r="S4474" s="22" t="s">
        <v>5420</v>
      </c>
      <c r="T4474" s="22">
        <f t="shared" si="382"/>
        <v>4</v>
      </c>
      <c r="U4474" s="22">
        <f t="shared" si="383"/>
        <v>2022</v>
      </c>
      <c r="V4474" s="22" t="str">
        <f t="shared" si="384"/>
        <v>METROPOLITANA</v>
      </c>
    </row>
    <row r="4475" spans="1:22" x14ac:dyDescent="0.2">
      <c r="A4475" s="11" t="s">
        <v>5421</v>
      </c>
      <c r="B4475" s="12" t="s">
        <v>18</v>
      </c>
      <c r="C4475" s="12" t="s">
        <v>57</v>
      </c>
      <c r="D4475" s="12" t="s">
        <v>38</v>
      </c>
      <c r="E4475" s="13" t="s">
        <v>42</v>
      </c>
      <c r="F4475" s="12" t="s">
        <v>173</v>
      </c>
      <c r="G4475" s="14">
        <v>10982.57</v>
      </c>
      <c r="H4475" s="12" t="s">
        <v>43</v>
      </c>
      <c r="I4475" s="12">
        <v>0</v>
      </c>
      <c r="J4475" s="12" t="s">
        <v>173</v>
      </c>
      <c r="K4475" s="12" t="s">
        <v>23</v>
      </c>
      <c r="L4475" s="12">
        <v>5</v>
      </c>
      <c r="M4475" s="15">
        <v>90000</v>
      </c>
      <c r="N4475" s="15">
        <v>0</v>
      </c>
      <c r="O4475" s="15">
        <f t="shared" si="387"/>
        <v>90000</v>
      </c>
      <c r="P4475" s="15">
        <f t="shared" si="386"/>
        <v>8.1948032200113463</v>
      </c>
      <c r="Q4475" s="14">
        <v>10000</v>
      </c>
      <c r="R4475" s="12">
        <v>100</v>
      </c>
      <c r="S4475" s="12" t="s">
        <v>5422</v>
      </c>
      <c r="T4475" s="22">
        <f t="shared" si="382"/>
        <v>4</v>
      </c>
      <c r="U4475" s="22">
        <f t="shared" si="383"/>
        <v>2022</v>
      </c>
      <c r="V4475" s="22" t="str">
        <f t="shared" si="384"/>
        <v>METROPOLITANA</v>
      </c>
    </row>
    <row r="4476" spans="1:22" x14ac:dyDescent="0.2">
      <c r="A4476" s="11" t="s">
        <v>5421</v>
      </c>
      <c r="B4476" s="12" t="s">
        <v>18</v>
      </c>
      <c r="C4476" s="12" t="s">
        <v>57</v>
      </c>
      <c r="D4476" s="12" t="s">
        <v>20</v>
      </c>
      <c r="E4476" s="13" t="s">
        <v>21</v>
      </c>
      <c r="F4476" s="12" t="s">
        <v>89</v>
      </c>
      <c r="G4476" s="14">
        <v>6376.85</v>
      </c>
      <c r="H4476" s="12" t="s">
        <v>22</v>
      </c>
      <c r="I4476" s="12">
        <v>0</v>
      </c>
      <c r="J4476" s="12" t="s">
        <v>89</v>
      </c>
      <c r="K4476" s="12" t="s">
        <v>23</v>
      </c>
      <c r="L4476" s="12">
        <v>5</v>
      </c>
      <c r="M4476" s="15">
        <v>90000</v>
      </c>
      <c r="N4476" s="15">
        <v>0</v>
      </c>
      <c r="O4476" s="15">
        <f t="shared" si="387"/>
        <v>90000</v>
      </c>
      <c r="P4476" s="15">
        <f t="shared" si="386"/>
        <v>14.113551361565662</v>
      </c>
      <c r="Q4476" s="14">
        <v>10000</v>
      </c>
      <c r="R4476" s="12">
        <v>64</v>
      </c>
      <c r="S4476" s="12" t="s">
        <v>5423</v>
      </c>
      <c r="T4476" s="22">
        <f t="shared" si="382"/>
        <v>4</v>
      </c>
      <c r="U4476" s="22">
        <f t="shared" si="383"/>
        <v>2022</v>
      </c>
      <c r="V4476" s="22" t="str">
        <f t="shared" si="384"/>
        <v>METROPOLITANA</v>
      </c>
    </row>
    <row r="4477" spans="1:22" x14ac:dyDescent="0.2">
      <c r="A4477" s="11" t="s">
        <v>5421</v>
      </c>
      <c r="B4477" s="12" t="s">
        <v>18</v>
      </c>
      <c r="C4477" s="12" t="s">
        <v>19</v>
      </c>
      <c r="D4477" s="12" t="s">
        <v>37</v>
      </c>
      <c r="E4477" s="13" t="s">
        <v>40</v>
      </c>
      <c r="F4477" s="12" t="s">
        <v>51</v>
      </c>
      <c r="G4477" s="14">
        <v>12130.88</v>
      </c>
      <c r="H4477" s="12" t="s">
        <v>22</v>
      </c>
      <c r="I4477" s="12">
        <v>0</v>
      </c>
      <c r="J4477" s="12" t="s">
        <v>51</v>
      </c>
      <c r="K4477" s="12" t="s">
        <v>23</v>
      </c>
      <c r="L4477" s="12">
        <v>4</v>
      </c>
      <c r="M4477" s="15">
        <v>133440</v>
      </c>
      <c r="N4477" s="15">
        <v>0</v>
      </c>
      <c r="O4477" s="15">
        <f t="shared" si="387"/>
        <v>133440</v>
      </c>
      <c r="P4477" s="15">
        <f t="shared" si="386"/>
        <v>11.000026378960142</v>
      </c>
      <c r="Q4477" s="14">
        <v>5000</v>
      </c>
      <c r="R4477" s="12">
        <v>100</v>
      </c>
      <c r="S4477" s="12" t="s">
        <v>5424</v>
      </c>
      <c r="T4477" s="22">
        <f t="shared" si="382"/>
        <v>4</v>
      </c>
      <c r="U4477" s="22">
        <f t="shared" si="383"/>
        <v>2022</v>
      </c>
      <c r="V4477" s="22" t="str">
        <f t="shared" si="384"/>
        <v>METROPOLITANA</v>
      </c>
    </row>
    <row r="4478" spans="1:22" x14ac:dyDescent="0.2">
      <c r="A4478" s="11" t="s">
        <v>5421</v>
      </c>
      <c r="B4478" s="12" t="s">
        <v>33</v>
      </c>
      <c r="C4478" s="12" t="s">
        <v>60</v>
      </c>
      <c r="D4478" s="12" t="s">
        <v>20</v>
      </c>
      <c r="E4478" s="13" t="s">
        <v>21</v>
      </c>
      <c r="F4478" s="12" t="s">
        <v>51</v>
      </c>
      <c r="G4478" s="14">
        <f>3771+972+3752</f>
        <v>8495</v>
      </c>
      <c r="H4478" s="12" t="s">
        <v>22</v>
      </c>
      <c r="I4478" s="12">
        <v>0</v>
      </c>
      <c r="J4478" s="12" t="s">
        <v>51</v>
      </c>
      <c r="K4478" s="12" t="s">
        <v>23</v>
      </c>
      <c r="L4478" s="12">
        <v>4</v>
      </c>
      <c r="M4478" s="15">
        <v>55000</v>
      </c>
      <c r="N4478" s="15">
        <v>0</v>
      </c>
      <c r="O4478" s="15">
        <f t="shared" si="387"/>
        <v>55000</v>
      </c>
      <c r="P4478" s="15">
        <f t="shared" si="386"/>
        <v>6.474396703943496</v>
      </c>
      <c r="Q4478" s="14">
        <v>5000</v>
      </c>
      <c r="R4478" s="12">
        <v>100</v>
      </c>
      <c r="S4478" s="12" t="s">
        <v>5431</v>
      </c>
      <c r="T4478" s="22">
        <f t="shared" si="382"/>
        <v>4</v>
      </c>
      <c r="U4478" s="22">
        <f t="shared" si="383"/>
        <v>2022</v>
      </c>
      <c r="V4478" s="22" t="str">
        <f t="shared" si="384"/>
        <v>METROPOLITANA</v>
      </c>
    </row>
    <row r="4479" spans="1:22" x14ac:dyDescent="0.2">
      <c r="A4479" s="11" t="s">
        <v>5421</v>
      </c>
      <c r="B4479" s="12" t="s">
        <v>33</v>
      </c>
      <c r="C4479" s="12" t="s">
        <v>223</v>
      </c>
      <c r="D4479" s="12" t="s">
        <v>786</v>
      </c>
      <c r="E4479" s="13" t="s">
        <v>787</v>
      </c>
      <c r="F4479" s="12" t="s">
        <v>67</v>
      </c>
      <c r="G4479" s="14">
        <v>18158.002000000011</v>
      </c>
      <c r="H4479" s="12" t="s">
        <v>788</v>
      </c>
      <c r="I4479" s="12">
        <v>1</v>
      </c>
      <c r="J4479" s="12" t="s">
        <v>67</v>
      </c>
      <c r="K4479" s="12" t="s">
        <v>23</v>
      </c>
      <c r="L4479" s="12">
        <v>2</v>
      </c>
      <c r="M4479" s="15">
        <v>199738</v>
      </c>
      <c r="N4479" s="15">
        <v>0</v>
      </c>
      <c r="O4479" s="15">
        <f t="shared" si="387"/>
        <v>199738</v>
      </c>
      <c r="P4479" s="15">
        <f t="shared" si="386"/>
        <v>10.999998788412947</v>
      </c>
      <c r="Q4479" s="14">
        <v>5000</v>
      </c>
      <c r="R4479" s="12">
        <v>100</v>
      </c>
      <c r="S4479" s="12" t="s">
        <v>5425</v>
      </c>
      <c r="T4479" s="22">
        <f t="shared" si="382"/>
        <v>4</v>
      </c>
      <c r="U4479" s="22">
        <f t="shared" si="383"/>
        <v>2022</v>
      </c>
      <c r="V4479" s="22" t="str">
        <f t="shared" si="384"/>
        <v>METROPOLITANA</v>
      </c>
    </row>
    <row r="4480" spans="1:22" x14ac:dyDescent="0.2">
      <c r="A4480" s="11" t="s">
        <v>5421</v>
      </c>
      <c r="B4480" s="12" t="s">
        <v>33</v>
      </c>
      <c r="C4480" s="12" t="s">
        <v>29</v>
      </c>
      <c r="D4480" s="12" t="s">
        <v>37</v>
      </c>
      <c r="E4480" s="13" t="s">
        <v>40</v>
      </c>
      <c r="F4480" s="12" t="s">
        <v>39</v>
      </c>
      <c r="G4480" s="14">
        <f>6544.8+3208</f>
        <v>9752.7999999999993</v>
      </c>
      <c r="H4480" s="12" t="s">
        <v>22</v>
      </c>
      <c r="I4480" s="12">
        <v>0</v>
      </c>
      <c r="J4480" s="12" t="s">
        <v>39</v>
      </c>
      <c r="K4480" s="12" t="s">
        <v>23</v>
      </c>
      <c r="L4480" s="12">
        <v>1</v>
      </c>
      <c r="M4480" s="15">
        <v>71993</v>
      </c>
      <c r="N4480" s="15">
        <v>0</v>
      </c>
      <c r="O4480" s="15">
        <f t="shared" si="387"/>
        <v>71993</v>
      </c>
      <c r="P4480" s="15">
        <f t="shared" si="386"/>
        <v>7.3817775408087938</v>
      </c>
      <c r="Q4480" s="14">
        <v>5000</v>
      </c>
      <c r="R4480" s="12">
        <v>100</v>
      </c>
      <c r="S4480" s="12" t="s">
        <v>5432</v>
      </c>
      <c r="T4480" s="22">
        <f t="shared" si="382"/>
        <v>4</v>
      </c>
      <c r="U4480" s="22">
        <f t="shared" si="383"/>
        <v>2022</v>
      </c>
      <c r="V4480" s="22" t="str">
        <f t="shared" si="384"/>
        <v>METROPOLITANA</v>
      </c>
    </row>
    <row r="4481" spans="1:22" x14ac:dyDescent="0.2">
      <c r="A4481" s="11" t="s">
        <v>5421</v>
      </c>
      <c r="B4481" s="12" t="s">
        <v>33</v>
      </c>
      <c r="C4481" s="12" t="s">
        <v>29</v>
      </c>
      <c r="D4481" s="12" t="s">
        <v>41</v>
      </c>
      <c r="E4481" s="13" t="s">
        <v>25</v>
      </c>
      <c r="F4481" s="12" t="s">
        <v>39</v>
      </c>
      <c r="G4481" s="14">
        <v>6266.3999999999978</v>
      </c>
      <c r="H4481" s="12" t="s">
        <v>43</v>
      </c>
      <c r="I4481" s="12">
        <v>0</v>
      </c>
      <c r="J4481" s="12" t="s">
        <v>39</v>
      </c>
      <c r="K4481" s="12" t="s">
        <v>23</v>
      </c>
      <c r="L4481" s="12">
        <v>1</v>
      </c>
      <c r="M4481" s="15">
        <v>68930</v>
      </c>
      <c r="N4481" s="15">
        <v>0</v>
      </c>
      <c r="O4481" s="15">
        <f t="shared" si="387"/>
        <v>68930</v>
      </c>
      <c r="P4481" s="15">
        <f t="shared" si="386"/>
        <v>10.999936167496493</v>
      </c>
      <c r="Q4481" s="14">
        <v>5000</v>
      </c>
      <c r="R4481" s="12">
        <v>100</v>
      </c>
      <c r="S4481" s="12" t="s">
        <v>5426</v>
      </c>
      <c r="T4481" s="22">
        <f t="shared" si="382"/>
        <v>4</v>
      </c>
      <c r="U4481" s="22">
        <f t="shared" si="383"/>
        <v>2022</v>
      </c>
      <c r="V4481" s="22" t="str">
        <f t="shared" si="384"/>
        <v>METROPOLITANA</v>
      </c>
    </row>
    <row r="4482" spans="1:22" x14ac:dyDescent="0.2">
      <c r="A4482" s="11" t="s">
        <v>5421</v>
      </c>
      <c r="B4482" s="12" t="s">
        <v>33</v>
      </c>
      <c r="C4482" s="12" t="s">
        <v>29</v>
      </c>
      <c r="D4482" s="12" t="s">
        <v>164</v>
      </c>
      <c r="E4482" s="13" t="s">
        <v>1576</v>
      </c>
      <c r="F4482" s="12" t="s">
        <v>39</v>
      </c>
      <c r="G4482" s="14">
        <v>8624.8000000000011</v>
      </c>
      <c r="H4482" s="12" t="s">
        <v>22</v>
      </c>
      <c r="I4482" s="12">
        <v>1</v>
      </c>
      <c r="J4482" s="12" t="s">
        <v>39</v>
      </c>
      <c r="K4482" s="12" t="s">
        <v>23</v>
      </c>
      <c r="L4482" s="12">
        <v>1</v>
      </c>
      <c r="M4482" s="15">
        <v>94873</v>
      </c>
      <c r="N4482" s="15">
        <v>0</v>
      </c>
      <c r="O4482" s="15">
        <f t="shared" si="387"/>
        <v>94873</v>
      </c>
      <c r="P4482" s="15">
        <f t="shared" si="386"/>
        <v>11.00002318894351</v>
      </c>
      <c r="Q4482" s="14">
        <v>5000</v>
      </c>
      <c r="R4482" s="12">
        <v>100</v>
      </c>
      <c r="S4482" s="12" t="s">
        <v>5427</v>
      </c>
      <c r="T4482" s="22">
        <f t="shared" si="382"/>
        <v>4</v>
      </c>
      <c r="U4482" s="22">
        <f t="shared" si="383"/>
        <v>2022</v>
      </c>
      <c r="V4482" s="22" t="str">
        <f t="shared" si="384"/>
        <v>METROPOLITANA</v>
      </c>
    </row>
    <row r="4483" spans="1:22" x14ac:dyDescent="0.2">
      <c r="A4483" s="11" t="s">
        <v>5421</v>
      </c>
      <c r="B4483" s="12" t="s">
        <v>33</v>
      </c>
      <c r="C4483" s="12" t="s">
        <v>44</v>
      </c>
      <c r="D4483" s="12" t="s">
        <v>38</v>
      </c>
      <c r="E4483" s="13" t="s">
        <v>5428</v>
      </c>
      <c r="F4483" s="12" t="s">
        <v>137</v>
      </c>
      <c r="G4483" s="14">
        <f>3301+3806</f>
        <v>7107</v>
      </c>
      <c r="H4483" s="12" t="s">
        <v>43</v>
      </c>
      <c r="I4483" s="12">
        <v>0</v>
      </c>
      <c r="J4483" s="12" t="s">
        <v>137</v>
      </c>
      <c r="K4483" s="12" t="s">
        <v>23</v>
      </c>
      <c r="L4483" s="12">
        <v>1</v>
      </c>
      <c r="M4483" s="15">
        <v>55000</v>
      </c>
      <c r="N4483" s="15">
        <v>0</v>
      </c>
      <c r="O4483" s="15">
        <f t="shared" si="387"/>
        <v>55000</v>
      </c>
      <c r="P4483" s="15">
        <f t="shared" si="386"/>
        <v>7.7388490220908963</v>
      </c>
      <c r="Q4483" s="14">
        <v>5000</v>
      </c>
      <c r="R4483" s="12">
        <v>66</v>
      </c>
      <c r="S4483" s="12" t="s">
        <v>5433</v>
      </c>
      <c r="T4483" s="22">
        <f t="shared" si="382"/>
        <v>4</v>
      </c>
      <c r="U4483" s="22">
        <f t="shared" si="383"/>
        <v>2022</v>
      </c>
      <c r="V4483" s="22" t="str">
        <f t="shared" si="384"/>
        <v>METROPOLITANA</v>
      </c>
    </row>
    <row r="4484" spans="1:22" x14ac:dyDescent="0.2">
      <c r="A4484" s="11" t="s">
        <v>5421</v>
      </c>
      <c r="B4484" s="12" t="s">
        <v>33</v>
      </c>
      <c r="C4484" s="12" t="s">
        <v>44</v>
      </c>
      <c r="D4484" s="12" t="s">
        <v>45</v>
      </c>
      <c r="E4484" s="13" t="s">
        <v>52</v>
      </c>
      <c r="F4484" s="12" t="s">
        <v>53</v>
      </c>
      <c r="G4484" s="14">
        <v>4584.5999999999995</v>
      </c>
      <c r="H4484" s="12" t="s">
        <v>22</v>
      </c>
      <c r="I4484" s="12">
        <v>0</v>
      </c>
      <c r="J4484" s="12" t="s">
        <v>53</v>
      </c>
      <c r="K4484" s="12" t="s">
        <v>23</v>
      </c>
      <c r="L4484" s="12">
        <v>3</v>
      </c>
      <c r="M4484" s="15">
        <v>55000</v>
      </c>
      <c r="N4484" s="15">
        <v>0</v>
      </c>
      <c r="O4484" s="15">
        <f t="shared" si="387"/>
        <v>55000</v>
      </c>
      <c r="P4484" s="15">
        <f t="shared" si="386"/>
        <v>11.996684552632729</v>
      </c>
      <c r="Q4484" s="14">
        <v>5000</v>
      </c>
      <c r="R4484" s="12">
        <v>92</v>
      </c>
      <c r="S4484" s="12" t="s">
        <v>5429</v>
      </c>
      <c r="T4484" s="22">
        <f t="shared" si="382"/>
        <v>4</v>
      </c>
      <c r="U4484" s="22">
        <f t="shared" si="383"/>
        <v>2022</v>
      </c>
      <c r="V4484" s="22" t="str">
        <f t="shared" si="384"/>
        <v>METROPOLITANA</v>
      </c>
    </row>
    <row r="4485" spans="1:22" x14ac:dyDescent="0.2">
      <c r="A4485" s="11" t="s">
        <v>5421</v>
      </c>
      <c r="B4485" s="12" t="s">
        <v>33</v>
      </c>
      <c r="C4485" s="12" t="s">
        <v>44</v>
      </c>
      <c r="D4485" s="12" t="s">
        <v>47</v>
      </c>
      <c r="E4485" s="13" t="s">
        <v>49</v>
      </c>
      <c r="F4485" s="12" t="s">
        <v>229</v>
      </c>
      <c r="G4485" s="14">
        <v>9550.9999999999964</v>
      </c>
      <c r="H4485" s="12" t="s">
        <v>22</v>
      </c>
      <c r="I4485" s="12">
        <v>0</v>
      </c>
      <c r="J4485" s="12" t="s">
        <v>230</v>
      </c>
      <c r="K4485" s="12" t="s">
        <v>23</v>
      </c>
      <c r="L4485" s="12">
        <v>4</v>
      </c>
      <c r="M4485" s="15">
        <v>105061</v>
      </c>
      <c r="N4485" s="15">
        <v>0</v>
      </c>
      <c r="O4485" s="15">
        <f t="shared" si="387"/>
        <v>105061</v>
      </c>
      <c r="P4485" s="15">
        <f t="shared" si="386"/>
        <v>11.000000000000004</v>
      </c>
      <c r="Q4485" s="14">
        <v>5000</v>
      </c>
      <c r="R4485" s="12">
        <v>100</v>
      </c>
      <c r="S4485" s="12" t="s">
        <v>5430</v>
      </c>
      <c r="T4485" s="22">
        <f t="shared" si="382"/>
        <v>4</v>
      </c>
      <c r="U4485" s="22">
        <f t="shared" si="383"/>
        <v>2022</v>
      </c>
      <c r="V4485" s="22" t="str">
        <f t="shared" si="384"/>
        <v>METROPOLITANA</v>
      </c>
    </row>
    <row r="4486" spans="1:22" x14ac:dyDescent="0.2">
      <c r="A4486" s="23" t="s">
        <v>5434</v>
      </c>
      <c r="B4486" s="22" t="s">
        <v>18</v>
      </c>
      <c r="C4486" s="22" t="s">
        <v>4880</v>
      </c>
      <c r="D4486" s="22" t="s">
        <v>38</v>
      </c>
      <c r="E4486" s="24" t="s">
        <v>42</v>
      </c>
      <c r="F4486" s="22" t="s">
        <v>129</v>
      </c>
      <c r="G4486" s="25">
        <v>13536.48</v>
      </c>
      <c r="H4486" s="22" t="s">
        <v>43</v>
      </c>
      <c r="I4486" s="22">
        <v>0</v>
      </c>
      <c r="J4486" s="22" t="s">
        <v>129</v>
      </c>
      <c r="K4486" s="22" t="s">
        <v>23</v>
      </c>
      <c r="L4486" s="22">
        <v>1</v>
      </c>
      <c r="M4486" s="26">
        <v>148901</v>
      </c>
      <c r="N4486" s="26">
        <v>0</v>
      </c>
      <c r="O4486" s="15">
        <f t="shared" si="387"/>
        <v>148901</v>
      </c>
      <c r="P4486" s="15">
        <f t="shared" si="386"/>
        <v>10.999979315154309</v>
      </c>
      <c r="Q4486" s="25">
        <v>5000</v>
      </c>
      <c r="R4486" s="22">
        <v>100</v>
      </c>
      <c r="S4486" s="22" t="s">
        <v>5435</v>
      </c>
      <c r="T4486" s="22">
        <f t="shared" si="382"/>
        <v>4</v>
      </c>
      <c r="U4486" s="22">
        <f t="shared" si="383"/>
        <v>2022</v>
      </c>
      <c r="V4486" s="22" t="str">
        <f t="shared" si="384"/>
        <v>METROPOLITANA</v>
      </c>
    </row>
    <row r="4487" spans="1:22" x14ac:dyDescent="0.2">
      <c r="A4487" s="23" t="s">
        <v>5434</v>
      </c>
      <c r="B4487" s="22" t="s">
        <v>18</v>
      </c>
      <c r="C4487" s="22" t="s">
        <v>57</v>
      </c>
      <c r="D4487" s="22" t="s">
        <v>41</v>
      </c>
      <c r="E4487" s="24" t="s">
        <v>25</v>
      </c>
      <c r="F4487" s="22" t="s">
        <v>173</v>
      </c>
      <c r="G4487" s="25">
        <v>11084.6</v>
      </c>
      <c r="H4487" s="22" t="s">
        <v>43</v>
      </c>
      <c r="I4487" s="22">
        <v>0</v>
      </c>
      <c r="J4487" s="22" t="s">
        <v>173</v>
      </c>
      <c r="K4487" s="22" t="s">
        <v>23</v>
      </c>
      <c r="L4487" s="22">
        <v>5</v>
      </c>
      <c r="M4487" s="26">
        <v>90000</v>
      </c>
      <c r="N4487" s="26">
        <v>0</v>
      </c>
      <c r="O4487" s="15">
        <f t="shared" si="387"/>
        <v>90000</v>
      </c>
      <c r="P4487" s="15">
        <f t="shared" si="386"/>
        <v>8.119372823557006</v>
      </c>
      <c r="Q4487" s="25">
        <v>10000</v>
      </c>
      <c r="R4487" s="22">
        <v>100</v>
      </c>
      <c r="S4487" s="22" t="s">
        <v>5436</v>
      </c>
      <c r="T4487" s="22">
        <f t="shared" si="382"/>
        <v>4</v>
      </c>
      <c r="U4487" s="22">
        <f t="shared" si="383"/>
        <v>2022</v>
      </c>
      <c r="V4487" s="22" t="str">
        <f t="shared" si="384"/>
        <v>METROPOLITANA</v>
      </c>
    </row>
    <row r="4488" spans="1:22" x14ac:dyDescent="0.2">
      <c r="A4488" s="23" t="s">
        <v>5434</v>
      </c>
      <c r="B4488" s="22" t="s">
        <v>33</v>
      </c>
      <c r="C4488" s="22" t="s">
        <v>60</v>
      </c>
      <c r="D4488" s="22" t="s">
        <v>20</v>
      </c>
      <c r="E4488" s="24" t="s">
        <v>21</v>
      </c>
      <c r="F4488" s="22" t="s">
        <v>51</v>
      </c>
      <c r="G4488" s="25">
        <v>7322.4000000000005</v>
      </c>
      <c r="H4488" s="22" t="s">
        <v>22</v>
      </c>
      <c r="I4488" s="22">
        <v>0</v>
      </c>
      <c r="J4488" s="22" t="s">
        <v>51</v>
      </c>
      <c r="K4488" s="22" t="s">
        <v>23</v>
      </c>
      <c r="L4488" s="22">
        <v>4</v>
      </c>
      <c r="M4488" s="26">
        <v>80546</v>
      </c>
      <c r="N4488" s="26">
        <v>0</v>
      </c>
      <c r="O4488" s="15">
        <f t="shared" si="387"/>
        <v>80546</v>
      </c>
      <c r="P4488" s="15">
        <f t="shared" si="386"/>
        <v>10.999945373101715</v>
      </c>
      <c r="Q4488" s="25">
        <v>5000</v>
      </c>
      <c r="R4488" s="22">
        <v>100</v>
      </c>
      <c r="S4488" s="22" t="s">
        <v>5437</v>
      </c>
      <c r="T4488" s="22">
        <f t="shared" ref="T4488:T4551" si="388">MONTH(A4488)</f>
        <v>4</v>
      </c>
      <c r="U4488" s="22">
        <f t="shared" ref="U4488:U4551" si="389">YEAR(A4488)</f>
        <v>2022</v>
      </c>
      <c r="V4488" s="22" t="str">
        <f t="shared" ref="V4488:V4551" si="390">IF(K4488="METROPOLITANA DE SANTIAGO","METROPOLITANA","REGIONES")</f>
        <v>METROPOLITANA</v>
      </c>
    </row>
    <row r="4489" spans="1:22" x14ac:dyDescent="0.2">
      <c r="A4489" s="23" t="s">
        <v>5434</v>
      </c>
      <c r="B4489" s="22" t="s">
        <v>33</v>
      </c>
      <c r="C4489" s="22" t="s">
        <v>29</v>
      </c>
      <c r="D4489" s="22" t="s">
        <v>37</v>
      </c>
      <c r="E4489" s="24" t="s">
        <v>40</v>
      </c>
      <c r="F4489" s="22" t="s">
        <v>39</v>
      </c>
      <c r="G4489" s="25">
        <v>11584.999999999991</v>
      </c>
      <c r="H4489" s="22" t="s">
        <v>22</v>
      </c>
      <c r="I4489" s="22">
        <v>0</v>
      </c>
      <c r="J4489" s="22" t="s">
        <v>39</v>
      </c>
      <c r="K4489" s="22" t="s">
        <v>23</v>
      </c>
      <c r="L4489" s="22">
        <v>1</v>
      </c>
      <c r="M4489" s="26">
        <v>127435</v>
      </c>
      <c r="N4489" s="26">
        <v>0</v>
      </c>
      <c r="O4489" s="15">
        <f t="shared" si="387"/>
        <v>127435</v>
      </c>
      <c r="P4489" s="15">
        <f t="shared" si="386"/>
        <v>11.000000000000009</v>
      </c>
      <c r="Q4489" s="25">
        <v>5000</v>
      </c>
      <c r="R4489" s="22">
        <v>100</v>
      </c>
      <c r="S4489" s="22" t="s">
        <v>5438</v>
      </c>
      <c r="T4489" s="22">
        <f t="shared" si="388"/>
        <v>4</v>
      </c>
      <c r="U4489" s="22">
        <f t="shared" si="389"/>
        <v>2022</v>
      </c>
      <c r="V4489" s="22" t="str">
        <f t="shared" si="390"/>
        <v>METROPOLITANA</v>
      </c>
    </row>
    <row r="4490" spans="1:22" x14ac:dyDescent="0.2">
      <c r="A4490" s="23" t="s">
        <v>5434</v>
      </c>
      <c r="B4490" s="22" t="s">
        <v>33</v>
      </c>
      <c r="C4490" s="22" t="s">
        <v>29</v>
      </c>
      <c r="D4490" s="22" t="s">
        <v>63</v>
      </c>
      <c r="E4490" s="24" t="s">
        <v>64</v>
      </c>
      <c r="F4490" s="22" t="s">
        <v>134</v>
      </c>
      <c r="G4490" s="25">
        <v>5005</v>
      </c>
      <c r="H4490" s="22" t="s">
        <v>65</v>
      </c>
      <c r="I4490" s="22">
        <v>0</v>
      </c>
      <c r="J4490" s="22" t="s">
        <v>134</v>
      </c>
      <c r="K4490" s="22" t="s">
        <v>23</v>
      </c>
      <c r="L4490" s="22">
        <v>2</v>
      </c>
      <c r="M4490" s="26">
        <v>55055</v>
      </c>
      <c r="N4490" s="26">
        <v>0</v>
      </c>
      <c r="O4490" s="15">
        <f t="shared" si="387"/>
        <v>55055</v>
      </c>
      <c r="P4490" s="15">
        <f t="shared" si="386"/>
        <v>11</v>
      </c>
      <c r="Q4490" s="25">
        <v>5000</v>
      </c>
      <c r="R4490" s="22">
        <v>100</v>
      </c>
      <c r="S4490" s="22" t="s">
        <v>5439</v>
      </c>
      <c r="T4490" s="22">
        <f t="shared" si="388"/>
        <v>4</v>
      </c>
      <c r="U4490" s="22">
        <f t="shared" si="389"/>
        <v>2022</v>
      </c>
      <c r="V4490" s="22" t="str">
        <f t="shared" si="390"/>
        <v>METROPOLITANA</v>
      </c>
    </row>
    <row r="4491" spans="1:22" x14ac:dyDescent="0.2">
      <c r="A4491" s="23" t="s">
        <v>5434</v>
      </c>
      <c r="B4491" s="22" t="s">
        <v>33</v>
      </c>
      <c r="C4491" s="22" t="s">
        <v>29</v>
      </c>
      <c r="D4491" s="22" t="s">
        <v>164</v>
      </c>
      <c r="E4491" s="24" t="s">
        <v>1576</v>
      </c>
      <c r="F4491" s="22" t="s">
        <v>39</v>
      </c>
      <c r="G4491" s="25">
        <v>7955.9999999999964</v>
      </c>
      <c r="H4491" s="22" t="s">
        <v>22</v>
      </c>
      <c r="I4491" s="22">
        <v>1</v>
      </c>
      <c r="J4491" s="22" t="s">
        <v>39</v>
      </c>
      <c r="K4491" s="22" t="s">
        <v>23</v>
      </c>
      <c r="L4491" s="22">
        <v>1</v>
      </c>
      <c r="M4491" s="26">
        <v>87516</v>
      </c>
      <c r="N4491" s="26">
        <v>0</v>
      </c>
      <c r="O4491" s="15">
        <f t="shared" si="387"/>
        <v>87516</v>
      </c>
      <c r="P4491" s="15">
        <f t="shared" si="386"/>
        <v>11.000000000000005</v>
      </c>
      <c r="Q4491" s="25">
        <v>5000</v>
      </c>
      <c r="R4491" s="22">
        <v>100</v>
      </c>
      <c r="S4491" s="22" t="s">
        <v>5440</v>
      </c>
      <c r="T4491" s="22">
        <f t="shared" si="388"/>
        <v>4</v>
      </c>
      <c r="U4491" s="22">
        <f t="shared" si="389"/>
        <v>2022</v>
      </c>
      <c r="V4491" s="22" t="str">
        <f t="shared" si="390"/>
        <v>METROPOLITANA</v>
      </c>
    </row>
    <row r="4492" spans="1:22" x14ac:dyDescent="0.2">
      <c r="A4492" s="23" t="s">
        <v>5434</v>
      </c>
      <c r="B4492" s="22" t="s">
        <v>33</v>
      </c>
      <c r="C4492" s="22" t="s">
        <v>44</v>
      </c>
      <c r="D4492" s="22" t="s">
        <v>191</v>
      </c>
      <c r="E4492" s="24" t="s">
        <v>192</v>
      </c>
      <c r="F4492" s="22" t="s">
        <v>92</v>
      </c>
      <c r="G4492" s="25">
        <v>9490.81</v>
      </c>
      <c r="H4492" s="22" t="s">
        <v>85</v>
      </c>
      <c r="I4492" s="22">
        <v>1</v>
      </c>
      <c r="J4492" s="22" t="s">
        <v>92</v>
      </c>
      <c r="K4492" s="22" t="s">
        <v>93</v>
      </c>
      <c r="L4492" s="22">
        <v>0</v>
      </c>
      <c r="M4492" s="26">
        <v>665000</v>
      </c>
      <c r="N4492" s="26">
        <v>0</v>
      </c>
      <c r="O4492" s="15">
        <f t="shared" si="387"/>
        <v>665000</v>
      </c>
      <c r="P4492" s="15">
        <f t="shared" si="386"/>
        <v>70.067781359019946</v>
      </c>
      <c r="Q4492" s="25">
        <v>20000</v>
      </c>
      <c r="R4492" s="22">
        <v>47</v>
      </c>
      <c r="S4492" s="22" t="s">
        <v>5441</v>
      </c>
      <c r="T4492" s="22">
        <f t="shared" si="388"/>
        <v>4</v>
      </c>
      <c r="U4492" s="22">
        <f t="shared" si="389"/>
        <v>2022</v>
      </c>
      <c r="V4492" s="22" t="str">
        <f t="shared" si="390"/>
        <v>REGIONES</v>
      </c>
    </row>
    <row r="4493" spans="1:22" x14ac:dyDescent="0.2">
      <c r="A4493" s="23" t="s">
        <v>5434</v>
      </c>
      <c r="B4493" s="22" t="s">
        <v>33</v>
      </c>
      <c r="C4493" s="22" t="s">
        <v>44</v>
      </c>
      <c r="D4493" s="22" t="s">
        <v>2825</v>
      </c>
      <c r="E4493" s="24" t="s">
        <v>639</v>
      </c>
      <c r="F4493" s="22" t="s">
        <v>5442</v>
      </c>
      <c r="G4493" s="25">
        <f>6753.6+1486</f>
        <v>8239.6</v>
      </c>
      <c r="H4493" s="22" t="s">
        <v>24</v>
      </c>
      <c r="I4493" s="22">
        <v>1</v>
      </c>
      <c r="J4493" s="22" t="s">
        <v>5442</v>
      </c>
      <c r="K4493" s="22" t="s">
        <v>93</v>
      </c>
      <c r="L4493" s="22">
        <v>0</v>
      </c>
      <c r="M4493" s="26">
        <v>665000</v>
      </c>
      <c r="N4493" s="26">
        <v>0</v>
      </c>
      <c r="O4493" s="15">
        <v>1</v>
      </c>
      <c r="P4493" s="15">
        <f t="shared" si="386"/>
        <v>1.213651148113986E-4</v>
      </c>
      <c r="Q4493" s="25">
        <v>20000</v>
      </c>
      <c r="R4493" s="22">
        <v>45</v>
      </c>
      <c r="S4493" s="22" t="s">
        <v>5446</v>
      </c>
      <c r="T4493" s="22">
        <f t="shared" si="388"/>
        <v>4</v>
      </c>
      <c r="U4493" s="22">
        <f t="shared" si="389"/>
        <v>2022</v>
      </c>
      <c r="V4493" s="22" t="str">
        <f t="shared" si="390"/>
        <v>REGIONES</v>
      </c>
    </row>
    <row r="4494" spans="1:22" x14ac:dyDescent="0.2">
      <c r="A4494" s="23" t="s">
        <v>5434</v>
      </c>
      <c r="B4494" s="22" t="s">
        <v>33</v>
      </c>
      <c r="C4494" s="22" t="s">
        <v>44</v>
      </c>
      <c r="D4494" s="22" t="s">
        <v>37</v>
      </c>
      <c r="E4494" s="24" t="s">
        <v>40</v>
      </c>
      <c r="F4494" s="22" t="s">
        <v>5443</v>
      </c>
      <c r="G4494" s="25">
        <v>3378.8</v>
      </c>
      <c r="H4494" s="22" t="s">
        <v>22</v>
      </c>
      <c r="I4494" s="22">
        <v>0</v>
      </c>
      <c r="J4494" s="22" t="s">
        <v>120</v>
      </c>
      <c r="K4494" s="22" t="s">
        <v>23</v>
      </c>
      <c r="L4494" s="22">
        <v>5</v>
      </c>
      <c r="M4494" s="26">
        <v>70000</v>
      </c>
      <c r="N4494" s="26">
        <v>0</v>
      </c>
      <c r="O4494" s="15">
        <f t="shared" ref="O4494:O4509" si="391">SUM(M4494:N4494)</f>
        <v>70000</v>
      </c>
      <c r="P4494" s="15">
        <f t="shared" si="386"/>
        <v>20.717414466674558</v>
      </c>
      <c r="Q4494" s="25">
        <v>10000</v>
      </c>
      <c r="R4494" s="22">
        <v>34</v>
      </c>
      <c r="S4494" s="22" t="s">
        <v>5444</v>
      </c>
      <c r="T4494" s="22">
        <f t="shared" si="388"/>
        <v>4</v>
      </c>
      <c r="U4494" s="22">
        <f t="shared" si="389"/>
        <v>2022</v>
      </c>
      <c r="V4494" s="22" t="str">
        <f t="shared" si="390"/>
        <v>METROPOLITANA</v>
      </c>
    </row>
    <row r="4495" spans="1:22" x14ac:dyDescent="0.2">
      <c r="A4495" s="23" t="s">
        <v>5434</v>
      </c>
      <c r="B4495" s="22" t="s">
        <v>33</v>
      </c>
      <c r="C4495" s="22" t="s">
        <v>44</v>
      </c>
      <c r="D4495" s="22" t="s">
        <v>47</v>
      </c>
      <c r="E4495" s="24" t="s">
        <v>49</v>
      </c>
      <c r="F4495" s="22" t="s">
        <v>48</v>
      </c>
      <c r="G4495" s="25">
        <v>6027.7999999999984</v>
      </c>
      <c r="H4495" s="22" t="s">
        <v>22</v>
      </c>
      <c r="I4495" s="22">
        <v>0</v>
      </c>
      <c r="J4495" s="22" t="s">
        <v>48</v>
      </c>
      <c r="K4495" s="22" t="s">
        <v>23</v>
      </c>
      <c r="L4495" s="22">
        <v>1</v>
      </c>
      <c r="M4495" s="26">
        <v>66306</v>
      </c>
      <c r="N4495" s="26">
        <v>0</v>
      </c>
      <c r="O4495" s="15">
        <f t="shared" si="391"/>
        <v>66306</v>
      </c>
      <c r="P4495" s="15">
        <f t="shared" si="386"/>
        <v>11.000033179601184</v>
      </c>
      <c r="Q4495" s="25">
        <v>5000</v>
      </c>
      <c r="R4495" s="22">
        <v>100</v>
      </c>
      <c r="S4495" s="22" t="s">
        <v>5445</v>
      </c>
      <c r="T4495" s="22">
        <f t="shared" si="388"/>
        <v>4</v>
      </c>
      <c r="U4495" s="22">
        <f t="shared" si="389"/>
        <v>2022</v>
      </c>
      <c r="V4495" s="22" t="str">
        <f t="shared" si="390"/>
        <v>METROPOLITANA</v>
      </c>
    </row>
    <row r="4496" spans="1:22" x14ac:dyDescent="0.2">
      <c r="A4496" s="11" t="s">
        <v>5447</v>
      </c>
      <c r="B4496" s="12" t="s">
        <v>18</v>
      </c>
      <c r="C4496" s="12" t="s">
        <v>4880</v>
      </c>
      <c r="D4496" s="12" t="s">
        <v>37</v>
      </c>
      <c r="E4496" s="13" t="s">
        <v>40</v>
      </c>
      <c r="F4496" s="12" t="s">
        <v>129</v>
      </c>
      <c r="G4496" s="14">
        <v>9099.1999999999971</v>
      </c>
      <c r="H4496" s="12" t="s">
        <v>22</v>
      </c>
      <c r="I4496" s="12">
        <v>0</v>
      </c>
      <c r="J4496" s="12" t="s">
        <v>129</v>
      </c>
      <c r="K4496" s="12" t="s">
        <v>23</v>
      </c>
      <c r="L4496" s="12">
        <v>1</v>
      </c>
      <c r="M4496" s="15">
        <v>100091</v>
      </c>
      <c r="N4496" s="15">
        <v>0</v>
      </c>
      <c r="O4496" s="15">
        <f t="shared" si="391"/>
        <v>100091</v>
      </c>
      <c r="P4496" s="15">
        <f t="shared" si="386"/>
        <v>10.999978020045722</v>
      </c>
      <c r="Q4496" s="14">
        <v>5000</v>
      </c>
      <c r="R4496" s="12">
        <v>100</v>
      </c>
      <c r="S4496" s="12" t="s">
        <v>5448</v>
      </c>
      <c r="T4496" s="22">
        <f t="shared" si="388"/>
        <v>4</v>
      </c>
      <c r="U4496" s="22">
        <f t="shared" si="389"/>
        <v>2022</v>
      </c>
      <c r="V4496" s="22" t="str">
        <f t="shared" si="390"/>
        <v>METROPOLITANA</v>
      </c>
    </row>
    <row r="4497" spans="1:22" x14ac:dyDescent="0.2">
      <c r="A4497" s="11" t="s">
        <v>5447</v>
      </c>
      <c r="B4497" s="12" t="s">
        <v>18</v>
      </c>
      <c r="C4497" s="12" t="s">
        <v>57</v>
      </c>
      <c r="D4497" s="12" t="s">
        <v>41</v>
      </c>
      <c r="E4497" s="13" t="s">
        <v>25</v>
      </c>
      <c r="F4497" s="12" t="s">
        <v>173</v>
      </c>
      <c r="G4497" s="14">
        <v>9036.8100000000031</v>
      </c>
      <c r="H4497" s="12" t="s">
        <v>43</v>
      </c>
      <c r="I4497" s="12">
        <v>0</v>
      </c>
      <c r="J4497" s="12" t="s">
        <v>173</v>
      </c>
      <c r="K4497" s="12" t="s">
        <v>23</v>
      </c>
      <c r="L4497" s="12">
        <v>5</v>
      </c>
      <c r="M4497" s="15">
        <v>90000</v>
      </c>
      <c r="N4497" s="15">
        <v>0</v>
      </c>
      <c r="O4497" s="15">
        <f t="shared" si="391"/>
        <v>90000</v>
      </c>
      <c r="P4497" s="15">
        <f t="shared" si="386"/>
        <v>9.9592665996076022</v>
      </c>
      <c r="Q4497" s="14">
        <v>10000</v>
      </c>
      <c r="R4497" s="12">
        <v>90</v>
      </c>
      <c r="S4497" s="12" t="s">
        <v>5449</v>
      </c>
      <c r="T4497" s="22">
        <f t="shared" si="388"/>
        <v>4</v>
      </c>
      <c r="U4497" s="22">
        <f t="shared" si="389"/>
        <v>2022</v>
      </c>
      <c r="V4497" s="22" t="str">
        <f t="shared" si="390"/>
        <v>METROPOLITANA</v>
      </c>
    </row>
    <row r="4498" spans="1:22" x14ac:dyDescent="0.2">
      <c r="A4498" s="11" t="s">
        <v>5447</v>
      </c>
      <c r="B4498" s="12" t="s">
        <v>33</v>
      </c>
      <c r="C4498" s="12" t="s">
        <v>60</v>
      </c>
      <c r="D4498" s="12" t="s">
        <v>2955</v>
      </c>
      <c r="E4498" s="13" t="s">
        <v>2956</v>
      </c>
      <c r="F4498" s="12" t="s">
        <v>161</v>
      </c>
      <c r="G4498" s="14">
        <v>8890.1</v>
      </c>
      <c r="H4498" s="12" t="s">
        <v>24</v>
      </c>
      <c r="I4498" s="12">
        <v>1</v>
      </c>
      <c r="J4498" s="12" t="s">
        <v>161</v>
      </c>
      <c r="K4498" s="12" t="s">
        <v>23</v>
      </c>
      <c r="L4498" s="12">
        <v>5</v>
      </c>
      <c r="M4498" s="15">
        <v>120000</v>
      </c>
      <c r="N4498" s="15">
        <v>0</v>
      </c>
      <c r="O4498" s="15">
        <f t="shared" si="391"/>
        <v>120000</v>
      </c>
      <c r="P4498" s="15">
        <f t="shared" si="386"/>
        <v>13.498160875580702</v>
      </c>
      <c r="Q4498" s="14">
        <v>10000</v>
      </c>
      <c r="R4498" s="12">
        <v>89</v>
      </c>
      <c r="S4498" s="12" t="s">
        <v>5450</v>
      </c>
      <c r="T4498" s="22">
        <f t="shared" si="388"/>
        <v>4</v>
      </c>
      <c r="U4498" s="22">
        <f t="shared" si="389"/>
        <v>2022</v>
      </c>
      <c r="V4498" s="22" t="str">
        <f t="shared" si="390"/>
        <v>METROPOLITANA</v>
      </c>
    </row>
    <row r="4499" spans="1:22" x14ac:dyDescent="0.2">
      <c r="A4499" s="11" t="s">
        <v>5447</v>
      </c>
      <c r="B4499" s="12" t="s">
        <v>33</v>
      </c>
      <c r="C4499" s="12" t="s">
        <v>128</v>
      </c>
      <c r="D4499" s="12" t="s">
        <v>786</v>
      </c>
      <c r="E4499" s="13" t="s">
        <v>1891</v>
      </c>
      <c r="F4499" s="12" t="s">
        <v>129</v>
      </c>
      <c r="G4499" s="14">
        <v>9504.0000000000091</v>
      </c>
      <c r="H4499" s="12" t="s">
        <v>788</v>
      </c>
      <c r="I4499" s="12">
        <v>1</v>
      </c>
      <c r="J4499" s="12" t="s">
        <v>129</v>
      </c>
      <c r="K4499" s="12" t="s">
        <v>23</v>
      </c>
      <c r="L4499" s="12">
        <v>1</v>
      </c>
      <c r="M4499" s="15">
        <v>104544</v>
      </c>
      <c r="N4499" s="15">
        <v>0</v>
      </c>
      <c r="O4499" s="15">
        <f t="shared" si="391"/>
        <v>104544</v>
      </c>
      <c r="P4499" s="15">
        <f t="shared" si="386"/>
        <v>10.999999999999989</v>
      </c>
      <c r="Q4499" s="14">
        <v>5000</v>
      </c>
      <c r="R4499" s="12">
        <v>100</v>
      </c>
      <c r="S4499" s="12" t="s">
        <v>5451</v>
      </c>
      <c r="T4499" s="22">
        <f t="shared" si="388"/>
        <v>4</v>
      </c>
      <c r="U4499" s="22">
        <f t="shared" si="389"/>
        <v>2022</v>
      </c>
      <c r="V4499" s="22" t="str">
        <f t="shared" si="390"/>
        <v>METROPOLITANA</v>
      </c>
    </row>
    <row r="4500" spans="1:22" x14ac:dyDescent="0.2">
      <c r="A4500" s="11" t="s">
        <v>5447</v>
      </c>
      <c r="B4500" s="12" t="s">
        <v>33</v>
      </c>
      <c r="C4500" s="12" t="s">
        <v>128</v>
      </c>
      <c r="D4500" s="12" t="s">
        <v>2955</v>
      </c>
      <c r="E4500" s="13" t="s">
        <v>2956</v>
      </c>
      <c r="F4500" s="12" t="s">
        <v>129</v>
      </c>
      <c r="G4500" s="14">
        <v>13054.000000000009</v>
      </c>
      <c r="H4500" s="12" t="s">
        <v>24</v>
      </c>
      <c r="I4500" s="12">
        <v>1</v>
      </c>
      <c r="J4500" s="12" t="s">
        <v>129</v>
      </c>
      <c r="K4500" s="12" t="s">
        <v>23</v>
      </c>
      <c r="L4500" s="12">
        <v>1</v>
      </c>
      <c r="M4500" s="15">
        <v>143594</v>
      </c>
      <c r="N4500" s="15">
        <v>0</v>
      </c>
      <c r="O4500" s="15">
        <f t="shared" si="391"/>
        <v>143594</v>
      </c>
      <c r="P4500" s="15">
        <f t="shared" si="386"/>
        <v>10.999999999999993</v>
      </c>
      <c r="Q4500" s="14">
        <v>5000</v>
      </c>
      <c r="R4500" s="12">
        <v>100</v>
      </c>
      <c r="S4500" s="12" t="s">
        <v>5452</v>
      </c>
      <c r="T4500" s="22">
        <f t="shared" si="388"/>
        <v>4</v>
      </c>
      <c r="U4500" s="22">
        <f t="shared" si="389"/>
        <v>2022</v>
      </c>
      <c r="V4500" s="22" t="str">
        <f t="shared" si="390"/>
        <v>METROPOLITANA</v>
      </c>
    </row>
    <row r="4501" spans="1:22" x14ac:dyDescent="0.2">
      <c r="A4501" s="11" t="s">
        <v>5447</v>
      </c>
      <c r="B4501" s="12" t="s">
        <v>33</v>
      </c>
      <c r="C4501" s="12" t="s">
        <v>128</v>
      </c>
      <c r="D4501" s="12" t="s">
        <v>63</v>
      </c>
      <c r="E4501" s="13" t="s">
        <v>64</v>
      </c>
      <c r="F4501" s="12" t="s">
        <v>34</v>
      </c>
      <c r="G4501" s="14">
        <f>6188.4+648</f>
        <v>6836.4</v>
      </c>
      <c r="H4501" s="12" t="s">
        <v>65</v>
      </c>
      <c r="I4501" s="12">
        <v>0</v>
      </c>
      <c r="J4501" s="12" t="s">
        <v>34</v>
      </c>
      <c r="K4501" s="12" t="s">
        <v>23</v>
      </c>
      <c r="L4501" s="12">
        <v>1</v>
      </c>
      <c r="M4501" s="15">
        <v>68072</v>
      </c>
      <c r="N4501" s="15">
        <v>0</v>
      </c>
      <c r="O4501" s="15">
        <f t="shared" si="391"/>
        <v>68072</v>
      </c>
      <c r="P4501" s="15">
        <f t="shared" si="386"/>
        <v>9.9572874612369091</v>
      </c>
      <c r="Q4501" s="14">
        <v>5000</v>
      </c>
      <c r="R4501" s="12">
        <v>100</v>
      </c>
      <c r="S4501" s="12" t="s">
        <v>5458</v>
      </c>
      <c r="T4501" s="22">
        <f t="shared" si="388"/>
        <v>4</v>
      </c>
      <c r="U4501" s="22">
        <f t="shared" si="389"/>
        <v>2022</v>
      </c>
      <c r="V4501" s="22" t="str">
        <f t="shared" si="390"/>
        <v>METROPOLITANA</v>
      </c>
    </row>
    <row r="4502" spans="1:22" x14ac:dyDescent="0.2">
      <c r="A4502" s="11" t="s">
        <v>5447</v>
      </c>
      <c r="B4502" s="12" t="s">
        <v>33</v>
      </c>
      <c r="C4502" s="12" t="s">
        <v>128</v>
      </c>
      <c r="D4502" s="12" t="s">
        <v>41</v>
      </c>
      <c r="E4502" s="13" t="s">
        <v>25</v>
      </c>
      <c r="F4502" s="12" t="s">
        <v>308</v>
      </c>
      <c r="G4502" s="14">
        <v>3903</v>
      </c>
      <c r="H4502" s="12" t="s">
        <v>43</v>
      </c>
      <c r="I4502" s="12">
        <v>0</v>
      </c>
      <c r="J4502" s="12" t="s">
        <v>308</v>
      </c>
      <c r="K4502" s="12" t="s">
        <v>78</v>
      </c>
      <c r="L4502" s="12">
        <v>0</v>
      </c>
      <c r="M4502" s="15">
        <v>1</v>
      </c>
      <c r="N4502" s="15">
        <v>0</v>
      </c>
      <c r="O4502" s="15">
        <f t="shared" si="391"/>
        <v>1</v>
      </c>
      <c r="P4502" s="15">
        <f t="shared" si="386"/>
        <v>2.5621316935690495E-4</v>
      </c>
      <c r="Q4502" s="14">
        <v>20000</v>
      </c>
      <c r="R4502" s="12">
        <v>20</v>
      </c>
      <c r="S4502" s="12" t="s">
        <v>5453</v>
      </c>
      <c r="T4502" s="22">
        <f t="shared" si="388"/>
        <v>4</v>
      </c>
      <c r="U4502" s="22">
        <f t="shared" si="389"/>
        <v>2022</v>
      </c>
      <c r="V4502" s="22" t="str">
        <f t="shared" si="390"/>
        <v>REGIONES</v>
      </c>
    </row>
    <row r="4503" spans="1:22" x14ac:dyDescent="0.2">
      <c r="A4503" s="11" t="s">
        <v>5447</v>
      </c>
      <c r="B4503" s="12" t="s">
        <v>33</v>
      </c>
      <c r="C4503" s="12" t="s">
        <v>29</v>
      </c>
      <c r="D4503" s="12" t="s">
        <v>37</v>
      </c>
      <c r="E4503" s="13" t="s">
        <v>40</v>
      </c>
      <c r="F4503" s="12" t="s">
        <v>39</v>
      </c>
      <c r="G4503" s="14">
        <v>13000</v>
      </c>
      <c r="H4503" s="12" t="s">
        <v>22</v>
      </c>
      <c r="I4503" s="12">
        <v>0</v>
      </c>
      <c r="J4503" s="12" t="s">
        <v>39</v>
      </c>
      <c r="K4503" s="12" t="s">
        <v>23</v>
      </c>
      <c r="L4503" s="12">
        <v>1</v>
      </c>
      <c r="M4503" s="15">
        <v>143000</v>
      </c>
      <c r="N4503" s="15">
        <v>0</v>
      </c>
      <c r="O4503" s="15">
        <f t="shared" si="391"/>
        <v>143000</v>
      </c>
      <c r="P4503" s="15">
        <f t="shared" si="386"/>
        <v>11</v>
      </c>
      <c r="Q4503" s="14">
        <v>5000</v>
      </c>
      <c r="R4503" s="12">
        <v>100</v>
      </c>
      <c r="S4503" s="12" t="s">
        <v>5454</v>
      </c>
      <c r="T4503" s="22">
        <f t="shared" si="388"/>
        <v>4</v>
      </c>
      <c r="U4503" s="22">
        <f t="shared" si="389"/>
        <v>2022</v>
      </c>
      <c r="V4503" s="22" t="str">
        <f t="shared" si="390"/>
        <v>METROPOLITANA</v>
      </c>
    </row>
    <row r="4504" spans="1:22" x14ac:dyDescent="0.2">
      <c r="A4504" s="11" t="s">
        <v>5447</v>
      </c>
      <c r="B4504" s="12" t="s">
        <v>33</v>
      </c>
      <c r="C4504" s="12" t="s">
        <v>29</v>
      </c>
      <c r="D4504" s="12" t="s">
        <v>164</v>
      </c>
      <c r="E4504" s="13" t="s">
        <v>28</v>
      </c>
      <c r="F4504" s="12" t="s">
        <v>39</v>
      </c>
      <c r="G4504" s="14">
        <v>20150</v>
      </c>
      <c r="H4504" s="12" t="s">
        <v>22</v>
      </c>
      <c r="I4504" s="12">
        <v>1</v>
      </c>
      <c r="J4504" s="12" t="s">
        <v>39</v>
      </c>
      <c r="K4504" s="12" t="s">
        <v>23</v>
      </c>
      <c r="L4504" s="12">
        <v>1</v>
      </c>
      <c r="M4504" s="15">
        <v>221650</v>
      </c>
      <c r="N4504" s="15">
        <v>0</v>
      </c>
      <c r="O4504" s="15">
        <f t="shared" si="391"/>
        <v>221650</v>
      </c>
      <c r="P4504" s="15">
        <f t="shared" si="386"/>
        <v>11</v>
      </c>
      <c r="Q4504" s="14">
        <v>5000</v>
      </c>
      <c r="R4504" s="12">
        <v>100</v>
      </c>
      <c r="S4504" s="12" t="s">
        <v>5455</v>
      </c>
      <c r="T4504" s="22">
        <f t="shared" si="388"/>
        <v>4</v>
      </c>
      <c r="U4504" s="22">
        <f t="shared" si="389"/>
        <v>2022</v>
      </c>
      <c r="V4504" s="22" t="str">
        <f t="shared" si="390"/>
        <v>METROPOLITANA</v>
      </c>
    </row>
    <row r="4505" spans="1:22" x14ac:dyDescent="0.2">
      <c r="A4505" s="11" t="s">
        <v>5447</v>
      </c>
      <c r="B4505" s="12" t="s">
        <v>33</v>
      </c>
      <c r="C4505" s="12" t="s">
        <v>29</v>
      </c>
      <c r="D4505" s="12" t="s">
        <v>20</v>
      </c>
      <c r="E4505" s="13" t="s">
        <v>21</v>
      </c>
      <c r="F4505" s="12" t="s">
        <v>39</v>
      </c>
      <c r="G4505" s="14">
        <v>13000</v>
      </c>
      <c r="H4505" s="12" t="s">
        <v>22</v>
      </c>
      <c r="I4505" s="12">
        <v>0</v>
      </c>
      <c r="J4505" s="12" t="s">
        <v>39</v>
      </c>
      <c r="K4505" s="12" t="s">
        <v>23</v>
      </c>
      <c r="L4505" s="12">
        <v>1</v>
      </c>
      <c r="M4505" s="15">
        <v>143000</v>
      </c>
      <c r="N4505" s="15">
        <v>0</v>
      </c>
      <c r="O4505" s="15">
        <f t="shared" si="391"/>
        <v>143000</v>
      </c>
      <c r="P4505" s="15">
        <f t="shared" si="386"/>
        <v>11</v>
      </c>
      <c r="Q4505" s="14">
        <v>5000</v>
      </c>
      <c r="R4505" s="12">
        <v>100</v>
      </c>
      <c r="S4505" s="12" t="s">
        <v>5456</v>
      </c>
      <c r="T4505" s="22">
        <f t="shared" si="388"/>
        <v>4</v>
      </c>
      <c r="U4505" s="22">
        <f t="shared" si="389"/>
        <v>2022</v>
      </c>
      <c r="V4505" s="22" t="str">
        <f t="shared" si="390"/>
        <v>METROPOLITANA</v>
      </c>
    </row>
    <row r="4506" spans="1:22" x14ac:dyDescent="0.2">
      <c r="A4506" s="11" t="s">
        <v>5447</v>
      </c>
      <c r="B4506" s="12" t="s">
        <v>33</v>
      </c>
      <c r="C4506" s="12" t="s">
        <v>44</v>
      </c>
      <c r="D4506" s="12" t="s">
        <v>4247</v>
      </c>
      <c r="E4506" s="13" t="s">
        <v>62</v>
      </c>
      <c r="F4506" s="12" t="s">
        <v>3438</v>
      </c>
      <c r="G4506" s="14">
        <v>19542.80000000001</v>
      </c>
      <c r="H4506" s="12" t="s">
        <v>24</v>
      </c>
      <c r="I4506" s="12">
        <v>1</v>
      </c>
      <c r="J4506" s="12" t="s">
        <v>3438</v>
      </c>
      <c r="K4506" s="12" t="s">
        <v>93</v>
      </c>
      <c r="L4506" s="12">
        <v>0</v>
      </c>
      <c r="M4506" s="15">
        <v>800000</v>
      </c>
      <c r="N4506" s="15">
        <v>0</v>
      </c>
      <c r="O4506" s="15">
        <f t="shared" si="391"/>
        <v>800000</v>
      </c>
      <c r="P4506" s="15">
        <f t="shared" si="386"/>
        <v>40.935792209918723</v>
      </c>
      <c r="Q4506" s="14">
        <v>20000</v>
      </c>
      <c r="R4506" s="12">
        <v>98</v>
      </c>
      <c r="S4506" s="12" t="s">
        <v>5457</v>
      </c>
      <c r="T4506" s="22">
        <f t="shared" si="388"/>
        <v>4</v>
      </c>
      <c r="U4506" s="22">
        <f t="shared" si="389"/>
        <v>2022</v>
      </c>
      <c r="V4506" s="22" t="str">
        <f t="shared" si="390"/>
        <v>REGIONES</v>
      </c>
    </row>
    <row r="4507" spans="1:22" x14ac:dyDescent="0.2">
      <c r="A4507" s="23" t="s">
        <v>5459</v>
      </c>
      <c r="B4507" s="22" t="s">
        <v>18</v>
      </c>
      <c r="C4507" s="22" t="s">
        <v>57</v>
      </c>
      <c r="D4507" s="22" t="s">
        <v>41</v>
      </c>
      <c r="E4507" s="24" t="s">
        <v>25</v>
      </c>
      <c r="F4507" s="22" t="s">
        <v>173</v>
      </c>
      <c r="G4507" s="25">
        <v>11076.26</v>
      </c>
      <c r="H4507" s="22" t="s">
        <v>43</v>
      </c>
      <c r="I4507" s="22">
        <v>0</v>
      </c>
      <c r="J4507" s="22" t="s">
        <v>173</v>
      </c>
      <c r="K4507" s="22" t="s">
        <v>23</v>
      </c>
      <c r="L4507" s="22">
        <v>5</v>
      </c>
      <c r="M4507" s="26">
        <v>90000</v>
      </c>
      <c r="N4507" s="26">
        <v>0</v>
      </c>
      <c r="O4507" s="15">
        <f t="shared" si="391"/>
        <v>90000</v>
      </c>
      <c r="P4507" s="15">
        <f t="shared" si="386"/>
        <v>8.1254864006442613</v>
      </c>
      <c r="Q4507" s="25">
        <v>10000</v>
      </c>
      <c r="R4507" s="22">
        <v>100</v>
      </c>
      <c r="S4507" s="22" t="s">
        <v>5460</v>
      </c>
      <c r="T4507" s="22">
        <f t="shared" si="388"/>
        <v>4</v>
      </c>
      <c r="U4507" s="22">
        <f t="shared" si="389"/>
        <v>2022</v>
      </c>
      <c r="V4507" s="22" t="str">
        <f t="shared" si="390"/>
        <v>METROPOLITANA</v>
      </c>
    </row>
    <row r="4508" spans="1:22" x14ac:dyDescent="0.2">
      <c r="A4508" s="23" t="s">
        <v>5459</v>
      </c>
      <c r="B4508" s="22" t="s">
        <v>18</v>
      </c>
      <c r="C4508" s="22" t="s">
        <v>160</v>
      </c>
      <c r="D4508" s="22" t="s">
        <v>38</v>
      </c>
      <c r="E4508" s="24" t="s">
        <v>25</v>
      </c>
      <c r="F4508" s="22" t="s">
        <v>800</v>
      </c>
      <c r="G4508" s="25">
        <v>12905.24</v>
      </c>
      <c r="H4508" s="22" t="s">
        <v>43</v>
      </c>
      <c r="I4508" s="22">
        <v>0</v>
      </c>
      <c r="J4508" s="22" t="s">
        <v>800</v>
      </c>
      <c r="K4508" s="22" t="s">
        <v>23</v>
      </c>
      <c r="L4508" s="22">
        <v>5</v>
      </c>
      <c r="M4508" s="26">
        <v>90000</v>
      </c>
      <c r="N4508" s="26">
        <v>0</v>
      </c>
      <c r="O4508" s="15">
        <f t="shared" si="391"/>
        <v>90000</v>
      </c>
      <c r="P4508" s="15">
        <f t="shared" si="386"/>
        <v>6.9739113724347632</v>
      </c>
      <c r="Q4508" s="25">
        <v>10000</v>
      </c>
      <c r="R4508" s="22">
        <v>100</v>
      </c>
      <c r="S4508" s="22" t="s">
        <v>5461</v>
      </c>
      <c r="T4508" s="22">
        <f t="shared" si="388"/>
        <v>4</v>
      </c>
      <c r="U4508" s="22">
        <f t="shared" si="389"/>
        <v>2022</v>
      </c>
      <c r="V4508" s="22" t="str">
        <f t="shared" si="390"/>
        <v>METROPOLITANA</v>
      </c>
    </row>
    <row r="4509" spans="1:22" x14ac:dyDescent="0.2">
      <c r="A4509" s="23" t="s">
        <v>5459</v>
      </c>
      <c r="B4509" s="22" t="s">
        <v>33</v>
      </c>
      <c r="C4509" s="22" t="s">
        <v>128</v>
      </c>
      <c r="D4509" s="22" t="s">
        <v>38</v>
      </c>
      <c r="E4509" s="24" t="s">
        <v>42</v>
      </c>
      <c r="F4509" s="22" t="s">
        <v>34</v>
      </c>
      <c r="G4509" s="25">
        <v>7873.2</v>
      </c>
      <c r="H4509" s="22" t="s">
        <v>43</v>
      </c>
      <c r="I4509" s="22">
        <v>0</v>
      </c>
      <c r="J4509" s="22" t="s">
        <v>34</v>
      </c>
      <c r="K4509" s="22" t="s">
        <v>23</v>
      </c>
      <c r="L4509" s="22">
        <v>1</v>
      </c>
      <c r="M4509" s="26">
        <v>86605</v>
      </c>
      <c r="N4509" s="26">
        <v>0</v>
      </c>
      <c r="O4509" s="15">
        <f t="shared" si="391"/>
        <v>86605</v>
      </c>
      <c r="P4509" s="15">
        <f t="shared" si="386"/>
        <v>10.999974597368288</v>
      </c>
      <c r="Q4509" s="25">
        <v>5000</v>
      </c>
      <c r="R4509" s="22">
        <v>100</v>
      </c>
      <c r="S4509" s="22" t="s">
        <v>5462</v>
      </c>
      <c r="T4509" s="22">
        <f t="shared" si="388"/>
        <v>4</v>
      </c>
      <c r="U4509" s="22">
        <f t="shared" si="389"/>
        <v>2022</v>
      </c>
      <c r="V4509" s="22" t="str">
        <f t="shared" si="390"/>
        <v>METROPOLITANA</v>
      </c>
    </row>
    <row r="4510" spans="1:22" x14ac:dyDescent="0.2">
      <c r="A4510" s="23" t="s">
        <v>5459</v>
      </c>
      <c r="B4510" s="22" t="s">
        <v>33</v>
      </c>
      <c r="C4510" s="22" t="s">
        <v>193</v>
      </c>
      <c r="D4510" s="22" t="s">
        <v>47</v>
      </c>
      <c r="E4510" s="24" t="s">
        <v>49</v>
      </c>
      <c r="F4510" s="22" t="s">
        <v>194</v>
      </c>
      <c r="G4510" s="25">
        <v>2995.16</v>
      </c>
      <c r="H4510" s="22" t="s">
        <v>22</v>
      </c>
      <c r="I4510" s="22">
        <v>0</v>
      </c>
      <c r="J4510" s="22" t="s">
        <v>194</v>
      </c>
      <c r="K4510" s="22" t="s">
        <v>23</v>
      </c>
      <c r="L4510" s="22">
        <v>4</v>
      </c>
      <c r="M4510" s="26">
        <v>55000</v>
      </c>
      <c r="N4510" s="26">
        <v>0</v>
      </c>
      <c r="O4510" s="15">
        <v>1</v>
      </c>
      <c r="P4510" s="15">
        <f t="shared" si="386"/>
        <v>3.3387198012793976E-4</v>
      </c>
      <c r="Q4510" s="25">
        <v>5000</v>
      </c>
      <c r="R4510" s="22">
        <v>60</v>
      </c>
      <c r="S4510" s="22" t="s">
        <v>5463</v>
      </c>
      <c r="T4510" s="22">
        <f t="shared" si="388"/>
        <v>4</v>
      </c>
      <c r="U4510" s="22">
        <f t="shared" si="389"/>
        <v>2022</v>
      </c>
      <c r="V4510" s="22" t="str">
        <f t="shared" si="390"/>
        <v>METROPOLITANA</v>
      </c>
    </row>
    <row r="4511" spans="1:22" x14ac:dyDescent="0.2">
      <c r="A4511" s="23" t="s">
        <v>5459</v>
      </c>
      <c r="B4511" s="22" t="s">
        <v>33</v>
      </c>
      <c r="C4511" s="22" t="s">
        <v>29</v>
      </c>
      <c r="D4511" s="22" t="s">
        <v>37</v>
      </c>
      <c r="E4511" s="24" t="s">
        <v>40</v>
      </c>
      <c r="F4511" s="22" t="s">
        <v>39</v>
      </c>
      <c r="G4511" s="25">
        <v>2748</v>
      </c>
      <c r="H4511" s="22" t="s">
        <v>22</v>
      </c>
      <c r="I4511" s="22">
        <v>0</v>
      </c>
      <c r="J4511" s="22" t="s">
        <v>39</v>
      </c>
      <c r="K4511" s="22" t="s">
        <v>23</v>
      </c>
      <c r="L4511" s="22">
        <v>1</v>
      </c>
      <c r="M4511" s="26">
        <v>55000</v>
      </c>
      <c r="N4511" s="26">
        <v>0</v>
      </c>
      <c r="O4511" s="15">
        <f t="shared" ref="O4511:O4542" si="392">SUM(M4511:N4511)</f>
        <v>55000</v>
      </c>
      <c r="P4511" s="15">
        <f t="shared" si="386"/>
        <v>20.014556040756915</v>
      </c>
      <c r="Q4511" s="25">
        <v>5000</v>
      </c>
      <c r="R4511" s="22">
        <v>55</v>
      </c>
      <c r="S4511" s="22" t="s">
        <v>5464</v>
      </c>
      <c r="T4511" s="22">
        <f t="shared" si="388"/>
        <v>4</v>
      </c>
      <c r="U4511" s="22">
        <f t="shared" si="389"/>
        <v>2022</v>
      </c>
      <c r="V4511" s="22" t="str">
        <f t="shared" si="390"/>
        <v>METROPOLITANA</v>
      </c>
    </row>
    <row r="4512" spans="1:22" x14ac:dyDescent="0.2">
      <c r="A4512" s="23" t="s">
        <v>5459</v>
      </c>
      <c r="B4512" s="22" t="s">
        <v>33</v>
      </c>
      <c r="C4512" s="22" t="s">
        <v>29</v>
      </c>
      <c r="D4512" s="22" t="s">
        <v>164</v>
      </c>
      <c r="E4512" s="24" t="s">
        <v>28</v>
      </c>
      <c r="F4512" s="22" t="s">
        <v>39</v>
      </c>
      <c r="G4512" s="25">
        <v>16084.4</v>
      </c>
      <c r="H4512" s="22" t="s">
        <v>22</v>
      </c>
      <c r="I4512" s="22">
        <v>1</v>
      </c>
      <c r="J4512" s="22" t="s">
        <v>39</v>
      </c>
      <c r="K4512" s="22" t="s">
        <v>23</v>
      </c>
      <c r="L4512" s="22">
        <v>1</v>
      </c>
      <c r="M4512" s="26">
        <v>176928</v>
      </c>
      <c r="N4512" s="26">
        <v>0</v>
      </c>
      <c r="O4512" s="15">
        <f t="shared" si="392"/>
        <v>176928</v>
      </c>
      <c r="P4512" s="15">
        <f t="shared" si="386"/>
        <v>10.99997513118301</v>
      </c>
      <c r="Q4512" s="25">
        <v>5000</v>
      </c>
      <c r="R4512" s="22">
        <v>100</v>
      </c>
      <c r="S4512" s="22" t="s">
        <v>5465</v>
      </c>
      <c r="T4512" s="22">
        <f t="shared" si="388"/>
        <v>4</v>
      </c>
      <c r="U4512" s="22">
        <f t="shared" si="389"/>
        <v>2022</v>
      </c>
      <c r="V4512" s="22" t="str">
        <f t="shared" si="390"/>
        <v>METROPOLITANA</v>
      </c>
    </row>
    <row r="4513" spans="1:22" x14ac:dyDescent="0.2">
      <c r="A4513" s="23" t="s">
        <v>5459</v>
      </c>
      <c r="B4513" s="22" t="s">
        <v>33</v>
      </c>
      <c r="C4513" s="22" t="s">
        <v>29</v>
      </c>
      <c r="D4513" s="22" t="s">
        <v>20</v>
      </c>
      <c r="E4513" s="24" t="s">
        <v>21</v>
      </c>
      <c r="F4513" s="22" t="s">
        <v>39</v>
      </c>
      <c r="G4513" s="25">
        <v>2748</v>
      </c>
      <c r="H4513" s="22" t="s">
        <v>22</v>
      </c>
      <c r="I4513" s="22">
        <v>0</v>
      </c>
      <c r="J4513" s="22" t="s">
        <v>39</v>
      </c>
      <c r="K4513" s="22" t="s">
        <v>23</v>
      </c>
      <c r="L4513" s="22">
        <v>1</v>
      </c>
      <c r="M4513" s="26">
        <v>55000</v>
      </c>
      <c r="N4513" s="26">
        <v>0</v>
      </c>
      <c r="O4513" s="15">
        <f t="shared" si="392"/>
        <v>55000</v>
      </c>
      <c r="P4513" s="15">
        <f t="shared" ref="P4513:P4576" si="393">O4513/G4513</f>
        <v>20.014556040756915</v>
      </c>
      <c r="Q4513" s="25">
        <v>5000</v>
      </c>
      <c r="R4513" s="22">
        <v>55</v>
      </c>
      <c r="S4513" s="22" t="s">
        <v>5466</v>
      </c>
      <c r="T4513" s="22">
        <f t="shared" si="388"/>
        <v>4</v>
      </c>
      <c r="U4513" s="22">
        <f t="shared" si="389"/>
        <v>2022</v>
      </c>
      <c r="V4513" s="22" t="str">
        <f t="shared" si="390"/>
        <v>METROPOLITANA</v>
      </c>
    </row>
    <row r="4514" spans="1:22" x14ac:dyDescent="0.2">
      <c r="A4514" s="11" t="s">
        <v>5467</v>
      </c>
      <c r="B4514" s="12" t="s">
        <v>18</v>
      </c>
      <c r="C4514" s="12" t="s">
        <v>57</v>
      </c>
      <c r="D4514" s="12" t="s">
        <v>38</v>
      </c>
      <c r="E4514" s="13" t="s">
        <v>25</v>
      </c>
      <c r="F4514" s="12" t="s">
        <v>173</v>
      </c>
      <c r="G4514" s="14">
        <v>10221.879999999999</v>
      </c>
      <c r="H4514" s="12" t="s">
        <v>43</v>
      </c>
      <c r="I4514" s="12">
        <v>0</v>
      </c>
      <c r="J4514" s="12" t="s">
        <v>173</v>
      </c>
      <c r="K4514" s="12" t="s">
        <v>23</v>
      </c>
      <c r="L4514" s="12">
        <v>5</v>
      </c>
      <c r="M4514" s="15">
        <v>90000</v>
      </c>
      <c r="N4514" s="15">
        <v>0</v>
      </c>
      <c r="O4514" s="15">
        <f t="shared" si="392"/>
        <v>90000</v>
      </c>
      <c r="P4514" s="15">
        <f t="shared" si="393"/>
        <v>8.8046425902084557</v>
      </c>
      <c r="Q4514" s="14">
        <v>10000</v>
      </c>
      <c r="R4514" s="12">
        <v>100</v>
      </c>
      <c r="S4514" s="12" t="s">
        <v>5468</v>
      </c>
      <c r="T4514" s="22">
        <f t="shared" si="388"/>
        <v>4</v>
      </c>
      <c r="U4514" s="22">
        <f t="shared" si="389"/>
        <v>2022</v>
      </c>
      <c r="V4514" s="22" t="str">
        <f t="shared" si="390"/>
        <v>METROPOLITANA</v>
      </c>
    </row>
    <row r="4515" spans="1:22" x14ac:dyDescent="0.2">
      <c r="A4515" s="11" t="s">
        <v>5467</v>
      </c>
      <c r="B4515" s="12" t="s">
        <v>18</v>
      </c>
      <c r="C4515" s="12" t="s">
        <v>57</v>
      </c>
      <c r="D4515" s="12" t="s">
        <v>37</v>
      </c>
      <c r="E4515" s="13" t="s">
        <v>40</v>
      </c>
      <c r="F4515" s="12" t="s">
        <v>173</v>
      </c>
      <c r="G4515" s="14">
        <v>10648.22</v>
      </c>
      <c r="H4515" s="12" t="s">
        <v>22</v>
      </c>
      <c r="I4515" s="12">
        <v>0</v>
      </c>
      <c r="J4515" s="12" t="s">
        <v>173</v>
      </c>
      <c r="K4515" s="12" t="s">
        <v>23</v>
      </c>
      <c r="L4515" s="12">
        <v>5</v>
      </c>
      <c r="M4515" s="15">
        <v>90000</v>
      </c>
      <c r="N4515" s="15">
        <v>0</v>
      </c>
      <c r="O4515" s="15">
        <f t="shared" si="392"/>
        <v>90000</v>
      </c>
      <c r="P4515" s="15">
        <f t="shared" si="393"/>
        <v>8.4521168796287078</v>
      </c>
      <c r="Q4515" s="14">
        <v>10000</v>
      </c>
      <c r="R4515" s="12">
        <v>100</v>
      </c>
      <c r="S4515" s="12" t="s">
        <v>5469</v>
      </c>
      <c r="T4515" s="22">
        <f t="shared" si="388"/>
        <v>4</v>
      </c>
      <c r="U4515" s="22">
        <f t="shared" si="389"/>
        <v>2022</v>
      </c>
      <c r="V4515" s="22" t="str">
        <f t="shared" si="390"/>
        <v>METROPOLITANA</v>
      </c>
    </row>
    <row r="4516" spans="1:22" x14ac:dyDescent="0.2">
      <c r="A4516" s="11" t="s">
        <v>5467</v>
      </c>
      <c r="B4516" s="12" t="s">
        <v>18</v>
      </c>
      <c r="C4516" s="12" t="s">
        <v>57</v>
      </c>
      <c r="D4516" s="12" t="s">
        <v>47</v>
      </c>
      <c r="E4516" s="13" t="s">
        <v>49</v>
      </c>
      <c r="F4516" s="12" t="s">
        <v>173</v>
      </c>
      <c r="G4516" s="14">
        <v>10293.4</v>
      </c>
      <c r="H4516" s="12" t="s">
        <v>22</v>
      </c>
      <c r="I4516" s="12">
        <v>0</v>
      </c>
      <c r="J4516" s="12" t="s">
        <v>173</v>
      </c>
      <c r="K4516" s="12" t="s">
        <v>23</v>
      </c>
      <c r="L4516" s="12">
        <v>5</v>
      </c>
      <c r="M4516" s="15">
        <v>90000</v>
      </c>
      <c r="N4516" s="15">
        <v>0</v>
      </c>
      <c r="O4516" s="15">
        <f t="shared" si="392"/>
        <v>90000</v>
      </c>
      <c r="P4516" s="15">
        <f t="shared" si="393"/>
        <v>8.7434666873919209</v>
      </c>
      <c r="Q4516" s="14">
        <v>10000</v>
      </c>
      <c r="R4516" s="12">
        <v>100</v>
      </c>
      <c r="S4516" s="12" t="s">
        <v>5470</v>
      </c>
      <c r="T4516" s="22">
        <f t="shared" si="388"/>
        <v>4</v>
      </c>
      <c r="U4516" s="22">
        <f t="shared" si="389"/>
        <v>2022</v>
      </c>
      <c r="V4516" s="22" t="str">
        <f t="shared" si="390"/>
        <v>METROPOLITANA</v>
      </c>
    </row>
    <row r="4517" spans="1:22" x14ac:dyDescent="0.2">
      <c r="A4517" s="11" t="s">
        <v>5467</v>
      </c>
      <c r="B4517" s="12" t="s">
        <v>33</v>
      </c>
      <c r="C4517" s="12" t="s">
        <v>60</v>
      </c>
      <c r="D4517" s="12" t="s">
        <v>20</v>
      </c>
      <c r="E4517" s="13" t="s">
        <v>21</v>
      </c>
      <c r="F4517" s="12" t="s">
        <v>51</v>
      </c>
      <c r="G4517" s="14">
        <f>7776+723</f>
        <v>8499</v>
      </c>
      <c r="H4517" s="12" t="s">
        <v>22</v>
      </c>
      <c r="I4517" s="12">
        <v>0</v>
      </c>
      <c r="J4517" s="12" t="s">
        <v>51</v>
      </c>
      <c r="K4517" s="12" t="s">
        <v>23</v>
      </c>
      <c r="L4517" s="12">
        <v>4</v>
      </c>
      <c r="M4517" s="15">
        <v>85536</v>
      </c>
      <c r="N4517" s="15">
        <v>0</v>
      </c>
      <c r="O4517" s="15">
        <f t="shared" si="392"/>
        <v>85536</v>
      </c>
      <c r="P4517" s="15">
        <f t="shared" si="393"/>
        <v>10.064242852100246</v>
      </c>
      <c r="Q4517" s="14">
        <v>5000</v>
      </c>
      <c r="R4517" s="12">
        <v>100</v>
      </c>
      <c r="S4517" s="12" t="s">
        <v>5481</v>
      </c>
      <c r="T4517" s="22">
        <f t="shared" si="388"/>
        <v>4</v>
      </c>
      <c r="U4517" s="22">
        <f t="shared" si="389"/>
        <v>2022</v>
      </c>
      <c r="V4517" s="22" t="str">
        <f t="shared" si="390"/>
        <v>METROPOLITANA</v>
      </c>
    </row>
    <row r="4518" spans="1:22" x14ac:dyDescent="0.2">
      <c r="A4518" s="11" t="s">
        <v>5467</v>
      </c>
      <c r="B4518" s="12" t="s">
        <v>33</v>
      </c>
      <c r="C4518" s="12" t="s">
        <v>128</v>
      </c>
      <c r="D4518" s="12" t="s">
        <v>63</v>
      </c>
      <c r="E4518" s="13" t="s">
        <v>64</v>
      </c>
      <c r="F4518" s="12" t="s">
        <v>34</v>
      </c>
      <c r="G4518" s="14">
        <v>9136.6099999999969</v>
      </c>
      <c r="H4518" s="12" t="s">
        <v>65</v>
      </c>
      <c r="I4518" s="12">
        <v>0</v>
      </c>
      <c r="J4518" s="12" t="s">
        <v>34</v>
      </c>
      <c r="K4518" s="12" t="s">
        <v>23</v>
      </c>
      <c r="L4518" s="12">
        <v>1</v>
      </c>
      <c r="M4518" s="15">
        <v>100503</v>
      </c>
      <c r="N4518" s="15">
        <v>0</v>
      </c>
      <c r="O4518" s="15">
        <f t="shared" si="392"/>
        <v>100503</v>
      </c>
      <c r="P4518" s="15">
        <f t="shared" si="393"/>
        <v>11.000031740437649</v>
      </c>
      <c r="Q4518" s="14">
        <v>5000</v>
      </c>
      <c r="R4518" s="12">
        <v>100</v>
      </c>
      <c r="S4518" s="12" t="s">
        <v>5471</v>
      </c>
      <c r="T4518" s="22">
        <f t="shared" si="388"/>
        <v>4</v>
      </c>
      <c r="U4518" s="22">
        <f t="shared" si="389"/>
        <v>2022</v>
      </c>
      <c r="V4518" s="22" t="str">
        <f t="shared" si="390"/>
        <v>METROPOLITANA</v>
      </c>
    </row>
    <row r="4519" spans="1:22" x14ac:dyDescent="0.2">
      <c r="A4519" s="11" t="s">
        <v>5467</v>
      </c>
      <c r="B4519" s="12" t="s">
        <v>33</v>
      </c>
      <c r="C4519" s="12" t="s">
        <v>909</v>
      </c>
      <c r="D4519" s="12" t="s">
        <v>164</v>
      </c>
      <c r="E4519" s="13" t="s">
        <v>28</v>
      </c>
      <c r="F4519" s="12" t="s">
        <v>3898</v>
      </c>
      <c r="G4519" s="14">
        <v>18009.599999999999</v>
      </c>
      <c r="H4519" s="12" t="s">
        <v>22</v>
      </c>
      <c r="I4519" s="12">
        <v>1</v>
      </c>
      <c r="J4519" s="12" t="s">
        <v>910</v>
      </c>
      <c r="K4519" s="12" t="s">
        <v>171</v>
      </c>
      <c r="L4519" s="12">
        <v>0</v>
      </c>
      <c r="M4519" s="15">
        <v>260000</v>
      </c>
      <c r="N4519" s="15">
        <v>0</v>
      </c>
      <c r="O4519" s="15">
        <f t="shared" si="392"/>
        <v>260000</v>
      </c>
      <c r="P4519" s="15">
        <f t="shared" si="393"/>
        <v>14.43674484719261</v>
      </c>
      <c r="Q4519" s="14">
        <v>20000</v>
      </c>
      <c r="R4519" s="12">
        <v>90</v>
      </c>
      <c r="S4519" s="12" t="s">
        <v>5472</v>
      </c>
      <c r="T4519" s="22">
        <f t="shared" si="388"/>
        <v>4</v>
      </c>
      <c r="U4519" s="22">
        <f t="shared" si="389"/>
        <v>2022</v>
      </c>
      <c r="V4519" s="22" t="str">
        <f t="shared" si="390"/>
        <v>REGIONES</v>
      </c>
    </row>
    <row r="4520" spans="1:22" x14ac:dyDescent="0.2">
      <c r="A4520" s="11" t="s">
        <v>5467</v>
      </c>
      <c r="B4520" s="12" t="s">
        <v>33</v>
      </c>
      <c r="C4520" s="12" t="s">
        <v>29</v>
      </c>
      <c r="D4520" s="12" t="s">
        <v>5473</v>
      </c>
      <c r="E4520" s="13" t="s">
        <v>5474</v>
      </c>
      <c r="F4520" s="12" t="s">
        <v>132</v>
      </c>
      <c r="G4520" s="14">
        <v>6177.5999999999995</v>
      </c>
      <c r="H4520" s="12" t="s">
        <v>24</v>
      </c>
      <c r="I4520" s="12">
        <v>1</v>
      </c>
      <c r="J4520" s="12" t="s">
        <v>132</v>
      </c>
      <c r="K4520" s="12" t="s">
        <v>124</v>
      </c>
      <c r="L4520" s="12">
        <v>0</v>
      </c>
      <c r="M4520" s="15">
        <v>400000</v>
      </c>
      <c r="N4520" s="15">
        <v>0</v>
      </c>
      <c r="O4520" s="15">
        <f t="shared" si="392"/>
        <v>400000</v>
      </c>
      <c r="P4520" s="15">
        <f t="shared" si="393"/>
        <v>64.750064750064752</v>
      </c>
      <c r="Q4520" s="14">
        <v>20000</v>
      </c>
      <c r="R4520" s="12">
        <v>31</v>
      </c>
      <c r="S4520" s="12" t="s">
        <v>5475</v>
      </c>
      <c r="T4520" s="22">
        <f t="shared" si="388"/>
        <v>4</v>
      </c>
      <c r="U4520" s="22">
        <f t="shared" si="389"/>
        <v>2022</v>
      </c>
      <c r="V4520" s="22" t="str">
        <f t="shared" si="390"/>
        <v>REGIONES</v>
      </c>
    </row>
    <row r="4521" spans="1:22" x14ac:dyDescent="0.2">
      <c r="A4521" s="11" t="s">
        <v>5467</v>
      </c>
      <c r="B4521" s="12" t="s">
        <v>33</v>
      </c>
      <c r="C4521" s="12" t="s">
        <v>29</v>
      </c>
      <c r="D4521" s="12" t="s">
        <v>38</v>
      </c>
      <c r="E4521" s="13" t="s">
        <v>42</v>
      </c>
      <c r="F4521" s="12" t="s">
        <v>39</v>
      </c>
      <c r="G4521" s="14">
        <v>2198.4</v>
      </c>
      <c r="H4521" s="12" t="s">
        <v>43</v>
      </c>
      <c r="I4521" s="12">
        <v>0</v>
      </c>
      <c r="J4521" s="12" t="s">
        <v>39</v>
      </c>
      <c r="K4521" s="12" t="s">
        <v>23</v>
      </c>
      <c r="L4521" s="12">
        <v>1</v>
      </c>
      <c r="M4521" s="15">
        <v>55000</v>
      </c>
      <c r="N4521" s="15">
        <v>0</v>
      </c>
      <c r="O4521" s="15">
        <f t="shared" si="392"/>
        <v>55000</v>
      </c>
      <c r="P4521" s="15">
        <f t="shared" si="393"/>
        <v>25.01819505094614</v>
      </c>
      <c r="Q4521" s="14">
        <v>5000</v>
      </c>
      <c r="R4521" s="12">
        <v>44</v>
      </c>
      <c r="S4521" s="12" t="s">
        <v>5476</v>
      </c>
      <c r="T4521" s="22">
        <f t="shared" si="388"/>
        <v>4</v>
      </c>
      <c r="U4521" s="22">
        <f t="shared" si="389"/>
        <v>2022</v>
      </c>
      <c r="V4521" s="22" t="str">
        <f t="shared" si="390"/>
        <v>METROPOLITANA</v>
      </c>
    </row>
    <row r="4522" spans="1:22" x14ac:dyDescent="0.2">
      <c r="A4522" s="11" t="s">
        <v>5467</v>
      </c>
      <c r="B4522" s="12" t="s">
        <v>33</v>
      </c>
      <c r="C4522" s="12" t="s">
        <v>29</v>
      </c>
      <c r="D4522" s="12" t="s">
        <v>37</v>
      </c>
      <c r="E4522" s="13" t="s">
        <v>40</v>
      </c>
      <c r="F4522" s="12" t="s">
        <v>39</v>
      </c>
      <c r="G4522" s="14">
        <f>2198.4+550</f>
        <v>2748.4</v>
      </c>
      <c r="H4522" s="12" t="s">
        <v>22</v>
      </c>
      <c r="I4522" s="12">
        <v>0</v>
      </c>
      <c r="J4522" s="12" t="s">
        <v>39</v>
      </c>
      <c r="K4522" s="12" t="s">
        <v>23</v>
      </c>
      <c r="L4522" s="12">
        <v>1</v>
      </c>
      <c r="M4522" s="15">
        <v>55000</v>
      </c>
      <c r="N4522" s="15">
        <v>0</v>
      </c>
      <c r="O4522" s="15">
        <f t="shared" si="392"/>
        <v>55000</v>
      </c>
      <c r="P4522" s="15">
        <f t="shared" si="393"/>
        <v>20.011643137825644</v>
      </c>
      <c r="Q4522" s="14">
        <v>5000</v>
      </c>
      <c r="R4522" s="12">
        <v>55</v>
      </c>
      <c r="S4522" s="12" t="s">
        <v>5480</v>
      </c>
      <c r="T4522" s="22">
        <f t="shared" si="388"/>
        <v>4</v>
      </c>
      <c r="U4522" s="22">
        <f t="shared" si="389"/>
        <v>2022</v>
      </c>
      <c r="V4522" s="22" t="str">
        <f t="shared" si="390"/>
        <v>METROPOLITANA</v>
      </c>
    </row>
    <row r="4523" spans="1:22" x14ac:dyDescent="0.2">
      <c r="A4523" s="11" t="s">
        <v>5467</v>
      </c>
      <c r="B4523" s="12" t="s">
        <v>33</v>
      </c>
      <c r="C4523" s="12" t="s">
        <v>44</v>
      </c>
      <c r="D4523" s="12" t="s">
        <v>191</v>
      </c>
      <c r="E4523" s="13" t="s">
        <v>192</v>
      </c>
      <c r="F4523" s="12" t="s">
        <v>815</v>
      </c>
      <c r="G4523" s="14">
        <v>14934.099999999989</v>
      </c>
      <c r="H4523" s="12" t="s">
        <v>85</v>
      </c>
      <c r="I4523" s="12">
        <v>1</v>
      </c>
      <c r="J4523" s="12" t="s">
        <v>815</v>
      </c>
      <c r="K4523" s="12" t="s">
        <v>75</v>
      </c>
      <c r="L4523" s="12">
        <v>0</v>
      </c>
      <c r="M4523" s="15">
        <v>460000</v>
      </c>
      <c r="N4523" s="15">
        <v>0</v>
      </c>
      <c r="O4523" s="15">
        <f t="shared" si="392"/>
        <v>460000</v>
      </c>
      <c r="P4523" s="15">
        <f t="shared" si="393"/>
        <v>30.801990076402351</v>
      </c>
      <c r="Q4523" s="14">
        <v>20000</v>
      </c>
      <c r="R4523" s="12">
        <v>75</v>
      </c>
      <c r="S4523" s="12" t="s">
        <v>5477</v>
      </c>
      <c r="T4523" s="22">
        <f t="shared" si="388"/>
        <v>4</v>
      </c>
      <c r="U4523" s="22">
        <f t="shared" si="389"/>
        <v>2022</v>
      </c>
      <c r="V4523" s="22" t="str">
        <f t="shared" si="390"/>
        <v>REGIONES</v>
      </c>
    </row>
    <row r="4524" spans="1:22" x14ac:dyDescent="0.2">
      <c r="A4524" s="11" t="s">
        <v>5467</v>
      </c>
      <c r="B4524" s="12" t="s">
        <v>33</v>
      </c>
      <c r="C4524" s="12" t="s">
        <v>44</v>
      </c>
      <c r="D4524" s="12" t="s">
        <v>5478</v>
      </c>
      <c r="E4524" s="13" t="s">
        <v>83</v>
      </c>
      <c r="F4524" s="12" t="s">
        <v>84</v>
      </c>
      <c r="G4524" s="14">
        <v>14106.73</v>
      </c>
      <c r="H4524" s="12" t="s">
        <v>24</v>
      </c>
      <c r="I4524" s="12">
        <v>1</v>
      </c>
      <c r="J4524" s="12" t="s">
        <v>84</v>
      </c>
      <c r="K4524" s="12" t="s">
        <v>86</v>
      </c>
      <c r="L4524" s="12">
        <v>0</v>
      </c>
      <c r="M4524" s="15">
        <v>360000</v>
      </c>
      <c r="N4524" s="15">
        <v>0</v>
      </c>
      <c r="O4524" s="15">
        <f t="shared" si="392"/>
        <v>360000</v>
      </c>
      <c r="P4524" s="15">
        <f t="shared" si="393"/>
        <v>25.519734197790701</v>
      </c>
      <c r="Q4524" s="14">
        <v>20000</v>
      </c>
      <c r="R4524" s="12">
        <v>71</v>
      </c>
      <c r="S4524" s="12" t="s">
        <v>5479</v>
      </c>
      <c r="T4524" s="22">
        <f t="shared" si="388"/>
        <v>4</v>
      </c>
      <c r="U4524" s="22">
        <f t="shared" si="389"/>
        <v>2022</v>
      </c>
      <c r="V4524" s="22" t="str">
        <f t="shared" si="390"/>
        <v>REGIONES</v>
      </c>
    </row>
    <row r="4525" spans="1:22" x14ac:dyDescent="0.2">
      <c r="A4525" s="23" t="s">
        <v>5482</v>
      </c>
      <c r="B4525" s="22" t="s">
        <v>18</v>
      </c>
      <c r="C4525" s="22" t="s">
        <v>270</v>
      </c>
      <c r="D4525" s="22" t="s">
        <v>2955</v>
      </c>
      <c r="E4525" s="24" t="s">
        <v>2956</v>
      </c>
      <c r="F4525" s="22" t="s">
        <v>377</v>
      </c>
      <c r="G4525" s="25">
        <f>14141.98+357</f>
        <v>14498.98</v>
      </c>
      <c r="H4525" s="22" t="s">
        <v>24</v>
      </c>
      <c r="I4525" s="22">
        <v>1</v>
      </c>
      <c r="J4525" s="22" t="s">
        <v>377</v>
      </c>
      <c r="K4525" s="22" t="s">
        <v>23</v>
      </c>
      <c r="L4525" s="22">
        <v>4</v>
      </c>
      <c r="M4525" s="26">
        <v>155562</v>
      </c>
      <c r="N4525" s="26">
        <v>0</v>
      </c>
      <c r="O4525" s="15">
        <f t="shared" si="392"/>
        <v>155562</v>
      </c>
      <c r="P4525" s="15">
        <f t="shared" si="393"/>
        <v>10.729168534614159</v>
      </c>
      <c r="Q4525" s="25">
        <v>5000</v>
      </c>
      <c r="R4525" s="22">
        <v>100</v>
      </c>
      <c r="S4525" s="22" t="s">
        <v>5494</v>
      </c>
      <c r="T4525" s="22">
        <f t="shared" si="388"/>
        <v>4</v>
      </c>
      <c r="U4525" s="22">
        <f t="shared" si="389"/>
        <v>2022</v>
      </c>
      <c r="V4525" s="22" t="str">
        <f t="shared" si="390"/>
        <v>METROPOLITANA</v>
      </c>
    </row>
    <row r="4526" spans="1:22" x14ac:dyDescent="0.2">
      <c r="A4526" s="23" t="s">
        <v>5482</v>
      </c>
      <c r="B4526" s="22" t="s">
        <v>18</v>
      </c>
      <c r="C4526" s="22" t="s">
        <v>57</v>
      </c>
      <c r="D4526" s="22" t="s">
        <v>41</v>
      </c>
      <c r="E4526" s="24" t="s">
        <v>25</v>
      </c>
      <c r="F4526" s="22" t="s">
        <v>173</v>
      </c>
      <c r="G4526" s="25">
        <v>10929.84</v>
      </c>
      <c r="H4526" s="22" t="s">
        <v>43</v>
      </c>
      <c r="I4526" s="22">
        <v>0</v>
      </c>
      <c r="J4526" s="22" t="s">
        <v>173</v>
      </c>
      <c r="K4526" s="22" t="s">
        <v>23</v>
      </c>
      <c r="L4526" s="22">
        <v>5</v>
      </c>
      <c r="M4526" s="26">
        <v>90000</v>
      </c>
      <c r="N4526" s="26">
        <v>0</v>
      </c>
      <c r="O4526" s="15">
        <f t="shared" si="392"/>
        <v>90000</v>
      </c>
      <c r="P4526" s="15">
        <f t="shared" si="393"/>
        <v>8.2343382885751293</v>
      </c>
      <c r="Q4526" s="25">
        <v>10000</v>
      </c>
      <c r="R4526" s="22">
        <v>100</v>
      </c>
      <c r="S4526" s="22" t="s">
        <v>5483</v>
      </c>
      <c r="T4526" s="22">
        <f t="shared" si="388"/>
        <v>4</v>
      </c>
      <c r="U4526" s="22">
        <f t="shared" si="389"/>
        <v>2022</v>
      </c>
      <c r="V4526" s="22" t="str">
        <f t="shared" si="390"/>
        <v>METROPOLITANA</v>
      </c>
    </row>
    <row r="4527" spans="1:22" x14ac:dyDescent="0.2">
      <c r="A4527" s="23" t="s">
        <v>5482</v>
      </c>
      <c r="B4527" s="22" t="s">
        <v>18</v>
      </c>
      <c r="C4527" s="22" t="s">
        <v>160</v>
      </c>
      <c r="D4527" s="22" t="s">
        <v>38</v>
      </c>
      <c r="E4527" s="24" t="s">
        <v>42</v>
      </c>
      <c r="F4527" s="22" t="s">
        <v>800</v>
      </c>
      <c r="G4527" s="25">
        <v>9845.0400000000009</v>
      </c>
      <c r="H4527" s="22" t="s">
        <v>43</v>
      </c>
      <c r="I4527" s="22">
        <v>0</v>
      </c>
      <c r="J4527" s="22" t="s">
        <v>800</v>
      </c>
      <c r="K4527" s="22" t="s">
        <v>23</v>
      </c>
      <c r="L4527" s="22">
        <v>5</v>
      </c>
      <c r="M4527" s="26">
        <v>90000</v>
      </c>
      <c r="N4527" s="26">
        <v>0</v>
      </c>
      <c r="O4527" s="15">
        <f t="shared" si="392"/>
        <v>90000</v>
      </c>
      <c r="P4527" s="15">
        <f t="shared" si="393"/>
        <v>9.141659150191364</v>
      </c>
      <c r="Q4527" s="25">
        <v>10000</v>
      </c>
      <c r="R4527" s="22">
        <v>98</v>
      </c>
      <c r="S4527" s="22" t="s">
        <v>5484</v>
      </c>
      <c r="T4527" s="22">
        <f t="shared" si="388"/>
        <v>4</v>
      </c>
      <c r="U4527" s="22">
        <f t="shared" si="389"/>
        <v>2022</v>
      </c>
      <c r="V4527" s="22" t="str">
        <f t="shared" si="390"/>
        <v>METROPOLITANA</v>
      </c>
    </row>
    <row r="4528" spans="1:22" x14ac:dyDescent="0.2">
      <c r="A4528" s="23" t="s">
        <v>5482</v>
      </c>
      <c r="B4528" s="22" t="s">
        <v>18</v>
      </c>
      <c r="C4528" s="22" t="s">
        <v>29</v>
      </c>
      <c r="D4528" s="22" t="s">
        <v>164</v>
      </c>
      <c r="E4528" s="24" t="s">
        <v>28</v>
      </c>
      <c r="F4528" s="22" t="s">
        <v>39</v>
      </c>
      <c r="G4528" s="25">
        <v>9240</v>
      </c>
      <c r="H4528" s="22" t="s">
        <v>22</v>
      </c>
      <c r="I4528" s="22">
        <v>1</v>
      </c>
      <c r="J4528" s="22" t="s">
        <v>39</v>
      </c>
      <c r="K4528" s="22" t="s">
        <v>23</v>
      </c>
      <c r="L4528" s="22">
        <v>1</v>
      </c>
      <c r="M4528" s="26">
        <v>101640</v>
      </c>
      <c r="N4528" s="26">
        <v>0</v>
      </c>
      <c r="O4528" s="15">
        <f t="shared" si="392"/>
        <v>101640</v>
      </c>
      <c r="P4528" s="15">
        <f t="shared" si="393"/>
        <v>11</v>
      </c>
      <c r="Q4528" s="25">
        <v>5000</v>
      </c>
      <c r="R4528" s="22">
        <v>100</v>
      </c>
      <c r="S4528" s="22" t="s">
        <v>5485</v>
      </c>
      <c r="T4528" s="22">
        <f t="shared" si="388"/>
        <v>4</v>
      </c>
      <c r="U4528" s="22">
        <f t="shared" si="389"/>
        <v>2022</v>
      </c>
      <c r="V4528" s="22" t="str">
        <f t="shared" si="390"/>
        <v>METROPOLITANA</v>
      </c>
    </row>
    <row r="4529" spans="1:22" x14ac:dyDescent="0.2">
      <c r="A4529" s="23" t="s">
        <v>5482</v>
      </c>
      <c r="B4529" s="22" t="s">
        <v>33</v>
      </c>
      <c r="C4529" s="22" t="s">
        <v>270</v>
      </c>
      <c r="D4529" s="22" t="s">
        <v>2955</v>
      </c>
      <c r="E4529" s="24" t="s">
        <v>2956</v>
      </c>
      <c r="F4529" s="22" t="s">
        <v>120</v>
      </c>
      <c r="G4529" s="25">
        <v>7963.5000000000027</v>
      </c>
      <c r="H4529" s="22" t="s">
        <v>24</v>
      </c>
      <c r="I4529" s="22">
        <v>1</v>
      </c>
      <c r="J4529" s="22" t="s">
        <v>120</v>
      </c>
      <c r="K4529" s="22" t="s">
        <v>23</v>
      </c>
      <c r="L4529" s="22">
        <v>5</v>
      </c>
      <c r="M4529" s="26">
        <v>120000</v>
      </c>
      <c r="N4529" s="26">
        <v>0</v>
      </c>
      <c r="O4529" s="15">
        <f t="shared" si="392"/>
        <v>120000</v>
      </c>
      <c r="P4529" s="15">
        <f t="shared" si="393"/>
        <v>15.068751177246181</v>
      </c>
      <c r="Q4529" s="25">
        <v>10000</v>
      </c>
      <c r="R4529" s="22">
        <v>80</v>
      </c>
      <c r="S4529" s="22" t="s">
        <v>5486</v>
      </c>
      <c r="T4529" s="22">
        <f t="shared" si="388"/>
        <v>4</v>
      </c>
      <c r="U4529" s="22">
        <f t="shared" si="389"/>
        <v>2022</v>
      </c>
      <c r="V4529" s="22" t="str">
        <f t="shared" si="390"/>
        <v>METROPOLITANA</v>
      </c>
    </row>
    <row r="4530" spans="1:22" x14ac:dyDescent="0.2">
      <c r="A4530" s="23" t="s">
        <v>5482</v>
      </c>
      <c r="B4530" s="22" t="s">
        <v>33</v>
      </c>
      <c r="C4530" s="22" t="s">
        <v>60</v>
      </c>
      <c r="D4530" s="22" t="s">
        <v>38</v>
      </c>
      <c r="E4530" s="24" t="s">
        <v>42</v>
      </c>
      <c r="F4530" s="22" t="s">
        <v>737</v>
      </c>
      <c r="G4530" s="25">
        <f>2251.2+6452</f>
        <v>8703.2000000000007</v>
      </c>
      <c r="H4530" s="22" t="s">
        <v>43</v>
      </c>
      <c r="I4530" s="22">
        <v>0</v>
      </c>
      <c r="J4530" s="22" t="s">
        <v>737</v>
      </c>
      <c r="K4530" s="22" t="s">
        <v>78</v>
      </c>
      <c r="L4530" s="22">
        <v>0</v>
      </c>
      <c r="M4530" s="26">
        <v>180000</v>
      </c>
      <c r="N4530" s="26">
        <v>0</v>
      </c>
      <c r="O4530" s="15">
        <f t="shared" si="392"/>
        <v>180000</v>
      </c>
      <c r="P4530" s="15">
        <f t="shared" si="393"/>
        <v>20.682047982351317</v>
      </c>
      <c r="Q4530" s="25">
        <v>20000</v>
      </c>
      <c r="R4530" s="22">
        <v>100</v>
      </c>
      <c r="S4530" s="22" t="s">
        <v>5495</v>
      </c>
      <c r="T4530" s="22">
        <f t="shared" si="388"/>
        <v>4</v>
      </c>
      <c r="U4530" s="22">
        <f t="shared" si="389"/>
        <v>2022</v>
      </c>
      <c r="V4530" s="22" t="str">
        <f t="shared" si="390"/>
        <v>REGIONES</v>
      </c>
    </row>
    <row r="4531" spans="1:22" x14ac:dyDescent="0.2">
      <c r="A4531" s="23" t="s">
        <v>5482</v>
      </c>
      <c r="B4531" s="22" t="s">
        <v>33</v>
      </c>
      <c r="C4531" s="22" t="s">
        <v>60</v>
      </c>
      <c r="D4531" s="22" t="s">
        <v>47</v>
      </c>
      <c r="E4531" s="24" t="s">
        <v>49</v>
      </c>
      <c r="F4531" s="22" t="s">
        <v>51</v>
      </c>
      <c r="G4531" s="25">
        <v>3718.04</v>
      </c>
      <c r="H4531" s="22" t="s">
        <v>22</v>
      </c>
      <c r="I4531" s="22">
        <v>0</v>
      </c>
      <c r="J4531" s="22" t="s">
        <v>51</v>
      </c>
      <c r="K4531" s="22" t="s">
        <v>23</v>
      </c>
      <c r="L4531" s="22">
        <v>4</v>
      </c>
      <c r="M4531" s="26">
        <v>55000</v>
      </c>
      <c r="N4531" s="26">
        <v>0</v>
      </c>
      <c r="O4531" s="15">
        <f t="shared" si="392"/>
        <v>55000</v>
      </c>
      <c r="P4531" s="15">
        <f t="shared" si="393"/>
        <v>14.79274026099773</v>
      </c>
      <c r="Q4531" s="25">
        <v>5000</v>
      </c>
      <c r="R4531" s="22">
        <v>74</v>
      </c>
      <c r="S4531" s="22" t="s">
        <v>5487</v>
      </c>
      <c r="T4531" s="22">
        <f t="shared" si="388"/>
        <v>4</v>
      </c>
      <c r="U4531" s="22">
        <f t="shared" si="389"/>
        <v>2022</v>
      </c>
      <c r="V4531" s="22" t="str">
        <f t="shared" si="390"/>
        <v>METROPOLITANA</v>
      </c>
    </row>
    <row r="4532" spans="1:22" x14ac:dyDescent="0.2">
      <c r="A4532" s="23" t="s">
        <v>5482</v>
      </c>
      <c r="B4532" s="22" t="s">
        <v>33</v>
      </c>
      <c r="C4532" s="22" t="s">
        <v>29</v>
      </c>
      <c r="D4532" s="22" t="s">
        <v>37</v>
      </c>
      <c r="E4532" s="24" t="s">
        <v>1457</v>
      </c>
      <c r="F4532" s="22" t="s">
        <v>39</v>
      </c>
      <c r="G4532" s="25">
        <f>1099.2+1649</f>
        <v>2748.2</v>
      </c>
      <c r="H4532" s="22" t="s">
        <v>22</v>
      </c>
      <c r="I4532" s="22">
        <v>0</v>
      </c>
      <c r="J4532" s="22" t="s">
        <v>39</v>
      </c>
      <c r="K4532" s="22" t="s">
        <v>23</v>
      </c>
      <c r="L4532" s="22">
        <v>1</v>
      </c>
      <c r="M4532" s="26">
        <v>55000</v>
      </c>
      <c r="N4532" s="26">
        <v>0</v>
      </c>
      <c r="O4532" s="15">
        <f t="shared" si="392"/>
        <v>55000</v>
      </c>
      <c r="P4532" s="15">
        <f t="shared" si="393"/>
        <v>20.013099483298159</v>
      </c>
      <c r="Q4532" s="25">
        <v>5000</v>
      </c>
      <c r="R4532" s="22">
        <v>55</v>
      </c>
      <c r="S4532" s="22" t="s">
        <v>5496</v>
      </c>
      <c r="T4532" s="22">
        <f t="shared" si="388"/>
        <v>4</v>
      </c>
      <c r="U4532" s="22">
        <f t="shared" si="389"/>
        <v>2022</v>
      </c>
      <c r="V4532" s="22" t="str">
        <f t="shared" si="390"/>
        <v>METROPOLITANA</v>
      </c>
    </row>
    <row r="4533" spans="1:22" x14ac:dyDescent="0.2">
      <c r="A4533" s="23" t="s">
        <v>5482</v>
      </c>
      <c r="B4533" s="22" t="s">
        <v>33</v>
      </c>
      <c r="C4533" s="22" t="s">
        <v>29</v>
      </c>
      <c r="D4533" s="22" t="s">
        <v>164</v>
      </c>
      <c r="E4533" s="24" t="s">
        <v>28</v>
      </c>
      <c r="F4533" s="22" t="s">
        <v>39</v>
      </c>
      <c r="G4533" s="25">
        <v>19641.599999999999</v>
      </c>
      <c r="H4533" s="22" t="s">
        <v>22</v>
      </c>
      <c r="I4533" s="22">
        <v>1</v>
      </c>
      <c r="J4533" s="22" t="s">
        <v>39</v>
      </c>
      <c r="K4533" s="22" t="s">
        <v>23</v>
      </c>
      <c r="L4533" s="22">
        <v>1</v>
      </c>
      <c r="M4533" s="26">
        <v>216058</v>
      </c>
      <c r="N4533" s="26">
        <v>0</v>
      </c>
      <c r="O4533" s="15">
        <f t="shared" si="392"/>
        <v>216058</v>
      </c>
      <c r="P4533" s="15">
        <f t="shared" si="393"/>
        <v>11.00002036493972</v>
      </c>
      <c r="Q4533" s="25">
        <v>5000</v>
      </c>
      <c r="R4533" s="22">
        <v>100</v>
      </c>
      <c r="S4533" s="22" t="s">
        <v>5488</v>
      </c>
      <c r="T4533" s="22">
        <f t="shared" si="388"/>
        <v>4</v>
      </c>
      <c r="U4533" s="22">
        <f t="shared" si="389"/>
        <v>2022</v>
      </c>
      <c r="V4533" s="22" t="str">
        <f t="shared" si="390"/>
        <v>METROPOLITANA</v>
      </c>
    </row>
    <row r="4534" spans="1:22" x14ac:dyDescent="0.2">
      <c r="A4534" s="23" t="s">
        <v>5482</v>
      </c>
      <c r="B4534" s="22" t="s">
        <v>33</v>
      </c>
      <c r="C4534" s="22" t="s">
        <v>29</v>
      </c>
      <c r="D4534" s="22" t="s">
        <v>20</v>
      </c>
      <c r="E4534" s="24" t="s">
        <v>5181</v>
      </c>
      <c r="F4534" s="22" t="s">
        <v>39</v>
      </c>
      <c r="G4534" s="25">
        <f>1648.8+1099</f>
        <v>2747.8</v>
      </c>
      <c r="H4534" s="22" t="s">
        <v>22</v>
      </c>
      <c r="I4534" s="22">
        <v>0</v>
      </c>
      <c r="J4534" s="22" t="s">
        <v>39</v>
      </c>
      <c r="K4534" s="22" t="s">
        <v>23</v>
      </c>
      <c r="L4534" s="22">
        <v>1</v>
      </c>
      <c r="M4534" s="26">
        <v>55000</v>
      </c>
      <c r="N4534" s="26">
        <v>0</v>
      </c>
      <c r="O4534" s="15">
        <f t="shared" si="392"/>
        <v>55000</v>
      </c>
      <c r="P4534" s="15">
        <f t="shared" si="393"/>
        <v>20.016012810248196</v>
      </c>
      <c r="Q4534" s="25">
        <v>5000</v>
      </c>
      <c r="R4534" s="22">
        <v>55</v>
      </c>
      <c r="S4534" s="22" t="s">
        <v>5497</v>
      </c>
      <c r="T4534" s="22">
        <f t="shared" si="388"/>
        <v>4</v>
      </c>
      <c r="U4534" s="22">
        <f t="shared" si="389"/>
        <v>2022</v>
      </c>
      <c r="V4534" s="22" t="str">
        <f t="shared" si="390"/>
        <v>METROPOLITANA</v>
      </c>
    </row>
    <row r="4535" spans="1:22" x14ac:dyDescent="0.2">
      <c r="A4535" s="23" t="s">
        <v>5482</v>
      </c>
      <c r="B4535" s="22" t="s">
        <v>33</v>
      </c>
      <c r="C4535" s="22" t="s">
        <v>44</v>
      </c>
      <c r="D4535" s="22" t="s">
        <v>2825</v>
      </c>
      <c r="E4535" s="24" t="s">
        <v>639</v>
      </c>
      <c r="F4535" s="22" t="s">
        <v>66</v>
      </c>
      <c r="G4535" s="25">
        <v>11536.86000000001</v>
      </c>
      <c r="H4535" s="22" t="s">
        <v>24</v>
      </c>
      <c r="I4535" s="22">
        <v>1</v>
      </c>
      <c r="J4535" s="22" t="s">
        <v>66</v>
      </c>
      <c r="K4535" s="22" t="s">
        <v>75</v>
      </c>
      <c r="L4535" s="22">
        <v>0</v>
      </c>
      <c r="M4535" s="26">
        <v>430000</v>
      </c>
      <c r="N4535" s="26">
        <v>0</v>
      </c>
      <c r="O4535" s="15">
        <f t="shared" si="392"/>
        <v>430000</v>
      </c>
      <c r="P4535" s="15">
        <f t="shared" si="393"/>
        <v>37.271839998058368</v>
      </c>
      <c r="Q4535" s="25">
        <v>20000</v>
      </c>
      <c r="R4535" s="22">
        <v>58</v>
      </c>
      <c r="S4535" s="22" t="s">
        <v>5489</v>
      </c>
      <c r="T4535" s="22">
        <f t="shared" si="388"/>
        <v>4</v>
      </c>
      <c r="U4535" s="22">
        <f t="shared" si="389"/>
        <v>2022</v>
      </c>
      <c r="V4535" s="22" t="str">
        <f t="shared" si="390"/>
        <v>REGIONES</v>
      </c>
    </row>
    <row r="4536" spans="1:22" x14ac:dyDescent="0.2">
      <c r="A4536" s="23" t="s">
        <v>5482</v>
      </c>
      <c r="B4536" s="22" t="s">
        <v>33</v>
      </c>
      <c r="C4536" s="22" t="s">
        <v>44</v>
      </c>
      <c r="D4536" s="22" t="s">
        <v>63</v>
      </c>
      <c r="E4536" s="24" t="s">
        <v>5490</v>
      </c>
      <c r="F4536" s="22" t="s">
        <v>46</v>
      </c>
      <c r="G4536" s="25">
        <v>3981.91</v>
      </c>
      <c r="H4536" s="22" t="s">
        <v>65</v>
      </c>
      <c r="I4536" s="22">
        <v>0</v>
      </c>
      <c r="J4536" s="22" t="s">
        <v>46</v>
      </c>
      <c r="K4536" s="22" t="s">
        <v>23</v>
      </c>
      <c r="L4536" s="22">
        <v>2</v>
      </c>
      <c r="M4536" s="26">
        <v>55000</v>
      </c>
      <c r="N4536" s="26">
        <v>0</v>
      </c>
      <c r="O4536" s="15">
        <f t="shared" si="392"/>
        <v>55000</v>
      </c>
      <c r="P4536" s="15">
        <f t="shared" si="393"/>
        <v>13.812466881471455</v>
      </c>
      <c r="Q4536" s="25">
        <v>5000</v>
      </c>
      <c r="R4536" s="22">
        <v>80</v>
      </c>
      <c r="S4536" s="22" t="s">
        <v>5491</v>
      </c>
      <c r="T4536" s="22">
        <f t="shared" si="388"/>
        <v>4</v>
      </c>
      <c r="U4536" s="22">
        <f t="shared" si="389"/>
        <v>2022</v>
      </c>
      <c r="V4536" s="22" t="str">
        <f t="shared" si="390"/>
        <v>METROPOLITANA</v>
      </c>
    </row>
    <row r="4537" spans="1:22" x14ac:dyDescent="0.2">
      <c r="A4537" s="23" t="s">
        <v>5482</v>
      </c>
      <c r="B4537" s="22" t="s">
        <v>33</v>
      </c>
      <c r="C4537" s="22" t="s">
        <v>44</v>
      </c>
      <c r="D4537" s="22" t="s">
        <v>45</v>
      </c>
      <c r="E4537" s="24" t="s">
        <v>52</v>
      </c>
      <c r="F4537" s="22" t="s">
        <v>137</v>
      </c>
      <c r="G4537" s="25">
        <v>5106.0099999999984</v>
      </c>
      <c r="H4537" s="22" t="s">
        <v>22</v>
      </c>
      <c r="I4537" s="22">
        <v>0</v>
      </c>
      <c r="J4537" s="22" t="s">
        <v>137</v>
      </c>
      <c r="K4537" s="22" t="s">
        <v>23</v>
      </c>
      <c r="L4537" s="22">
        <v>1</v>
      </c>
      <c r="M4537" s="26">
        <v>56166</v>
      </c>
      <c r="N4537" s="26">
        <v>0</v>
      </c>
      <c r="O4537" s="15">
        <f t="shared" si="392"/>
        <v>56166</v>
      </c>
      <c r="P4537" s="15">
        <f t="shared" si="393"/>
        <v>10.999978456759782</v>
      </c>
      <c r="Q4537" s="25">
        <v>5000</v>
      </c>
      <c r="R4537" s="22">
        <v>100</v>
      </c>
      <c r="S4537" s="22" t="s">
        <v>5492</v>
      </c>
      <c r="T4537" s="22">
        <f t="shared" si="388"/>
        <v>4</v>
      </c>
      <c r="U4537" s="22">
        <f t="shared" si="389"/>
        <v>2022</v>
      </c>
      <c r="V4537" s="22" t="str">
        <f t="shared" si="390"/>
        <v>METROPOLITANA</v>
      </c>
    </row>
    <row r="4538" spans="1:22" x14ac:dyDescent="0.2">
      <c r="A4538" s="23" t="s">
        <v>5482</v>
      </c>
      <c r="B4538" s="22" t="s">
        <v>33</v>
      </c>
      <c r="C4538" s="22" t="s">
        <v>44</v>
      </c>
      <c r="D4538" s="22" t="s">
        <v>47</v>
      </c>
      <c r="E4538" s="24" t="s">
        <v>49</v>
      </c>
      <c r="F4538" s="22" t="s">
        <v>34</v>
      </c>
      <c r="G4538" s="25">
        <v>4888.04</v>
      </c>
      <c r="H4538" s="22" t="s">
        <v>22</v>
      </c>
      <c r="I4538" s="22">
        <v>0</v>
      </c>
      <c r="J4538" s="22" t="s">
        <v>34</v>
      </c>
      <c r="K4538" s="22" t="s">
        <v>23</v>
      </c>
      <c r="L4538" s="22">
        <v>1</v>
      </c>
      <c r="M4538" s="26">
        <v>55000</v>
      </c>
      <c r="N4538" s="26">
        <v>0</v>
      </c>
      <c r="O4538" s="15">
        <f t="shared" si="392"/>
        <v>55000</v>
      </c>
      <c r="P4538" s="15">
        <f t="shared" si="393"/>
        <v>11.251953748332665</v>
      </c>
      <c r="Q4538" s="25">
        <v>5000</v>
      </c>
      <c r="R4538" s="22">
        <v>98</v>
      </c>
      <c r="S4538" s="22" t="s">
        <v>5493</v>
      </c>
      <c r="T4538" s="22">
        <f t="shared" si="388"/>
        <v>4</v>
      </c>
      <c r="U4538" s="22">
        <f t="shared" si="389"/>
        <v>2022</v>
      </c>
      <c r="V4538" s="22" t="str">
        <f t="shared" si="390"/>
        <v>METROPOLITANA</v>
      </c>
    </row>
    <row r="4539" spans="1:22" x14ac:dyDescent="0.2">
      <c r="A4539" s="11" t="s">
        <v>5498</v>
      </c>
      <c r="B4539" s="12" t="s">
        <v>18</v>
      </c>
      <c r="C4539" s="12" t="s">
        <v>1173</v>
      </c>
      <c r="D4539" s="12" t="s">
        <v>37</v>
      </c>
      <c r="E4539" s="13" t="s">
        <v>40</v>
      </c>
      <c r="F4539" s="12" t="s">
        <v>182</v>
      </c>
      <c r="G4539" s="14">
        <v>10230.450000000001</v>
      </c>
      <c r="H4539" s="12" t="s">
        <v>22</v>
      </c>
      <c r="I4539" s="12">
        <v>0</v>
      </c>
      <c r="J4539" s="12" t="s">
        <v>182</v>
      </c>
      <c r="K4539" s="12" t="s">
        <v>23</v>
      </c>
      <c r="L4539" s="12">
        <v>4</v>
      </c>
      <c r="M4539" s="15">
        <v>112535</v>
      </c>
      <c r="N4539" s="15">
        <v>0</v>
      </c>
      <c r="O4539" s="15">
        <f t="shared" si="392"/>
        <v>112535</v>
      </c>
      <c r="P4539" s="15">
        <f t="shared" si="393"/>
        <v>11.000004887370546</v>
      </c>
      <c r="Q4539" s="14">
        <v>5000</v>
      </c>
      <c r="R4539" s="12">
        <v>100</v>
      </c>
      <c r="S4539" s="12" t="s">
        <v>5499</v>
      </c>
      <c r="T4539" s="22">
        <f t="shared" si="388"/>
        <v>4</v>
      </c>
      <c r="U4539" s="22">
        <f t="shared" si="389"/>
        <v>2022</v>
      </c>
      <c r="V4539" s="22" t="str">
        <f t="shared" si="390"/>
        <v>METROPOLITANA</v>
      </c>
    </row>
    <row r="4540" spans="1:22" x14ac:dyDescent="0.2">
      <c r="A4540" s="11" t="s">
        <v>5498</v>
      </c>
      <c r="B4540" s="12" t="s">
        <v>33</v>
      </c>
      <c r="C4540" s="12" t="s">
        <v>60</v>
      </c>
      <c r="D4540" s="12" t="s">
        <v>63</v>
      </c>
      <c r="E4540" s="13" t="s">
        <v>64</v>
      </c>
      <c r="F4540" s="12" t="s">
        <v>51</v>
      </c>
      <c r="G4540" s="14">
        <v>8453.9999999999982</v>
      </c>
      <c r="H4540" s="12" t="s">
        <v>65</v>
      </c>
      <c r="I4540" s="12">
        <v>0</v>
      </c>
      <c r="J4540" s="12" t="s">
        <v>51</v>
      </c>
      <c r="K4540" s="12" t="s">
        <v>23</v>
      </c>
      <c r="L4540" s="12">
        <v>4</v>
      </c>
      <c r="M4540" s="15">
        <v>92994</v>
      </c>
      <c r="N4540" s="15">
        <v>0</v>
      </c>
      <c r="O4540" s="15">
        <f t="shared" si="392"/>
        <v>92994</v>
      </c>
      <c r="P4540" s="15">
        <f t="shared" si="393"/>
        <v>11.000000000000002</v>
      </c>
      <c r="Q4540" s="14">
        <v>5000</v>
      </c>
      <c r="R4540" s="12">
        <v>100</v>
      </c>
      <c r="S4540" s="12" t="s">
        <v>5500</v>
      </c>
      <c r="T4540" s="22">
        <f t="shared" si="388"/>
        <v>4</v>
      </c>
      <c r="U4540" s="22">
        <f t="shared" si="389"/>
        <v>2022</v>
      </c>
      <c r="V4540" s="22" t="str">
        <f t="shared" si="390"/>
        <v>METROPOLITANA</v>
      </c>
    </row>
    <row r="4541" spans="1:22" x14ac:dyDescent="0.2">
      <c r="A4541" s="11" t="s">
        <v>5498</v>
      </c>
      <c r="B4541" s="12" t="s">
        <v>33</v>
      </c>
      <c r="C4541" s="12" t="s">
        <v>128</v>
      </c>
      <c r="D4541" s="12" t="s">
        <v>786</v>
      </c>
      <c r="E4541" s="13" t="s">
        <v>1891</v>
      </c>
      <c r="F4541" s="12" t="s">
        <v>129</v>
      </c>
      <c r="G4541" s="14">
        <v>8244.0000000000036</v>
      </c>
      <c r="H4541" s="12" t="s">
        <v>788</v>
      </c>
      <c r="I4541" s="12">
        <v>1</v>
      </c>
      <c r="J4541" s="12" t="s">
        <v>129</v>
      </c>
      <c r="K4541" s="12" t="s">
        <v>23</v>
      </c>
      <c r="L4541" s="12">
        <v>1</v>
      </c>
      <c r="M4541" s="15">
        <v>90684</v>
      </c>
      <c r="N4541" s="15">
        <v>0</v>
      </c>
      <c r="O4541" s="15">
        <f t="shared" si="392"/>
        <v>90684</v>
      </c>
      <c r="P4541" s="15">
        <f t="shared" si="393"/>
        <v>10.999999999999995</v>
      </c>
      <c r="Q4541" s="14">
        <v>5000</v>
      </c>
      <c r="R4541" s="12">
        <v>100</v>
      </c>
      <c r="S4541" s="12" t="s">
        <v>5501</v>
      </c>
      <c r="T4541" s="22">
        <f t="shared" si="388"/>
        <v>4</v>
      </c>
      <c r="U4541" s="22">
        <f t="shared" si="389"/>
        <v>2022</v>
      </c>
      <c r="V4541" s="22" t="str">
        <f t="shared" si="390"/>
        <v>METROPOLITANA</v>
      </c>
    </row>
    <row r="4542" spans="1:22" x14ac:dyDescent="0.2">
      <c r="A4542" s="11" t="s">
        <v>5498</v>
      </c>
      <c r="B4542" s="12" t="s">
        <v>33</v>
      </c>
      <c r="C4542" s="12" t="s">
        <v>128</v>
      </c>
      <c r="D4542" s="12" t="s">
        <v>2955</v>
      </c>
      <c r="E4542" s="13" t="s">
        <v>2956</v>
      </c>
      <c r="F4542" s="12" t="s">
        <v>129</v>
      </c>
      <c r="G4542" s="14">
        <v>8244.0000000000036</v>
      </c>
      <c r="H4542" s="12" t="s">
        <v>24</v>
      </c>
      <c r="I4542" s="12">
        <v>1</v>
      </c>
      <c r="J4542" s="12" t="s">
        <v>129</v>
      </c>
      <c r="K4542" s="12" t="s">
        <v>23</v>
      </c>
      <c r="L4542" s="12">
        <v>1</v>
      </c>
      <c r="M4542" s="15">
        <v>90684</v>
      </c>
      <c r="N4542" s="15">
        <v>0</v>
      </c>
      <c r="O4542" s="15">
        <f t="shared" si="392"/>
        <v>90684</v>
      </c>
      <c r="P4542" s="15">
        <f t="shared" si="393"/>
        <v>10.999999999999995</v>
      </c>
      <c r="Q4542" s="14">
        <v>5000</v>
      </c>
      <c r="R4542" s="12">
        <v>100</v>
      </c>
      <c r="S4542" s="12" t="s">
        <v>5502</v>
      </c>
      <c r="T4542" s="22">
        <f t="shared" si="388"/>
        <v>4</v>
      </c>
      <c r="U4542" s="22">
        <f t="shared" si="389"/>
        <v>2022</v>
      </c>
      <c r="V4542" s="22" t="str">
        <f t="shared" si="390"/>
        <v>METROPOLITANA</v>
      </c>
    </row>
    <row r="4543" spans="1:22" x14ac:dyDescent="0.2">
      <c r="A4543" s="11" t="s">
        <v>5498</v>
      </c>
      <c r="B4543" s="12" t="s">
        <v>33</v>
      </c>
      <c r="C4543" s="12" t="s">
        <v>29</v>
      </c>
      <c r="D4543" s="12" t="s">
        <v>41</v>
      </c>
      <c r="E4543" s="13" t="s">
        <v>25</v>
      </c>
      <c r="F4543" s="12" t="s">
        <v>39</v>
      </c>
      <c r="G4543" s="14">
        <v>2748</v>
      </c>
      <c r="H4543" s="12" t="s">
        <v>43</v>
      </c>
      <c r="I4543" s="12">
        <v>0</v>
      </c>
      <c r="J4543" s="12" t="s">
        <v>39</v>
      </c>
      <c r="K4543" s="12" t="s">
        <v>23</v>
      </c>
      <c r="L4543" s="12">
        <v>1</v>
      </c>
      <c r="M4543" s="15">
        <v>55000</v>
      </c>
      <c r="N4543" s="15">
        <v>0</v>
      </c>
      <c r="O4543" s="15">
        <f t="shared" ref="O4543:O4574" si="394">SUM(M4543:N4543)</f>
        <v>55000</v>
      </c>
      <c r="P4543" s="15">
        <f t="shared" si="393"/>
        <v>20.014556040756915</v>
      </c>
      <c r="Q4543" s="14">
        <v>5000</v>
      </c>
      <c r="R4543" s="12">
        <v>55</v>
      </c>
      <c r="S4543" s="12" t="s">
        <v>5503</v>
      </c>
      <c r="T4543" s="22">
        <f t="shared" si="388"/>
        <v>4</v>
      </c>
      <c r="U4543" s="22">
        <f t="shared" si="389"/>
        <v>2022</v>
      </c>
      <c r="V4543" s="22" t="str">
        <f t="shared" si="390"/>
        <v>METROPOLITANA</v>
      </c>
    </row>
    <row r="4544" spans="1:22" x14ac:dyDescent="0.2">
      <c r="A4544" s="11" t="s">
        <v>5498</v>
      </c>
      <c r="B4544" s="12" t="s">
        <v>33</v>
      </c>
      <c r="C4544" s="12" t="s">
        <v>29</v>
      </c>
      <c r="D4544" s="12" t="s">
        <v>164</v>
      </c>
      <c r="E4544" s="13" t="s">
        <v>28</v>
      </c>
      <c r="F4544" s="12" t="s">
        <v>39</v>
      </c>
      <c r="G4544" s="14">
        <v>8244.0000000000036</v>
      </c>
      <c r="H4544" s="12" t="s">
        <v>22</v>
      </c>
      <c r="I4544" s="12">
        <v>1</v>
      </c>
      <c r="J4544" s="12" t="s">
        <v>39</v>
      </c>
      <c r="K4544" s="12" t="s">
        <v>23</v>
      </c>
      <c r="L4544" s="12">
        <v>1</v>
      </c>
      <c r="M4544" s="15">
        <v>90684</v>
      </c>
      <c r="N4544" s="15">
        <v>0</v>
      </c>
      <c r="O4544" s="15">
        <f t="shared" si="394"/>
        <v>90684</v>
      </c>
      <c r="P4544" s="15">
        <f t="shared" si="393"/>
        <v>10.999999999999995</v>
      </c>
      <c r="Q4544" s="14">
        <v>5000</v>
      </c>
      <c r="R4544" s="12">
        <v>100</v>
      </c>
      <c r="S4544" s="12" t="s">
        <v>5504</v>
      </c>
      <c r="T4544" s="22">
        <f t="shared" si="388"/>
        <v>4</v>
      </c>
      <c r="U4544" s="22">
        <f t="shared" si="389"/>
        <v>2022</v>
      </c>
      <c r="V4544" s="22" t="str">
        <f t="shared" si="390"/>
        <v>METROPOLITANA</v>
      </c>
    </row>
    <row r="4545" spans="1:22" x14ac:dyDescent="0.2">
      <c r="A4545" s="11" t="s">
        <v>5498</v>
      </c>
      <c r="B4545" s="12" t="s">
        <v>33</v>
      </c>
      <c r="C4545" s="12" t="s">
        <v>29</v>
      </c>
      <c r="D4545" s="12" t="s">
        <v>20</v>
      </c>
      <c r="E4545" s="13" t="s">
        <v>21</v>
      </c>
      <c r="F4545" s="12" t="s">
        <v>39</v>
      </c>
      <c r="G4545" s="14">
        <v>2748</v>
      </c>
      <c r="H4545" s="12" t="s">
        <v>22</v>
      </c>
      <c r="I4545" s="12">
        <v>0</v>
      </c>
      <c r="J4545" s="12" t="s">
        <v>39</v>
      </c>
      <c r="K4545" s="12" t="s">
        <v>23</v>
      </c>
      <c r="L4545" s="12">
        <v>1</v>
      </c>
      <c r="M4545" s="15">
        <v>55000</v>
      </c>
      <c r="N4545" s="15">
        <v>0</v>
      </c>
      <c r="O4545" s="15">
        <f t="shared" si="394"/>
        <v>55000</v>
      </c>
      <c r="P4545" s="15">
        <f t="shared" si="393"/>
        <v>20.014556040756915</v>
      </c>
      <c r="Q4545" s="14">
        <v>5000</v>
      </c>
      <c r="R4545" s="12">
        <v>55</v>
      </c>
      <c r="S4545" s="12" t="s">
        <v>5505</v>
      </c>
      <c r="T4545" s="22">
        <f t="shared" si="388"/>
        <v>4</v>
      </c>
      <c r="U4545" s="22">
        <f t="shared" si="389"/>
        <v>2022</v>
      </c>
      <c r="V4545" s="22" t="str">
        <f t="shared" si="390"/>
        <v>METROPOLITANA</v>
      </c>
    </row>
    <row r="4546" spans="1:22" x14ac:dyDescent="0.2">
      <c r="A4546" s="11" t="s">
        <v>5498</v>
      </c>
      <c r="B4546" s="12" t="s">
        <v>33</v>
      </c>
      <c r="C4546" s="12" t="s">
        <v>44</v>
      </c>
      <c r="D4546" s="12" t="s">
        <v>37</v>
      </c>
      <c r="E4546" s="13" t="s">
        <v>40</v>
      </c>
      <c r="F4546" s="12" t="s">
        <v>48</v>
      </c>
      <c r="G4546" s="14">
        <f>6352+1601</f>
        <v>7953</v>
      </c>
      <c r="H4546" s="12" t="s">
        <v>22</v>
      </c>
      <c r="I4546" s="12">
        <v>0</v>
      </c>
      <c r="J4546" s="12" t="s">
        <v>48</v>
      </c>
      <c r="K4546" s="12" t="s">
        <v>23</v>
      </c>
      <c r="L4546" s="12">
        <v>1</v>
      </c>
      <c r="M4546" s="15">
        <v>69872</v>
      </c>
      <c r="N4546" s="15">
        <v>0</v>
      </c>
      <c r="O4546" s="15">
        <f t="shared" si="394"/>
        <v>69872</v>
      </c>
      <c r="P4546" s="15">
        <f t="shared" si="393"/>
        <v>8.7856154910096826</v>
      </c>
      <c r="Q4546" s="14">
        <v>5000</v>
      </c>
      <c r="R4546" s="12">
        <v>100</v>
      </c>
      <c r="S4546" s="12" t="s">
        <v>5508</v>
      </c>
      <c r="T4546" s="22">
        <f t="shared" si="388"/>
        <v>4</v>
      </c>
      <c r="U4546" s="22">
        <f t="shared" si="389"/>
        <v>2022</v>
      </c>
      <c r="V4546" s="22" t="str">
        <f t="shared" si="390"/>
        <v>METROPOLITANA</v>
      </c>
    </row>
    <row r="4547" spans="1:22" x14ac:dyDescent="0.2">
      <c r="A4547" s="11" t="s">
        <v>5498</v>
      </c>
      <c r="B4547" s="12" t="s">
        <v>33</v>
      </c>
      <c r="C4547" s="12" t="s">
        <v>44</v>
      </c>
      <c r="D4547" s="12" t="s">
        <v>45</v>
      </c>
      <c r="E4547" s="13" t="s">
        <v>52</v>
      </c>
      <c r="F4547" s="12" t="s">
        <v>95</v>
      </c>
      <c r="G4547" s="14">
        <v>3579.2000000000012</v>
      </c>
      <c r="H4547" s="12" t="s">
        <v>22</v>
      </c>
      <c r="I4547" s="12">
        <v>0</v>
      </c>
      <c r="J4547" s="12" t="s">
        <v>95</v>
      </c>
      <c r="K4547" s="12" t="s">
        <v>23</v>
      </c>
      <c r="L4547" s="12">
        <v>4</v>
      </c>
      <c r="M4547" s="15">
        <v>55000</v>
      </c>
      <c r="N4547" s="15">
        <v>0</v>
      </c>
      <c r="O4547" s="15">
        <f t="shared" si="394"/>
        <v>55000</v>
      </c>
      <c r="P4547" s="15">
        <f t="shared" si="393"/>
        <v>15.366562360303973</v>
      </c>
      <c r="Q4547" s="14">
        <v>5000</v>
      </c>
      <c r="R4547" s="12">
        <v>72</v>
      </c>
      <c r="S4547" s="12" t="s">
        <v>5506</v>
      </c>
      <c r="T4547" s="22">
        <f t="shared" si="388"/>
        <v>4</v>
      </c>
      <c r="U4547" s="22">
        <f t="shared" si="389"/>
        <v>2022</v>
      </c>
      <c r="V4547" s="22" t="str">
        <f t="shared" si="390"/>
        <v>METROPOLITANA</v>
      </c>
    </row>
    <row r="4548" spans="1:22" x14ac:dyDescent="0.2">
      <c r="A4548" s="11" t="s">
        <v>5498</v>
      </c>
      <c r="B4548" s="12" t="s">
        <v>33</v>
      </c>
      <c r="C4548" s="12" t="s">
        <v>44</v>
      </c>
      <c r="D4548" s="12" t="s">
        <v>47</v>
      </c>
      <c r="E4548" s="13" t="s">
        <v>49</v>
      </c>
      <c r="F4548" s="12" t="s">
        <v>95</v>
      </c>
      <c r="G4548" s="14">
        <v>3666.1</v>
      </c>
      <c r="H4548" s="12" t="s">
        <v>22</v>
      </c>
      <c r="I4548" s="12">
        <v>0</v>
      </c>
      <c r="J4548" s="12" t="s">
        <v>95</v>
      </c>
      <c r="K4548" s="12" t="s">
        <v>23</v>
      </c>
      <c r="L4548" s="12">
        <v>4</v>
      </c>
      <c r="M4548" s="15">
        <v>55000</v>
      </c>
      <c r="N4548" s="15">
        <v>0</v>
      </c>
      <c r="O4548" s="15">
        <f t="shared" si="394"/>
        <v>55000</v>
      </c>
      <c r="P4548" s="15">
        <f t="shared" si="393"/>
        <v>15.002318540138022</v>
      </c>
      <c r="Q4548" s="14">
        <v>5000</v>
      </c>
      <c r="R4548" s="12">
        <v>73</v>
      </c>
      <c r="S4548" s="12" t="s">
        <v>5507</v>
      </c>
      <c r="T4548" s="22">
        <f t="shared" si="388"/>
        <v>4</v>
      </c>
      <c r="U4548" s="22">
        <f t="shared" si="389"/>
        <v>2022</v>
      </c>
      <c r="V4548" s="22" t="str">
        <f t="shared" si="390"/>
        <v>METROPOLITANA</v>
      </c>
    </row>
    <row r="4549" spans="1:22" x14ac:dyDescent="0.2">
      <c r="A4549" s="23" t="s">
        <v>5509</v>
      </c>
      <c r="B4549" s="22" t="s">
        <v>18</v>
      </c>
      <c r="C4549" s="22" t="s">
        <v>1173</v>
      </c>
      <c r="D4549" s="22" t="s">
        <v>37</v>
      </c>
      <c r="E4549" s="24" t="s">
        <v>40</v>
      </c>
      <c r="F4549" s="22" t="s">
        <v>182</v>
      </c>
      <c r="G4549" s="25">
        <v>8537.0399999999991</v>
      </c>
      <c r="H4549" s="22" t="s">
        <v>22</v>
      </c>
      <c r="I4549" s="22">
        <v>0</v>
      </c>
      <c r="J4549" s="22" t="s">
        <v>182</v>
      </c>
      <c r="K4549" s="22" t="s">
        <v>23</v>
      </c>
      <c r="L4549" s="22">
        <v>4</v>
      </c>
      <c r="M4549" s="26">
        <v>93907</v>
      </c>
      <c r="N4549" s="26">
        <v>0</v>
      </c>
      <c r="O4549" s="15">
        <f t="shared" si="394"/>
        <v>93907</v>
      </c>
      <c r="P4549" s="15">
        <f t="shared" si="393"/>
        <v>10.999948459887737</v>
      </c>
      <c r="Q4549" s="25">
        <v>5000</v>
      </c>
      <c r="R4549" s="22">
        <v>100</v>
      </c>
      <c r="S4549" s="22" t="s">
        <v>5510</v>
      </c>
      <c r="T4549" s="22">
        <f t="shared" si="388"/>
        <v>4</v>
      </c>
      <c r="U4549" s="22">
        <f t="shared" si="389"/>
        <v>2022</v>
      </c>
      <c r="V4549" s="22" t="str">
        <f t="shared" si="390"/>
        <v>METROPOLITANA</v>
      </c>
    </row>
    <row r="4550" spans="1:22" x14ac:dyDescent="0.2">
      <c r="A4550" s="23" t="s">
        <v>5509</v>
      </c>
      <c r="B4550" s="22" t="s">
        <v>18</v>
      </c>
      <c r="C4550" s="22" t="s">
        <v>19</v>
      </c>
      <c r="D4550" s="22" t="s">
        <v>38</v>
      </c>
      <c r="E4550" s="24" t="s">
        <v>25</v>
      </c>
      <c r="F4550" s="22" t="s">
        <v>51</v>
      </c>
      <c r="G4550" s="25">
        <v>6127.8499999999995</v>
      </c>
      <c r="H4550" s="22" t="s">
        <v>43</v>
      </c>
      <c r="I4550" s="22">
        <v>0</v>
      </c>
      <c r="J4550" s="22" t="s">
        <v>51</v>
      </c>
      <c r="K4550" s="22" t="s">
        <v>23</v>
      </c>
      <c r="L4550" s="22">
        <v>4</v>
      </c>
      <c r="M4550" s="26">
        <v>67406</v>
      </c>
      <c r="N4550" s="26">
        <v>0</v>
      </c>
      <c r="O4550" s="15">
        <f t="shared" si="394"/>
        <v>67406</v>
      </c>
      <c r="P4550" s="15">
        <f t="shared" si="393"/>
        <v>10.999942883719413</v>
      </c>
      <c r="Q4550" s="25">
        <v>5000</v>
      </c>
      <c r="R4550" s="22">
        <v>100</v>
      </c>
      <c r="S4550" s="22" t="s">
        <v>5511</v>
      </c>
      <c r="T4550" s="22">
        <f t="shared" si="388"/>
        <v>4</v>
      </c>
      <c r="U4550" s="22">
        <f t="shared" si="389"/>
        <v>2022</v>
      </c>
      <c r="V4550" s="22" t="str">
        <f t="shared" si="390"/>
        <v>METROPOLITANA</v>
      </c>
    </row>
    <row r="4551" spans="1:22" x14ac:dyDescent="0.2">
      <c r="A4551" s="23" t="s">
        <v>5509</v>
      </c>
      <c r="B4551" s="22" t="s">
        <v>33</v>
      </c>
      <c r="C4551" s="22" t="s">
        <v>5264</v>
      </c>
      <c r="D4551" s="22" t="s">
        <v>20</v>
      </c>
      <c r="E4551" s="24" t="s">
        <v>21</v>
      </c>
      <c r="F4551" s="22" t="s">
        <v>26</v>
      </c>
      <c r="G4551" s="25">
        <v>11935.72</v>
      </c>
      <c r="H4551" s="22" t="s">
        <v>22</v>
      </c>
      <c r="I4551" s="22">
        <v>0</v>
      </c>
      <c r="J4551" s="22" t="s">
        <v>26</v>
      </c>
      <c r="K4551" s="22" t="s">
        <v>23</v>
      </c>
      <c r="L4551" s="22">
        <v>4</v>
      </c>
      <c r="M4551" s="26">
        <v>131293</v>
      </c>
      <c r="N4551" s="26">
        <v>0</v>
      </c>
      <c r="O4551" s="15">
        <f t="shared" si="394"/>
        <v>131293</v>
      </c>
      <c r="P4551" s="15">
        <f t="shared" si="393"/>
        <v>11.000006702570101</v>
      </c>
      <c r="Q4551" s="25">
        <v>5000</v>
      </c>
      <c r="R4551" s="22">
        <v>100</v>
      </c>
      <c r="S4551" s="22" t="s">
        <v>5512</v>
      </c>
      <c r="T4551" s="22">
        <f t="shared" si="388"/>
        <v>4</v>
      </c>
      <c r="U4551" s="22">
        <f t="shared" si="389"/>
        <v>2022</v>
      </c>
      <c r="V4551" s="22" t="str">
        <f t="shared" si="390"/>
        <v>METROPOLITANA</v>
      </c>
    </row>
    <row r="4552" spans="1:22" x14ac:dyDescent="0.2">
      <c r="A4552" s="23" t="s">
        <v>5509</v>
      </c>
      <c r="B4552" s="22" t="s">
        <v>33</v>
      </c>
      <c r="C4552" s="22" t="s">
        <v>36</v>
      </c>
      <c r="D4552" s="22" t="s">
        <v>38</v>
      </c>
      <c r="E4552" s="24" t="s">
        <v>25</v>
      </c>
      <c r="F4552" s="22" t="s">
        <v>59</v>
      </c>
      <c r="G4552" s="25">
        <v>5222.84</v>
      </c>
      <c r="H4552" s="22" t="s">
        <v>43</v>
      </c>
      <c r="I4552" s="22">
        <v>0</v>
      </c>
      <c r="J4552" s="22" t="s">
        <v>59</v>
      </c>
      <c r="K4552" s="22" t="s">
        <v>78</v>
      </c>
      <c r="L4552" s="22">
        <v>0</v>
      </c>
      <c r="M4552" s="26">
        <v>203000</v>
      </c>
      <c r="N4552" s="26">
        <v>0</v>
      </c>
      <c r="O4552" s="15">
        <f t="shared" si="394"/>
        <v>203000</v>
      </c>
      <c r="P4552" s="15">
        <f t="shared" si="393"/>
        <v>38.867742454296895</v>
      </c>
      <c r="Q4552" s="25">
        <v>20000</v>
      </c>
      <c r="R4552" s="22">
        <v>26</v>
      </c>
      <c r="S4552" s="22" t="s">
        <v>5513</v>
      </c>
      <c r="T4552" s="22">
        <f t="shared" ref="T4552:T4606" si="395">MONTH(A4552)</f>
        <v>4</v>
      </c>
      <c r="U4552" s="22">
        <f t="shared" ref="U4552:U4606" si="396">YEAR(A4552)</f>
        <v>2022</v>
      </c>
      <c r="V4552" s="22" t="str">
        <f t="shared" ref="V4552:V4606" si="397">IF(K4552="METROPOLITANA DE SANTIAGO","METROPOLITANA","REGIONES")</f>
        <v>REGIONES</v>
      </c>
    </row>
    <row r="4553" spans="1:22" x14ac:dyDescent="0.2">
      <c r="A4553" s="23" t="s">
        <v>5509</v>
      </c>
      <c r="B4553" s="22" t="s">
        <v>33</v>
      </c>
      <c r="C4553" s="22" t="s">
        <v>36</v>
      </c>
      <c r="D4553" s="22" t="s">
        <v>47</v>
      </c>
      <c r="E4553" s="24" t="s">
        <v>49</v>
      </c>
      <c r="F4553" s="22" t="s">
        <v>855</v>
      </c>
      <c r="G4553" s="25">
        <v>8049.8</v>
      </c>
      <c r="H4553" s="22" t="s">
        <v>22</v>
      </c>
      <c r="I4553" s="22">
        <v>0</v>
      </c>
      <c r="J4553" s="22" t="s">
        <v>855</v>
      </c>
      <c r="K4553" s="22" t="s">
        <v>78</v>
      </c>
      <c r="L4553" s="22">
        <v>0</v>
      </c>
      <c r="M4553" s="26">
        <v>203000</v>
      </c>
      <c r="N4553" s="26">
        <v>0</v>
      </c>
      <c r="O4553" s="15">
        <f t="shared" si="394"/>
        <v>203000</v>
      </c>
      <c r="P4553" s="15">
        <f t="shared" si="393"/>
        <v>25.21801783895252</v>
      </c>
      <c r="Q4553" s="25">
        <v>20000</v>
      </c>
      <c r="R4553" s="22">
        <v>40</v>
      </c>
      <c r="S4553" s="22" t="s">
        <v>5514</v>
      </c>
      <c r="T4553" s="22">
        <f t="shared" si="395"/>
        <v>4</v>
      </c>
      <c r="U4553" s="22">
        <f t="shared" si="396"/>
        <v>2022</v>
      </c>
      <c r="V4553" s="22" t="str">
        <f t="shared" si="397"/>
        <v>REGIONES</v>
      </c>
    </row>
    <row r="4554" spans="1:22" x14ac:dyDescent="0.2">
      <c r="A4554" s="23" t="s">
        <v>5509</v>
      </c>
      <c r="B4554" s="22" t="s">
        <v>33</v>
      </c>
      <c r="C4554" s="22" t="s">
        <v>29</v>
      </c>
      <c r="D4554" s="22" t="s">
        <v>38</v>
      </c>
      <c r="E4554" s="24" t="s">
        <v>42</v>
      </c>
      <c r="F4554" s="22" t="s">
        <v>39</v>
      </c>
      <c r="G4554" s="25">
        <f>14067.9+708</f>
        <v>14775.9</v>
      </c>
      <c r="H4554" s="22" t="s">
        <v>43</v>
      </c>
      <c r="I4554" s="22">
        <v>0</v>
      </c>
      <c r="J4554" s="22" t="s">
        <v>39</v>
      </c>
      <c r="K4554" s="22" t="s">
        <v>23</v>
      </c>
      <c r="L4554" s="22">
        <v>1</v>
      </c>
      <c r="M4554" s="26">
        <v>154747</v>
      </c>
      <c r="N4554" s="26">
        <v>0</v>
      </c>
      <c r="O4554" s="15">
        <f t="shared" si="394"/>
        <v>154747</v>
      </c>
      <c r="P4554" s="15">
        <f t="shared" si="393"/>
        <v>10.472932274852971</v>
      </c>
      <c r="Q4554" s="25">
        <v>5000</v>
      </c>
      <c r="R4554" s="22">
        <v>100</v>
      </c>
      <c r="S4554" s="22" t="s">
        <v>5518</v>
      </c>
      <c r="T4554" s="22">
        <f t="shared" si="395"/>
        <v>4</v>
      </c>
      <c r="U4554" s="22">
        <f t="shared" si="396"/>
        <v>2022</v>
      </c>
      <c r="V4554" s="22" t="str">
        <f t="shared" si="397"/>
        <v>METROPOLITANA</v>
      </c>
    </row>
    <row r="4555" spans="1:22" x14ac:dyDescent="0.2">
      <c r="A4555" s="23" t="s">
        <v>5509</v>
      </c>
      <c r="B4555" s="22" t="s">
        <v>33</v>
      </c>
      <c r="C4555" s="22" t="s">
        <v>29</v>
      </c>
      <c r="D4555" s="22" t="s">
        <v>37</v>
      </c>
      <c r="E4555" s="24" t="s">
        <v>40</v>
      </c>
      <c r="F4555" s="22" t="s">
        <v>39</v>
      </c>
      <c r="G4555" s="25">
        <f>9604.998+690</f>
        <v>10294.998</v>
      </c>
      <c r="H4555" s="22" t="s">
        <v>22</v>
      </c>
      <c r="I4555" s="22">
        <v>0</v>
      </c>
      <c r="J4555" s="22" t="s">
        <v>39</v>
      </c>
      <c r="K4555" s="22" t="s">
        <v>23</v>
      </c>
      <c r="L4555" s="22">
        <v>1</v>
      </c>
      <c r="M4555" s="26">
        <v>105655</v>
      </c>
      <c r="N4555" s="26">
        <v>0</v>
      </c>
      <c r="O4555" s="15">
        <f t="shared" si="394"/>
        <v>105655</v>
      </c>
      <c r="P4555" s="15">
        <f t="shared" si="393"/>
        <v>10.26275090097152</v>
      </c>
      <c r="Q4555" s="25">
        <v>5000</v>
      </c>
      <c r="R4555" s="22">
        <v>100</v>
      </c>
      <c r="S4555" s="22" t="s">
        <v>5519</v>
      </c>
      <c r="T4555" s="22">
        <f t="shared" si="395"/>
        <v>4</v>
      </c>
      <c r="U4555" s="22">
        <f t="shared" si="396"/>
        <v>2022</v>
      </c>
      <c r="V4555" s="22" t="str">
        <f t="shared" si="397"/>
        <v>METROPOLITANA</v>
      </c>
    </row>
    <row r="4556" spans="1:22" x14ac:dyDescent="0.2">
      <c r="A4556" s="23" t="s">
        <v>5509</v>
      </c>
      <c r="B4556" s="22" t="s">
        <v>33</v>
      </c>
      <c r="C4556" s="22" t="s">
        <v>29</v>
      </c>
      <c r="D4556" s="22" t="s">
        <v>63</v>
      </c>
      <c r="E4556" s="24" t="s">
        <v>64</v>
      </c>
      <c r="F4556" s="22" t="s">
        <v>173</v>
      </c>
      <c r="G4556" s="25">
        <v>3598.2000000000012</v>
      </c>
      <c r="H4556" s="22" t="s">
        <v>65</v>
      </c>
      <c r="I4556" s="22">
        <v>0</v>
      </c>
      <c r="J4556" s="22" t="s">
        <v>173</v>
      </c>
      <c r="K4556" s="22" t="s">
        <v>23</v>
      </c>
      <c r="L4556" s="22">
        <v>5</v>
      </c>
      <c r="M4556" s="26">
        <v>90000</v>
      </c>
      <c r="N4556" s="26">
        <v>0</v>
      </c>
      <c r="O4556" s="15">
        <f t="shared" si="394"/>
        <v>90000</v>
      </c>
      <c r="P4556" s="15">
        <f t="shared" si="393"/>
        <v>25.012506253126556</v>
      </c>
      <c r="Q4556" s="25">
        <v>10000</v>
      </c>
      <c r="R4556" s="22">
        <v>36</v>
      </c>
      <c r="S4556" s="22" t="s">
        <v>5515</v>
      </c>
      <c r="T4556" s="22">
        <f t="shared" si="395"/>
        <v>4</v>
      </c>
      <c r="U4556" s="22">
        <f t="shared" si="396"/>
        <v>2022</v>
      </c>
      <c r="V4556" s="22" t="str">
        <f t="shared" si="397"/>
        <v>METROPOLITANA</v>
      </c>
    </row>
    <row r="4557" spans="1:22" x14ac:dyDescent="0.2">
      <c r="A4557" s="23" t="s">
        <v>5509</v>
      </c>
      <c r="B4557" s="22" t="s">
        <v>33</v>
      </c>
      <c r="C4557" s="22" t="s">
        <v>29</v>
      </c>
      <c r="D4557" s="22" t="s">
        <v>164</v>
      </c>
      <c r="E4557" s="24" t="s">
        <v>28</v>
      </c>
      <c r="F4557" s="22" t="s">
        <v>39</v>
      </c>
      <c r="G4557" s="25">
        <v>8244.0000000000036</v>
      </c>
      <c r="H4557" s="22" t="s">
        <v>22</v>
      </c>
      <c r="I4557" s="22">
        <v>1</v>
      </c>
      <c r="J4557" s="22" t="s">
        <v>39</v>
      </c>
      <c r="K4557" s="22" t="s">
        <v>23</v>
      </c>
      <c r="L4557" s="22">
        <v>1</v>
      </c>
      <c r="M4557" s="26">
        <v>90684</v>
      </c>
      <c r="N4557" s="26">
        <v>0</v>
      </c>
      <c r="O4557" s="15">
        <f t="shared" si="394"/>
        <v>90684</v>
      </c>
      <c r="P4557" s="15">
        <f t="shared" si="393"/>
        <v>10.999999999999995</v>
      </c>
      <c r="Q4557" s="25">
        <v>5000</v>
      </c>
      <c r="R4557" s="22">
        <v>100</v>
      </c>
      <c r="S4557" s="22" t="s">
        <v>5516</v>
      </c>
      <c r="T4557" s="22">
        <f t="shared" si="395"/>
        <v>4</v>
      </c>
      <c r="U4557" s="22">
        <f t="shared" si="396"/>
        <v>2022</v>
      </c>
      <c r="V4557" s="22" t="str">
        <f t="shared" si="397"/>
        <v>METROPOLITANA</v>
      </c>
    </row>
    <row r="4558" spans="1:22" x14ac:dyDescent="0.2">
      <c r="A4558" s="23" t="s">
        <v>5509</v>
      </c>
      <c r="B4558" s="22" t="s">
        <v>33</v>
      </c>
      <c r="C4558" s="22" t="s">
        <v>44</v>
      </c>
      <c r="D4558" s="22" t="s">
        <v>45</v>
      </c>
      <c r="E4558" s="24" t="s">
        <v>52</v>
      </c>
      <c r="F4558" s="22" t="s">
        <v>51</v>
      </c>
      <c r="G4558" s="25">
        <v>5076.5999999999995</v>
      </c>
      <c r="H4558" s="22" t="s">
        <v>22</v>
      </c>
      <c r="I4558" s="22">
        <v>0</v>
      </c>
      <c r="J4558" s="22" t="s">
        <v>51</v>
      </c>
      <c r="K4558" s="22" t="s">
        <v>23</v>
      </c>
      <c r="L4558" s="22">
        <v>4</v>
      </c>
      <c r="M4558" s="26">
        <v>55843</v>
      </c>
      <c r="N4558" s="26">
        <v>0</v>
      </c>
      <c r="O4558" s="15">
        <f t="shared" si="394"/>
        <v>55843</v>
      </c>
      <c r="P4558" s="15">
        <f t="shared" si="393"/>
        <v>11.000078792892882</v>
      </c>
      <c r="Q4558" s="25">
        <v>5000</v>
      </c>
      <c r="R4558" s="22">
        <v>100</v>
      </c>
      <c r="S4558" s="22" t="s">
        <v>5517</v>
      </c>
      <c r="T4558" s="22">
        <f t="shared" si="395"/>
        <v>4</v>
      </c>
      <c r="U4558" s="22">
        <f t="shared" si="396"/>
        <v>2022</v>
      </c>
      <c r="V4558" s="22" t="str">
        <f t="shared" si="397"/>
        <v>METROPOLITANA</v>
      </c>
    </row>
    <row r="4559" spans="1:22" x14ac:dyDescent="0.2">
      <c r="A4559" s="23" t="s">
        <v>5509</v>
      </c>
      <c r="B4559" s="22" t="s">
        <v>33</v>
      </c>
      <c r="C4559" s="22" t="s">
        <v>44</v>
      </c>
      <c r="D4559" s="22" t="s">
        <v>20</v>
      </c>
      <c r="E4559" s="24" t="s">
        <v>21</v>
      </c>
      <c r="F4559" s="22" t="s">
        <v>48</v>
      </c>
      <c r="G4559" s="25">
        <f>4762.84+1433</f>
        <v>6195.84</v>
      </c>
      <c r="H4559" s="22" t="s">
        <v>22</v>
      </c>
      <c r="I4559" s="22">
        <v>0</v>
      </c>
      <c r="J4559" s="22" t="s">
        <v>48</v>
      </c>
      <c r="K4559" s="22" t="s">
        <v>23</v>
      </c>
      <c r="L4559" s="22">
        <v>1</v>
      </c>
      <c r="M4559" s="26">
        <v>55000</v>
      </c>
      <c r="N4559" s="26">
        <v>0</v>
      </c>
      <c r="O4559" s="15">
        <f t="shared" si="394"/>
        <v>55000</v>
      </c>
      <c r="P4559" s="15">
        <f t="shared" si="393"/>
        <v>8.8769238715008782</v>
      </c>
      <c r="Q4559" s="25">
        <v>5000</v>
      </c>
      <c r="R4559" s="22">
        <v>100</v>
      </c>
      <c r="S4559" s="22" t="s">
        <v>5520</v>
      </c>
      <c r="T4559" s="22">
        <f t="shared" si="395"/>
        <v>4</v>
      </c>
      <c r="U4559" s="22">
        <f t="shared" si="396"/>
        <v>2022</v>
      </c>
      <c r="V4559" s="22" t="str">
        <f t="shared" si="397"/>
        <v>METROPOLITANA</v>
      </c>
    </row>
    <row r="4560" spans="1:22" x14ac:dyDescent="0.2">
      <c r="A4560" s="11" t="s">
        <v>5521</v>
      </c>
      <c r="B4560" s="12" t="s">
        <v>18</v>
      </c>
      <c r="C4560" s="12" t="s">
        <v>1173</v>
      </c>
      <c r="D4560" s="12" t="s">
        <v>38</v>
      </c>
      <c r="E4560" s="13" t="s">
        <v>25</v>
      </c>
      <c r="F4560" s="12" t="s">
        <v>182</v>
      </c>
      <c r="G4560" s="14">
        <v>6983.1999999999989</v>
      </c>
      <c r="H4560" s="12" t="s">
        <v>43</v>
      </c>
      <c r="I4560" s="12">
        <v>0</v>
      </c>
      <c r="J4560" s="12" t="s">
        <v>182</v>
      </c>
      <c r="K4560" s="12" t="s">
        <v>23</v>
      </c>
      <c r="L4560" s="12">
        <v>4</v>
      </c>
      <c r="M4560" s="15">
        <v>76815</v>
      </c>
      <c r="N4560" s="15">
        <v>0</v>
      </c>
      <c r="O4560" s="15">
        <f t="shared" si="394"/>
        <v>76815</v>
      </c>
      <c r="P4560" s="15">
        <f t="shared" si="393"/>
        <v>10.999971359835035</v>
      </c>
      <c r="Q4560" s="14">
        <v>5000</v>
      </c>
      <c r="R4560" s="12">
        <v>100</v>
      </c>
      <c r="S4560" s="12" t="s">
        <v>5522</v>
      </c>
      <c r="T4560" s="22">
        <f t="shared" si="395"/>
        <v>4</v>
      </c>
      <c r="U4560" s="22">
        <f t="shared" si="396"/>
        <v>2022</v>
      </c>
      <c r="V4560" s="22" t="str">
        <f t="shared" si="397"/>
        <v>METROPOLITANA</v>
      </c>
    </row>
    <row r="4561" spans="1:22" x14ac:dyDescent="0.2">
      <c r="A4561" s="11" t="s">
        <v>5521</v>
      </c>
      <c r="B4561" s="12" t="s">
        <v>18</v>
      </c>
      <c r="C4561" s="12" t="s">
        <v>1173</v>
      </c>
      <c r="D4561" s="12" t="s">
        <v>37</v>
      </c>
      <c r="E4561" s="13" t="s">
        <v>40</v>
      </c>
      <c r="F4561" s="12" t="s">
        <v>182</v>
      </c>
      <c r="G4561" s="14">
        <v>11297.62</v>
      </c>
      <c r="H4561" s="12" t="s">
        <v>22</v>
      </c>
      <c r="I4561" s="12">
        <v>0</v>
      </c>
      <c r="J4561" s="12" t="s">
        <v>182</v>
      </c>
      <c r="K4561" s="12" t="s">
        <v>23</v>
      </c>
      <c r="L4561" s="12">
        <v>4</v>
      </c>
      <c r="M4561" s="15">
        <v>124274</v>
      </c>
      <c r="N4561" s="15">
        <v>0</v>
      </c>
      <c r="O4561" s="15">
        <f t="shared" si="394"/>
        <v>124274</v>
      </c>
      <c r="P4561" s="15">
        <f t="shared" si="393"/>
        <v>11.000015932559247</v>
      </c>
      <c r="Q4561" s="14">
        <v>5000</v>
      </c>
      <c r="R4561" s="12">
        <v>100</v>
      </c>
      <c r="S4561" s="12" t="s">
        <v>5523</v>
      </c>
      <c r="T4561" s="22">
        <f t="shared" si="395"/>
        <v>4</v>
      </c>
      <c r="U4561" s="22">
        <f t="shared" si="396"/>
        <v>2022</v>
      </c>
      <c r="V4561" s="22" t="str">
        <f t="shared" si="397"/>
        <v>METROPOLITANA</v>
      </c>
    </row>
    <row r="4562" spans="1:22" x14ac:dyDescent="0.2">
      <c r="A4562" s="11" t="s">
        <v>5521</v>
      </c>
      <c r="B4562" s="12" t="s">
        <v>18</v>
      </c>
      <c r="C4562" s="12" t="s">
        <v>160</v>
      </c>
      <c r="D4562" s="12" t="s">
        <v>20</v>
      </c>
      <c r="E4562" s="13" t="s">
        <v>21</v>
      </c>
      <c r="F4562" s="12" t="s">
        <v>800</v>
      </c>
      <c r="G4562" s="14">
        <v>8555.4000000000015</v>
      </c>
      <c r="H4562" s="12" t="s">
        <v>22</v>
      </c>
      <c r="I4562" s="12">
        <v>0</v>
      </c>
      <c r="J4562" s="12" t="s">
        <v>800</v>
      </c>
      <c r="K4562" s="12" t="s">
        <v>23</v>
      </c>
      <c r="L4562" s="12">
        <v>5</v>
      </c>
      <c r="M4562" s="15">
        <v>90000</v>
      </c>
      <c r="N4562" s="15">
        <v>0</v>
      </c>
      <c r="O4562" s="15">
        <f t="shared" si="394"/>
        <v>90000</v>
      </c>
      <c r="P4562" s="15">
        <f t="shared" si="393"/>
        <v>10.519671786240268</v>
      </c>
      <c r="Q4562" s="14">
        <v>10000</v>
      </c>
      <c r="R4562" s="12">
        <v>86</v>
      </c>
      <c r="S4562" s="12" t="s">
        <v>5524</v>
      </c>
      <c r="T4562" s="22">
        <f t="shared" si="395"/>
        <v>4</v>
      </c>
      <c r="U4562" s="22">
        <f t="shared" si="396"/>
        <v>2022</v>
      </c>
      <c r="V4562" s="22" t="str">
        <f t="shared" si="397"/>
        <v>METROPOLITANA</v>
      </c>
    </row>
    <row r="4563" spans="1:22" x14ac:dyDescent="0.2">
      <c r="A4563" s="11" t="s">
        <v>5521</v>
      </c>
      <c r="B4563" s="12" t="s">
        <v>33</v>
      </c>
      <c r="C4563" s="12" t="s">
        <v>60</v>
      </c>
      <c r="D4563" s="12" t="s">
        <v>45</v>
      </c>
      <c r="E4563" s="13" t="s">
        <v>52</v>
      </c>
      <c r="F4563" s="12" t="s">
        <v>5525</v>
      </c>
      <c r="G4563" s="14">
        <f>3752+3752</f>
        <v>7504</v>
      </c>
      <c r="H4563" s="12" t="s">
        <v>22</v>
      </c>
      <c r="I4563" s="12">
        <v>0</v>
      </c>
      <c r="J4563" s="12" t="s">
        <v>5525</v>
      </c>
      <c r="K4563" s="12" t="s">
        <v>75</v>
      </c>
      <c r="L4563" s="12">
        <v>0</v>
      </c>
      <c r="M4563" s="15">
        <v>55000</v>
      </c>
      <c r="N4563" s="15">
        <v>0</v>
      </c>
      <c r="O4563" s="15">
        <f t="shared" si="394"/>
        <v>55000</v>
      </c>
      <c r="P4563" s="15">
        <f t="shared" si="393"/>
        <v>7.3294243070362475</v>
      </c>
      <c r="Q4563" s="14">
        <v>20000</v>
      </c>
      <c r="R4563" s="12">
        <v>95000</v>
      </c>
      <c r="S4563" s="12" t="s">
        <v>5531</v>
      </c>
      <c r="T4563" s="22">
        <f t="shared" si="395"/>
        <v>4</v>
      </c>
      <c r="U4563" s="22">
        <f t="shared" si="396"/>
        <v>2022</v>
      </c>
      <c r="V4563" s="22" t="str">
        <f t="shared" si="397"/>
        <v>REGIONES</v>
      </c>
    </row>
    <row r="4564" spans="1:22" x14ac:dyDescent="0.2">
      <c r="A4564" s="11" t="s">
        <v>5521</v>
      </c>
      <c r="B4564" s="12" t="s">
        <v>33</v>
      </c>
      <c r="C4564" s="12" t="s">
        <v>128</v>
      </c>
      <c r="D4564" s="12" t="s">
        <v>786</v>
      </c>
      <c r="E4564" s="13" t="s">
        <v>787</v>
      </c>
      <c r="F4564" s="12" t="s">
        <v>129</v>
      </c>
      <c r="G4564" s="14">
        <v>15751.19999999999</v>
      </c>
      <c r="H4564" s="12" t="s">
        <v>788</v>
      </c>
      <c r="I4564" s="12">
        <v>1</v>
      </c>
      <c r="J4564" s="12" t="s">
        <v>129</v>
      </c>
      <c r="K4564" s="12" t="s">
        <v>23</v>
      </c>
      <c r="L4564" s="12">
        <v>1</v>
      </c>
      <c r="M4564" s="15">
        <v>173263</v>
      </c>
      <c r="N4564" s="15">
        <v>0</v>
      </c>
      <c r="O4564" s="15">
        <f t="shared" si="394"/>
        <v>173263</v>
      </c>
      <c r="P4564" s="15">
        <f t="shared" si="393"/>
        <v>10.999987302554732</v>
      </c>
      <c r="Q4564" s="14">
        <v>5000</v>
      </c>
      <c r="R4564" s="12">
        <v>100</v>
      </c>
      <c r="S4564" s="12" t="s">
        <v>5526</v>
      </c>
      <c r="T4564" s="22">
        <f t="shared" si="395"/>
        <v>4</v>
      </c>
      <c r="U4564" s="22">
        <f t="shared" si="396"/>
        <v>2022</v>
      </c>
      <c r="V4564" s="22" t="str">
        <f t="shared" si="397"/>
        <v>METROPOLITANA</v>
      </c>
    </row>
    <row r="4565" spans="1:22" x14ac:dyDescent="0.2">
      <c r="A4565" s="11" t="s">
        <v>5521</v>
      </c>
      <c r="B4565" s="12" t="s">
        <v>33</v>
      </c>
      <c r="C4565" s="12" t="s">
        <v>128</v>
      </c>
      <c r="D4565" s="12" t="s">
        <v>27</v>
      </c>
      <c r="E4565" s="13" t="s">
        <v>28</v>
      </c>
      <c r="F4565" s="12" t="s">
        <v>34</v>
      </c>
      <c r="G4565" s="14">
        <f>8498+572</f>
        <v>9070</v>
      </c>
      <c r="H4565" s="12" t="s">
        <v>22</v>
      </c>
      <c r="I4565" s="12">
        <v>1</v>
      </c>
      <c r="J4565" s="12" t="s">
        <v>34</v>
      </c>
      <c r="K4565" s="12" t="s">
        <v>23</v>
      </c>
      <c r="L4565" s="12">
        <v>1</v>
      </c>
      <c r="M4565" s="15">
        <v>93478</v>
      </c>
      <c r="N4565" s="15">
        <v>0</v>
      </c>
      <c r="O4565" s="15">
        <f t="shared" si="394"/>
        <v>93478</v>
      </c>
      <c r="P4565" s="15">
        <f t="shared" si="393"/>
        <v>10.306284454244762</v>
      </c>
      <c r="Q4565" s="14">
        <v>5000</v>
      </c>
      <c r="R4565" s="12">
        <v>100</v>
      </c>
      <c r="S4565" s="12" t="s">
        <v>5532</v>
      </c>
      <c r="T4565" s="22">
        <f t="shared" si="395"/>
        <v>4</v>
      </c>
      <c r="U4565" s="22">
        <f t="shared" si="396"/>
        <v>2022</v>
      </c>
      <c r="V4565" s="22" t="str">
        <f t="shared" si="397"/>
        <v>METROPOLITANA</v>
      </c>
    </row>
    <row r="4566" spans="1:22" x14ac:dyDescent="0.2">
      <c r="A4566" s="11" t="s">
        <v>5521</v>
      </c>
      <c r="B4566" s="12" t="s">
        <v>33</v>
      </c>
      <c r="C4566" s="12" t="s">
        <v>128</v>
      </c>
      <c r="D4566" s="12" t="s">
        <v>2955</v>
      </c>
      <c r="E4566" s="13" t="s">
        <v>2956</v>
      </c>
      <c r="F4566" s="12" t="s">
        <v>34</v>
      </c>
      <c r="G4566" s="14">
        <f>11681.1+344</f>
        <v>12025.1</v>
      </c>
      <c r="H4566" s="12" t="s">
        <v>24</v>
      </c>
      <c r="I4566" s="12">
        <v>1</v>
      </c>
      <c r="J4566" s="12" t="s">
        <v>34</v>
      </c>
      <c r="K4566" s="12" t="s">
        <v>23</v>
      </c>
      <c r="L4566" s="12">
        <v>1</v>
      </c>
      <c r="M4566" s="15">
        <v>128492</v>
      </c>
      <c r="N4566" s="15">
        <v>0</v>
      </c>
      <c r="O4566" s="15">
        <f t="shared" si="394"/>
        <v>128492</v>
      </c>
      <c r="P4566" s="15">
        <f t="shared" si="393"/>
        <v>10.685316546224147</v>
      </c>
      <c r="Q4566" s="14">
        <v>5000</v>
      </c>
      <c r="R4566" s="12">
        <v>100</v>
      </c>
      <c r="S4566" s="12" t="s">
        <v>5533</v>
      </c>
      <c r="T4566" s="22">
        <f t="shared" si="395"/>
        <v>4</v>
      </c>
      <c r="U4566" s="22">
        <f t="shared" si="396"/>
        <v>2022</v>
      </c>
      <c r="V4566" s="22" t="str">
        <f t="shared" si="397"/>
        <v>METROPOLITANA</v>
      </c>
    </row>
    <row r="4567" spans="1:22" x14ac:dyDescent="0.2">
      <c r="A4567" s="11" t="s">
        <v>5521</v>
      </c>
      <c r="B4567" s="12" t="s">
        <v>33</v>
      </c>
      <c r="C4567" s="12" t="s">
        <v>36</v>
      </c>
      <c r="D4567" s="12" t="s">
        <v>47</v>
      </c>
      <c r="E4567" s="13" t="s">
        <v>49</v>
      </c>
      <c r="F4567" s="12" t="s">
        <v>308</v>
      </c>
      <c r="G4567" s="14">
        <v>6724.1999999999989</v>
      </c>
      <c r="H4567" s="12" t="s">
        <v>22</v>
      </c>
      <c r="I4567" s="12">
        <v>0</v>
      </c>
      <c r="J4567" s="12" t="s">
        <v>308</v>
      </c>
      <c r="K4567" s="12" t="s">
        <v>78</v>
      </c>
      <c r="L4567" s="12">
        <v>0</v>
      </c>
      <c r="M4567" s="15">
        <v>203000</v>
      </c>
      <c r="N4567" s="15">
        <v>0</v>
      </c>
      <c r="O4567" s="15">
        <f t="shared" si="394"/>
        <v>203000</v>
      </c>
      <c r="P4567" s="15">
        <f t="shared" si="393"/>
        <v>30.189464917759739</v>
      </c>
      <c r="Q4567" s="14">
        <v>20000</v>
      </c>
      <c r="R4567" s="12">
        <v>34</v>
      </c>
      <c r="S4567" s="12" t="s">
        <v>5527</v>
      </c>
      <c r="T4567" s="22">
        <f t="shared" si="395"/>
        <v>4</v>
      </c>
      <c r="U4567" s="22">
        <f t="shared" si="396"/>
        <v>2022</v>
      </c>
      <c r="V4567" s="22" t="str">
        <f t="shared" si="397"/>
        <v>REGIONES</v>
      </c>
    </row>
    <row r="4568" spans="1:22" x14ac:dyDescent="0.2">
      <c r="A4568" s="11" t="s">
        <v>5521</v>
      </c>
      <c r="B4568" s="12" t="s">
        <v>33</v>
      </c>
      <c r="C4568" s="12" t="s">
        <v>29</v>
      </c>
      <c r="D4568" s="12" t="s">
        <v>38</v>
      </c>
      <c r="E4568" s="13" t="s">
        <v>25</v>
      </c>
      <c r="F4568" s="12" t="s">
        <v>39</v>
      </c>
      <c r="G4568" s="14">
        <v>2748</v>
      </c>
      <c r="H4568" s="12" t="s">
        <v>43</v>
      </c>
      <c r="I4568" s="12">
        <v>0</v>
      </c>
      <c r="J4568" s="12" t="s">
        <v>39</v>
      </c>
      <c r="K4568" s="12" t="s">
        <v>23</v>
      </c>
      <c r="L4568" s="12">
        <v>1</v>
      </c>
      <c r="M4568" s="15">
        <v>55000</v>
      </c>
      <c r="N4568" s="15">
        <v>0</v>
      </c>
      <c r="O4568" s="15">
        <f t="shared" si="394"/>
        <v>55000</v>
      </c>
      <c r="P4568" s="15">
        <f t="shared" si="393"/>
        <v>20.014556040756915</v>
      </c>
      <c r="Q4568" s="14">
        <v>5000</v>
      </c>
      <c r="R4568" s="12">
        <v>55</v>
      </c>
      <c r="S4568" s="12" t="s">
        <v>5528</v>
      </c>
      <c r="T4568" s="22">
        <f t="shared" si="395"/>
        <v>4</v>
      </c>
      <c r="U4568" s="22">
        <f t="shared" si="396"/>
        <v>2022</v>
      </c>
      <c r="V4568" s="22" t="str">
        <f t="shared" si="397"/>
        <v>METROPOLITANA</v>
      </c>
    </row>
    <row r="4569" spans="1:22" x14ac:dyDescent="0.2">
      <c r="A4569" s="11" t="s">
        <v>5521</v>
      </c>
      <c r="B4569" s="12" t="s">
        <v>33</v>
      </c>
      <c r="C4569" s="12" t="s">
        <v>29</v>
      </c>
      <c r="D4569" s="12" t="s">
        <v>164</v>
      </c>
      <c r="E4569" s="13" t="s">
        <v>1576</v>
      </c>
      <c r="F4569" s="12" t="s">
        <v>39</v>
      </c>
      <c r="G4569" s="14">
        <f>4946.4+3298</f>
        <v>8244.4</v>
      </c>
      <c r="H4569" s="12" t="s">
        <v>22</v>
      </c>
      <c r="I4569" s="12">
        <v>1</v>
      </c>
      <c r="J4569" s="12" t="s">
        <v>39</v>
      </c>
      <c r="K4569" s="12" t="s">
        <v>23</v>
      </c>
      <c r="L4569" s="12">
        <v>1</v>
      </c>
      <c r="M4569" s="15">
        <v>55000</v>
      </c>
      <c r="N4569" s="15">
        <v>0</v>
      </c>
      <c r="O4569" s="15">
        <f t="shared" si="394"/>
        <v>55000</v>
      </c>
      <c r="P4569" s="15">
        <f t="shared" si="393"/>
        <v>6.6711949929649217</v>
      </c>
      <c r="Q4569" s="14">
        <v>5000</v>
      </c>
      <c r="R4569" s="12">
        <v>100</v>
      </c>
      <c r="S4569" s="12" t="s">
        <v>5534</v>
      </c>
      <c r="T4569" s="22">
        <f t="shared" si="395"/>
        <v>4</v>
      </c>
      <c r="U4569" s="22">
        <f t="shared" si="396"/>
        <v>2022</v>
      </c>
      <c r="V4569" s="22" t="str">
        <f t="shared" si="397"/>
        <v>METROPOLITANA</v>
      </c>
    </row>
    <row r="4570" spans="1:22" x14ac:dyDescent="0.2">
      <c r="A4570" s="11" t="s">
        <v>5521</v>
      </c>
      <c r="B4570" s="12" t="s">
        <v>33</v>
      </c>
      <c r="C4570" s="12" t="s">
        <v>29</v>
      </c>
      <c r="D4570" s="12" t="s">
        <v>20</v>
      </c>
      <c r="E4570" s="13" t="s">
        <v>21</v>
      </c>
      <c r="F4570" s="12" t="s">
        <v>39</v>
      </c>
      <c r="G4570" s="14">
        <v>5998</v>
      </c>
      <c r="H4570" s="12" t="s">
        <v>22</v>
      </c>
      <c r="I4570" s="12">
        <v>0</v>
      </c>
      <c r="J4570" s="12" t="s">
        <v>39</v>
      </c>
      <c r="K4570" s="12" t="s">
        <v>23</v>
      </c>
      <c r="L4570" s="12">
        <v>1</v>
      </c>
      <c r="M4570" s="15">
        <v>65978</v>
      </c>
      <c r="N4570" s="15">
        <v>0</v>
      </c>
      <c r="O4570" s="15">
        <f t="shared" si="394"/>
        <v>65978</v>
      </c>
      <c r="P4570" s="15">
        <f t="shared" si="393"/>
        <v>11</v>
      </c>
      <c r="Q4570" s="14">
        <v>5000</v>
      </c>
      <c r="R4570" s="12">
        <v>100</v>
      </c>
      <c r="S4570" s="12" t="s">
        <v>5529</v>
      </c>
      <c r="T4570" s="22">
        <f t="shared" si="395"/>
        <v>4</v>
      </c>
      <c r="U4570" s="22">
        <f t="shared" si="396"/>
        <v>2022</v>
      </c>
      <c r="V4570" s="22" t="str">
        <f t="shared" si="397"/>
        <v>METROPOLITANA</v>
      </c>
    </row>
    <row r="4571" spans="1:22" x14ac:dyDescent="0.2">
      <c r="A4571" s="11" t="s">
        <v>5521</v>
      </c>
      <c r="B4571" s="12" t="s">
        <v>33</v>
      </c>
      <c r="C4571" s="12" t="s">
        <v>44</v>
      </c>
      <c r="D4571" s="12" t="s">
        <v>45</v>
      </c>
      <c r="E4571" s="13" t="s">
        <v>52</v>
      </c>
      <c r="F4571" s="12" t="s">
        <v>26</v>
      </c>
      <c r="G4571" s="14">
        <v>6761.0999999999995</v>
      </c>
      <c r="H4571" s="12" t="s">
        <v>22</v>
      </c>
      <c r="I4571" s="12">
        <v>0</v>
      </c>
      <c r="J4571" s="12" t="s">
        <v>26</v>
      </c>
      <c r="K4571" s="12" t="s">
        <v>23</v>
      </c>
      <c r="L4571" s="12">
        <v>4</v>
      </c>
      <c r="M4571" s="15">
        <v>74372</v>
      </c>
      <c r="N4571" s="15">
        <v>0</v>
      </c>
      <c r="O4571" s="15">
        <f t="shared" si="394"/>
        <v>74372</v>
      </c>
      <c r="P4571" s="15">
        <f t="shared" si="393"/>
        <v>10.999985209507329</v>
      </c>
      <c r="Q4571" s="14">
        <v>5000</v>
      </c>
      <c r="R4571" s="12">
        <v>100</v>
      </c>
      <c r="S4571" s="12" t="s">
        <v>5530</v>
      </c>
      <c r="T4571" s="22">
        <f t="shared" si="395"/>
        <v>4</v>
      </c>
      <c r="U4571" s="22">
        <f t="shared" si="396"/>
        <v>2022</v>
      </c>
      <c r="V4571" s="22" t="str">
        <f t="shared" si="397"/>
        <v>METROPOLITANA</v>
      </c>
    </row>
    <row r="4572" spans="1:22" x14ac:dyDescent="0.2">
      <c r="A4572" s="23" t="s">
        <v>5535</v>
      </c>
      <c r="B4572" s="22" t="s">
        <v>18</v>
      </c>
      <c r="C4572" s="22" t="s">
        <v>1173</v>
      </c>
      <c r="D4572" s="22" t="s">
        <v>37</v>
      </c>
      <c r="E4572" s="24" t="s">
        <v>40</v>
      </c>
      <c r="F4572" s="22" t="s">
        <v>182</v>
      </c>
      <c r="G4572" s="25">
        <v>9459.2999999999993</v>
      </c>
      <c r="H4572" s="22" t="s">
        <v>22</v>
      </c>
      <c r="I4572" s="22">
        <v>0</v>
      </c>
      <c r="J4572" s="22" t="s">
        <v>182</v>
      </c>
      <c r="K4572" s="22" t="s">
        <v>23</v>
      </c>
      <c r="L4572" s="22">
        <v>4</v>
      </c>
      <c r="M4572" s="26">
        <v>104052</v>
      </c>
      <c r="N4572" s="26">
        <v>0</v>
      </c>
      <c r="O4572" s="15">
        <f t="shared" si="394"/>
        <v>104052</v>
      </c>
      <c r="P4572" s="15">
        <f t="shared" si="393"/>
        <v>10.999968285179666</v>
      </c>
      <c r="Q4572" s="25">
        <v>5000</v>
      </c>
      <c r="R4572" s="22">
        <v>100</v>
      </c>
      <c r="S4572" s="22" t="s">
        <v>5536</v>
      </c>
      <c r="T4572" s="22">
        <f t="shared" si="395"/>
        <v>4</v>
      </c>
      <c r="U4572" s="22">
        <f t="shared" si="396"/>
        <v>2022</v>
      </c>
      <c r="V4572" s="22" t="str">
        <f t="shared" si="397"/>
        <v>METROPOLITANA</v>
      </c>
    </row>
    <row r="4573" spans="1:22" x14ac:dyDescent="0.2">
      <c r="A4573" s="23" t="s">
        <v>5535</v>
      </c>
      <c r="B4573" s="22" t="s">
        <v>18</v>
      </c>
      <c r="C4573" s="22" t="s">
        <v>44</v>
      </c>
      <c r="D4573" s="22" t="s">
        <v>41</v>
      </c>
      <c r="E4573" s="24" t="s">
        <v>5537</v>
      </c>
      <c r="F4573" s="22" t="s">
        <v>34</v>
      </c>
      <c r="G4573" s="25">
        <v>11875.999999999991</v>
      </c>
      <c r="H4573" s="22" t="s">
        <v>43</v>
      </c>
      <c r="I4573" s="22">
        <v>0</v>
      </c>
      <c r="J4573" s="22" t="s">
        <v>34</v>
      </c>
      <c r="K4573" s="22" t="s">
        <v>23</v>
      </c>
      <c r="L4573" s="22">
        <v>1</v>
      </c>
      <c r="M4573" s="26">
        <v>130636</v>
      </c>
      <c r="N4573" s="26">
        <v>0</v>
      </c>
      <c r="O4573" s="15">
        <f t="shared" si="394"/>
        <v>130636</v>
      </c>
      <c r="P4573" s="15">
        <f t="shared" si="393"/>
        <v>11.000000000000009</v>
      </c>
      <c r="Q4573" s="25">
        <v>5000</v>
      </c>
      <c r="R4573" s="22">
        <v>100</v>
      </c>
      <c r="S4573" s="22" t="s">
        <v>5538</v>
      </c>
      <c r="T4573" s="22">
        <f t="shared" si="395"/>
        <v>4</v>
      </c>
      <c r="U4573" s="22">
        <f t="shared" si="396"/>
        <v>2022</v>
      </c>
      <c r="V4573" s="22" t="str">
        <f t="shared" si="397"/>
        <v>METROPOLITANA</v>
      </c>
    </row>
    <row r="4574" spans="1:22" x14ac:dyDescent="0.2">
      <c r="A4574" s="23" t="s">
        <v>5535</v>
      </c>
      <c r="B4574" s="22" t="s">
        <v>33</v>
      </c>
      <c r="C4574" s="22" t="s">
        <v>1233</v>
      </c>
      <c r="D4574" s="22" t="s">
        <v>63</v>
      </c>
      <c r="E4574" s="24" t="s">
        <v>64</v>
      </c>
      <c r="F4574" s="22" t="s">
        <v>1234</v>
      </c>
      <c r="G4574" s="25">
        <v>3911.6</v>
      </c>
      <c r="H4574" s="22" t="s">
        <v>65</v>
      </c>
      <c r="I4574" s="22">
        <v>0</v>
      </c>
      <c r="J4574" s="22" t="s">
        <v>1234</v>
      </c>
      <c r="K4574" s="22" t="s">
        <v>23</v>
      </c>
      <c r="L4574" s="22">
        <v>3</v>
      </c>
      <c r="M4574" s="26">
        <f>55000-50000</f>
        <v>5000</v>
      </c>
      <c r="N4574" s="26">
        <v>0</v>
      </c>
      <c r="O4574" s="15">
        <f t="shared" si="394"/>
        <v>5000</v>
      </c>
      <c r="P4574" s="15">
        <f t="shared" si="393"/>
        <v>1.2782493097453729</v>
      </c>
      <c r="Q4574" s="25">
        <v>5000</v>
      </c>
      <c r="R4574" s="22">
        <v>78</v>
      </c>
      <c r="S4574" s="22" t="s">
        <v>5539</v>
      </c>
      <c r="T4574" s="22">
        <f t="shared" si="395"/>
        <v>4</v>
      </c>
      <c r="U4574" s="22">
        <f t="shared" si="396"/>
        <v>2022</v>
      </c>
      <c r="V4574" s="22" t="str">
        <f t="shared" si="397"/>
        <v>METROPOLITANA</v>
      </c>
    </row>
    <row r="4575" spans="1:22" x14ac:dyDescent="0.2">
      <c r="A4575" s="23" t="s">
        <v>5535</v>
      </c>
      <c r="B4575" s="22" t="s">
        <v>33</v>
      </c>
      <c r="C4575" s="22" t="s">
        <v>2507</v>
      </c>
      <c r="D4575" s="22" t="s">
        <v>164</v>
      </c>
      <c r="E4575" s="24" t="s">
        <v>1576</v>
      </c>
      <c r="F4575" s="22" t="s">
        <v>876</v>
      </c>
      <c r="G4575" s="25">
        <v>17004.000000000011</v>
      </c>
      <c r="H4575" s="22" t="s">
        <v>22</v>
      </c>
      <c r="I4575" s="22">
        <v>1</v>
      </c>
      <c r="J4575" s="22" t="s">
        <v>876</v>
      </c>
      <c r="K4575" s="22" t="s">
        <v>86</v>
      </c>
      <c r="L4575" s="22">
        <v>0</v>
      </c>
      <c r="M4575" s="26">
        <v>350000</v>
      </c>
      <c r="N4575" s="26">
        <v>0</v>
      </c>
      <c r="O4575" s="15">
        <f t="shared" ref="O4575:O4576" si="398">SUM(M4575:N4575)</f>
        <v>350000</v>
      </c>
      <c r="P4575" s="15">
        <f t="shared" si="393"/>
        <v>20.583392143025158</v>
      </c>
      <c r="Q4575" s="25">
        <v>20000</v>
      </c>
      <c r="R4575" s="22">
        <v>85</v>
      </c>
      <c r="S4575" s="22" t="s">
        <v>5540</v>
      </c>
      <c r="T4575" s="22">
        <f t="shared" si="395"/>
        <v>4</v>
      </c>
      <c r="U4575" s="22">
        <f t="shared" si="396"/>
        <v>2022</v>
      </c>
      <c r="V4575" s="22" t="str">
        <f t="shared" si="397"/>
        <v>REGIONES</v>
      </c>
    </row>
    <row r="4576" spans="1:22" x14ac:dyDescent="0.2">
      <c r="A4576" s="23" t="s">
        <v>5535</v>
      </c>
      <c r="B4576" s="22" t="s">
        <v>33</v>
      </c>
      <c r="C4576" s="22" t="s">
        <v>36</v>
      </c>
      <c r="D4576" s="22" t="s">
        <v>5478</v>
      </c>
      <c r="E4576" s="24" t="s">
        <v>83</v>
      </c>
      <c r="F4576" s="22" t="s">
        <v>893</v>
      </c>
      <c r="G4576" s="25">
        <v>11173.3</v>
      </c>
      <c r="H4576" s="22" t="s">
        <v>24</v>
      </c>
      <c r="I4576" s="22">
        <v>1</v>
      </c>
      <c r="J4576" s="22" t="s">
        <v>893</v>
      </c>
      <c r="K4576" s="22" t="s">
        <v>437</v>
      </c>
      <c r="L4576" s="22">
        <v>0</v>
      </c>
      <c r="M4576" s="26">
        <v>1000000</v>
      </c>
      <c r="N4576" s="26">
        <v>0</v>
      </c>
      <c r="O4576" s="15">
        <f t="shared" si="398"/>
        <v>1000000</v>
      </c>
      <c r="P4576" s="15">
        <f t="shared" si="393"/>
        <v>89.499073684587373</v>
      </c>
      <c r="Q4576" s="25">
        <v>20000</v>
      </c>
      <c r="R4576" s="22">
        <v>56</v>
      </c>
      <c r="S4576" s="22" t="s">
        <v>5541</v>
      </c>
      <c r="T4576" s="22">
        <f t="shared" si="395"/>
        <v>4</v>
      </c>
      <c r="U4576" s="22">
        <f t="shared" si="396"/>
        <v>2022</v>
      </c>
      <c r="V4576" s="22" t="str">
        <f t="shared" si="397"/>
        <v>REGIONES</v>
      </c>
    </row>
    <row r="4577" spans="1:22" x14ac:dyDescent="0.2">
      <c r="A4577" s="23" t="s">
        <v>5535</v>
      </c>
      <c r="B4577" s="22" t="s">
        <v>33</v>
      </c>
      <c r="C4577" s="22" t="s">
        <v>36</v>
      </c>
      <c r="D4577" s="22" t="s">
        <v>786</v>
      </c>
      <c r="E4577" s="24" t="s">
        <v>787</v>
      </c>
      <c r="F4577" s="22" t="s">
        <v>1026</v>
      </c>
      <c r="G4577" s="25">
        <f>9180.92+3755</f>
        <v>12935.92</v>
      </c>
      <c r="H4577" s="22" t="s">
        <v>788</v>
      </c>
      <c r="I4577" s="22">
        <v>1</v>
      </c>
      <c r="J4577" s="22" t="s">
        <v>1026</v>
      </c>
      <c r="K4577" s="22" t="s">
        <v>408</v>
      </c>
      <c r="L4577" s="22">
        <v>0</v>
      </c>
      <c r="M4577" s="26">
        <v>650000</v>
      </c>
      <c r="N4577" s="26">
        <v>0</v>
      </c>
      <c r="O4577" s="15">
        <v>750000</v>
      </c>
      <c r="P4577" s="15">
        <f t="shared" ref="P4577:P4640" si="399">O4577/G4577</f>
        <v>57.978095102628956</v>
      </c>
      <c r="Q4577" s="25">
        <v>20000</v>
      </c>
      <c r="R4577" s="22">
        <v>66</v>
      </c>
      <c r="S4577" s="22" t="s">
        <v>5549</v>
      </c>
      <c r="T4577" s="22">
        <f t="shared" si="395"/>
        <v>4</v>
      </c>
      <c r="U4577" s="22">
        <f t="shared" si="396"/>
        <v>2022</v>
      </c>
      <c r="V4577" s="22" t="str">
        <f t="shared" si="397"/>
        <v>REGIONES</v>
      </c>
    </row>
    <row r="4578" spans="1:22" x14ac:dyDescent="0.2">
      <c r="A4578" s="23" t="s">
        <v>5535</v>
      </c>
      <c r="B4578" s="22" t="s">
        <v>33</v>
      </c>
      <c r="C4578" s="22" t="s">
        <v>29</v>
      </c>
      <c r="D4578" s="22" t="s">
        <v>38</v>
      </c>
      <c r="E4578" s="24" t="s">
        <v>42</v>
      </c>
      <c r="F4578" s="22" t="s">
        <v>39</v>
      </c>
      <c r="G4578" s="25">
        <v>9340.6</v>
      </c>
      <c r="H4578" s="22" t="s">
        <v>43</v>
      </c>
      <c r="I4578" s="22">
        <v>0</v>
      </c>
      <c r="J4578" s="22" t="s">
        <v>39</v>
      </c>
      <c r="K4578" s="22" t="s">
        <v>23</v>
      </c>
      <c r="L4578" s="22">
        <v>1</v>
      </c>
      <c r="M4578" s="26">
        <v>102747</v>
      </c>
      <c r="N4578" s="26">
        <v>0</v>
      </c>
      <c r="O4578" s="15">
        <f t="shared" ref="O4578:O4609" si="400">SUM(M4578:N4578)</f>
        <v>102747</v>
      </c>
      <c r="P4578" s="15">
        <f t="shared" si="399"/>
        <v>11.000042823801468</v>
      </c>
      <c r="Q4578" s="25">
        <v>5000</v>
      </c>
      <c r="R4578" s="22">
        <v>100</v>
      </c>
      <c r="S4578" s="22" t="s">
        <v>5542</v>
      </c>
      <c r="T4578" s="22">
        <f t="shared" si="395"/>
        <v>4</v>
      </c>
      <c r="U4578" s="22">
        <f t="shared" si="396"/>
        <v>2022</v>
      </c>
      <c r="V4578" s="22" t="str">
        <f t="shared" si="397"/>
        <v>METROPOLITANA</v>
      </c>
    </row>
    <row r="4579" spans="1:22" x14ac:dyDescent="0.2">
      <c r="A4579" s="23" t="s">
        <v>5535</v>
      </c>
      <c r="B4579" s="22" t="s">
        <v>33</v>
      </c>
      <c r="C4579" s="22" t="s">
        <v>29</v>
      </c>
      <c r="D4579" s="22" t="s">
        <v>37</v>
      </c>
      <c r="E4579" s="24" t="s">
        <v>40</v>
      </c>
      <c r="F4579" s="22" t="s">
        <v>39</v>
      </c>
      <c r="G4579" s="25">
        <v>3435</v>
      </c>
      <c r="H4579" s="22" t="s">
        <v>22</v>
      </c>
      <c r="I4579" s="22">
        <v>0</v>
      </c>
      <c r="J4579" s="22" t="s">
        <v>39</v>
      </c>
      <c r="K4579" s="22" t="s">
        <v>23</v>
      </c>
      <c r="L4579" s="22">
        <v>1</v>
      </c>
      <c r="M4579" s="26">
        <v>55000</v>
      </c>
      <c r="N4579" s="26">
        <v>0</v>
      </c>
      <c r="O4579" s="15">
        <f t="shared" si="400"/>
        <v>55000</v>
      </c>
      <c r="P4579" s="15">
        <f t="shared" si="399"/>
        <v>16.01164483260553</v>
      </c>
      <c r="Q4579" s="25">
        <v>5000</v>
      </c>
      <c r="R4579" s="22">
        <v>69</v>
      </c>
      <c r="S4579" s="22" t="s">
        <v>5543</v>
      </c>
      <c r="T4579" s="22">
        <f t="shared" si="395"/>
        <v>4</v>
      </c>
      <c r="U4579" s="22">
        <f t="shared" si="396"/>
        <v>2022</v>
      </c>
      <c r="V4579" s="22" t="str">
        <f t="shared" si="397"/>
        <v>METROPOLITANA</v>
      </c>
    </row>
    <row r="4580" spans="1:22" x14ac:dyDescent="0.2">
      <c r="A4580" s="23" t="s">
        <v>5535</v>
      </c>
      <c r="B4580" s="22" t="s">
        <v>33</v>
      </c>
      <c r="C4580" s="22" t="s">
        <v>29</v>
      </c>
      <c r="D4580" s="22" t="s">
        <v>20</v>
      </c>
      <c r="E4580" s="24" t="s">
        <v>21</v>
      </c>
      <c r="F4580" s="22" t="s">
        <v>129</v>
      </c>
      <c r="G4580" s="25">
        <f>7198.3+3435+2402</f>
        <v>13035.3</v>
      </c>
      <c r="H4580" s="22" t="s">
        <v>22</v>
      </c>
      <c r="I4580" s="22">
        <v>0</v>
      </c>
      <c r="J4580" s="22" t="s">
        <v>129</v>
      </c>
      <c r="K4580" s="22" t="s">
        <v>23</v>
      </c>
      <c r="L4580" s="22">
        <v>1</v>
      </c>
      <c r="M4580" s="26">
        <v>79181</v>
      </c>
      <c r="N4580" s="26">
        <v>0</v>
      </c>
      <c r="O4580" s="15">
        <f t="shared" si="400"/>
        <v>79181</v>
      </c>
      <c r="P4580" s="15">
        <f t="shared" si="399"/>
        <v>6.074351952007242</v>
      </c>
      <c r="Q4580" s="25">
        <v>5000</v>
      </c>
      <c r="R4580" s="22">
        <v>100</v>
      </c>
      <c r="S4580" s="22" t="s">
        <v>5548</v>
      </c>
      <c r="T4580" s="22">
        <f t="shared" si="395"/>
        <v>4</v>
      </c>
      <c r="U4580" s="22">
        <f t="shared" si="396"/>
        <v>2022</v>
      </c>
      <c r="V4580" s="22" t="str">
        <f t="shared" si="397"/>
        <v>METROPOLITANA</v>
      </c>
    </row>
    <row r="4581" spans="1:22" x14ac:dyDescent="0.2">
      <c r="A4581" s="23" t="s">
        <v>5535</v>
      </c>
      <c r="B4581" s="22" t="s">
        <v>33</v>
      </c>
      <c r="C4581" s="22" t="s">
        <v>44</v>
      </c>
      <c r="D4581" s="22" t="s">
        <v>191</v>
      </c>
      <c r="E4581" s="24" t="s">
        <v>192</v>
      </c>
      <c r="F4581" s="22" t="s">
        <v>84</v>
      </c>
      <c r="G4581" s="25">
        <v>10263.98</v>
      </c>
      <c r="H4581" s="22" t="s">
        <v>85</v>
      </c>
      <c r="I4581" s="22">
        <v>1</v>
      </c>
      <c r="J4581" s="22" t="s">
        <v>84</v>
      </c>
      <c r="K4581" s="22" t="s">
        <v>86</v>
      </c>
      <c r="L4581" s="22">
        <v>0</v>
      </c>
      <c r="M4581" s="26">
        <v>360000</v>
      </c>
      <c r="N4581" s="26">
        <v>0</v>
      </c>
      <c r="O4581" s="15">
        <f t="shared" si="400"/>
        <v>360000</v>
      </c>
      <c r="P4581" s="15">
        <f t="shared" si="399"/>
        <v>35.074113550494062</v>
      </c>
      <c r="Q4581" s="25">
        <v>20000</v>
      </c>
      <c r="R4581" s="22">
        <v>51</v>
      </c>
      <c r="S4581" s="22" t="s">
        <v>5544</v>
      </c>
      <c r="T4581" s="22">
        <f t="shared" si="395"/>
        <v>4</v>
      </c>
      <c r="U4581" s="22">
        <f t="shared" si="396"/>
        <v>2022</v>
      </c>
      <c r="V4581" s="22" t="str">
        <f t="shared" si="397"/>
        <v>REGIONES</v>
      </c>
    </row>
    <row r="4582" spans="1:22" x14ac:dyDescent="0.2">
      <c r="A4582" s="23" t="s">
        <v>5535</v>
      </c>
      <c r="B4582" s="22" t="s">
        <v>33</v>
      </c>
      <c r="C4582" s="22" t="s">
        <v>44</v>
      </c>
      <c r="D4582" s="22" t="s">
        <v>45</v>
      </c>
      <c r="E4582" s="24" t="s">
        <v>52</v>
      </c>
      <c r="F4582" s="22" t="s">
        <v>53</v>
      </c>
      <c r="G4582" s="25">
        <v>4013.8</v>
      </c>
      <c r="H4582" s="22" t="s">
        <v>22</v>
      </c>
      <c r="I4582" s="22">
        <v>0</v>
      </c>
      <c r="J4582" s="22" t="s">
        <v>53</v>
      </c>
      <c r="K4582" s="22" t="s">
        <v>23</v>
      </c>
      <c r="L4582" s="22">
        <v>3</v>
      </c>
      <c r="M4582" s="26">
        <v>55000</v>
      </c>
      <c r="N4582" s="26">
        <v>0</v>
      </c>
      <c r="O4582" s="15">
        <f t="shared" si="400"/>
        <v>55000</v>
      </c>
      <c r="P4582" s="15">
        <f t="shared" si="399"/>
        <v>13.702725596691414</v>
      </c>
      <c r="Q4582" s="25">
        <v>5000</v>
      </c>
      <c r="R4582" s="22">
        <v>80</v>
      </c>
      <c r="S4582" s="22" t="s">
        <v>5545</v>
      </c>
      <c r="T4582" s="22">
        <f t="shared" si="395"/>
        <v>4</v>
      </c>
      <c r="U4582" s="22">
        <f t="shared" si="396"/>
        <v>2022</v>
      </c>
      <c r="V4582" s="22" t="str">
        <f t="shared" si="397"/>
        <v>METROPOLITANA</v>
      </c>
    </row>
    <row r="4583" spans="1:22" x14ac:dyDescent="0.2">
      <c r="A4583" s="23" t="s">
        <v>5535</v>
      </c>
      <c r="B4583" s="22" t="s">
        <v>33</v>
      </c>
      <c r="C4583" s="22" t="s">
        <v>44</v>
      </c>
      <c r="D4583" s="22" t="s">
        <v>47</v>
      </c>
      <c r="E4583" s="24" t="s">
        <v>5546</v>
      </c>
      <c r="F4583" s="22" t="s">
        <v>134</v>
      </c>
      <c r="G4583" s="25">
        <v>3951.6</v>
      </c>
      <c r="H4583" s="22" t="s">
        <v>22</v>
      </c>
      <c r="I4583" s="22">
        <v>0</v>
      </c>
      <c r="J4583" s="22" t="s">
        <v>134</v>
      </c>
      <c r="K4583" s="22" t="s">
        <v>23</v>
      </c>
      <c r="L4583" s="22">
        <v>2</v>
      </c>
      <c r="M4583" s="26">
        <v>55000</v>
      </c>
      <c r="N4583" s="26">
        <v>0</v>
      </c>
      <c r="O4583" s="15">
        <f t="shared" si="400"/>
        <v>55000</v>
      </c>
      <c r="P4583" s="15">
        <f t="shared" si="399"/>
        <v>13.918412794817289</v>
      </c>
      <c r="Q4583" s="25">
        <v>5000</v>
      </c>
      <c r="R4583" s="22">
        <v>79</v>
      </c>
      <c r="S4583" s="22" t="s">
        <v>5547</v>
      </c>
      <c r="T4583" s="22">
        <f t="shared" si="395"/>
        <v>4</v>
      </c>
      <c r="U4583" s="22">
        <f t="shared" si="396"/>
        <v>2022</v>
      </c>
      <c r="V4583" s="22" t="str">
        <f t="shared" si="397"/>
        <v>METROPOLITANA</v>
      </c>
    </row>
    <row r="4584" spans="1:22" x14ac:dyDescent="0.2">
      <c r="A4584" s="11" t="s">
        <v>5550</v>
      </c>
      <c r="B4584" s="12" t="s">
        <v>18</v>
      </c>
      <c r="C4584" s="12" t="s">
        <v>57</v>
      </c>
      <c r="D4584" s="12" t="s">
        <v>38</v>
      </c>
      <c r="E4584" s="13" t="s">
        <v>42</v>
      </c>
      <c r="F4584" s="12" t="s">
        <v>173</v>
      </c>
      <c r="G4584" s="14">
        <v>11011.18</v>
      </c>
      <c r="H4584" s="12" t="s">
        <v>43</v>
      </c>
      <c r="I4584" s="12">
        <v>0</v>
      </c>
      <c r="J4584" s="12" t="s">
        <v>173</v>
      </c>
      <c r="K4584" s="12" t="s">
        <v>23</v>
      </c>
      <c r="L4584" s="12">
        <v>5</v>
      </c>
      <c r="M4584" s="15">
        <v>90000</v>
      </c>
      <c r="N4584" s="15">
        <v>0</v>
      </c>
      <c r="O4584" s="15">
        <f t="shared" si="400"/>
        <v>90000</v>
      </c>
      <c r="P4584" s="15">
        <f t="shared" si="399"/>
        <v>8.1735109225350957</v>
      </c>
      <c r="Q4584" s="14">
        <v>10000</v>
      </c>
      <c r="R4584" s="12">
        <v>100</v>
      </c>
      <c r="S4584" s="12" t="s">
        <v>5551</v>
      </c>
      <c r="T4584" s="22">
        <f t="shared" si="395"/>
        <v>4</v>
      </c>
      <c r="U4584" s="22">
        <f t="shared" si="396"/>
        <v>2022</v>
      </c>
      <c r="V4584" s="22" t="str">
        <f t="shared" si="397"/>
        <v>METROPOLITANA</v>
      </c>
    </row>
    <row r="4585" spans="1:22" x14ac:dyDescent="0.2">
      <c r="A4585" s="11" t="s">
        <v>5550</v>
      </c>
      <c r="B4585" s="12" t="s">
        <v>18</v>
      </c>
      <c r="C4585" s="12" t="s">
        <v>57</v>
      </c>
      <c r="D4585" s="12" t="s">
        <v>2199</v>
      </c>
      <c r="E4585" s="13" t="s">
        <v>25</v>
      </c>
      <c r="F4585" s="12" t="s">
        <v>173</v>
      </c>
      <c r="G4585" s="14">
        <v>12122.4</v>
      </c>
      <c r="H4585" s="12" t="s">
        <v>22</v>
      </c>
      <c r="I4585" s="12">
        <v>0</v>
      </c>
      <c r="J4585" s="12" t="s">
        <v>173</v>
      </c>
      <c r="K4585" s="12" t="s">
        <v>23</v>
      </c>
      <c r="L4585" s="12">
        <v>5</v>
      </c>
      <c r="M4585" s="15">
        <v>90000</v>
      </c>
      <c r="N4585" s="15">
        <v>0</v>
      </c>
      <c r="O4585" s="15">
        <f t="shared" si="400"/>
        <v>90000</v>
      </c>
      <c r="P4585" s="15">
        <f t="shared" si="399"/>
        <v>7.4242724213027129</v>
      </c>
      <c r="Q4585" s="14">
        <v>10000</v>
      </c>
      <c r="R4585" s="12">
        <v>100</v>
      </c>
      <c r="S4585" s="12" t="s">
        <v>5552</v>
      </c>
      <c r="T4585" s="22">
        <f t="shared" si="395"/>
        <v>4</v>
      </c>
      <c r="U4585" s="22">
        <f t="shared" si="396"/>
        <v>2022</v>
      </c>
      <c r="V4585" s="22" t="str">
        <f t="shared" si="397"/>
        <v>METROPOLITANA</v>
      </c>
    </row>
    <row r="4586" spans="1:22" x14ac:dyDescent="0.2">
      <c r="A4586" s="11" t="s">
        <v>5550</v>
      </c>
      <c r="B4586" s="12" t="s">
        <v>18</v>
      </c>
      <c r="C4586" s="12" t="s">
        <v>160</v>
      </c>
      <c r="D4586" s="12" t="s">
        <v>37</v>
      </c>
      <c r="E4586" s="13" t="s">
        <v>40</v>
      </c>
      <c r="F4586" s="12" t="s">
        <v>800</v>
      </c>
      <c r="G4586" s="14">
        <v>9406.75</v>
      </c>
      <c r="H4586" s="12" t="s">
        <v>22</v>
      </c>
      <c r="I4586" s="12">
        <v>0</v>
      </c>
      <c r="J4586" s="12" t="s">
        <v>800</v>
      </c>
      <c r="K4586" s="12" t="s">
        <v>23</v>
      </c>
      <c r="L4586" s="12">
        <v>5</v>
      </c>
      <c r="M4586" s="15">
        <v>90000</v>
      </c>
      <c r="N4586" s="15">
        <v>0</v>
      </c>
      <c r="O4586" s="15">
        <f t="shared" si="400"/>
        <v>90000</v>
      </c>
      <c r="P4586" s="15">
        <f t="shared" si="399"/>
        <v>9.5675977356685351</v>
      </c>
      <c r="Q4586" s="14">
        <v>10000</v>
      </c>
      <c r="R4586" s="12">
        <v>94</v>
      </c>
      <c r="S4586" s="12" t="s">
        <v>5553</v>
      </c>
      <c r="T4586" s="22">
        <f t="shared" si="395"/>
        <v>4</v>
      </c>
      <c r="U4586" s="22">
        <f t="shared" si="396"/>
        <v>2022</v>
      </c>
      <c r="V4586" s="22" t="str">
        <f t="shared" si="397"/>
        <v>METROPOLITANA</v>
      </c>
    </row>
    <row r="4587" spans="1:22" x14ac:dyDescent="0.2">
      <c r="A4587" s="11" t="s">
        <v>5550</v>
      </c>
      <c r="B4587" s="12" t="s">
        <v>18</v>
      </c>
      <c r="C4587" s="12" t="s">
        <v>4331</v>
      </c>
      <c r="D4587" s="12" t="s">
        <v>41</v>
      </c>
      <c r="E4587" s="13" t="s">
        <v>25</v>
      </c>
      <c r="F4587" s="12" t="s">
        <v>26</v>
      </c>
      <c r="G4587" s="14">
        <v>13063.77</v>
      </c>
      <c r="H4587" s="12" t="s">
        <v>43</v>
      </c>
      <c r="I4587" s="12">
        <v>0</v>
      </c>
      <c r="J4587" s="12" t="s">
        <v>26</v>
      </c>
      <c r="K4587" s="12" t="s">
        <v>23</v>
      </c>
      <c r="L4587" s="12">
        <v>4</v>
      </c>
      <c r="M4587" s="15">
        <v>143701</v>
      </c>
      <c r="N4587" s="15">
        <v>0</v>
      </c>
      <c r="O4587" s="15">
        <f t="shared" si="400"/>
        <v>143701</v>
      </c>
      <c r="P4587" s="15">
        <f t="shared" si="399"/>
        <v>10.99996402263665</v>
      </c>
      <c r="Q4587" s="14">
        <v>5000</v>
      </c>
      <c r="R4587" s="12">
        <v>100</v>
      </c>
      <c r="S4587" s="12" t="s">
        <v>5554</v>
      </c>
      <c r="T4587" s="22">
        <f t="shared" si="395"/>
        <v>4</v>
      </c>
      <c r="U4587" s="22">
        <f t="shared" si="396"/>
        <v>2022</v>
      </c>
      <c r="V4587" s="22" t="str">
        <f t="shared" si="397"/>
        <v>METROPOLITANA</v>
      </c>
    </row>
    <row r="4588" spans="1:22" x14ac:dyDescent="0.2">
      <c r="A4588" s="11" t="s">
        <v>5550</v>
      </c>
      <c r="B4588" s="12" t="s">
        <v>33</v>
      </c>
      <c r="C4588" s="12" t="s">
        <v>2431</v>
      </c>
      <c r="D4588" s="12" t="s">
        <v>2955</v>
      </c>
      <c r="E4588" s="13" t="s">
        <v>2956</v>
      </c>
      <c r="F4588" s="12" t="s">
        <v>67</v>
      </c>
      <c r="G4588" s="14">
        <v>18475</v>
      </c>
      <c r="H4588" s="12" t="s">
        <v>24</v>
      </c>
      <c r="I4588" s="12">
        <v>1</v>
      </c>
      <c r="J4588" s="12" t="s">
        <v>67</v>
      </c>
      <c r="K4588" s="12" t="s">
        <v>23</v>
      </c>
      <c r="L4588" s="12">
        <v>2</v>
      </c>
      <c r="M4588" s="15">
        <v>203225</v>
      </c>
      <c r="N4588" s="15">
        <v>0</v>
      </c>
      <c r="O4588" s="15">
        <f t="shared" si="400"/>
        <v>203225</v>
      </c>
      <c r="P4588" s="15">
        <f t="shared" si="399"/>
        <v>11</v>
      </c>
      <c r="Q4588" s="14">
        <v>5000</v>
      </c>
      <c r="R4588" s="12">
        <v>100</v>
      </c>
      <c r="S4588" s="12" t="s">
        <v>5555</v>
      </c>
      <c r="T4588" s="22">
        <f t="shared" si="395"/>
        <v>4</v>
      </c>
      <c r="U4588" s="22">
        <f t="shared" si="396"/>
        <v>2022</v>
      </c>
      <c r="V4588" s="22" t="str">
        <f t="shared" si="397"/>
        <v>METROPOLITANA</v>
      </c>
    </row>
    <row r="4589" spans="1:22" x14ac:dyDescent="0.2">
      <c r="A4589" s="11" t="s">
        <v>5550</v>
      </c>
      <c r="B4589" s="12" t="s">
        <v>33</v>
      </c>
      <c r="C4589" s="12" t="s">
        <v>57</v>
      </c>
      <c r="D4589" s="12" t="s">
        <v>47</v>
      </c>
      <c r="E4589" s="13" t="s">
        <v>49</v>
      </c>
      <c r="F4589" s="12" t="s">
        <v>308</v>
      </c>
      <c r="G4589" s="14">
        <v>6156</v>
      </c>
      <c r="H4589" s="12" t="s">
        <v>22</v>
      </c>
      <c r="I4589" s="12">
        <v>0</v>
      </c>
      <c r="J4589" s="12" t="s">
        <v>308</v>
      </c>
      <c r="K4589" s="12" t="s">
        <v>78</v>
      </c>
      <c r="L4589" s="12">
        <v>0</v>
      </c>
      <c r="M4589" s="15">
        <v>203000</v>
      </c>
      <c r="N4589" s="15">
        <v>0</v>
      </c>
      <c r="O4589" s="15">
        <f t="shared" si="400"/>
        <v>203000</v>
      </c>
      <c r="P4589" s="15">
        <f t="shared" si="399"/>
        <v>32.975958414554903</v>
      </c>
      <c r="Q4589" s="14">
        <v>20000</v>
      </c>
      <c r="R4589" s="12">
        <v>31</v>
      </c>
      <c r="S4589" s="12" t="s">
        <v>5556</v>
      </c>
      <c r="T4589" s="22">
        <f t="shared" si="395"/>
        <v>4</v>
      </c>
      <c r="U4589" s="22">
        <f t="shared" si="396"/>
        <v>2022</v>
      </c>
      <c r="V4589" s="22" t="str">
        <f t="shared" si="397"/>
        <v>REGIONES</v>
      </c>
    </row>
    <row r="4590" spans="1:22" x14ac:dyDescent="0.2">
      <c r="A4590" s="11" t="s">
        <v>5550</v>
      </c>
      <c r="B4590" s="12" t="s">
        <v>33</v>
      </c>
      <c r="C4590" s="12" t="s">
        <v>128</v>
      </c>
      <c r="D4590" s="12" t="s">
        <v>2955</v>
      </c>
      <c r="E4590" s="13" t="s">
        <v>2956</v>
      </c>
      <c r="F4590" s="12" t="s">
        <v>129</v>
      </c>
      <c r="G4590" s="14">
        <v>9326.4</v>
      </c>
      <c r="H4590" s="12" t="s">
        <v>24</v>
      </c>
      <c r="I4590" s="12">
        <v>1</v>
      </c>
      <c r="J4590" s="12" t="s">
        <v>129</v>
      </c>
      <c r="K4590" s="12" t="s">
        <v>23</v>
      </c>
      <c r="L4590" s="12">
        <v>1</v>
      </c>
      <c r="M4590" s="15">
        <v>102590</v>
      </c>
      <c r="N4590" s="15">
        <v>0</v>
      </c>
      <c r="O4590" s="15">
        <f t="shared" si="400"/>
        <v>102590</v>
      </c>
      <c r="P4590" s="15">
        <f t="shared" si="399"/>
        <v>10.999957110996741</v>
      </c>
      <c r="Q4590" s="14">
        <v>5000</v>
      </c>
      <c r="R4590" s="12">
        <v>100</v>
      </c>
      <c r="S4590" s="12" t="s">
        <v>5557</v>
      </c>
      <c r="T4590" s="22">
        <f t="shared" si="395"/>
        <v>4</v>
      </c>
      <c r="U4590" s="22">
        <f t="shared" si="396"/>
        <v>2022</v>
      </c>
      <c r="V4590" s="22" t="str">
        <f t="shared" si="397"/>
        <v>METROPOLITANA</v>
      </c>
    </row>
    <row r="4591" spans="1:22" x14ac:dyDescent="0.2">
      <c r="A4591" s="11" t="s">
        <v>5550</v>
      </c>
      <c r="B4591" s="12" t="s">
        <v>33</v>
      </c>
      <c r="C4591" s="12" t="s">
        <v>29</v>
      </c>
      <c r="D4591" s="12" t="s">
        <v>63</v>
      </c>
      <c r="E4591" s="13" t="s">
        <v>64</v>
      </c>
      <c r="F4591" s="12" t="s">
        <v>129</v>
      </c>
      <c r="G4591" s="14">
        <f>6064.8+690</f>
        <v>6754.8</v>
      </c>
      <c r="H4591" s="12" t="s">
        <v>65</v>
      </c>
      <c r="I4591" s="12">
        <v>0</v>
      </c>
      <c r="J4591" s="12" t="s">
        <v>129</v>
      </c>
      <c r="K4591" s="12" t="s">
        <v>23</v>
      </c>
      <c r="L4591" s="12">
        <v>1</v>
      </c>
      <c r="M4591" s="15">
        <v>66713</v>
      </c>
      <c r="N4591" s="15">
        <v>0</v>
      </c>
      <c r="O4591" s="15">
        <f t="shared" si="400"/>
        <v>66713</v>
      </c>
      <c r="P4591" s="15">
        <f t="shared" si="399"/>
        <v>9.8763842008645693</v>
      </c>
      <c r="Q4591" s="14">
        <v>5000</v>
      </c>
      <c r="R4591" s="12">
        <v>100</v>
      </c>
      <c r="S4591" s="12" t="s">
        <v>5563</v>
      </c>
      <c r="T4591" s="22">
        <f t="shared" si="395"/>
        <v>4</v>
      </c>
      <c r="U4591" s="22">
        <f t="shared" si="396"/>
        <v>2022</v>
      </c>
      <c r="V4591" s="22" t="str">
        <f t="shared" si="397"/>
        <v>METROPOLITANA</v>
      </c>
    </row>
    <row r="4592" spans="1:22" x14ac:dyDescent="0.2">
      <c r="A4592" s="11" t="s">
        <v>5550</v>
      </c>
      <c r="B4592" s="12" t="s">
        <v>33</v>
      </c>
      <c r="C4592" s="12" t="s">
        <v>29</v>
      </c>
      <c r="D4592" s="12" t="s">
        <v>164</v>
      </c>
      <c r="E4592" s="13" t="s">
        <v>1576</v>
      </c>
      <c r="F4592" s="12" t="s">
        <v>39</v>
      </c>
      <c r="G4592" s="14">
        <v>10305</v>
      </c>
      <c r="H4592" s="12" t="s">
        <v>22</v>
      </c>
      <c r="I4592" s="12">
        <v>1</v>
      </c>
      <c r="J4592" s="12" t="s">
        <v>39</v>
      </c>
      <c r="K4592" s="12" t="s">
        <v>23</v>
      </c>
      <c r="L4592" s="12">
        <v>1</v>
      </c>
      <c r="M4592" s="15">
        <v>113355</v>
      </c>
      <c r="N4592" s="15">
        <v>0</v>
      </c>
      <c r="O4592" s="15">
        <f t="shared" si="400"/>
        <v>113355</v>
      </c>
      <c r="P4592" s="15">
        <f t="shared" si="399"/>
        <v>11</v>
      </c>
      <c r="Q4592" s="14">
        <v>5000</v>
      </c>
      <c r="R4592" s="12">
        <v>100</v>
      </c>
      <c r="S4592" s="12" t="s">
        <v>5558</v>
      </c>
      <c r="T4592" s="22">
        <f t="shared" si="395"/>
        <v>4</v>
      </c>
      <c r="U4592" s="22">
        <f t="shared" si="396"/>
        <v>2022</v>
      </c>
      <c r="V4592" s="22" t="str">
        <f t="shared" si="397"/>
        <v>METROPOLITANA</v>
      </c>
    </row>
    <row r="4593" spans="1:22" x14ac:dyDescent="0.2">
      <c r="A4593" s="11" t="s">
        <v>5550</v>
      </c>
      <c r="B4593" s="12" t="s">
        <v>33</v>
      </c>
      <c r="C4593" s="12" t="s">
        <v>44</v>
      </c>
      <c r="D4593" s="12" t="s">
        <v>37</v>
      </c>
      <c r="E4593" s="13" t="s">
        <v>40</v>
      </c>
      <c r="F4593" s="12" t="s">
        <v>48</v>
      </c>
      <c r="G4593" s="14">
        <v>7134.02</v>
      </c>
      <c r="H4593" s="12" t="s">
        <v>22</v>
      </c>
      <c r="I4593" s="12">
        <v>0</v>
      </c>
      <c r="J4593" s="12" t="s">
        <v>48</v>
      </c>
      <c r="K4593" s="12" t="s">
        <v>23</v>
      </c>
      <c r="L4593" s="12">
        <v>1</v>
      </c>
      <c r="M4593" s="15">
        <v>78474</v>
      </c>
      <c r="N4593" s="15">
        <v>0</v>
      </c>
      <c r="O4593" s="15">
        <f t="shared" si="400"/>
        <v>78474</v>
      </c>
      <c r="P4593" s="15">
        <f t="shared" si="399"/>
        <v>10.999969161847037</v>
      </c>
      <c r="Q4593" s="14">
        <v>5000</v>
      </c>
      <c r="R4593" s="12">
        <v>100</v>
      </c>
      <c r="S4593" s="12" t="s">
        <v>5559</v>
      </c>
      <c r="T4593" s="22">
        <f t="shared" si="395"/>
        <v>4</v>
      </c>
      <c r="U4593" s="22">
        <f t="shared" si="396"/>
        <v>2022</v>
      </c>
      <c r="V4593" s="22" t="str">
        <f t="shared" si="397"/>
        <v>METROPOLITANA</v>
      </c>
    </row>
    <row r="4594" spans="1:22" x14ac:dyDescent="0.2">
      <c r="A4594" s="11" t="s">
        <v>5550</v>
      </c>
      <c r="B4594" s="12" t="s">
        <v>33</v>
      </c>
      <c r="C4594" s="12" t="s">
        <v>44</v>
      </c>
      <c r="D4594" s="12" t="s">
        <v>63</v>
      </c>
      <c r="E4594" s="13" t="s">
        <v>64</v>
      </c>
      <c r="F4594" s="12" t="s">
        <v>26</v>
      </c>
      <c r="G4594" s="14">
        <v>3674.400000000001</v>
      </c>
      <c r="H4594" s="12" t="s">
        <v>65</v>
      </c>
      <c r="I4594" s="12">
        <v>0</v>
      </c>
      <c r="J4594" s="12" t="s">
        <v>26</v>
      </c>
      <c r="K4594" s="12" t="s">
        <v>23</v>
      </c>
      <c r="L4594" s="12">
        <v>4</v>
      </c>
      <c r="M4594" s="15">
        <v>55000</v>
      </c>
      <c r="N4594" s="15">
        <v>0</v>
      </c>
      <c r="O4594" s="15">
        <f t="shared" si="400"/>
        <v>55000</v>
      </c>
      <c r="P4594" s="15">
        <f t="shared" si="399"/>
        <v>14.968430219899844</v>
      </c>
      <c r="Q4594" s="14">
        <v>5000</v>
      </c>
      <c r="R4594" s="12">
        <v>73</v>
      </c>
      <c r="S4594" s="12" t="s">
        <v>5560</v>
      </c>
      <c r="T4594" s="22">
        <f t="shared" si="395"/>
        <v>4</v>
      </c>
      <c r="U4594" s="22">
        <f t="shared" si="396"/>
        <v>2022</v>
      </c>
      <c r="V4594" s="22" t="str">
        <f t="shared" si="397"/>
        <v>METROPOLITANA</v>
      </c>
    </row>
    <row r="4595" spans="1:22" x14ac:dyDescent="0.2">
      <c r="A4595" s="11" t="s">
        <v>5550</v>
      </c>
      <c r="B4595" s="12" t="s">
        <v>33</v>
      </c>
      <c r="C4595" s="12" t="s">
        <v>44</v>
      </c>
      <c r="D4595" s="12" t="s">
        <v>45</v>
      </c>
      <c r="E4595" s="13" t="s">
        <v>52</v>
      </c>
      <c r="F4595" s="12" t="s">
        <v>129</v>
      </c>
      <c r="G4595" s="14">
        <v>3887.62</v>
      </c>
      <c r="H4595" s="12" t="s">
        <v>22</v>
      </c>
      <c r="I4595" s="12">
        <v>0</v>
      </c>
      <c r="J4595" s="12" t="s">
        <v>129</v>
      </c>
      <c r="K4595" s="12" t="s">
        <v>23</v>
      </c>
      <c r="L4595" s="12">
        <v>1</v>
      </c>
      <c r="M4595" s="15">
        <v>55000</v>
      </c>
      <c r="N4595" s="15">
        <v>0</v>
      </c>
      <c r="O4595" s="15">
        <f t="shared" si="400"/>
        <v>55000</v>
      </c>
      <c r="P4595" s="15">
        <f t="shared" si="399"/>
        <v>14.147473261275536</v>
      </c>
      <c r="Q4595" s="14">
        <v>5000</v>
      </c>
      <c r="R4595" s="12">
        <v>78</v>
      </c>
      <c r="S4595" s="12" t="s">
        <v>5561</v>
      </c>
      <c r="T4595" s="22">
        <f t="shared" si="395"/>
        <v>4</v>
      </c>
      <c r="U4595" s="22">
        <f t="shared" si="396"/>
        <v>2022</v>
      </c>
      <c r="V4595" s="22" t="str">
        <f t="shared" si="397"/>
        <v>METROPOLITANA</v>
      </c>
    </row>
    <row r="4596" spans="1:22" x14ac:dyDescent="0.2">
      <c r="A4596" s="11" t="s">
        <v>5550</v>
      </c>
      <c r="B4596" s="12" t="s">
        <v>33</v>
      </c>
      <c r="C4596" s="12" t="s">
        <v>44</v>
      </c>
      <c r="D4596" s="12" t="s">
        <v>20</v>
      </c>
      <c r="E4596" s="13" t="s">
        <v>21</v>
      </c>
      <c r="F4596" s="12" t="s">
        <v>67</v>
      </c>
      <c r="G4596" s="14">
        <v>3201.2000000000012</v>
      </c>
      <c r="H4596" s="12" t="s">
        <v>22</v>
      </c>
      <c r="I4596" s="12">
        <v>0</v>
      </c>
      <c r="J4596" s="12" t="s">
        <v>67</v>
      </c>
      <c r="K4596" s="12" t="s">
        <v>23</v>
      </c>
      <c r="L4596" s="12">
        <v>2</v>
      </c>
      <c r="M4596" s="15">
        <v>55000</v>
      </c>
      <c r="N4596" s="15">
        <v>0</v>
      </c>
      <c r="O4596" s="15">
        <f t="shared" si="400"/>
        <v>55000</v>
      </c>
      <c r="P4596" s="15">
        <f t="shared" si="399"/>
        <v>17.181057103586149</v>
      </c>
      <c r="Q4596" s="14">
        <v>5000</v>
      </c>
      <c r="R4596" s="12">
        <v>64</v>
      </c>
      <c r="S4596" s="12" t="s">
        <v>5562</v>
      </c>
      <c r="T4596" s="22">
        <f t="shared" si="395"/>
        <v>4</v>
      </c>
      <c r="U4596" s="22">
        <f t="shared" si="396"/>
        <v>2022</v>
      </c>
      <c r="V4596" s="22" t="str">
        <f t="shared" si="397"/>
        <v>METROPOLITANA</v>
      </c>
    </row>
    <row r="4597" spans="1:22" x14ac:dyDescent="0.2">
      <c r="A4597" s="23" t="s">
        <v>5564</v>
      </c>
      <c r="B4597" s="22" t="s">
        <v>18</v>
      </c>
      <c r="C4597" s="22" t="s">
        <v>270</v>
      </c>
      <c r="D4597" s="22" t="s">
        <v>47</v>
      </c>
      <c r="E4597" s="24" t="s">
        <v>5565</v>
      </c>
      <c r="F4597" s="22" t="s">
        <v>377</v>
      </c>
      <c r="G4597" s="25">
        <v>12659.490000000011</v>
      </c>
      <c r="H4597" s="22" t="s">
        <v>22</v>
      </c>
      <c r="I4597" s="22">
        <v>0</v>
      </c>
      <c r="J4597" s="22" t="s">
        <v>377</v>
      </c>
      <c r="K4597" s="22" t="s">
        <v>23</v>
      </c>
      <c r="L4597" s="22">
        <v>4</v>
      </c>
      <c r="M4597" s="26">
        <v>139254</v>
      </c>
      <c r="N4597" s="26">
        <v>0</v>
      </c>
      <c r="O4597" s="15">
        <f t="shared" si="400"/>
        <v>139254</v>
      </c>
      <c r="P4597" s="15">
        <f t="shared" si="399"/>
        <v>10.999969193071749</v>
      </c>
      <c r="Q4597" s="25">
        <v>5000</v>
      </c>
      <c r="R4597" s="22">
        <v>100</v>
      </c>
      <c r="S4597" s="22" t="s">
        <v>5566</v>
      </c>
      <c r="T4597" s="22">
        <f t="shared" si="395"/>
        <v>4</v>
      </c>
      <c r="U4597" s="22">
        <f t="shared" si="396"/>
        <v>2022</v>
      </c>
      <c r="V4597" s="22" t="str">
        <f t="shared" si="397"/>
        <v>METROPOLITANA</v>
      </c>
    </row>
    <row r="4598" spans="1:22" x14ac:dyDescent="0.2">
      <c r="A4598" s="23" t="s">
        <v>5564</v>
      </c>
      <c r="B4598" s="22" t="s">
        <v>18</v>
      </c>
      <c r="C4598" s="22" t="s">
        <v>57</v>
      </c>
      <c r="D4598" s="22" t="s">
        <v>38</v>
      </c>
      <c r="E4598" s="24" t="s">
        <v>42</v>
      </c>
      <c r="F4598" s="22" t="s">
        <v>173</v>
      </c>
      <c r="G4598" s="25">
        <v>6908.48</v>
      </c>
      <c r="H4598" s="22" t="s">
        <v>43</v>
      </c>
      <c r="I4598" s="22">
        <v>0</v>
      </c>
      <c r="J4598" s="22" t="s">
        <v>173</v>
      </c>
      <c r="K4598" s="22" t="s">
        <v>23</v>
      </c>
      <c r="L4598" s="22">
        <v>5</v>
      </c>
      <c r="M4598" s="26">
        <v>90000</v>
      </c>
      <c r="N4598" s="26">
        <v>0</v>
      </c>
      <c r="O4598" s="15">
        <f t="shared" si="400"/>
        <v>90000</v>
      </c>
      <c r="P4598" s="15">
        <f t="shared" si="399"/>
        <v>13.027467691880124</v>
      </c>
      <c r="Q4598" s="25">
        <v>10000</v>
      </c>
      <c r="R4598" s="22">
        <v>69</v>
      </c>
      <c r="S4598" s="22" t="s">
        <v>5567</v>
      </c>
      <c r="T4598" s="22">
        <f t="shared" si="395"/>
        <v>4</v>
      </c>
      <c r="U4598" s="22">
        <f t="shared" si="396"/>
        <v>2022</v>
      </c>
      <c r="V4598" s="22" t="str">
        <f t="shared" si="397"/>
        <v>METROPOLITANA</v>
      </c>
    </row>
    <row r="4599" spans="1:22" x14ac:dyDescent="0.2">
      <c r="A4599" s="23" t="s">
        <v>5564</v>
      </c>
      <c r="B4599" s="22" t="s">
        <v>18</v>
      </c>
      <c r="C4599" s="22" t="s">
        <v>57</v>
      </c>
      <c r="D4599" s="22" t="s">
        <v>2199</v>
      </c>
      <c r="E4599" s="24" t="s">
        <v>25</v>
      </c>
      <c r="F4599" s="22" t="s">
        <v>173</v>
      </c>
      <c r="G4599" s="25">
        <v>6844.5400000000009</v>
      </c>
      <c r="H4599" s="22" t="s">
        <v>22</v>
      </c>
      <c r="I4599" s="22">
        <v>0</v>
      </c>
      <c r="J4599" s="22" t="s">
        <v>173</v>
      </c>
      <c r="K4599" s="22" t="s">
        <v>23</v>
      </c>
      <c r="L4599" s="22">
        <v>5</v>
      </c>
      <c r="M4599" s="26">
        <v>90000</v>
      </c>
      <c r="N4599" s="26">
        <v>0</v>
      </c>
      <c r="O4599" s="15">
        <f t="shared" si="400"/>
        <v>90000</v>
      </c>
      <c r="P4599" s="15">
        <f t="shared" si="399"/>
        <v>13.149167073316832</v>
      </c>
      <c r="Q4599" s="25">
        <v>10000</v>
      </c>
      <c r="R4599" s="22">
        <v>68</v>
      </c>
      <c r="S4599" s="22" t="s">
        <v>5568</v>
      </c>
      <c r="T4599" s="22">
        <f t="shared" si="395"/>
        <v>4</v>
      </c>
      <c r="U4599" s="22">
        <f t="shared" si="396"/>
        <v>2022</v>
      </c>
      <c r="V4599" s="22" t="str">
        <f t="shared" si="397"/>
        <v>METROPOLITANA</v>
      </c>
    </row>
    <row r="4600" spans="1:22" x14ac:dyDescent="0.2">
      <c r="A4600" s="23" t="s">
        <v>5564</v>
      </c>
      <c r="B4600" s="22" t="s">
        <v>18</v>
      </c>
      <c r="C4600" s="22" t="s">
        <v>160</v>
      </c>
      <c r="D4600" s="22" t="s">
        <v>37</v>
      </c>
      <c r="E4600" s="24" t="s">
        <v>40</v>
      </c>
      <c r="F4600" s="22" t="s">
        <v>800</v>
      </c>
      <c r="G4600" s="25">
        <v>8523.8799999999992</v>
      </c>
      <c r="H4600" s="22" t="s">
        <v>22</v>
      </c>
      <c r="I4600" s="22">
        <v>0</v>
      </c>
      <c r="J4600" s="22" t="s">
        <v>800</v>
      </c>
      <c r="K4600" s="22" t="s">
        <v>23</v>
      </c>
      <c r="L4600" s="22">
        <v>5</v>
      </c>
      <c r="M4600" s="26">
        <v>90000</v>
      </c>
      <c r="N4600" s="26">
        <v>0</v>
      </c>
      <c r="O4600" s="15">
        <f t="shared" si="400"/>
        <v>90000</v>
      </c>
      <c r="P4600" s="15">
        <f t="shared" si="399"/>
        <v>10.558571917952857</v>
      </c>
      <c r="Q4600" s="25">
        <v>10000</v>
      </c>
      <c r="R4600" s="22">
        <v>85</v>
      </c>
      <c r="S4600" s="22" t="s">
        <v>5569</v>
      </c>
      <c r="T4600" s="22">
        <f t="shared" si="395"/>
        <v>4</v>
      </c>
      <c r="U4600" s="22">
        <f t="shared" si="396"/>
        <v>2022</v>
      </c>
      <c r="V4600" s="22" t="str">
        <f t="shared" si="397"/>
        <v>METROPOLITANA</v>
      </c>
    </row>
    <row r="4601" spans="1:22" x14ac:dyDescent="0.2">
      <c r="A4601" s="23" t="s">
        <v>5564</v>
      </c>
      <c r="B4601" s="22" t="s">
        <v>18</v>
      </c>
      <c r="C4601" s="22" t="s">
        <v>4331</v>
      </c>
      <c r="D4601" s="22" t="s">
        <v>20</v>
      </c>
      <c r="E4601" s="24" t="s">
        <v>21</v>
      </c>
      <c r="F4601" s="22" t="s">
        <v>26</v>
      </c>
      <c r="G4601" s="25">
        <v>7814.07</v>
      </c>
      <c r="H4601" s="22" t="s">
        <v>22</v>
      </c>
      <c r="I4601" s="22">
        <v>0</v>
      </c>
      <c r="J4601" s="22" t="s">
        <v>26</v>
      </c>
      <c r="K4601" s="22" t="s">
        <v>23</v>
      </c>
      <c r="L4601" s="22">
        <v>4</v>
      </c>
      <c r="M4601" s="26">
        <v>85955</v>
      </c>
      <c r="N4601" s="26">
        <v>0</v>
      </c>
      <c r="O4601" s="15">
        <f t="shared" si="400"/>
        <v>85955</v>
      </c>
      <c r="P4601" s="15">
        <f t="shared" si="399"/>
        <v>11.000029434084926</v>
      </c>
      <c r="Q4601" s="25">
        <v>5000</v>
      </c>
      <c r="R4601" s="22">
        <v>100</v>
      </c>
      <c r="S4601" s="22" t="s">
        <v>5570</v>
      </c>
      <c r="T4601" s="22">
        <f t="shared" si="395"/>
        <v>4</v>
      </c>
      <c r="U4601" s="22">
        <f t="shared" si="396"/>
        <v>2022</v>
      </c>
      <c r="V4601" s="22" t="str">
        <f t="shared" si="397"/>
        <v>METROPOLITANA</v>
      </c>
    </row>
    <row r="4602" spans="1:22" x14ac:dyDescent="0.2">
      <c r="A4602" s="23" t="s">
        <v>5564</v>
      </c>
      <c r="B4602" s="22" t="s">
        <v>18</v>
      </c>
      <c r="C4602" s="22" t="s">
        <v>5571</v>
      </c>
      <c r="D4602" s="22" t="s">
        <v>2955</v>
      </c>
      <c r="E4602" s="24" t="s">
        <v>2956</v>
      </c>
      <c r="F4602" s="22" t="s">
        <v>4064</v>
      </c>
      <c r="G4602" s="25">
        <v>24476.28000000001</v>
      </c>
      <c r="H4602" s="22" t="s">
        <v>24</v>
      </c>
      <c r="I4602" s="22">
        <v>1</v>
      </c>
      <c r="J4602" s="22" t="s">
        <v>4064</v>
      </c>
      <c r="K4602" s="22" t="s">
        <v>171</v>
      </c>
      <c r="L4602" s="22">
        <v>0</v>
      </c>
      <c r="M4602" s="26">
        <v>280000</v>
      </c>
      <c r="N4602" s="26">
        <v>0</v>
      </c>
      <c r="O4602" s="15">
        <f t="shared" si="400"/>
        <v>280000</v>
      </c>
      <c r="P4602" s="15">
        <f t="shared" si="399"/>
        <v>11.439646874443334</v>
      </c>
      <c r="Q4602" s="25">
        <v>20000</v>
      </c>
      <c r="R4602" s="22">
        <v>100</v>
      </c>
      <c r="S4602" s="22" t="s">
        <v>5572</v>
      </c>
      <c r="T4602" s="22">
        <f t="shared" si="395"/>
        <v>4</v>
      </c>
      <c r="U4602" s="22">
        <f t="shared" si="396"/>
        <v>2022</v>
      </c>
      <c r="V4602" s="22" t="str">
        <f t="shared" si="397"/>
        <v>REGIONES</v>
      </c>
    </row>
    <row r="4603" spans="1:22" x14ac:dyDescent="0.2">
      <c r="A4603" s="23" t="s">
        <v>5564</v>
      </c>
      <c r="B4603" s="22" t="s">
        <v>33</v>
      </c>
      <c r="C4603" s="22" t="s">
        <v>36</v>
      </c>
      <c r="D4603" s="22" t="s">
        <v>5478</v>
      </c>
      <c r="E4603" s="24" t="s">
        <v>83</v>
      </c>
      <c r="F4603" s="22" t="s">
        <v>84</v>
      </c>
      <c r="G4603" s="25">
        <f>7415.64+3747</f>
        <v>11162.64</v>
      </c>
      <c r="H4603" s="22" t="s">
        <v>24</v>
      </c>
      <c r="I4603" s="22">
        <v>1</v>
      </c>
      <c r="J4603" s="22" t="s">
        <v>84</v>
      </c>
      <c r="K4603" s="22" t="s">
        <v>86</v>
      </c>
      <c r="L4603" s="22">
        <v>0</v>
      </c>
      <c r="M4603" s="26">
        <v>360000</v>
      </c>
      <c r="N4603" s="26">
        <v>0</v>
      </c>
      <c r="O4603" s="15">
        <f t="shared" si="400"/>
        <v>360000</v>
      </c>
      <c r="P4603" s="15">
        <f t="shared" si="399"/>
        <v>32.25043538087764</v>
      </c>
      <c r="Q4603" s="25">
        <v>20000</v>
      </c>
      <c r="R4603" s="22">
        <v>57</v>
      </c>
      <c r="S4603" s="22" t="s">
        <v>5577</v>
      </c>
      <c r="T4603" s="22">
        <f t="shared" si="395"/>
        <v>4</v>
      </c>
      <c r="U4603" s="22">
        <f t="shared" si="396"/>
        <v>2022</v>
      </c>
      <c r="V4603" s="22" t="str">
        <f t="shared" si="397"/>
        <v>REGIONES</v>
      </c>
    </row>
    <row r="4604" spans="1:22" x14ac:dyDescent="0.2">
      <c r="A4604" s="23" t="s">
        <v>5564</v>
      </c>
      <c r="B4604" s="22" t="s">
        <v>33</v>
      </c>
      <c r="C4604" s="22" t="s">
        <v>5573</v>
      </c>
      <c r="D4604" s="22" t="s">
        <v>786</v>
      </c>
      <c r="E4604" s="24" t="s">
        <v>787</v>
      </c>
      <c r="F4604" s="22" t="s">
        <v>129</v>
      </c>
      <c r="G4604" s="25">
        <v>11336</v>
      </c>
      <c r="H4604" s="22" t="s">
        <v>788</v>
      </c>
      <c r="I4604" s="22">
        <v>1</v>
      </c>
      <c r="J4604" s="22" t="s">
        <v>129</v>
      </c>
      <c r="K4604" s="22" t="s">
        <v>23</v>
      </c>
      <c r="L4604" s="22">
        <v>1</v>
      </c>
      <c r="M4604" s="26">
        <v>124696</v>
      </c>
      <c r="N4604" s="26">
        <v>0</v>
      </c>
      <c r="O4604" s="15">
        <f t="shared" si="400"/>
        <v>124696</v>
      </c>
      <c r="P4604" s="15">
        <f t="shared" si="399"/>
        <v>11</v>
      </c>
      <c r="Q4604" s="25">
        <v>5000</v>
      </c>
      <c r="R4604" s="22">
        <v>100</v>
      </c>
      <c r="S4604" s="22" t="s">
        <v>5574</v>
      </c>
      <c r="T4604" s="22">
        <f t="shared" si="395"/>
        <v>4</v>
      </c>
      <c r="U4604" s="22">
        <f t="shared" si="396"/>
        <v>2022</v>
      </c>
      <c r="V4604" s="22" t="str">
        <f t="shared" si="397"/>
        <v>METROPOLITANA</v>
      </c>
    </row>
    <row r="4605" spans="1:22" x14ac:dyDescent="0.2">
      <c r="A4605" s="23" t="s">
        <v>5564</v>
      </c>
      <c r="B4605" s="22" t="s">
        <v>33</v>
      </c>
      <c r="C4605" s="22" t="s">
        <v>44</v>
      </c>
      <c r="D4605" s="22" t="s">
        <v>45</v>
      </c>
      <c r="E4605" s="24" t="s">
        <v>52</v>
      </c>
      <c r="F4605" s="22" t="s">
        <v>95</v>
      </c>
      <c r="G4605" s="25">
        <v>4745.7</v>
      </c>
      <c r="H4605" s="22" t="s">
        <v>22</v>
      </c>
      <c r="I4605" s="22">
        <v>0</v>
      </c>
      <c r="J4605" s="22" t="s">
        <v>95</v>
      </c>
      <c r="K4605" s="22" t="s">
        <v>23</v>
      </c>
      <c r="L4605" s="22">
        <v>4</v>
      </c>
      <c r="M4605" s="26">
        <v>55000</v>
      </c>
      <c r="N4605" s="26">
        <v>0</v>
      </c>
      <c r="O4605" s="15">
        <f t="shared" si="400"/>
        <v>55000</v>
      </c>
      <c r="P4605" s="15">
        <f t="shared" si="399"/>
        <v>11.589438860442085</v>
      </c>
      <c r="Q4605" s="25">
        <v>5000</v>
      </c>
      <c r="R4605" s="22">
        <v>95</v>
      </c>
      <c r="S4605" s="22" t="s">
        <v>5575</v>
      </c>
      <c r="T4605" s="22">
        <f t="shared" si="395"/>
        <v>4</v>
      </c>
      <c r="U4605" s="22">
        <f t="shared" si="396"/>
        <v>2022</v>
      </c>
      <c r="V4605" s="22" t="str">
        <f t="shared" si="397"/>
        <v>METROPOLITANA</v>
      </c>
    </row>
    <row r="4606" spans="1:22" x14ac:dyDescent="0.2">
      <c r="A4606" s="23" t="s">
        <v>5564</v>
      </c>
      <c r="B4606" s="22" t="s">
        <v>33</v>
      </c>
      <c r="C4606" s="22" t="s">
        <v>44</v>
      </c>
      <c r="D4606" s="22" t="s">
        <v>164</v>
      </c>
      <c r="E4606" s="24" t="s">
        <v>1576</v>
      </c>
      <c r="F4606" s="22" t="s">
        <v>48</v>
      </c>
      <c r="G4606" s="25">
        <v>9929.7000000000044</v>
      </c>
      <c r="H4606" s="22" t="s">
        <v>22</v>
      </c>
      <c r="I4606" s="22">
        <v>1</v>
      </c>
      <c r="J4606" s="22" t="s">
        <v>48</v>
      </c>
      <c r="K4606" s="22" t="s">
        <v>23</v>
      </c>
      <c r="L4606" s="22">
        <v>1</v>
      </c>
      <c r="M4606" s="26">
        <v>109227</v>
      </c>
      <c r="N4606" s="26">
        <v>0</v>
      </c>
      <c r="O4606" s="15">
        <f t="shared" si="400"/>
        <v>109227</v>
      </c>
      <c r="P4606" s="15">
        <f t="shared" si="399"/>
        <v>11.000030212393119</v>
      </c>
      <c r="Q4606" s="25">
        <v>5000</v>
      </c>
      <c r="R4606" s="22">
        <v>100</v>
      </c>
      <c r="S4606" s="22" t="s">
        <v>5576</v>
      </c>
      <c r="T4606" s="22">
        <f t="shared" si="395"/>
        <v>4</v>
      </c>
      <c r="U4606" s="22">
        <f t="shared" si="396"/>
        <v>2022</v>
      </c>
      <c r="V4606" s="22" t="str">
        <f t="shared" si="397"/>
        <v>METROPOLITANA</v>
      </c>
    </row>
    <row r="4607" spans="1:22" x14ac:dyDescent="0.2">
      <c r="A4607" s="11" t="s">
        <v>5578</v>
      </c>
      <c r="B4607" s="12" t="s">
        <v>18</v>
      </c>
      <c r="C4607" s="12" t="s">
        <v>4880</v>
      </c>
      <c r="D4607" s="12" t="s">
        <v>41</v>
      </c>
      <c r="E4607" s="13" t="s">
        <v>25</v>
      </c>
      <c r="F4607" s="12" t="s">
        <v>129</v>
      </c>
      <c r="G4607" s="14">
        <v>13933.44</v>
      </c>
      <c r="H4607" s="12" t="s">
        <v>43</v>
      </c>
      <c r="I4607" s="12">
        <v>0</v>
      </c>
      <c r="J4607" s="12" t="s">
        <v>129</v>
      </c>
      <c r="K4607" s="12" t="s">
        <v>23</v>
      </c>
      <c r="L4607" s="12">
        <v>1</v>
      </c>
      <c r="M4607" s="15">
        <v>153268</v>
      </c>
      <c r="N4607" s="15">
        <v>0</v>
      </c>
      <c r="O4607" s="15">
        <f t="shared" si="400"/>
        <v>153268</v>
      </c>
      <c r="P4607" s="15">
        <f t="shared" si="399"/>
        <v>11.000011483165679</v>
      </c>
      <c r="Q4607" s="14">
        <v>5000</v>
      </c>
      <c r="R4607" s="12">
        <v>100</v>
      </c>
      <c r="S4607" s="12" t="s">
        <v>5579</v>
      </c>
    </row>
    <row r="4608" spans="1:22" x14ac:dyDescent="0.2">
      <c r="A4608" s="11" t="s">
        <v>5578</v>
      </c>
      <c r="B4608" s="12" t="s">
        <v>18</v>
      </c>
      <c r="C4608" s="12" t="s">
        <v>1173</v>
      </c>
      <c r="D4608" s="12" t="s">
        <v>37</v>
      </c>
      <c r="E4608" s="13" t="s">
        <v>5580</v>
      </c>
      <c r="F4608" s="12" t="s">
        <v>182</v>
      </c>
      <c r="G4608" s="14">
        <v>8425.43</v>
      </c>
      <c r="H4608" s="12" t="s">
        <v>22</v>
      </c>
      <c r="I4608" s="12">
        <v>0</v>
      </c>
      <c r="J4608" s="12" t="s">
        <v>182</v>
      </c>
      <c r="K4608" s="12" t="s">
        <v>23</v>
      </c>
      <c r="L4608" s="12">
        <v>4</v>
      </c>
      <c r="M4608" s="15">
        <v>92680</v>
      </c>
      <c r="N4608" s="15">
        <v>0</v>
      </c>
      <c r="O4608" s="15">
        <f t="shared" si="400"/>
        <v>92680</v>
      </c>
      <c r="P4608" s="15">
        <f t="shared" si="399"/>
        <v>11.00003204584217</v>
      </c>
      <c r="Q4608" s="14">
        <v>5000</v>
      </c>
      <c r="R4608" s="12">
        <v>100</v>
      </c>
      <c r="S4608" s="12" t="s">
        <v>5581</v>
      </c>
    </row>
    <row r="4609" spans="1:22" x14ac:dyDescent="0.2">
      <c r="A4609" s="11" t="s">
        <v>5578</v>
      </c>
      <c r="B4609" s="12" t="s">
        <v>33</v>
      </c>
      <c r="C4609" s="12" t="s">
        <v>87</v>
      </c>
      <c r="D4609" s="12" t="s">
        <v>63</v>
      </c>
      <c r="E4609" s="13" t="s">
        <v>64</v>
      </c>
      <c r="F4609" s="12" t="s">
        <v>51</v>
      </c>
      <c r="G4609" s="14">
        <f>2998.54+2000</f>
        <v>4998.54</v>
      </c>
      <c r="H4609" s="12" t="s">
        <v>65</v>
      </c>
      <c r="I4609" s="12">
        <v>0</v>
      </c>
      <c r="J4609" s="12" t="s">
        <v>51</v>
      </c>
      <c r="K4609" s="12" t="s">
        <v>23</v>
      </c>
      <c r="L4609" s="12">
        <v>4</v>
      </c>
      <c r="M4609" s="15">
        <v>55000</v>
      </c>
      <c r="N4609" s="15">
        <v>0</v>
      </c>
      <c r="O4609" s="15">
        <f t="shared" si="400"/>
        <v>55000</v>
      </c>
      <c r="P4609" s="15">
        <f t="shared" si="399"/>
        <v>11.003212938177947</v>
      </c>
      <c r="Q4609" s="14">
        <v>5000</v>
      </c>
      <c r="R4609" s="12">
        <v>100</v>
      </c>
      <c r="S4609" s="12" t="s">
        <v>5587</v>
      </c>
    </row>
    <row r="4610" spans="1:22" x14ac:dyDescent="0.2">
      <c r="A4610" s="11" t="s">
        <v>5578</v>
      </c>
      <c r="B4610" s="12" t="s">
        <v>33</v>
      </c>
      <c r="C4610" s="12" t="s">
        <v>29</v>
      </c>
      <c r="D4610" s="12" t="s">
        <v>164</v>
      </c>
      <c r="E4610" s="13" t="s">
        <v>1576</v>
      </c>
      <c r="F4610" s="12" t="s">
        <v>39</v>
      </c>
      <c r="G4610" s="14">
        <v>28698.000000000011</v>
      </c>
      <c r="H4610" s="12" t="s">
        <v>22</v>
      </c>
      <c r="I4610" s="12">
        <v>1</v>
      </c>
      <c r="J4610" s="12" t="s">
        <v>39</v>
      </c>
      <c r="K4610" s="12" t="s">
        <v>23</v>
      </c>
      <c r="L4610" s="12">
        <v>1</v>
      </c>
      <c r="M4610" s="15">
        <v>315678</v>
      </c>
      <c r="N4610" s="15">
        <v>0</v>
      </c>
      <c r="O4610" s="15">
        <f t="shared" ref="O4610:O4641" si="401">SUM(M4610:N4610)</f>
        <v>315678</v>
      </c>
      <c r="P4610" s="15">
        <f t="shared" si="399"/>
        <v>10.999999999999996</v>
      </c>
      <c r="Q4610" s="14">
        <v>5000</v>
      </c>
      <c r="R4610" s="12">
        <v>100</v>
      </c>
      <c r="S4610" s="12" t="s">
        <v>5582</v>
      </c>
    </row>
    <row r="4611" spans="1:22" x14ac:dyDescent="0.2">
      <c r="A4611" s="11" t="s">
        <v>5578</v>
      </c>
      <c r="B4611" s="12" t="s">
        <v>33</v>
      </c>
      <c r="C4611" s="12" t="s">
        <v>44</v>
      </c>
      <c r="D4611" s="12" t="s">
        <v>38</v>
      </c>
      <c r="E4611" s="13" t="s">
        <v>25</v>
      </c>
      <c r="F4611" s="12" t="s">
        <v>53</v>
      </c>
      <c r="G4611" s="14">
        <v>3249.389999999999</v>
      </c>
      <c r="H4611" s="12" t="s">
        <v>43</v>
      </c>
      <c r="I4611" s="12">
        <v>0</v>
      </c>
      <c r="J4611" s="12" t="s">
        <v>53</v>
      </c>
      <c r="K4611" s="12" t="s">
        <v>23</v>
      </c>
      <c r="L4611" s="12">
        <v>3</v>
      </c>
      <c r="M4611" s="15">
        <v>55000</v>
      </c>
      <c r="N4611" s="15">
        <v>0</v>
      </c>
      <c r="O4611" s="15">
        <f t="shared" si="401"/>
        <v>55000</v>
      </c>
      <c r="P4611" s="15">
        <f t="shared" si="399"/>
        <v>16.926253850722755</v>
      </c>
      <c r="Q4611" s="14">
        <v>5000</v>
      </c>
      <c r="R4611" s="12">
        <v>65</v>
      </c>
      <c r="S4611" s="12" t="s">
        <v>5583</v>
      </c>
    </row>
    <row r="4612" spans="1:22" x14ac:dyDescent="0.2">
      <c r="A4612" s="11" t="s">
        <v>5578</v>
      </c>
      <c r="B4612" s="12" t="s">
        <v>33</v>
      </c>
      <c r="C4612" s="12" t="s">
        <v>44</v>
      </c>
      <c r="D4612" s="12" t="s">
        <v>45</v>
      </c>
      <c r="E4612" s="13" t="s">
        <v>52</v>
      </c>
      <c r="F4612" s="12" t="s">
        <v>67</v>
      </c>
      <c r="G4612" s="14">
        <v>5240.82</v>
      </c>
      <c r="H4612" s="12" t="s">
        <v>22</v>
      </c>
      <c r="I4612" s="12">
        <v>0</v>
      </c>
      <c r="J4612" s="12" t="s">
        <v>67</v>
      </c>
      <c r="K4612" s="12" t="s">
        <v>23</v>
      </c>
      <c r="L4612" s="12">
        <v>2</v>
      </c>
      <c r="M4612" s="15">
        <v>57649</v>
      </c>
      <c r="N4612" s="15">
        <v>0</v>
      </c>
      <c r="O4612" s="15">
        <f t="shared" si="401"/>
        <v>57649</v>
      </c>
      <c r="P4612" s="15">
        <f t="shared" si="399"/>
        <v>10.999996183803299</v>
      </c>
      <c r="Q4612" s="14">
        <v>5000</v>
      </c>
      <c r="R4612" s="12">
        <v>100</v>
      </c>
      <c r="S4612" s="12" t="s">
        <v>5584</v>
      </c>
    </row>
    <row r="4613" spans="1:22" x14ac:dyDescent="0.2">
      <c r="A4613" s="11" t="s">
        <v>5578</v>
      </c>
      <c r="B4613" s="12" t="s">
        <v>33</v>
      </c>
      <c r="C4613" s="12" t="s">
        <v>44</v>
      </c>
      <c r="D4613" s="12" t="s">
        <v>47</v>
      </c>
      <c r="E4613" s="13" t="s">
        <v>49</v>
      </c>
      <c r="F4613" s="12" t="s">
        <v>26</v>
      </c>
      <c r="G4613" s="14">
        <v>5845.58</v>
      </c>
      <c r="H4613" s="12" t="s">
        <v>22</v>
      </c>
      <c r="I4613" s="12">
        <v>0</v>
      </c>
      <c r="J4613" s="12" t="s">
        <v>26</v>
      </c>
      <c r="K4613" s="12" t="s">
        <v>23</v>
      </c>
      <c r="L4613" s="12">
        <v>4</v>
      </c>
      <c r="M4613" s="15">
        <v>64301</v>
      </c>
      <c r="N4613" s="15">
        <v>0</v>
      </c>
      <c r="O4613" s="15">
        <f t="shared" si="401"/>
        <v>64301</v>
      </c>
      <c r="P4613" s="15">
        <f t="shared" si="399"/>
        <v>10.99993499361911</v>
      </c>
      <c r="Q4613" s="14">
        <v>5000</v>
      </c>
      <c r="R4613" s="12">
        <v>100</v>
      </c>
      <c r="S4613" s="12" t="s">
        <v>5585</v>
      </c>
    </row>
    <row r="4614" spans="1:22" x14ac:dyDescent="0.2">
      <c r="A4614" s="11" t="s">
        <v>5578</v>
      </c>
      <c r="B4614" s="12" t="s">
        <v>33</v>
      </c>
      <c r="C4614" s="12" t="s">
        <v>44</v>
      </c>
      <c r="D4614" s="12" t="s">
        <v>20</v>
      </c>
      <c r="E4614" s="13" t="s">
        <v>21</v>
      </c>
      <c r="F4614" s="12" t="s">
        <v>51</v>
      </c>
      <c r="G4614" s="14">
        <v>4340.6599999999989</v>
      </c>
      <c r="H4614" s="12" t="s">
        <v>22</v>
      </c>
      <c r="I4614" s="12">
        <v>0</v>
      </c>
      <c r="J4614" s="12" t="s">
        <v>51</v>
      </c>
      <c r="K4614" s="12" t="s">
        <v>23</v>
      </c>
      <c r="L4614" s="12">
        <v>4</v>
      </c>
      <c r="M4614" s="15">
        <v>55000</v>
      </c>
      <c r="N4614" s="15">
        <v>0</v>
      </c>
      <c r="O4614" s="15">
        <f t="shared" si="401"/>
        <v>55000</v>
      </c>
      <c r="P4614" s="15">
        <f t="shared" si="399"/>
        <v>12.670884151258107</v>
      </c>
      <c r="Q4614" s="14">
        <v>5000</v>
      </c>
      <c r="R4614" s="12">
        <v>87</v>
      </c>
      <c r="S4614" s="12" t="s">
        <v>5586</v>
      </c>
    </row>
    <row r="4615" spans="1:22" x14ac:dyDescent="0.2">
      <c r="A4615" s="23" t="s">
        <v>5588</v>
      </c>
      <c r="B4615" s="22" t="s">
        <v>18</v>
      </c>
      <c r="C4615" s="22" t="s">
        <v>270</v>
      </c>
      <c r="D4615" s="22" t="s">
        <v>41</v>
      </c>
      <c r="E4615" s="24" t="s">
        <v>25</v>
      </c>
      <c r="F4615" s="22" t="s">
        <v>120</v>
      </c>
      <c r="G4615" s="25">
        <v>3588</v>
      </c>
      <c r="H4615" s="22" t="s">
        <v>43</v>
      </c>
      <c r="I4615" s="22">
        <v>0</v>
      </c>
      <c r="J4615" s="22" t="s">
        <v>120</v>
      </c>
      <c r="K4615" s="22" t="s">
        <v>23</v>
      </c>
      <c r="L4615" s="22">
        <v>5</v>
      </c>
      <c r="M4615" s="26">
        <v>70000</v>
      </c>
      <c r="N4615" s="26">
        <v>0</v>
      </c>
      <c r="O4615" s="15">
        <f t="shared" si="401"/>
        <v>70000</v>
      </c>
      <c r="P4615" s="15">
        <f t="shared" si="399"/>
        <v>19.509476031215161</v>
      </c>
      <c r="Q4615" s="25">
        <v>10000</v>
      </c>
      <c r="R4615" s="22">
        <v>36</v>
      </c>
      <c r="S4615" s="22" t="s">
        <v>5589</v>
      </c>
      <c r="T4615" s="22">
        <f t="shared" ref="T4615:T4678" si="402">MONTH(A4615)</f>
        <v>4</v>
      </c>
      <c r="U4615" s="22">
        <f t="shared" ref="U4615:U4678" si="403">YEAR(A4615)</f>
        <v>2022</v>
      </c>
      <c r="V4615" s="22" t="str">
        <f t="shared" ref="V4615:V4678" si="404">IF(K4615="METROPOLITANA DE SANTIAGO","METROPOLITANA","REGIONES")</f>
        <v>METROPOLITANA</v>
      </c>
    </row>
    <row r="4616" spans="1:22" x14ac:dyDescent="0.2">
      <c r="A4616" s="23" t="s">
        <v>5588</v>
      </c>
      <c r="B4616" s="22" t="s">
        <v>18</v>
      </c>
      <c r="C4616" s="22" t="s">
        <v>4880</v>
      </c>
      <c r="D4616" s="22" t="s">
        <v>37</v>
      </c>
      <c r="E4616" s="24" t="s">
        <v>40</v>
      </c>
      <c r="F4616" s="22" t="s">
        <v>129</v>
      </c>
      <c r="G4616" s="25">
        <v>18314.5</v>
      </c>
      <c r="H4616" s="22" t="s">
        <v>22</v>
      </c>
      <c r="I4616" s="22">
        <v>0</v>
      </c>
      <c r="J4616" s="22" t="s">
        <v>129</v>
      </c>
      <c r="K4616" s="22" t="s">
        <v>23</v>
      </c>
      <c r="L4616" s="22">
        <v>1</v>
      </c>
      <c r="M4616" s="26">
        <v>201460</v>
      </c>
      <c r="N4616" s="26">
        <v>0</v>
      </c>
      <c r="O4616" s="15">
        <f t="shared" si="401"/>
        <v>201460</v>
      </c>
      <c r="P4616" s="15">
        <f t="shared" si="399"/>
        <v>11.000027300772611</v>
      </c>
      <c r="Q4616" s="25">
        <v>5000</v>
      </c>
      <c r="R4616" s="22">
        <v>100</v>
      </c>
      <c r="S4616" s="22" t="s">
        <v>5590</v>
      </c>
      <c r="T4616" s="22">
        <f t="shared" si="402"/>
        <v>4</v>
      </c>
      <c r="U4616" s="22">
        <f t="shared" si="403"/>
        <v>2022</v>
      </c>
      <c r="V4616" s="22" t="str">
        <f t="shared" si="404"/>
        <v>METROPOLITANA</v>
      </c>
    </row>
    <row r="4617" spans="1:22" x14ac:dyDescent="0.2">
      <c r="A4617" s="23" t="s">
        <v>5588</v>
      </c>
      <c r="B4617" s="22" t="s">
        <v>18</v>
      </c>
      <c r="C4617" s="22" t="s">
        <v>193</v>
      </c>
      <c r="D4617" s="22" t="s">
        <v>45</v>
      </c>
      <c r="E4617" s="24" t="s">
        <v>52</v>
      </c>
      <c r="F4617" s="22" t="s">
        <v>194</v>
      </c>
      <c r="G4617" s="25">
        <v>1656</v>
      </c>
      <c r="H4617" s="22" t="s">
        <v>22</v>
      </c>
      <c r="I4617" s="22">
        <v>0</v>
      </c>
      <c r="J4617" s="22" t="s">
        <v>194</v>
      </c>
      <c r="K4617" s="22" t="s">
        <v>23</v>
      </c>
      <c r="L4617" s="22">
        <v>4</v>
      </c>
      <c r="M4617" s="26">
        <v>55000</v>
      </c>
      <c r="N4617" s="26">
        <v>0</v>
      </c>
      <c r="O4617" s="15">
        <f t="shared" si="401"/>
        <v>55000</v>
      </c>
      <c r="P4617" s="15">
        <f t="shared" si="399"/>
        <v>33.212560386473427</v>
      </c>
      <c r="Q4617" s="25">
        <v>5000</v>
      </c>
      <c r="R4617" s="22">
        <v>33</v>
      </c>
      <c r="S4617" s="22" t="s">
        <v>5591</v>
      </c>
      <c r="T4617" s="22">
        <f t="shared" si="402"/>
        <v>4</v>
      </c>
      <c r="U4617" s="22">
        <f t="shared" si="403"/>
        <v>2022</v>
      </c>
      <c r="V4617" s="22" t="str">
        <f t="shared" si="404"/>
        <v>METROPOLITANA</v>
      </c>
    </row>
    <row r="4618" spans="1:22" x14ac:dyDescent="0.2">
      <c r="A4618" s="23" t="s">
        <v>5588</v>
      </c>
      <c r="B4618" s="22" t="s">
        <v>33</v>
      </c>
      <c r="C4618" s="22" t="s">
        <v>128</v>
      </c>
      <c r="D4618" s="22" t="s">
        <v>27</v>
      </c>
      <c r="E4618" s="24" t="s">
        <v>28</v>
      </c>
      <c r="F4618" s="22" t="s">
        <v>34</v>
      </c>
      <c r="G4618" s="25">
        <v>7896.18</v>
      </c>
      <c r="H4618" s="22" t="s">
        <v>22</v>
      </c>
      <c r="I4618" s="22">
        <v>1</v>
      </c>
      <c r="J4618" s="22" t="s">
        <v>34</v>
      </c>
      <c r="K4618" s="22" t="s">
        <v>23</v>
      </c>
      <c r="L4618" s="22">
        <v>1</v>
      </c>
      <c r="M4618" s="26">
        <v>86858</v>
      </c>
      <c r="N4618" s="26">
        <v>0</v>
      </c>
      <c r="O4618" s="15">
        <f t="shared" si="401"/>
        <v>86858</v>
      </c>
      <c r="P4618" s="15">
        <f t="shared" si="399"/>
        <v>11.000002532870324</v>
      </c>
      <c r="Q4618" s="25">
        <v>5000</v>
      </c>
      <c r="R4618" s="22">
        <v>100</v>
      </c>
      <c r="S4618" s="22" t="s">
        <v>5592</v>
      </c>
      <c r="T4618" s="22">
        <f t="shared" si="402"/>
        <v>4</v>
      </c>
      <c r="U4618" s="22">
        <f t="shared" si="403"/>
        <v>2022</v>
      </c>
      <c r="V4618" s="22" t="str">
        <f t="shared" si="404"/>
        <v>METROPOLITANA</v>
      </c>
    </row>
    <row r="4619" spans="1:22" x14ac:dyDescent="0.2">
      <c r="A4619" s="23" t="s">
        <v>5588</v>
      </c>
      <c r="B4619" s="22" t="s">
        <v>33</v>
      </c>
      <c r="C4619" s="22" t="s">
        <v>36</v>
      </c>
      <c r="D4619" s="22" t="s">
        <v>38</v>
      </c>
      <c r="E4619" s="24" t="s">
        <v>42</v>
      </c>
      <c r="F4619" s="22" t="s">
        <v>182</v>
      </c>
      <c r="G4619" s="25">
        <v>4892.3999999999996</v>
      </c>
      <c r="H4619" s="22" t="s">
        <v>43</v>
      </c>
      <c r="I4619" s="22">
        <v>0</v>
      </c>
      <c r="J4619" s="22" t="s">
        <v>182</v>
      </c>
      <c r="K4619" s="22" t="s">
        <v>23</v>
      </c>
      <c r="L4619" s="22">
        <v>4</v>
      </c>
      <c r="M4619" s="26">
        <v>55000</v>
      </c>
      <c r="N4619" s="26">
        <v>0</v>
      </c>
      <c r="O4619" s="15">
        <f t="shared" si="401"/>
        <v>55000</v>
      </c>
      <c r="P4619" s="15">
        <f t="shared" si="399"/>
        <v>11.241926252963781</v>
      </c>
      <c r="Q4619" s="25">
        <v>5000</v>
      </c>
      <c r="R4619" s="22">
        <v>98</v>
      </c>
      <c r="S4619" s="22" t="s">
        <v>5593</v>
      </c>
      <c r="T4619" s="22">
        <f t="shared" si="402"/>
        <v>4</v>
      </c>
      <c r="U4619" s="22">
        <f t="shared" si="403"/>
        <v>2022</v>
      </c>
      <c r="V4619" s="22" t="str">
        <f t="shared" si="404"/>
        <v>METROPOLITANA</v>
      </c>
    </row>
    <row r="4620" spans="1:22" x14ac:dyDescent="0.2">
      <c r="A4620" s="23" t="s">
        <v>5588</v>
      </c>
      <c r="B4620" s="22" t="s">
        <v>33</v>
      </c>
      <c r="C4620" s="22" t="s">
        <v>29</v>
      </c>
      <c r="D4620" s="22" t="s">
        <v>20</v>
      </c>
      <c r="E4620" s="24" t="s">
        <v>21</v>
      </c>
      <c r="F4620" s="22" t="s">
        <v>39</v>
      </c>
      <c r="G4620" s="25">
        <v>7776</v>
      </c>
      <c r="H4620" s="22" t="s">
        <v>22</v>
      </c>
      <c r="I4620" s="22">
        <v>0</v>
      </c>
      <c r="J4620" s="22" t="s">
        <v>39</v>
      </c>
      <c r="K4620" s="22" t="s">
        <v>23</v>
      </c>
      <c r="L4620" s="22">
        <v>1</v>
      </c>
      <c r="M4620" s="26">
        <v>85536</v>
      </c>
      <c r="N4620" s="26">
        <v>0</v>
      </c>
      <c r="O4620" s="15">
        <f t="shared" si="401"/>
        <v>85536</v>
      </c>
      <c r="P4620" s="15">
        <f t="shared" si="399"/>
        <v>11</v>
      </c>
      <c r="Q4620" s="25">
        <v>5000</v>
      </c>
      <c r="R4620" s="22">
        <v>100</v>
      </c>
      <c r="S4620" s="22" t="s">
        <v>5594</v>
      </c>
      <c r="T4620" s="22">
        <f t="shared" si="402"/>
        <v>4</v>
      </c>
      <c r="U4620" s="22">
        <f t="shared" si="403"/>
        <v>2022</v>
      </c>
      <c r="V4620" s="22" t="str">
        <f t="shared" si="404"/>
        <v>METROPOLITANA</v>
      </c>
    </row>
    <row r="4621" spans="1:22" x14ac:dyDescent="0.2">
      <c r="A4621" s="23" t="s">
        <v>5588</v>
      </c>
      <c r="B4621" s="22" t="s">
        <v>33</v>
      </c>
      <c r="C4621" s="22" t="s">
        <v>44</v>
      </c>
      <c r="D4621" s="22" t="s">
        <v>1869</v>
      </c>
      <c r="E4621" s="24" t="s">
        <v>1870</v>
      </c>
      <c r="F4621" s="22" t="s">
        <v>3139</v>
      </c>
      <c r="G4621" s="25">
        <v>8935.4600000000009</v>
      </c>
      <c r="H4621" s="22" t="s">
        <v>24</v>
      </c>
      <c r="I4621" s="22">
        <v>1</v>
      </c>
      <c r="J4621" s="22" t="s">
        <v>3139</v>
      </c>
      <c r="K4621" s="22" t="s">
        <v>93</v>
      </c>
      <c r="L4621" s="22">
        <v>0</v>
      </c>
      <c r="M4621" s="26">
        <v>530000</v>
      </c>
      <c r="N4621" s="26">
        <v>0</v>
      </c>
      <c r="O4621" s="15">
        <f t="shared" si="401"/>
        <v>530000</v>
      </c>
      <c r="P4621" s="15">
        <f t="shared" si="399"/>
        <v>59.314237879191438</v>
      </c>
      <c r="Q4621" s="25">
        <v>20000</v>
      </c>
      <c r="R4621" s="22">
        <v>45</v>
      </c>
      <c r="S4621" s="22" t="s">
        <v>5595</v>
      </c>
      <c r="T4621" s="22">
        <f t="shared" si="402"/>
        <v>4</v>
      </c>
      <c r="U4621" s="22">
        <f t="shared" si="403"/>
        <v>2022</v>
      </c>
      <c r="V4621" s="22" t="str">
        <f t="shared" si="404"/>
        <v>REGIONES</v>
      </c>
    </row>
    <row r="4622" spans="1:22" x14ac:dyDescent="0.2">
      <c r="A4622" s="23" t="s">
        <v>5588</v>
      </c>
      <c r="B4622" s="22" t="s">
        <v>33</v>
      </c>
      <c r="C4622" s="22" t="s">
        <v>44</v>
      </c>
      <c r="D4622" s="22" t="s">
        <v>63</v>
      </c>
      <c r="E4622" s="24" t="s">
        <v>64</v>
      </c>
      <c r="F4622" s="22" t="s">
        <v>182</v>
      </c>
      <c r="G4622" s="25">
        <v>2735.6200000000008</v>
      </c>
      <c r="H4622" s="22" t="s">
        <v>65</v>
      </c>
      <c r="I4622" s="22">
        <v>0</v>
      </c>
      <c r="J4622" s="22" t="s">
        <v>182</v>
      </c>
      <c r="K4622" s="22" t="s">
        <v>23</v>
      </c>
      <c r="L4622" s="22">
        <v>4</v>
      </c>
      <c r="M4622" s="26">
        <v>55000</v>
      </c>
      <c r="N4622" s="26">
        <v>0</v>
      </c>
      <c r="O4622" s="15">
        <f t="shared" si="401"/>
        <v>55000</v>
      </c>
      <c r="P4622" s="15">
        <f t="shared" si="399"/>
        <v>20.105131560669971</v>
      </c>
      <c r="Q4622" s="25">
        <v>5000</v>
      </c>
      <c r="R4622" s="22">
        <v>55</v>
      </c>
      <c r="S4622" s="22" t="s">
        <v>5596</v>
      </c>
      <c r="T4622" s="22">
        <f t="shared" si="402"/>
        <v>4</v>
      </c>
      <c r="U4622" s="22">
        <f t="shared" si="403"/>
        <v>2022</v>
      </c>
      <c r="V4622" s="22" t="str">
        <f t="shared" si="404"/>
        <v>METROPOLITANA</v>
      </c>
    </row>
    <row r="4623" spans="1:22" x14ac:dyDescent="0.2">
      <c r="A4623" s="23" t="s">
        <v>5588</v>
      </c>
      <c r="B4623" s="22" t="s">
        <v>33</v>
      </c>
      <c r="C4623" s="22" t="s">
        <v>44</v>
      </c>
      <c r="D4623" s="22" t="s">
        <v>45</v>
      </c>
      <c r="E4623" s="24" t="s">
        <v>52</v>
      </c>
      <c r="F4623" s="22" t="s">
        <v>46</v>
      </c>
      <c r="G4623" s="25">
        <v>3219.2200000000012</v>
      </c>
      <c r="H4623" s="22" t="s">
        <v>22</v>
      </c>
      <c r="I4623" s="22">
        <v>0</v>
      </c>
      <c r="J4623" s="22" t="s">
        <v>46</v>
      </c>
      <c r="K4623" s="22" t="s">
        <v>23</v>
      </c>
      <c r="L4623" s="22">
        <v>2</v>
      </c>
      <c r="M4623" s="26">
        <v>55000</v>
      </c>
      <c r="N4623" s="26">
        <v>0</v>
      </c>
      <c r="O4623" s="15">
        <f t="shared" si="401"/>
        <v>55000</v>
      </c>
      <c r="P4623" s="15">
        <f t="shared" si="399"/>
        <v>17.084883915979642</v>
      </c>
      <c r="Q4623" s="25">
        <v>5000</v>
      </c>
      <c r="R4623" s="22">
        <v>64</v>
      </c>
      <c r="S4623" s="22" t="s">
        <v>5597</v>
      </c>
      <c r="T4623" s="22">
        <f t="shared" si="402"/>
        <v>4</v>
      </c>
      <c r="U4623" s="22">
        <f t="shared" si="403"/>
        <v>2022</v>
      </c>
      <c r="V4623" s="22" t="str">
        <f t="shared" si="404"/>
        <v>METROPOLITANA</v>
      </c>
    </row>
    <row r="4624" spans="1:22" x14ac:dyDescent="0.2">
      <c r="A4624" s="23" t="s">
        <v>5588</v>
      </c>
      <c r="B4624" s="22" t="s">
        <v>33</v>
      </c>
      <c r="C4624" s="22" t="s">
        <v>44</v>
      </c>
      <c r="D4624" s="22" t="s">
        <v>164</v>
      </c>
      <c r="E4624" s="24" t="s">
        <v>1576</v>
      </c>
      <c r="F4624" s="22" t="s">
        <v>48</v>
      </c>
      <c r="G4624" s="25">
        <v>11013.85</v>
      </c>
      <c r="H4624" s="22" t="s">
        <v>22</v>
      </c>
      <c r="I4624" s="22">
        <v>1</v>
      </c>
      <c r="J4624" s="22" t="s">
        <v>48</v>
      </c>
      <c r="K4624" s="22" t="s">
        <v>23</v>
      </c>
      <c r="L4624" s="22">
        <v>1</v>
      </c>
      <c r="M4624" s="26">
        <v>121152</v>
      </c>
      <c r="N4624" s="26">
        <v>0</v>
      </c>
      <c r="O4624" s="15">
        <f t="shared" si="401"/>
        <v>121152</v>
      </c>
      <c r="P4624" s="15">
        <f t="shared" si="399"/>
        <v>10.999968221829787</v>
      </c>
      <c r="Q4624" s="25">
        <v>5000</v>
      </c>
      <c r="R4624" s="22">
        <v>100</v>
      </c>
      <c r="S4624" s="22" t="s">
        <v>5598</v>
      </c>
      <c r="T4624" s="22">
        <f t="shared" si="402"/>
        <v>4</v>
      </c>
      <c r="U4624" s="22">
        <f t="shared" si="403"/>
        <v>2022</v>
      </c>
      <c r="V4624" s="22" t="str">
        <f t="shared" si="404"/>
        <v>METROPOLITANA</v>
      </c>
    </row>
    <row r="4625" spans="1:22" x14ac:dyDescent="0.2">
      <c r="A4625" s="11" t="s">
        <v>5599</v>
      </c>
      <c r="B4625" s="12" t="s">
        <v>18</v>
      </c>
      <c r="C4625" s="12" t="s">
        <v>1173</v>
      </c>
      <c r="D4625" s="12" t="s">
        <v>37</v>
      </c>
      <c r="E4625" s="13" t="s">
        <v>40</v>
      </c>
      <c r="F4625" s="12" t="s">
        <v>182</v>
      </c>
      <c r="G4625" s="14">
        <v>9290.7999999999993</v>
      </c>
      <c r="H4625" s="12" t="s">
        <v>22</v>
      </c>
      <c r="I4625" s="12">
        <v>0</v>
      </c>
      <c r="J4625" s="12" t="s">
        <v>182</v>
      </c>
      <c r="K4625" s="12" t="s">
        <v>23</v>
      </c>
      <c r="L4625" s="12">
        <v>4</v>
      </c>
      <c r="M4625" s="15">
        <v>102199</v>
      </c>
      <c r="N4625" s="15">
        <v>0</v>
      </c>
      <c r="O4625" s="15">
        <f t="shared" si="401"/>
        <v>102199</v>
      </c>
      <c r="P4625" s="15">
        <f t="shared" si="399"/>
        <v>11.000021526671548</v>
      </c>
      <c r="Q4625" s="14">
        <v>5000</v>
      </c>
      <c r="R4625" s="12">
        <v>100</v>
      </c>
      <c r="S4625" s="12" t="s">
        <v>5600</v>
      </c>
      <c r="T4625" s="22">
        <f t="shared" si="402"/>
        <v>4</v>
      </c>
      <c r="U4625" s="22">
        <f t="shared" si="403"/>
        <v>2022</v>
      </c>
      <c r="V4625" s="22" t="str">
        <f t="shared" si="404"/>
        <v>METROPOLITANA</v>
      </c>
    </row>
    <row r="4626" spans="1:22" x14ac:dyDescent="0.2">
      <c r="A4626" s="11" t="s">
        <v>5599</v>
      </c>
      <c r="B4626" s="12" t="s">
        <v>18</v>
      </c>
      <c r="C4626" s="12" t="s">
        <v>128</v>
      </c>
      <c r="D4626" s="12" t="s">
        <v>38</v>
      </c>
      <c r="E4626" s="13" t="s">
        <v>25</v>
      </c>
      <c r="F4626" s="12" t="s">
        <v>727</v>
      </c>
      <c r="G4626" s="14">
        <v>13056.72</v>
      </c>
      <c r="H4626" s="12" t="s">
        <v>43</v>
      </c>
      <c r="I4626" s="12">
        <v>0</v>
      </c>
      <c r="J4626" s="12" t="s">
        <v>727</v>
      </c>
      <c r="K4626" s="12" t="s">
        <v>23</v>
      </c>
      <c r="L4626" s="12">
        <v>2</v>
      </c>
      <c r="M4626" s="15">
        <v>143624</v>
      </c>
      <c r="N4626" s="15">
        <v>0</v>
      </c>
      <c r="O4626" s="15">
        <f t="shared" si="401"/>
        <v>143624</v>
      </c>
      <c r="P4626" s="15">
        <f t="shared" si="399"/>
        <v>11.000006127113089</v>
      </c>
      <c r="Q4626" s="14">
        <v>5000</v>
      </c>
      <c r="R4626" s="12">
        <v>100</v>
      </c>
      <c r="S4626" s="12" t="s">
        <v>5601</v>
      </c>
      <c r="T4626" s="22">
        <f t="shared" si="402"/>
        <v>4</v>
      </c>
      <c r="U4626" s="22">
        <f t="shared" si="403"/>
        <v>2022</v>
      </c>
      <c r="V4626" s="22" t="str">
        <f t="shared" si="404"/>
        <v>METROPOLITANA</v>
      </c>
    </row>
    <row r="4627" spans="1:22" x14ac:dyDescent="0.2">
      <c r="A4627" s="11" t="s">
        <v>5599</v>
      </c>
      <c r="B4627" s="12" t="s">
        <v>33</v>
      </c>
      <c r="C4627" s="12" t="s">
        <v>128</v>
      </c>
      <c r="D4627" s="12" t="s">
        <v>38</v>
      </c>
      <c r="E4627" s="13" t="s">
        <v>25</v>
      </c>
      <c r="F4627" s="12" t="s">
        <v>51</v>
      </c>
      <c r="G4627" s="14">
        <v>9474.5000000000018</v>
      </c>
      <c r="H4627" s="12" t="s">
        <v>43</v>
      </c>
      <c r="I4627" s="12">
        <v>0</v>
      </c>
      <c r="J4627" s="12" t="s">
        <v>51</v>
      </c>
      <c r="K4627" s="12" t="s">
        <v>23</v>
      </c>
      <c r="L4627" s="12">
        <v>4</v>
      </c>
      <c r="M4627" s="15">
        <v>104220</v>
      </c>
      <c r="N4627" s="15">
        <v>0</v>
      </c>
      <c r="O4627" s="15">
        <f t="shared" si="401"/>
        <v>104220</v>
      </c>
      <c r="P4627" s="15">
        <f t="shared" si="399"/>
        <v>11.000052773233413</v>
      </c>
      <c r="Q4627" s="14">
        <v>5000</v>
      </c>
      <c r="R4627" s="12">
        <v>100</v>
      </c>
      <c r="S4627" s="12" t="s">
        <v>5602</v>
      </c>
      <c r="T4627" s="22">
        <f t="shared" si="402"/>
        <v>4</v>
      </c>
      <c r="U4627" s="22">
        <f t="shared" si="403"/>
        <v>2022</v>
      </c>
      <c r="V4627" s="22" t="str">
        <f t="shared" si="404"/>
        <v>METROPOLITANA</v>
      </c>
    </row>
    <row r="4628" spans="1:22" x14ac:dyDescent="0.2">
      <c r="A4628" s="11" t="s">
        <v>5599</v>
      </c>
      <c r="B4628" s="12" t="s">
        <v>33</v>
      </c>
      <c r="C4628" s="12" t="s">
        <v>128</v>
      </c>
      <c r="D4628" s="12" t="s">
        <v>47</v>
      </c>
      <c r="E4628" s="13" t="s">
        <v>49</v>
      </c>
      <c r="F4628" s="12" t="s">
        <v>129</v>
      </c>
      <c r="G4628" s="14">
        <v>6753.5999999999995</v>
      </c>
      <c r="H4628" s="12" t="s">
        <v>22</v>
      </c>
      <c r="I4628" s="12">
        <v>0</v>
      </c>
      <c r="J4628" s="12" t="s">
        <v>129</v>
      </c>
      <c r="K4628" s="12" t="s">
        <v>23</v>
      </c>
      <c r="L4628" s="12">
        <v>1</v>
      </c>
      <c r="M4628" s="15">
        <v>74290</v>
      </c>
      <c r="N4628" s="15">
        <v>0</v>
      </c>
      <c r="O4628" s="15">
        <f t="shared" si="401"/>
        <v>74290</v>
      </c>
      <c r="P4628" s="15">
        <f t="shared" si="399"/>
        <v>11.000059227671169</v>
      </c>
      <c r="Q4628" s="14">
        <v>5000</v>
      </c>
      <c r="R4628" s="12">
        <v>100</v>
      </c>
      <c r="S4628" s="12" t="s">
        <v>5603</v>
      </c>
      <c r="T4628" s="22">
        <f t="shared" si="402"/>
        <v>4</v>
      </c>
      <c r="U4628" s="22">
        <f t="shared" si="403"/>
        <v>2022</v>
      </c>
      <c r="V4628" s="22" t="str">
        <f t="shared" si="404"/>
        <v>METROPOLITANA</v>
      </c>
    </row>
    <row r="4629" spans="1:22" x14ac:dyDescent="0.2">
      <c r="A4629" s="11" t="s">
        <v>5599</v>
      </c>
      <c r="B4629" s="12" t="s">
        <v>33</v>
      </c>
      <c r="C4629" s="12" t="s">
        <v>44</v>
      </c>
      <c r="D4629" s="12" t="s">
        <v>2825</v>
      </c>
      <c r="E4629" s="13" t="s">
        <v>639</v>
      </c>
      <c r="F4629" s="12" t="s">
        <v>1105</v>
      </c>
      <c r="G4629" s="14">
        <f>7632.18+5208</f>
        <v>12840.18</v>
      </c>
      <c r="H4629" s="12" t="s">
        <v>24</v>
      </c>
      <c r="I4629" s="12">
        <v>1</v>
      </c>
      <c r="J4629" s="12" t="s">
        <v>1105</v>
      </c>
      <c r="K4629" s="12" t="s">
        <v>873</v>
      </c>
      <c r="L4629" s="12">
        <v>0</v>
      </c>
      <c r="M4629" s="15">
        <v>950000</v>
      </c>
      <c r="N4629" s="15">
        <v>0</v>
      </c>
      <c r="O4629" s="15">
        <f t="shared" si="401"/>
        <v>950000</v>
      </c>
      <c r="P4629" s="15">
        <f t="shared" si="399"/>
        <v>73.986501746860242</v>
      </c>
      <c r="Q4629" s="14">
        <v>20000</v>
      </c>
      <c r="R4629" s="12">
        <v>65</v>
      </c>
      <c r="S4629" s="12" t="s">
        <v>5604</v>
      </c>
      <c r="T4629" s="22">
        <f t="shared" si="402"/>
        <v>4</v>
      </c>
      <c r="U4629" s="22">
        <f t="shared" si="403"/>
        <v>2022</v>
      </c>
      <c r="V4629" s="22" t="str">
        <f t="shared" si="404"/>
        <v>REGIONES</v>
      </c>
    </row>
    <row r="4630" spans="1:22" x14ac:dyDescent="0.2">
      <c r="A4630" s="23" t="s">
        <v>5605</v>
      </c>
      <c r="B4630" s="22" t="s">
        <v>18</v>
      </c>
      <c r="C4630" s="22" t="s">
        <v>160</v>
      </c>
      <c r="D4630" s="22" t="s">
        <v>164</v>
      </c>
      <c r="E4630" s="24" t="s">
        <v>28</v>
      </c>
      <c r="F4630" s="22" t="s">
        <v>2055</v>
      </c>
      <c r="G4630" s="25">
        <v>20527.44999999999</v>
      </c>
      <c r="H4630" s="22" t="s">
        <v>22</v>
      </c>
      <c r="I4630" s="22">
        <v>1</v>
      </c>
      <c r="J4630" s="22" t="s">
        <v>2055</v>
      </c>
      <c r="K4630" s="22" t="s">
        <v>86</v>
      </c>
      <c r="L4630" s="22">
        <v>0</v>
      </c>
      <c r="M4630" s="26">
        <v>300000</v>
      </c>
      <c r="N4630" s="26">
        <v>0</v>
      </c>
      <c r="O4630" s="15">
        <f t="shared" si="401"/>
        <v>300000</v>
      </c>
      <c r="P4630" s="15">
        <f t="shared" si="399"/>
        <v>14.614577066318523</v>
      </c>
      <c r="Q4630" s="25">
        <v>20000</v>
      </c>
      <c r="R4630" s="22">
        <v>100</v>
      </c>
      <c r="S4630" s="22" t="s">
        <v>5606</v>
      </c>
      <c r="T4630" s="22">
        <f t="shared" si="402"/>
        <v>4</v>
      </c>
      <c r="U4630" s="22">
        <f t="shared" si="403"/>
        <v>2022</v>
      </c>
      <c r="V4630" s="22" t="str">
        <f t="shared" si="404"/>
        <v>REGIONES</v>
      </c>
    </row>
    <row r="4631" spans="1:22" x14ac:dyDescent="0.2">
      <c r="A4631" s="23" t="s">
        <v>5605</v>
      </c>
      <c r="B4631" s="22" t="s">
        <v>18</v>
      </c>
      <c r="C4631" s="22" t="s">
        <v>128</v>
      </c>
      <c r="D4631" s="22" t="s">
        <v>20</v>
      </c>
      <c r="E4631" s="24" t="s">
        <v>21</v>
      </c>
      <c r="F4631" s="22" t="s">
        <v>727</v>
      </c>
      <c r="G4631" s="25">
        <v>9373.5600000000031</v>
      </c>
      <c r="H4631" s="22" t="s">
        <v>22</v>
      </c>
      <c r="I4631" s="22">
        <v>0</v>
      </c>
      <c r="J4631" s="22" t="s">
        <v>727</v>
      </c>
      <c r="K4631" s="22" t="s">
        <v>23</v>
      </c>
      <c r="L4631" s="22">
        <v>2</v>
      </c>
      <c r="M4631" s="26">
        <v>103109</v>
      </c>
      <c r="N4631" s="26">
        <v>0</v>
      </c>
      <c r="O4631" s="15">
        <f t="shared" si="401"/>
        <v>103109</v>
      </c>
      <c r="P4631" s="15">
        <f t="shared" si="399"/>
        <v>10.999982930711488</v>
      </c>
      <c r="Q4631" s="25">
        <v>5000</v>
      </c>
      <c r="R4631" s="22">
        <v>100</v>
      </c>
      <c r="S4631" s="22" t="s">
        <v>5607</v>
      </c>
      <c r="T4631" s="22">
        <f t="shared" si="402"/>
        <v>4</v>
      </c>
      <c r="U4631" s="22">
        <f t="shared" si="403"/>
        <v>2022</v>
      </c>
      <c r="V4631" s="22" t="str">
        <f t="shared" si="404"/>
        <v>METROPOLITANA</v>
      </c>
    </row>
    <row r="4632" spans="1:22" x14ac:dyDescent="0.2">
      <c r="A4632" s="23" t="s">
        <v>5605</v>
      </c>
      <c r="B4632" s="22" t="s">
        <v>18</v>
      </c>
      <c r="C4632" s="22" t="s">
        <v>87</v>
      </c>
      <c r="D4632" s="22" t="s">
        <v>37</v>
      </c>
      <c r="E4632" s="24" t="s">
        <v>40</v>
      </c>
      <c r="F4632" s="22" t="s">
        <v>51</v>
      </c>
      <c r="G4632" s="25">
        <v>11095.92</v>
      </c>
      <c r="H4632" s="22" t="s">
        <v>22</v>
      </c>
      <c r="I4632" s="22">
        <v>0</v>
      </c>
      <c r="J4632" s="22" t="s">
        <v>51</v>
      </c>
      <c r="K4632" s="22" t="s">
        <v>23</v>
      </c>
      <c r="L4632" s="22">
        <v>4</v>
      </c>
      <c r="M4632" s="26">
        <v>122055</v>
      </c>
      <c r="N4632" s="26">
        <v>0</v>
      </c>
      <c r="O4632" s="15">
        <f t="shared" si="401"/>
        <v>122055</v>
      </c>
      <c r="P4632" s="15">
        <f t="shared" si="399"/>
        <v>10.999989185214025</v>
      </c>
      <c r="Q4632" s="25">
        <v>5000</v>
      </c>
      <c r="R4632" s="22">
        <v>100</v>
      </c>
      <c r="S4632" s="22" t="s">
        <v>5608</v>
      </c>
      <c r="T4632" s="22">
        <f t="shared" si="402"/>
        <v>4</v>
      </c>
      <c r="U4632" s="22">
        <f t="shared" si="403"/>
        <v>2022</v>
      </c>
      <c r="V4632" s="22" t="str">
        <f t="shared" si="404"/>
        <v>METROPOLITANA</v>
      </c>
    </row>
    <row r="4633" spans="1:22" x14ac:dyDescent="0.2">
      <c r="A4633" s="23" t="s">
        <v>5605</v>
      </c>
      <c r="B4633" s="22" t="s">
        <v>33</v>
      </c>
      <c r="C4633" s="22" t="s">
        <v>29</v>
      </c>
      <c r="D4633" s="22" t="s">
        <v>38</v>
      </c>
      <c r="E4633" s="24" t="s">
        <v>42</v>
      </c>
      <c r="F4633" s="22" t="s">
        <v>39</v>
      </c>
      <c r="G4633" s="25">
        <v>4752</v>
      </c>
      <c r="H4633" s="22" t="s">
        <v>43</v>
      </c>
      <c r="I4633" s="22">
        <v>0</v>
      </c>
      <c r="J4633" s="22" t="s">
        <v>39</v>
      </c>
      <c r="K4633" s="22" t="s">
        <v>23</v>
      </c>
      <c r="L4633" s="22">
        <v>1</v>
      </c>
      <c r="M4633" s="26">
        <v>55000</v>
      </c>
      <c r="N4633" s="26">
        <v>0</v>
      </c>
      <c r="O4633" s="15">
        <f t="shared" si="401"/>
        <v>55000</v>
      </c>
      <c r="P4633" s="15">
        <f t="shared" si="399"/>
        <v>11.574074074074074</v>
      </c>
      <c r="Q4633" s="25">
        <v>5000</v>
      </c>
      <c r="R4633" s="22">
        <v>95</v>
      </c>
      <c r="S4633" s="22" t="s">
        <v>5609</v>
      </c>
      <c r="T4633" s="22">
        <f t="shared" si="402"/>
        <v>4</v>
      </c>
      <c r="U4633" s="22">
        <f t="shared" si="403"/>
        <v>2022</v>
      </c>
      <c r="V4633" s="22" t="str">
        <f t="shared" si="404"/>
        <v>METROPOLITANA</v>
      </c>
    </row>
    <row r="4634" spans="1:22" x14ac:dyDescent="0.2">
      <c r="A4634" s="23" t="s">
        <v>5605</v>
      </c>
      <c r="B4634" s="22" t="s">
        <v>33</v>
      </c>
      <c r="C4634" s="22" t="s">
        <v>29</v>
      </c>
      <c r="D4634" s="22" t="s">
        <v>5610</v>
      </c>
      <c r="E4634" s="24" t="s">
        <v>25</v>
      </c>
      <c r="F4634" s="22" t="s">
        <v>39</v>
      </c>
      <c r="G4634" s="25">
        <f>11050+2851+1901</f>
        <v>15802</v>
      </c>
      <c r="H4634" s="22" t="s">
        <v>24</v>
      </c>
      <c r="I4634" s="22">
        <v>1</v>
      </c>
      <c r="J4634" s="22" t="s">
        <v>39</v>
      </c>
      <c r="K4634" s="22" t="s">
        <v>23</v>
      </c>
      <c r="L4634" s="22">
        <v>1</v>
      </c>
      <c r="M4634" s="26">
        <v>121550</v>
      </c>
      <c r="N4634" s="26">
        <v>0</v>
      </c>
      <c r="O4634" s="15">
        <f t="shared" si="401"/>
        <v>121550</v>
      </c>
      <c r="P4634" s="15">
        <f t="shared" si="399"/>
        <v>7.6920642956587777</v>
      </c>
      <c r="Q4634" s="25">
        <v>5000</v>
      </c>
      <c r="R4634" s="22">
        <v>100</v>
      </c>
      <c r="S4634" s="22" t="s">
        <v>5617</v>
      </c>
      <c r="T4634" s="22">
        <f t="shared" si="402"/>
        <v>4</v>
      </c>
      <c r="U4634" s="22">
        <f t="shared" si="403"/>
        <v>2022</v>
      </c>
      <c r="V4634" s="22" t="str">
        <f t="shared" si="404"/>
        <v>METROPOLITANA</v>
      </c>
    </row>
    <row r="4635" spans="1:22" x14ac:dyDescent="0.2">
      <c r="A4635" s="23" t="s">
        <v>5605</v>
      </c>
      <c r="B4635" s="22" t="s">
        <v>33</v>
      </c>
      <c r="C4635" s="22" t="s">
        <v>5611</v>
      </c>
      <c r="D4635" s="22" t="s">
        <v>47</v>
      </c>
      <c r="E4635" s="24" t="s">
        <v>49</v>
      </c>
      <c r="F4635" s="22" t="s">
        <v>89</v>
      </c>
      <c r="G4635" s="25">
        <v>8029.7</v>
      </c>
      <c r="H4635" s="22" t="s">
        <v>22</v>
      </c>
      <c r="I4635" s="22">
        <v>0</v>
      </c>
      <c r="J4635" s="22" t="s">
        <v>89</v>
      </c>
      <c r="K4635" s="22" t="s">
        <v>23</v>
      </c>
      <c r="L4635" s="22">
        <v>5</v>
      </c>
      <c r="M4635" s="26">
        <v>90000</v>
      </c>
      <c r="N4635" s="26">
        <v>0</v>
      </c>
      <c r="O4635" s="15">
        <f t="shared" si="401"/>
        <v>90000</v>
      </c>
      <c r="P4635" s="15">
        <f t="shared" si="399"/>
        <v>11.208388856370725</v>
      </c>
      <c r="Q4635" s="25">
        <v>10000</v>
      </c>
      <c r="R4635" s="22">
        <v>80</v>
      </c>
      <c r="S4635" s="22" t="s">
        <v>5612</v>
      </c>
      <c r="T4635" s="22">
        <f t="shared" si="402"/>
        <v>4</v>
      </c>
      <c r="U4635" s="22">
        <f t="shared" si="403"/>
        <v>2022</v>
      </c>
      <c r="V4635" s="22" t="str">
        <f t="shared" si="404"/>
        <v>METROPOLITANA</v>
      </c>
    </row>
    <row r="4636" spans="1:22" x14ac:dyDescent="0.2">
      <c r="A4636" s="23" t="s">
        <v>5605</v>
      </c>
      <c r="B4636" s="22" t="s">
        <v>33</v>
      </c>
      <c r="C4636" s="22" t="s">
        <v>44</v>
      </c>
      <c r="D4636" s="22" t="s">
        <v>1170</v>
      </c>
      <c r="E4636" s="24" t="s">
        <v>81</v>
      </c>
      <c r="F4636" s="22" t="s">
        <v>66</v>
      </c>
      <c r="G4636" s="25">
        <f>6972.83+3190</f>
        <v>10162.83</v>
      </c>
      <c r="H4636" s="22" t="s">
        <v>24</v>
      </c>
      <c r="I4636" s="22">
        <v>1</v>
      </c>
      <c r="J4636" s="22" t="s">
        <v>66</v>
      </c>
      <c r="K4636" s="22" t="s">
        <v>75</v>
      </c>
      <c r="L4636" s="22">
        <v>0</v>
      </c>
      <c r="M4636" s="26">
        <v>430000</v>
      </c>
      <c r="N4636" s="26">
        <v>0</v>
      </c>
      <c r="O4636" s="15">
        <f t="shared" si="401"/>
        <v>430000</v>
      </c>
      <c r="P4636" s="15">
        <f t="shared" si="399"/>
        <v>42.311049186102693</v>
      </c>
      <c r="Q4636" s="25">
        <v>20000</v>
      </c>
      <c r="R4636" s="22">
        <v>50</v>
      </c>
      <c r="S4636" s="22" t="s">
        <v>5616</v>
      </c>
      <c r="T4636" s="22">
        <f t="shared" si="402"/>
        <v>4</v>
      </c>
      <c r="U4636" s="22">
        <f t="shared" si="403"/>
        <v>2022</v>
      </c>
      <c r="V4636" s="22" t="str">
        <f t="shared" si="404"/>
        <v>REGIONES</v>
      </c>
    </row>
    <row r="4637" spans="1:22" x14ac:dyDescent="0.2">
      <c r="A4637" s="23" t="s">
        <v>5605</v>
      </c>
      <c r="B4637" s="22" t="s">
        <v>33</v>
      </c>
      <c r="C4637" s="22" t="s">
        <v>44</v>
      </c>
      <c r="D4637" s="22" t="s">
        <v>45</v>
      </c>
      <c r="E4637" s="24" t="s">
        <v>52</v>
      </c>
      <c r="F4637" s="22" t="s">
        <v>138</v>
      </c>
      <c r="G4637" s="25">
        <v>5912.6099999999988</v>
      </c>
      <c r="H4637" s="22" t="s">
        <v>22</v>
      </c>
      <c r="I4637" s="22">
        <v>0</v>
      </c>
      <c r="J4637" s="22" t="s">
        <v>138</v>
      </c>
      <c r="K4637" s="22" t="s">
        <v>23</v>
      </c>
      <c r="L4637" s="22">
        <v>3</v>
      </c>
      <c r="M4637" s="26">
        <v>65039</v>
      </c>
      <c r="N4637" s="26">
        <v>0</v>
      </c>
      <c r="O4637" s="15">
        <f t="shared" si="401"/>
        <v>65039</v>
      </c>
      <c r="P4637" s="15">
        <f t="shared" si="399"/>
        <v>11.000049047713279</v>
      </c>
      <c r="Q4637" s="25">
        <v>5000</v>
      </c>
      <c r="R4637" s="22">
        <v>100</v>
      </c>
      <c r="S4637" s="22" t="s">
        <v>5613</v>
      </c>
      <c r="T4637" s="22">
        <f t="shared" si="402"/>
        <v>4</v>
      </c>
      <c r="U4637" s="22">
        <f t="shared" si="403"/>
        <v>2022</v>
      </c>
      <c r="V4637" s="22" t="str">
        <f t="shared" si="404"/>
        <v>METROPOLITANA</v>
      </c>
    </row>
    <row r="4638" spans="1:22" x14ac:dyDescent="0.2">
      <c r="A4638" s="23" t="s">
        <v>5605</v>
      </c>
      <c r="B4638" s="22" t="s">
        <v>33</v>
      </c>
      <c r="C4638" s="22" t="s">
        <v>44</v>
      </c>
      <c r="D4638" s="22" t="s">
        <v>47</v>
      </c>
      <c r="E4638" s="24" t="s">
        <v>49</v>
      </c>
      <c r="F4638" s="22" t="s">
        <v>48</v>
      </c>
      <c r="G4638" s="25">
        <v>8255.41</v>
      </c>
      <c r="H4638" s="22" t="s">
        <v>22</v>
      </c>
      <c r="I4638" s="22">
        <v>0</v>
      </c>
      <c r="J4638" s="22" t="s">
        <v>48</v>
      </c>
      <c r="K4638" s="22" t="s">
        <v>23</v>
      </c>
      <c r="L4638" s="22">
        <v>1</v>
      </c>
      <c r="M4638" s="26">
        <v>90810</v>
      </c>
      <c r="N4638" s="26">
        <v>0</v>
      </c>
      <c r="O4638" s="15">
        <f t="shared" si="401"/>
        <v>90810</v>
      </c>
      <c r="P4638" s="15">
        <f t="shared" si="399"/>
        <v>11.000059355016893</v>
      </c>
      <c r="Q4638" s="25">
        <v>5000</v>
      </c>
      <c r="R4638" s="22">
        <v>100</v>
      </c>
      <c r="S4638" s="22" t="s">
        <v>5614</v>
      </c>
      <c r="T4638" s="22">
        <f t="shared" si="402"/>
        <v>4</v>
      </c>
      <c r="U4638" s="22">
        <f t="shared" si="403"/>
        <v>2022</v>
      </c>
      <c r="V4638" s="22" t="str">
        <f t="shared" si="404"/>
        <v>METROPOLITANA</v>
      </c>
    </row>
    <row r="4639" spans="1:22" x14ac:dyDescent="0.2">
      <c r="A4639" s="23" t="s">
        <v>5605</v>
      </c>
      <c r="B4639" s="22" t="s">
        <v>33</v>
      </c>
      <c r="C4639" s="22" t="s">
        <v>44</v>
      </c>
      <c r="D4639" s="22" t="s">
        <v>20</v>
      </c>
      <c r="E4639" s="24" t="s">
        <v>21</v>
      </c>
      <c r="F4639" s="22" t="s">
        <v>46</v>
      </c>
      <c r="G4639" s="25">
        <v>3932.43</v>
      </c>
      <c r="H4639" s="22" t="s">
        <v>22</v>
      </c>
      <c r="I4639" s="22">
        <v>0</v>
      </c>
      <c r="J4639" s="22" t="s">
        <v>46</v>
      </c>
      <c r="K4639" s="22" t="s">
        <v>23</v>
      </c>
      <c r="L4639" s="22">
        <v>2</v>
      </c>
      <c r="M4639" s="26">
        <v>55000</v>
      </c>
      <c r="N4639" s="26">
        <v>0</v>
      </c>
      <c r="O4639" s="15">
        <f t="shared" si="401"/>
        <v>55000</v>
      </c>
      <c r="P4639" s="15">
        <f t="shared" si="399"/>
        <v>13.986262946829315</v>
      </c>
      <c r="Q4639" s="25">
        <v>5000</v>
      </c>
      <c r="R4639" s="22">
        <v>79</v>
      </c>
      <c r="S4639" s="22" t="s">
        <v>5615</v>
      </c>
      <c r="T4639" s="22">
        <f t="shared" si="402"/>
        <v>4</v>
      </c>
      <c r="U4639" s="22">
        <f t="shared" si="403"/>
        <v>2022</v>
      </c>
      <c r="V4639" s="22" t="str">
        <f t="shared" si="404"/>
        <v>METROPOLITANA</v>
      </c>
    </row>
    <row r="4640" spans="1:22" x14ac:dyDescent="0.2">
      <c r="A4640" s="11" t="s">
        <v>5618</v>
      </c>
      <c r="B4640" s="12" t="s">
        <v>33</v>
      </c>
      <c r="C4640" s="12" t="s">
        <v>57</v>
      </c>
      <c r="D4640" s="12" t="s">
        <v>20</v>
      </c>
      <c r="E4640" s="13">
        <v>78907355</v>
      </c>
      <c r="F4640" s="12" t="s">
        <v>120</v>
      </c>
      <c r="G4640" s="14">
        <v>1239.33</v>
      </c>
      <c r="H4640" s="12" t="s">
        <v>22</v>
      </c>
      <c r="I4640" s="12">
        <v>0</v>
      </c>
      <c r="J4640" s="12" t="s">
        <v>120</v>
      </c>
      <c r="K4640" s="12" t="s">
        <v>23</v>
      </c>
      <c r="L4640" s="12">
        <v>5</v>
      </c>
      <c r="M4640" s="15">
        <v>70000</v>
      </c>
      <c r="N4640" s="15">
        <v>0</v>
      </c>
      <c r="O4640" s="15">
        <f t="shared" si="401"/>
        <v>70000</v>
      </c>
      <c r="P4640" s="15">
        <f t="shared" si="399"/>
        <v>56.482131474264321</v>
      </c>
      <c r="Q4640" s="14">
        <v>10000</v>
      </c>
      <c r="R4640" s="12">
        <v>12</v>
      </c>
      <c r="S4640" s="12" t="s">
        <v>5619</v>
      </c>
      <c r="T4640" s="22">
        <f t="shared" si="402"/>
        <v>5</v>
      </c>
      <c r="U4640" s="22">
        <f t="shared" si="403"/>
        <v>2022</v>
      </c>
      <c r="V4640" s="22" t="str">
        <f t="shared" si="404"/>
        <v>METROPOLITANA</v>
      </c>
    </row>
    <row r="4641" spans="1:22" x14ac:dyDescent="0.2">
      <c r="A4641" s="11" t="s">
        <v>5618</v>
      </c>
      <c r="B4641" s="12" t="s">
        <v>33</v>
      </c>
      <c r="C4641" s="12" t="s">
        <v>2507</v>
      </c>
      <c r="D4641" s="12" t="s">
        <v>164</v>
      </c>
      <c r="E4641" s="13">
        <v>81417709</v>
      </c>
      <c r="F4641" s="12" t="s">
        <v>876</v>
      </c>
      <c r="G4641" s="14">
        <v>9352.2000000000007</v>
      </c>
      <c r="H4641" s="12" t="s">
        <v>22</v>
      </c>
      <c r="I4641" s="12">
        <v>1</v>
      </c>
      <c r="J4641" s="12" t="s">
        <v>876</v>
      </c>
      <c r="K4641" s="12" t="s">
        <v>86</v>
      </c>
      <c r="L4641" s="12">
        <v>0</v>
      </c>
      <c r="M4641" s="15">
        <v>350000</v>
      </c>
      <c r="N4641" s="15">
        <v>0</v>
      </c>
      <c r="O4641" s="15">
        <f t="shared" si="401"/>
        <v>350000</v>
      </c>
      <c r="P4641" s="15">
        <f t="shared" ref="P4641:P4704" si="405">O4641/G4641</f>
        <v>37.424349350954856</v>
      </c>
      <c r="Q4641" s="14">
        <v>20000</v>
      </c>
      <c r="R4641" s="12">
        <v>47</v>
      </c>
      <c r="S4641" s="12" t="s">
        <v>5620</v>
      </c>
      <c r="T4641" s="22">
        <f t="shared" si="402"/>
        <v>5</v>
      </c>
      <c r="U4641" s="22">
        <f t="shared" si="403"/>
        <v>2022</v>
      </c>
      <c r="V4641" s="22" t="str">
        <f t="shared" si="404"/>
        <v>REGIONES</v>
      </c>
    </row>
    <row r="4642" spans="1:22" x14ac:dyDescent="0.2">
      <c r="A4642" s="11" t="s">
        <v>5618</v>
      </c>
      <c r="B4642" s="12" t="s">
        <v>33</v>
      </c>
      <c r="C4642" s="12" t="s">
        <v>29</v>
      </c>
      <c r="D4642" s="12" t="s">
        <v>38</v>
      </c>
      <c r="E4642" s="13">
        <v>53173292</v>
      </c>
      <c r="F4642" s="12" t="s">
        <v>39</v>
      </c>
      <c r="G4642" s="14">
        <v>2748</v>
      </c>
      <c r="H4642" s="12" t="s">
        <v>43</v>
      </c>
      <c r="I4642" s="12">
        <v>0</v>
      </c>
      <c r="J4642" s="12" t="s">
        <v>39</v>
      </c>
      <c r="K4642" s="12" t="s">
        <v>23</v>
      </c>
      <c r="L4642" s="12">
        <v>1</v>
      </c>
      <c r="M4642" s="15">
        <v>55000</v>
      </c>
      <c r="N4642" s="15">
        <v>0</v>
      </c>
      <c r="O4642" s="15">
        <f t="shared" ref="O4642:O4673" si="406">SUM(M4642:N4642)</f>
        <v>55000</v>
      </c>
      <c r="P4642" s="15">
        <f t="shared" si="405"/>
        <v>20.014556040756915</v>
      </c>
      <c r="Q4642" s="14">
        <v>5000</v>
      </c>
      <c r="R4642" s="12">
        <v>55</v>
      </c>
      <c r="S4642" s="12" t="s">
        <v>5621</v>
      </c>
      <c r="T4642" s="22">
        <f t="shared" si="402"/>
        <v>5</v>
      </c>
      <c r="U4642" s="22">
        <f t="shared" si="403"/>
        <v>2022</v>
      </c>
      <c r="V4642" s="22" t="str">
        <f t="shared" si="404"/>
        <v>METROPOLITANA</v>
      </c>
    </row>
    <row r="4643" spans="1:22" x14ac:dyDescent="0.2">
      <c r="A4643" s="11" t="s">
        <v>5618</v>
      </c>
      <c r="B4643" s="12" t="s">
        <v>33</v>
      </c>
      <c r="C4643" s="12" t="s">
        <v>29</v>
      </c>
      <c r="D4643" s="12" t="s">
        <v>41</v>
      </c>
      <c r="E4643" s="13">
        <v>125108660</v>
      </c>
      <c r="F4643" s="12" t="s">
        <v>39</v>
      </c>
      <c r="G4643" s="14">
        <v>2748</v>
      </c>
      <c r="H4643" s="12" t="s">
        <v>43</v>
      </c>
      <c r="I4643" s="12">
        <v>0</v>
      </c>
      <c r="J4643" s="12" t="s">
        <v>39</v>
      </c>
      <c r="K4643" s="12" t="s">
        <v>23</v>
      </c>
      <c r="L4643" s="12">
        <v>1</v>
      </c>
      <c r="M4643" s="15">
        <v>55000</v>
      </c>
      <c r="N4643" s="15">
        <v>0</v>
      </c>
      <c r="O4643" s="15">
        <f t="shared" si="406"/>
        <v>55000</v>
      </c>
      <c r="P4643" s="15">
        <f t="shared" si="405"/>
        <v>20.014556040756915</v>
      </c>
      <c r="Q4643" s="14">
        <v>5000</v>
      </c>
      <c r="R4643" s="12">
        <v>55</v>
      </c>
      <c r="S4643" s="12" t="s">
        <v>5622</v>
      </c>
      <c r="T4643" s="22">
        <f t="shared" si="402"/>
        <v>5</v>
      </c>
      <c r="U4643" s="22">
        <f t="shared" si="403"/>
        <v>2022</v>
      </c>
      <c r="V4643" s="22" t="str">
        <f t="shared" si="404"/>
        <v>METROPOLITANA</v>
      </c>
    </row>
    <row r="4644" spans="1:22" x14ac:dyDescent="0.2">
      <c r="A4644" s="11" t="s">
        <v>5618</v>
      </c>
      <c r="B4644" s="12" t="s">
        <v>33</v>
      </c>
      <c r="C4644" s="12" t="s">
        <v>29</v>
      </c>
      <c r="D4644" s="12" t="s">
        <v>164</v>
      </c>
      <c r="E4644" s="13">
        <v>81417709</v>
      </c>
      <c r="F4644" s="12" t="s">
        <v>39</v>
      </c>
      <c r="G4644" s="14">
        <v>26803.799999999988</v>
      </c>
      <c r="H4644" s="12" t="s">
        <v>22</v>
      </c>
      <c r="I4644" s="12">
        <v>1</v>
      </c>
      <c r="J4644" s="12" t="s">
        <v>39</v>
      </c>
      <c r="K4644" s="12" t="s">
        <v>23</v>
      </c>
      <c r="L4644" s="12">
        <v>1</v>
      </c>
      <c r="M4644" s="15">
        <v>294842</v>
      </c>
      <c r="N4644" s="15">
        <v>0</v>
      </c>
      <c r="O4644" s="15">
        <f t="shared" si="406"/>
        <v>294842</v>
      </c>
      <c r="P4644" s="15">
        <f t="shared" si="405"/>
        <v>11.000007461628579</v>
      </c>
      <c r="Q4644" s="14">
        <v>5000</v>
      </c>
      <c r="R4644" s="12">
        <v>100</v>
      </c>
      <c r="S4644" s="12" t="s">
        <v>5623</v>
      </c>
      <c r="T4644" s="22">
        <f t="shared" si="402"/>
        <v>5</v>
      </c>
      <c r="U4644" s="22">
        <f t="shared" si="403"/>
        <v>2022</v>
      </c>
      <c r="V4644" s="22" t="str">
        <f t="shared" si="404"/>
        <v>METROPOLITANA</v>
      </c>
    </row>
    <row r="4645" spans="1:22" x14ac:dyDescent="0.2">
      <c r="A4645" s="11" t="s">
        <v>5618</v>
      </c>
      <c r="B4645" s="12" t="s">
        <v>33</v>
      </c>
      <c r="C4645" s="12" t="s">
        <v>44</v>
      </c>
      <c r="D4645" s="12" t="s">
        <v>63</v>
      </c>
      <c r="E4645" s="13">
        <v>138841065</v>
      </c>
      <c r="F4645" s="12" t="s">
        <v>67</v>
      </c>
      <c r="G4645" s="14">
        <v>4556.0600000000004</v>
      </c>
      <c r="H4645" s="12" t="s">
        <v>65</v>
      </c>
      <c r="I4645" s="12">
        <v>0</v>
      </c>
      <c r="J4645" s="12" t="s">
        <v>67</v>
      </c>
      <c r="K4645" s="12" t="s">
        <v>23</v>
      </c>
      <c r="L4645" s="12">
        <v>2</v>
      </c>
      <c r="M4645" s="15">
        <v>55000</v>
      </c>
      <c r="N4645" s="15">
        <v>0</v>
      </c>
      <c r="O4645" s="15">
        <f t="shared" si="406"/>
        <v>55000</v>
      </c>
      <c r="P4645" s="15">
        <f t="shared" si="405"/>
        <v>12.071833996918389</v>
      </c>
      <c r="Q4645" s="14">
        <v>5000</v>
      </c>
      <c r="R4645" s="12">
        <v>91</v>
      </c>
      <c r="S4645" s="12" t="s">
        <v>5624</v>
      </c>
      <c r="T4645" s="22">
        <f t="shared" si="402"/>
        <v>5</v>
      </c>
      <c r="U4645" s="22">
        <f t="shared" si="403"/>
        <v>2022</v>
      </c>
      <c r="V4645" s="22" t="str">
        <f t="shared" si="404"/>
        <v>METROPOLITANA</v>
      </c>
    </row>
    <row r="4646" spans="1:22" x14ac:dyDescent="0.2">
      <c r="A4646" s="11" t="s">
        <v>5618</v>
      </c>
      <c r="B4646" s="12" t="s">
        <v>33</v>
      </c>
      <c r="C4646" s="12" t="s">
        <v>44</v>
      </c>
      <c r="D4646" s="12" t="s">
        <v>47</v>
      </c>
      <c r="E4646" s="13">
        <v>107643206</v>
      </c>
      <c r="F4646" s="12" t="s">
        <v>94</v>
      </c>
      <c r="G4646" s="14">
        <v>7498.0800000000008</v>
      </c>
      <c r="H4646" s="12" t="s">
        <v>22</v>
      </c>
      <c r="I4646" s="12">
        <v>0</v>
      </c>
      <c r="J4646" s="12" t="s">
        <v>59</v>
      </c>
      <c r="K4646" s="12" t="s">
        <v>78</v>
      </c>
      <c r="L4646" s="12">
        <v>0</v>
      </c>
      <c r="M4646" s="15">
        <v>203000</v>
      </c>
      <c r="N4646" s="15">
        <v>0</v>
      </c>
      <c r="O4646" s="15">
        <f t="shared" si="406"/>
        <v>203000</v>
      </c>
      <c r="P4646" s="15">
        <f t="shared" si="405"/>
        <v>27.073597507628616</v>
      </c>
      <c r="Q4646" s="14">
        <v>20000</v>
      </c>
      <c r="R4646" s="12">
        <v>37</v>
      </c>
      <c r="S4646" s="12" t="s">
        <v>5625</v>
      </c>
      <c r="T4646" s="22">
        <f t="shared" si="402"/>
        <v>5</v>
      </c>
      <c r="U4646" s="22">
        <f t="shared" si="403"/>
        <v>2022</v>
      </c>
      <c r="V4646" s="22" t="str">
        <f t="shared" si="404"/>
        <v>REGIONES</v>
      </c>
    </row>
    <row r="4647" spans="1:22" x14ac:dyDescent="0.2">
      <c r="A4647" s="11" t="s">
        <v>5618</v>
      </c>
      <c r="B4647" s="12" t="s">
        <v>33</v>
      </c>
      <c r="C4647" s="12" t="s">
        <v>44</v>
      </c>
      <c r="D4647" s="12" t="s">
        <v>20</v>
      </c>
      <c r="E4647" s="13">
        <v>154837728</v>
      </c>
      <c r="F4647" s="12" t="s">
        <v>95</v>
      </c>
      <c r="G4647" s="14">
        <v>4030.04</v>
      </c>
      <c r="H4647" s="12" t="s">
        <v>22</v>
      </c>
      <c r="I4647" s="12">
        <v>0</v>
      </c>
      <c r="J4647" s="12" t="s">
        <v>95</v>
      </c>
      <c r="K4647" s="12" t="s">
        <v>23</v>
      </c>
      <c r="L4647" s="12">
        <v>4</v>
      </c>
      <c r="M4647" s="15">
        <v>55000</v>
      </c>
      <c r="N4647" s="15">
        <v>0</v>
      </c>
      <c r="O4647" s="15">
        <f t="shared" si="406"/>
        <v>55000</v>
      </c>
      <c r="P4647" s="15">
        <f t="shared" si="405"/>
        <v>13.647507220772003</v>
      </c>
      <c r="Q4647" s="14">
        <v>5000</v>
      </c>
      <c r="R4647" s="12">
        <v>81</v>
      </c>
      <c r="S4647" s="12" t="s">
        <v>5626</v>
      </c>
      <c r="T4647" s="22">
        <f t="shared" si="402"/>
        <v>5</v>
      </c>
      <c r="U4647" s="22">
        <f t="shared" si="403"/>
        <v>2022</v>
      </c>
      <c r="V4647" s="22" t="str">
        <f t="shared" si="404"/>
        <v>METROPOLITANA</v>
      </c>
    </row>
    <row r="4648" spans="1:22" x14ac:dyDescent="0.2">
      <c r="A4648" s="23" t="s">
        <v>5627</v>
      </c>
      <c r="B4648" s="22" t="s">
        <v>18</v>
      </c>
      <c r="C4648" s="22" t="s">
        <v>270</v>
      </c>
      <c r="D4648" s="22" t="s">
        <v>38</v>
      </c>
      <c r="E4648" s="24" t="s">
        <v>42</v>
      </c>
      <c r="F4648" s="22" t="s">
        <v>120</v>
      </c>
      <c r="G4648" s="25">
        <v>8740.4</v>
      </c>
      <c r="H4648" s="22" t="s">
        <v>43</v>
      </c>
      <c r="I4648" s="22">
        <v>0</v>
      </c>
      <c r="J4648" s="22" t="s">
        <v>120</v>
      </c>
      <c r="K4648" s="22" t="s">
        <v>23</v>
      </c>
      <c r="L4648" s="22">
        <v>5</v>
      </c>
      <c r="M4648" s="26">
        <v>70000</v>
      </c>
      <c r="N4648" s="26">
        <v>0</v>
      </c>
      <c r="O4648" s="15">
        <f t="shared" si="406"/>
        <v>70000</v>
      </c>
      <c r="P4648" s="15">
        <f t="shared" si="405"/>
        <v>8.0087867832135835</v>
      </c>
      <c r="Q4648" s="25">
        <v>10000</v>
      </c>
      <c r="R4648" s="22">
        <v>87</v>
      </c>
      <c r="S4648" s="22" t="s">
        <v>5628</v>
      </c>
      <c r="T4648" s="22">
        <f t="shared" si="402"/>
        <v>5</v>
      </c>
      <c r="U4648" s="22">
        <f t="shared" si="403"/>
        <v>2022</v>
      </c>
      <c r="V4648" s="22" t="str">
        <f t="shared" si="404"/>
        <v>METROPOLITANA</v>
      </c>
    </row>
    <row r="4649" spans="1:22" x14ac:dyDescent="0.2">
      <c r="A4649" s="23" t="s">
        <v>5627</v>
      </c>
      <c r="B4649" s="22" t="s">
        <v>18</v>
      </c>
      <c r="C4649" s="22" t="s">
        <v>160</v>
      </c>
      <c r="D4649" s="22" t="s">
        <v>37</v>
      </c>
      <c r="E4649" s="24" t="s">
        <v>40</v>
      </c>
      <c r="F4649" s="22" t="s">
        <v>800</v>
      </c>
      <c r="G4649" s="25">
        <v>13364.62</v>
      </c>
      <c r="H4649" s="22" t="s">
        <v>22</v>
      </c>
      <c r="I4649" s="22">
        <v>0</v>
      </c>
      <c r="J4649" s="22" t="s">
        <v>800</v>
      </c>
      <c r="K4649" s="22" t="s">
        <v>23</v>
      </c>
      <c r="L4649" s="22">
        <v>5</v>
      </c>
      <c r="M4649" s="26">
        <v>90000</v>
      </c>
      <c r="N4649" s="26">
        <v>0</v>
      </c>
      <c r="O4649" s="15">
        <f t="shared" si="406"/>
        <v>90000</v>
      </c>
      <c r="P4649" s="15">
        <f t="shared" si="405"/>
        <v>6.7341982039145138</v>
      </c>
      <c r="Q4649" s="25">
        <v>10000</v>
      </c>
      <c r="R4649" s="22">
        <v>100</v>
      </c>
      <c r="S4649" s="22" t="s">
        <v>5629</v>
      </c>
      <c r="T4649" s="22">
        <f t="shared" si="402"/>
        <v>5</v>
      </c>
      <c r="U4649" s="22">
        <f t="shared" si="403"/>
        <v>2022</v>
      </c>
      <c r="V4649" s="22" t="str">
        <f t="shared" si="404"/>
        <v>METROPOLITANA</v>
      </c>
    </row>
    <row r="4650" spans="1:22" x14ac:dyDescent="0.2">
      <c r="A4650" s="23" t="s">
        <v>5627</v>
      </c>
      <c r="B4650" s="22" t="s">
        <v>33</v>
      </c>
      <c r="C4650" s="22" t="s">
        <v>57</v>
      </c>
      <c r="D4650" s="22" t="s">
        <v>20</v>
      </c>
      <c r="E4650" s="24" t="s">
        <v>21</v>
      </c>
      <c r="F4650" s="22" t="s">
        <v>58</v>
      </c>
      <c r="G4650" s="25">
        <v>6156</v>
      </c>
      <c r="H4650" s="22" t="s">
        <v>22</v>
      </c>
      <c r="I4650" s="22">
        <v>0</v>
      </c>
      <c r="J4650" s="22" t="s">
        <v>58</v>
      </c>
      <c r="K4650" s="22" t="s">
        <v>23</v>
      </c>
      <c r="L4650" s="22">
        <v>5</v>
      </c>
      <c r="M4650" s="26">
        <v>70000</v>
      </c>
      <c r="N4650" s="26">
        <v>0</v>
      </c>
      <c r="O4650" s="15">
        <f t="shared" si="406"/>
        <v>70000</v>
      </c>
      <c r="P4650" s="15">
        <f t="shared" si="405"/>
        <v>11.371020142949968</v>
      </c>
      <c r="Q4650" s="25">
        <v>10000</v>
      </c>
      <c r="R4650" s="22">
        <v>62</v>
      </c>
      <c r="S4650" s="22" t="s">
        <v>5630</v>
      </c>
      <c r="T4650" s="22">
        <f t="shared" si="402"/>
        <v>5</v>
      </c>
      <c r="U4650" s="22">
        <f t="shared" si="403"/>
        <v>2022</v>
      </c>
      <c r="V4650" s="22" t="str">
        <f t="shared" si="404"/>
        <v>METROPOLITANA</v>
      </c>
    </row>
    <row r="4651" spans="1:22" x14ac:dyDescent="0.2">
      <c r="A4651" s="23" t="s">
        <v>5627</v>
      </c>
      <c r="B4651" s="22" t="s">
        <v>33</v>
      </c>
      <c r="C4651" s="22" t="s">
        <v>128</v>
      </c>
      <c r="D4651" s="22" t="s">
        <v>2955</v>
      </c>
      <c r="E4651" s="24" t="s">
        <v>2956</v>
      </c>
      <c r="F4651" s="22" t="s">
        <v>34</v>
      </c>
      <c r="G4651" s="25">
        <v>10691.85</v>
      </c>
      <c r="H4651" s="22" t="s">
        <v>24</v>
      </c>
      <c r="I4651" s="22">
        <v>1</v>
      </c>
      <c r="J4651" s="22" t="s">
        <v>34</v>
      </c>
      <c r="K4651" s="22" t="s">
        <v>23</v>
      </c>
      <c r="L4651" s="22">
        <v>1</v>
      </c>
      <c r="M4651" s="26">
        <v>117610</v>
      </c>
      <c r="N4651" s="26">
        <v>0</v>
      </c>
      <c r="O4651" s="15">
        <f t="shared" si="406"/>
        <v>117610</v>
      </c>
      <c r="P4651" s="15">
        <f t="shared" si="405"/>
        <v>10.999967264785795</v>
      </c>
      <c r="Q4651" s="25">
        <v>5000</v>
      </c>
      <c r="R4651" s="22">
        <v>100</v>
      </c>
      <c r="S4651" s="22" t="s">
        <v>5631</v>
      </c>
      <c r="T4651" s="22">
        <f t="shared" si="402"/>
        <v>5</v>
      </c>
      <c r="U4651" s="22">
        <f t="shared" si="403"/>
        <v>2022</v>
      </c>
      <c r="V4651" s="22" t="str">
        <f t="shared" si="404"/>
        <v>METROPOLITANA</v>
      </c>
    </row>
    <row r="4652" spans="1:22" x14ac:dyDescent="0.2">
      <c r="A4652" s="23" t="s">
        <v>5627</v>
      </c>
      <c r="B4652" s="22" t="s">
        <v>33</v>
      </c>
      <c r="C4652" s="22" t="s">
        <v>36</v>
      </c>
      <c r="D4652" s="22" t="s">
        <v>5478</v>
      </c>
      <c r="E4652" s="24" t="s">
        <v>83</v>
      </c>
      <c r="F4652" s="22" t="s">
        <v>92</v>
      </c>
      <c r="G4652" s="25">
        <v>10412.040000000001</v>
      </c>
      <c r="H4652" s="22" t="s">
        <v>24</v>
      </c>
      <c r="I4652" s="22">
        <v>1</v>
      </c>
      <c r="J4652" s="22" t="s">
        <v>92</v>
      </c>
      <c r="K4652" s="22" t="s">
        <v>93</v>
      </c>
      <c r="L4652" s="22">
        <v>0</v>
      </c>
      <c r="M4652" s="26">
        <v>700000</v>
      </c>
      <c r="N4652" s="26">
        <v>0</v>
      </c>
      <c r="O4652" s="15">
        <f t="shared" si="406"/>
        <v>700000</v>
      </c>
      <c r="P4652" s="15">
        <f t="shared" si="405"/>
        <v>67.229860814979574</v>
      </c>
      <c r="Q4652" s="25">
        <v>20000</v>
      </c>
      <c r="R4652" s="22">
        <v>52</v>
      </c>
      <c r="S4652" s="22" t="s">
        <v>5632</v>
      </c>
      <c r="T4652" s="22">
        <f t="shared" si="402"/>
        <v>5</v>
      </c>
      <c r="U4652" s="22">
        <f t="shared" si="403"/>
        <v>2022</v>
      </c>
      <c r="V4652" s="22" t="str">
        <f t="shared" si="404"/>
        <v>REGIONES</v>
      </c>
    </row>
    <row r="4653" spans="1:22" x14ac:dyDescent="0.2">
      <c r="A4653" s="23" t="s">
        <v>5627</v>
      </c>
      <c r="B4653" s="22" t="s">
        <v>33</v>
      </c>
      <c r="C4653" s="22" t="s">
        <v>29</v>
      </c>
      <c r="D4653" s="22" t="s">
        <v>37</v>
      </c>
      <c r="E4653" s="24" t="s">
        <v>40</v>
      </c>
      <c r="F4653" s="22" t="s">
        <v>39</v>
      </c>
      <c r="G4653" s="25">
        <f>5350.4+1003</f>
        <v>6353.4</v>
      </c>
      <c r="H4653" s="22" t="s">
        <v>22</v>
      </c>
      <c r="I4653" s="22">
        <v>0</v>
      </c>
      <c r="J4653" s="22" t="s">
        <v>39</v>
      </c>
      <c r="K4653" s="22" t="s">
        <v>23</v>
      </c>
      <c r="L4653" s="22">
        <v>1</v>
      </c>
      <c r="M4653" s="26">
        <v>58854</v>
      </c>
      <c r="N4653" s="26">
        <v>0</v>
      </c>
      <c r="O4653" s="15">
        <f t="shared" si="406"/>
        <v>58854</v>
      </c>
      <c r="P4653" s="15">
        <f t="shared" si="405"/>
        <v>9.2633865331948257</v>
      </c>
      <c r="Q4653" s="25">
        <v>5000</v>
      </c>
      <c r="R4653" s="22">
        <v>100</v>
      </c>
      <c r="S4653" s="22" t="s">
        <v>5638</v>
      </c>
      <c r="T4653" s="22">
        <f t="shared" si="402"/>
        <v>5</v>
      </c>
      <c r="U4653" s="22">
        <f t="shared" si="403"/>
        <v>2022</v>
      </c>
      <c r="V4653" s="22" t="str">
        <f t="shared" si="404"/>
        <v>METROPOLITANA</v>
      </c>
    </row>
    <row r="4654" spans="1:22" x14ac:dyDescent="0.2">
      <c r="A4654" s="23" t="s">
        <v>5627</v>
      </c>
      <c r="B4654" s="22" t="s">
        <v>33</v>
      </c>
      <c r="C4654" s="22" t="s">
        <v>29</v>
      </c>
      <c r="D4654" s="22" t="s">
        <v>786</v>
      </c>
      <c r="E4654" s="24" t="s">
        <v>787</v>
      </c>
      <c r="F4654" s="22" t="s">
        <v>173</v>
      </c>
      <c r="G4654" s="25">
        <v>16508.8</v>
      </c>
      <c r="H4654" s="22" t="s">
        <v>788</v>
      </c>
      <c r="I4654" s="22">
        <v>1</v>
      </c>
      <c r="J4654" s="22" t="s">
        <v>173</v>
      </c>
      <c r="K4654" s="22" t="s">
        <v>23</v>
      </c>
      <c r="L4654" s="22">
        <v>5</v>
      </c>
      <c r="M4654" s="26">
        <v>120000</v>
      </c>
      <c r="N4654" s="26">
        <v>0</v>
      </c>
      <c r="O4654" s="15">
        <f t="shared" si="406"/>
        <v>120000</v>
      </c>
      <c r="P4654" s="15">
        <f t="shared" si="405"/>
        <v>7.2688505524326423</v>
      </c>
      <c r="Q4654" s="25">
        <v>10000</v>
      </c>
      <c r="R4654" s="22">
        <v>100</v>
      </c>
      <c r="S4654" s="22" t="s">
        <v>5633</v>
      </c>
      <c r="T4654" s="22">
        <f t="shared" si="402"/>
        <v>5</v>
      </c>
      <c r="U4654" s="22">
        <f t="shared" si="403"/>
        <v>2022</v>
      </c>
      <c r="V4654" s="22" t="str">
        <f t="shared" si="404"/>
        <v>METROPOLITANA</v>
      </c>
    </row>
    <row r="4655" spans="1:22" x14ac:dyDescent="0.2">
      <c r="A4655" s="23" t="s">
        <v>5627</v>
      </c>
      <c r="B4655" s="22" t="s">
        <v>33</v>
      </c>
      <c r="C4655" s="22" t="s">
        <v>29</v>
      </c>
      <c r="D4655" s="22" t="s">
        <v>41</v>
      </c>
      <c r="E4655" s="24" t="s">
        <v>25</v>
      </c>
      <c r="F4655" s="22" t="s">
        <v>39</v>
      </c>
      <c r="G4655" s="25">
        <v>3435</v>
      </c>
      <c r="H4655" s="22" t="s">
        <v>43</v>
      </c>
      <c r="I4655" s="22">
        <v>0</v>
      </c>
      <c r="J4655" s="22" t="s">
        <v>39</v>
      </c>
      <c r="K4655" s="22" t="s">
        <v>23</v>
      </c>
      <c r="L4655" s="22">
        <v>1</v>
      </c>
      <c r="M4655" s="26">
        <v>55000</v>
      </c>
      <c r="N4655" s="26">
        <v>0</v>
      </c>
      <c r="O4655" s="15">
        <f t="shared" si="406"/>
        <v>55000</v>
      </c>
      <c r="P4655" s="15">
        <f t="shared" si="405"/>
        <v>16.01164483260553</v>
      </c>
      <c r="Q4655" s="25">
        <v>5000</v>
      </c>
      <c r="R4655" s="22">
        <v>69</v>
      </c>
      <c r="S4655" s="22" t="s">
        <v>5634</v>
      </c>
      <c r="T4655" s="22">
        <f t="shared" si="402"/>
        <v>5</v>
      </c>
      <c r="U4655" s="22">
        <f t="shared" si="403"/>
        <v>2022</v>
      </c>
      <c r="V4655" s="22" t="str">
        <f t="shared" si="404"/>
        <v>METROPOLITANA</v>
      </c>
    </row>
    <row r="4656" spans="1:22" x14ac:dyDescent="0.2">
      <c r="A4656" s="23" t="s">
        <v>5627</v>
      </c>
      <c r="B4656" s="22" t="s">
        <v>33</v>
      </c>
      <c r="C4656" s="22" t="s">
        <v>44</v>
      </c>
      <c r="D4656" s="22" t="s">
        <v>45</v>
      </c>
      <c r="E4656" s="24" t="s">
        <v>52</v>
      </c>
      <c r="F4656" s="22" t="s">
        <v>34</v>
      </c>
      <c r="G4656" s="25">
        <v>4418.54</v>
      </c>
      <c r="H4656" s="22" t="s">
        <v>22</v>
      </c>
      <c r="I4656" s="22">
        <v>0</v>
      </c>
      <c r="J4656" s="22" t="s">
        <v>34</v>
      </c>
      <c r="K4656" s="22" t="s">
        <v>23</v>
      </c>
      <c r="L4656" s="22">
        <v>1</v>
      </c>
      <c r="M4656" s="26">
        <v>55000</v>
      </c>
      <c r="N4656" s="26">
        <v>0</v>
      </c>
      <c r="O4656" s="15">
        <f t="shared" si="406"/>
        <v>55000</v>
      </c>
      <c r="P4656" s="15">
        <f t="shared" si="405"/>
        <v>12.447550548371181</v>
      </c>
      <c r="Q4656" s="25">
        <v>5000</v>
      </c>
      <c r="R4656" s="22">
        <v>88</v>
      </c>
      <c r="S4656" s="22" t="s">
        <v>5635</v>
      </c>
      <c r="T4656" s="22">
        <f t="shared" si="402"/>
        <v>5</v>
      </c>
      <c r="U4656" s="22">
        <f t="shared" si="403"/>
        <v>2022</v>
      </c>
      <c r="V4656" s="22" t="str">
        <f t="shared" si="404"/>
        <v>METROPOLITANA</v>
      </c>
    </row>
    <row r="4657" spans="1:22" x14ac:dyDescent="0.2">
      <c r="A4657" s="23" t="s">
        <v>5627</v>
      </c>
      <c r="B4657" s="22" t="s">
        <v>33</v>
      </c>
      <c r="C4657" s="22" t="s">
        <v>44</v>
      </c>
      <c r="D4657" s="22" t="s">
        <v>47</v>
      </c>
      <c r="E4657" s="24" t="s">
        <v>49</v>
      </c>
      <c r="F4657" s="22" t="s">
        <v>48</v>
      </c>
      <c r="G4657" s="25">
        <v>4916.8199999999988</v>
      </c>
      <c r="H4657" s="22" t="s">
        <v>22</v>
      </c>
      <c r="I4657" s="22">
        <v>0</v>
      </c>
      <c r="J4657" s="22" t="s">
        <v>48</v>
      </c>
      <c r="K4657" s="22" t="s">
        <v>23</v>
      </c>
      <c r="L4657" s="22">
        <v>1</v>
      </c>
      <c r="M4657" s="26">
        <v>55000</v>
      </c>
      <c r="N4657" s="26">
        <v>0</v>
      </c>
      <c r="O4657" s="15">
        <f t="shared" si="406"/>
        <v>55000</v>
      </c>
      <c r="P4657" s="15">
        <f t="shared" si="405"/>
        <v>11.18609182357703</v>
      </c>
      <c r="Q4657" s="25">
        <v>5000</v>
      </c>
      <c r="R4657" s="22">
        <v>98</v>
      </c>
      <c r="S4657" s="22" t="s">
        <v>5636</v>
      </c>
      <c r="T4657" s="22">
        <f t="shared" si="402"/>
        <v>5</v>
      </c>
      <c r="U4657" s="22">
        <f t="shared" si="403"/>
        <v>2022</v>
      </c>
      <c r="V4657" s="22" t="str">
        <f t="shared" si="404"/>
        <v>METROPOLITANA</v>
      </c>
    </row>
    <row r="4658" spans="1:22" x14ac:dyDescent="0.2">
      <c r="A4658" s="23" t="s">
        <v>5627</v>
      </c>
      <c r="B4658" s="22" t="s">
        <v>33</v>
      </c>
      <c r="C4658" s="22" t="s">
        <v>4802</v>
      </c>
      <c r="D4658" s="22" t="s">
        <v>191</v>
      </c>
      <c r="E4658" s="24" t="s">
        <v>192</v>
      </c>
      <c r="F4658" s="22" t="s">
        <v>815</v>
      </c>
      <c r="G4658" s="25">
        <v>8502</v>
      </c>
      <c r="H4658" s="22" t="s">
        <v>85</v>
      </c>
      <c r="I4658" s="22">
        <v>1</v>
      </c>
      <c r="J4658" s="22" t="s">
        <v>815</v>
      </c>
      <c r="K4658" s="22" t="s">
        <v>75</v>
      </c>
      <c r="L4658" s="22">
        <v>0</v>
      </c>
      <c r="M4658" s="26">
        <v>460000</v>
      </c>
      <c r="N4658" s="26">
        <v>0</v>
      </c>
      <c r="O4658" s="15">
        <f t="shared" si="406"/>
        <v>460000</v>
      </c>
      <c r="P4658" s="15">
        <f t="shared" si="405"/>
        <v>54.104916490237592</v>
      </c>
      <c r="Q4658" s="25">
        <v>20000</v>
      </c>
      <c r="R4658" s="22">
        <v>43</v>
      </c>
      <c r="S4658" s="22" t="s">
        <v>5637</v>
      </c>
      <c r="T4658" s="22">
        <f t="shared" si="402"/>
        <v>5</v>
      </c>
      <c r="U4658" s="22">
        <f t="shared" si="403"/>
        <v>2022</v>
      </c>
      <c r="V4658" s="22" t="str">
        <f t="shared" si="404"/>
        <v>REGIONES</v>
      </c>
    </row>
    <row r="4659" spans="1:22" x14ac:dyDescent="0.2">
      <c r="A4659" s="11" t="s">
        <v>5639</v>
      </c>
      <c r="B4659" s="12" t="s">
        <v>18</v>
      </c>
      <c r="C4659" s="12" t="s">
        <v>160</v>
      </c>
      <c r="D4659" s="12" t="s">
        <v>38</v>
      </c>
      <c r="E4659" s="13" t="s">
        <v>42</v>
      </c>
      <c r="F4659" s="12" t="s">
        <v>800</v>
      </c>
      <c r="G4659" s="14">
        <v>10138.040000000001</v>
      </c>
      <c r="H4659" s="12" t="s">
        <v>43</v>
      </c>
      <c r="I4659" s="12">
        <v>0</v>
      </c>
      <c r="J4659" s="12" t="s">
        <v>800</v>
      </c>
      <c r="K4659" s="12" t="s">
        <v>23</v>
      </c>
      <c r="L4659" s="12">
        <v>5</v>
      </c>
      <c r="M4659" s="15">
        <v>90000</v>
      </c>
      <c r="N4659" s="15">
        <v>0</v>
      </c>
      <c r="O4659" s="15">
        <f t="shared" si="406"/>
        <v>90000</v>
      </c>
      <c r="P4659" s="15">
        <f t="shared" si="405"/>
        <v>8.8774556028581451</v>
      </c>
      <c r="Q4659" s="14">
        <v>10000</v>
      </c>
      <c r="R4659" s="12">
        <v>100</v>
      </c>
      <c r="S4659" s="12" t="s">
        <v>5640</v>
      </c>
      <c r="T4659" s="22">
        <f t="shared" si="402"/>
        <v>5</v>
      </c>
      <c r="U4659" s="22">
        <f t="shared" si="403"/>
        <v>2022</v>
      </c>
      <c r="V4659" s="22" t="str">
        <f t="shared" si="404"/>
        <v>METROPOLITANA</v>
      </c>
    </row>
    <row r="4660" spans="1:22" x14ac:dyDescent="0.2">
      <c r="A4660" s="11" t="s">
        <v>5639</v>
      </c>
      <c r="B4660" s="12" t="s">
        <v>18</v>
      </c>
      <c r="C4660" s="12" t="s">
        <v>160</v>
      </c>
      <c r="D4660" s="12" t="s">
        <v>20</v>
      </c>
      <c r="E4660" s="13" t="s">
        <v>1576</v>
      </c>
      <c r="F4660" s="12" t="s">
        <v>800</v>
      </c>
      <c r="G4660" s="14">
        <v>9414.9</v>
      </c>
      <c r="H4660" s="12" t="s">
        <v>22</v>
      </c>
      <c r="I4660" s="12">
        <v>0</v>
      </c>
      <c r="J4660" s="12" t="s">
        <v>800</v>
      </c>
      <c r="K4660" s="12" t="s">
        <v>23</v>
      </c>
      <c r="L4660" s="12">
        <v>5</v>
      </c>
      <c r="M4660" s="15">
        <v>90000</v>
      </c>
      <c r="N4660" s="15">
        <v>0</v>
      </c>
      <c r="O4660" s="15">
        <f t="shared" si="406"/>
        <v>90000</v>
      </c>
      <c r="P4660" s="15">
        <f t="shared" si="405"/>
        <v>9.5593155530064049</v>
      </c>
      <c r="Q4660" s="14">
        <v>10000</v>
      </c>
      <c r="R4660" s="12">
        <v>94</v>
      </c>
      <c r="S4660" s="12" t="s">
        <v>5641</v>
      </c>
      <c r="T4660" s="22">
        <f t="shared" si="402"/>
        <v>5</v>
      </c>
      <c r="U4660" s="22">
        <f t="shared" si="403"/>
        <v>2022</v>
      </c>
      <c r="V4660" s="22" t="str">
        <f t="shared" si="404"/>
        <v>METROPOLITANA</v>
      </c>
    </row>
    <row r="4661" spans="1:22" x14ac:dyDescent="0.2">
      <c r="A4661" s="11" t="s">
        <v>5639</v>
      </c>
      <c r="B4661" s="12" t="s">
        <v>33</v>
      </c>
      <c r="C4661" s="12" t="s">
        <v>1642</v>
      </c>
      <c r="D4661" s="12" t="s">
        <v>786</v>
      </c>
      <c r="E4661" s="13" t="s">
        <v>1891</v>
      </c>
      <c r="F4661" s="12" t="s">
        <v>2055</v>
      </c>
      <c r="G4661" s="59">
        <f>5875+3663+3766</f>
        <v>13304</v>
      </c>
      <c r="H4661" s="12" t="s">
        <v>788</v>
      </c>
      <c r="I4661" s="12">
        <v>1</v>
      </c>
      <c r="J4661" s="12" t="s">
        <v>2055</v>
      </c>
      <c r="K4661" s="12" t="s">
        <v>86</v>
      </c>
      <c r="L4661" s="12">
        <v>0</v>
      </c>
      <c r="M4661" s="15">
        <v>300000</v>
      </c>
      <c r="N4661" s="15">
        <v>0</v>
      </c>
      <c r="O4661" s="15">
        <f t="shared" si="406"/>
        <v>300000</v>
      </c>
      <c r="P4661" s="15">
        <f t="shared" si="405"/>
        <v>22.549609140108238</v>
      </c>
      <c r="Q4661" s="14">
        <v>20000</v>
      </c>
      <c r="R4661" s="12">
        <v>68</v>
      </c>
      <c r="S4661" s="12" t="s">
        <v>5650</v>
      </c>
      <c r="T4661" s="22">
        <f t="shared" si="402"/>
        <v>5</v>
      </c>
      <c r="U4661" s="22">
        <f t="shared" si="403"/>
        <v>2022</v>
      </c>
      <c r="V4661" s="22" t="str">
        <f t="shared" si="404"/>
        <v>REGIONES</v>
      </c>
    </row>
    <row r="4662" spans="1:22" x14ac:dyDescent="0.2">
      <c r="A4662" s="11" t="s">
        <v>5639</v>
      </c>
      <c r="B4662" s="12" t="s">
        <v>33</v>
      </c>
      <c r="C4662" s="12" t="s">
        <v>1642</v>
      </c>
      <c r="D4662" s="12" t="s">
        <v>2955</v>
      </c>
      <c r="E4662" s="13" t="s">
        <v>2956</v>
      </c>
      <c r="F4662" s="12" t="s">
        <v>170</v>
      </c>
      <c r="G4662" s="14">
        <v>9807.86</v>
      </c>
      <c r="H4662" s="12" t="s">
        <v>24</v>
      </c>
      <c r="I4662" s="12">
        <v>1</v>
      </c>
      <c r="J4662" s="12" t="s">
        <v>170</v>
      </c>
      <c r="K4662" s="12" t="s">
        <v>171</v>
      </c>
      <c r="L4662" s="12">
        <v>0</v>
      </c>
      <c r="M4662" s="15">
        <v>250000</v>
      </c>
      <c r="N4662" s="15">
        <v>0</v>
      </c>
      <c r="O4662" s="15">
        <f t="shared" si="406"/>
        <v>250000</v>
      </c>
      <c r="P4662" s="15">
        <f t="shared" si="405"/>
        <v>25.489760253510958</v>
      </c>
      <c r="Q4662" s="14">
        <v>20000</v>
      </c>
      <c r="R4662" s="12">
        <v>49</v>
      </c>
      <c r="S4662" s="12" t="s">
        <v>5642</v>
      </c>
      <c r="T4662" s="22">
        <f t="shared" si="402"/>
        <v>5</v>
      </c>
      <c r="U4662" s="22">
        <f t="shared" si="403"/>
        <v>2022</v>
      </c>
      <c r="V4662" s="22" t="str">
        <f t="shared" si="404"/>
        <v>REGIONES</v>
      </c>
    </row>
    <row r="4663" spans="1:22" x14ac:dyDescent="0.2">
      <c r="A4663" s="11" t="s">
        <v>5639</v>
      </c>
      <c r="B4663" s="12" t="s">
        <v>33</v>
      </c>
      <c r="C4663" s="12" t="s">
        <v>270</v>
      </c>
      <c r="D4663" s="12" t="s">
        <v>63</v>
      </c>
      <c r="E4663" s="13" t="s">
        <v>64</v>
      </c>
      <c r="F4663" s="12" t="s">
        <v>120</v>
      </c>
      <c r="G4663" s="14">
        <v>10074</v>
      </c>
      <c r="H4663" s="12" t="s">
        <v>65</v>
      </c>
      <c r="I4663" s="12">
        <v>0</v>
      </c>
      <c r="J4663" s="12" t="s">
        <v>120</v>
      </c>
      <c r="K4663" s="12" t="s">
        <v>23</v>
      </c>
      <c r="L4663" s="12">
        <v>5</v>
      </c>
      <c r="M4663" s="15">
        <v>70000</v>
      </c>
      <c r="N4663" s="15">
        <v>0</v>
      </c>
      <c r="O4663" s="15">
        <f t="shared" si="406"/>
        <v>70000</v>
      </c>
      <c r="P4663" s="15">
        <f t="shared" si="405"/>
        <v>6.9485805042684134</v>
      </c>
      <c r="Q4663" s="14">
        <v>10000</v>
      </c>
      <c r="R4663" s="12">
        <v>100</v>
      </c>
      <c r="S4663" s="12" t="s">
        <v>5643</v>
      </c>
      <c r="T4663" s="22">
        <f t="shared" si="402"/>
        <v>5</v>
      </c>
      <c r="U4663" s="22">
        <f t="shared" si="403"/>
        <v>2022</v>
      </c>
      <c r="V4663" s="22" t="str">
        <f t="shared" si="404"/>
        <v>METROPOLITANA</v>
      </c>
    </row>
    <row r="4664" spans="1:22" x14ac:dyDescent="0.2">
      <c r="A4664" s="11" t="s">
        <v>5639</v>
      </c>
      <c r="B4664" s="12" t="s">
        <v>33</v>
      </c>
      <c r="C4664" s="12" t="s">
        <v>29</v>
      </c>
      <c r="D4664" s="12" t="s">
        <v>37</v>
      </c>
      <c r="E4664" s="13" t="s">
        <v>40</v>
      </c>
      <c r="F4664" s="12" t="s">
        <v>39</v>
      </c>
      <c r="G4664" s="14">
        <v>4243.1999999999989</v>
      </c>
      <c r="H4664" s="12" t="s">
        <v>22</v>
      </c>
      <c r="I4664" s="12">
        <v>0</v>
      </c>
      <c r="J4664" s="12" t="s">
        <v>39</v>
      </c>
      <c r="K4664" s="12" t="s">
        <v>23</v>
      </c>
      <c r="L4664" s="12">
        <v>1</v>
      </c>
      <c r="M4664" s="15">
        <v>55000</v>
      </c>
      <c r="N4664" s="15">
        <v>0</v>
      </c>
      <c r="O4664" s="15">
        <f t="shared" si="406"/>
        <v>55000</v>
      </c>
      <c r="P4664" s="15">
        <f t="shared" si="405"/>
        <v>12.96191553544495</v>
      </c>
      <c r="Q4664" s="14">
        <v>5000</v>
      </c>
      <c r="R4664" s="12">
        <v>85</v>
      </c>
      <c r="S4664" s="12" t="s">
        <v>5644</v>
      </c>
      <c r="T4664" s="22">
        <f t="shared" si="402"/>
        <v>5</v>
      </c>
      <c r="U4664" s="22">
        <f t="shared" si="403"/>
        <v>2022</v>
      </c>
      <c r="V4664" s="22" t="str">
        <f t="shared" si="404"/>
        <v>METROPOLITANA</v>
      </c>
    </row>
    <row r="4665" spans="1:22" x14ac:dyDescent="0.2">
      <c r="A4665" s="11" t="s">
        <v>5639</v>
      </c>
      <c r="B4665" s="12" t="s">
        <v>33</v>
      </c>
      <c r="C4665" s="12" t="s">
        <v>29</v>
      </c>
      <c r="D4665" s="12" t="s">
        <v>41</v>
      </c>
      <c r="E4665" s="13" t="s">
        <v>25</v>
      </c>
      <c r="F4665" s="12" t="s">
        <v>39</v>
      </c>
      <c r="G4665" s="14">
        <v>2718.87</v>
      </c>
      <c r="H4665" s="12" t="s">
        <v>43</v>
      </c>
      <c r="I4665" s="12">
        <v>0</v>
      </c>
      <c r="J4665" s="12" t="s">
        <v>39</v>
      </c>
      <c r="K4665" s="12" t="s">
        <v>23</v>
      </c>
      <c r="L4665" s="12">
        <v>1</v>
      </c>
      <c r="M4665" s="15">
        <v>55000</v>
      </c>
      <c r="N4665" s="15">
        <v>0</v>
      </c>
      <c r="O4665" s="15">
        <f t="shared" si="406"/>
        <v>55000</v>
      </c>
      <c r="P4665" s="15">
        <f t="shared" si="405"/>
        <v>20.228992191609017</v>
      </c>
      <c r="Q4665" s="14">
        <v>5000</v>
      </c>
      <c r="R4665" s="12">
        <v>54</v>
      </c>
      <c r="S4665" s="12" t="s">
        <v>5645</v>
      </c>
      <c r="T4665" s="22">
        <f t="shared" si="402"/>
        <v>5</v>
      </c>
      <c r="U4665" s="22">
        <f t="shared" si="403"/>
        <v>2022</v>
      </c>
      <c r="V4665" s="22" t="str">
        <f t="shared" si="404"/>
        <v>METROPOLITANA</v>
      </c>
    </row>
    <row r="4666" spans="1:22" x14ac:dyDescent="0.2">
      <c r="A4666" s="11" t="s">
        <v>5639</v>
      </c>
      <c r="B4666" s="12" t="s">
        <v>33</v>
      </c>
      <c r="C4666" s="12" t="s">
        <v>29</v>
      </c>
      <c r="D4666" s="12" t="s">
        <v>164</v>
      </c>
      <c r="E4666" s="13" t="s">
        <v>28</v>
      </c>
      <c r="F4666" s="12" t="s">
        <v>39</v>
      </c>
      <c r="G4666" s="14">
        <v>10030.200000000001</v>
      </c>
      <c r="H4666" s="12" t="s">
        <v>22</v>
      </c>
      <c r="I4666" s="12">
        <v>1</v>
      </c>
      <c r="J4666" s="12" t="s">
        <v>39</v>
      </c>
      <c r="K4666" s="12" t="s">
        <v>23</v>
      </c>
      <c r="L4666" s="12">
        <v>1</v>
      </c>
      <c r="M4666" s="15">
        <v>110332</v>
      </c>
      <c r="N4666" s="15">
        <v>0</v>
      </c>
      <c r="O4666" s="15">
        <f t="shared" si="406"/>
        <v>110332</v>
      </c>
      <c r="P4666" s="15">
        <f t="shared" si="405"/>
        <v>10.999980060218141</v>
      </c>
      <c r="Q4666" s="14">
        <v>5000</v>
      </c>
      <c r="R4666" s="12">
        <v>100</v>
      </c>
      <c r="S4666" s="12" t="s">
        <v>5646</v>
      </c>
      <c r="T4666" s="22">
        <f t="shared" si="402"/>
        <v>5</v>
      </c>
      <c r="U4666" s="22">
        <f t="shared" si="403"/>
        <v>2022</v>
      </c>
      <c r="V4666" s="22" t="str">
        <f t="shared" si="404"/>
        <v>METROPOLITANA</v>
      </c>
    </row>
    <row r="4667" spans="1:22" x14ac:dyDescent="0.2">
      <c r="A4667" s="11" t="s">
        <v>5639</v>
      </c>
      <c r="B4667" s="12" t="s">
        <v>33</v>
      </c>
      <c r="C4667" s="12" t="s">
        <v>44</v>
      </c>
      <c r="D4667" s="12" t="s">
        <v>38</v>
      </c>
      <c r="E4667" s="13" t="s">
        <v>42</v>
      </c>
      <c r="F4667" s="12" t="s">
        <v>51</v>
      </c>
      <c r="G4667" s="14">
        <v>4585.4399999999996</v>
      </c>
      <c r="H4667" s="12" t="s">
        <v>43</v>
      </c>
      <c r="I4667" s="12">
        <v>0</v>
      </c>
      <c r="J4667" s="12" t="s">
        <v>51</v>
      </c>
      <c r="K4667" s="12" t="s">
        <v>23</v>
      </c>
      <c r="L4667" s="12">
        <v>4</v>
      </c>
      <c r="M4667" s="15">
        <v>55000</v>
      </c>
      <c r="N4667" s="15">
        <v>0</v>
      </c>
      <c r="O4667" s="15">
        <f t="shared" si="406"/>
        <v>55000</v>
      </c>
      <c r="P4667" s="15">
        <f t="shared" si="405"/>
        <v>11.994486897658676</v>
      </c>
      <c r="Q4667" s="14">
        <v>5000</v>
      </c>
      <c r="R4667" s="12">
        <v>92</v>
      </c>
      <c r="S4667" s="12" t="s">
        <v>5647</v>
      </c>
      <c r="T4667" s="22">
        <f t="shared" si="402"/>
        <v>5</v>
      </c>
      <c r="U4667" s="22">
        <f t="shared" si="403"/>
        <v>2022</v>
      </c>
      <c r="V4667" s="22" t="str">
        <f t="shared" si="404"/>
        <v>METROPOLITANA</v>
      </c>
    </row>
    <row r="4668" spans="1:22" x14ac:dyDescent="0.2">
      <c r="A4668" s="11" t="s">
        <v>5639</v>
      </c>
      <c r="B4668" s="12" t="s">
        <v>33</v>
      </c>
      <c r="C4668" s="12" t="s">
        <v>44</v>
      </c>
      <c r="D4668" s="12" t="s">
        <v>45</v>
      </c>
      <c r="E4668" s="13" t="s">
        <v>52</v>
      </c>
      <c r="F4668" s="12" t="s">
        <v>229</v>
      </c>
      <c r="G4668" s="14">
        <v>3080.34</v>
      </c>
      <c r="H4668" s="12" t="s">
        <v>22</v>
      </c>
      <c r="I4668" s="12">
        <v>0</v>
      </c>
      <c r="J4668" s="12" t="s">
        <v>230</v>
      </c>
      <c r="K4668" s="12" t="s">
        <v>23</v>
      </c>
      <c r="L4668" s="12">
        <v>4</v>
      </c>
      <c r="M4668" s="15">
        <v>55000</v>
      </c>
      <c r="N4668" s="15">
        <v>0</v>
      </c>
      <c r="O4668" s="15">
        <f t="shared" si="406"/>
        <v>55000</v>
      </c>
      <c r="P4668" s="15">
        <f t="shared" si="405"/>
        <v>17.855171831680916</v>
      </c>
      <c r="Q4668" s="14">
        <v>5000</v>
      </c>
      <c r="R4668" s="12">
        <v>62</v>
      </c>
      <c r="S4668" s="12" t="s">
        <v>5648</v>
      </c>
      <c r="T4668" s="22">
        <f t="shared" si="402"/>
        <v>5</v>
      </c>
      <c r="U4668" s="22">
        <f t="shared" si="403"/>
        <v>2022</v>
      </c>
      <c r="V4668" s="22" t="str">
        <f t="shared" si="404"/>
        <v>METROPOLITANA</v>
      </c>
    </row>
    <row r="4669" spans="1:22" x14ac:dyDescent="0.2">
      <c r="A4669" s="11" t="s">
        <v>5639</v>
      </c>
      <c r="B4669" s="12" t="s">
        <v>33</v>
      </c>
      <c r="C4669" s="12" t="s">
        <v>44</v>
      </c>
      <c r="D4669" s="12" t="s">
        <v>47</v>
      </c>
      <c r="E4669" s="13" t="s">
        <v>49</v>
      </c>
      <c r="F4669" s="12" t="s">
        <v>48</v>
      </c>
      <c r="G4669" s="14">
        <v>9768.4</v>
      </c>
      <c r="H4669" s="12" t="s">
        <v>22</v>
      </c>
      <c r="I4669" s="12">
        <v>0</v>
      </c>
      <c r="J4669" s="12" t="s">
        <v>48</v>
      </c>
      <c r="K4669" s="12" t="s">
        <v>23</v>
      </c>
      <c r="L4669" s="12">
        <v>1</v>
      </c>
      <c r="M4669" s="15">
        <v>107452</v>
      </c>
      <c r="N4669" s="15">
        <v>0</v>
      </c>
      <c r="O4669" s="15">
        <f t="shared" si="406"/>
        <v>107452</v>
      </c>
      <c r="P4669" s="15">
        <f t="shared" si="405"/>
        <v>10.999959051635887</v>
      </c>
      <c r="Q4669" s="14">
        <v>5000</v>
      </c>
      <c r="R4669" s="12">
        <v>100</v>
      </c>
      <c r="S4669" s="12" t="s">
        <v>5649</v>
      </c>
      <c r="T4669" s="22">
        <f t="shared" si="402"/>
        <v>5</v>
      </c>
      <c r="U4669" s="22">
        <f t="shared" si="403"/>
        <v>2022</v>
      </c>
      <c r="V4669" s="22" t="str">
        <f t="shared" si="404"/>
        <v>METROPOLITANA</v>
      </c>
    </row>
    <row r="4670" spans="1:22" x14ac:dyDescent="0.2">
      <c r="A4670" s="23" t="s">
        <v>5651</v>
      </c>
      <c r="B4670" s="22" t="s">
        <v>18</v>
      </c>
      <c r="C4670" s="22" t="s">
        <v>160</v>
      </c>
      <c r="D4670" s="22" t="s">
        <v>164</v>
      </c>
      <c r="E4670" s="24">
        <v>81417709</v>
      </c>
      <c r="F4670" s="22" t="s">
        <v>2055</v>
      </c>
      <c r="G4670" s="25">
        <v>17875.28</v>
      </c>
      <c r="H4670" s="22" t="s">
        <v>22</v>
      </c>
      <c r="I4670" s="22">
        <v>1</v>
      </c>
      <c r="J4670" s="22" t="s">
        <v>2055</v>
      </c>
      <c r="K4670" s="22" t="s">
        <v>86</v>
      </c>
      <c r="L4670" s="22">
        <v>0</v>
      </c>
      <c r="M4670" s="26">
        <v>1</v>
      </c>
      <c r="N4670" s="26">
        <v>0</v>
      </c>
      <c r="O4670" s="15">
        <f t="shared" si="406"/>
        <v>1</v>
      </c>
      <c r="P4670" s="15">
        <f t="shared" si="405"/>
        <v>5.5943179631312073E-5</v>
      </c>
      <c r="Q4670" s="25">
        <v>20000</v>
      </c>
      <c r="R4670" s="22">
        <v>100</v>
      </c>
      <c r="S4670" s="22" t="s">
        <v>5652</v>
      </c>
      <c r="T4670" s="22">
        <f t="shared" si="402"/>
        <v>5</v>
      </c>
      <c r="U4670" s="22">
        <f t="shared" si="403"/>
        <v>2022</v>
      </c>
      <c r="V4670" s="22" t="str">
        <f t="shared" si="404"/>
        <v>REGIONES</v>
      </c>
    </row>
    <row r="4671" spans="1:22" x14ac:dyDescent="0.2">
      <c r="A4671" s="23" t="s">
        <v>5651</v>
      </c>
      <c r="B4671" s="22" t="s">
        <v>18</v>
      </c>
      <c r="C4671" s="22" t="s">
        <v>87</v>
      </c>
      <c r="D4671" s="22" t="s">
        <v>41</v>
      </c>
      <c r="E4671" s="24">
        <v>125108660</v>
      </c>
      <c r="F4671" s="22" t="s">
        <v>51</v>
      </c>
      <c r="G4671" s="25">
        <v>9183.44</v>
      </c>
      <c r="H4671" s="22" t="s">
        <v>43</v>
      </c>
      <c r="I4671" s="22">
        <v>0</v>
      </c>
      <c r="J4671" s="22" t="s">
        <v>51</v>
      </c>
      <c r="K4671" s="22" t="s">
        <v>23</v>
      </c>
      <c r="L4671" s="22">
        <v>4</v>
      </c>
      <c r="M4671" s="26">
        <v>101018</v>
      </c>
      <c r="N4671" s="26">
        <v>0</v>
      </c>
      <c r="O4671" s="15">
        <f t="shared" si="406"/>
        <v>101018</v>
      </c>
      <c r="P4671" s="15">
        <f t="shared" si="405"/>
        <v>11.000017422665145</v>
      </c>
      <c r="Q4671" s="25">
        <v>5000</v>
      </c>
      <c r="R4671" s="22">
        <v>100</v>
      </c>
      <c r="S4671" s="22" t="s">
        <v>5653</v>
      </c>
      <c r="T4671" s="22">
        <f t="shared" si="402"/>
        <v>5</v>
      </c>
      <c r="U4671" s="22">
        <f t="shared" si="403"/>
        <v>2022</v>
      </c>
      <c r="V4671" s="22" t="str">
        <f t="shared" si="404"/>
        <v>METROPOLITANA</v>
      </c>
    </row>
    <row r="4672" spans="1:22" x14ac:dyDescent="0.2">
      <c r="A4672" s="23" t="s">
        <v>5651</v>
      </c>
      <c r="B4672" s="22" t="s">
        <v>33</v>
      </c>
      <c r="C4672" s="22" t="s">
        <v>1642</v>
      </c>
      <c r="D4672" s="22" t="s">
        <v>5478</v>
      </c>
      <c r="E4672" s="24">
        <v>122975819</v>
      </c>
      <c r="F4672" s="22" t="s">
        <v>815</v>
      </c>
      <c r="G4672" s="25">
        <f>6493.32+1527</f>
        <v>8020.32</v>
      </c>
      <c r="H4672" s="22" t="s">
        <v>24</v>
      </c>
      <c r="I4672" s="22">
        <v>1</v>
      </c>
      <c r="J4672" s="22" t="s">
        <v>815</v>
      </c>
      <c r="K4672" s="22" t="s">
        <v>75</v>
      </c>
      <c r="L4672" s="22">
        <v>0</v>
      </c>
      <c r="M4672" s="26">
        <v>460000</v>
      </c>
      <c r="N4672" s="26">
        <v>0</v>
      </c>
      <c r="O4672" s="15">
        <f t="shared" si="406"/>
        <v>460000</v>
      </c>
      <c r="P4672" s="15">
        <f t="shared" si="405"/>
        <v>57.354320027131088</v>
      </c>
      <c r="Q4672" s="25">
        <v>20000</v>
      </c>
      <c r="R4672" s="22">
        <v>68</v>
      </c>
      <c r="S4672" s="22" t="s">
        <v>5660</v>
      </c>
      <c r="T4672" s="22">
        <f t="shared" si="402"/>
        <v>5</v>
      </c>
      <c r="U4672" s="22">
        <f t="shared" si="403"/>
        <v>2022</v>
      </c>
      <c r="V4672" s="22" t="str">
        <f t="shared" si="404"/>
        <v>REGIONES</v>
      </c>
    </row>
    <row r="4673" spans="1:22" x14ac:dyDescent="0.2">
      <c r="A4673" s="23" t="s">
        <v>5651</v>
      </c>
      <c r="B4673" s="22" t="s">
        <v>33</v>
      </c>
      <c r="C4673" s="22" t="s">
        <v>128</v>
      </c>
      <c r="D4673" s="22" t="s">
        <v>20</v>
      </c>
      <c r="E4673" s="24">
        <v>107643206</v>
      </c>
      <c r="F4673" s="22" t="s">
        <v>34</v>
      </c>
      <c r="G4673" s="25">
        <v>8100</v>
      </c>
      <c r="H4673" s="22" t="s">
        <v>22</v>
      </c>
      <c r="I4673" s="22">
        <v>0</v>
      </c>
      <c r="J4673" s="22" t="s">
        <v>34</v>
      </c>
      <c r="K4673" s="22" t="s">
        <v>23</v>
      </c>
      <c r="L4673" s="22">
        <v>1</v>
      </c>
      <c r="M4673" s="26">
        <v>89100</v>
      </c>
      <c r="N4673" s="26">
        <v>0</v>
      </c>
      <c r="O4673" s="15">
        <f t="shared" si="406"/>
        <v>89100</v>
      </c>
      <c r="P4673" s="15">
        <f t="shared" si="405"/>
        <v>11</v>
      </c>
      <c r="Q4673" s="25">
        <v>5000</v>
      </c>
      <c r="R4673" s="22">
        <v>100</v>
      </c>
      <c r="S4673" s="22" t="s">
        <v>5654</v>
      </c>
      <c r="T4673" s="22">
        <f t="shared" si="402"/>
        <v>5</v>
      </c>
      <c r="U4673" s="22">
        <f t="shared" si="403"/>
        <v>2022</v>
      </c>
      <c r="V4673" s="22" t="str">
        <f t="shared" si="404"/>
        <v>METROPOLITANA</v>
      </c>
    </row>
    <row r="4674" spans="1:22" x14ac:dyDescent="0.2">
      <c r="A4674" s="23" t="s">
        <v>5651</v>
      </c>
      <c r="B4674" s="22" t="s">
        <v>33</v>
      </c>
      <c r="C4674" s="22" t="s">
        <v>29</v>
      </c>
      <c r="D4674" s="22" t="s">
        <v>38</v>
      </c>
      <c r="E4674" s="24">
        <v>125108660</v>
      </c>
      <c r="F4674" s="22" t="s">
        <v>134</v>
      </c>
      <c r="G4674" s="25">
        <v>2748</v>
      </c>
      <c r="H4674" s="22" t="s">
        <v>43</v>
      </c>
      <c r="I4674" s="22">
        <v>0</v>
      </c>
      <c r="J4674" s="22" t="s">
        <v>134</v>
      </c>
      <c r="K4674" s="22" t="s">
        <v>23</v>
      </c>
      <c r="L4674" s="22">
        <v>2</v>
      </c>
      <c r="M4674" s="26">
        <v>55000</v>
      </c>
      <c r="N4674" s="26">
        <v>0</v>
      </c>
      <c r="O4674" s="15">
        <f t="shared" ref="O4674:O4704" si="407">SUM(M4674:N4674)</f>
        <v>55000</v>
      </c>
      <c r="P4674" s="15">
        <f t="shared" si="405"/>
        <v>20.014556040756915</v>
      </c>
      <c r="Q4674" s="25">
        <v>5000</v>
      </c>
      <c r="R4674" s="22">
        <v>55</v>
      </c>
      <c r="S4674" s="22" t="s">
        <v>5655</v>
      </c>
      <c r="T4674" s="22">
        <f t="shared" si="402"/>
        <v>5</v>
      </c>
      <c r="U4674" s="22">
        <f t="shared" si="403"/>
        <v>2022</v>
      </c>
      <c r="V4674" s="22" t="str">
        <f t="shared" si="404"/>
        <v>METROPOLITANA</v>
      </c>
    </row>
    <row r="4675" spans="1:22" x14ac:dyDescent="0.2">
      <c r="A4675" s="23" t="s">
        <v>5651</v>
      </c>
      <c r="B4675" s="22" t="s">
        <v>33</v>
      </c>
      <c r="C4675" s="22" t="s">
        <v>29</v>
      </c>
      <c r="D4675" s="22" t="s">
        <v>37</v>
      </c>
      <c r="E4675" s="24">
        <v>154837728</v>
      </c>
      <c r="F4675" s="22" t="s">
        <v>134</v>
      </c>
      <c r="G4675" s="25">
        <v>3664.4999999999991</v>
      </c>
      <c r="H4675" s="22" t="s">
        <v>22</v>
      </c>
      <c r="I4675" s="22">
        <v>0</v>
      </c>
      <c r="J4675" s="22" t="s">
        <v>134</v>
      </c>
      <c r="K4675" s="22" t="s">
        <v>23</v>
      </c>
      <c r="L4675" s="22">
        <v>2</v>
      </c>
      <c r="M4675" s="26">
        <v>55000</v>
      </c>
      <c r="N4675" s="26">
        <v>0</v>
      </c>
      <c r="O4675" s="15">
        <f t="shared" si="407"/>
        <v>55000</v>
      </c>
      <c r="P4675" s="15">
        <f t="shared" si="405"/>
        <v>15.008868877063723</v>
      </c>
      <c r="Q4675" s="25">
        <v>5000</v>
      </c>
      <c r="R4675" s="22">
        <v>73</v>
      </c>
      <c r="S4675" s="22" t="s">
        <v>5656</v>
      </c>
      <c r="T4675" s="22">
        <f t="shared" si="402"/>
        <v>5</v>
      </c>
      <c r="U4675" s="22">
        <f t="shared" si="403"/>
        <v>2022</v>
      </c>
      <c r="V4675" s="22" t="str">
        <f t="shared" si="404"/>
        <v>METROPOLITANA</v>
      </c>
    </row>
    <row r="4676" spans="1:22" x14ac:dyDescent="0.2">
      <c r="A4676" s="23" t="s">
        <v>5651</v>
      </c>
      <c r="B4676" s="22" t="s">
        <v>33</v>
      </c>
      <c r="C4676" s="22" t="s">
        <v>29</v>
      </c>
      <c r="D4676" s="22" t="s">
        <v>41</v>
      </c>
      <c r="E4676" s="24">
        <v>125108660</v>
      </c>
      <c r="F4676" s="22" t="s">
        <v>39</v>
      </c>
      <c r="G4676" s="25">
        <v>8275.4</v>
      </c>
      <c r="H4676" s="22" t="s">
        <v>43</v>
      </c>
      <c r="I4676" s="22">
        <v>0</v>
      </c>
      <c r="J4676" s="22" t="s">
        <v>39</v>
      </c>
      <c r="K4676" s="22" t="s">
        <v>23</v>
      </c>
      <c r="L4676" s="22">
        <v>1</v>
      </c>
      <c r="M4676" s="26">
        <v>91029</v>
      </c>
      <c r="N4676" s="26">
        <v>0</v>
      </c>
      <c r="O4676" s="15">
        <f t="shared" si="407"/>
        <v>91029</v>
      </c>
      <c r="P4676" s="15">
        <f t="shared" si="405"/>
        <v>10.999951663967906</v>
      </c>
      <c r="Q4676" s="25">
        <v>5000</v>
      </c>
      <c r="R4676" s="22">
        <v>100</v>
      </c>
      <c r="S4676" s="22" t="s">
        <v>5657</v>
      </c>
      <c r="T4676" s="22">
        <f t="shared" si="402"/>
        <v>5</v>
      </c>
      <c r="U4676" s="22">
        <f t="shared" si="403"/>
        <v>2022</v>
      </c>
      <c r="V4676" s="22" t="str">
        <f t="shared" si="404"/>
        <v>METROPOLITANA</v>
      </c>
    </row>
    <row r="4677" spans="1:22" x14ac:dyDescent="0.2">
      <c r="A4677" s="23" t="s">
        <v>5651</v>
      </c>
      <c r="B4677" s="22" t="s">
        <v>33</v>
      </c>
      <c r="C4677" s="22" t="s">
        <v>29</v>
      </c>
      <c r="D4677" s="22" t="s">
        <v>164</v>
      </c>
      <c r="E4677" s="24">
        <v>81417709</v>
      </c>
      <c r="F4677" s="22" t="s">
        <v>39</v>
      </c>
      <c r="G4677" s="25">
        <v>8244.0000000000036</v>
      </c>
      <c r="H4677" s="22" t="s">
        <v>22</v>
      </c>
      <c r="I4677" s="22">
        <v>1</v>
      </c>
      <c r="J4677" s="22" t="s">
        <v>39</v>
      </c>
      <c r="K4677" s="22" t="s">
        <v>23</v>
      </c>
      <c r="L4677" s="22">
        <v>1</v>
      </c>
      <c r="M4677" s="26">
        <v>90684</v>
      </c>
      <c r="N4677" s="26">
        <v>0</v>
      </c>
      <c r="O4677" s="15">
        <f t="shared" si="407"/>
        <v>90684</v>
      </c>
      <c r="P4677" s="15">
        <f t="shared" si="405"/>
        <v>10.999999999999995</v>
      </c>
      <c r="Q4677" s="25">
        <v>5000</v>
      </c>
      <c r="R4677" s="22">
        <v>100</v>
      </c>
      <c r="S4677" s="22" t="s">
        <v>5658</v>
      </c>
      <c r="T4677" s="22">
        <f t="shared" si="402"/>
        <v>5</v>
      </c>
      <c r="U4677" s="22">
        <f t="shared" si="403"/>
        <v>2022</v>
      </c>
      <c r="V4677" s="22" t="str">
        <f t="shared" si="404"/>
        <v>METROPOLITANA</v>
      </c>
    </row>
    <row r="4678" spans="1:22" x14ac:dyDescent="0.2">
      <c r="A4678" s="23" t="s">
        <v>5651</v>
      </c>
      <c r="B4678" s="22" t="s">
        <v>33</v>
      </c>
      <c r="C4678" s="22" t="s">
        <v>29</v>
      </c>
      <c r="D4678" s="22" t="s">
        <v>20</v>
      </c>
      <c r="E4678" s="24">
        <v>78907355</v>
      </c>
      <c r="F4678" s="22" t="s">
        <v>39</v>
      </c>
      <c r="G4678" s="25">
        <v>2748</v>
      </c>
      <c r="H4678" s="22" t="s">
        <v>22</v>
      </c>
      <c r="I4678" s="22">
        <v>0</v>
      </c>
      <c r="J4678" s="22" t="s">
        <v>39</v>
      </c>
      <c r="K4678" s="22" t="s">
        <v>23</v>
      </c>
      <c r="L4678" s="22">
        <v>1</v>
      </c>
      <c r="M4678" s="26">
        <v>55000</v>
      </c>
      <c r="N4678" s="26">
        <v>0</v>
      </c>
      <c r="O4678" s="15">
        <f t="shared" si="407"/>
        <v>55000</v>
      </c>
      <c r="P4678" s="15">
        <f t="shared" si="405"/>
        <v>20.014556040756915</v>
      </c>
      <c r="Q4678" s="25">
        <v>5000</v>
      </c>
      <c r="R4678" s="22">
        <v>55</v>
      </c>
      <c r="S4678" s="22" t="s">
        <v>5659</v>
      </c>
      <c r="T4678" s="22">
        <f t="shared" si="402"/>
        <v>5</v>
      </c>
      <c r="U4678" s="22">
        <f t="shared" si="403"/>
        <v>2022</v>
      </c>
      <c r="V4678" s="22" t="str">
        <f t="shared" si="404"/>
        <v>METROPOLITANA</v>
      </c>
    </row>
    <row r="4679" spans="1:22" x14ac:dyDescent="0.2">
      <c r="A4679" s="11" t="s">
        <v>5661</v>
      </c>
      <c r="B4679" s="12" t="s">
        <v>33</v>
      </c>
      <c r="C4679" s="12" t="s">
        <v>128</v>
      </c>
      <c r="D4679" s="12" t="s">
        <v>2955</v>
      </c>
      <c r="E4679" s="13" t="s">
        <v>2956</v>
      </c>
      <c r="F4679" s="12" t="s">
        <v>34</v>
      </c>
      <c r="G4679" s="14">
        <v>7613.9399999999978</v>
      </c>
      <c r="H4679" s="12" t="s">
        <v>24</v>
      </c>
      <c r="I4679" s="12">
        <v>1</v>
      </c>
      <c r="J4679" s="12" t="s">
        <v>34</v>
      </c>
      <c r="K4679" s="12" t="s">
        <v>23</v>
      </c>
      <c r="L4679" s="12">
        <v>1</v>
      </c>
      <c r="M4679" s="15">
        <v>83753</v>
      </c>
      <c r="N4679" s="15">
        <v>0</v>
      </c>
      <c r="O4679" s="15">
        <f t="shared" si="407"/>
        <v>83753</v>
      </c>
      <c r="P4679" s="15">
        <f t="shared" si="405"/>
        <v>10.999955345064452</v>
      </c>
      <c r="Q4679" s="14">
        <v>5000</v>
      </c>
      <c r="R4679" s="12">
        <v>100</v>
      </c>
      <c r="S4679" s="12" t="s">
        <v>5662</v>
      </c>
      <c r="T4679" s="22">
        <f t="shared" ref="T4679:T4742" si="408">MONTH(A4679)</f>
        <v>5</v>
      </c>
      <c r="U4679" s="22">
        <f t="shared" ref="U4679:U4742" si="409">YEAR(A4679)</f>
        <v>2022</v>
      </c>
      <c r="V4679" s="22" t="str">
        <f t="shared" ref="V4679:V4742" si="410">IF(K4679="METROPOLITANA DE SANTIAGO","METROPOLITANA","REGIONES")</f>
        <v>METROPOLITANA</v>
      </c>
    </row>
    <row r="4680" spans="1:22" x14ac:dyDescent="0.2">
      <c r="A4680" s="11" t="s">
        <v>5661</v>
      </c>
      <c r="B4680" s="12" t="s">
        <v>33</v>
      </c>
      <c r="C4680" s="12" t="s">
        <v>128</v>
      </c>
      <c r="D4680" s="12" t="s">
        <v>20</v>
      </c>
      <c r="E4680" s="13" t="s">
        <v>21</v>
      </c>
      <c r="F4680" s="12" t="s">
        <v>34</v>
      </c>
      <c r="G4680" s="14">
        <v>7354.8</v>
      </c>
      <c r="H4680" s="12" t="s">
        <v>22</v>
      </c>
      <c r="I4680" s="12">
        <v>0</v>
      </c>
      <c r="J4680" s="12" t="s">
        <v>34</v>
      </c>
      <c r="K4680" s="12" t="s">
        <v>23</v>
      </c>
      <c r="L4680" s="12">
        <v>1</v>
      </c>
      <c r="M4680" s="15">
        <v>80903</v>
      </c>
      <c r="N4680" s="15">
        <v>0</v>
      </c>
      <c r="O4680" s="15">
        <f t="shared" si="407"/>
        <v>80903</v>
      </c>
      <c r="P4680" s="15">
        <f t="shared" si="405"/>
        <v>11.000027193125577</v>
      </c>
      <c r="Q4680" s="14">
        <v>5000</v>
      </c>
      <c r="R4680" s="12">
        <v>100</v>
      </c>
      <c r="S4680" s="12" t="s">
        <v>5663</v>
      </c>
      <c r="T4680" s="22">
        <f t="shared" si="408"/>
        <v>5</v>
      </c>
      <c r="U4680" s="22">
        <f t="shared" si="409"/>
        <v>2022</v>
      </c>
      <c r="V4680" s="22" t="str">
        <f t="shared" si="410"/>
        <v>METROPOLITANA</v>
      </c>
    </row>
    <row r="4681" spans="1:22" x14ac:dyDescent="0.2">
      <c r="A4681" s="11" t="s">
        <v>5661</v>
      </c>
      <c r="B4681" s="12" t="s">
        <v>33</v>
      </c>
      <c r="C4681" s="12" t="s">
        <v>29</v>
      </c>
      <c r="D4681" s="12" t="s">
        <v>38</v>
      </c>
      <c r="E4681" s="13" t="s">
        <v>42</v>
      </c>
      <c r="F4681" s="12" t="s">
        <v>39</v>
      </c>
      <c r="G4681" s="14">
        <v>6168.9000000000024</v>
      </c>
      <c r="H4681" s="12" t="s">
        <v>43</v>
      </c>
      <c r="I4681" s="12">
        <v>0</v>
      </c>
      <c r="J4681" s="12" t="s">
        <v>39</v>
      </c>
      <c r="K4681" s="12" t="s">
        <v>23</v>
      </c>
      <c r="L4681" s="12">
        <v>1</v>
      </c>
      <c r="M4681" s="15">
        <v>67858</v>
      </c>
      <c r="N4681" s="15">
        <v>0</v>
      </c>
      <c r="O4681" s="15">
        <f t="shared" si="407"/>
        <v>67858</v>
      </c>
      <c r="P4681" s="15">
        <f t="shared" si="405"/>
        <v>11.000016210345438</v>
      </c>
      <c r="Q4681" s="14">
        <v>5000</v>
      </c>
      <c r="R4681" s="12">
        <v>100</v>
      </c>
      <c r="S4681" s="12" t="s">
        <v>5664</v>
      </c>
      <c r="T4681" s="22">
        <f t="shared" si="408"/>
        <v>5</v>
      </c>
      <c r="U4681" s="22">
        <f t="shared" si="409"/>
        <v>2022</v>
      </c>
      <c r="V4681" s="22" t="str">
        <f t="shared" si="410"/>
        <v>METROPOLITANA</v>
      </c>
    </row>
    <row r="4682" spans="1:22" x14ac:dyDescent="0.2">
      <c r="A4682" s="11" t="s">
        <v>5661</v>
      </c>
      <c r="B4682" s="12" t="s">
        <v>33</v>
      </c>
      <c r="C4682" s="12" t="s">
        <v>29</v>
      </c>
      <c r="D4682" s="12" t="s">
        <v>41</v>
      </c>
      <c r="E4682" s="13" t="s">
        <v>25</v>
      </c>
      <c r="F4682" s="12" t="s">
        <v>39</v>
      </c>
      <c r="G4682" s="14">
        <v>2198.4</v>
      </c>
      <c r="H4682" s="12" t="s">
        <v>43</v>
      </c>
      <c r="I4682" s="12">
        <v>0</v>
      </c>
      <c r="J4682" s="12" t="s">
        <v>39</v>
      </c>
      <c r="K4682" s="12" t="s">
        <v>23</v>
      </c>
      <c r="L4682" s="12">
        <v>1</v>
      </c>
      <c r="M4682" s="15">
        <v>55000</v>
      </c>
      <c r="N4682" s="15">
        <v>0</v>
      </c>
      <c r="O4682" s="15">
        <f t="shared" si="407"/>
        <v>55000</v>
      </c>
      <c r="P4682" s="15">
        <f t="shared" si="405"/>
        <v>25.01819505094614</v>
      </c>
      <c r="Q4682" s="14">
        <v>5000</v>
      </c>
      <c r="R4682" s="12">
        <v>44</v>
      </c>
      <c r="S4682" s="12" t="s">
        <v>5665</v>
      </c>
      <c r="T4682" s="22">
        <f t="shared" si="408"/>
        <v>5</v>
      </c>
      <c r="U4682" s="22">
        <f t="shared" si="409"/>
        <v>2022</v>
      </c>
      <c r="V4682" s="22" t="str">
        <f t="shared" si="410"/>
        <v>METROPOLITANA</v>
      </c>
    </row>
    <row r="4683" spans="1:22" x14ac:dyDescent="0.2">
      <c r="A4683" s="11" t="s">
        <v>5661</v>
      </c>
      <c r="B4683" s="12" t="s">
        <v>33</v>
      </c>
      <c r="C4683" s="12" t="s">
        <v>29</v>
      </c>
      <c r="D4683" s="12" t="s">
        <v>164</v>
      </c>
      <c r="E4683" s="13" t="s">
        <v>28</v>
      </c>
      <c r="F4683" s="12" t="s">
        <v>39</v>
      </c>
      <c r="G4683" s="14">
        <v>8244.0000000000036</v>
      </c>
      <c r="H4683" s="12" t="s">
        <v>22</v>
      </c>
      <c r="I4683" s="12">
        <v>1</v>
      </c>
      <c r="J4683" s="12" t="s">
        <v>39</v>
      </c>
      <c r="K4683" s="12" t="s">
        <v>23</v>
      </c>
      <c r="L4683" s="12">
        <v>1</v>
      </c>
      <c r="M4683" s="15">
        <v>90684</v>
      </c>
      <c r="N4683" s="15">
        <v>0</v>
      </c>
      <c r="O4683" s="15">
        <f t="shared" si="407"/>
        <v>90684</v>
      </c>
      <c r="P4683" s="15">
        <f t="shared" si="405"/>
        <v>10.999999999999995</v>
      </c>
      <c r="Q4683" s="14">
        <v>5000</v>
      </c>
      <c r="R4683" s="12">
        <v>100</v>
      </c>
      <c r="S4683" s="12" t="s">
        <v>5666</v>
      </c>
      <c r="T4683" s="22">
        <f t="shared" si="408"/>
        <v>5</v>
      </c>
      <c r="U4683" s="22">
        <f t="shared" si="409"/>
        <v>2022</v>
      </c>
      <c r="V4683" s="22" t="str">
        <f t="shared" si="410"/>
        <v>METROPOLITANA</v>
      </c>
    </row>
    <row r="4684" spans="1:22" x14ac:dyDescent="0.2">
      <c r="A4684" s="11" t="s">
        <v>5661</v>
      </c>
      <c r="B4684" s="12" t="s">
        <v>33</v>
      </c>
      <c r="C4684" s="12" t="s">
        <v>44</v>
      </c>
      <c r="D4684" s="12" t="s">
        <v>5667</v>
      </c>
      <c r="E4684" s="13" t="s">
        <v>192</v>
      </c>
      <c r="F4684" s="12" t="s">
        <v>2639</v>
      </c>
      <c r="G4684" s="14">
        <f>6135.6+2216</f>
        <v>8351.6</v>
      </c>
      <c r="H4684" s="12" t="s">
        <v>24</v>
      </c>
      <c r="I4684" s="12">
        <v>1</v>
      </c>
      <c r="J4684" s="12" t="s">
        <v>2639</v>
      </c>
      <c r="K4684" s="12" t="s">
        <v>75</v>
      </c>
      <c r="L4684" s="12">
        <v>0</v>
      </c>
      <c r="M4684" s="15">
        <v>460000</v>
      </c>
      <c r="N4684" s="15">
        <v>0</v>
      </c>
      <c r="O4684" s="15">
        <f t="shared" si="407"/>
        <v>460000</v>
      </c>
      <c r="P4684" s="15">
        <f t="shared" si="405"/>
        <v>55.07926624838354</v>
      </c>
      <c r="Q4684" s="14">
        <v>20000</v>
      </c>
      <c r="R4684" s="12">
        <v>75</v>
      </c>
      <c r="S4684" s="12" t="s">
        <v>5670</v>
      </c>
      <c r="T4684" s="22">
        <f t="shared" si="408"/>
        <v>5</v>
      </c>
      <c r="U4684" s="22">
        <f t="shared" si="409"/>
        <v>2022</v>
      </c>
      <c r="V4684" s="22" t="str">
        <f t="shared" si="410"/>
        <v>REGIONES</v>
      </c>
    </row>
    <row r="4685" spans="1:22" x14ac:dyDescent="0.2">
      <c r="A4685" s="11" t="s">
        <v>5661</v>
      </c>
      <c r="B4685" s="12" t="s">
        <v>33</v>
      </c>
      <c r="C4685" s="12" t="s">
        <v>44</v>
      </c>
      <c r="D4685" s="12" t="s">
        <v>37</v>
      </c>
      <c r="E4685" s="13" t="s">
        <v>40</v>
      </c>
      <c r="F4685" s="12" t="s">
        <v>59</v>
      </c>
      <c r="G4685" s="14">
        <v>13437.58</v>
      </c>
      <c r="H4685" s="12" t="s">
        <v>22</v>
      </c>
      <c r="I4685" s="12">
        <v>0</v>
      </c>
      <c r="J4685" s="12" t="s">
        <v>59</v>
      </c>
      <c r="K4685" s="12" t="s">
        <v>78</v>
      </c>
      <c r="L4685" s="12">
        <v>0</v>
      </c>
      <c r="M4685" s="15">
        <v>203000</v>
      </c>
      <c r="N4685" s="15">
        <v>0</v>
      </c>
      <c r="O4685" s="15">
        <f t="shared" si="407"/>
        <v>203000</v>
      </c>
      <c r="P4685" s="15">
        <f t="shared" si="405"/>
        <v>15.106886805511111</v>
      </c>
      <c r="Q4685" s="14">
        <v>20000</v>
      </c>
      <c r="R4685" s="12">
        <v>67</v>
      </c>
      <c r="S4685" s="12" t="s">
        <v>5668</v>
      </c>
      <c r="T4685" s="22">
        <f t="shared" si="408"/>
        <v>5</v>
      </c>
      <c r="U4685" s="22">
        <f t="shared" si="409"/>
        <v>2022</v>
      </c>
      <c r="V4685" s="22" t="str">
        <f t="shared" si="410"/>
        <v>REGIONES</v>
      </c>
    </row>
    <row r="4686" spans="1:22" x14ac:dyDescent="0.2">
      <c r="A4686" s="11" t="s">
        <v>5661</v>
      </c>
      <c r="B4686" s="12" t="s">
        <v>33</v>
      </c>
      <c r="C4686" s="12" t="s">
        <v>44</v>
      </c>
      <c r="D4686" s="12" t="s">
        <v>45</v>
      </c>
      <c r="E4686" s="13" t="s">
        <v>52</v>
      </c>
      <c r="F4686" s="12" t="s">
        <v>46</v>
      </c>
      <c r="G4686" s="14">
        <v>3179.73</v>
      </c>
      <c r="H4686" s="12" t="s">
        <v>22</v>
      </c>
      <c r="I4686" s="12">
        <v>0</v>
      </c>
      <c r="J4686" s="12" t="s">
        <v>46</v>
      </c>
      <c r="K4686" s="12" t="s">
        <v>23</v>
      </c>
      <c r="L4686" s="12">
        <v>2</v>
      </c>
      <c r="M4686" s="15">
        <v>55000</v>
      </c>
      <c r="N4686" s="15">
        <v>0</v>
      </c>
      <c r="O4686" s="15">
        <f t="shared" si="407"/>
        <v>55000</v>
      </c>
      <c r="P4686" s="15">
        <f t="shared" si="405"/>
        <v>17.297066103096803</v>
      </c>
      <c r="Q4686" s="14">
        <v>5000</v>
      </c>
      <c r="R4686" s="12">
        <v>64</v>
      </c>
      <c r="S4686" s="12" t="s">
        <v>5669</v>
      </c>
      <c r="T4686" s="22">
        <f t="shared" si="408"/>
        <v>5</v>
      </c>
      <c r="U4686" s="22">
        <f t="shared" si="409"/>
        <v>2022</v>
      </c>
      <c r="V4686" s="22" t="str">
        <f t="shared" si="410"/>
        <v>METROPOLITANA</v>
      </c>
    </row>
    <row r="4687" spans="1:22" x14ac:dyDescent="0.2">
      <c r="A4687" s="11" t="s">
        <v>5661</v>
      </c>
      <c r="B4687" s="12" t="s">
        <v>33</v>
      </c>
      <c r="C4687" s="12" t="s">
        <v>44</v>
      </c>
      <c r="D4687" s="12" t="s">
        <v>47</v>
      </c>
      <c r="E4687" s="13" t="s">
        <v>49</v>
      </c>
      <c r="F4687" s="12" t="s">
        <v>59</v>
      </c>
      <c r="G4687" s="14">
        <f>12131.4+9009</f>
        <v>21140.400000000001</v>
      </c>
      <c r="H4687" s="12" t="s">
        <v>22</v>
      </c>
      <c r="I4687" s="12">
        <v>0</v>
      </c>
      <c r="J4687" s="12" t="s">
        <v>59</v>
      </c>
      <c r="K4687" s="12" t="s">
        <v>78</v>
      </c>
      <c r="L4687" s="12">
        <v>0</v>
      </c>
      <c r="M4687" s="15">
        <v>203000</v>
      </c>
      <c r="N4687" s="15">
        <v>0</v>
      </c>
      <c r="O4687" s="15">
        <f t="shared" si="407"/>
        <v>203000</v>
      </c>
      <c r="P4687" s="15">
        <f t="shared" si="405"/>
        <v>9.6024673137688961</v>
      </c>
      <c r="Q4687" s="14">
        <v>20000</v>
      </c>
      <c r="R4687" s="12">
        <v>100</v>
      </c>
      <c r="S4687" s="12" t="s">
        <v>5671</v>
      </c>
      <c r="T4687" s="22">
        <f t="shared" si="408"/>
        <v>5</v>
      </c>
      <c r="U4687" s="22">
        <f t="shared" si="409"/>
        <v>2022</v>
      </c>
      <c r="V4687" s="22" t="str">
        <f t="shared" si="410"/>
        <v>REGIONES</v>
      </c>
    </row>
    <row r="4688" spans="1:22" x14ac:dyDescent="0.2">
      <c r="A4688" s="23" t="s">
        <v>5672</v>
      </c>
      <c r="B4688" s="22" t="s">
        <v>18</v>
      </c>
      <c r="C4688" s="22" t="s">
        <v>270</v>
      </c>
      <c r="D4688" s="22" t="s">
        <v>20</v>
      </c>
      <c r="E4688" s="24">
        <v>78907355</v>
      </c>
      <c r="F4688" s="22" t="s">
        <v>120</v>
      </c>
      <c r="G4688" s="25">
        <v>8772.0000000000018</v>
      </c>
      <c r="H4688" s="22" t="s">
        <v>22</v>
      </c>
      <c r="I4688" s="22">
        <v>0</v>
      </c>
      <c r="J4688" s="22" t="s">
        <v>120</v>
      </c>
      <c r="K4688" s="22" t="s">
        <v>23</v>
      </c>
      <c r="L4688" s="22">
        <v>5</v>
      </c>
      <c r="M4688" s="26">
        <v>70000</v>
      </c>
      <c r="N4688" s="26">
        <v>0</v>
      </c>
      <c r="O4688" s="15">
        <f t="shared" si="407"/>
        <v>70000</v>
      </c>
      <c r="P4688" s="15">
        <f t="shared" si="405"/>
        <v>7.9799361605107144</v>
      </c>
      <c r="Q4688" s="25">
        <v>10000</v>
      </c>
      <c r="R4688" s="22">
        <v>88</v>
      </c>
      <c r="S4688" s="22" t="s">
        <v>5673</v>
      </c>
      <c r="T4688" s="22">
        <f t="shared" si="408"/>
        <v>5</v>
      </c>
      <c r="U4688" s="22">
        <f t="shared" si="409"/>
        <v>2022</v>
      </c>
      <c r="V4688" s="22" t="str">
        <f t="shared" si="410"/>
        <v>METROPOLITANA</v>
      </c>
    </row>
    <row r="4689" spans="1:22" x14ac:dyDescent="0.2">
      <c r="A4689" s="23" t="s">
        <v>5672</v>
      </c>
      <c r="B4689" s="22" t="s">
        <v>18</v>
      </c>
      <c r="C4689" s="22" t="s">
        <v>160</v>
      </c>
      <c r="D4689" s="22" t="s">
        <v>63</v>
      </c>
      <c r="E4689" s="24">
        <v>138841065</v>
      </c>
      <c r="F4689" s="22" t="s">
        <v>800</v>
      </c>
      <c r="G4689" s="25">
        <v>7087.51</v>
      </c>
      <c r="H4689" s="22" t="s">
        <v>65</v>
      </c>
      <c r="I4689" s="22">
        <v>0</v>
      </c>
      <c r="J4689" s="22" t="s">
        <v>800</v>
      </c>
      <c r="K4689" s="22" t="s">
        <v>23</v>
      </c>
      <c r="L4689" s="22">
        <v>5</v>
      </c>
      <c r="M4689" s="26">
        <v>90000</v>
      </c>
      <c r="N4689" s="26">
        <v>0</v>
      </c>
      <c r="O4689" s="15">
        <f t="shared" si="407"/>
        <v>90000</v>
      </c>
      <c r="P4689" s="15">
        <f t="shared" si="405"/>
        <v>12.698394781806304</v>
      </c>
      <c r="Q4689" s="25">
        <v>10000</v>
      </c>
      <c r="R4689" s="22">
        <v>71</v>
      </c>
      <c r="S4689" s="22" t="s">
        <v>5674</v>
      </c>
      <c r="T4689" s="22">
        <f t="shared" si="408"/>
        <v>5</v>
      </c>
      <c r="U4689" s="22">
        <f t="shared" si="409"/>
        <v>2022</v>
      </c>
      <c r="V4689" s="22" t="str">
        <f t="shared" si="410"/>
        <v>METROPOLITANA</v>
      </c>
    </row>
    <row r="4690" spans="1:22" x14ac:dyDescent="0.2">
      <c r="A4690" s="23" t="s">
        <v>5672</v>
      </c>
      <c r="B4690" s="22" t="s">
        <v>33</v>
      </c>
      <c r="C4690" s="22" t="s">
        <v>909</v>
      </c>
      <c r="D4690" s="22" t="s">
        <v>2955</v>
      </c>
      <c r="E4690" s="24">
        <v>65941082</v>
      </c>
      <c r="F4690" s="22" t="s">
        <v>2919</v>
      </c>
      <c r="G4690" s="25">
        <v>10321.36</v>
      </c>
      <c r="H4690" s="22" t="s">
        <v>24</v>
      </c>
      <c r="I4690" s="22">
        <v>1</v>
      </c>
      <c r="J4690" s="22" t="s">
        <v>2919</v>
      </c>
      <c r="K4690" s="22" t="s">
        <v>23</v>
      </c>
      <c r="L4690" s="22">
        <v>3</v>
      </c>
      <c r="M4690" s="26">
        <v>113535</v>
      </c>
      <c r="N4690" s="26">
        <v>0</v>
      </c>
      <c r="O4690" s="15">
        <f t="shared" si="407"/>
        <v>113535</v>
      </c>
      <c r="P4690" s="15">
        <f t="shared" si="405"/>
        <v>11.000003875458273</v>
      </c>
      <c r="Q4690" s="25">
        <v>5000</v>
      </c>
      <c r="R4690" s="22">
        <v>100</v>
      </c>
      <c r="S4690" s="22" t="s">
        <v>5675</v>
      </c>
      <c r="T4690" s="22">
        <f t="shared" si="408"/>
        <v>5</v>
      </c>
      <c r="U4690" s="22">
        <f t="shared" si="409"/>
        <v>2022</v>
      </c>
      <c r="V4690" s="22" t="str">
        <f t="shared" si="410"/>
        <v>METROPOLITANA</v>
      </c>
    </row>
    <row r="4691" spans="1:22" x14ac:dyDescent="0.2">
      <c r="A4691" s="23" t="s">
        <v>5672</v>
      </c>
      <c r="B4691" s="22" t="s">
        <v>33</v>
      </c>
      <c r="C4691" s="22" t="s">
        <v>29</v>
      </c>
      <c r="D4691" s="22" t="s">
        <v>164</v>
      </c>
      <c r="E4691" s="24">
        <v>81417709</v>
      </c>
      <c r="F4691" s="22" t="s">
        <v>39</v>
      </c>
      <c r="G4691" s="25">
        <v>20354.000000000011</v>
      </c>
      <c r="H4691" s="22" t="s">
        <v>22</v>
      </c>
      <c r="I4691" s="22">
        <v>1</v>
      </c>
      <c r="J4691" s="22" t="s">
        <v>39</v>
      </c>
      <c r="K4691" s="22" t="s">
        <v>23</v>
      </c>
      <c r="L4691" s="22">
        <v>1</v>
      </c>
      <c r="M4691" s="26">
        <v>223894</v>
      </c>
      <c r="N4691" s="26">
        <v>0</v>
      </c>
      <c r="O4691" s="15">
        <f t="shared" si="407"/>
        <v>223894</v>
      </c>
      <c r="P4691" s="15">
        <f t="shared" si="405"/>
        <v>10.999999999999995</v>
      </c>
      <c r="Q4691" s="25">
        <v>5000</v>
      </c>
      <c r="R4691" s="22">
        <v>100</v>
      </c>
      <c r="S4691" s="22" t="s">
        <v>5676</v>
      </c>
      <c r="T4691" s="22">
        <f t="shared" si="408"/>
        <v>5</v>
      </c>
      <c r="U4691" s="22">
        <f t="shared" si="409"/>
        <v>2022</v>
      </c>
      <c r="V4691" s="22" t="str">
        <f t="shared" si="410"/>
        <v>METROPOLITANA</v>
      </c>
    </row>
    <row r="4692" spans="1:22" x14ac:dyDescent="0.2">
      <c r="A4692" s="23" t="s">
        <v>5672</v>
      </c>
      <c r="B4692" s="22" t="s">
        <v>33</v>
      </c>
      <c r="C4692" s="22" t="s">
        <v>5611</v>
      </c>
      <c r="D4692" s="22" t="s">
        <v>30</v>
      </c>
      <c r="E4692" s="24">
        <v>72564391</v>
      </c>
      <c r="F4692" s="22" t="s">
        <v>89</v>
      </c>
      <c r="G4692" s="25">
        <v>11211.2</v>
      </c>
      <c r="H4692" s="22" t="s">
        <v>32</v>
      </c>
      <c r="I4692" s="22">
        <v>0</v>
      </c>
      <c r="J4692" s="22" t="s">
        <v>89</v>
      </c>
      <c r="K4692" s="22" t="s">
        <v>23</v>
      </c>
      <c r="L4692" s="22">
        <v>5</v>
      </c>
      <c r="M4692" s="26">
        <v>90000</v>
      </c>
      <c r="N4692" s="26">
        <v>0</v>
      </c>
      <c r="O4692" s="15">
        <f t="shared" si="407"/>
        <v>90000</v>
      </c>
      <c r="P4692" s="15">
        <f t="shared" si="405"/>
        <v>8.0276865991151709</v>
      </c>
      <c r="Q4692" s="25">
        <v>10000</v>
      </c>
      <c r="R4692" s="22">
        <v>100</v>
      </c>
      <c r="S4692" s="22" t="s">
        <v>5677</v>
      </c>
      <c r="T4692" s="22">
        <f t="shared" si="408"/>
        <v>5</v>
      </c>
      <c r="U4692" s="22">
        <f t="shared" si="409"/>
        <v>2022</v>
      </c>
      <c r="V4692" s="22" t="str">
        <f t="shared" si="410"/>
        <v>METROPOLITANA</v>
      </c>
    </row>
    <row r="4693" spans="1:22" x14ac:dyDescent="0.2">
      <c r="A4693" s="23" t="s">
        <v>5672</v>
      </c>
      <c r="B4693" s="22" t="s">
        <v>33</v>
      </c>
      <c r="C4693" s="22" t="s">
        <v>44</v>
      </c>
      <c r="D4693" s="22" t="s">
        <v>5678</v>
      </c>
      <c r="E4693" s="24">
        <v>134896663</v>
      </c>
      <c r="F4693" s="22" t="s">
        <v>2308</v>
      </c>
      <c r="G4693" s="25">
        <v>11062.24</v>
      </c>
      <c r="H4693" s="22" t="s">
        <v>24</v>
      </c>
      <c r="I4693" s="22">
        <v>1</v>
      </c>
      <c r="J4693" s="22" t="s">
        <v>2308</v>
      </c>
      <c r="K4693" s="22" t="s">
        <v>2309</v>
      </c>
      <c r="L4693" s="22">
        <v>0</v>
      </c>
      <c r="M4693" s="26">
        <v>900000</v>
      </c>
      <c r="N4693" s="26">
        <v>0</v>
      </c>
      <c r="O4693" s="15">
        <f t="shared" si="407"/>
        <v>900000</v>
      </c>
      <c r="P4693" s="15">
        <f t="shared" si="405"/>
        <v>81.357844342556305</v>
      </c>
      <c r="Q4693" s="25">
        <v>20000</v>
      </c>
      <c r="R4693" s="22">
        <v>55</v>
      </c>
      <c r="S4693" s="22" t="s">
        <v>5679</v>
      </c>
      <c r="T4693" s="22">
        <f t="shared" si="408"/>
        <v>5</v>
      </c>
      <c r="U4693" s="22">
        <f t="shared" si="409"/>
        <v>2022</v>
      </c>
      <c r="V4693" s="22" t="str">
        <f t="shared" si="410"/>
        <v>REGIONES</v>
      </c>
    </row>
    <row r="4694" spans="1:22" x14ac:dyDescent="0.2">
      <c r="A4694" s="23" t="s">
        <v>5672</v>
      </c>
      <c r="B4694" s="22" t="s">
        <v>33</v>
      </c>
      <c r="C4694" s="22" t="s">
        <v>44</v>
      </c>
      <c r="D4694" s="22" t="s">
        <v>786</v>
      </c>
      <c r="E4694" s="24">
        <v>95707734</v>
      </c>
      <c r="F4694" s="22" t="s">
        <v>876</v>
      </c>
      <c r="G4694" s="25">
        <v>10617.990000000011</v>
      </c>
      <c r="H4694" s="22" t="s">
        <v>788</v>
      </c>
      <c r="I4694" s="22">
        <v>1</v>
      </c>
      <c r="J4694" s="22" t="s">
        <v>876</v>
      </c>
      <c r="K4694" s="22" t="s">
        <v>86</v>
      </c>
      <c r="L4694" s="22">
        <v>0</v>
      </c>
      <c r="M4694" s="26">
        <v>350000</v>
      </c>
      <c r="N4694" s="26">
        <v>0</v>
      </c>
      <c r="O4694" s="15">
        <f t="shared" si="407"/>
        <v>350000</v>
      </c>
      <c r="P4694" s="15">
        <f t="shared" si="405"/>
        <v>32.962924244607471</v>
      </c>
      <c r="Q4694" s="25">
        <v>20000</v>
      </c>
      <c r="R4694" s="22">
        <v>53</v>
      </c>
      <c r="S4694" s="22" t="s">
        <v>5680</v>
      </c>
      <c r="T4694" s="22">
        <f t="shared" si="408"/>
        <v>5</v>
      </c>
      <c r="U4694" s="22">
        <f t="shared" si="409"/>
        <v>2022</v>
      </c>
      <c r="V4694" s="22" t="str">
        <f t="shared" si="410"/>
        <v>REGIONES</v>
      </c>
    </row>
    <row r="4695" spans="1:22" x14ac:dyDescent="0.2">
      <c r="A4695" s="23" t="s">
        <v>5672</v>
      </c>
      <c r="B4695" s="22" t="s">
        <v>33</v>
      </c>
      <c r="C4695" s="22" t="s">
        <v>44</v>
      </c>
      <c r="D4695" s="22" t="s">
        <v>45</v>
      </c>
      <c r="E4695" s="24">
        <v>99626232</v>
      </c>
      <c r="F4695" s="22" t="s">
        <v>53</v>
      </c>
      <c r="G4695" s="25">
        <v>2780.3</v>
      </c>
      <c r="H4695" s="22" t="s">
        <v>22</v>
      </c>
      <c r="I4695" s="22">
        <v>0</v>
      </c>
      <c r="J4695" s="22" t="s">
        <v>53</v>
      </c>
      <c r="K4695" s="22" t="s">
        <v>23</v>
      </c>
      <c r="L4695" s="22">
        <v>3</v>
      </c>
      <c r="M4695" s="26">
        <v>55000</v>
      </c>
      <c r="N4695" s="26">
        <v>0</v>
      </c>
      <c r="O4695" s="15">
        <f t="shared" si="407"/>
        <v>55000</v>
      </c>
      <c r="P4695" s="15">
        <f t="shared" si="405"/>
        <v>19.782037909578101</v>
      </c>
      <c r="Q4695" s="25">
        <v>5000</v>
      </c>
      <c r="R4695" s="22">
        <v>56</v>
      </c>
      <c r="S4695" s="22" t="s">
        <v>5681</v>
      </c>
      <c r="T4695" s="22">
        <f t="shared" si="408"/>
        <v>5</v>
      </c>
      <c r="U4695" s="22">
        <f t="shared" si="409"/>
        <v>2022</v>
      </c>
      <c r="V4695" s="22" t="str">
        <f t="shared" si="410"/>
        <v>METROPOLITANA</v>
      </c>
    </row>
    <row r="4696" spans="1:22" x14ac:dyDescent="0.2">
      <c r="A4696" s="23" t="s">
        <v>5672</v>
      </c>
      <c r="B4696" s="22" t="s">
        <v>33</v>
      </c>
      <c r="C4696" s="22" t="s">
        <v>44</v>
      </c>
      <c r="D4696" s="22" t="s">
        <v>47</v>
      </c>
      <c r="E4696" s="24">
        <v>107643206</v>
      </c>
      <c r="F4696" s="22" t="s">
        <v>94</v>
      </c>
      <c r="G4696" s="25">
        <v>5296.76</v>
      </c>
      <c r="H4696" s="22" t="s">
        <v>22</v>
      </c>
      <c r="I4696" s="22">
        <v>0</v>
      </c>
      <c r="J4696" s="22" t="s">
        <v>59</v>
      </c>
      <c r="K4696" s="22" t="s">
        <v>78</v>
      </c>
      <c r="L4696" s="22">
        <v>0</v>
      </c>
      <c r="M4696" s="26">
        <v>203000</v>
      </c>
      <c r="N4696" s="26">
        <v>0</v>
      </c>
      <c r="O4696" s="15">
        <f t="shared" si="407"/>
        <v>203000</v>
      </c>
      <c r="P4696" s="15">
        <f t="shared" si="405"/>
        <v>38.325315853465135</v>
      </c>
      <c r="Q4696" s="25">
        <v>20000</v>
      </c>
      <c r="R4696" s="22">
        <v>26</v>
      </c>
      <c r="S4696" s="22" t="s">
        <v>5682</v>
      </c>
      <c r="T4696" s="22">
        <f t="shared" si="408"/>
        <v>5</v>
      </c>
      <c r="U4696" s="22">
        <f t="shared" si="409"/>
        <v>2022</v>
      </c>
      <c r="V4696" s="22" t="str">
        <f t="shared" si="410"/>
        <v>REGIONES</v>
      </c>
    </row>
    <row r="4697" spans="1:22" x14ac:dyDescent="0.2">
      <c r="A4697" s="11" t="s">
        <v>5683</v>
      </c>
      <c r="B4697" s="12" t="s">
        <v>18</v>
      </c>
      <c r="C4697" s="12" t="s">
        <v>160</v>
      </c>
      <c r="D4697" s="12" t="s">
        <v>38</v>
      </c>
      <c r="E4697" s="13" t="s">
        <v>42</v>
      </c>
      <c r="F4697" s="12" t="s">
        <v>800</v>
      </c>
      <c r="G4697" s="14">
        <v>9132.14</v>
      </c>
      <c r="H4697" s="12" t="s">
        <v>43</v>
      </c>
      <c r="I4697" s="12">
        <v>0</v>
      </c>
      <c r="J4697" s="12" t="s">
        <v>800</v>
      </c>
      <c r="K4697" s="12" t="s">
        <v>23</v>
      </c>
      <c r="L4697" s="12">
        <v>5</v>
      </c>
      <c r="M4697" s="15">
        <v>90000</v>
      </c>
      <c r="N4697" s="15">
        <v>0</v>
      </c>
      <c r="O4697" s="15">
        <f t="shared" si="407"/>
        <v>90000</v>
      </c>
      <c r="P4697" s="15">
        <f t="shared" si="405"/>
        <v>9.8553022621203805</v>
      </c>
      <c r="Q4697" s="14">
        <v>10000</v>
      </c>
      <c r="R4697" s="12">
        <v>91</v>
      </c>
      <c r="S4697" s="12" t="s">
        <v>5684</v>
      </c>
      <c r="T4697" s="22">
        <f t="shared" si="408"/>
        <v>5</v>
      </c>
      <c r="U4697" s="22">
        <f t="shared" si="409"/>
        <v>2022</v>
      </c>
      <c r="V4697" s="22" t="str">
        <f t="shared" si="410"/>
        <v>METROPOLITANA</v>
      </c>
    </row>
    <row r="4698" spans="1:22" x14ac:dyDescent="0.2">
      <c r="A4698" s="11" t="s">
        <v>5683</v>
      </c>
      <c r="B4698" s="12" t="s">
        <v>33</v>
      </c>
      <c r="C4698" s="12" t="s">
        <v>270</v>
      </c>
      <c r="D4698" s="12" t="s">
        <v>37</v>
      </c>
      <c r="E4698" s="13" t="s">
        <v>40</v>
      </c>
      <c r="F4698" s="12" t="s">
        <v>120</v>
      </c>
      <c r="G4698" s="14">
        <v>10040</v>
      </c>
      <c r="H4698" s="12" t="s">
        <v>22</v>
      </c>
      <c r="I4698" s="12">
        <v>0</v>
      </c>
      <c r="J4698" s="12" t="s">
        <v>120</v>
      </c>
      <c r="K4698" s="12" t="s">
        <v>23</v>
      </c>
      <c r="L4698" s="12">
        <v>5</v>
      </c>
      <c r="M4698" s="15">
        <v>70000</v>
      </c>
      <c r="N4698" s="15">
        <v>0</v>
      </c>
      <c r="O4698" s="15">
        <f t="shared" si="407"/>
        <v>70000</v>
      </c>
      <c r="P4698" s="15">
        <f t="shared" si="405"/>
        <v>6.9721115537848606</v>
      </c>
      <c r="Q4698" s="14">
        <v>10000</v>
      </c>
      <c r="R4698" s="12">
        <v>100</v>
      </c>
      <c r="S4698" s="12" t="s">
        <v>5685</v>
      </c>
      <c r="T4698" s="22">
        <f t="shared" si="408"/>
        <v>5</v>
      </c>
      <c r="U4698" s="22">
        <f t="shared" si="409"/>
        <v>2022</v>
      </c>
      <c r="V4698" s="22" t="str">
        <f t="shared" si="410"/>
        <v>METROPOLITANA</v>
      </c>
    </row>
    <row r="4699" spans="1:22" x14ac:dyDescent="0.2">
      <c r="A4699" s="11" t="s">
        <v>5683</v>
      </c>
      <c r="B4699" s="12" t="s">
        <v>33</v>
      </c>
      <c r="C4699" s="12" t="s">
        <v>60</v>
      </c>
      <c r="D4699" s="12" t="s">
        <v>47</v>
      </c>
      <c r="E4699" s="13" t="s">
        <v>49</v>
      </c>
      <c r="F4699" s="12" t="s">
        <v>51</v>
      </c>
      <c r="G4699" s="14">
        <v>6480</v>
      </c>
      <c r="H4699" s="12" t="s">
        <v>22</v>
      </c>
      <c r="I4699" s="12">
        <v>0</v>
      </c>
      <c r="J4699" s="12" t="s">
        <v>51</v>
      </c>
      <c r="K4699" s="12" t="s">
        <v>23</v>
      </c>
      <c r="L4699" s="12">
        <v>4</v>
      </c>
      <c r="M4699" s="15">
        <v>71280</v>
      </c>
      <c r="N4699" s="15">
        <v>0</v>
      </c>
      <c r="O4699" s="15">
        <f t="shared" si="407"/>
        <v>71280</v>
      </c>
      <c r="P4699" s="15">
        <f t="shared" si="405"/>
        <v>11</v>
      </c>
      <c r="Q4699" s="14">
        <v>5000</v>
      </c>
      <c r="R4699" s="12">
        <v>100</v>
      </c>
      <c r="S4699" s="12" t="s">
        <v>5686</v>
      </c>
      <c r="T4699" s="22">
        <f t="shared" si="408"/>
        <v>5</v>
      </c>
      <c r="U4699" s="22">
        <f t="shared" si="409"/>
        <v>2022</v>
      </c>
      <c r="V4699" s="22" t="str">
        <f t="shared" si="410"/>
        <v>METROPOLITANA</v>
      </c>
    </row>
    <row r="4700" spans="1:22" x14ac:dyDescent="0.2">
      <c r="A4700" s="11" t="s">
        <v>5683</v>
      </c>
      <c r="B4700" s="12" t="s">
        <v>33</v>
      </c>
      <c r="C4700" s="12" t="s">
        <v>128</v>
      </c>
      <c r="D4700" s="12" t="s">
        <v>5478</v>
      </c>
      <c r="E4700" s="13" t="s">
        <v>83</v>
      </c>
      <c r="F4700" s="12" t="s">
        <v>66</v>
      </c>
      <c r="G4700" s="14">
        <v>9626.7999999999993</v>
      </c>
      <c r="H4700" s="12" t="s">
        <v>24</v>
      </c>
      <c r="I4700" s="12">
        <v>1</v>
      </c>
      <c r="J4700" s="12" t="s">
        <v>66</v>
      </c>
      <c r="K4700" s="12" t="s">
        <v>75</v>
      </c>
      <c r="L4700" s="12">
        <v>0</v>
      </c>
      <c r="M4700" s="15">
        <v>430000</v>
      </c>
      <c r="N4700" s="15">
        <v>0</v>
      </c>
      <c r="O4700" s="15">
        <f t="shared" si="407"/>
        <v>430000</v>
      </c>
      <c r="P4700" s="15">
        <f t="shared" si="405"/>
        <v>44.666971371587657</v>
      </c>
      <c r="Q4700" s="14">
        <v>20000</v>
      </c>
      <c r="R4700" s="12">
        <v>48</v>
      </c>
      <c r="S4700" s="12" t="s">
        <v>5687</v>
      </c>
      <c r="T4700" s="22">
        <f t="shared" si="408"/>
        <v>5</v>
      </c>
      <c r="U4700" s="22">
        <f t="shared" si="409"/>
        <v>2022</v>
      </c>
      <c r="V4700" s="22" t="str">
        <f t="shared" si="410"/>
        <v>REGIONES</v>
      </c>
    </row>
    <row r="4701" spans="1:22" x14ac:dyDescent="0.2">
      <c r="A4701" s="11" t="s">
        <v>5683</v>
      </c>
      <c r="B4701" s="12" t="s">
        <v>33</v>
      </c>
      <c r="C4701" s="12" t="s">
        <v>128</v>
      </c>
      <c r="D4701" s="12" t="s">
        <v>786</v>
      </c>
      <c r="E4701" s="13" t="s">
        <v>787</v>
      </c>
      <c r="F4701" s="12" t="s">
        <v>129</v>
      </c>
      <c r="G4701" s="14">
        <v>14201.9</v>
      </c>
      <c r="H4701" s="12" t="s">
        <v>788</v>
      </c>
      <c r="I4701" s="12">
        <v>1</v>
      </c>
      <c r="J4701" s="12" t="s">
        <v>129</v>
      </c>
      <c r="K4701" s="12" t="s">
        <v>23</v>
      </c>
      <c r="L4701" s="12">
        <v>1</v>
      </c>
      <c r="M4701" s="15">
        <v>156221</v>
      </c>
      <c r="N4701" s="15">
        <v>0</v>
      </c>
      <c r="O4701" s="15">
        <f t="shared" si="407"/>
        <v>156221</v>
      </c>
      <c r="P4701" s="15">
        <f t="shared" si="405"/>
        <v>11.000007041311374</v>
      </c>
      <c r="Q4701" s="14">
        <v>5000</v>
      </c>
      <c r="R4701" s="12">
        <v>100</v>
      </c>
      <c r="S4701" s="12" t="s">
        <v>5688</v>
      </c>
      <c r="T4701" s="22">
        <f t="shared" si="408"/>
        <v>5</v>
      </c>
      <c r="U4701" s="22">
        <f t="shared" si="409"/>
        <v>2022</v>
      </c>
      <c r="V4701" s="22" t="str">
        <f t="shared" si="410"/>
        <v>METROPOLITANA</v>
      </c>
    </row>
    <row r="4702" spans="1:22" x14ac:dyDescent="0.2">
      <c r="A4702" s="11" t="s">
        <v>5683</v>
      </c>
      <c r="B4702" s="12" t="s">
        <v>33</v>
      </c>
      <c r="C4702" s="12" t="s">
        <v>128</v>
      </c>
      <c r="D4702" s="12" t="s">
        <v>2955</v>
      </c>
      <c r="E4702" s="13" t="s">
        <v>2956</v>
      </c>
      <c r="F4702" s="12" t="s">
        <v>34</v>
      </c>
      <c r="G4702" s="14">
        <f>6944.06+258</f>
        <v>7202.06</v>
      </c>
      <c r="H4702" s="12" t="s">
        <v>24</v>
      </c>
      <c r="I4702" s="12">
        <v>1</v>
      </c>
      <c r="J4702" s="12" t="s">
        <v>34</v>
      </c>
      <c r="K4702" s="12" t="s">
        <v>23</v>
      </c>
      <c r="L4702" s="12">
        <v>1</v>
      </c>
      <c r="M4702" s="15">
        <v>76385</v>
      </c>
      <c r="N4702" s="15">
        <v>0</v>
      </c>
      <c r="O4702" s="15">
        <f t="shared" si="407"/>
        <v>76385</v>
      </c>
      <c r="P4702" s="15">
        <f t="shared" si="405"/>
        <v>10.605993285254495</v>
      </c>
      <c r="Q4702" s="14">
        <v>5000</v>
      </c>
      <c r="R4702" s="12">
        <v>100</v>
      </c>
      <c r="S4702" s="12" t="s">
        <v>5700</v>
      </c>
      <c r="T4702" s="22">
        <f t="shared" si="408"/>
        <v>5</v>
      </c>
      <c r="U4702" s="22">
        <f t="shared" si="409"/>
        <v>2022</v>
      </c>
      <c r="V4702" s="22" t="str">
        <f t="shared" si="410"/>
        <v>METROPOLITANA</v>
      </c>
    </row>
    <row r="4703" spans="1:22" x14ac:dyDescent="0.2">
      <c r="A4703" s="11" t="s">
        <v>5683</v>
      </c>
      <c r="B4703" s="12" t="s">
        <v>33</v>
      </c>
      <c r="C4703" s="12" t="s">
        <v>128</v>
      </c>
      <c r="D4703" s="12" t="s">
        <v>41</v>
      </c>
      <c r="E4703" s="13" t="s">
        <v>25</v>
      </c>
      <c r="F4703" s="12" t="s">
        <v>554</v>
      </c>
      <c r="G4703" s="14">
        <v>4309.2</v>
      </c>
      <c r="H4703" s="12" t="s">
        <v>43</v>
      </c>
      <c r="I4703" s="12">
        <v>0</v>
      </c>
      <c r="J4703" s="12" t="s">
        <v>554</v>
      </c>
      <c r="K4703" s="12" t="s">
        <v>23</v>
      </c>
      <c r="L4703" s="12">
        <v>4</v>
      </c>
      <c r="M4703" s="15">
        <v>55000</v>
      </c>
      <c r="N4703" s="15">
        <v>0</v>
      </c>
      <c r="O4703" s="15">
        <f t="shared" si="407"/>
        <v>55000</v>
      </c>
      <c r="P4703" s="15">
        <f t="shared" si="405"/>
        <v>12.763389956372412</v>
      </c>
      <c r="Q4703" s="14">
        <v>5000</v>
      </c>
      <c r="R4703" s="12">
        <v>86</v>
      </c>
      <c r="S4703" s="12" t="s">
        <v>5689</v>
      </c>
      <c r="T4703" s="22">
        <f t="shared" si="408"/>
        <v>5</v>
      </c>
      <c r="U4703" s="22">
        <f t="shared" si="409"/>
        <v>2022</v>
      </c>
      <c r="V4703" s="22" t="str">
        <f t="shared" si="410"/>
        <v>METROPOLITANA</v>
      </c>
    </row>
    <row r="4704" spans="1:22" x14ac:dyDescent="0.2">
      <c r="A4704" s="11" t="s">
        <v>5683</v>
      </c>
      <c r="B4704" s="12" t="s">
        <v>33</v>
      </c>
      <c r="C4704" s="12" t="s">
        <v>5690</v>
      </c>
      <c r="D4704" s="12" t="s">
        <v>63</v>
      </c>
      <c r="E4704" s="13" t="s">
        <v>64</v>
      </c>
      <c r="F4704" s="12" t="s">
        <v>34</v>
      </c>
      <c r="G4704" s="14">
        <v>4860.7999999999984</v>
      </c>
      <c r="H4704" s="12" t="s">
        <v>65</v>
      </c>
      <c r="I4704" s="12">
        <v>0</v>
      </c>
      <c r="J4704" s="12" t="s">
        <v>34</v>
      </c>
      <c r="K4704" s="12" t="s">
        <v>23</v>
      </c>
      <c r="L4704" s="12">
        <v>1</v>
      </c>
      <c r="M4704" s="15">
        <v>55000</v>
      </c>
      <c r="N4704" s="15">
        <v>0</v>
      </c>
      <c r="O4704" s="15">
        <f t="shared" si="407"/>
        <v>55000</v>
      </c>
      <c r="P4704" s="15">
        <f t="shared" si="405"/>
        <v>11.315009874917713</v>
      </c>
      <c r="Q4704" s="14">
        <v>5000</v>
      </c>
      <c r="R4704" s="12">
        <v>97</v>
      </c>
      <c r="S4704" s="12" t="s">
        <v>5691</v>
      </c>
      <c r="T4704" s="22">
        <f t="shared" si="408"/>
        <v>5</v>
      </c>
      <c r="U4704" s="22">
        <f t="shared" si="409"/>
        <v>2022</v>
      </c>
      <c r="V4704" s="22" t="str">
        <f t="shared" si="410"/>
        <v>METROPOLITANA</v>
      </c>
    </row>
    <row r="4705" spans="1:22" x14ac:dyDescent="0.2">
      <c r="A4705" s="11" t="s">
        <v>5683</v>
      </c>
      <c r="B4705" s="12" t="s">
        <v>33</v>
      </c>
      <c r="C4705" s="12" t="s">
        <v>29</v>
      </c>
      <c r="D4705" s="12" t="s">
        <v>4569</v>
      </c>
      <c r="E4705" s="13" t="s">
        <v>868</v>
      </c>
      <c r="F4705" s="12" t="s">
        <v>132</v>
      </c>
      <c r="G4705" s="14">
        <v>17854.200000000012</v>
      </c>
      <c r="H4705" s="12" t="s">
        <v>24</v>
      </c>
      <c r="I4705" s="12">
        <v>1</v>
      </c>
      <c r="J4705" s="12" t="s">
        <v>132</v>
      </c>
      <c r="K4705" s="12" t="s">
        <v>124</v>
      </c>
      <c r="L4705" s="12">
        <v>0</v>
      </c>
      <c r="M4705" s="15">
        <v>400000</v>
      </c>
      <c r="N4705" s="15">
        <v>0</v>
      </c>
      <c r="O4705" s="15">
        <v>1</v>
      </c>
      <c r="P4705" s="15">
        <f t="shared" ref="P4705:P4768" si="411">O4705/G4705</f>
        <v>5.6009230321156893E-5</v>
      </c>
      <c r="Q4705" s="14">
        <v>20000</v>
      </c>
      <c r="R4705" s="12">
        <v>89</v>
      </c>
      <c r="S4705" s="12" t="s">
        <v>5692</v>
      </c>
      <c r="T4705" s="22">
        <f t="shared" si="408"/>
        <v>5</v>
      </c>
      <c r="U4705" s="22">
        <f t="shared" si="409"/>
        <v>2022</v>
      </c>
      <c r="V4705" s="22" t="str">
        <f t="shared" si="410"/>
        <v>REGIONES</v>
      </c>
    </row>
    <row r="4706" spans="1:22" x14ac:dyDescent="0.2">
      <c r="A4706" s="11" t="s">
        <v>5683</v>
      </c>
      <c r="B4706" s="12" t="s">
        <v>33</v>
      </c>
      <c r="C4706" s="12" t="s">
        <v>29</v>
      </c>
      <c r="D4706" s="12" t="s">
        <v>164</v>
      </c>
      <c r="E4706" s="13" t="s">
        <v>28</v>
      </c>
      <c r="F4706" s="12" t="s">
        <v>39</v>
      </c>
      <c r="G4706" s="14">
        <v>9504.0000000000091</v>
      </c>
      <c r="H4706" s="12" t="s">
        <v>22</v>
      </c>
      <c r="I4706" s="12">
        <v>1</v>
      </c>
      <c r="J4706" s="12" t="s">
        <v>39</v>
      </c>
      <c r="K4706" s="12" t="s">
        <v>23</v>
      </c>
      <c r="L4706" s="12">
        <v>1</v>
      </c>
      <c r="M4706" s="15">
        <v>104544</v>
      </c>
      <c r="N4706" s="15">
        <v>0</v>
      </c>
      <c r="O4706" s="15">
        <f>SUM(M4706:N4706)</f>
        <v>104544</v>
      </c>
      <c r="P4706" s="15">
        <f t="shared" si="411"/>
        <v>10.999999999999989</v>
      </c>
      <c r="Q4706" s="14">
        <v>5000</v>
      </c>
      <c r="R4706" s="12">
        <v>100</v>
      </c>
      <c r="S4706" s="12" t="s">
        <v>5693</v>
      </c>
      <c r="T4706" s="22">
        <f t="shared" si="408"/>
        <v>5</v>
      </c>
      <c r="U4706" s="22">
        <f t="shared" si="409"/>
        <v>2022</v>
      </c>
      <c r="V4706" s="22" t="str">
        <f t="shared" si="410"/>
        <v>METROPOLITANA</v>
      </c>
    </row>
    <row r="4707" spans="1:22" x14ac:dyDescent="0.2">
      <c r="A4707" s="11" t="s">
        <v>5683</v>
      </c>
      <c r="B4707" s="12" t="s">
        <v>33</v>
      </c>
      <c r="C4707" s="12" t="s">
        <v>44</v>
      </c>
      <c r="D4707" s="12" t="s">
        <v>191</v>
      </c>
      <c r="E4707" s="13" t="s">
        <v>192</v>
      </c>
      <c r="F4707" s="12" t="s">
        <v>92</v>
      </c>
      <c r="G4707" s="14">
        <v>6588.4399999999987</v>
      </c>
      <c r="H4707" s="12" t="s">
        <v>85</v>
      </c>
      <c r="I4707" s="12">
        <v>1</v>
      </c>
      <c r="J4707" s="12" t="s">
        <v>92</v>
      </c>
      <c r="K4707" s="12" t="s">
        <v>93</v>
      </c>
      <c r="L4707" s="12">
        <v>0</v>
      </c>
      <c r="M4707" s="15">
        <v>700000</v>
      </c>
      <c r="N4707" s="15">
        <v>0</v>
      </c>
      <c r="O4707" s="15">
        <f>SUM(M4707:N4707)</f>
        <v>700000</v>
      </c>
      <c r="P4707" s="15">
        <f t="shared" si="411"/>
        <v>106.24669876328845</v>
      </c>
      <c r="Q4707" s="14">
        <v>20000</v>
      </c>
      <c r="R4707" s="12">
        <v>33</v>
      </c>
      <c r="S4707" s="12" t="s">
        <v>5694</v>
      </c>
      <c r="T4707" s="22">
        <f t="shared" si="408"/>
        <v>5</v>
      </c>
      <c r="U4707" s="22">
        <f t="shared" si="409"/>
        <v>2022</v>
      </c>
      <c r="V4707" s="22" t="str">
        <f t="shared" si="410"/>
        <v>REGIONES</v>
      </c>
    </row>
    <row r="4708" spans="1:22" x14ac:dyDescent="0.2">
      <c r="A4708" s="11" t="s">
        <v>5683</v>
      </c>
      <c r="B4708" s="12" t="s">
        <v>33</v>
      </c>
      <c r="C4708" s="12" t="s">
        <v>44</v>
      </c>
      <c r="D4708" s="12" t="s">
        <v>5695</v>
      </c>
      <c r="E4708" s="13" t="s">
        <v>5696</v>
      </c>
      <c r="F4708" s="12" t="s">
        <v>1105</v>
      </c>
      <c r="G4708" s="14">
        <v>7542.0799999999972</v>
      </c>
      <c r="H4708" s="12" t="s">
        <v>24</v>
      </c>
      <c r="I4708" s="12">
        <v>1</v>
      </c>
      <c r="J4708" s="12" t="s">
        <v>1105</v>
      </c>
      <c r="K4708" s="12" t="s">
        <v>873</v>
      </c>
      <c r="L4708" s="12">
        <v>0</v>
      </c>
      <c r="M4708" s="15">
        <v>950000</v>
      </c>
      <c r="N4708" s="15">
        <v>0</v>
      </c>
      <c r="O4708" s="15">
        <f>SUM(M4708:N4708)</f>
        <v>950000</v>
      </c>
      <c r="P4708" s="15">
        <f t="shared" si="411"/>
        <v>125.95994738851887</v>
      </c>
      <c r="Q4708" s="14">
        <v>20000</v>
      </c>
      <c r="R4708" s="12">
        <v>38</v>
      </c>
      <c r="S4708" s="12" t="s">
        <v>5697</v>
      </c>
      <c r="T4708" s="22">
        <f t="shared" si="408"/>
        <v>5</v>
      </c>
      <c r="U4708" s="22">
        <f t="shared" si="409"/>
        <v>2022</v>
      </c>
      <c r="V4708" s="22" t="str">
        <f t="shared" si="410"/>
        <v>REGIONES</v>
      </c>
    </row>
    <row r="4709" spans="1:22" x14ac:dyDescent="0.2">
      <c r="A4709" s="11" t="s">
        <v>5683</v>
      </c>
      <c r="B4709" s="12" t="s">
        <v>33</v>
      </c>
      <c r="C4709" s="12" t="s">
        <v>44</v>
      </c>
      <c r="D4709" s="12" t="s">
        <v>30</v>
      </c>
      <c r="E4709" s="13" t="s">
        <v>31</v>
      </c>
      <c r="F4709" s="12" t="s">
        <v>5698</v>
      </c>
      <c r="G4709" s="14">
        <v>4477.2000000000016</v>
      </c>
      <c r="H4709" s="12" t="s">
        <v>32</v>
      </c>
      <c r="I4709" s="12">
        <v>0</v>
      </c>
      <c r="J4709" s="12" t="s">
        <v>5698</v>
      </c>
      <c r="K4709" s="12" t="s">
        <v>171</v>
      </c>
      <c r="L4709" s="12">
        <v>0</v>
      </c>
      <c r="M4709" s="15">
        <v>250000</v>
      </c>
      <c r="N4709" s="15">
        <v>0</v>
      </c>
      <c r="O4709" s="15">
        <v>1</v>
      </c>
      <c r="P4709" s="15">
        <f t="shared" si="411"/>
        <v>2.2335388189046717E-4</v>
      </c>
      <c r="Q4709" s="14">
        <v>20000</v>
      </c>
      <c r="R4709" s="12">
        <v>22</v>
      </c>
      <c r="S4709" s="12" t="s">
        <v>5699</v>
      </c>
      <c r="T4709" s="22">
        <f t="shared" si="408"/>
        <v>5</v>
      </c>
      <c r="U4709" s="22">
        <f t="shared" si="409"/>
        <v>2022</v>
      </c>
      <c r="V4709" s="22" t="str">
        <f t="shared" si="410"/>
        <v>REGIONES</v>
      </c>
    </row>
    <row r="4710" spans="1:22" x14ac:dyDescent="0.2">
      <c r="A4710" s="23" t="s">
        <v>5701</v>
      </c>
      <c r="B4710" s="22" t="s">
        <v>18</v>
      </c>
      <c r="C4710" s="22" t="s">
        <v>160</v>
      </c>
      <c r="D4710" s="22" t="s">
        <v>30</v>
      </c>
      <c r="E4710" s="24" t="s">
        <v>31</v>
      </c>
      <c r="F4710" s="22" t="s">
        <v>2055</v>
      </c>
      <c r="G4710" s="25">
        <v>11976.34</v>
      </c>
      <c r="H4710" s="22" t="s">
        <v>32</v>
      </c>
      <c r="I4710" s="22">
        <v>0</v>
      </c>
      <c r="J4710" s="22" t="s">
        <v>2055</v>
      </c>
      <c r="K4710" s="22" t="s">
        <v>86</v>
      </c>
      <c r="L4710" s="22">
        <v>0</v>
      </c>
      <c r="M4710" s="26">
        <v>350000</v>
      </c>
      <c r="N4710" s="26">
        <v>0</v>
      </c>
      <c r="O4710" s="15">
        <f t="shared" ref="O4710:O4773" si="412">SUM(M4710:N4710)</f>
        <v>350000</v>
      </c>
      <c r="P4710" s="15">
        <f t="shared" si="411"/>
        <v>29.224287219634714</v>
      </c>
      <c r="Q4710" s="25">
        <v>20000</v>
      </c>
      <c r="R4710" s="22">
        <v>60</v>
      </c>
      <c r="S4710" s="22" t="s">
        <v>5702</v>
      </c>
      <c r="T4710" s="22">
        <f t="shared" si="408"/>
        <v>5</v>
      </c>
      <c r="U4710" s="22">
        <f t="shared" si="409"/>
        <v>2022</v>
      </c>
      <c r="V4710" s="22" t="str">
        <f t="shared" si="410"/>
        <v>REGIONES</v>
      </c>
    </row>
    <row r="4711" spans="1:22" x14ac:dyDescent="0.2">
      <c r="A4711" s="23" t="s">
        <v>5701</v>
      </c>
      <c r="B4711" s="22" t="s">
        <v>33</v>
      </c>
      <c r="C4711" s="22" t="s">
        <v>909</v>
      </c>
      <c r="D4711" s="22" t="s">
        <v>2955</v>
      </c>
      <c r="E4711" s="24" t="s">
        <v>2956</v>
      </c>
      <c r="F4711" s="22" t="s">
        <v>3898</v>
      </c>
      <c r="G4711" s="25">
        <v>19259</v>
      </c>
      <c r="H4711" s="22" t="s">
        <v>24</v>
      </c>
      <c r="I4711" s="22">
        <v>1</v>
      </c>
      <c r="J4711" s="22" t="s">
        <v>910</v>
      </c>
      <c r="K4711" s="22" t="s">
        <v>171</v>
      </c>
      <c r="L4711" s="22">
        <v>0</v>
      </c>
      <c r="M4711" s="26">
        <v>260000</v>
      </c>
      <c r="N4711" s="26">
        <v>0</v>
      </c>
      <c r="O4711" s="15">
        <f t="shared" si="412"/>
        <v>260000</v>
      </c>
      <c r="P4711" s="15">
        <f t="shared" si="411"/>
        <v>13.500181733215639</v>
      </c>
      <c r="Q4711" s="25">
        <v>20000</v>
      </c>
      <c r="R4711" s="22">
        <v>96</v>
      </c>
      <c r="S4711" s="22" t="s">
        <v>5703</v>
      </c>
      <c r="T4711" s="22">
        <f t="shared" si="408"/>
        <v>5</v>
      </c>
      <c r="U4711" s="22">
        <f t="shared" si="409"/>
        <v>2022</v>
      </c>
      <c r="V4711" s="22" t="str">
        <f t="shared" si="410"/>
        <v>REGIONES</v>
      </c>
    </row>
    <row r="4712" spans="1:22" x14ac:dyDescent="0.2">
      <c r="A4712" s="23" t="s">
        <v>5701</v>
      </c>
      <c r="B4712" s="22" t="s">
        <v>33</v>
      </c>
      <c r="C4712" s="22" t="s">
        <v>29</v>
      </c>
      <c r="D4712" s="22" t="s">
        <v>38</v>
      </c>
      <c r="E4712" s="24" t="s">
        <v>25</v>
      </c>
      <c r="F4712" s="22" t="s">
        <v>134</v>
      </c>
      <c r="G4712" s="25">
        <v>2473.2000000000012</v>
      </c>
      <c r="H4712" s="22" t="s">
        <v>43</v>
      </c>
      <c r="I4712" s="22">
        <v>0</v>
      </c>
      <c r="J4712" s="22" t="s">
        <v>134</v>
      </c>
      <c r="K4712" s="22" t="s">
        <v>23</v>
      </c>
      <c r="L4712" s="22">
        <v>2</v>
      </c>
      <c r="M4712" s="26">
        <v>55000</v>
      </c>
      <c r="N4712" s="26">
        <v>0</v>
      </c>
      <c r="O4712" s="15">
        <f t="shared" si="412"/>
        <v>55000</v>
      </c>
      <c r="P4712" s="15">
        <f t="shared" si="411"/>
        <v>22.238395600841006</v>
      </c>
      <c r="Q4712" s="25">
        <v>5000</v>
      </c>
      <c r="R4712" s="22">
        <v>49</v>
      </c>
      <c r="S4712" s="22" t="s">
        <v>5704</v>
      </c>
      <c r="T4712" s="22">
        <f t="shared" si="408"/>
        <v>5</v>
      </c>
      <c r="U4712" s="22">
        <f t="shared" si="409"/>
        <v>2022</v>
      </c>
      <c r="V4712" s="22" t="str">
        <f t="shared" si="410"/>
        <v>METROPOLITANA</v>
      </c>
    </row>
    <row r="4713" spans="1:22" x14ac:dyDescent="0.2">
      <c r="A4713" s="23" t="s">
        <v>5701</v>
      </c>
      <c r="B4713" s="22" t="s">
        <v>33</v>
      </c>
      <c r="C4713" s="22" t="s">
        <v>29</v>
      </c>
      <c r="D4713" s="22" t="s">
        <v>786</v>
      </c>
      <c r="E4713" s="24" t="s">
        <v>787</v>
      </c>
      <c r="F4713" s="22" t="s">
        <v>173</v>
      </c>
      <c r="G4713" s="25">
        <v>11653.4</v>
      </c>
      <c r="H4713" s="22" t="s">
        <v>788</v>
      </c>
      <c r="I4713" s="22">
        <v>1</v>
      </c>
      <c r="J4713" s="22" t="s">
        <v>173</v>
      </c>
      <c r="K4713" s="22" t="s">
        <v>23</v>
      </c>
      <c r="L4713" s="22">
        <v>5</v>
      </c>
      <c r="M4713" s="26">
        <v>120000</v>
      </c>
      <c r="N4713" s="26">
        <v>0</v>
      </c>
      <c r="O4713" s="15">
        <f t="shared" si="412"/>
        <v>120000</v>
      </c>
      <c r="P4713" s="15">
        <f t="shared" si="411"/>
        <v>10.297423927780734</v>
      </c>
      <c r="Q4713" s="25">
        <v>10000</v>
      </c>
      <c r="R4713" s="22">
        <v>100</v>
      </c>
      <c r="S4713" s="22" t="s">
        <v>5705</v>
      </c>
      <c r="T4713" s="22">
        <f t="shared" si="408"/>
        <v>5</v>
      </c>
      <c r="U4713" s="22">
        <f t="shared" si="409"/>
        <v>2022</v>
      </c>
      <c r="V4713" s="22" t="str">
        <f t="shared" si="410"/>
        <v>METROPOLITANA</v>
      </c>
    </row>
    <row r="4714" spans="1:22" x14ac:dyDescent="0.2">
      <c r="A4714" s="23" t="s">
        <v>5701</v>
      </c>
      <c r="B4714" s="22" t="s">
        <v>33</v>
      </c>
      <c r="C4714" s="22" t="s">
        <v>29</v>
      </c>
      <c r="D4714" s="22" t="s">
        <v>63</v>
      </c>
      <c r="E4714" s="24" t="s">
        <v>64</v>
      </c>
      <c r="F4714" s="22" t="s">
        <v>129</v>
      </c>
      <c r="G4714" s="25">
        <v>5694.6</v>
      </c>
      <c r="H4714" s="22" t="s">
        <v>65</v>
      </c>
      <c r="I4714" s="22">
        <v>0</v>
      </c>
      <c r="J4714" s="22" t="s">
        <v>129</v>
      </c>
      <c r="K4714" s="22" t="s">
        <v>23</v>
      </c>
      <c r="L4714" s="22">
        <v>1</v>
      </c>
      <c r="M4714" s="26">
        <v>62641</v>
      </c>
      <c r="N4714" s="26">
        <v>0</v>
      </c>
      <c r="O4714" s="15">
        <f t="shared" si="412"/>
        <v>62641</v>
      </c>
      <c r="P4714" s="15">
        <f t="shared" si="411"/>
        <v>11.000070241983632</v>
      </c>
      <c r="Q4714" s="25">
        <v>5000</v>
      </c>
      <c r="R4714" s="22">
        <v>100</v>
      </c>
      <c r="S4714" s="22" t="s">
        <v>5706</v>
      </c>
      <c r="T4714" s="22">
        <f t="shared" si="408"/>
        <v>5</v>
      </c>
      <c r="U4714" s="22">
        <f t="shared" si="409"/>
        <v>2022</v>
      </c>
      <c r="V4714" s="22" t="str">
        <f t="shared" si="410"/>
        <v>METROPOLITANA</v>
      </c>
    </row>
    <row r="4715" spans="1:22" x14ac:dyDescent="0.2">
      <c r="A4715" s="23" t="s">
        <v>5701</v>
      </c>
      <c r="B4715" s="22" t="s">
        <v>33</v>
      </c>
      <c r="C4715" s="22" t="s">
        <v>29</v>
      </c>
      <c r="D4715" s="22" t="s">
        <v>164</v>
      </c>
      <c r="E4715" s="24" t="s">
        <v>28</v>
      </c>
      <c r="F4715" s="22" t="s">
        <v>39</v>
      </c>
      <c r="G4715" s="25">
        <v>8587.5000000000018</v>
      </c>
      <c r="H4715" s="22" t="s">
        <v>22</v>
      </c>
      <c r="I4715" s="22">
        <v>1</v>
      </c>
      <c r="J4715" s="22" t="s">
        <v>39</v>
      </c>
      <c r="K4715" s="22" t="s">
        <v>23</v>
      </c>
      <c r="L4715" s="22">
        <v>1</v>
      </c>
      <c r="M4715" s="26">
        <v>94463</v>
      </c>
      <c r="N4715" s="26">
        <v>0</v>
      </c>
      <c r="O4715" s="15">
        <f t="shared" si="412"/>
        <v>94463</v>
      </c>
      <c r="P4715" s="15">
        <f t="shared" si="411"/>
        <v>11.000058224163025</v>
      </c>
      <c r="Q4715" s="25">
        <v>5000</v>
      </c>
      <c r="R4715" s="22">
        <v>100</v>
      </c>
      <c r="S4715" s="22" t="s">
        <v>5707</v>
      </c>
      <c r="T4715" s="22">
        <f t="shared" si="408"/>
        <v>5</v>
      </c>
      <c r="U4715" s="22">
        <f t="shared" si="409"/>
        <v>2022</v>
      </c>
      <c r="V4715" s="22" t="str">
        <f t="shared" si="410"/>
        <v>METROPOLITANA</v>
      </c>
    </row>
    <row r="4716" spans="1:22" x14ac:dyDescent="0.2">
      <c r="A4716" s="23" t="s">
        <v>5701</v>
      </c>
      <c r="B4716" s="22" t="s">
        <v>33</v>
      </c>
      <c r="C4716" s="22" t="s">
        <v>29</v>
      </c>
      <c r="D4716" s="22" t="s">
        <v>20</v>
      </c>
      <c r="E4716" s="24" t="s">
        <v>21</v>
      </c>
      <c r="F4716" s="22" t="s">
        <v>134</v>
      </c>
      <c r="G4716" s="25">
        <v>6901.9999999999991</v>
      </c>
      <c r="H4716" s="22" t="s">
        <v>22</v>
      </c>
      <c r="I4716" s="22">
        <v>0</v>
      </c>
      <c r="J4716" s="22" t="s">
        <v>134</v>
      </c>
      <c r="K4716" s="22" t="s">
        <v>23</v>
      </c>
      <c r="L4716" s="22">
        <v>2</v>
      </c>
      <c r="M4716" s="26">
        <v>75922</v>
      </c>
      <c r="N4716" s="26">
        <v>0</v>
      </c>
      <c r="O4716" s="15">
        <f t="shared" si="412"/>
        <v>75922</v>
      </c>
      <c r="P4716" s="15">
        <f t="shared" si="411"/>
        <v>11.000000000000002</v>
      </c>
      <c r="Q4716" s="25">
        <v>5000</v>
      </c>
      <c r="R4716" s="22">
        <v>100</v>
      </c>
      <c r="S4716" s="22" t="s">
        <v>5708</v>
      </c>
      <c r="T4716" s="22">
        <f t="shared" si="408"/>
        <v>5</v>
      </c>
      <c r="U4716" s="22">
        <f t="shared" si="409"/>
        <v>2022</v>
      </c>
      <c r="V4716" s="22" t="str">
        <f t="shared" si="410"/>
        <v>METROPOLITANA</v>
      </c>
    </row>
    <row r="4717" spans="1:22" x14ac:dyDescent="0.2">
      <c r="A4717" s="23" t="s">
        <v>5701</v>
      </c>
      <c r="B4717" s="22" t="s">
        <v>33</v>
      </c>
      <c r="C4717" s="22" t="s">
        <v>44</v>
      </c>
      <c r="D4717" s="22" t="s">
        <v>1869</v>
      </c>
      <c r="E4717" s="24" t="s">
        <v>1870</v>
      </c>
      <c r="F4717" s="22" t="s">
        <v>3438</v>
      </c>
      <c r="G4717" s="25">
        <f>8714.86+1148</f>
        <v>9862.86</v>
      </c>
      <c r="H4717" s="22" t="s">
        <v>24</v>
      </c>
      <c r="I4717" s="22">
        <v>1</v>
      </c>
      <c r="J4717" s="22" t="s">
        <v>3438</v>
      </c>
      <c r="K4717" s="22" t="s">
        <v>93</v>
      </c>
      <c r="L4717" s="22">
        <v>0</v>
      </c>
      <c r="M4717" s="26">
        <v>800000</v>
      </c>
      <c r="N4717" s="26">
        <v>0</v>
      </c>
      <c r="O4717" s="15">
        <f t="shared" si="412"/>
        <v>800000</v>
      </c>
      <c r="P4717" s="15">
        <f t="shared" si="411"/>
        <v>81.112375112289939</v>
      </c>
      <c r="Q4717" s="25">
        <v>20000</v>
      </c>
      <c r="R4717" s="22">
        <v>70</v>
      </c>
      <c r="S4717" s="22" t="s">
        <v>5712</v>
      </c>
      <c r="T4717" s="22">
        <f t="shared" si="408"/>
        <v>5</v>
      </c>
      <c r="U4717" s="22">
        <f t="shared" si="409"/>
        <v>2022</v>
      </c>
      <c r="V4717" s="22" t="str">
        <f t="shared" si="410"/>
        <v>REGIONES</v>
      </c>
    </row>
    <row r="4718" spans="1:22" x14ac:dyDescent="0.2">
      <c r="A4718" s="23" t="s">
        <v>5701</v>
      </c>
      <c r="B4718" s="22" t="s">
        <v>33</v>
      </c>
      <c r="C4718" s="22" t="s">
        <v>44</v>
      </c>
      <c r="D4718" s="22" t="s">
        <v>37</v>
      </c>
      <c r="E4718" s="24" t="s">
        <v>40</v>
      </c>
      <c r="F4718" s="22" t="s">
        <v>48</v>
      </c>
      <c r="G4718" s="25">
        <f>7947.04+750</f>
        <v>8697.0400000000009</v>
      </c>
      <c r="H4718" s="22" t="s">
        <v>22</v>
      </c>
      <c r="I4718" s="22">
        <v>0</v>
      </c>
      <c r="J4718" s="22" t="s">
        <v>48</v>
      </c>
      <c r="K4718" s="22" t="s">
        <v>23</v>
      </c>
      <c r="L4718" s="22">
        <v>1</v>
      </c>
      <c r="M4718" s="26">
        <v>87417</v>
      </c>
      <c r="N4718" s="26">
        <v>0</v>
      </c>
      <c r="O4718" s="15">
        <f t="shared" si="412"/>
        <v>87417</v>
      </c>
      <c r="P4718" s="15">
        <f t="shared" si="411"/>
        <v>10.051350804411616</v>
      </c>
      <c r="Q4718" s="25">
        <v>5000</v>
      </c>
      <c r="R4718" s="22">
        <v>100</v>
      </c>
      <c r="S4718" s="22" t="s">
        <v>5711</v>
      </c>
      <c r="T4718" s="22">
        <f t="shared" si="408"/>
        <v>5</v>
      </c>
      <c r="U4718" s="22">
        <f t="shared" si="409"/>
        <v>2022</v>
      </c>
      <c r="V4718" s="22" t="str">
        <f t="shared" si="410"/>
        <v>METROPOLITANA</v>
      </c>
    </row>
    <row r="4719" spans="1:22" x14ac:dyDescent="0.2">
      <c r="A4719" s="23" t="s">
        <v>5701</v>
      </c>
      <c r="B4719" s="22" t="s">
        <v>33</v>
      </c>
      <c r="C4719" s="22" t="s">
        <v>44</v>
      </c>
      <c r="D4719" s="22" t="s">
        <v>45</v>
      </c>
      <c r="E4719" s="24" t="s">
        <v>52</v>
      </c>
      <c r="F4719" s="22" t="s">
        <v>225</v>
      </c>
      <c r="G4719" s="25">
        <v>1401.1</v>
      </c>
      <c r="H4719" s="22" t="s">
        <v>22</v>
      </c>
      <c r="I4719" s="22">
        <v>0</v>
      </c>
      <c r="J4719" s="22" t="s">
        <v>225</v>
      </c>
      <c r="K4719" s="22" t="s">
        <v>23</v>
      </c>
      <c r="L4719" s="22">
        <v>3</v>
      </c>
      <c r="M4719" s="26">
        <v>55000</v>
      </c>
      <c r="N4719" s="26">
        <v>0</v>
      </c>
      <c r="O4719" s="15">
        <f t="shared" si="412"/>
        <v>55000</v>
      </c>
      <c r="P4719" s="15">
        <f t="shared" si="411"/>
        <v>39.254871172650063</v>
      </c>
      <c r="Q4719" s="25">
        <v>5000</v>
      </c>
      <c r="R4719" s="22">
        <v>28</v>
      </c>
      <c r="S4719" s="22" t="s">
        <v>5709</v>
      </c>
      <c r="T4719" s="22">
        <f t="shared" si="408"/>
        <v>5</v>
      </c>
      <c r="U4719" s="22">
        <f t="shared" si="409"/>
        <v>2022</v>
      </c>
      <c r="V4719" s="22" t="str">
        <f t="shared" si="410"/>
        <v>METROPOLITANA</v>
      </c>
    </row>
    <row r="4720" spans="1:22" x14ac:dyDescent="0.2">
      <c r="A4720" s="23" t="s">
        <v>5701</v>
      </c>
      <c r="B4720" s="22" t="s">
        <v>33</v>
      </c>
      <c r="C4720" s="22" t="s">
        <v>44</v>
      </c>
      <c r="D4720" s="22" t="s">
        <v>47</v>
      </c>
      <c r="E4720" s="24" t="s">
        <v>49</v>
      </c>
      <c r="F4720" s="22" t="s">
        <v>95</v>
      </c>
      <c r="G4720" s="25">
        <v>2000.2</v>
      </c>
      <c r="H4720" s="22" t="s">
        <v>22</v>
      </c>
      <c r="I4720" s="22">
        <v>0</v>
      </c>
      <c r="J4720" s="22" t="s">
        <v>95</v>
      </c>
      <c r="K4720" s="22" t="s">
        <v>23</v>
      </c>
      <c r="L4720" s="22">
        <v>4</v>
      </c>
      <c r="M4720" s="26">
        <v>55000</v>
      </c>
      <c r="N4720" s="26">
        <v>0</v>
      </c>
      <c r="O4720" s="15">
        <f t="shared" si="412"/>
        <v>55000</v>
      </c>
      <c r="P4720" s="15">
        <f t="shared" si="411"/>
        <v>27.497250274972501</v>
      </c>
      <c r="Q4720" s="25">
        <v>5000</v>
      </c>
      <c r="R4720" s="22">
        <v>40</v>
      </c>
      <c r="S4720" s="22" t="s">
        <v>5710</v>
      </c>
      <c r="T4720" s="22">
        <f t="shared" si="408"/>
        <v>5</v>
      </c>
      <c r="U4720" s="22">
        <f t="shared" si="409"/>
        <v>2022</v>
      </c>
      <c r="V4720" s="22" t="str">
        <f t="shared" si="410"/>
        <v>METROPOLITANA</v>
      </c>
    </row>
    <row r="4721" spans="1:22" x14ac:dyDescent="0.2">
      <c r="A4721" s="11" t="s">
        <v>5713</v>
      </c>
      <c r="B4721" s="12" t="s">
        <v>18</v>
      </c>
      <c r="C4721" s="12" t="s">
        <v>270</v>
      </c>
      <c r="D4721" s="12" t="s">
        <v>41</v>
      </c>
      <c r="E4721" s="13" t="s">
        <v>25</v>
      </c>
      <c r="F4721" s="12" t="s">
        <v>120</v>
      </c>
      <c r="G4721" s="14">
        <v>1196</v>
      </c>
      <c r="H4721" s="12" t="s">
        <v>43</v>
      </c>
      <c r="I4721" s="12">
        <v>0</v>
      </c>
      <c r="J4721" s="12" t="s">
        <v>120</v>
      </c>
      <c r="K4721" s="12" t="s">
        <v>23</v>
      </c>
      <c r="L4721" s="12">
        <v>5</v>
      </c>
      <c r="M4721" s="15">
        <v>70000</v>
      </c>
      <c r="N4721" s="15">
        <v>0</v>
      </c>
      <c r="O4721" s="15">
        <f t="shared" si="412"/>
        <v>70000</v>
      </c>
      <c r="P4721" s="15">
        <f t="shared" si="411"/>
        <v>58.528428093645488</v>
      </c>
      <c r="Q4721" s="14">
        <v>10000</v>
      </c>
      <c r="R4721" s="12">
        <v>12</v>
      </c>
      <c r="S4721" s="12" t="s">
        <v>5714</v>
      </c>
      <c r="T4721" s="22">
        <f t="shared" si="408"/>
        <v>5</v>
      </c>
      <c r="U4721" s="22">
        <f t="shared" si="409"/>
        <v>2022</v>
      </c>
      <c r="V4721" s="22" t="str">
        <f t="shared" si="410"/>
        <v>METROPOLITANA</v>
      </c>
    </row>
    <row r="4722" spans="1:22" x14ac:dyDescent="0.2">
      <c r="A4722" s="11" t="s">
        <v>5713</v>
      </c>
      <c r="B4722" s="12" t="s">
        <v>18</v>
      </c>
      <c r="C4722" s="12" t="s">
        <v>160</v>
      </c>
      <c r="D4722" s="12" t="s">
        <v>4247</v>
      </c>
      <c r="E4722" s="13" t="s">
        <v>62</v>
      </c>
      <c r="F4722" s="12" t="s">
        <v>2055</v>
      </c>
      <c r="G4722" s="14">
        <v>23554.19999999999</v>
      </c>
      <c r="H4722" s="12" t="s">
        <v>24</v>
      </c>
      <c r="I4722" s="12">
        <v>1</v>
      </c>
      <c r="J4722" s="12" t="s">
        <v>2055</v>
      </c>
      <c r="K4722" s="12" t="s">
        <v>86</v>
      </c>
      <c r="L4722" s="12">
        <v>0</v>
      </c>
      <c r="M4722" s="15">
        <v>300000</v>
      </c>
      <c r="N4722" s="15">
        <v>0</v>
      </c>
      <c r="O4722" s="15">
        <f t="shared" si="412"/>
        <v>300000</v>
      </c>
      <c r="P4722" s="15">
        <f t="shared" si="411"/>
        <v>12.736582010851574</v>
      </c>
      <c r="Q4722" s="14">
        <v>20000</v>
      </c>
      <c r="R4722" s="12">
        <v>100</v>
      </c>
      <c r="S4722" s="12" t="s">
        <v>5715</v>
      </c>
      <c r="T4722" s="22">
        <f t="shared" si="408"/>
        <v>5</v>
      </c>
      <c r="U4722" s="22">
        <f t="shared" si="409"/>
        <v>2022</v>
      </c>
      <c r="V4722" s="22" t="str">
        <f t="shared" si="410"/>
        <v>REGIONES</v>
      </c>
    </row>
    <row r="4723" spans="1:22" x14ac:dyDescent="0.2">
      <c r="A4723" s="11" t="s">
        <v>5713</v>
      </c>
      <c r="B4723" s="12" t="s">
        <v>18</v>
      </c>
      <c r="C4723" s="12" t="s">
        <v>160</v>
      </c>
      <c r="D4723" s="12" t="s">
        <v>30</v>
      </c>
      <c r="E4723" s="13" t="s">
        <v>31</v>
      </c>
      <c r="F4723" s="12" t="s">
        <v>2055</v>
      </c>
      <c r="G4723" s="14">
        <v>8651.6</v>
      </c>
      <c r="H4723" s="12" t="s">
        <v>32</v>
      </c>
      <c r="I4723" s="12">
        <v>0</v>
      </c>
      <c r="J4723" s="12" t="s">
        <v>2055</v>
      </c>
      <c r="K4723" s="12" t="s">
        <v>86</v>
      </c>
      <c r="L4723" s="12">
        <v>0</v>
      </c>
      <c r="M4723" s="15">
        <v>300000</v>
      </c>
      <c r="N4723" s="15">
        <v>0</v>
      </c>
      <c r="O4723" s="15">
        <f t="shared" si="412"/>
        <v>300000</v>
      </c>
      <c r="P4723" s="15">
        <f t="shared" si="411"/>
        <v>34.67566692866059</v>
      </c>
      <c r="Q4723" s="14">
        <v>20000</v>
      </c>
      <c r="R4723" s="12">
        <v>43</v>
      </c>
      <c r="S4723" s="12" t="s">
        <v>5716</v>
      </c>
      <c r="T4723" s="22">
        <f t="shared" si="408"/>
        <v>5</v>
      </c>
      <c r="U4723" s="22">
        <f t="shared" si="409"/>
        <v>2022</v>
      </c>
      <c r="V4723" s="22" t="str">
        <f t="shared" si="410"/>
        <v>REGIONES</v>
      </c>
    </row>
    <row r="4724" spans="1:22" x14ac:dyDescent="0.2">
      <c r="A4724" s="11" t="s">
        <v>5713</v>
      </c>
      <c r="B4724" s="12" t="s">
        <v>18</v>
      </c>
      <c r="C4724" s="12" t="s">
        <v>160</v>
      </c>
      <c r="D4724" s="12" t="s">
        <v>164</v>
      </c>
      <c r="E4724" s="13" t="s">
        <v>28</v>
      </c>
      <c r="F4724" s="12" t="s">
        <v>2055</v>
      </c>
      <c r="G4724" s="14">
        <v>22211.499999999989</v>
      </c>
      <c r="H4724" s="12" t="s">
        <v>22</v>
      </c>
      <c r="I4724" s="12">
        <v>1</v>
      </c>
      <c r="J4724" s="12" t="s">
        <v>2055</v>
      </c>
      <c r="K4724" s="12" t="s">
        <v>86</v>
      </c>
      <c r="L4724" s="12">
        <v>0</v>
      </c>
      <c r="M4724" s="15">
        <v>300000</v>
      </c>
      <c r="N4724" s="15">
        <v>0</v>
      </c>
      <c r="O4724" s="15">
        <f t="shared" si="412"/>
        <v>300000</v>
      </c>
      <c r="P4724" s="15">
        <f t="shared" si="411"/>
        <v>13.506516894401555</v>
      </c>
      <c r="Q4724" s="14">
        <v>20000</v>
      </c>
      <c r="R4724" s="12">
        <v>100</v>
      </c>
      <c r="S4724" s="12" t="s">
        <v>5717</v>
      </c>
      <c r="T4724" s="22">
        <f t="shared" si="408"/>
        <v>5</v>
      </c>
      <c r="U4724" s="22">
        <f t="shared" si="409"/>
        <v>2022</v>
      </c>
      <c r="V4724" s="22" t="str">
        <f t="shared" si="410"/>
        <v>REGIONES</v>
      </c>
    </row>
    <row r="4725" spans="1:22" x14ac:dyDescent="0.2">
      <c r="A4725" s="11" t="s">
        <v>5713</v>
      </c>
      <c r="B4725" s="12" t="s">
        <v>18</v>
      </c>
      <c r="C4725" s="12" t="s">
        <v>160</v>
      </c>
      <c r="D4725" s="12" t="s">
        <v>5718</v>
      </c>
      <c r="E4725" s="13" t="s">
        <v>126</v>
      </c>
      <c r="F4725" s="12" t="s">
        <v>2055</v>
      </c>
      <c r="G4725" s="14">
        <v>22488.399999999991</v>
      </c>
      <c r="H4725" s="12" t="s">
        <v>24</v>
      </c>
      <c r="I4725" s="12">
        <v>1</v>
      </c>
      <c r="J4725" s="12" t="s">
        <v>2055</v>
      </c>
      <c r="K4725" s="12" t="s">
        <v>86</v>
      </c>
      <c r="L4725" s="12">
        <v>0</v>
      </c>
      <c r="M4725" s="15">
        <v>300000</v>
      </c>
      <c r="N4725" s="15">
        <v>0</v>
      </c>
      <c r="O4725" s="15">
        <f t="shared" si="412"/>
        <v>300000</v>
      </c>
      <c r="P4725" s="15">
        <f t="shared" si="411"/>
        <v>13.340210953202545</v>
      </c>
      <c r="Q4725" s="14">
        <v>20000</v>
      </c>
      <c r="R4725" s="12">
        <v>100</v>
      </c>
      <c r="S4725" s="12" t="s">
        <v>5719</v>
      </c>
      <c r="T4725" s="22">
        <f t="shared" si="408"/>
        <v>5</v>
      </c>
      <c r="U4725" s="22">
        <f t="shared" si="409"/>
        <v>2022</v>
      </c>
      <c r="V4725" s="22" t="str">
        <f t="shared" si="410"/>
        <v>REGIONES</v>
      </c>
    </row>
    <row r="4726" spans="1:22" x14ac:dyDescent="0.2">
      <c r="A4726" s="11" t="s">
        <v>5713</v>
      </c>
      <c r="B4726" s="12" t="s">
        <v>18</v>
      </c>
      <c r="C4726" s="12" t="s">
        <v>87</v>
      </c>
      <c r="D4726" s="12" t="s">
        <v>38</v>
      </c>
      <c r="E4726" s="13" t="s">
        <v>42</v>
      </c>
      <c r="F4726" s="12" t="s">
        <v>51</v>
      </c>
      <c r="G4726" s="14">
        <v>14895.36</v>
      </c>
      <c r="H4726" s="12" t="s">
        <v>43</v>
      </c>
      <c r="I4726" s="12">
        <v>0</v>
      </c>
      <c r="J4726" s="12" t="s">
        <v>51</v>
      </c>
      <c r="K4726" s="12" t="s">
        <v>23</v>
      </c>
      <c r="L4726" s="12">
        <v>4</v>
      </c>
      <c r="M4726" s="15">
        <v>163849</v>
      </c>
      <c r="N4726" s="15">
        <v>0</v>
      </c>
      <c r="O4726" s="15">
        <f t="shared" si="412"/>
        <v>163849</v>
      </c>
      <c r="P4726" s="15">
        <f t="shared" si="411"/>
        <v>11.000002685400016</v>
      </c>
      <c r="Q4726" s="14">
        <v>5000</v>
      </c>
      <c r="R4726" s="12">
        <v>100</v>
      </c>
      <c r="S4726" s="12" t="s">
        <v>5720</v>
      </c>
      <c r="T4726" s="22">
        <f t="shared" si="408"/>
        <v>5</v>
      </c>
      <c r="U4726" s="22">
        <f t="shared" si="409"/>
        <v>2022</v>
      </c>
      <c r="V4726" s="22" t="str">
        <f t="shared" si="410"/>
        <v>METROPOLITANA</v>
      </c>
    </row>
    <row r="4727" spans="1:22" x14ac:dyDescent="0.2">
      <c r="A4727" s="11" t="s">
        <v>5713</v>
      </c>
      <c r="B4727" s="12" t="s">
        <v>33</v>
      </c>
      <c r="C4727" s="12" t="s">
        <v>270</v>
      </c>
      <c r="D4727" s="12" t="s">
        <v>41</v>
      </c>
      <c r="E4727" s="13" t="s">
        <v>25</v>
      </c>
      <c r="F4727" s="12" t="s">
        <v>120</v>
      </c>
      <c r="G4727" s="14">
        <v>5068</v>
      </c>
      <c r="H4727" s="12" t="s">
        <v>43</v>
      </c>
      <c r="I4727" s="12">
        <v>0</v>
      </c>
      <c r="J4727" s="12" t="s">
        <v>120</v>
      </c>
      <c r="K4727" s="12" t="s">
        <v>23</v>
      </c>
      <c r="L4727" s="12">
        <v>5</v>
      </c>
      <c r="M4727" s="15">
        <v>70000</v>
      </c>
      <c r="N4727" s="15">
        <v>0</v>
      </c>
      <c r="O4727" s="15">
        <f t="shared" si="412"/>
        <v>70000</v>
      </c>
      <c r="P4727" s="15">
        <f t="shared" si="411"/>
        <v>13.812154696132596</v>
      </c>
      <c r="Q4727" s="14">
        <v>10000</v>
      </c>
      <c r="R4727" s="12">
        <v>51</v>
      </c>
      <c r="S4727" s="12" t="s">
        <v>5721</v>
      </c>
      <c r="T4727" s="22">
        <f t="shared" si="408"/>
        <v>5</v>
      </c>
      <c r="U4727" s="22">
        <f t="shared" si="409"/>
        <v>2022</v>
      </c>
      <c r="V4727" s="22" t="str">
        <f t="shared" si="410"/>
        <v>METROPOLITANA</v>
      </c>
    </row>
    <row r="4728" spans="1:22" x14ac:dyDescent="0.2">
      <c r="A4728" s="11" t="s">
        <v>5713</v>
      </c>
      <c r="B4728" s="12" t="s">
        <v>33</v>
      </c>
      <c r="C4728" s="12" t="s">
        <v>128</v>
      </c>
      <c r="D4728" s="12" t="s">
        <v>786</v>
      </c>
      <c r="E4728" s="13" t="s">
        <v>787</v>
      </c>
      <c r="F4728" s="12" t="s">
        <v>129</v>
      </c>
      <c r="G4728" s="14">
        <v>7672.2000000000025</v>
      </c>
      <c r="H4728" s="12" t="s">
        <v>788</v>
      </c>
      <c r="I4728" s="12">
        <v>1</v>
      </c>
      <c r="J4728" s="12" t="s">
        <v>129</v>
      </c>
      <c r="K4728" s="12" t="s">
        <v>23</v>
      </c>
      <c r="L4728" s="12">
        <v>1</v>
      </c>
      <c r="M4728" s="15">
        <v>84394</v>
      </c>
      <c r="N4728" s="15">
        <v>0</v>
      </c>
      <c r="O4728" s="15">
        <f t="shared" si="412"/>
        <v>84394</v>
      </c>
      <c r="P4728" s="15">
        <f t="shared" si="411"/>
        <v>10.999973931857873</v>
      </c>
      <c r="Q4728" s="14">
        <v>5000</v>
      </c>
      <c r="R4728" s="12">
        <v>100</v>
      </c>
      <c r="S4728" s="12" t="s">
        <v>5722</v>
      </c>
      <c r="T4728" s="22">
        <f t="shared" si="408"/>
        <v>5</v>
      </c>
      <c r="U4728" s="22">
        <f t="shared" si="409"/>
        <v>2022</v>
      </c>
      <c r="V4728" s="22" t="str">
        <f t="shared" si="410"/>
        <v>METROPOLITANA</v>
      </c>
    </row>
    <row r="4729" spans="1:22" x14ac:dyDescent="0.2">
      <c r="A4729" s="11" t="s">
        <v>5713</v>
      </c>
      <c r="B4729" s="12" t="s">
        <v>33</v>
      </c>
      <c r="C4729" s="12" t="s">
        <v>29</v>
      </c>
      <c r="D4729" s="12" t="s">
        <v>63</v>
      </c>
      <c r="E4729" s="13" t="s">
        <v>64</v>
      </c>
      <c r="F4729" s="12" t="s">
        <v>129</v>
      </c>
      <c r="G4729" s="14">
        <v>4079.1</v>
      </c>
      <c r="H4729" s="12" t="s">
        <v>65</v>
      </c>
      <c r="I4729" s="12">
        <v>0</v>
      </c>
      <c r="J4729" s="12" t="s">
        <v>129</v>
      </c>
      <c r="K4729" s="12" t="s">
        <v>23</v>
      </c>
      <c r="L4729" s="12">
        <v>1</v>
      </c>
      <c r="M4729" s="15">
        <v>55000</v>
      </c>
      <c r="N4729" s="15">
        <v>0</v>
      </c>
      <c r="O4729" s="15">
        <f t="shared" si="412"/>
        <v>55000</v>
      </c>
      <c r="P4729" s="15">
        <f t="shared" si="411"/>
        <v>13.483366428869113</v>
      </c>
      <c r="Q4729" s="14">
        <v>5000</v>
      </c>
      <c r="R4729" s="12">
        <v>82</v>
      </c>
      <c r="S4729" s="12" t="s">
        <v>5723</v>
      </c>
      <c r="T4729" s="22">
        <f t="shared" si="408"/>
        <v>5</v>
      </c>
      <c r="U4729" s="22">
        <f t="shared" si="409"/>
        <v>2022</v>
      </c>
      <c r="V4729" s="22" t="str">
        <f t="shared" si="410"/>
        <v>METROPOLITANA</v>
      </c>
    </row>
    <row r="4730" spans="1:22" x14ac:dyDescent="0.2">
      <c r="A4730" s="11" t="s">
        <v>5713</v>
      </c>
      <c r="B4730" s="12" t="s">
        <v>33</v>
      </c>
      <c r="C4730" s="12" t="s">
        <v>29</v>
      </c>
      <c r="D4730" s="12" t="s">
        <v>164</v>
      </c>
      <c r="E4730" s="13" t="s">
        <v>28</v>
      </c>
      <c r="F4730" s="12" t="s">
        <v>39</v>
      </c>
      <c r="G4730" s="14">
        <f>7144.8+1099</f>
        <v>8243.7999999999993</v>
      </c>
      <c r="H4730" s="12" t="s">
        <v>22</v>
      </c>
      <c r="I4730" s="12">
        <v>1</v>
      </c>
      <c r="J4730" s="12" t="s">
        <v>39</v>
      </c>
      <c r="K4730" s="12" t="s">
        <v>23</v>
      </c>
      <c r="L4730" s="12">
        <v>1</v>
      </c>
      <c r="M4730" s="15">
        <v>78593</v>
      </c>
      <c r="N4730" s="15">
        <v>0</v>
      </c>
      <c r="O4730" s="15">
        <f t="shared" si="412"/>
        <v>78593</v>
      </c>
      <c r="P4730" s="15">
        <f t="shared" si="411"/>
        <v>9.5335888789150651</v>
      </c>
      <c r="Q4730" s="14">
        <v>5000</v>
      </c>
      <c r="R4730" s="12">
        <v>100</v>
      </c>
      <c r="S4730" s="12" t="s">
        <v>5725</v>
      </c>
      <c r="T4730" s="22">
        <f t="shared" si="408"/>
        <v>5</v>
      </c>
      <c r="U4730" s="22">
        <f t="shared" si="409"/>
        <v>2022</v>
      </c>
      <c r="V4730" s="22" t="str">
        <f t="shared" si="410"/>
        <v>METROPOLITANA</v>
      </c>
    </row>
    <row r="4731" spans="1:22" x14ac:dyDescent="0.2">
      <c r="A4731" s="11" t="s">
        <v>5713</v>
      </c>
      <c r="B4731" s="12" t="s">
        <v>33</v>
      </c>
      <c r="C4731" s="12" t="s">
        <v>44</v>
      </c>
      <c r="D4731" s="12" t="s">
        <v>37</v>
      </c>
      <c r="E4731" s="13" t="s">
        <v>40</v>
      </c>
      <c r="F4731" s="12" t="s">
        <v>48</v>
      </c>
      <c r="G4731" s="14">
        <v>5603.4599999999973</v>
      </c>
      <c r="H4731" s="12" t="s">
        <v>22</v>
      </c>
      <c r="I4731" s="12">
        <v>0</v>
      </c>
      <c r="J4731" s="12" t="s">
        <v>48</v>
      </c>
      <c r="K4731" s="12" t="s">
        <v>23</v>
      </c>
      <c r="L4731" s="12">
        <v>1</v>
      </c>
      <c r="M4731" s="15">
        <v>61638</v>
      </c>
      <c r="N4731" s="15">
        <v>0</v>
      </c>
      <c r="O4731" s="15">
        <f t="shared" si="412"/>
        <v>61638</v>
      </c>
      <c r="P4731" s="15">
        <f t="shared" si="411"/>
        <v>10.999989292330101</v>
      </c>
      <c r="Q4731" s="14">
        <v>5000</v>
      </c>
      <c r="R4731" s="12">
        <v>100</v>
      </c>
      <c r="S4731" s="12" t="s">
        <v>5724</v>
      </c>
      <c r="T4731" s="22">
        <f t="shared" si="408"/>
        <v>5</v>
      </c>
      <c r="U4731" s="22">
        <f t="shared" si="409"/>
        <v>2022</v>
      </c>
      <c r="V4731" s="22" t="str">
        <f t="shared" si="410"/>
        <v>METROPOLITANA</v>
      </c>
    </row>
    <row r="4732" spans="1:22" x14ac:dyDescent="0.2">
      <c r="A4732" s="23" t="s">
        <v>5726</v>
      </c>
      <c r="B4732" s="22" t="s">
        <v>33</v>
      </c>
      <c r="C4732" s="22" t="s">
        <v>128</v>
      </c>
      <c r="D4732" s="22" t="s">
        <v>41</v>
      </c>
      <c r="E4732" s="24" t="s">
        <v>25</v>
      </c>
      <c r="F4732" s="22" t="s">
        <v>34</v>
      </c>
      <c r="G4732" s="25">
        <v>8428.1999999999989</v>
      </c>
      <c r="H4732" s="22" t="s">
        <v>43</v>
      </c>
      <c r="I4732" s="22">
        <v>0</v>
      </c>
      <c r="J4732" s="22" t="s">
        <v>34</v>
      </c>
      <c r="K4732" s="22" t="s">
        <v>23</v>
      </c>
      <c r="L4732" s="22">
        <v>1</v>
      </c>
      <c r="M4732" s="26">
        <v>92710</v>
      </c>
      <c r="N4732" s="26">
        <v>0</v>
      </c>
      <c r="O4732" s="15">
        <f t="shared" si="412"/>
        <v>92710</v>
      </c>
      <c r="P4732" s="15">
        <f t="shared" si="411"/>
        <v>10.999976270140719</v>
      </c>
      <c r="Q4732" s="25">
        <v>5000</v>
      </c>
      <c r="R4732" s="22">
        <v>100</v>
      </c>
      <c r="S4732" s="22" t="s">
        <v>5727</v>
      </c>
      <c r="T4732" s="22">
        <f t="shared" si="408"/>
        <v>5</v>
      </c>
      <c r="U4732" s="22">
        <f t="shared" si="409"/>
        <v>2022</v>
      </c>
      <c r="V4732" s="22" t="str">
        <f t="shared" si="410"/>
        <v>METROPOLITANA</v>
      </c>
    </row>
    <row r="4733" spans="1:22" x14ac:dyDescent="0.2">
      <c r="A4733" s="23" t="s">
        <v>5726</v>
      </c>
      <c r="B4733" s="22" t="s">
        <v>33</v>
      </c>
      <c r="C4733" s="22" t="s">
        <v>36</v>
      </c>
      <c r="D4733" s="22" t="s">
        <v>45</v>
      </c>
      <c r="E4733" s="24" t="s">
        <v>52</v>
      </c>
      <c r="F4733" s="22" t="s">
        <v>376</v>
      </c>
      <c r="G4733" s="25">
        <v>3016.04</v>
      </c>
      <c r="H4733" s="22" t="s">
        <v>22</v>
      </c>
      <c r="I4733" s="22">
        <v>0</v>
      </c>
      <c r="J4733" s="22" t="s">
        <v>377</v>
      </c>
      <c r="K4733" s="22" t="s">
        <v>23</v>
      </c>
      <c r="L4733" s="22">
        <v>4</v>
      </c>
      <c r="M4733" s="26">
        <v>55000</v>
      </c>
      <c r="N4733" s="26">
        <v>0</v>
      </c>
      <c r="O4733" s="15">
        <f t="shared" si="412"/>
        <v>55000</v>
      </c>
      <c r="P4733" s="15">
        <f t="shared" si="411"/>
        <v>18.235832416015704</v>
      </c>
      <c r="Q4733" s="25">
        <v>5000</v>
      </c>
      <c r="R4733" s="22">
        <v>60</v>
      </c>
      <c r="S4733" s="22" t="s">
        <v>5728</v>
      </c>
      <c r="T4733" s="22">
        <f t="shared" si="408"/>
        <v>5</v>
      </c>
      <c r="U4733" s="22">
        <f t="shared" si="409"/>
        <v>2022</v>
      </c>
      <c r="V4733" s="22" t="str">
        <f t="shared" si="410"/>
        <v>METROPOLITANA</v>
      </c>
    </row>
    <row r="4734" spans="1:22" x14ac:dyDescent="0.2">
      <c r="A4734" s="23" t="s">
        <v>5726</v>
      </c>
      <c r="B4734" s="22" t="s">
        <v>33</v>
      </c>
      <c r="C4734" s="22" t="s">
        <v>36</v>
      </c>
      <c r="D4734" s="22" t="s">
        <v>20</v>
      </c>
      <c r="E4734" s="24" t="s">
        <v>21</v>
      </c>
      <c r="F4734" s="22" t="s">
        <v>67</v>
      </c>
      <c r="G4734" s="25">
        <v>3177.6600000000012</v>
      </c>
      <c r="H4734" s="22" t="s">
        <v>22</v>
      </c>
      <c r="I4734" s="22">
        <v>0</v>
      </c>
      <c r="J4734" s="22" t="s">
        <v>67</v>
      </c>
      <c r="K4734" s="22" t="s">
        <v>23</v>
      </c>
      <c r="L4734" s="22">
        <v>2</v>
      </c>
      <c r="M4734" s="26">
        <v>55000</v>
      </c>
      <c r="N4734" s="26">
        <v>0</v>
      </c>
      <c r="O4734" s="15">
        <f t="shared" si="412"/>
        <v>55000</v>
      </c>
      <c r="P4734" s="15">
        <f t="shared" si="411"/>
        <v>17.308333805378794</v>
      </c>
      <c r="Q4734" s="25">
        <v>5000</v>
      </c>
      <c r="R4734" s="22">
        <v>64</v>
      </c>
      <c r="S4734" s="22" t="s">
        <v>5729</v>
      </c>
      <c r="T4734" s="22">
        <f t="shared" si="408"/>
        <v>5</v>
      </c>
      <c r="U4734" s="22">
        <f t="shared" si="409"/>
        <v>2022</v>
      </c>
      <c r="V4734" s="22" t="str">
        <f t="shared" si="410"/>
        <v>METROPOLITANA</v>
      </c>
    </row>
    <row r="4735" spans="1:22" x14ac:dyDescent="0.2">
      <c r="A4735" s="23" t="s">
        <v>5726</v>
      </c>
      <c r="B4735" s="22" t="s">
        <v>33</v>
      </c>
      <c r="C4735" s="22" t="s">
        <v>29</v>
      </c>
      <c r="D4735" s="22" t="s">
        <v>37</v>
      </c>
      <c r="E4735" s="24" t="s">
        <v>40</v>
      </c>
      <c r="F4735" s="22" t="s">
        <v>39</v>
      </c>
      <c r="G4735" s="25">
        <v>4752</v>
      </c>
      <c r="H4735" s="22" t="s">
        <v>22</v>
      </c>
      <c r="I4735" s="22">
        <v>0</v>
      </c>
      <c r="J4735" s="22" t="s">
        <v>39</v>
      </c>
      <c r="K4735" s="22" t="s">
        <v>23</v>
      </c>
      <c r="L4735" s="22">
        <v>1</v>
      </c>
      <c r="M4735" s="26">
        <v>55000</v>
      </c>
      <c r="N4735" s="26">
        <v>0</v>
      </c>
      <c r="O4735" s="15">
        <f t="shared" si="412"/>
        <v>55000</v>
      </c>
      <c r="P4735" s="15">
        <f t="shared" si="411"/>
        <v>11.574074074074074</v>
      </c>
      <c r="Q4735" s="25">
        <v>5000</v>
      </c>
      <c r="R4735" s="22">
        <v>95</v>
      </c>
      <c r="S4735" s="22" t="s">
        <v>5730</v>
      </c>
      <c r="T4735" s="22">
        <f t="shared" si="408"/>
        <v>5</v>
      </c>
      <c r="U4735" s="22">
        <f t="shared" si="409"/>
        <v>2022</v>
      </c>
      <c r="V4735" s="22" t="str">
        <f t="shared" si="410"/>
        <v>METROPOLITANA</v>
      </c>
    </row>
    <row r="4736" spans="1:22" x14ac:dyDescent="0.2">
      <c r="A4736" s="23" t="s">
        <v>5726</v>
      </c>
      <c r="B4736" s="22" t="s">
        <v>33</v>
      </c>
      <c r="C4736" s="22" t="s">
        <v>29</v>
      </c>
      <c r="D4736" s="22" t="s">
        <v>30</v>
      </c>
      <c r="E4736" s="24" t="s">
        <v>31</v>
      </c>
      <c r="F4736" s="22" t="s">
        <v>39</v>
      </c>
      <c r="G4736" s="25">
        <f>4276.8+475</f>
        <v>4751.8</v>
      </c>
      <c r="H4736" s="22" t="s">
        <v>32</v>
      </c>
      <c r="I4736" s="22">
        <v>0</v>
      </c>
      <c r="J4736" s="22" t="s">
        <v>39</v>
      </c>
      <c r="K4736" s="22" t="s">
        <v>23</v>
      </c>
      <c r="L4736" s="22">
        <v>1</v>
      </c>
      <c r="M4736" s="26">
        <v>55000</v>
      </c>
      <c r="N4736" s="26">
        <v>0</v>
      </c>
      <c r="O4736" s="15">
        <f t="shared" si="412"/>
        <v>55000</v>
      </c>
      <c r="P4736" s="15">
        <f t="shared" si="411"/>
        <v>11.574561218906519</v>
      </c>
      <c r="Q4736" s="25">
        <v>5000</v>
      </c>
      <c r="R4736" s="22">
        <v>96</v>
      </c>
      <c r="S4736" s="22" t="s">
        <v>5733</v>
      </c>
      <c r="T4736" s="22">
        <f t="shared" si="408"/>
        <v>5</v>
      </c>
      <c r="U4736" s="22">
        <f t="shared" si="409"/>
        <v>2022</v>
      </c>
      <c r="V4736" s="22" t="str">
        <f t="shared" si="410"/>
        <v>METROPOLITANA</v>
      </c>
    </row>
    <row r="4737" spans="1:22" x14ac:dyDescent="0.2">
      <c r="A4737" s="23" t="s">
        <v>5726</v>
      </c>
      <c r="B4737" s="22" t="s">
        <v>33</v>
      </c>
      <c r="C4737" s="22" t="s">
        <v>29</v>
      </c>
      <c r="D4737" s="22" t="s">
        <v>164</v>
      </c>
      <c r="E4737" s="24" t="s">
        <v>28</v>
      </c>
      <c r="F4737" s="22" t="s">
        <v>39</v>
      </c>
      <c r="G4737" s="25">
        <v>15739.4</v>
      </c>
      <c r="H4737" s="22" t="s">
        <v>22</v>
      </c>
      <c r="I4737" s="22">
        <v>1</v>
      </c>
      <c r="J4737" s="22" t="s">
        <v>39</v>
      </c>
      <c r="K4737" s="22" t="s">
        <v>23</v>
      </c>
      <c r="L4737" s="22">
        <v>1</v>
      </c>
      <c r="M4737" s="26">
        <v>173133</v>
      </c>
      <c r="N4737" s="26">
        <v>0</v>
      </c>
      <c r="O4737" s="15">
        <f t="shared" si="412"/>
        <v>173133</v>
      </c>
      <c r="P4737" s="15">
        <f t="shared" si="411"/>
        <v>10.999974586070625</v>
      </c>
      <c r="Q4737" s="25">
        <v>5000</v>
      </c>
      <c r="R4737" s="22">
        <v>100</v>
      </c>
      <c r="S4737" s="22" t="s">
        <v>5731</v>
      </c>
      <c r="T4737" s="22">
        <f t="shared" si="408"/>
        <v>5</v>
      </c>
      <c r="U4737" s="22">
        <f t="shared" si="409"/>
        <v>2022</v>
      </c>
      <c r="V4737" s="22" t="str">
        <f t="shared" si="410"/>
        <v>METROPOLITANA</v>
      </c>
    </row>
    <row r="4738" spans="1:22" x14ac:dyDescent="0.2">
      <c r="A4738" s="23" t="s">
        <v>5726</v>
      </c>
      <c r="B4738" s="22" t="s">
        <v>33</v>
      </c>
      <c r="C4738" s="22" t="s">
        <v>44</v>
      </c>
      <c r="D4738" s="22" t="s">
        <v>47</v>
      </c>
      <c r="E4738" s="24" t="s">
        <v>49</v>
      </c>
      <c r="F4738" s="22" t="s">
        <v>182</v>
      </c>
      <c r="G4738" s="25">
        <v>4455.16</v>
      </c>
      <c r="H4738" s="22" t="s">
        <v>22</v>
      </c>
      <c r="I4738" s="22">
        <v>0</v>
      </c>
      <c r="J4738" s="22" t="s">
        <v>182</v>
      </c>
      <c r="K4738" s="22" t="s">
        <v>23</v>
      </c>
      <c r="L4738" s="22">
        <v>4</v>
      </c>
      <c r="M4738" s="26">
        <v>55000</v>
      </c>
      <c r="N4738" s="26">
        <v>0</v>
      </c>
      <c r="O4738" s="15">
        <f t="shared" si="412"/>
        <v>55000</v>
      </c>
      <c r="P4738" s="15">
        <f t="shared" si="411"/>
        <v>12.345235636879483</v>
      </c>
      <c r="Q4738" s="25">
        <v>5000</v>
      </c>
      <c r="R4738" s="22">
        <v>89</v>
      </c>
      <c r="S4738" s="22" t="s">
        <v>5732</v>
      </c>
      <c r="T4738" s="22">
        <f t="shared" si="408"/>
        <v>5</v>
      </c>
      <c r="U4738" s="22">
        <f t="shared" si="409"/>
        <v>2022</v>
      </c>
      <c r="V4738" s="22" t="str">
        <f t="shared" si="410"/>
        <v>METROPOLITANA</v>
      </c>
    </row>
    <row r="4739" spans="1:22" x14ac:dyDescent="0.2">
      <c r="A4739" s="11" t="s">
        <v>5734</v>
      </c>
      <c r="B4739" s="12" t="s">
        <v>33</v>
      </c>
      <c r="C4739" s="12" t="s">
        <v>60</v>
      </c>
      <c r="D4739" s="12" t="s">
        <v>20</v>
      </c>
      <c r="E4739" s="13" t="s">
        <v>1576</v>
      </c>
      <c r="F4739" s="12" t="s">
        <v>51</v>
      </c>
      <c r="G4739" s="14">
        <v>6480</v>
      </c>
      <c r="H4739" s="12" t="s">
        <v>22</v>
      </c>
      <c r="I4739" s="12">
        <v>0</v>
      </c>
      <c r="J4739" s="12" t="s">
        <v>51</v>
      </c>
      <c r="K4739" s="12" t="s">
        <v>23</v>
      </c>
      <c r="L4739" s="12">
        <v>4</v>
      </c>
      <c r="M4739" s="15">
        <v>71280</v>
      </c>
      <c r="N4739" s="15">
        <v>0</v>
      </c>
      <c r="O4739" s="15">
        <f t="shared" si="412"/>
        <v>71280</v>
      </c>
      <c r="P4739" s="15">
        <f t="shared" si="411"/>
        <v>11</v>
      </c>
      <c r="Q4739" s="14">
        <v>5000</v>
      </c>
      <c r="R4739" s="12">
        <v>100</v>
      </c>
      <c r="S4739" s="12" t="s">
        <v>5735</v>
      </c>
      <c r="T4739" s="22">
        <f t="shared" si="408"/>
        <v>5</v>
      </c>
      <c r="U4739" s="22">
        <f t="shared" si="409"/>
        <v>2022</v>
      </c>
      <c r="V4739" s="22" t="str">
        <f t="shared" si="410"/>
        <v>METROPOLITANA</v>
      </c>
    </row>
    <row r="4740" spans="1:22" x14ac:dyDescent="0.2">
      <c r="A4740" s="11" t="s">
        <v>5734</v>
      </c>
      <c r="B4740" s="12" t="s">
        <v>33</v>
      </c>
      <c r="C4740" s="12" t="s">
        <v>128</v>
      </c>
      <c r="D4740" s="12" t="s">
        <v>2825</v>
      </c>
      <c r="E4740" s="13" t="s">
        <v>639</v>
      </c>
      <c r="F4740" s="12" t="s">
        <v>66</v>
      </c>
      <c r="G4740" s="14">
        <v>9031.7000000000007</v>
      </c>
      <c r="H4740" s="12" t="s">
        <v>24</v>
      </c>
      <c r="I4740" s="12">
        <v>1</v>
      </c>
      <c r="J4740" s="12" t="s">
        <v>66</v>
      </c>
      <c r="K4740" s="12" t="s">
        <v>75</v>
      </c>
      <c r="L4740" s="12">
        <v>0</v>
      </c>
      <c r="M4740" s="15">
        <v>430000</v>
      </c>
      <c r="N4740" s="15">
        <v>0</v>
      </c>
      <c r="O4740" s="15">
        <f t="shared" si="412"/>
        <v>430000</v>
      </c>
      <c r="P4740" s="15">
        <f t="shared" si="411"/>
        <v>47.610084480219669</v>
      </c>
      <c r="Q4740" s="14">
        <v>20000</v>
      </c>
      <c r="R4740" s="12">
        <v>45</v>
      </c>
      <c r="S4740" s="12" t="s">
        <v>5736</v>
      </c>
      <c r="T4740" s="22">
        <f t="shared" si="408"/>
        <v>5</v>
      </c>
      <c r="U4740" s="22">
        <f t="shared" si="409"/>
        <v>2022</v>
      </c>
      <c r="V4740" s="22" t="str">
        <f t="shared" si="410"/>
        <v>REGIONES</v>
      </c>
    </row>
    <row r="4741" spans="1:22" x14ac:dyDescent="0.2">
      <c r="A4741" s="11" t="s">
        <v>5734</v>
      </c>
      <c r="B4741" s="12" t="s">
        <v>33</v>
      </c>
      <c r="C4741" s="12" t="s">
        <v>36</v>
      </c>
      <c r="D4741" s="12" t="s">
        <v>38</v>
      </c>
      <c r="E4741" s="13" t="s">
        <v>25</v>
      </c>
      <c r="F4741" s="12" t="s">
        <v>120</v>
      </c>
      <c r="G4741" s="14">
        <v>7776</v>
      </c>
      <c r="H4741" s="12" t="s">
        <v>43</v>
      </c>
      <c r="I4741" s="12">
        <v>0</v>
      </c>
      <c r="J4741" s="12" t="s">
        <v>120</v>
      </c>
      <c r="K4741" s="12" t="s">
        <v>23</v>
      </c>
      <c r="L4741" s="12">
        <v>5</v>
      </c>
      <c r="M4741" s="15">
        <v>70000</v>
      </c>
      <c r="N4741" s="15">
        <v>0</v>
      </c>
      <c r="O4741" s="15">
        <f t="shared" si="412"/>
        <v>70000</v>
      </c>
      <c r="P4741" s="15">
        <f t="shared" si="411"/>
        <v>9.0020576131687235</v>
      </c>
      <c r="Q4741" s="14">
        <v>10000</v>
      </c>
      <c r="R4741" s="12">
        <v>78</v>
      </c>
      <c r="S4741" s="12" t="s">
        <v>5737</v>
      </c>
      <c r="T4741" s="22">
        <f t="shared" si="408"/>
        <v>5</v>
      </c>
      <c r="U4741" s="22">
        <f t="shared" si="409"/>
        <v>2022</v>
      </c>
      <c r="V4741" s="22" t="str">
        <f t="shared" si="410"/>
        <v>METROPOLITANA</v>
      </c>
    </row>
    <row r="4742" spans="1:22" x14ac:dyDescent="0.2">
      <c r="A4742" s="11" t="s">
        <v>5734</v>
      </c>
      <c r="B4742" s="12" t="s">
        <v>33</v>
      </c>
      <c r="C4742" s="12" t="s">
        <v>36</v>
      </c>
      <c r="D4742" s="12" t="s">
        <v>786</v>
      </c>
      <c r="E4742" s="13" t="s">
        <v>787</v>
      </c>
      <c r="F4742" s="12" t="s">
        <v>893</v>
      </c>
      <c r="G4742" s="14">
        <f>5945.2+6353</f>
        <v>12298.2</v>
      </c>
      <c r="H4742" s="12" t="s">
        <v>788</v>
      </c>
      <c r="I4742" s="12">
        <v>1</v>
      </c>
      <c r="J4742" s="12" t="s">
        <v>893</v>
      </c>
      <c r="K4742" s="12" t="s">
        <v>437</v>
      </c>
      <c r="L4742" s="12">
        <v>0</v>
      </c>
      <c r="M4742" s="15">
        <v>1000000</v>
      </c>
      <c r="N4742" s="15">
        <v>0</v>
      </c>
      <c r="O4742" s="15">
        <f t="shared" si="412"/>
        <v>1000000</v>
      </c>
      <c r="P4742" s="15">
        <f t="shared" si="411"/>
        <v>81.312712429461214</v>
      </c>
      <c r="Q4742" s="14">
        <v>20000</v>
      </c>
      <c r="R4742" s="12">
        <v>65</v>
      </c>
      <c r="S4742" s="12" t="s">
        <v>5738</v>
      </c>
      <c r="T4742" s="22">
        <f t="shared" si="408"/>
        <v>5</v>
      </c>
      <c r="U4742" s="22">
        <f t="shared" si="409"/>
        <v>2022</v>
      </c>
      <c r="V4742" s="22" t="str">
        <f t="shared" si="410"/>
        <v>REGIONES</v>
      </c>
    </row>
    <row r="4743" spans="1:22" x14ac:dyDescent="0.2">
      <c r="A4743" s="11" t="s">
        <v>5734</v>
      </c>
      <c r="B4743" s="12" t="s">
        <v>33</v>
      </c>
      <c r="C4743" s="12" t="s">
        <v>36</v>
      </c>
      <c r="D4743" s="12" t="s">
        <v>47</v>
      </c>
      <c r="E4743" s="13" t="s">
        <v>49</v>
      </c>
      <c r="F4743" s="12" t="s">
        <v>308</v>
      </c>
      <c r="G4743" s="14">
        <v>6469.7</v>
      </c>
      <c r="H4743" s="12" t="s">
        <v>22</v>
      </c>
      <c r="I4743" s="12">
        <v>0</v>
      </c>
      <c r="J4743" s="12" t="s">
        <v>308</v>
      </c>
      <c r="K4743" s="12" t="s">
        <v>78</v>
      </c>
      <c r="L4743" s="12">
        <v>0</v>
      </c>
      <c r="M4743" s="15">
        <v>203000</v>
      </c>
      <c r="N4743" s="15">
        <v>0</v>
      </c>
      <c r="O4743" s="15">
        <f t="shared" si="412"/>
        <v>203000</v>
      </c>
      <c r="P4743" s="15">
        <f t="shared" si="411"/>
        <v>31.377034483824598</v>
      </c>
      <c r="Q4743" s="14">
        <v>20000</v>
      </c>
      <c r="R4743" s="12">
        <v>32</v>
      </c>
      <c r="S4743" s="12" t="s">
        <v>5739</v>
      </c>
      <c r="T4743" s="22">
        <f t="shared" ref="T4743:T4806" si="413">MONTH(A4743)</f>
        <v>5</v>
      </c>
      <c r="U4743" s="22">
        <f t="shared" ref="U4743:U4806" si="414">YEAR(A4743)</f>
        <v>2022</v>
      </c>
      <c r="V4743" s="22" t="str">
        <f t="shared" ref="V4743:V4806" si="415">IF(K4743="METROPOLITANA DE SANTIAGO","METROPOLITANA","REGIONES")</f>
        <v>REGIONES</v>
      </c>
    </row>
    <row r="4744" spans="1:22" x14ac:dyDescent="0.2">
      <c r="A4744" s="11" t="s">
        <v>5734</v>
      </c>
      <c r="B4744" s="12" t="s">
        <v>33</v>
      </c>
      <c r="C4744" s="12" t="s">
        <v>36</v>
      </c>
      <c r="D4744" s="12" t="s">
        <v>41</v>
      </c>
      <c r="E4744" s="13" t="s">
        <v>25</v>
      </c>
      <c r="F4744" s="12" t="s">
        <v>120</v>
      </c>
      <c r="G4744" s="14">
        <v>7095.5999999999995</v>
      </c>
      <c r="H4744" s="12" t="s">
        <v>43</v>
      </c>
      <c r="I4744" s="12">
        <v>0</v>
      </c>
      <c r="J4744" s="12" t="s">
        <v>120</v>
      </c>
      <c r="K4744" s="12" t="s">
        <v>23</v>
      </c>
      <c r="L4744" s="12">
        <v>5</v>
      </c>
      <c r="M4744" s="15">
        <v>70000</v>
      </c>
      <c r="N4744" s="15">
        <v>0</v>
      </c>
      <c r="O4744" s="15">
        <f t="shared" si="412"/>
        <v>70000</v>
      </c>
      <c r="P4744" s="15">
        <f t="shared" si="411"/>
        <v>9.8652686171712052</v>
      </c>
      <c r="Q4744" s="14">
        <v>10000</v>
      </c>
      <c r="R4744" s="12">
        <v>71</v>
      </c>
      <c r="S4744" s="12" t="s">
        <v>5740</v>
      </c>
      <c r="T4744" s="22">
        <f t="shared" si="413"/>
        <v>5</v>
      </c>
      <c r="U4744" s="22">
        <f t="shared" si="414"/>
        <v>2022</v>
      </c>
      <c r="V4744" s="22" t="str">
        <f t="shared" si="415"/>
        <v>METROPOLITANA</v>
      </c>
    </row>
    <row r="4745" spans="1:22" x14ac:dyDescent="0.2">
      <c r="A4745" s="11" t="s">
        <v>5734</v>
      </c>
      <c r="B4745" s="12" t="s">
        <v>33</v>
      </c>
      <c r="C4745" s="12" t="s">
        <v>909</v>
      </c>
      <c r="D4745" s="12" t="s">
        <v>2955</v>
      </c>
      <c r="E4745" s="13" t="s">
        <v>2956</v>
      </c>
      <c r="F4745" s="12" t="s">
        <v>3898</v>
      </c>
      <c r="G4745" s="14">
        <v>12394.08</v>
      </c>
      <c r="H4745" s="12" t="s">
        <v>24</v>
      </c>
      <c r="I4745" s="12">
        <v>1</v>
      </c>
      <c r="J4745" s="12" t="s">
        <v>910</v>
      </c>
      <c r="K4745" s="12" t="s">
        <v>171</v>
      </c>
      <c r="L4745" s="12">
        <v>0</v>
      </c>
      <c r="M4745" s="15">
        <v>260000</v>
      </c>
      <c r="N4745" s="15">
        <v>0</v>
      </c>
      <c r="O4745" s="15">
        <f t="shared" si="412"/>
        <v>260000</v>
      </c>
      <c r="P4745" s="15">
        <f t="shared" si="411"/>
        <v>20.977757122755381</v>
      </c>
      <c r="Q4745" s="14">
        <v>20000</v>
      </c>
      <c r="R4745" s="12">
        <v>62</v>
      </c>
      <c r="S4745" s="12" t="s">
        <v>5741</v>
      </c>
      <c r="T4745" s="22">
        <f t="shared" si="413"/>
        <v>5</v>
      </c>
      <c r="U4745" s="22">
        <f t="shared" si="414"/>
        <v>2022</v>
      </c>
      <c r="V4745" s="22" t="str">
        <f t="shared" si="415"/>
        <v>REGIONES</v>
      </c>
    </row>
    <row r="4746" spans="1:22" x14ac:dyDescent="0.2">
      <c r="A4746" s="11" t="s">
        <v>5734</v>
      </c>
      <c r="B4746" s="12" t="s">
        <v>33</v>
      </c>
      <c r="C4746" s="12" t="s">
        <v>2862</v>
      </c>
      <c r="D4746" s="12" t="s">
        <v>30</v>
      </c>
      <c r="E4746" s="13" t="s">
        <v>31</v>
      </c>
      <c r="F4746" s="12" t="s">
        <v>129</v>
      </c>
      <c r="G4746" s="14">
        <v>3020.860000000001</v>
      </c>
      <c r="H4746" s="12" t="s">
        <v>32</v>
      </c>
      <c r="I4746" s="12">
        <v>0</v>
      </c>
      <c r="J4746" s="12" t="s">
        <v>129</v>
      </c>
      <c r="K4746" s="12" t="s">
        <v>23</v>
      </c>
      <c r="L4746" s="12">
        <v>1</v>
      </c>
      <c r="M4746" s="15">
        <v>55000</v>
      </c>
      <c r="N4746" s="15">
        <v>0</v>
      </c>
      <c r="O4746" s="15">
        <f t="shared" si="412"/>
        <v>55000</v>
      </c>
      <c r="P4746" s="15">
        <f t="shared" si="411"/>
        <v>18.206735830194045</v>
      </c>
      <c r="Q4746" s="14">
        <v>5000</v>
      </c>
      <c r="R4746" s="12">
        <v>60</v>
      </c>
      <c r="S4746" s="12" t="s">
        <v>5742</v>
      </c>
      <c r="T4746" s="22">
        <f t="shared" si="413"/>
        <v>5</v>
      </c>
      <c r="U4746" s="22">
        <f t="shared" si="414"/>
        <v>2022</v>
      </c>
      <c r="V4746" s="22" t="str">
        <f t="shared" si="415"/>
        <v>METROPOLITANA</v>
      </c>
    </row>
    <row r="4747" spans="1:22" x14ac:dyDescent="0.2">
      <c r="A4747" s="11" t="s">
        <v>5734</v>
      </c>
      <c r="B4747" s="12" t="s">
        <v>33</v>
      </c>
      <c r="C4747" s="12" t="s">
        <v>29</v>
      </c>
      <c r="D4747" s="12" t="s">
        <v>37</v>
      </c>
      <c r="E4747" s="13" t="s">
        <v>40</v>
      </c>
      <c r="F4747" s="12" t="s">
        <v>39</v>
      </c>
      <c r="G4747" s="14">
        <f>4039.2+713</f>
        <v>4752.2</v>
      </c>
      <c r="H4747" s="12" t="s">
        <v>22</v>
      </c>
      <c r="I4747" s="12">
        <v>0</v>
      </c>
      <c r="J4747" s="12" t="s">
        <v>39</v>
      </c>
      <c r="K4747" s="12" t="s">
        <v>23</v>
      </c>
      <c r="L4747" s="12">
        <v>1</v>
      </c>
      <c r="M4747" s="15">
        <v>55000</v>
      </c>
      <c r="N4747" s="15">
        <v>0</v>
      </c>
      <c r="O4747" s="15">
        <f t="shared" si="412"/>
        <v>55000</v>
      </c>
      <c r="P4747" s="15">
        <f t="shared" si="411"/>
        <v>11.57358697024536</v>
      </c>
      <c r="Q4747" s="14">
        <v>5000</v>
      </c>
      <c r="R4747" s="12">
        <v>95</v>
      </c>
      <c r="S4747" s="12" t="s">
        <v>5746</v>
      </c>
      <c r="T4747" s="22">
        <f t="shared" si="413"/>
        <v>5</v>
      </c>
      <c r="U4747" s="22">
        <f t="shared" si="414"/>
        <v>2022</v>
      </c>
      <c r="V4747" s="22" t="str">
        <f t="shared" si="415"/>
        <v>METROPOLITANA</v>
      </c>
    </row>
    <row r="4748" spans="1:22" x14ac:dyDescent="0.2">
      <c r="A4748" s="11" t="s">
        <v>5734</v>
      </c>
      <c r="B4748" s="12" t="s">
        <v>33</v>
      </c>
      <c r="C4748" s="12" t="s">
        <v>29</v>
      </c>
      <c r="D4748" s="12" t="s">
        <v>63</v>
      </c>
      <c r="E4748" s="13" t="s">
        <v>64</v>
      </c>
      <c r="F4748" s="12" t="s">
        <v>39</v>
      </c>
      <c r="G4748" s="14">
        <v>4752</v>
      </c>
      <c r="H4748" s="12" t="s">
        <v>65</v>
      </c>
      <c r="I4748" s="12">
        <v>0</v>
      </c>
      <c r="J4748" s="12" t="s">
        <v>39</v>
      </c>
      <c r="K4748" s="12" t="s">
        <v>23</v>
      </c>
      <c r="L4748" s="12">
        <v>1</v>
      </c>
      <c r="M4748" s="15">
        <v>55000</v>
      </c>
      <c r="N4748" s="15">
        <v>0</v>
      </c>
      <c r="O4748" s="15">
        <f t="shared" si="412"/>
        <v>55000</v>
      </c>
      <c r="P4748" s="15">
        <f t="shared" si="411"/>
        <v>11.574074074074074</v>
      </c>
      <c r="Q4748" s="14">
        <v>5000</v>
      </c>
      <c r="R4748" s="12">
        <v>95</v>
      </c>
      <c r="S4748" s="12" t="s">
        <v>5743</v>
      </c>
      <c r="T4748" s="22">
        <f t="shared" si="413"/>
        <v>5</v>
      </c>
      <c r="U4748" s="22">
        <f t="shared" si="414"/>
        <v>2022</v>
      </c>
      <c r="V4748" s="22" t="str">
        <f t="shared" si="415"/>
        <v>METROPOLITANA</v>
      </c>
    </row>
    <row r="4749" spans="1:22" x14ac:dyDescent="0.2">
      <c r="A4749" s="11" t="s">
        <v>5734</v>
      </c>
      <c r="B4749" s="12" t="s">
        <v>33</v>
      </c>
      <c r="C4749" s="12" t="s">
        <v>29</v>
      </c>
      <c r="D4749" s="12" t="s">
        <v>164</v>
      </c>
      <c r="E4749" s="13" t="s">
        <v>28</v>
      </c>
      <c r="F4749" s="12" t="s">
        <v>39</v>
      </c>
      <c r="G4749" s="14">
        <f>8553.60000000001+950</f>
        <v>9503.6000000000095</v>
      </c>
      <c r="H4749" s="12" t="s">
        <v>22</v>
      </c>
      <c r="I4749" s="12">
        <v>1</v>
      </c>
      <c r="J4749" s="12" t="s">
        <v>39</v>
      </c>
      <c r="K4749" s="12" t="s">
        <v>23</v>
      </c>
      <c r="L4749" s="12">
        <v>1</v>
      </c>
      <c r="M4749" s="15">
        <v>94090</v>
      </c>
      <c r="N4749" s="15">
        <v>0</v>
      </c>
      <c r="O4749" s="15">
        <f t="shared" si="412"/>
        <v>94090</v>
      </c>
      <c r="P4749" s="15">
        <f t="shared" si="411"/>
        <v>9.9004587735173946</v>
      </c>
      <c r="Q4749" s="14">
        <v>5000</v>
      </c>
      <c r="R4749" s="12">
        <v>100</v>
      </c>
      <c r="S4749" s="12" t="s">
        <v>5747</v>
      </c>
      <c r="T4749" s="22">
        <f t="shared" si="413"/>
        <v>5</v>
      </c>
      <c r="U4749" s="22">
        <f t="shared" si="414"/>
        <v>2022</v>
      </c>
      <c r="V4749" s="22" t="str">
        <f t="shared" si="415"/>
        <v>METROPOLITANA</v>
      </c>
    </row>
    <row r="4750" spans="1:22" x14ac:dyDescent="0.2">
      <c r="A4750" s="11" t="s">
        <v>5734</v>
      </c>
      <c r="B4750" s="12" t="s">
        <v>33</v>
      </c>
      <c r="C4750" s="12" t="s">
        <v>44</v>
      </c>
      <c r="D4750" s="12" t="s">
        <v>63</v>
      </c>
      <c r="E4750" s="13" t="s">
        <v>64</v>
      </c>
      <c r="F4750" s="12" t="s">
        <v>95</v>
      </c>
      <c r="G4750" s="14">
        <v>5951.4</v>
      </c>
      <c r="H4750" s="12" t="s">
        <v>65</v>
      </c>
      <c r="I4750" s="12">
        <v>0</v>
      </c>
      <c r="J4750" s="12" t="s">
        <v>95</v>
      </c>
      <c r="K4750" s="12" t="s">
        <v>23</v>
      </c>
      <c r="L4750" s="12">
        <v>4</v>
      </c>
      <c r="M4750" s="15">
        <v>65465</v>
      </c>
      <c r="N4750" s="15">
        <v>0</v>
      </c>
      <c r="O4750" s="15">
        <f t="shared" si="412"/>
        <v>65465</v>
      </c>
      <c r="P4750" s="15">
        <f t="shared" si="411"/>
        <v>10.999932788923616</v>
      </c>
      <c r="Q4750" s="14">
        <v>5000</v>
      </c>
      <c r="R4750" s="12">
        <v>100</v>
      </c>
      <c r="S4750" s="12" t="s">
        <v>5744</v>
      </c>
      <c r="T4750" s="22">
        <f t="shared" si="413"/>
        <v>5</v>
      </c>
      <c r="U4750" s="22">
        <f t="shared" si="414"/>
        <v>2022</v>
      </c>
      <c r="V4750" s="22" t="str">
        <f t="shared" si="415"/>
        <v>METROPOLITANA</v>
      </c>
    </row>
    <row r="4751" spans="1:22" x14ac:dyDescent="0.2">
      <c r="A4751" s="11" t="s">
        <v>5734</v>
      </c>
      <c r="B4751" s="12" t="s">
        <v>33</v>
      </c>
      <c r="C4751" s="12" t="s">
        <v>44</v>
      </c>
      <c r="D4751" s="12" t="s">
        <v>45</v>
      </c>
      <c r="E4751" s="13" t="s">
        <v>52</v>
      </c>
      <c r="F4751" s="12" t="s">
        <v>95</v>
      </c>
      <c r="G4751" s="14">
        <v>3852.22</v>
      </c>
      <c r="H4751" s="12" t="s">
        <v>22</v>
      </c>
      <c r="I4751" s="12">
        <v>0</v>
      </c>
      <c r="J4751" s="12" t="s">
        <v>95</v>
      </c>
      <c r="K4751" s="12" t="s">
        <v>23</v>
      </c>
      <c r="L4751" s="12">
        <v>4</v>
      </c>
      <c r="M4751" s="15">
        <v>55000</v>
      </c>
      <c r="N4751" s="15">
        <v>0</v>
      </c>
      <c r="O4751" s="15">
        <f t="shared" si="412"/>
        <v>55000</v>
      </c>
      <c r="P4751" s="15">
        <f t="shared" si="411"/>
        <v>14.277481556089736</v>
      </c>
      <c r="Q4751" s="14">
        <v>5000</v>
      </c>
      <c r="R4751" s="12">
        <v>77</v>
      </c>
      <c r="S4751" s="12" t="s">
        <v>5745</v>
      </c>
      <c r="T4751" s="22">
        <f t="shared" si="413"/>
        <v>5</v>
      </c>
      <c r="U4751" s="22">
        <f t="shared" si="414"/>
        <v>2022</v>
      </c>
      <c r="V4751" s="22" t="str">
        <f t="shared" si="415"/>
        <v>METROPOLITANA</v>
      </c>
    </row>
    <row r="4752" spans="1:22" x14ac:dyDescent="0.2">
      <c r="A4752" s="23" t="s">
        <v>5748</v>
      </c>
      <c r="B4752" s="22" t="s">
        <v>18</v>
      </c>
      <c r="C4752" s="22" t="s">
        <v>270</v>
      </c>
      <c r="D4752" s="22" t="s">
        <v>37</v>
      </c>
      <c r="E4752" s="24" t="s">
        <v>40</v>
      </c>
      <c r="F4752" s="22" t="s">
        <v>120</v>
      </c>
      <c r="G4752" s="25">
        <v>8798.4</v>
      </c>
      <c r="H4752" s="22" t="s">
        <v>22</v>
      </c>
      <c r="I4752" s="22">
        <v>0</v>
      </c>
      <c r="J4752" s="22" t="s">
        <v>120</v>
      </c>
      <c r="K4752" s="22" t="s">
        <v>23</v>
      </c>
      <c r="L4752" s="22">
        <v>5</v>
      </c>
      <c r="M4752" s="26">
        <v>70000</v>
      </c>
      <c r="N4752" s="26">
        <v>0</v>
      </c>
      <c r="O4752" s="15">
        <f t="shared" si="412"/>
        <v>70000</v>
      </c>
      <c r="P4752" s="15">
        <f t="shared" si="411"/>
        <v>7.9559919985451906</v>
      </c>
      <c r="Q4752" s="25">
        <v>10000</v>
      </c>
      <c r="R4752" s="22">
        <v>88</v>
      </c>
      <c r="S4752" s="22" t="s">
        <v>5749</v>
      </c>
      <c r="T4752" s="22">
        <f t="shared" si="413"/>
        <v>5</v>
      </c>
      <c r="U4752" s="22">
        <f t="shared" si="414"/>
        <v>2022</v>
      </c>
      <c r="V4752" s="22" t="str">
        <f t="shared" si="415"/>
        <v>METROPOLITANA</v>
      </c>
    </row>
    <row r="4753" spans="1:22" x14ac:dyDescent="0.2">
      <c r="A4753" s="23" t="s">
        <v>5748</v>
      </c>
      <c r="B4753" s="22" t="s">
        <v>33</v>
      </c>
      <c r="C4753" s="22" t="s">
        <v>5750</v>
      </c>
      <c r="D4753" s="22" t="s">
        <v>38</v>
      </c>
      <c r="E4753" s="24" t="s">
        <v>25</v>
      </c>
      <c r="F4753" s="22" t="s">
        <v>554</v>
      </c>
      <c r="G4753" s="25">
        <v>3337.1999999999989</v>
      </c>
      <c r="H4753" s="22" t="s">
        <v>43</v>
      </c>
      <c r="I4753" s="22">
        <v>0</v>
      </c>
      <c r="J4753" s="22" t="s">
        <v>554</v>
      </c>
      <c r="K4753" s="22" t="s">
        <v>23</v>
      </c>
      <c r="L4753" s="22">
        <v>4</v>
      </c>
      <c r="M4753" s="26">
        <v>55000</v>
      </c>
      <c r="N4753" s="26">
        <v>0</v>
      </c>
      <c r="O4753" s="15">
        <f t="shared" si="412"/>
        <v>55000</v>
      </c>
      <c r="P4753" s="15">
        <f t="shared" si="411"/>
        <v>16.480882176675063</v>
      </c>
      <c r="Q4753" s="25">
        <v>5000</v>
      </c>
      <c r="R4753" s="22">
        <v>67</v>
      </c>
      <c r="S4753" s="22" t="s">
        <v>5751</v>
      </c>
      <c r="T4753" s="22">
        <f t="shared" si="413"/>
        <v>5</v>
      </c>
      <c r="U4753" s="22">
        <f t="shared" si="414"/>
        <v>2022</v>
      </c>
      <c r="V4753" s="22" t="str">
        <f t="shared" si="415"/>
        <v>METROPOLITANA</v>
      </c>
    </row>
    <row r="4754" spans="1:22" x14ac:dyDescent="0.2">
      <c r="A4754" s="23" t="s">
        <v>5748</v>
      </c>
      <c r="B4754" s="22" t="s">
        <v>33</v>
      </c>
      <c r="C4754" s="22" t="s">
        <v>36</v>
      </c>
      <c r="D4754" s="22" t="s">
        <v>2251</v>
      </c>
      <c r="E4754" s="24" t="s">
        <v>2376</v>
      </c>
      <c r="F4754" s="22" t="s">
        <v>84</v>
      </c>
      <c r="G4754" s="25">
        <f>6864.88+3035</f>
        <v>9899.880000000001</v>
      </c>
      <c r="H4754" s="22" t="s">
        <v>24</v>
      </c>
      <c r="I4754" s="22">
        <v>1</v>
      </c>
      <c r="J4754" s="22" t="s">
        <v>84</v>
      </c>
      <c r="K4754" s="22" t="s">
        <v>86</v>
      </c>
      <c r="L4754" s="22">
        <v>0</v>
      </c>
      <c r="M4754" s="26">
        <v>360000</v>
      </c>
      <c r="N4754" s="26">
        <v>0</v>
      </c>
      <c r="O4754" s="15">
        <f t="shared" si="412"/>
        <v>360000</v>
      </c>
      <c r="P4754" s="15">
        <f t="shared" si="411"/>
        <v>36.364077140328973</v>
      </c>
      <c r="Q4754" s="25">
        <v>20000</v>
      </c>
      <c r="R4754" s="22">
        <v>51</v>
      </c>
      <c r="S4754" s="22" t="s">
        <v>5759</v>
      </c>
      <c r="T4754" s="22">
        <f t="shared" si="413"/>
        <v>5</v>
      </c>
      <c r="U4754" s="22">
        <f t="shared" si="414"/>
        <v>2022</v>
      </c>
      <c r="V4754" s="22" t="str">
        <f t="shared" si="415"/>
        <v>REGIONES</v>
      </c>
    </row>
    <row r="4755" spans="1:22" x14ac:dyDescent="0.2">
      <c r="A4755" s="23" t="s">
        <v>5748</v>
      </c>
      <c r="B4755" s="22" t="s">
        <v>33</v>
      </c>
      <c r="C4755" s="22" t="s">
        <v>36</v>
      </c>
      <c r="D4755" s="22" t="s">
        <v>38</v>
      </c>
      <c r="E4755" s="24" t="s">
        <v>42</v>
      </c>
      <c r="F4755" s="22" t="s">
        <v>274</v>
      </c>
      <c r="G4755" s="25">
        <v>7050.8000000000011</v>
      </c>
      <c r="H4755" s="22" t="s">
        <v>43</v>
      </c>
      <c r="I4755" s="22">
        <v>0</v>
      </c>
      <c r="J4755" s="22" t="s">
        <v>274</v>
      </c>
      <c r="K4755" s="22" t="s">
        <v>78</v>
      </c>
      <c r="L4755" s="22">
        <v>0</v>
      </c>
      <c r="M4755" s="26">
        <v>203000</v>
      </c>
      <c r="N4755" s="26">
        <v>0</v>
      </c>
      <c r="O4755" s="15">
        <f t="shared" si="412"/>
        <v>203000</v>
      </c>
      <c r="P4755" s="15">
        <f t="shared" si="411"/>
        <v>28.791059170590568</v>
      </c>
      <c r="Q4755" s="25">
        <v>20000</v>
      </c>
      <c r="R4755" s="22">
        <v>35</v>
      </c>
      <c r="S4755" s="22" t="s">
        <v>5752</v>
      </c>
      <c r="T4755" s="22">
        <f t="shared" si="413"/>
        <v>5</v>
      </c>
      <c r="U4755" s="22">
        <f t="shared" si="414"/>
        <v>2022</v>
      </c>
      <c r="V4755" s="22" t="str">
        <f t="shared" si="415"/>
        <v>REGIONES</v>
      </c>
    </row>
    <row r="4756" spans="1:22" x14ac:dyDescent="0.2">
      <c r="A4756" s="23" t="s">
        <v>5748</v>
      </c>
      <c r="B4756" s="22" t="s">
        <v>33</v>
      </c>
      <c r="C4756" s="22" t="s">
        <v>36</v>
      </c>
      <c r="D4756" s="22" t="s">
        <v>47</v>
      </c>
      <c r="E4756" s="24" t="s">
        <v>49</v>
      </c>
      <c r="F4756" s="22" t="s">
        <v>855</v>
      </c>
      <c r="G4756" s="25">
        <v>7728.2800000000016</v>
      </c>
      <c r="H4756" s="22" t="s">
        <v>22</v>
      </c>
      <c r="I4756" s="22">
        <v>0</v>
      </c>
      <c r="J4756" s="22" t="s">
        <v>855</v>
      </c>
      <c r="K4756" s="22" t="s">
        <v>78</v>
      </c>
      <c r="L4756" s="22">
        <v>0</v>
      </c>
      <c r="M4756" s="26">
        <v>203000</v>
      </c>
      <c r="N4756" s="26">
        <v>0</v>
      </c>
      <c r="O4756" s="15">
        <f t="shared" si="412"/>
        <v>203000</v>
      </c>
      <c r="P4756" s="15">
        <f t="shared" si="411"/>
        <v>26.267164233179951</v>
      </c>
      <c r="Q4756" s="25">
        <v>20000</v>
      </c>
      <c r="R4756" s="22">
        <v>39</v>
      </c>
      <c r="S4756" s="22" t="s">
        <v>5753</v>
      </c>
      <c r="T4756" s="22">
        <f t="shared" si="413"/>
        <v>5</v>
      </c>
      <c r="U4756" s="22">
        <f t="shared" si="414"/>
        <v>2022</v>
      </c>
      <c r="V4756" s="22" t="str">
        <f t="shared" si="415"/>
        <v>REGIONES</v>
      </c>
    </row>
    <row r="4757" spans="1:22" x14ac:dyDescent="0.2">
      <c r="A4757" s="23" t="s">
        <v>5748</v>
      </c>
      <c r="B4757" s="22" t="s">
        <v>33</v>
      </c>
      <c r="C4757" s="22" t="s">
        <v>29</v>
      </c>
      <c r="D4757" s="22" t="s">
        <v>63</v>
      </c>
      <c r="E4757" s="24" t="s">
        <v>64</v>
      </c>
      <c r="F4757" s="22" t="s">
        <v>39</v>
      </c>
      <c r="G4757" s="25">
        <f>7452+259</f>
        <v>7711</v>
      </c>
      <c r="H4757" s="22" t="s">
        <v>65</v>
      </c>
      <c r="I4757" s="22">
        <v>0</v>
      </c>
      <c r="J4757" s="22" t="s">
        <v>39</v>
      </c>
      <c r="K4757" s="22" t="s">
        <v>23</v>
      </c>
      <c r="L4757" s="22">
        <v>1</v>
      </c>
      <c r="M4757" s="26">
        <v>81972</v>
      </c>
      <c r="N4757" s="26">
        <v>0</v>
      </c>
      <c r="O4757" s="15">
        <f t="shared" si="412"/>
        <v>81972</v>
      </c>
      <c r="P4757" s="15">
        <f t="shared" si="411"/>
        <v>10.630527817403708</v>
      </c>
      <c r="Q4757" s="25">
        <v>5000</v>
      </c>
      <c r="R4757" s="22">
        <v>100</v>
      </c>
      <c r="S4757" s="22" t="s">
        <v>5757</v>
      </c>
      <c r="T4757" s="22">
        <f t="shared" si="413"/>
        <v>5</v>
      </c>
      <c r="U4757" s="22">
        <f t="shared" si="414"/>
        <v>2022</v>
      </c>
      <c r="V4757" s="22" t="str">
        <f t="shared" si="415"/>
        <v>METROPOLITANA</v>
      </c>
    </row>
    <row r="4758" spans="1:22" x14ac:dyDescent="0.2">
      <c r="A4758" s="23" t="s">
        <v>5748</v>
      </c>
      <c r="B4758" s="22" t="s">
        <v>33</v>
      </c>
      <c r="C4758" s="22" t="s">
        <v>29</v>
      </c>
      <c r="D4758" s="22" t="s">
        <v>30</v>
      </c>
      <c r="E4758" s="24" t="s">
        <v>31</v>
      </c>
      <c r="F4758" s="22" t="s">
        <v>39</v>
      </c>
      <c r="G4758" s="25">
        <f>2874+1775</f>
        <v>4649</v>
      </c>
      <c r="H4758" s="22" t="s">
        <v>32</v>
      </c>
      <c r="I4758" s="22">
        <v>0</v>
      </c>
      <c r="J4758" s="22" t="s">
        <v>39</v>
      </c>
      <c r="K4758" s="22" t="s">
        <v>23</v>
      </c>
      <c r="L4758" s="22">
        <v>1</v>
      </c>
      <c r="M4758" s="26">
        <v>55000</v>
      </c>
      <c r="N4758" s="26">
        <v>0</v>
      </c>
      <c r="O4758" s="15">
        <f t="shared" si="412"/>
        <v>55000</v>
      </c>
      <c r="P4758" s="15">
        <f t="shared" si="411"/>
        <v>11.830501183050119</v>
      </c>
      <c r="Q4758" s="25">
        <v>5000</v>
      </c>
      <c r="R4758" s="22">
        <v>95</v>
      </c>
      <c r="S4758" s="22" t="s">
        <v>5758</v>
      </c>
      <c r="T4758" s="22">
        <f t="shared" si="413"/>
        <v>5</v>
      </c>
      <c r="U4758" s="22">
        <f t="shared" si="414"/>
        <v>2022</v>
      </c>
      <c r="V4758" s="22" t="str">
        <f t="shared" si="415"/>
        <v>METROPOLITANA</v>
      </c>
    </row>
    <row r="4759" spans="1:22" x14ac:dyDescent="0.2">
      <c r="A4759" s="23" t="s">
        <v>5748</v>
      </c>
      <c r="B4759" s="22" t="s">
        <v>33</v>
      </c>
      <c r="C4759" s="22" t="s">
        <v>29</v>
      </c>
      <c r="D4759" s="22" t="s">
        <v>164</v>
      </c>
      <c r="E4759" s="24" t="s">
        <v>28</v>
      </c>
      <c r="F4759" s="22" t="s">
        <v>39</v>
      </c>
      <c r="G4759" s="25">
        <v>10502.9</v>
      </c>
      <c r="H4759" s="22" t="s">
        <v>22</v>
      </c>
      <c r="I4759" s="22">
        <v>1</v>
      </c>
      <c r="J4759" s="22" t="s">
        <v>39</v>
      </c>
      <c r="K4759" s="22" t="s">
        <v>23</v>
      </c>
      <c r="L4759" s="22">
        <v>1</v>
      </c>
      <c r="M4759" s="26">
        <v>115532</v>
      </c>
      <c r="N4759" s="26">
        <v>0</v>
      </c>
      <c r="O4759" s="15">
        <f t="shared" si="412"/>
        <v>115532</v>
      </c>
      <c r="P4759" s="15">
        <f t="shared" si="411"/>
        <v>11.000009521179866</v>
      </c>
      <c r="Q4759" s="25">
        <v>5000</v>
      </c>
      <c r="R4759" s="22">
        <v>100</v>
      </c>
      <c r="S4759" s="22" t="s">
        <v>5754</v>
      </c>
      <c r="T4759" s="22">
        <f t="shared" si="413"/>
        <v>5</v>
      </c>
      <c r="U4759" s="22">
        <f t="shared" si="414"/>
        <v>2022</v>
      </c>
      <c r="V4759" s="22" t="str">
        <f t="shared" si="415"/>
        <v>METROPOLITANA</v>
      </c>
    </row>
    <row r="4760" spans="1:22" x14ac:dyDescent="0.2">
      <c r="A4760" s="23" t="s">
        <v>5748</v>
      </c>
      <c r="B4760" s="22" t="s">
        <v>33</v>
      </c>
      <c r="C4760" s="22" t="s">
        <v>29</v>
      </c>
      <c r="D4760" s="22" t="s">
        <v>20</v>
      </c>
      <c r="E4760" s="24" t="s">
        <v>1576</v>
      </c>
      <c r="F4760" s="22" t="s">
        <v>129</v>
      </c>
      <c r="G4760" s="25">
        <v>8566.2999999999993</v>
      </c>
      <c r="H4760" s="22" t="s">
        <v>22</v>
      </c>
      <c r="I4760" s="22">
        <v>0</v>
      </c>
      <c r="J4760" s="22" t="s">
        <v>129</v>
      </c>
      <c r="K4760" s="22" t="s">
        <v>23</v>
      </c>
      <c r="L4760" s="22">
        <v>1</v>
      </c>
      <c r="M4760" s="26">
        <v>94229</v>
      </c>
      <c r="N4760" s="26">
        <v>0</v>
      </c>
      <c r="O4760" s="15">
        <f t="shared" si="412"/>
        <v>94229</v>
      </c>
      <c r="P4760" s="15">
        <f t="shared" si="411"/>
        <v>10.999964979045796</v>
      </c>
      <c r="Q4760" s="25">
        <v>5000</v>
      </c>
      <c r="R4760" s="22">
        <v>100</v>
      </c>
      <c r="S4760" s="22" t="s">
        <v>5755</v>
      </c>
      <c r="T4760" s="22">
        <f t="shared" si="413"/>
        <v>5</v>
      </c>
      <c r="U4760" s="22">
        <f t="shared" si="414"/>
        <v>2022</v>
      </c>
      <c r="V4760" s="22" t="str">
        <f t="shared" si="415"/>
        <v>METROPOLITANA</v>
      </c>
    </row>
    <row r="4761" spans="1:22" x14ac:dyDescent="0.2">
      <c r="A4761" s="23" t="s">
        <v>5748</v>
      </c>
      <c r="B4761" s="22" t="s">
        <v>33</v>
      </c>
      <c r="C4761" s="22" t="s">
        <v>44</v>
      </c>
      <c r="D4761" s="22" t="s">
        <v>37</v>
      </c>
      <c r="E4761" s="24" t="s">
        <v>40</v>
      </c>
      <c r="F4761" s="22" t="s">
        <v>48</v>
      </c>
      <c r="G4761" s="25">
        <f>6450.4+626</f>
        <v>7076.4</v>
      </c>
      <c r="H4761" s="22" t="s">
        <v>22</v>
      </c>
      <c r="I4761" s="22">
        <v>0</v>
      </c>
      <c r="J4761" s="22" t="s">
        <v>48</v>
      </c>
      <c r="K4761" s="22" t="s">
        <v>23</v>
      </c>
      <c r="L4761" s="22">
        <v>1</v>
      </c>
      <c r="M4761" s="26">
        <v>70954</v>
      </c>
      <c r="N4761" s="26">
        <v>0</v>
      </c>
      <c r="O4761" s="15">
        <f t="shared" si="412"/>
        <v>70954</v>
      </c>
      <c r="P4761" s="15">
        <f t="shared" si="411"/>
        <v>10.026849810638177</v>
      </c>
      <c r="Q4761" s="25">
        <v>5000</v>
      </c>
      <c r="R4761" s="22">
        <v>100</v>
      </c>
      <c r="S4761" s="22" t="s">
        <v>5760</v>
      </c>
      <c r="T4761" s="22">
        <f t="shared" si="413"/>
        <v>5</v>
      </c>
      <c r="U4761" s="22">
        <f t="shared" si="414"/>
        <v>2022</v>
      </c>
      <c r="V4761" s="22" t="str">
        <f t="shared" si="415"/>
        <v>METROPOLITANA</v>
      </c>
    </row>
    <row r="4762" spans="1:22" x14ac:dyDescent="0.2">
      <c r="A4762" s="23" t="s">
        <v>5748</v>
      </c>
      <c r="B4762" s="22" t="s">
        <v>33</v>
      </c>
      <c r="C4762" s="22" t="s">
        <v>44</v>
      </c>
      <c r="D4762" s="22" t="s">
        <v>45</v>
      </c>
      <c r="E4762" s="24" t="s">
        <v>52</v>
      </c>
      <c r="F4762" s="22" t="s">
        <v>51</v>
      </c>
      <c r="G4762" s="25">
        <v>5770.36</v>
      </c>
      <c r="H4762" s="22" t="s">
        <v>22</v>
      </c>
      <c r="I4762" s="22">
        <v>0</v>
      </c>
      <c r="J4762" s="22" t="s">
        <v>51</v>
      </c>
      <c r="K4762" s="22" t="s">
        <v>23</v>
      </c>
      <c r="L4762" s="22">
        <v>4</v>
      </c>
      <c r="M4762" s="26">
        <v>63474</v>
      </c>
      <c r="N4762" s="26">
        <v>0</v>
      </c>
      <c r="O4762" s="15">
        <f t="shared" si="412"/>
        <v>63474</v>
      </c>
      <c r="P4762" s="15">
        <f t="shared" si="411"/>
        <v>11.000006931976515</v>
      </c>
      <c r="Q4762" s="25">
        <v>5000</v>
      </c>
      <c r="R4762" s="22">
        <v>100</v>
      </c>
      <c r="S4762" s="22" t="s">
        <v>5756</v>
      </c>
      <c r="T4762" s="22">
        <f t="shared" si="413"/>
        <v>5</v>
      </c>
      <c r="U4762" s="22">
        <f t="shared" si="414"/>
        <v>2022</v>
      </c>
      <c r="V4762" s="22" t="str">
        <f t="shared" si="415"/>
        <v>METROPOLITANA</v>
      </c>
    </row>
    <row r="4763" spans="1:22" x14ac:dyDescent="0.2">
      <c r="A4763" s="11" t="s">
        <v>5761</v>
      </c>
      <c r="B4763" s="12" t="s">
        <v>18</v>
      </c>
      <c r="C4763" s="12" t="s">
        <v>87</v>
      </c>
      <c r="D4763" s="12" t="s">
        <v>38</v>
      </c>
      <c r="E4763" s="13" t="s">
        <v>25</v>
      </c>
      <c r="F4763" s="12" t="s">
        <v>51</v>
      </c>
      <c r="G4763" s="14">
        <v>8081.07</v>
      </c>
      <c r="H4763" s="12" t="s">
        <v>43</v>
      </c>
      <c r="I4763" s="12">
        <v>0</v>
      </c>
      <c r="J4763" s="12" t="s">
        <v>51</v>
      </c>
      <c r="K4763" s="12" t="s">
        <v>23</v>
      </c>
      <c r="L4763" s="12">
        <v>4</v>
      </c>
      <c r="M4763" s="15">
        <v>88892</v>
      </c>
      <c r="N4763" s="15">
        <v>0</v>
      </c>
      <c r="O4763" s="15">
        <f t="shared" si="412"/>
        <v>88892</v>
      </c>
      <c r="P4763" s="15">
        <f t="shared" si="411"/>
        <v>11.000028461577489</v>
      </c>
      <c r="Q4763" s="14">
        <v>5000</v>
      </c>
      <c r="R4763" s="12">
        <v>100</v>
      </c>
      <c r="S4763" s="12" t="s">
        <v>5762</v>
      </c>
      <c r="T4763" s="22">
        <f t="shared" si="413"/>
        <v>5</v>
      </c>
      <c r="U4763" s="22">
        <f t="shared" si="414"/>
        <v>2022</v>
      </c>
      <c r="V4763" s="22" t="str">
        <f t="shared" si="415"/>
        <v>METROPOLITANA</v>
      </c>
    </row>
    <row r="4764" spans="1:22" x14ac:dyDescent="0.2">
      <c r="A4764" s="11" t="s">
        <v>5761</v>
      </c>
      <c r="B4764" s="12" t="s">
        <v>18</v>
      </c>
      <c r="C4764" s="12" t="s">
        <v>87</v>
      </c>
      <c r="D4764" s="12" t="s">
        <v>20</v>
      </c>
      <c r="E4764" s="13" t="s">
        <v>1576</v>
      </c>
      <c r="F4764" s="12" t="s">
        <v>51</v>
      </c>
      <c r="G4764" s="14">
        <v>9802.7999999999956</v>
      </c>
      <c r="H4764" s="12" t="s">
        <v>22</v>
      </c>
      <c r="I4764" s="12">
        <v>0</v>
      </c>
      <c r="J4764" s="12" t="s">
        <v>51</v>
      </c>
      <c r="K4764" s="12" t="s">
        <v>23</v>
      </c>
      <c r="L4764" s="12">
        <v>4</v>
      </c>
      <c r="M4764" s="15">
        <v>107831</v>
      </c>
      <c r="N4764" s="15">
        <v>0</v>
      </c>
      <c r="O4764" s="15">
        <f t="shared" si="412"/>
        <v>107831</v>
      </c>
      <c r="P4764" s="15">
        <f t="shared" si="411"/>
        <v>11.000020402334032</v>
      </c>
      <c r="Q4764" s="14">
        <v>5000</v>
      </c>
      <c r="R4764" s="12">
        <v>100</v>
      </c>
      <c r="S4764" s="12" t="s">
        <v>5763</v>
      </c>
      <c r="T4764" s="22">
        <f t="shared" si="413"/>
        <v>5</v>
      </c>
      <c r="U4764" s="22">
        <f t="shared" si="414"/>
        <v>2022</v>
      </c>
      <c r="V4764" s="22" t="str">
        <f t="shared" si="415"/>
        <v>METROPOLITANA</v>
      </c>
    </row>
    <row r="4765" spans="1:22" x14ac:dyDescent="0.2">
      <c r="A4765" s="11" t="s">
        <v>5761</v>
      </c>
      <c r="B4765" s="12" t="s">
        <v>33</v>
      </c>
      <c r="C4765" s="12" t="s">
        <v>270</v>
      </c>
      <c r="D4765" s="12" t="s">
        <v>30</v>
      </c>
      <c r="E4765" s="13" t="s">
        <v>31</v>
      </c>
      <c r="F4765" s="12" t="s">
        <v>120</v>
      </c>
      <c r="G4765" s="14">
        <v>15419</v>
      </c>
      <c r="H4765" s="12" t="s">
        <v>32</v>
      </c>
      <c r="I4765" s="12">
        <v>0</v>
      </c>
      <c r="J4765" s="12" t="s">
        <v>120</v>
      </c>
      <c r="K4765" s="12" t="s">
        <v>23</v>
      </c>
      <c r="L4765" s="12">
        <v>5</v>
      </c>
      <c r="M4765" s="15">
        <v>70000</v>
      </c>
      <c r="N4765" s="15">
        <v>0</v>
      </c>
      <c r="O4765" s="15">
        <f t="shared" si="412"/>
        <v>70000</v>
      </c>
      <c r="P4765" s="15">
        <f t="shared" si="411"/>
        <v>4.5398534275893381</v>
      </c>
      <c r="Q4765" s="14">
        <v>10000</v>
      </c>
      <c r="R4765" s="12">
        <v>100</v>
      </c>
      <c r="S4765" s="12" t="s">
        <v>5764</v>
      </c>
      <c r="T4765" s="22">
        <f t="shared" si="413"/>
        <v>5</v>
      </c>
      <c r="U4765" s="22">
        <f t="shared" si="414"/>
        <v>2022</v>
      </c>
      <c r="V4765" s="22" t="str">
        <f t="shared" si="415"/>
        <v>METROPOLITANA</v>
      </c>
    </row>
    <row r="4766" spans="1:22" x14ac:dyDescent="0.2">
      <c r="A4766" s="11" t="s">
        <v>5761</v>
      </c>
      <c r="B4766" s="12" t="s">
        <v>33</v>
      </c>
      <c r="C4766" s="12" t="s">
        <v>163</v>
      </c>
      <c r="D4766" s="12" t="s">
        <v>41</v>
      </c>
      <c r="E4766" s="13" t="s">
        <v>25</v>
      </c>
      <c r="F4766" s="12" t="s">
        <v>165</v>
      </c>
      <c r="G4766" s="14">
        <v>4681.1799999999976</v>
      </c>
      <c r="H4766" s="12" t="s">
        <v>43</v>
      </c>
      <c r="I4766" s="12">
        <v>0</v>
      </c>
      <c r="J4766" s="12" t="s">
        <v>165</v>
      </c>
      <c r="K4766" s="12" t="s">
        <v>23</v>
      </c>
      <c r="L4766" s="12">
        <v>4</v>
      </c>
      <c r="M4766" s="15">
        <v>55000</v>
      </c>
      <c r="N4766" s="15">
        <v>0</v>
      </c>
      <c r="O4766" s="15">
        <f t="shared" si="412"/>
        <v>55000</v>
      </c>
      <c r="P4766" s="15">
        <f t="shared" si="411"/>
        <v>11.749174353474984</v>
      </c>
      <c r="Q4766" s="14">
        <v>5000</v>
      </c>
      <c r="R4766" s="12">
        <v>94</v>
      </c>
      <c r="S4766" s="12" t="s">
        <v>5765</v>
      </c>
      <c r="T4766" s="22">
        <f t="shared" si="413"/>
        <v>5</v>
      </c>
      <c r="U4766" s="22">
        <f t="shared" si="414"/>
        <v>2022</v>
      </c>
      <c r="V4766" s="22" t="str">
        <f t="shared" si="415"/>
        <v>METROPOLITANA</v>
      </c>
    </row>
    <row r="4767" spans="1:22" x14ac:dyDescent="0.2">
      <c r="A4767" s="11" t="s">
        <v>5761</v>
      </c>
      <c r="B4767" s="12" t="s">
        <v>33</v>
      </c>
      <c r="C4767" s="12" t="s">
        <v>128</v>
      </c>
      <c r="D4767" s="12" t="s">
        <v>2955</v>
      </c>
      <c r="E4767" s="13" t="s">
        <v>2956</v>
      </c>
      <c r="F4767" s="12" t="s">
        <v>129</v>
      </c>
      <c r="G4767" s="14">
        <v>7479.36</v>
      </c>
      <c r="H4767" s="12" t="s">
        <v>24</v>
      </c>
      <c r="I4767" s="12">
        <v>1</v>
      </c>
      <c r="J4767" s="12" t="s">
        <v>129</v>
      </c>
      <c r="K4767" s="12" t="s">
        <v>23</v>
      </c>
      <c r="L4767" s="12">
        <v>1</v>
      </c>
      <c r="M4767" s="15">
        <v>82273</v>
      </c>
      <c r="N4767" s="15">
        <v>0</v>
      </c>
      <c r="O4767" s="15">
        <f t="shared" si="412"/>
        <v>82273</v>
      </c>
      <c r="P4767" s="15">
        <f t="shared" si="411"/>
        <v>11.00000534805117</v>
      </c>
      <c r="Q4767" s="14">
        <v>5000</v>
      </c>
      <c r="R4767" s="12">
        <v>100</v>
      </c>
      <c r="S4767" s="12" t="s">
        <v>5766</v>
      </c>
      <c r="T4767" s="22">
        <f t="shared" si="413"/>
        <v>5</v>
      </c>
      <c r="U4767" s="22">
        <f t="shared" si="414"/>
        <v>2022</v>
      </c>
      <c r="V4767" s="22" t="str">
        <f t="shared" si="415"/>
        <v>METROPOLITANA</v>
      </c>
    </row>
    <row r="4768" spans="1:22" x14ac:dyDescent="0.2">
      <c r="A4768" s="11" t="s">
        <v>5761</v>
      </c>
      <c r="B4768" s="12" t="s">
        <v>33</v>
      </c>
      <c r="C4768" s="12" t="s">
        <v>36</v>
      </c>
      <c r="D4768" s="12" t="s">
        <v>30</v>
      </c>
      <c r="E4768" s="13" t="s">
        <v>31</v>
      </c>
      <c r="F4768" s="12" t="s">
        <v>127</v>
      </c>
      <c r="G4768" s="14">
        <v>6629.8600000000006</v>
      </c>
      <c r="H4768" s="12" t="s">
        <v>32</v>
      </c>
      <c r="I4768" s="12">
        <v>0</v>
      </c>
      <c r="J4768" s="12" t="s">
        <v>127</v>
      </c>
      <c r="K4768" s="12" t="s">
        <v>78</v>
      </c>
      <c r="L4768" s="12">
        <v>0</v>
      </c>
      <c r="M4768" s="15">
        <v>203000</v>
      </c>
      <c r="N4768" s="15">
        <v>0</v>
      </c>
      <c r="O4768" s="15">
        <f t="shared" si="412"/>
        <v>203000</v>
      </c>
      <c r="P4768" s="15">
        <f t="shared" si="411"/>
        <v>30.619047762697853</v>
      </c>
      <c r="Q4768" s="14">
        <v>20000</v>
      </c>
      <c r="R4768" s="12">
        <v>55</v>
      </c>
      <c r="S4768" s="12" t="s">
        <v>5767</v>
      </c>
      <c r="T4768" s="22">
        <f t="shared" si="413"/>
        <v>5</v>
      </c>
      <c r="U4768" s="22">
        <f t="shared" si="414"/>
        <v>2022</v>
      </c>
      <c r="V4768" s="22" t="str">
        <f t="shared" si="415"/>
        <v>REGIONES</v>
      </c>
    </row>
    <row r="4769" spans="1:22" x14ac:dyDescent="0.2">
      <c r="A4769" s="11" t="s">
        <v>5761</v>
      </c>
      <c r="B4769" s="12" t="s">
        <v>33</v>
      </c>
      <c r="C4769" s="12" t="s">
        <v>36</v>
      </c>
      <c r="D4769" s="12" t="s">
        <v>45</v>
      </c>
      <c r="E4769" s="13" t="s">
        <v>52</v>
      </c>
      <c r="F4769" s="12" t="s">
        <v>53</v>
      </c>
      <c r="G4769" s="14">
        <v>6825.6200000000008</v>
      </c>
      <c r="H4769" s="12" t="s">
        <v>22</v>
      </c>
      <c r="I4769" s="12">
        <v>0</v>
      </c>
      <c r="J4769" s="12" t="s">
        <v>53</v>
      </c>
      <c r="K4769" s="12" t="s">
        <v>23</v>
      </c>
      <c r="L4769" s="12">
        <v>3</v>
      </c>
      <c r="M4769" s="15">
        <v>75082</v>
      </c>
      <c r="N4769" s="15">
        <v>0</v>
      </c>
      <c r="O4769" s="15">
        <f t="shared" si="412"/>
        <v>75082</v>
      </c>
      <c r="P4769" s="15">
        <f t="shared" ref="P4769:P4832" si="416">O4769/G4769</f>
        <v>11.000026371230744</v>
      </c>
      <c r="Q4769" s="14">
        <v>5000</v>
      </c>
      <c r="R4769" s="12">
        <v>100</v>
      </c>
      <c r="S4769" s="12" t="s">
        <v>5768</v>
      </c>
      <c r="T4769" s="22">
        <f t="shared" si="413"/>
        <v>5</v>
      </c>
      <c r="U4769" s="22">
        <f t="shared" si="414"/>
        <v>2022</v>
      </c>
      <c r="V4769" s="22" t="str">
        <f t="shared" si="415"/>
        <v>METROPOLITANA</v>
      </c>
    </row>
    <row r="4770" spans="1:22" x14ac:dyDescent="0.2">
      <c r="A4770" s="11" t="s">
        <v>5761</v>
      </c>
      <c r="B4770" s="12" t="s">
        <v>33</v>
      </c>
      <c r="C4770" s="12" t="s">
        <v>29</v>
      </c>
      <c r="D4770" s="12" t="s">
        <v>37</v>
      </c>
      <c r="E4770" s="13" t="s">
        <v>40</v>
      </c>
      <c r="F4770" s="12" t="s">
        <v>129</v>
      </c>
      <c r="G4770" s="14">
        <v>4552.1999999999989</v>
      </c>
      <c r="H4770" s="12" t="s">
        <v>22</v>
      </c>
      <c r="I4770" s="12">
        <v>0</v>
      </c>
      <c r="J4770" s="12" t="s">
        <v>129</v>
      </c>
      <c r="K4770" s="12" t="s">
        <v>23</v>
      </c>
      <c r="L4770" s="12">
        <v>1</v>
      </c>
      <c r="M4770" s="15">
        <v>55000</v>
      </c>
      <c r="N4770" s="15">
        <v>0</v>
      </c>
      <c r="O4770" s="15">
        <f t="shared" si="412"/>
        <v>55000</v>
      </c>
      <c r="P4770" s="15">
        <f t="shared" si="416"/>
        <v>12.082070207811611</v>
      </c>
      <c r="Q4770" s="14">
        <v>5000</v>
      </c>
      <c r="R4770" s="12">
        <v>91</v>
      </c>
      <c r="S4770" s="12" t="s">
        <v>5769</v>
      </c>
      <c r="T4770" s="22">
        <f t="shared" si="413"/>
        <v>5</v>
      </c>
      <c r="U4770" s="22">
        <f t="shared" si="414"/>
        <v>2022</v>
      </c>
      <c r="V4770" s="22" t="str">
        <f t="shared" si="415"/>
        <v>METROPOLITANA</v>
      </c>
    </row>
    <row r="4771" spans="1:22" x14ac:dyDescent="0.2">
      <c r="A4771" s="11" t="s">
        <v>5761</v>
      </c>
      <c r="B4771" s="12" t="s">
        <v>33</v>
      </c>
      <c r="C4771" s="12" t="s">
        <v>29</v>
      </c>
      <c r="D4771" s="12" t="s">
        <v>63</v>
      </c>
      <c r="E4771" s="13" t="s">
        <v>64</v>
      </c>
      <c r="F4771" s="12" t="s">
        <v>39</v>
      </c>
      <c r="G4771" s="14">
        <v>2176.1999999999989</v>
      </c>
      <c r="H4771" s="12" t="s">
        <v>65</v>
      </c>
      <c r="I4771" s="12">
        <v>0</v>
      </c>
      <c r="J4771" s="12" t="s">
        <v>39</v>
      </c>
      <c r="K4771" s="12" t="s">
        <v>23</v>
      </c>
      <c r="L4771" s="12">
        <v>1</v>
      </c>
      <c r="M4771" s="15">
        <v>55000</v>
      </c>
      <c r="N4771" s="15">
        <v>0</v>
      </c>
      <c r="O4771" s="15">
        <f t="shared" si="412"/>
        <v>55000</v>
      </c>
      <c r="P4771" s="15">
        <f t="shared" si="416"/>
        <v>25.273412370186577</v>
      </c>
      <c r="Q4771" s="14">
        <v>5000</v>
      </c>
      <c r="R4771" s="12">
        <v>55</v>
      </c>
      <c r="S4771" s="12" t="s">
        <v>5770</v>
      </c>
      <c r="T4771" s="22">
        <f t="shared" si="413"/>
        <v>5</v>
      </c>
      <c r="U4771" s="22">
        <f t="shared" si="414"/>
        <v>2022</v>
      </c>
      <c r="V4771" s="22" t="str">
        <f t="shared" si="415"/>
        <v>METROPOLITANA</v>
      </c>
    </row>
    <row r="4772" spans="1:22" x14ac:dyDescent="0.2">
      <c r="A4772" s="11" t="s">
        <v>5761</v>
      </c>
      <c r="B4772" s="12" t="s">
        <v>33</v>
      </c>
      <c r="C4772" s="12" t="s">
        <v>29</v>
      </c>
      <c r="D4772" s="12" t="s">
        <v>164</v>
      </c>
      <c r="E4772" s="13" t="s">
        <v>28</v>
      </c>
      <c r="F4772" s="12" t="s">
        <v>39</v>
      </c>
      <c r="G4772" s="14">
        <v>10032</v>
      </c>
      <c r="H4772" s="12" t="s">
        <v>22</v>
      </c>
      <c r="I4772" s="12">
        <v>1</v>
      </c>
      <c r="J4772" s="12" t="s">
        <v>39</v>
      </c>
      <c r="K4772" s="12" t="s">
        <v>23</v>
      </c>
      <c r="L4772" s="12">
        <v>1</v>
      </c>
      <c r="M4772" s="15">
        <v>110352</v>
      </c>
      <c r="N4772" s="15">
        <v>0</v>
      </c>
      <c r="O4772" s="15">
        <f t="shared" si="412"/>
        <v>110352</v>
      </c>
      <c r="P4772" s="15">
        <f t="shared" si="416"/>
        <v>11</v>
      </c>
      <c r="Q4772" s="14">
        <v>5000</v>
      </c>
      <c r="R4772" s="12">
        <v>100</v>
      </c>
      <c r="S4772" s="12" t="s">
        <v>5771</v>
      </c>
      <c r="T4772" s="22">
        <f t="shared" si="413"/>
        <v>5</v>
      </c>
      <c r="U4772" s="22">
        <f t="shared" si="414"/>
        <v>2022</v>
      </c>
      <c r="V4772" s="22" t="str">
        <f t="shared" si="415"/>
        <v>METROPOLITANA</v>
      </c>
    </row>
    <row r="4773" spans="1:22" x14ac:dyDescent="0.2">
      <c r="A4773" s="11" t="s">
        <v>5761</v>
      </c>
      <c r="B4773" s="12" t="s">
        <v>33</v>
      </c>
      <c r="C4773" s="12" t="s">
        <v>44</v>
      </c>
      <c r="D4773" s="12" t="s">
        <v>47</v>
      </c>
      <c r="E4773" s="13" t="s">
        <v>49</v>
      </c>
      <c r="F4773" s="12" t="s">
        <v>48</v>
      </c>
      <c r="G4773" s="14">
        <v>4820.24</v>
      </c>
      <c r="H4773" s="12" t="s">
        <v>22</v>
      </c>
      <c r="I4773" s="12">
        <v>0</v>
      </c>
      <c r="J4773" s="12" t="s">
        <v>48</v>
      </c>
      <c r="K4773" s="12" t="s">
        <v>23</v>
      </c>
      <c r="L4773" s="12">
        <v>1</v>
      </c>
      <c r="M4773" s="15">
        <v>55000</v>
      </c>
      <c r="N4773" s="15">
        <v>0</v>
      </c>
      <c r="O4773" s="15">
        <f t="shared" si="412"/>
        <v>55000</v>
      </c>
      <c r="P4773" s="15">
        <f t="shared" si="416"/>
        <v>11.410220237996448</v>
      </c>
      <c r="Q4773" s="14">
        <v>5000</v>
      </c>
      <c r="R4773" s="12">
        <v>96</v>
      </c>
      <c r="S4773" s="12" t="s">
        <v>5772</v>
      </c>
      <c r="T4773" s="22">
        <f t="shared" si="413"/>
        <v>5</v>
      </c>
      <c r="U4773" s="22">
        <f t="shared" si="414"/>
        <v>2022</v>
      </c>
      <c r="V4773" s="22" t="str">
        <f t="shared" si="415"/>
        <v>METROPOLITANA</v>
      </c>
    </row>
    <row r="4774" spans="1:22" x14ac:dyDescent="0.2">
      <c r="A4774" s="23" t="s">
        <v>5773</v>
      </c>
      <c r="B4774" s="22" t="s">
        <v>33</v>
      </c>
      <c r="C4774" s="22" t="s">
        <v>60</v>
      </c>
      <c r="D4774" s="22" t="s">
        <v>5774</v>
      </c>
      <c r="E4774" s="24" t="s">
        <v>5775</v>
      </c>
      <c r="F4774" s="22" t="s">
        <v>51</v>
      </c>
      <c r="G4774" s="25">
        <v>7609.7400000000016</v>
      </c>
      <c r="H4774" s="22" t="s">
        <v>24</v>
      </c>
      <c r="I4774" s="22">
        <v>1</v>
      </c>
      <c r="J4774" s="22" t="s">
        <v>51</v>
      </c>
      <c r="K4774" s="22" t="s">
        <v>23</v>
      </c>
      <c r="L4774" s="22">
        <v>4</v>
      </c>
      <c r="M4774" s="26">
        <v>83707</v>
      </c>
      <c r="N4774" s="26">
        <v>0</v>
      </c>
      <c r="O4774" s="15">
        <f t="shared" ref="O4774:O4837" si="417">SUM(M4774:N4774)</f>
        <v>83707</v>
      </c>
      <c r="P4774" s="15">
        <f t="shared" si="416"/>
        <v>10.999981602525182</v>
      </c>
      <c r="Q4774" s="25">
        <v>5000</v>
      </c>
      <c r="R4774" s="22">
        <v>100</v>
      </c>
      <c r="S4774" s="22" t="s">
        <v>5776</v>
      </c>
      <c r="T4774" s="22">
        <f t="shared" si="413"/>
        <v>5</v>
      </c>
      <c r="U4774" s="22">
        <f t="shared" si="414"/>
        <v>2022</v>
      </c>
      <c r="V4774" s="22" t="str">
        <f t="shared" si="415"/>
        <v>METROPOLITANA</v>
      </c>
    </row>
    <row r="4775" spans="1:22" x14ac:dyDescent="0.2">
      <c r="A4775" s="23" t="s">
        <v>5773</v>
      </c>
      <c r="B4775" s="22" t="s">
        <v>33</v>
      </c>
      <c r="C4775" s="22" t="s">
        <v>36</v>
      </c>
      <c r="D4775" s="22" t="s">
        <v>5478</v>
      </c>
      <c r="E4775" s="24" t="s">
        <v>83</v>
      </c>
      <c r="F4775" s="22" t="s">
        <v>2055</v>
      </c>
      <c r="G4775" s="25">
        <f>6258.08+1674</f>
        <v>7932.08</v>
      </c>
      <c r="H4775" s="22" t="s">
        <v>24</v>
      </c>
      <c r="I4775" s="22">
        <v>1</v>
      </c>
      <c r="J4775" s="22" t="s">
        <v>2055</v>
      </c>
      <c r="K4775" s="22" t="s">
        <v>86</v>
      </c>
      <c r="L4775" s="22">
        <v>0</v>
      </c>
      <c r="M4775" s="26">
        <v>300000</v>
      </c>
      <c r="N4775" s="26">
        <v>0</v>
      </c>
      <c r="O4775" s="15">
        <f t="shared" si="417"/>
        <v>300000</v>
      </c>
      <c r="P4775" s="15">
        <f t="shared" si="416"/>
        <v>37.821101148752909</v>
      </c>
      <c r="Q4775" s="25">
        <v>20000</v>
      </c>
      <c r="R4775" s="22">
        <v>55</v>
      </c>
      <c r="S4775" s="22" t="s">
        <v>5786</v>
      </c>
      <c r="T4775" s="22">
        <f t="shared" si="413"/>
        <v>5</v>
      </c>
      <c r="U4775" s="22">
        <f t="shared" si="414"/>
        <v>2022</v>
      </c>
      <c r="V4775" s="22" t="str">
        <f t="shared" si="415"/>
        <v>REGIONES</v>
      </c>
    </row>
    <row r="4776" spans="1:22" x14ac:dyDescent="0.2">
      <c r="A4776" s="23" t="s">
        <v>5773</v>
      </c>
      <c r="B4776" s="22" t="s">
        <v>33</v>
      </c>
      <c r="C4776" s="22" t="s">
        <v>36</v>
      </c>
      <c r="D4776" s="22" t="s">
        <v>786</v>
      </c>
      <c r="E4776" s="24" t="s">
        <v>787</v>
      </c>
      <c r="F4776" s="22" t="s">
        <v>876</v>
      </c>
      <c r="G4776" s="25">
        <v>6704.6999999999989</v>
      </c>
      <c r="H4776" s="22" t="s">
        <v>788</v>
      </c>
      <c r="I4776" s="22">
        <v>1</v>
      </c>
      <c r="J4776" s="22" t="s">
        <v>876</v>
      </c>
      <c r="K4776" s="22" t="s">
        <v>86</v>
      </c>
      <c r="L4776" s="22">
        <v>0</v>
      </c>
      <c r="M4776" s="26">
        <v>350000</v>
      </c>
      <c r="N4776" s="26">
        <v>0</v>
      </c>
      <c r="O4776" s="15">
        <f t="shared" si="417"/>
        <v>350000</v>
      </c>
      <c r="P4776" s="15">
        <f t="shared" si="416"/>
        <v>52.202186525869919</v>
      </c>
      <c r="Q4776" s="25">
        <v>20000</v>
      </c>
      <c r="R4776" s="22">
        <v>34</v>
      </c>
      <c r="S4776" s="22" t="s">
        <v>5777</v>
      </c>
      <c r="T4776" s="22">
        <f t="shared" si="413"/>
        <v>5</v>
      </c>
      <c r="U4776" s="22">
        <f t="shared" si="414"/>
        <v>2022</v>
      </c>
      <c r="V4776" s="22" t="str">
        <f t="shared" si="415"/>
        <v>REGIONES</v>
      </c>
    </row>
    <row r="4777" spans="1:22" x14ac:dyDescent="0.2">
      <c r="A4777" s="23" t="s">
        <v>5773</v>
      </c>
      <c r="B4777" s="22" t="s">
        <v>33</v>
      </c>
      <c r="C4777" s="22" t="s">
        <v>909</v>
      </c>
      <c r="D4777" s="22" t="s">
        <v>2955</v>
      </c>
      <c r="E4777" s="24" t="s">
        <v>2956</v>
      </c>
      <c r="F4777" s="22" t="s">
        <v>3898</v>
      </c>
      <c r="G4777" s="25">
        <v>8674.16</v>
      </c>
      <c r="H4777" s="22" t="s">
        <v>24</v>
      </c>
      <c r="I4777" s="22">
        <v>1</v>
      </c>
      <c r="J4777" s="22" t="s">
        <v>910</v>
      </c>
      <c r="K4777" s="22" t="s">
        <v>171</v>
      </c>
      <c r="L4777" s="22">
        <v>0</v>
      </c>
      <c r="M4777" s="26">
        <v>260000</v>
      </c>
      <c r="N4777" s="26">
        <v>0</v>
      </c>
      <c r="O4777" s="15">
        <f t="shared" si="417"/>
        <v>260000</v>
      </c>
      <c r="P4777" s="15">
        <f t="shared" si="416"/>
        <v>29.97408394588064</v>
      </c>
      <c r="Q4777" s="25">
        <v>20000</v>
      </c>
      <c r="R4777" s="22">
        <v>43</v>
      </c>
      <c r="S4777" s="22" t="s">
        <v>5778</v>
      </c>
      <c r="T4777" s="22">
        <f t="shared" si="413"/>
        <v>5</v>
      </c>
      <c r="U4777" s="22">
        <f t="shared" si="414"/>
        <v>2022</v>
      </c>
      <c r="V4777" s="22" t="str">
        <f t="shared" si="415"/>
        <v>REGIONES</v>
      </c>
    </row>
    <row r="4778" spans="1:22" x14ac:dyDescent="0.2">
      <c r="A4778" s="23" t="s">
        <v>5773</v>
      </c>
      <c r="B4778" s="22" t="s">
        <v>33</v>
      </c>
      <c r="C4778" s="22" t="s">
        <v>29</v>
      </c>
      <c r="D4778" s="22" t="s">
        <v>37</v>
      </c>
      <c r="E4778" s="24" t="s">
        <v>40</v>
      </c>
      <c r="F4778" s="22" t="s">
        <v>129</v>
      </c>
      <c r="G4778" s="25">
        <v>5267.8200000000024</v>
      </c>
      <c r="H4778" s="22" t="s">
        <v>22</v>
      </c>
      <c r="I4778" s="22">
        <v>0</v>
      </c>
      <c r="J4778" s="22" t="s">
        <v>129</v>
      </c>
      <c r="K4778" s="22" t="s">
        <v>23</v>
      </c>
      <c r="L4778" s="22">
        <v>1</v>
      </c>
      <c r="M4778" s="26">
        <v>57946</v>
      </c>
      <c r="N4778" s="26">
        <v>0</v>
      </c>
      <c r="O4778" s="15">
        <f t="shared" si="417"/>
        <v>57946</v>
      </c>
      <c r="P4778" s="15">
        <f t="shared" si="416"/>
        <v>10.999996203363056</v>
      </c>
      <c r="Q4778" s="25">
        <v>5000</v>
      </c>
      <c r="R4778" s="22">
        <v>100</v>
      </c>
      <c r="S4778" s="22" t="s">
        <v>5779</v>
      </c>
      <c r="T4778" s="22">
        <f t="shared" si="413"/>
        <v>5</v>
      </c>
      <c r="U4778" s="22">
        <f t="shared" si="414"/>
        <v>2022</v>
      </c>
      <c r="V4778" s="22" t="str">
        <f t="shared" si="415"/>
        <v>METROPOLITANA</v>
      </c>
    </row>
    <row r="4779" spans="1:22" x14ac:dyDescent="0.2">
      <c r="A4779" s="23" t="s">
        <v>5773</v>
      </c>
      <c r="B4779" s="22" t="s">
        <v>33</v>
      </c>
      <c r="C4779" s="22" t="s">
        <v>29</v>
      </c>
      <c r="D4779" s="22" t="s">
        <v>41</v>
      </c>
      <c r="E4779" s="24" t="s">
        <v>25</v>
      </c>
      <c r="F4779" s="22" t="s">
        <v>39</v>
      </c>
      <c r="G4779" s="25">
        <v>2176.1999999999989</v>
      </c>
      <c r="H4779" s="22" t="s">
        <v>43</v>
      </c>
      <c r="I4779" s="22">
        <v>0</v>
      </c>
      <c r="J4779" s="22" t="s">
        <v>39</v>
      </c>
      <c r="K4779" s="22" t="s">
        <v>23</v>
      </c>
      <c r="L4779" s="22">
        <v>1</v>
      </c>
      <c r="M4779" s="26">
        <v>55000</v>
      </c>
      <c r="N4779" s="26">
        <v>0</v>
      </c>
      <c r="O4779" s="15">
        <f t="shared" si="417"/>
        <v>55000</v>
      </c>
      <c r="P4779" s="15">
        <f t="shared" si="416"/>
        <v>25.273412370186577</v>
      </c>
      <c r="Q4779" s="25">
        <v>5000</v>
      </c>
      <c r="R4779" s="22">
        <v>44</v>
      </c>
      <c r="S4779" s="22" t="s">
        <v>5780</v>
      </c>
      <c r="T4779" s="22">
        <f t="shared" si="413"/>
        <v>5</v>
      </c>
      <c r="U4779" s="22">
        <f t="shared" si="414"/>
        <v>2022</v>
      </c>
      <c r="V4779" s="22" t="str">
        <f t="shared" si="415"/>
        <v>METROPOLITANA</v>
      </c>
    </row>
    <row r="4780" spans="1:22" x14ac:dyDescent="0.2">
      <c r="A4780" s="23" t="s">
        <v>5773</v>
      </c>
      <c r="B4780" s="22" t="s">
        <v>33</v>
      </c>
      <c r="C4780" s="22" t="s">
        <v>29</v>
      </c>
      <c r="D4780" s="22" t="s">
        <v>164</v>
      </c>
      <c r="E4780" s="24" t="s">
        <v>28</v>
      </c>
      <c r="F4780" s="22" t="s">
        <v>39</v>
      </c>
      <c r="G4780" s="25">
        <v>11749.16</v>
      </c>
      <c r="H4780" s="22" t="s">
        <v>22</v>
      </c>
      <c r="I4780" s="22">
        <v>1</v>
      </c>
      <c r="J4780" s="22" t="s">
        <v>39</v>
      </c>
      <c r="K4780" s="22" t="s">
        <v>23</v>
      </c>
      <c r="L4780" s="22">
        <v>1</v>
      </c>
      <c r="M4780" s="26">
        <v>129241</v>
      </c>
      <c r="N4780" s="26">
        <v>0</v>
      </c>
      <c r="O4780" s="15">
        <f t="shared" si="417"/>
        <v>129241</v>
      </c>
      <c r="P4780" s="15">
        <f t="shared" si="416"/>
        <v>11.000020426992227</v>
      </c>
      <c r="Q4780" s="25">
        <v>5000</v>
      </c>
      <c r="R4780" s="22">
        <v>100</v>
      </c>
      <c r="S4780" s="22" t="s">
        <v>5781</v>
      </c>
      <c r="T4780" s="22">
        <f t="shared" si="413"/>
        <v>5</v>
      </c>
      <c r="U4780" s="22">
        <f t="shared" si="414"/>
        <v>2022</v>
      </c>
      <c r="V4780" s="22" t="str">
        <f t="shared" si="415"/>
        <v>METROPOLITANA</v>
      </c>
    </row>
    <row r="4781" spans="1:22" x14ac:dyDescent="0.2">
      <c r="A4781" s="23" t="s">
        <v>5773</v>
      </c>
      <c r="B4781" s="22" t="s">
        <v>33</v>
      </c>
      <c r="C4781" s="22" t="s">
        <v>44</v>
      </c>
      <c r="D4781" s="22" t="s">
        <v>1869</v>
      </c>
      <c r="E4781" s="24" t="s">
        <v>1870</v>
      </c>
      <c r="F4781" s="22" t="s">
        <v>3438</v>
      </c>
      <c r="G4781" s="25">
        <v>11089.2</v>
      </c>
      <c r="H4781" s="22" t="s">
        <v>24</v>
      </c>
      <c r="I4781" s="22">
        <v>1</v>
      </c>
      <c r="J4781" s="22" t="s">
        <v>3438</v>
      </c>
      <c r="K4781" s="22" t="s">
        <v>93</v>
      </c>
      <c r="L4781" s="22">
        <v>0</v>
      </c>
      <c r="M4781" s="26">
        <v>800000</v>
      </c>
      <c r="N4781" s="26">
        <v>0</v>
      </c>
      <c r="O4781" s="15">
        <f t="shared" si="417"/>
        <v>800000</v>
      </c>
      <c r="P4781" s="15">
        <f t="shared" si="416"/>
        <v>72.142264545684085</v>
      </c>
      <c r="Q4781" s="25">
        <v>20000</v>
      </c>
      <c r="R4781" s="22">
        <v>55</v>
      </c>
      <c r="S4781" s="22" t="s">
        <v>5782</v>
      </c>
      <c r="T4781" s="22">
        <f t="shared" si="413"/>
        <v>5</v>
      </c>
      <c r="U4781" s="22">
        <f t="shared" si="414"/>
        <v>2022</v>
      </c>
      <c r="V4781" s="22" t="str">
        <f t="shared" si="415"/>
        <v>REGIONES</v>
      </c>
    </row>
    <row r="4782" spans="1:22" x14ac:dyDescent="0.2">
      <c r="A4782" s="23" t="s">
        <v>5773</v>
      </c>
      <c r="B4782" s="22" t="s">
        <v>33</v>
      </c>
      <c r="C4782" s="22" t="s">
        <v>44</v>
      </c>
      <c r="D4782" s="22" t="s">
        <v>1170</v>
      </c>
      <c r="E4782" s="24" t="s">
        <v>81</v>
      </c>
      <c r="F4782" s="22" t="s">
        <v>2639</v>
      </c>
      <c r="G4782" s="25">
        <v>13702.37</v>
      </c>
      <c r="H4782" s="22" t="s">
        <v>24</v>
      </c>
      <c r="I4782" s="22">
        <v>1</v>
      </c>
      <c r="J4782" s="22" t="s">
        <v>2639</v>
      </c>
      <c r="K4782" s="22" t="s">
        <v>75</v>
      </c>
      <c r="L4782" s="22">
        <v>0</v>
      </c>
      <c r="M4782" s="26">
        <v>460000</v>
      </c>
      <c r="N4782" s="26">
        <v>0</v>
      </c>
      <c r="O4782" s="15">
        <f t="shared" si="417"/>
        <v>460000</v>
      </c>
      <c r="P4782" s="15">
        <f t="shared" si="416"/>
        <v>33.570834826384043</v>
      </c>
      <c r="Q4782" s="25">
        <v>20000</v>
      </c>
      <c r="R4782" s="22">
        <v>69</v>
      </c>
      <c r="S4782" s="22" t="s">
        <v>5783</v>
      </c>
      <c r="T4782" s="22">
        <f t="shared" si="413"/>
        <v>5</v>
      </c>
      <c r="U4782" s="22">
        <f t="shared" si="414"/>
        <v>2022</v>
      </c>
      <c r="V4782" s="22" t="str">
        <f t="shared" si="415"/>
        <v>REGIONES</v>
      </c>
    </row>
    <row r="4783" spans="1:22" x14ac:dyDescent="0.2">
      <c r="A4783" s="23" t="s">
        <v>5773</v>
      </c>
      <c r="B4783" s="22" t="s">
        <v>33</v>
      </c>
      <c r="C4783" s="22" t="s">
        <v>44</v>
      </c>
      <c r="D4783" s="22" t="s">
        <v>45</v>
      </c>
      <c r="E4783" s="24" t="s">
        <v>52</v>
      </c>
      <c r="F4783" s="22" t="s">
        <v>46</v>
      </c>
      <c r="G4783" s="25">
        <v>5452.4</v>
      </c>
      <c r="H4783" s="22" t="s">
        <v>22</v>
      </c>
      <c r="I4783" s="22">
        <v>0</v>
      </c>
      <c r="J4783" s="22" t="s">
        <v>46</v>
      </c>
      <c r="K4783" s="22" t="s">
        <v>23</v>
      </c>
      <c r="L4783" s="22">
        <v>2</v>
      </c>
      <c r="M4783" s="26">
        <v>59976</v>
      </c>
      <c r="N4783" s="26">
        <v>0</v>
      </c>
      <c r="O4783" s="15">
        <f t="shared" si="417"/>
        <v>59976</v>
      </c>
      <c r="P4783" s="15">
        <f t="shared" si="416"/>
        <v>10.999926637810873</v>
      </c>
      <c r="Q4783" s="25">
        <v>5000</v>
      </c>
      <c r="R4783" s="22">
        <v>100</v>
      </c>
      <c r="S4783" s="22" t="s">
        <v>5784</v>
      </c>
      <c r="T4783" s="22">
        <f t="shared" si="413"/>
        <v>5</v>
      </c>
      <c r="U4783" s="22">
        <f t="shared" si="414"/>
        <v>2022</v>
      </c>
      <c r="V4783" s="22" t="str">
        <f t="shared" si="415"/>
        <v>METROPOLITANA</v>
      </c>
    </row>
    <row r="4784" spans="1:22" x14ac:dyDescent="0.2">
      <c r="A4784" s="23" t="s">
        <v>5773</v>
      </c>
      <c r="B4784" s="22" t="s">
        <v>33</v>
      </c>
      <c r="C4784" s="22" t="s">
        <v>44</v>
      </c>
      <c r="D4784" s="22" t="s">
        <v>47</v>
      </c>
      <c r="E4784" s="24" t="s">
        <v>49</v>
      </c>
      <c r="F4784" s="22" t="s">
        <v>48</v>
      </c>
      <c r="G4784" s="25">
        <v>7804</v>
      </c>
      <c r="H4784" s="22" t="s">
        <v>22</v>
      </c>
      <c r="I4784" s="22">
        <v>0</v>
      </c>
      <c r="J4784" s="22" t="s">
        <v>48</v>
      </c>
      <c r="K4784" s="22" t="s">
        <v>23</v>
      </c>
      <c r="L4784" s="22">
        <v>1</v>
      </c>
      <c r="M4784" s="26">
        <v>85844</v>
      </c>
      <c r="N4784" s="26">
        <v>0</v>
      </c>
      <c r="O4784" s="15">
        <f t="shared" si="417"/>
        <v>85844</v>
      </c>
      <c r="P4784" s="15">
        <f t="shared" si="416"/>
        <v>11</v>
      </c>
      <c r="Q4784" s="25">
        <v>5000</v>
      </c>
      <c r="R4784" s="22">
        <v>100</v>
      </c>
      <c r="S4784" s="22" t="s">
        <v>5785</v>
      </c>
      <c r="T4784" s="22">
        <f t="shared" si="413"/>
        <v>5</v>
      </c>
      <c r="U4784" s="22">
        <f t="shared" si="414"/>
        <v>2022</v>
      </c>
      <c r="V4784" s="22" t="str">
        <f t="shared" si="415"/>
        <v>METROPOLITANA</v>
      </c>
    </row>
    <row r="4785" spans="1:22" x14ac:dyDescent="0.2">
      <c r="A4785" s="11" t="s">
        <v>5787</v>
      </c>
      <c r="B4785" s="12" t="s">
        <v>33</v>
      </c>
      <c r="C4785" s="12" t="s">
        <v>29</v>
      </c>
      <c r="D4785" s="12" t="s">
        <v>37</v>
      </c>
      <c r="E4785" s="13" t="s">
        <v>40</v>
      </c>
      <c r="F4785" s="12" t="s">
        <v>173</v>
      </c>
      <c r="G4785" s="14">
        <v>4441.8</v>
      </c>
      <c r="H4785" s="12" t="s">
        <v>22</v>
      </c>
      <c r="I4785" s="12">
        <v>0</v>
      </c>
      <c r="J4785" s="12" t="s">
        <v>173</v>
      </c>
      <c r="K4785" s="12" t="s">
        <v>23</v>
      </c>
      <c r="L4785" s="12">
        <v>5</v>
      </c>
      <c r="M4785" s="15">
        <v>90000</v>
      </c>
      <c r="N4785" s="15">
        <v>0</v>
      </c>
      <c r="O4785" s="15">
        <f t="shared" si="417"/>
        <v>90000</v>
      </c>
      <c r="P4785" s="15">
        <f t="shared" si="416"/>
        <v>20.262055923274346</v>
      </c>
      <c r="Q4785" s="14">
        <v>10000</v>
      </c>
      <c r="R4785" s="12">
        <v>44</v>
      </c>
      <c r="S4785" s="12" t="s">
        <v>5788</v>
      </c>
      <c r="T4785" s="22">
        <f t="shared" si="413"/>
        <v>5</v>
      </c>
      <c r="U4785" s="22">
        <f t="shared" si="414"/>
        <v>2022</v>
      </c>
      <c r="V4785" s="22" t="str">
        <f t="shared" si="415"/>
        <v>METROPOLITANA</v>
      </c>
    </row>
    <row r="4786" spans="1:22" x14ac:dyDescent="0.2">
      <c r="A4786" s="11" t="s">
        <v>5787</v>
      </c>
      <c r="B4786" s="12" t="s">
        <v>33</v>
      </c>
      <c r="C4786" s="12" t="s">
        <v>44</v>
      </c>
      <c r="D4786" s="12" t="s">
        <v>63</v>
      </c>
      <c r="E4786" s="13" t="s">
        <v>64</v>
      </c>
      <c r="F4786" s="12" t="s">
        <v>53</v>
      </c>
      <c r="G4786" s="14">
        <v>4153.9000000000005</v>
      </c>
      <c r="H4786" s="12" t="s">
        <v>65</v>
      </c>
      <c r="I4786" s="12">
        <v>0</v>
      </c>
      <c r="J4786" s="12" t="s">
        <v>53</v>
      </c>
      <c r="K4786" s="12" t="s">
        <v>23</v>
      </c>
      <c r="L4786" s="12">
        <v>3</v>
      </c>
      <c r="M4786" s="15">
        <v>55000</v>
      </c>
      <c r="N4786" s="15">
        <v>0</v>
      </c>
      <c r="O4786" s="15">
        <f t="shared" si="417"/>
        <v>55000</v>
      </c>
      <c r="P4786" s="15">
        <f t="shared" si="416"/>
        <v>13.240569103733838</v>
      </c>
      <c r="Q4786" s="14">
        <v>5000</v>
      </c>
      <c r="R4786" s="12">
        <v>83</v>
      </c>
      <c r="S4786" s="12" t="s">
        <v>5789</v>
      </c>
      <c r="T4786" s="22">
        <f t="shared" si="413"/>
        <v>5</v>
      </c>
      <c r="U4786" s="22">
        <f t="shared" si="414"/>
        <v>2022</v>
      </c>
      <c r="V4786" s="22" t="str">
        <f t="shared" si="415"/>
        <v>METROPOLITANA</v>
      </c>
    </row>
    <row r="4787" spans="1:22" x14ac:dyDescent="0.2">
      <c r="A4787" s="11" t="s">
        <v>5787</v>
      </c>
      <c r="B4787" s="12" t="s">
        <v>33</v>
      </c>
      <c r="C4787" s="12" t="s">
        <v>44</v>
      </c>
      <c r="D4787" s="12" t="s">
        <v>30</v>
      </c>
      <c r="E4787" s="13" t="s">
        <v>4681</v>
      </c>
      <c r="F4787" s="12" t="s">
        <v>34</v>
      </c>
      <c r="G4787" s="14">
        <v>3431.6000000000008</v>
      </c>
      <c r="H4787" s="12" t="s">
        <v>32</v>
      </c>
      <c r="I4787" s="12">
        <v>0</v>
      </c>
      <c r="J4787" s="12" t="s">
        <v>34</v>
      </c>
      <c r="K4787" s="12" t="s">
        <v>23</v>
      </c>
      <c r="L4787" s="12">
        <v>1</v>
      </c>
      <c r="M4787" s="15">
        <v>55000</v>
      </c>
      <c r="N4787" s="15">
        <v>0</v>
      </c>
      <c r="O4787" s="15">
        <f t="shared" si="417"/>
        <v>55000</v>
      </c>
      <c r="P4787" s="15">
        <f t="shared" si="416"/>
        <v>16.027509033686908</v>
      </c>
      <c r="Q4787" s="14">
        <v>5000</v>
      </c>
      <c r="R4787" s="12">
        <v>69</v>
      </c>
      <c r="S4787" s="12" t="s">
        <v>5790</v>
      </c>
      <c r="T4787" s="22">
        <f t="shared" si="413"/>
        <v>5</v>
      </c>
      <c r="U4787" s="22">
        <f t="shared" si="414"/>
        <v>2022</v>
      </c>
      <c r="V4787" s="22" t="str">
        <f t="shared" si="415"/>
        <v>METROPOLITANA</v>
      </c>
    </row>
    <row r="4788" spans="1:22" x14ac:dyDescent="0.2">
      <c r="A4788" s="11" t="s">
        <v>5787</v>
      </c>
      <c r="B4788" s="12" t="s">
        <v>33</v>
      </c>
      <c r="C4788" s="12" t="s">
        <v>44</v>
      </c>
      <c r="D4788" s="12" t="s">
        <v>45</v>
      </c>
      <c r="E4788" s="13" t="s">
        <v>52</v>
      </c>
      <c r="F4788" s="12" t="s">
        <v>95</v>
      </c>
      <c r="G4788" s="14">
        <v>2629.82</v>
      </c>
      <c r="H4788" s="12" t="s">
        <v>22</v>
      </c>
      <c r="I4788" s="12">
        <v>0</v>
      </c>
      <c r="J4788" s="12" t="s">
        <v>95</v>
      </c>
      <c r="K4788" s="12" t="s">
        <v>23</v>
      </c>
      <c r="L4788" s="12">
        <v>4</v>
      </c>
      <c r="M4788" s="15">
        <v>55000</v>
      </c>
      <c r="N4788" s="15">
        <v>0</v>
      </c>
      <c r="O4788" s="15">
        <f t="shared" si="417"/>
        <v>55000</v>
      </c>
      <c r="P4788" s="15">
        <f t="shared" si="416"/>
        <v>20.913978903499096</v>
      </c>
      <c r="Q4788" s="14">
        <v>5000</v>
      </c>
      <c r="R4788" s="12">
        <v>53</v>
      </c>
      <c r="S4788" s="12" t="s">
        <v>5791</v>
      </c>
      <c r="T4788" s="22">
        <f t="shared" si="413"/>
        <v>5</v>
      </c>
      <c r="U4788" s="22">
        <f t="shared" si="414"/>
        <v>2022</v>
      </c>
      <c r="V4788" s="22" t="str">
        <f t="shared" si="415"/>
        <v>METROPOLITANA</v>
      </c>
    </row>
    <row r="4789" spans="1:22" x14ac:dyDescent="0.2">
      <c r="A4789" s="11" t="s">
        <v>5787</v>
      </c>
      <c r="B4789" s="12" t="s">
        <v>33</v>
      </c>
      <c r="C4789" s="12" t="s">
        <v>44</v>
      </c>
      <c r="D4789" s="12" t="s">
        <v>47</v>
      </c>
      <c r="E4789" s="13" t="s">
        <v>49</v>
      </c>
      <c r="F4789" s="12" t="s">
        <v>67</v>
      </c>
      <c r="G4789" s="14">
        <v>4829.96</v>
      </c>
      <c r="H4789" s="12" t="s">
        <v>22</v>
      </c>
      <c r="I4789" s="12">
        <v>0</v>
      </c>
      <c r="J4789" s="12" t="s">
        <v>67</v>
      </c>
      <c r="K4789" s="12" t="s">
        <v>23</v>
      </c>
      <c r="L4789" s="12">
        <v>2</v>
      </c>
      <c r="M4789" s="15">
        <v>55000</v>
      </c>
      <c r="N4789" s="15">
        <v>0</v>
      </c>
      <c r="O4789" s="15">
        <f t="shared" si="417"/>
        <v>55000</v>
      </c>
      <c r="P4789" s="15">
        <f t="shared" si="416"/>
        <v>11.38725786548957</v>
      </c>
      <c r="Q4789" s="14">
        <v>5000</v>
      </c>
      <c r="R4789" s="12">
        <v>97</v>
      </c>
      <c r="S4789" s="12" t="s">
        <v>5792</v>
      </c>
      <c r="T4789" s="22">
        <f t="shared" si="413"/>
        <v>5</v>
      </c>
      <c r="U4789" s="22">
        <f t="shared" si="414"/>
        <v>2022</v>
      </c>
      <c r="V4789" s="22" t="str">
        <f t="shared" si="415"/>
        <v>METROPOLITANA</v>
      </c>
    </row>
    <row r="4790" spans="1:22" x14ac:dyDescent="0.2">
      <c r="A4790" s="11" t="s">
        <v>5787</v>
      </c>
      <c r="B4790" s="12" t="s">
        <v>33</v>
      </c>
      <c r="C4790" s="12" t="s">
        <v>44</v>
      </c>
      <c r="D4790" s="12" t="s">
        <v>20</v>
      </c>
      <c r="E4790" s="13" t="s">
        <v>21</v>
      </c>
      <c r="F4790" s="12" t="s">
        <v>225</v>
      </c>
      <c r="G4790" s="14">
        <v>2669.52</v>
      </c>
      <c r="H4790" s="12" t="s">
        <v>22</v>
      </c>
      <c r="I4790" s="12">
        <v>0</v>
      </c>
      <c r="J4790" s="12" t="s">
        <v>225</v>
      </c>
      <c r="K4790" s="12" t="s">
        <v>23</v>
      </c>
      <c r="L4790" s="12">
        <v>3</v>
      </c>
      <c r="M4790" s="15">
        <v>55000</v>
      </c>
      <c r="N4790" s="15">
        <v>0</v>
      </c>
      <c r="O4790" s="15">
        <f t="shared" si="417"/>
        <v>55000</v>
      </c>
      <c r="P4790" s="15">
        <f t="shared" si="416"/>
        <v>20.602954838322994</v>
      </c>
      <c r="Q4790" s="14">
        <v>5000</v>
      </c>
      <c r="R4790" s="12">
        <v>53</v>
      </c>
      <c r="S4790" s="12" t="s">
        <v>5793</v>
      </c>
      <c r="T4790" s="22">
        <f t="shared" si="413"/>
        <v>5</v>
      </c>
      <c r="U4790" s="22">
        <f t="shared" si="414"/>
        <v>2022</v>
      </c>
      <c r="V4790" s="22" t="str">
        <f t="shared" si="415"/>
        <v>METROPOLITANA</v>
      </c>
    </row>
    <row r="4791" spans="1:22" x14ac:dyDescent="0.2">
      <c r="A4791" s="23" t="s">
        <v>5794</v>
      </c>
      <c r="B4791" s="22" t="s">
        <v>18</v>
      </c>
      <c r="C4791" s="22" t="s">
        <v>57</v>
      </c>
      <c r="D4791" s="22" t="s">
        <v>5478</v>
      </c>
      <c r="E4791" s="24" t="s">
        <v>83</v>
      </c>
      <c r="F4791" s="22" t="s">
        <v>452</v>
      </c>
      <c r="G4791" s="25">
        <v>18611.419999999991</v>
      </c>
      <c r="H4791" s="22" t="s">
        <v>24</v>
      </c>
      <c r="I4791" s="22">
        <v>1</v>
      </c>
      <c r="J4791" s="22" t="s">
        <v>452</v>
      </c>
      <c r="K4791" s="22" t="s">
        <v>171</v>
      </c>
      <c r="L4791" s="22">
        <v>0</v>
      </c>
      <c r="M4791" s="26">
        <v>260000</v>
      </c>
      <c r="N4791" s="26">
        <v>0</v>
      </c>
      <c r="O4791" s="15">
        <f t="shared" si="417"/>
        <v>260000</v>
      </c>
      <c r="P4791" s="15">
        <f t="shared" si="416"/>
        <v>13.969917394803842</v>
      </c>
      <c r="Q4791" s="25">
        <v>20000</v>
      </c>
      <c r="R4791" s="22">
        <v>93</v>
      </c>
      <c r="S4791" s="22" t="s">
        <v>5795</v>
      </c>
      <c r="T4791" s="22">
        <f t="shared" si="413"/>
        <v>5</v>
      </c>
      <c r="U4791" s="22">
        <f t="shared" si="414"/>
        <v>2022</v>
      </c>
      <c r="V4791" s="22" t="str">
        <f t="shared" si="415"/>
        <v>REGIONES</v>
      </c>
    </row>
    <row r="4792" spans="1:22" x14ac:dyDescent="0.2">
      <c r="A4792" s="23" t="s">
        <v>5794</v>
      </c>
      <c r="B4792" s="22" t="s">
        <v>18</v>
      </c>
      <c r="C4792" s="22" t="s">
        <v>5796</v>
      </c>
      <c r="D4792" s="22" t="s">
        <v>41</v>
      </c>
      <c r="E4792" s="24" t="s">
        <v>25</v>
      </c>
      <c r="F4792" s="22" t="s">
        <v>129</v>
      </c>
      <c r="G4792" s="25">
        <v>9519.9999999999909</v>
      </c>
      <c r="H4792" s="22" t="s">
        <v>43</v>
      </c>
      <c r="I4792" s="22">
        <v>0</v>
      </c>
      <c r="J4792" s="22" t="s">
        <v>129</v>
      </c>
      <c r="K4792" s="22" t="s">
        <v>23</v>
      </c>
      <c r="L4792" s="22">
        <v>1</v>
      </c>
      <c r="M4792" s="26">
        <v>104720</v>
      </c>
      <c r="N4792" s="26">
        <v>0</v>
      </c>
      <c r="O4792" s="15">
        <f t="shared" si="417"/>
        <v>104720</v>
      </c>
      <c r="P4792" s="15">
        <f t="shared" si="416"/>
        <v>11.000000000000011</v>
      </c>
      <c r="Q4792" s="25">
        <v>5000</v>
      </c>
      <c r="R4792" s="22">
        <v>100</v>
      </c>
      <c r="S4792" s="22" t="s">
        <v>5797</v>
      </c>
      <c r="T4792" s="22">
        <f t="shared" si="413"/>
        <v>5</v>
      </c>
      <c r="U4792" s="22">
        <f t="shared" si="414"/>
        <v>2022</v>
      </c>
      <c r="V4792" s="22" t="str">
        <f t="shared" si="415"/>
        <v>METROPOLITANA</v>
      </c>
    </row>
    <row r="4793" spans="1:22" x14ac:dyDescent="0.2">
      <c r="A4793" s="23" t="s">
        <v>5794</v>
      </c>
      <c r="B4793" s="22" t="s">
        <v>33</v>
      </c>
      <c r="C4793" s="22" t="s">
        <v>128</v>
      </c>
      <c r="D4793" s="22" t="s">
        <v>786</v>
      </c>
      <c r="E4793" s="24" t="s">
        <v>787</v>
      </c>
      <c r="F4793" s="22" t="s">
        <v>129</v>
      </c>
      <c r="G4793" s="25">
        <v>12781.2</v>
      </c>
      <c r="H4793" s="22" t="s">
        <v>788</v>
      </c>
      <c r="I4793" s="22">
        <v>1</v>
      </c>
      <c r="J4793" s="22" t="s">
        <v>129</v>
      </c>
      <c r="K4793" s="22" t="s">
        <v>23</v>
      </c>
      <c r="L4793" s="22">
        <v>1</v>
      </c>
      <c r="M4793" s="26">
        <v>140593</v>
      </c>
      <c r="N4793" s="26">
        <v>0</v>
      </c>
      <c r="O4793" s="15">
        <f t="shared" si="417"/>
        <v>140593</v>
      </c>
      <c r="P4793" s="15">
        <f t="shared" si="416"/>
        <v>10.999984352017025</v>
      </c>
      <c r="Q4793" s="25">
        <v>5000</v>
      </c>
      <c r="R4793" s="22">
        <v>100</v>
      </c>
      <c r="S4793" s="22" t="s">
        <v>5798</v>
      </c>
      <c r="T4793" s="22">
        <f t="shared" si="413"/>
        <v>5</v>
      </c>
      <c r="U4793" s="22">
        <f t="shared" si="414"/>
        <v>2022</v>
      </c>
      <c r="V4793" s="22" t="str">
        <f t="shared" si="415"/>
        <v>METROPOLITANA</v>
      </c>
    </row>
    <row r="4794" spans="1:22" x14ac:dyDescent="0.2">
      <c r="A4794" s="23" t="s">
        <v>5794</v>
      </c>
      <c r="B4794" s="22" t="s">
        <v>33</v>
      </c>
      <c r="C4794" s="22" t="s">
        <v>128</v>
      </c>
      <c r="D4794" s="22" t="s">
        <v>2955</v>
      </c>
      <c r="E4794" s="24" t="s">
        <v>2956</v>
      </c>
      <c r="F4794" s="22" t="s">
        <v>129</v>
      </c>
      <c r="G4794" s="25">
        <v>11842.44</v>
      </c>
      <c r="H4794" s="22" t="s">
        <v>24</v>
      </c>
      <c r="I4794" s="22">
        <v>1</v>
      </c>
      <c r="J4794" s="22" t="s">
        <v>129</v>
      </c>
      <c r="K4794" s="22" t="s">
        <v>23</v>
      </c>
      <c r="L4794" s="22">
        <v>1</v>
      </c>
      <c r="M4794" s="26">
        <v>130267</v>
      </c>
      <c r="N4794" s="26">
        <v>0</v>
      </c>
      <c r="O4794" s="15">
        <f t="shared" si="417"/>
        <v>130267</v>
      </c>
      <c r="P4794" s="15">
        <f t="shared" si="416"/>
        <v>11.000013510729207</v>
      </c>
      <c r="Q4794" s="25">
        <v>5000</v>
      </c>
      <c r="R4794" s="22">
        <v>100</v>
      </c>
      <c r="S4794" s="22" t="s">
        <v>5799</v>
      </c>
      <c r="T4794" s="22">
        <f t="shared" si="413"/>
        <v>5</v>
      </c>
      <c r="U4794" s="22">
        <f t="shared" si="414"/>
        <v>2022</v>
      </c>
      <c r="V4794" s="22" t="str">
        <f t="shared" si="415"/>
        <v>METROPOLITANA</v>
      </c>
    </row>
    <row r="4795" spans="1:22" x14ac:dyDescent="0.2">
      <c r="A4795" s="23" t="s">
        <v>5794</v>
      </c>
      <c r="B4795" s="22" t="s">
        <v>33</v>
      </c>
      <c r="C4795" s="22" t="s">
        <v>223</v>
      </c>
      <c r="D4795" s="22" t="s">
        <v>30</v>
      </c>
      <c r="E4795" s="24" t="s">
        <v>31</v>
      </c>
      <c r="F4795" s="22" t="s">
        <v>51</v>
      </c>
      <c r="G4795" s="25">
        <v>2251.1999999999998</v>
      </c>
      <c r="H4795" s="22" t="s">
        <v>32</v>
      </c>
      <c r="I4795" s="22">
        <v>0</v>
      </c>
      <c r="J4795" s="22" t="s">
        <v>51</v>
      </c>
      <c r="K4795" s="22" t="s">
        <v>23</v>
      </c>
      <c r="L4795" s="22">
        <v>4</v>
      </c>
      <c r="M4795" s="26">
        <v>55000</v>
      </c>
      <c r="N4795" s="26">
        <v>0</v>
      </c>
      <c r="O4795" s="15">
        <f t="shared" si="417"/>
        <v>55000</v>
      </c>
      <c r="P4795" s="15">
        <f t="shared" si="416"/>
        <v>24.431414356787492</v>
      </c>
      <c r="Q4795" s="25">
        <v>5000</v>
      </c>
      <c r="R4795" s="22">
        <v>45</v>
      </c>
      <c r="S4795" s="22" t="s">
        <v>5800</v>
      </c>
      <c r="T4795" s="22">
        <f t="shared" si="413"/>
        <v>5</v>
      </c>
      <c r="U4795" s="22">
        <f t="shared" si="414"/>
        <v>2022</v>
      </c>
      <c r="V4795" s="22" t="str">
        <f t="shared" si="415"/>
        <v>METROPOLITANA</v>
      </c>
    </row>
    <row r="4796" spans="1:22" x14ac:dyDescent="0.2">
      <c r="A4796" s="23" t="s">
        <v>5794</v>
      </c>
      <c r="B4796" s="22" t="s">
        <v>33</v>
      </c>
      <c r="C4796" s="22" t="s">
        <v>223</v>
      </c>
      <c r="D4796" s="22" t="s">
        <v>30</v>
      </c>
      <c r="E4796" s="24" t="s">
        <v>31</v>
      </c>
      <c r="F4796" s="22" t="s">
        <v>92</v>
      </c>
      <c r="G4796" s="25">
        <v>7503.9999999999973</v>
      </c>
      <c r="H4796" s="22" t="s">
        <v>32</v>
      </c>
      <c r="I4796" s="22">
        <v>0</v>
      </c>
      <c r="J4796" s="22" t="s">
        <v>92</v>
      </c>
      <c r="K4796" s="22" t="s">
        <v>93</v>
      </c>
      <c r="L4796" s="22">
        <v>0</v>
      </c>
      <c r="M4796" s="26">
        <v>800000</v>
      </c>
      <c r="N4796" s="26">
        <v>0</v>
      </c>
      <c r="O4796" s="15">
        <f t="shared" si="417"/>
        <v>800000</v>
      </c>
      <c r="P4796" s="15">
        <f t="shared" si="416"/>
        <v>106.60980810234545</v>
      </c>
      <c r="Q4796" s="25">
        <v>20000</v>
      </c>
      <c r="R4796" s="22">
        <v>38</v>
      </c>
      <c r="S4796" s="22" t="s">
        <v>5801</v>
      </c>
      <c r="T4796" s="22">
        <f t="shared" si="413"/>
        <v>5</v>
      </c>
      <c r="U4796" s="22">
        <f t="shared" si="414"/>
        <v>2022</v>
      </c>
      <c r="V4796" s="22" t="str">
        <f t="shared" si="415"/>
        <v>REGIONES</v>
      </c>
    </row>
    <row r="4797" spans="1:22" x14ac:dyDescent="0.2">
      <c r="A4797" s="23" t="s">
        <v>5794</v>
      </c>
      <c r="B4797" s="22" t="s">
        <v>33</v>
      </c>
      <c r="C4797" s="22" t="s">
        <v>223</v>
      </c>
      <c r="D4797" s="22" t="s">
        <v>20</v>
      </c>
      <c r="E4797" s="24" t="s">
        <v>1576</v>
      </c>
      <c r="F4797" s="22" t="s">
        <v>51</v>
      </c>
      <c r="G4797" s="25">
        <v>5649.4</v>
      </c>
      <c r="H4797" s="22" t="s">
        <v>22</v>
      </c>
      <c r="I4797" s="22">
        <v>0</v>
      </c>
      <c r="J4797" s="22" t="s">
        <v>51</v>
      </c>
      <c r="K4797" s="22" t="s">
        <v>23</v>
      </c>
      <c r="L4797" s="22">
        <v>4</v>
      </c>
      <c r="M4797" s="26">
        <v>62143</v>
      </c>
      <c r="N4797" s="26">
        <v>0</v>
      </c>
      <c r="O4797" s="15">
        <f t="shared" si="417"/>
        <v>62143</v>
      </c>
      <c r="P4797" s="15">
        <f t="shared" si="416"/>
        <v>10.999929196020817</v>
      </c>
      <c r="Q4797" s="25">
        <v>5000</v>
      </c>
      <c r="R4797" s="22">
        <v>100</v>
      </c>
      <c r="S4797" s="22" t="s">
        <v>5802</v>
      </c>
      <c r="T4797" s="22">
        <f t="shared" si="413"/>
        <v>5</v>
      </c>
      <c r="U4797" s="22">
        <f t="shared" si="414"/>
        <v>2022</v>
      </c>
      <c r="V4797" s="22" t="str">
        <f t="shared" si="415"/>
        <v>METROPOLITANA</v>
      </c>
    </row>
    <row r="4798" spans="1:22" x14ac:dyDescent="0.2">
      <c r="A4798" s="23" t="s">
        <v>5794</v>
      </c>
      <c r="B4798" s="22" t="s">
        <v>33</v>
      </c>
      <c r="C4798" s="22" t="s">
        <v>29</v>
      </c>
      <c r="D4798" s="22" t="s">
        <v>37</v>
      </c>
      <c r="E4798" s="24" t="s">
        <v>40</v>
      </c>
      <c r="F4798" s="22" t="s">
        <v>39</v>
      </c>
      <c r="G4798" s="25">
        <v>12675</v>
      </c>
      <c r="H4798" s="22" t="s">
        <v>22</v>
      </c>
      <c r="I4798" s="22">
        <v>0</v>
      </c>
      <c r="J4798" s="22" t="s">
        <v>39</v>
      </c>
      <c r="K4798" s="22" t="s">
        <v>23</v>
      </c>
      <c r="L4798" s="22">
        <v>1</v>
      </c>
      <c r="M4798" s="26">
        <v>139425</v>
      </c>
      <c r="N4798" s="26">
        <v>0</v>
      </c>
      <c r="O4798" s="15">
        <f t="shared" si="417"/>
        <v>139425</v>
      </c>
      <c r="P4798" s="15">
        <f t="shared" si="416"/>
        <v>11</v>
      </c>
      <c r="Q4798" s="25">
        <v>5000</v>
      </c>
      <c r="R4798" s="22">
        <v>100</v>
      </c>
      <c r="S4798" s="22" t="s">
        <v>5803</v>
      </c>
      <c r="T4798" s="22">
        <f t="shared" si="413"/>
        <v>5</v>
      </c>
      <c r="U4798" s="22">
        <f t="shared" si="414"/>
        <v>2022</v>
      </c>
      <c r="V4798" s="22" t="str">
        <f t="shared" si="415"/>
        <v>METROPOLITANA</v>
      </c>
    </row>
    <row r="4799" spans="1:22" x14ac:dyDescent="0.2">
      <c r="A4799" s="23" t="s">
        <v>5794</v>
      </c>
      <c r="B4799" s="22" t="s">
        <v>33</v>
      </c>
      <c r="C4799" s="22" t="s">
        <v>29</v>
      </c>
      <c r="D4799" s="22" t="s">
        <v>164</v>
      </c>
      <c r="E4799" s="24" t="s">
        <v>28</v>
      </c>
      <c r="F4799" s="22" t="s">
        <v>39</v>
      </c>
      <c r="G4799" s="25">
        <v>16748</v>
      </c>
      <c r="H4799" s="22" t="s">
        <v>22</v>
      </c>
      <c r="I4799" s="22">
        <v>1</v>
      </c>
      <c r="J4799" s="22" t="s">
        <v>39</v>
      </c>
      <c r="K4799" s="22" t="s">
        <v>23</v>
      </c>
      <c r="L4799" s="22">
        <v>1</v>
      </c>
      <c r="M4799" s="26">
        <v>184228</v>
      </c>
      <c r="N4799" s="26">
        <v>0</v>
      </c>
      <c r="O4799" s="15">
        <f t="shared" si="417"/>
        <v>184228</v>
      </c>
      <c r="P4799" s="15">
        <f t="shared" si="416"/>
        <v>11</v>
      </c>
      <c r="Q4799" s="25">
        <v>5000</v>
      </c>
      <c r="R4799" s="22">
        <v>100</v>
      </c>
      <c r="S4799" s="22" t="s">
        <v>5804</v>
      </c>
      <c r="T4799" s="22">
        <f t="shared" si="413"/>
        <v>5</v>
      </c>
      <c r="U4799" s="22">
        <f t="shared" si="414"/>
        <v>2022</v>
      </c>
      <c r="V4799" s="22" t="str">
        <f t="shared" si="415"/>
        <v>METROPOLITANA</v>
      </c>
    </row>
    <row r="4800" spans="1:22" x14ac:dyDescent="0.2">
      <c r="A4800" s="23" t="s">
        <v>5794</v>
      </c>
      <c r="B4800" s="22" t="s">
        <v>33</v>
      </c>
      <c r="C4800" s="22" t="s">
        <v>44</v>
      </c>
      <c r="D4800" s="22" t="s">
        <v>5805</v>
      </c>
      <c r="E4800" s="24" t="s">
        <v>868</v>
      </c>
      <c r="F4800" s="22" t="s">
        <v>691</v>
      </c>
      <c r="G4800" s="25">
        <f>12131.2+8502</f>
        <v>20633.2</v>
      </c>
      <c r="H4800" s="22" t="s">
        <v>24</v>
      </c>
      <c r="I4800" s="22">
        <v>1</v>
      </c>
      <c r="J4800" s="22" t="s">
        <v>691</v>
      </c>
      <c r="K4800" s="22" t="s">
        <v>873</v>
      </c>
      <c r="L4800" s="22">
        <v>0</v>
      </c>
      <c r="M4800" s="26">
        <v>1100000</v>
      </c>
      <c r="N4800" s="26">
        <v>0</v>
      </c>
      <c r="O4800" s="15">
        <f t="shared" si="417"/>
        <v>1100000</v>
      </c>
      <c r="P4800" s="15">
        <f t="shared" si="416"/>
        <v>53.312137719791401</v>
      </c>
      <c r="Q4800" s="25">
        <v>20000</v>
      </c>
      <c r="R4800" s="22">
        <v>100</v>
      </c>
      <c r="S4800" s="22" t="s">
        <v>5808</v>
      </c>
      <c r="T4800" s="22">
        <f t="shared" si="413"/>
        <v>5</v>
      </c>
      <c r="U4800" s="22">
        <f t="shared" si="414"/>
        <v>2022</v>
      </c>
      <c r="V4800" s="22" t="str">
        <f t="shared" si="415"/>
        <v>REGIONES</v>
      </c>
    </row>
    <row r="4801" spans="1:22" x14ac:dyDescent="0.2">
      <c r="A4801" s="23" t="s">
        <v>5794</v>
      </c>
      <c r="B4801" s="22" t="s">
        <v>33</v>
      </c>
      <c r="C4801" s="22" t="s">
        <v>44</v>
      </c>
      <c r="D4801" s="22" t="s">
        <v>4247</v>
      </c>
      <c r="E4801" s="24" t="s">
        <v>62</v>
      </c>
      <c r="F4801" s="22" t="s">
        <v>132</v>
      </c>
      <c r="G4801" s="25">
        <v>7284.7499999999973</v>
      </c>
      <c r="H4801" s="22" t="s">
        <v>24</v>
      </c>
      <c r="I4801" s="22">
        <v>1</v>
      </c>
      <c r="J4801" s="22" t="s">
        <v>132</v>
      </c>
      <c r="K4801" s="22" t="s">
        <v>124</v>
      </c>
      <c r="L4801" s="22">
        <v>0</v>
      </c>
      <c r="M4801" s="26">
        <v>400000</v>
      </c>
      <c r="N4801" s="26">
        <v>0</v>
      </c>
      <c r="O4801" s="15">
        <f t="shared" si="417"/>
        <v>400000</v>
      </c>
      <c r="P4801" s="15">
        <f t="shared" si="416"/>
        <v>54.909228182161385</v>
      </c>
      <c r="Q4801" s="25">
        <v>20000</v>
      </c>
      <c r="R4801" s="22">
        <v>36</v>
      </c>
      <c r="S4801" s="22" t="s">
        <v>5806</v>
      </c>
      <c r="T4801" s="22">
        <f t="shared" si="413"/>
        <v>5</v>
      </c>
      <c r="U4801" s="22">
        <f t="shared" si="414"/>
        <v>2022</v>
      </c>
      <c r="V4801" s="22" t="str">
        <f t="shared" si="415"/>
        <v>REGIONES</v>
      </c>
    </row>
    <row r="4802" spans="1:22" x14ac:dyDescent="0.2">
      <c r="A4802" s="23" t="s">
        <v>5794</v>
      </c>
      <c r="B4802" s="22" t="s">
        <v>33</v>
      </c>
      <c r="C4802" s="22" t="s">
        <v>4802</v>
      </c>
      <c r="D4802" s="22" t="s">
        <v>1170</v>
      </c>
      <c r="E4802" s="24" t="s">
        <v>81</v>
      </c>
      <c r="F4802" s="22" t="s">
        <v>815</v>
      </c>
      <c r="G4802" s="25">
        <v>19713.19999999999</v>
      </c>
      <c r="H4802" s="22" t="s">
        <v>24</v>
      </c>
      <c r="I4802" s="22">
        <v>1</v>
      </c>
      <c r="J4802" s="22" t="s">
        <v>815</v>
      </c>
      <c r="K4802" s="22" t="s">
        <v>75</v>
      </c>
      <c r="L4802" s="22">
        <v>0</v>
      </c>
      <c r="M4802" s="26">
        <v>460000</v>
      </c>
      <c r="N4802" s="26">
        <v>0</v>
      </c>
      <c r="O4802" s="15">
        <f t="shared" si="417"/>
        <v>460000</v>
      </c>
      <c r="P4802" s="15">
        <f t="shared" si="416"/>
        <v>23.33461842826128</v>
      </c>
      <c r="Q4802" s="25">
        <v>20000</v>
      </c>
      <c r="R4802" s="22">
        <v>99</v>
      </c>
      <c r="S4802" s="22" t="s">
        <v>5807</v>
      </c>
      <c r="T4802" s="22">
        <f t="shared" si="413"/>
        <v>5</v>
      </c>
      <c r="U4802" s="22">
        <f t="shared" si="414"/>
        <v>2022</v>
      </c>
      <c r="V4802" s="22" t="str">
        <f t="shared" si="415"/>
        <v>REGIONES</v>
      </c>
    </row>
    <row r="4803" spans="1:22" x14ac:dyDescent="0.2">
      <c r="A4803" s="11" t="s">
        <v>5809</v>
      </c>
      <c r="B4803" s="12" t="s">
        <v>33</v>
      </c>
      <c r="C4803" s="12" t="s">
        <v>5810</v>
      </c>
      <c r="D4803" s="12" t="s">
        <v>37</v>
      </c>
      <c r="E4803" s="13" t="s">
        <v>40</v>
      </c>
      <c r="F4803" s="12" t="s">
        <v>129</v>
      </c>
      <c r="G4803" s="14">
        <v>5412.94</v>
      </c>
      <c r="H4803" s="12" t="s">
        <v>22</v>
      </c>
      <c r="I4803" s="12">
        <v>0</v>
      </c>
      <c r="J4803" s="12" t="s">
        <v>129</v>
      </c>
      <c r="K4803" s="12" t="s">
        <v>23</v>
      </c>
      <c r="L4803" s="12">
        <v>1</v>
      </c>
      <c r="M4803" s="15">
        <v>59542</v>
      </c>
      <c r="N4803" s="15">
        <v>0</v>
      </c>
      <c r="O4803" s="15">
        <f t="shared" si="417"/>
        <v>59542</v>
      </c>
      <c r="P4803" s="15">
        <f t="shared" si="416"/>
        <v>10.999937187554268</v>
      </c>
      <c r="Q4803" s="14">
        <v>5000</v>
      </c>
      <c r="R4803" s="12">
        <v>100</v>
      </c>
      <c r="S4803" s="12" t="s">
        <v>5811</v>
      </c>
      <c r="T4803" s="22">
        <f t="shared" si="413"/>
        <v>5</v>
      </c>
      <c r="U4803" s="22">
        <f t="shared" si="414"/>
        <v>2022</v>
      </c>
      <c r="V4803" s="22" t="str">
        <f t="shared" si="415"/>
        <v>METROPOLITANA</v>
      </c>
    </row>
    <row r="4804" spans="1:22" x14ac:dyDescent="0.2">
      <c r="A4804" s="11" t="s">
        <v>5809</v>
      </c>
      <c r="B4804" s="12" t="s">
        <v>33</v>
      </c>
      <c r="C4804" s="12" t="s">
        <v>128</v>
      </c>
      <c r="D4804" s="12" t="s">
        <v>2955</v>
      </c>
      <c r="E4804" s="13" t="s">
        <v>2956</v>
      </c>
      <c r="F4804" s="12" t="s">
        <v>34</v>
      </c>
      <c r="G4804" s="14">
        <v>9049.25</v>
      </c>
      <c r="H4804" s="12" t="s">
        <v>24</v>
      </c>
      <c r="I4804" s="12">
        <v>1</v>
      </c>
      <c r="J4804" s="12" t="s">
        <v>34</v>
      </c>
      <c r="K4804" s="12" t="s">
        <v>23</v>
      </c>
      <c r="L4804" s="12">
        <v>1</v>
      </c>
      <c r="M4804" s="15">
        <v>99542</v>
      </c>
      <c r="N4804" s="15">
        <v>0</v>
      </c>
      <c r="O4804" s="15">
        <f t="shared" si="417"/>
        <v>99542</v>
      </c>
      <c r="P4804" s="15">
        <f t="shared" si="416"/>
        <v>11.000027626598889</v>
      </c>
      <c r="Q4804" s="14">
        <v>5000</v>
      </c>
      <c r="R4804" s="12">
        <v>100</v>
      </c>
      <c r="S4804" s="12" t="s">
        <v>5812</v>
      </c>
      <c r="T4804" s="22">
        <f t="shared" si="413"/>
        <v>5</v>
      </c>
      <c r="U4804" s="22">
        <f t="shared" si="414"/>
        <v>2022</v>
      </c>
      <c r="V4804" s="22" t="str">
        <f t="shared" si="415"/>
        <v>METROPOLITANA</v>
      </c>
    </row>
    <row r="4805" spans="1:22" x14ac:dyDescent="0.2">
      <c r="A4805" s="11" t="s">
        <v>5809</v>
      </c>
      <c r="B4805" s="12" t="s">
        <v>33</v>
      </c>
      <c r="C4805" s="12" t="s">
        <v>223</v>
      </c>
      <c r="D4805" s="12" t="s">
        <v>47</v>
      </c>
      <c r="E4805" s="13" t="s">
        <v>49</v>
      </c>
      <c r="F4805" s="12" t="s">
        <v>51</v>
      </c>
      <c r="G4805" s="14">
        <v>6007.7999999999975</v>
      </c>
      <c r="H4805" s="12" t="s">
        <v>22</v>
      </c>
      <c r="I4805" s="12">
        <v>0</v>
      </c>
      <c r="J4805" s="12" t="s">
        <v>51</v>
      </c>
      <c r="K4805" s="12" t="s">
        <v>23</v>
      </c>
      <c r="L4805" s="12">
        <v>4</v>
      </c>
      <c r="M4805" s="15">
        <v>66086</v>
      </c>
      <c r="N4805" s="15">
        <v>0</v>
      </c>
      <c r="O4805" s="15">
        <f t="shared" si="417"/>
        <v>66086</v>
      </c>
      <c r="P4805" s="15">
        <f t="shared" si="416"/>
        <v>11.000033290056265</v>
      </c>
      <c r="Q4805" s="14">
        <v>5000</v>
      </c>
      <c r="R4805" s="12">
        <v>100</v>
      </c>
      <c r="S4805" s="12" t="s">
        <v>5813</v>
      </c>
      <c r="T4805" s="22">
        <f t="shared" si="413"/>
        <v>5</v>
      </c>
      <c r="U4805" s="22">
        <f t="shared" si="414"/>
        <v>2022</v>
      </c>
      <c r="V4805" s="22" t="str">
        <f t="shared" si="415"/>
        <v>METROPOLITANA</v>
      </c>
    </row>
    <row r="4806" spans="1:22" x14ac:dyDescent="0.2">
      <c r="A4806" s="11" t="s">
        <v>5809</v>
      </c>
      <c r="B4806" s="12" t="s">
        <v>33</v>
      </c>
      <c r="C4806" s="12" t="s">
        <v>223</v>
      </c>
      <c r="D4806" s="12" t="s">
        <v>164</v>
      </c>
      <c r="E4806" s="13" t="s">
        <v>28</v>
      </c>
      <c r="F4806" s="12" t="s">
        <v>51</v>
      </c>
      <c r="G4806" s="14">
        <v>15530.8</v>
      </c>
      <c r="H4806" s="12" t="s">
        <v>22</v>
      </c>
      <c r="I4806" s="12">
        <v>1</v>
      </c>
      <c r="J4806" s="12" t="s">
        <v>51</v>
      </c>
      <c r="K4806" s="12" t="s">
        <v>23</v>
      </c>
      <c r="L4806" s="12">
        <v>4</v>
      </c>
      <c r="M4806" s="15">
        <v>170839</v>
      </c>
      <c r="N4806" s="15">
        <v>0</v>
      </c>
      <c r="O4806" s="15">
        <f t="shared" si="417"/>
        <v>170839</v>
      </c>
      <c r="P4806" s="15">
        <f t="shared" si="416"/>
        <v>11.000012877636697</v>
      </c>
      <c r="Q4806" s="14">
        <v>5000</v>
      </c>
      <c r="R4806" s="12">
        <v>100</v>
      </c>
      <c r="S4806" s="12" t="s">
        <v>5814</v>
      </c>
      <c r="T4806" s="22">
        <f t="shared" si="413"/>
        <v>5</v>
      </c>
      <c r="U4806" s="22">
        <f t="shared" si="414"/>
        <v>2022</v>
      </c>
      <c r="V4806" s="22" t="str">
        <f t="shared" si="415"/>
        <v>METROPOLITANA</v>
      </c>
    </row>
    <row r="4807" spans="1:22" x14ac:dyDescent="0.2">
      <c r="A4807" s="11" t="s">
        <v>5809</v>
      </c>
      <c r="B4807" s="12" t="s">
        <v>33</v>
      </c>
      <c r="C4807" s="12" t="s">
        <v>29</v>
      </c>
      <c r="D4807" s="12" t="s">
        <v>191</v>
      </c>
      <c r="E4807" s="13" t="s">
        <v>192</v>
      </c>
      <c r="F4807" s="12" t="s">
        <v>876</v>
      </c>
      <c r="G4807" s="14">
        <v>22178.80000000001</v>
      </c>
      <c r="H4807" s="12" t="s">
        <v>85</v>
      </c>
      <c r="I4807" s="12">
        <v>1</v>
      </c>
      <c r="J4807" s="12" t="s">
        <v>876</v>
      </c>
      <c r="K4807" s="12" t="s">
        <v>86</v>
      </c>
      <c r="L4807" s="12">
        <v>0</v>
      </c>
      <c r="M4807" s="15">
        <v>350000</v>
      </c>
      <c r="N4807" s="15">
        <v>0</v>
      </c>
      <c r="O4807" s="15">
        <f t="shared" si="417"/>
        <v>350000</v>
      </c>
      <c r="P4807" s="15">
        <f t="shared" si="416"/>
        <v>15.780835753061474</v>
      </c>
      <c r="Q4807" s="14">
        <v>20000</v>
      </c>
      <c r="R4807" s="12">
        <v>100</v>
      </c>
      <c r="S4807" s="12" t="s">
        <v>5815</v>
      </c>
      <c r="T4807" s="22">
        <f t="shared" ref="T4807:T4870" si="418">MONTH(A4807)</f>
        <v>5</v>
      </c>
      <c r="U4807" s="22">
        <f t="shared" ref="U4807:U4870" si="419">YEAR(A4807)</f>
        <v>2022</v>
      </c>
      <c r="V4807" s="22" t="str">
        <f t="shared" ref="V4807:V4870" si="420">IF(K4807="METROPOLITANA DE SANTIAGO","METROPOLITANA","REGIONES")</f>
        <v>REGIONES</v>
      </c>
    </row>
    <row r="4808" spans="1:22" x14ac:dyDescent="0.2">
      <c r="A4808" s="11" t="s">
        <v>5809</v>
      </c>
      <c r="B4808" s="12" t="s">
        <v>33</v>
      </c>
      <c r="C4808" s="12" t="s">
        <v>29</v>
      </c>
      <c r="D4808" s="12" t="s">
        <v>164</v>
      </c>
      <c r="E4808" s="13" t="s">
        <v>28</v>
      </c>
      <c r="F4808" s="12" t="s">
        <v>39</v>
      </c>
      <c r="G4808" s="14">
        <f>15457.4+1700</f>
        <v>17157.400000000001</v>
      </c>
      <c r="H4808" s="12" t="s">
        <v>22</v>
      </c>
      <c r="I4808" s="12">
        <v>1</v>
      </c>
      <c r="J4808" s="12" t="s">
        <v>39</v>
      </c>
      <c r="K4808" s="12" t="s">
        <v>23</v>
      </c>
      <c r="L4808" s="12">
        <v>1</v>
      </c>
      <c r="M4808" s="15">
        <v>170031</v>
      </c>
      <c r="N4808" s="15">
        <v>0</v>
      </c>
      <c r="O4808" s="15">
        <f t="shared" si="417"/>
        <v>170031</v>
      </c>
      <c r="P4808" s="15">
        <f t="shared" si="416"/>
        <v>9.9100679590147678</v>
      </c>
      <c r="Q4808" s="14">
        <v>5000</v>
      </c>
      <c r="R4808" s="12">
        <v>100</v>
      </c>
      <c r="S4808" s="12" t="s">
        <v>5820</v>
      </c>
      <c r="T4808" s="22">
        <f t="shared" si="418"/>
        <v>5</v>
      </c>
      <c r="U4808" s="22">
        <f t="shared" si="419"/>
        <v>2022</v>
      </c>
      <c r="V4808" s="22" t="str">
        <f t="shared" si="420"/>
        <v>METROPOLITANA</v>
      </c>
    </row>
    <row r="4809" spans="1:22" x14ac:dyDescent="0.2">
      <c r="A4809" s="11" t="s">
        <v>5809</v>
      </c>
      <c r="B4809" s="12" t="s">
        <v>33</v>
      </c>
      <c r="C4809" s="12" t="s">
        <v>29</v>
      </c>
      <c r="D4809" s="12" t="s">
        <v>20</v>
      </c>
      <c r="E4809" s="13" t="s">
        <v>5816</v>
      </c>
      <c r="F4809" s="12" t="s">
        <v>39</v>
      </c>
      <c r="G4809" s="14">
        <v>8254.3999999999978</v>
      </c>
      <c r="H4809" s="12" t="s">
        <v>22</v>
      </c>
      <c r="I4809" s="12">
        <v>0</v>
      </c>
      <c r="J4809" s="12" t="s">
        <v>39</v>
      </c>
      <c r="K4809" s="12" t="s">
        <v>23</v>
      </c>
      <c r="L4809" s="12">
        <v>1</v>
      </c>
      <c r="M4809" s="15">
        <v>90798</v>
      </c>
      <c r="N4809" s="15">
        <v>0</v>
      </c>
      <c r="O4809" s="15">
        <f t="shared" si="417"/>
        <v>90798</v>
      </c>
      <c r="P4809" s="15">
        <f t="shared" si="416"/>
        <v>10.999951540996321</v>
      </c>
      <c r="Q4809" s="14">
        <v>5000</v>
      </c>
      <c r="R4809" s="12">
        <v>100</v>
      </c>
      <c r="S4809" s="12" t="s">
        <v>5817</v>
      </c>
      <c r="T4809" s="22">
        <f t="shared" si="418"/>
        <v>5</v>
      </c>
      <c r="U4809" s="22">
        <f t="shared" si="419"/>
        <v>2022</v>
      </c>
      <c r="V4809" s="22" t="str">
        <f t="shared" si="420"/>
        <v>METROPOLITANA</v>
      </c>
    </row>
    <row r="4810" spans="1:22" x14ac:dyDescent="0.2">
      <c r="A4810" s="11" t="s">
        <v>5809</v>
      </c>
      <c r="B4810" s="12" t="s">
        <v>33</v>
      </c>
      <c r="C4810" s="12" t="s">
        <v>44</v>
      </c>
      <c r="D4810" s="12" t="s">
        <v>38</v>
      </c>
      <c r="E4810" s="13" t="s">
        <v>25</v>
      </c>
      <c r="F4810" s="12" t="s">
        <v>59</v>
      </c>
      <c r="G4810" s="14">
        <v>9811.36</v>
      </c>
      <c r="H4810" s="12" t="s">
        <v>43</v>
      </c>
      <c r="I4810" s="12">
        <v>0</v>
      </c>
      <c r="J4810" s="12" t="s">
        <v>59</v>
      </c>
      <c r="K4810" s="12" t="s">
        <v>78</v>
      </c>
      <c r="L4810" s="12">
        <v>0</v>
      </c>
      <c r="M4810" s="15">
        <v>203000</v>
      </c>
      <c r="N4810" s="15">
        <v>0</v>
      </c>
      <c r="O4810" s="15">
        <f t="shared" si="417"/>
        <v>203000</v>
      </c>
      <c r="P4810" s="15">
        <f t="shared" si="416"/>
        <v>20.690301854177196</v>
      </c>
      <c r="Q4810" s="14">
        <v>20000</v>
      </c>
      <c r="R4810" s="12">
        <v>49</v>
      </c>
      <c r="S4810" s="12" t="s">
        <v>5818</v>
      </c>
      <c r="T4810" s="22">
        <f t="shared" si="418"/>
        <v>5</v>
      </c>
      <c r="U4810" s="22">
        <f t="shared" si="419"/>
        <v>2022</v>
      </c>
      <c r="V4810" s="22" t="str">
        <f t="shared" si="420"/>
        <v>REGIONES</v>
      </c>
    </row>
    <row r="4811" spans="1:22" x14ac:dyDescent="0.2">
      <c r="A4811" s="11" t="s">
        <v>5809</v>
      </c>
      <c r="B4811" s="12" t="s">
        <v>33</v>
      </c>
      <c r="C4811" s="12" t="s">
        <v>44</v>
      </c>
      <c r="D4811" s="12" t="s">
        <v>30</v>
      </c>
      <c r="E4811" s="13" t="s">
        <v>31</v>
      </c>
      <c r="F4811" s="12" t="s">
        <v>94</v>
      </c>
      <c r="G4811" s="14">
        <v>7074.4399999999987</v>
      </c>
      <c r="H4811" s="12" t="s">
        <v>32</v>
      </c>
      <c r="I4811" s="12">
        <v>0</v>
      </c>
      <c r="J4811" s="12" t="s">
        <v>59</v>
      </c>
      <c r="K4811" s="12" t="s">
        <v>78</v>
      </c>
      <c r="L4811" s="12">
        <v>0</v>
      </c>
      <c r="M4811" s="15">
        <v>203000</v>
      </c>
      <c r="N4811" s="15">
        <v>0</v>
      </c>
      <c r="O4811" s="15">
        <f t="shared" si="417"/>
        <v>203000</v>
      </c>
      <c r="P4811" s="15">
        <f t="shared" si="416"/>
        <v>28.694850758505272</v>
      </c>
      <c r="Q4811" s="14">
        <v>20000</v>
      </c>
      <c r="R4811" s="12">
        <v>35</v>
      </c>
      <c r="S4811" s="12" t="s">
        <v>5819</v>
      </c>
      <c r="T4811" s="22">
        <f t="shared" si="418"/>
        <v>5</v>
      </c>
      <c r="U4811" s="22">
        <f t="shared" si="419"/>
        <v>2022</v>
      </c>
      <c r="V4811" s="22" t="str">
        <f t="shared" si="420"/>
        <v>REGIONES</v>
      </c>
    </row>
    <row r="4812" spans="1:22" x14ac:dyDescent="0.2">
      <c r="A4812" s="11" t="s">
        <v>5809</v>
      </c>
      <c r="B4812" s="12" t="s">
        <v>33</v>
      </c>
      <c r="C4812" s="12" t="s">
        <v>44</v>
      </c>
      <c r="D4812" s="12" t="s">
        <v>47</v>
      </c>
      <c r="E4812" s="13" t="s">
        <v>49</v>
      </c>
      <c r="F4812" s="12" t="s">
        <v>48</v>
      </c>
      <c r="G4812" s="14">
        <f>7228.63+1226</f>
        <v>8454.630000000001</v>
      </c>
      <c r="H4812" s="12" t="s">
        <v>22</v>
      </c>
      <c r="I4812" s="12">
        <v>0</v>
      </c>
      <c r="J4812" s="12" t="s">
        <v>48</v>
      </c>
      <c r="K4812" s="12" t="s">
        <v>23</v>
      </c>
      <c r="L4812" s="12">
        <v>1</v>
      </c>
      <c r="M4812" s="15">
        <v>79515</v>
      </c>
      <c r="N4812" s="15">
        <v>0</v>
      </c>
      <c r="O4812" s="15">
        <f t="shared" si="417"/>
        <v>79515</v>
      </c>
      <c r="P4812" s="15">
        <f t="shared" si="416"/>
        <v>9.4049059509404902</v>
      </c>
      <c r="Q4812" s="14">
        <v>5000</v>
      </c>
      <c r="R4812" s="12">
        <v>100</v>
      </c>
      <c r="S4812" s="12" t="s">
        <v>5821</v>
      </c>
      <c r="T4812" s="22">
        <f t="shared" si="418"/>
        <v>5</v>
      </c>
      <c r="U4812" s="22">
        <f t="shared" si="419"/>
        <v>2022</v>
      </c>
      <c r="V4812" s="22" t="str">
        <f t="shared" si="420"/>
        <v>METROPOLITANA</v>
      </c>
    </row>
    <row r="4813" spans="1:22" x14ac:dyDescent="0.2">
      <c r="A4813" s="23" t="s">
        <v>5822</v>
      </c>
      <c r="B4813" s="22" t="s">
        <v>18</v>
      </c>
      <c r="C4813" s="22" t="s">
        <v>57</v>
      </c>
      <c r="D4813" s="22" t="s">
        <v>38</v>
      </c>
      <c r="E4813" s="24" t="s">
        <v>25</v>
      </c>
      <c r="F4813" s="22" t="s">
        <v>800</v>
      </c>
      <c r="G4813" s="25">
        <v>9032.3399999999983</v>
      </c>
      <c r="H4813" s="22" t="s">
        <v>43</v>
      </c>
      <c r="I4813" s="22">
        <v>0</v>
      </c>
      <c r="J4813" s="22" t="s">
        <v>800</v>
      </c>
      <c r="K4813" s="22" t="s">
        <v>23</v>
      </c>
      <c r="L4813" s="22">
        <v>5</v>
      </c>
      <c r="M4813" s="26">
        <v>90000</v>
      </c>
      <c r="N4813" s="26">
        <v>0</v>
      </c>
      <c r="O4813" s="15">
        <f t="shared" si="417"/>
        <v>90000</v>
      </c>
      <c r="P4813" s="15">
        <f t="shared" si="416"/>
        <v>9.9641953247995563</v>
      </c>
      <c r="Q4813" s="25">
        <v>10000</v>
      </c>
      <c r="R4813" s="22">
        <v>90</v>
      </c>
      <c r="S4813" s="22" t="s">
        <v>5823</v>
      </c>
      <c r="T4813" s="22">
        <f t="shared" si="418"/>
        <v>5</v>
      </c>
      <c r="U4813" s="22">
        <f t="shared" si="419"/>
        <v>2022</v>
      </c>
      <c r="V4813" s="22" t="str">
        <f t="shared" si="420"/>
        <v>METROPOLITANA</v>
      </c>
    </row>
    <row r="4814" spans="1:22" x14ac:dyDescent="0.2">
      <c r="A4814" s="23" t="s">
        <v>5822</v>
      </c>
      <c r="B4814" s="22" t="s">
        <v>18</v>
      </c>
      <c r="C4814" s="22" t="s">
        <v>3060</v>
      </c>
      <c r="D4814" s="22" t="s">
        <v>63</v>
      </c>
      <c r="E4814" s="24" t="s">
        <v>64</v>
      </c>
      <c r="F4814" s="22" t="s">
        <v>58</v>
      </c>
      <c r="G4814" s="25">
        <v>3200.68</v>
      </c>
      <c r="H4814" s="22" t="s">
        <v>65</v>
      </c>
      <c r="I4814" s="22">
        <v>0</v>
      </c>
      <c r="J4814" s="22" t="s">
        <v>58</v>
      </c>
      <c r="K4814" s="22" t="s">
        <v>23</v>
      </c>
      <c r="L4814" s="22">
        <v>5</v>
      </c>
      <c r="M4814" s="26">
        <v>70000</v>
      </c>
      <c r="N4814" s="26">
        <v>0</v>
      </c>
      <c r="O4814" s="15">
        <f t="shared" si="417"/>
        <v>70000</v>
      </c>
      <c r="P4814" s="15">
        <f t="shared" si="416"/>
        <v>21.870352550083108</v>
      </c>
      <c r="Q4814" s="25">
        <v>10000</v>
      </c>
      <c r="R4814" s="22">
        <v>32</v>
      </c>
      <c r="S4814" s="22" t="s">
        <v>5824</v>
      </c>
      <c r="T4814" s="22">
        <f t="shared" si="418"/>
        <v>5</v>
      </c>
      <c r="U4814" s="22">
        <f t="shared" si="419"/>
        <v>2022</v>
      </c>
      <c r="V4814" s="22" t="str">
        <f t="shared" si="420"/>
        <v>METROPOLITANA</v>
      </c>
    </row>
    <row r="4815" spans="1:22" x14ac:dyDescent="0.2">
      <c r="A4815" s="23" t="s">
        <v>5822</v>
      </c>
      <c r="B4815" s="22" t="s">
        <v>33</v>
      </c>
      <c r="C4815" s="22" t="s">
        <v>270</v>
      </c>
      <c r="D4815" s="22" t="s">
        <v>37</v>
      </c>
      <c r="E4815" s="24" t="s">
        <v>40</v>
      </c>
      <c r="F4815" s="22" t="s">
        <v>120</v>
      </c>
      <c r="G4815" s="25">
        <f>13537.95+1196</f>
        <v>14733.95</v>
      </c>
      <c r="H4815" s="22" t="s">
        <v>22</v>
      </c>
      <c r="I4815" s="22">
        <v>0</v>
      </c>
      <c r="J4815" s="22" t="s">
        <v>120</v>
      </c>
      <c r="K4815" s="22" t="s">
        <v>23</v>
      </c>
      <c r="L4815" s="22">
        <v>5</v>
      </c>
      <c r="M4815" s="26">
        <v>70000</v>
      </c>
      <c r="N4815" s="26">
        <v>0</v>
      </c>
      <c r="O4815" s="15">
        <f t="shared" si="417"/>
        <v>70000</v>
      </c>
      <c r="P4815" s="15">
        <f t="shared" si="416"/>
        <v>4.750932370477706</v>
      </c>
      <c r="Q4815" s="25">
        <v>10000</v>
      </c>
      <c r="R4815" s="22">
        <v>100</v>
      </c>
      <c r="S4815" s="22" t="s">
        <v>5830</v>
      </c>
      <c r="T4815" s="22">
        <f t="shared" si="418"/>
        <v>5</v>
      </c>
      <c r="U4815" s="22">
        <f t="shared" si="419"/>
        <v>2022</v>
      </c>
      <c r="V4815" s="22" t="str">
        <f t="shared" si="420"/>
        <v>METROPOLITANA</v>
      </c>
    </row>
    <row r="4816" spans="1:22" x14ac:dyDescent="0.2">
      <c r="A4816" s="23" t="s">
        <v>5822</v>
      </c>
      <c r="B4816" s="22" t="s">
        <v>33</v>
      </c>
      <c r="C4816" s="22" t="s">
        <v>270</v>
      </c>
      <c r="D4816" s="22" t="s">
        <v>20</v>
      </c>
      <c r="E4816" s="24" t="s">
        <v>5825</v>
      </c>
      <c r="F4816" s="22" t="s">
        <v>120</v>
      </c>
      <c r="G4816" s="25">
        <f>11148.9+598</f>
        <v>11746.9</v>
      </c>
      <c r="H4816" s="22" t="s">
        <v>22</v>
      </c>
      <c r="I4816" s="22">
        <v>0</v>
      </c>
      <c r="J4816" s="22" t="s">
        <v>120</v>
      </c>
      <c r="K4816" s="22" t="s">
        <v>23</v>
      </c>
      <c r="L4816" s="22">
        <v>5</v>
      </c>
      <c r="M4816" s="26">
        <v>70000</v>
      </c>
      <c r="N4816" s="26">
        <v>0</v>
      </c>
      <c r="O4816" s="15">
        <f t="shared" si="417"/>
        <v>70000</v>
      </c>
      <c r="P4816" s="15">
        <f t="shared" si="416"/>
        <v>5.9590189752189939</v>
      </c>
      <c r="Q4816" s="25">
        <v>10000</v>
      </c>
      <c r="R4816" s="22">
        <v>100</v>
      </c>
      <c r="S4816" s="22" t="s">
        <v>5831</v>
      </c>
      <c r="T4816" s="22">
        <f t="shared" si="418"/>
        <v>5</v>
      </c>
      <c r="U4816" s="22">
        <f t="shared" si="419"/>
        <v>2022</v>
      </c>
      <c r="V4816" s="22" t="str">
        <f t="shared" si="420"/>
        <v>METROPOLITANA</v>
      </c>
    </row>
    <row r="4817" spans="1:22" x14ac:dyDescent="0.2">
      <c r="A4817" s="23" t="s">
        <v>5822</v>
      </c>
      <c r="B4817" s="22" t="s">
        <v>33</v>
      </c>
      <c r="C4817" s="22" t="s">
        <v>29</v>
      </c>
      <c r="D4817" s="22" t="s">
        <v>5478</v>
      </c>
      <c r="E4817" s="24" t="s">
        <v>83</v>
      </c>
      <c r="F4817" s="22" t="s">
        <v>876</v>
      </c>
      <c r="G4817" s="25">
        <v>22808.80000000001</v>
      </c>
      <c r="H4817" s="22" t="s">
        <v>24</v>
      </c>
      <c r="I4817" s="22">
        <v>1</v>
      </c>
      <c r="J4817" s="22" t="s">
        <v>876</v>
      </c>
      <c r="K4817" s="22" t="s">
        <v>86</v>
      </c>
      <c r="L4817" s="22">
        <v>0</v>
      </c>
      <c r="M4817" s="26">
        <v>350000</v>
      </c>
      <c r="N4817" s="26">
        <v>0</v>
      </c>
      <c r="O4817" s="15">
        <f t="shared" si="417"/>
        <v>350000</v>
      </c>
      <c r="P4817" s="15">
        <f t="shared" si="416"/>
        <v>15.344954578934439</v>
      </c>
      <c r="Q4817" s="25">
        <v>20000</v>
      </c>
      <c r="R4817" s="22">
        <v>100</v>
      </c>
      <c r="S4817" s="22" t="s">
        <v>5826</v>
      </c>
      <c r="T4817" s="22">
        <f t="shared" si="418"/>
        <v>5</v>
      </c>
      <c r="U4817" s="22">
        <f t="shared" si="419"/>
        <v>2022</v>
      </c>
      <c r="V4817" s="22" t="str">
        <f t="shared" si="420"/>
        <v>REGIONES</v>
      </c>
    </row>
    <row r="4818" spans="1:22" x14ac:dyDescent="0.2">
      <c r="A4818" s="23" t="s">
        <v>5822</v>
      </c>
      <c r="B4818" s="22" t="s">
        <v>33</v>
      </c>
      <c r="C4818" s="22" t="s">
        <v>29</v>
      </c>
      <c r="D4818" s="22" t="s">
        <v>63</v>
      </c>
      <c r="E4818" s="24" t="s">
        <v>64</v>
      </c>
      <c r="F4818" s="22" t="s">
        <v>39</v>
      </c>
      <c r="G4818" s="25">
        <v>7503.9999999999973</v>
      </c>
      <c r="H4818" s="22" t="s">
        <v>65</v>
      </c>
      <c r="I4818" s="22">
        <v>0</v>
      </c>
      <c r="J4818" s="22" t="s">
        <v>39</v>
      </c>
      <c r="K4818" s="22" t="s">
        <v>23</v>
      </c>
      <c r="L4818" s="22">
        <v>1</v>
      </c>
      <c r="M4818" s="26">
        <v>82544</v>
      </c>
      <c r="N4818" s="26">
        <v>0</v>
      </c>
      <c r="O4818" s="15">
        <f t="shared" si="417"/>
        <v>82544</v>
      </c>
      <c r="P4818" s="15">
        <f t="shared" si="416"/>
        <v>11.000000000000004</v>
      </c>
      <c r="Q4818" s="25">
        <v>5000</v>
      </c>
      <c r="R4818" s="22">
        <v>100</v>
      </c>
      <c r="S4818" s="22" t="s">
        <v>5827</v>
      </c>
      <c r="T4818" s="22">
        <f t="shared" si="418"/>
        <v>5</v>
      </c>
      <c r="U4818" s="22">
        <f t="shared" si="419"/>
        <v>2022</v>
      </c>
      <c r="V4818" s="22" t="str">
        <f t="shared" si="420"/>
        <v>METROPOLITANA</v>
      </c>
    </row>
    <row r="4819" spans="1:22" x14ac:dyDescent="0.2">
      <c r="A4819" s="23" t="s">
        <v>5822</v>
      </c>
      <c r="B4819" s="22" t="s">
        <v>33</v>
      </c>
      <c r="C4819" s="22" t="s">
        <v>29</v>
      </c>
      <c r="D4819" s="22" t="s">
        <v>45</v>
      </c>
      <c r="E4819" s="24" t="s">
        <v>52</v>
      </c>
      <c r="F4819" s="22" t="s">
        <v>129</v>
      </c>
      <c r="G4819" s="25">
        <v>4050</v>
      </c>
      <c r="H4819" s="22" t="s">
        <v>22</v>
      </c>
      <c r="I4819" s="22">
        <v>0</v>
      </c>
      <c r="J4819" s="22" t="s">
        <v>129</v>
      </c>
      <c r="K4819" s="22" t="s">
        <v>23</v>
      </c>
      <c r="L4819" s="22">
        <v>1</v>
      </c>
      <c r="M4819" s="26">
        <v>55000</v>
      </c>
      <c r="N4819" s="26">
        <v>0</v>
      </c>
      <c r="O4819" s="15">
        <f t="shared" si="417"/>
        <v>55000</v>
      </c>
      <c r="P4819" s="15">
        <f t="shared" si="416"/>
        <v>13.580246913580247</v>
      </c>
      <c r="Q4819" s="25">
        <v>5000</v>
      </c>
      <c r="R4819" s="22">
        <v>81</v>
      </c>
      <c r="S4819" s="22" t="s">
        <v>5828</v>
      </c>
      <c r="T4819" s="22">
        <f t="shared" si="418"/>
        <v>5</v>
      </c>
      <c r="U4819" s="22">
        <f t="shared" si="419"/>
        <v>2022</v>
      </c>
      <c r="V4819" s="22" t="str">
        <f t="shared" si="420"/>
        <v>METROPOLITANA</v>
      </c>
    </row>
    <row r="4820" spans="1:22" x14ac:dyDescent="0.2">
      <c r="A4820" s="23" t="s">
        <v>5822</v>
      </c>
      <c r="B4820" s="22" t="s">
        <v>33</v>
      </c>
      <c r="C4820" s="22" t="s">
        <v>29</v>
      </c>
      <c r="D4820" s="22" t="s">
        <v>164</v>
      </c>
      <c r="E4820" s="24" t="s">
        <v>28</v>
      </c>
      <c r="F4820" s="22" t="s">
        <v>39</v>
      </c>
      <c r="G4820" s="25">
        <v>9724.8000000000084</v>
      </c>
      <c r="H4820" s="22" t="s">
        <v>22</v>
      </c>
      <c r="I4820" s="22">
        <v>1</v>
      </c>
      <c r="J4820" s="22" t="s">
        <v>39</v>
      </c>
      <c r="K4820" s="22" t="s">
        <v>23</v>
      </c>
      <c r="L4820" s="22">
        <v>1</v>
      </c>
      <c r="M4820" s="26">
        <v>106973</v>
      </c>
      <c r="N4820" s="26">
        <v>0</v>
      </c>
      <c r="O4820" s="15">
        <f t="shared" si="417"/>
        <v>106973</v>
      </c>
      <c r="P4820" s="15">
        <f t="shared" si="416"/>
        <v>11.000020565975641</v>
      </c>
      <c r="Q4820" s="25">
        <v>5000</v>
      </c>
      <c r="R4820" s="22">
        <v>100</v>
      </c>
      <c r="S4820" s="22" t="s">
        <v>5829</v>
      </c>
      <c r="T4820" s="22">
        <f t="shared" si="418"/>
        <v>5</v>
      </c>
      <c r="U4820" s="22">
        <f t="shared" si="419"/>
        <v>2022</v>
      </c>
      <c r="V4820" s="22" t="str">
        <f t="shared" si="420"/>
        <v>METROPOLITANA</v>
      </c>
    </row>
    <row r="4821" spans="1:22" x14ac:dyDescent="0.2">
      <c r="A4821" s="11" t="s">
        <v>5832</v>
      </c>
      <c r="B4821" s="12" t="s">
        <v>18</v>
      </c>
      <c r="C4821" s="12" t="s">
        <v>57</v>
      </c>
      <c r="D4821" s="12" t="s">
        <v>2251</v>
      </c>
      <c r="E4821" s="13" t="s">
        <v>2376</v>
      </c>
      <c r="F4821" s="12" t="s">
        <v>452</v>
      </c>
      <c r="G4821" s="14">
        <f>10690.38+7193</f>
        <v>17883.379999999997</v>
      </c>
      <c r="H4821" s="12" t="s">
        <v>24</v>
      </c>
      <c r="I4821" s="12">
        <v>1</v>
      </c>
      <c r="J4821" s="12" t="s">
        <v>452</v>
      </c>
      <c r="K4821" s="12" t="s">
        <v>171</v>
      </c>
      <c r="L4821" s="12">
        <v>0</v>
      </c>
      <c r="M4821" s="15">
        <v>260000</v>
      </c>
      <c r="N4821" s="15">
        <v>0</v>
      </c>
      <c r="O4821" s="15">
        <f t="shared" si="417"/>
        <v>260000</v>
      </c>
      <c r="P4821" s="15">
        <f t="shared" si="416"/>
        <v>14.538638668976448</v>
      </c>
      <c r="Q4821" s="14">
        <v>20000</v>
      </c>
      <c r="R4821" s="12">
        <v>53</v>
      </c>
      <c r="S4821" s="12" t="s">
        <v>5842</v>
      </c>
      <c r="T4821" s="22">
        <f t="shared" si="418"/>
        <v>5</v>
      </c>
      <c r="U4821" s="22">
        <f t="shared" si="419"/>
        <v>2022</v>
      </c>
      <c r="V4821" s="22" t="str">
        <f t="shared" si="420"/>
        <v>REGIONES</v>
      </c>
    </row>
    <row r="4822" spans="1:22" x14ac:dyDescent="0.2">
      <c r="A4822" s="11" t="s">
        <v>5832</v>
      </c>
      <c r="B4822" s="12" t="s">
        <v>33</v>
      </c>
      <c r="C4822" s="12" t="s">
        <v>2431</v>
      </c>
      <c r="D4822" s="12" t="s">
        <v>786</v>
      </c>
      <c r="E4822" s="13" t="s">
        <v>787</v>
      </c>
      <c r="F4822" s="12" t="s">
        <v>67</v>
      </c>
      <c r="G4822" s="14">
        <v>18631</v>
      </c>
      <c r="H4822" s="12" t="s">
        <v>788</v>
      </c>
      <c r="I4822" s="12">
        <v>1</v>
      </c>
      <c r="J4822" s="12" t="s">
        <v>67</v>
      </c>
      <c r="K4822" s="12" t="s">
        <v>23</v>
      </c>
      <c r="L4822" s="12">
        <v>2</v>
      </c>
      <c r="M4822" s="15">
        <v>204941</v>
      </c>
      <c r="N4822" s="15">
        <v>0</v>
      </c>
      <c r="O4822" s="15">
        <f t="shared" si="417"/>
        <v>204941</v>
      </c>
      <c r="P4822" s="15">
        <f t="shared" si="416"/>
        <v>11</v>
      </c>
      <c r="Q4822" s="14">
        <v>5000</v>
      </c>
      <c r="R4822" s="12">
        <v>100</v>
      </c>
      <c r="S4822" s="12" t="s">
        <v>5833</v>
      </c>
      <c r="T4822" s="22">
        <f t="shared" si="418"/>
        <v>5</v>
      </c>
      <c r="U4822" s="22">
        <f t="shared" si="419"/>
        <v>2022</v>
      </c>
      <c r="V4822" s="22" t="str">
        <f t="shared" si="420"/>
        <v>METROPOLITANA</v>
      </c>
    </row>
    <row r="4823" spans="1:22" x14ac:dyDescent="0.2">
      <c r="A4823" s="11" t="s">
        <v>5832</v>
      </c>
      <c r="B4823" s="12" t="s">
        <v>33</v>
      </c>
      <c r="C4823" s="12" t="s">
        <v>270</v>
      </c>
      <c r="D4823" s="12" t="s">
        <v>30</v>
      </c>
      <c r="E4823" s="13" t="s">
        <v>31</v>
      </c>
      <c r="F4823" s="12" t="s">
        <v>120</v>
      </c>
      <c r="G4823" s="14">
        <v>10085</v>
      </c>
      <c r="H4823" s="12" t="s">
        <v>32</v>
      </c>
      <c r="I4823" s="12">
        <v>0</v>
      </c>
      <c r="J4823" s="12" t="s">
        <v>120</v>
      </c>
      <c r="K4823" s="12" t="s">
        <v>23</v>
      </c>
      <c r="L4823" s="12">
        <v>5</v>
      </c>
      <c r="M4823" s="15">
        <v>70000</v>
      </c>
      <c r="N4823" s="15">
        <v>0</v>
      </c>
      <c r="O4823" s="15">
        <f t="shared" si="417"/>
        <v>70000</v>
      </c>
      <c r="P4823" s="15">
        <f t="shared" si="416"/>
        <v>6.9410014873574619</v>
      </c>
      <c r="Q4823" s="14">
        <v>10000</v>
      </c>
      <c r="R4823" s="12">
        <v>100</v>
      </c>
      <c r="S4823" s="12" t="s">
        <v>5834</v>
      </c>
      <c r="T4823" s="22">
        <f t="shared" si="418"/>
        <v>5</v>
      </c>
      <c r="U4823" s="22">
        <f t="shared" si="419"/>
        <v>2022</v>
      </c>
      <c r="V4823" s="22" t="str">
        <f t="shared" si="420"/>
        <v>METROPOLITANA</v>
      </c>
    </row>
    <row r="4824" spans="1:22" x14ac:dyDescent="0.2">
      <c r="A4824" s="11" t="s">
        <v>5832</v>
      </c>
      <c r="B4824" s="12" t="s">
        <v>33</v>
      </c>
      <c r="C4824" s="12" t="s">
        <v>60</v>
      </c>
      <c r="D4824" s="12" t="s">
        <v>38</v>
      </c>
      <c r="E4824" s="13" t="s">
        <v>25</v>
      </c>
      <c r="F4824" s="12" t="s">
        <v>161</v>
      </c>
      <c r="G4824" s="14">
        <v>9755.1999999999971</v>
      </c>
      <c r="H4824" s="12" t="s">
        <v>43</v>
      </c>
      <c r="I4824" s="12">
        <v>0</v>
      </c>
      <c r="J4824" s="12" t="s">
        <v>161</v>
      </c>
      <c r="K4824" s="12" t="s">
        <v>23</v>
      </c>
      <c r="L4824" s="12">
        <v>5</v>
      </c>
      <c r="M4824" s="15">
        <v>1</v>
      </c>
      <c r="N4824" s="15">
        <v>0</v>
      </c>
      <c r="O4824" s="15">
        <f t="shared" si="417"/>
        <v>1</v>
      </c>
      <c r="P4824" s="15">
        <f t="shared" si="416"/>
        <v>1.0250943086763986E-4</v>
      </c>
      <c r="Q4824" s="14">
        <v>10000</v>
      </c>
      <c r="R4824" s="12">
        <v>98</v>
      </c>
      <c r="S4824" s="12" t="s">
        <v>5835</v>
      </c>
      <c r="T4824" s="22">
        <f t="shared" si="418"/>
        <v>5</v>
      </c>
      <c r="U4824" s="22">
        <f t="shared" si="419"/>
        <v>2022</v>
      </c>
      <c r="V4824" s="22" t="str">
        <f t="shared" si="420"/>
        <v>METROPOLITANA</v>
      </c>
    </row>
    <row r="4825" spans="1:22" x14ac:dyDescent="0.2">
      <c r="A4825" s="11" t="s">
        <v>5832</v>
      </c>
      <c r="B4825" s="12" t="s">
        <v>33</v>
      </c>
      <c r="C4825" s="12" t="s">
        <v>128</v>
      </c>
      <c r="D4825" s="12" t="s">
        <v>786</v>
      </c>
      <c r="E4825" s="13" t="s">
        <v>787</v>
      </c>
      <c r="F4825" s="12" t="s">
        <v>129</v>
      </c>
      <c r="G4825" s="14">
        <v>8244.0000000000036</v>
      </c>
      <c r="H4825" s="12" t="s">
        <v>788</v>
      </c>
      <c r="I4825" s="12">
        <v>1</v>
      </c>
      <c r="J4825" s="12" t="s">
        <v>129</v>
      </c>
      <c r="K4825" s="12" t="s">
        <v>23</v>
      </c>
      <c r="L4825" s="12">
        <v>1</v>
      </c>
      <c r="M4825" s="15">
        <v>90684</v>
      </c>
      <c r="N4825" s="15">
        <v>0</v>
      </c>
      <c r="O4825" s="15">
        <f t="shared" si="417"/>
        <v>90684</v>
      </c>
      <c r="P4825" s="15">
        <f t="shared" si="416"/>
        <v>10.999999999999995</v>
      </c>
      <c r="Q4825" s="14">
        <v>5000</v>
      </c>
      <c r="R4825" s="12">
        <v>100</v>
      </c>
      <c r="S4825" s="12" t="s">
        <v>5836</v>
      </c>
      <c r="T4825" s="22">
        <f t="shared" si="418"/>
        <v>5</v>
      </c>
      <c r="U4825" s="22">
        <f t="shared" si="419"/>
        <v>2022</v>
      </c>
      <c r="V4825" s="22" t="str">
        <f t="shared" si="420"/>
        <v>METROPOLITANA</v>
      </c>
    </row>
    <row r="4826" spans="1:22" x14ac:dyDescent="0.2">
      <c r="A4826" s="11" t="s">
        <v>5832</v>
      </c>
      <c r="B4826" s="12" t="s">
        <v>33</v>
      </c>
      <c r="C4826" s="12" t="s">
        <v>128</v>
      </c>
      <c r="D4826" s="12" t="s">
        <v>2955</v>
      </c>
      <c r="E4826" s="13" t="s">
        <v>2956</v>
      </c>
      <c r="F4826" s="12" t="s">
        <v>129</v>
      </c>
      <c r="G4826" s="14">
        <v>9504.0000000000091</v>
      </c>
      <c r="H4826" s="12" t="s">
        <v>24</v>
      </c>
      <c r="I4826" s="12">
        <v>1</v>
      </c>
      <c r="J4826" s="12" t="s">
        <v>129</v>
      </c>
      <c r="K4826" s="12" t="s">
        <v>23</v>
      </c>
      <c r="L4826" s="12">
        <v>1</v>
      </c>
      <c r="M4826" s="15">
        <v>104544</v>
      </c>
      <c r="N4826" s="15">
        <v>0</v>
      </c>
      <c r="O4826" s="15">
        <f t="shared" si="417"/>
        <v>104544</v>
      </c>
      <c r="P4826" s="15">
        <f t="shared" si="416"/>
        <v>10.999999999999989</v>
      </c>
      <c r="Q4826" s="14">
        <v>5000</v>
      </c>
      <c r="R4826" s="12">
        <v>100</v>
      </c>
      <c r="S4826" s="12" t="s">
        <v>5837</v>
      </c>
      <c r="T4826" s="22">
        <f t="shared" si="418"/>
        <v>5</v>
      </c>
      <c r="U4826" s="22">
        <f t="shared" si="419"/>
        <v>2022</v>
      </c>
      <c r="V4826" s="22" t="str">
        <f t="shared" si="420"/>
        <v>METROPOLITANA</v>
      </c>
    </row>
    <row r="4827" spans="1:22" x14ac:dyDescent="0.2">
      <c r="A4827" s="11" t="s">
        <v>5832</v>
      </c>
      <c r="B4827" s="12" t="s">
        <v>33</v>
      </c>
      <c r="C4827" s="12" t="s">
        <v>36</v>
      </c>
      <c r="D4827" s="12" t="s">
        <v>191</v>
      </c>
      <c r="E4827" s="13" t="s">
        <v>192</v>
      </c>
      <c r="F4827" s="12" t="s">
        <v>132</v>
      </c>
      <c r="G4827" s="14">
        <v>6503.6400000000021</v>
      </c>
      <c r="H4827" s="12" t="s">
        <v>85</v>
      </c>
      <c r="I4827" s="12">
        <v>1</v>
      </c>
      <c r="J4827" s="12" t="s">
        <v>132</v>
      </c>
      <c r="K4827" s="12" t="s">
        <v>124</v>
      </c>
      <c r="L4827" s="12">
        <v>0</v>
      </c>
      <c r="M4827" s="15">
        <v>400000</v>
      </c>
      <c r="N4827" s="15">
        <v>0</v>
      </c>
      <c r="O4827" s="15">
        <f t="shared" si="417"/>
        <v>400000</v>
      </c>
      <c r="P4827" s="15">
        <f t="shared" si="416"/>
        <v>61.504019287660427</v>
      </c>
      <c r="Q4827" s="14">
        <v>20000</v>
      </c>
      <c r="R4827" s="12">
        <v>33</v>
      </c>
      <c r="S4827" s="12" t="s">
        <v>5838</v>
      </c>
      <c r="T4827" s="22">
        <f t="shared" si="418"/>
        <v>5</v>
      </c>
      <c r="U4827" s="22">
        <f t="shared" si="419"/>
        <v>2022</v>
      </c>
      <c r="V4827" s="22" t="str">
        <f t="shared" si="420"/>
        <v>REGIONES</v>
      </c>
    </row>
    <row r="4828" spans="1:22" x14ac:dyDescent="0.2">
      <c r="A4828" s="11" t="s">
        <v>5832</v>
      </c>
      <c r="B4828" s="12" t="s">
        <v>33</v>
      </c>
      <c r="C4828" s="12" t="s">
        <v>29</v>
      </c>
      <c r="D4828" s="12" t="s">
        <v>37</v>
      </c>
      <c r="E4828" s="13" t="s">
        <v>40</v>
      </c>
      <c r="F4828" s="12" t="s">
        <v>39</v>
      </c>
      <c r="G4828" s="14">
        <v>7948</v>
      </c>
      <c r="H4828" s="12" t="s">
        <v>22</v>
      </c>
      <c r="I4828" s="12">
        <v>0</v>
      </c>
      <c r="J4828" s="12" t="s">
        <v>39</v>
      </c>
      <c r="K4828" s="12" t="s">
        <v>23</v>
      </c>
      <c r="L4828" s="12">
        <v>1</v>
      </c>
      <c r="M4828" s="15">
        <v>87428</v>
      </c>
      <c r="N4828" s="15">
        <v>0</v>
      </c>
      <c r="O4828" s="15">
        <f t="shared" si="417"/>
        <v>87428</v>
      </c>
      <c r="P4828" s="15">
        <f t="shared" si="416"/>
        <v>11</v>
      </c>
      <c r="Q4828" s="14">
        <v>5000</v>
      </c>
      <c r="R4828" s="12">
        <v>100</v>
      </c>
      <c r="S4828" s="12" t="s">
        <v>5839</v>
      </c>
      <c r="T4828" s="22">
        <f t="shared" si="418"/>
        <v>5</v>
      </c>
      <c r="U4828" s="22">
        <f t="shared" si="419"/>
        <v>2022</v>
      </c>
      <c r="V4828" s="22" t="str">
        <f t="shared" si="420"/>
        <v>METROPOLITANA</v>
      </c>
    </row>
    <row r="4829" spans="1:22" x14ac:dyDescent="0.2">
      <c r="A4829" s="11" t="s">
        <v>5832</v>
      </c>
      <c r="B4829" s="12" t="s">
        <v>33</v>
      </c>
      <c r="C4829" s="12" t="s">
        <v>29</v>
      </c>
      <c r="D4829" s="12" t="s">
        <v>164</v>
      </c>
      <c r="E4829" s="13" t="s">
        <v>28</v>
      </c>
      <c r="F4829" s="12" t="s">
        <v>39</v>
      </c>
      <c r="G4829" s="14">
        <v>8244.0000000000036</v>
      </c>
      <c r="H4829" s="12" t="s">
        <v>22</v>
      </c>
      <c r="I4829" s="12">
        <v>1</v>
      </c>
      <c r="J4829" s="12" t="s">
        <v>39</v>
      </c>
      <c r="K4829" s="12" t="s">
        <v>23</v>
      </c>
      <c r="L4829" s="12">
        <v>1</v>
      </c>
      <c r="M4829" s="15">
        <v>90684</v>
      </c>
      <c r="N4829" s="15">
        <v>0</v>
      </c>
      <c r="O4829" s="15">
        <f t="shared" si="417"/>
        <v>90684</v>
      </c>
      <c r="P4829" s="15">
        <f t="shared" si="416"/>
        <v>10.999999999999995</v>
      </c>
      <c r="Q4829" s="14">
        <v>5000</v>
      </c>
      <c r="R4829" s="12">
        <v>100</v>
      </c>
      <c r="S4829" s="12" t="s">
        <v>5840</v>
      </c>
      <c r="T4829" s="22">
        <f t="shared" si="418"/>
        <v>5</v>
      </c>
      <c r="U4829" s="22">
        <f t="shared" si="419"/>
        <v>2022</v>
      </c>
      <c r="V4829" s="22" t="str">
        <f t="shared" si="420"/>
        <v>METROPOLITANA</v>
      </c>
    </row>
    <row r="4830" spans="1:22" x14ac:dyDescent="0.2">
      <c r="A4830" s="11" t="s">
        <v>5832</v>
      </c>
      <c r="B4830" s="12" t="s">
        <v>33</v>
      </c>
      <c r="C4830" s="12" t="s">
        <v>44</v>
      </c>
      <c r="D4830" s="12" t="s">
        <v>1170</v>
      </c>
      <c r="E4830" s="13" t="s">
        <v>81</v>
      </c>
      <c r="F4830" s="12" t="s">
        <v>114</v>
      </c>
      <c r="G4830" s="14">
        <v>6021.0399999999991</v>
      </c>
      <c r="H4830" s="12" t="s">
        <v>24</v>
      </c>
      <c r="I4830" s="12">
        <v>1</v>
      </c>
      <c r="J4830" s="12" t="s">
        <v>114</v>
      </c>
      <c r="K4830" s="12" t="s">
        <v>75</v>
      </c>
      <c r="L4830" s="12">
        <v>0</v>
      </c>
      <c r="M4830" s="15">
        <v>480000</v>
      </c>
      <c r="N4830" s="15">
        <v>0</v>
      </c>
      <c r="O4830" s="15">
        <f t="shared" si="417"/>
        <v>480000</v>
      </c>
      <c r="P4830" s="15">
        <f t="shared" si="416"/>
        <v>79.72044696597267</v>
      </c>
      <c r="Q4830" s="14">
        <v>20000</v>
      </c>
      <c r="R4830" s="12">
        <v>30</v>
      </c>
      <c r="S4830" s="12" t="s">
        <v>5841</v>
      </c>
      <c r="T4830" s="22">
        <f t="shared" si="418"/>
        <v>5</v>
      </c>
      <c r="U4830" s="22">
        <f t="shared" si="419"/>
        <v>2022</v>
      </c>
      <c r="V4830" s="22" t="str">
        <f t="shared" si="420"/>
        <v>REGIONES</v>
      </c>
    </row>
    <row r="4831" spans="1:22" x14ac:dyDescent="0.2">
      <c r="A4831" s="23" t="s">
        <v>5843</v>
      </c>
      <c r="B4831" s="22" t="s">
        <v>18</v>
      </c>
      <c r="C4831" s="22" t="s">
        <v>270</v>
      </c>
      <c r="D4831" s="22" t="s">
        <v>47</v>
      </c>
      <c r="E4831" s="24" t="s">
        <v>49</v>
      </c>
      <c r="F4831" s="22" t="s">
        <v>120</v>
      </c>
      <c r="G4831" s="25">
        <v>7320.3599999999988</v>
      </c>
      <c r="H4831" s="22" t="s">
        <v>22</v>
      </c>
      <c r="I4831" s="22">
        <v>0</v>
      </c>
      <c r="J4831" s="22" t="s">
        <v>120</v>
      </c>
      <c r="K4831" s="22" t="s">
        <v>23</v>
      </c>
      <c r="L4831" s="22">
        <v>5</v>
      </c>
      <c r="M4831" s="26">
        <v>70000</v>
      </c>
      <c r="N4831" s="26">
        <v>0</v>
      </c>
      <c r="O4831" s="15">
        <f t="shared" si="417"/>
        <v>70000</v>
      </c>
      <c r="P4831" s="15">
        <f t="shared" si="416"/>
        <v>9.5623712495013926</v>
      </c>
      <c r="Q4831" s="25">
        <v>10000</v>
      </c>
      <c r="R4831" s="22">
        <v>73</v>
      </c>
      <c r="S4831" s="22" t="s">
        <v>5844</v>
      </c>
      <c r="T4831" s="22">
        <f t="shared" si="418"/>
        <v>5</v>
      </c>
      <c r="U4831" s="22">
        <f t="shared" si="419"/>
        <v>2022</v>
      </c>
      <c r="V4831" s="22" t="str">
        <f t="shared" si="420"/>
        <v>METROPOLITANA</v>
      </c>
    </row>
    <row r="4832" spans="1:22" x14ac:dyDescent="0.2">
      <c r="A4832" s="23" t="s">
        <v>5843</v>
      </c>
      <c r="B4832" s="22" t="s">
        <v>18</v>
      </c>
      <c r="C4832" s="22" t="s">
        <v>57</v>
      </c>
      <c r="D4832" s="22" t="s">
        <v>63</v>
      </c>
      <c r="E4832" s="24" t="s">
        <v>64</v>
      </c>
      <c r="F4832" s="22" t="s">
        <v>800</v>
      </c>
      <c r="G4832" s="25">
        <v>11250.659999999991</v>
      </c>
      <c r="H4832" s="22" t="s">
        <v>65</v>
      </c>
      <c r="I4832" s="22">
        <v>0</v>
      </c>
      <c r="J4832" s="22" t="s">
        <v>800</v>
      </c>
      <c r="K4832" s="22" t="s">
        <v>23</v>
      </c>
      <c r="L4832" s="22">
        <v>5</v>
      </c>
      <c r="M4832" s="26">
        <v>90000</v>
      </c>
      <c r="N4832" s="26">
        <v>0</v>
      </c>
      <c r="O4832" s="15">
        <f t="shared" si="417"/>
        <v>90000</v>
      </c>
      <c r="P4832" s="15">
        <f t="shared" si="416"/>
        <v>7.9995306941992803</v>
      </c>
      <c r="Q4832" s="25">
        <v>10000</v>
      </c>
      <c r="R4832" s="22">
        <v>100</v>
      </c>
      <c r="S4832" s="22" t="s">
        <v>5845</v>
      </c>
      <c r="T4832" s="22">
        <f t="shared" si="418"/>
        <v>5</v>
      </c>
      <c r="U4832" s="22">
        <f t="shared" si="419"/>
        <v>2022</v>
      </c>
      <c r="V4832" s="22" t="str">
        <f t="shared" si="420"/>
        <v>METROPOLITANA</v>
      </c>
    </row>
    <row r="4833" spans="1:22" x14ac:dyDescent="0.2">
      <c r="A4833" s="23" t="s">
        <v>5843</v>
      </c>
      <c r="B4833" s="22" t="s">
        <v>18</v>
      </c>
      <c r="C4833" s="22" t="s">
        <v>19</v>
      </c>
      <c r="D4833" s="22" t="s">
        <v>1869</v>
      </c>
      <c r="E4833" s="24" t="s">
        <v>1870</v>
      </c>
      <c r="F4833" s="22" t="s">
        <v>727</v>
      </c>
      <c r="G4833" s="25">
        <v>11477.28</v>
      </c>
      <c r="H4833" s="22" t="s">
        <v>24</v>
      </c>
      <c r="I4833" s="22">
        <v>1</v>
      </c>
      <c r="J4833" s="22" t="s">
        <v>727</v>
      </c>
      <c r="K4833" s="22" t="s">
        <v>23</v>
      </c>
      <c r="L4833" s="22">
        <v>2</v>
      </c>
      <c r="M4833" s="26">
        <v>126250</v>
      </c>
      <c r="N4833" s="26">
        <v>0</v>
      </c>
      <c r="O4833" s="15">
        <f t="shared" si="417"/>
        <v>126250</v>
      </c>
      <c r="P4833" s="15">
        <f t="shared" ref="P4833:P4896" si="421">O4833/G4833</f>
        <v>10.999993029707387</v>
      </c>
      <c r="Q4833" s="25">
        <v>5000</v>
      </c>
      <c r="R4833" s="22">
        <v>100</v>
      </c>
      <c r="S4833" s="22" t="s">
        <v>5846</v>
      </c>
      <c r="T4833" s="22">
        <f t="shared" si="418"/>
        <v>5</v>
      </c>
      <c r="U4833" s="22">
        <f t="shared" si="419"/>
        <v>2022</v>
      </c>
      <c r="V4833" s="22" t="str">
        <f t="shared" si="420"/>
        <v>METROPOLITANA</v>
      </c>
    </row>
    <row r="4834" spans="1:22" x14ac:dyDescent="0.2">
      <c r="A4834" s="23" t="s">
        <v>5843</v>
      </c>
      <c r="B4834" s="22" t="s">
        <v>18</v>
      </c>
      <c r="C4834" s="22" t="s">
        <v>5796</v>
      </c>
      <c r="D4834" s="22" t="s">
        <v>38</v>
      </c>
      <c r="E4834" s="24" t="s">
        <v>25</v>
      </c>
      <c r="F4834" s="22" t="s">
        <v>129</v>
      </c>
      <c r="G4834" s="25">
        <v>5347.2000000000025</v>
      </c>
      <c r="H4834" s="22" t="s">
        <v>43</v>
      </c>
      <c r="I4834" s="22">
        <v>0</v>
      </c>
      <c r="J4834" s="22" t="s">
        <v>129</v>
      </c>
      <c r="K4834" s="22" t="s">
        <v>23</v>
      </c>
      <c r="L4834" s="22">
        <v>1</v>
      </c>
      <c r="M4834" s="26">
        <v>58819</v>
      </c>
      <c r="N4834" s="26">
        <v>0</v>
      </c>
      <c r="O4834" s="15">
        <f t="shared" si="417"/>
        <v>58819</v>
      </c>
      <c r="P4834" s="15">
        <f t="shared" si="421"/>
        <v>10.999962597247151</v>
      </c>
      <c r="Q4834" s="25">
        <v>5000</v>
      </c>
      <c r="R4834" s="22">
        <v>100</v>
      </c>
      <c r="S4834" s="22" t="s">
        <v>5847</v>
      </c>
      <c r="T4834" s="22">
        <f t="shared" si="418"/>
        <v>5</v>
      </c>
      <c r="U4834" s="22">
        <f t="shared" si="419"/>
        <v>2022</v>
      </c>
      <c r="V4834" s="22" t="str">
        <f t="shared" si="420"/>
        <v>METROPOLITANA</v>
      </c>
    </row>
    <row r="4835" spans="1:22" x14ac:dyDescent="0.2">
      <c r="A4835" s="23" t="s">
        <v>5843</v>
      </c>
      <c r="B4835" s="22" t="s">
        <v>18</v>
      </c>
      <c r="C4835" s="22" t="s">
        <v>5796</v>
      </c>
      <c r="D4835" s="22" t="s">
        <v>63</v>
      </c>
      <c r="E4835" s="24" t="s">
        <v>64</v>
      </c>
      <c r="F4835" s="22" t="s">
        <v>129</v>
      </c>
      <c r="G4835" s="25">
        <v>2673.6000000000008</v>
      </c>
      <c r="H4835" s="22" t="s">
        <v>65</v>
      </c>
      <c r="I4835" s="22">
        <v>0</v>
      </c>
      <c r="J4835" s="22" t="s">
        <v>129</v>
      </c>
      <c r="K4835" s="22" t="s">
        <v>23</v>
      </c>
      <c r="L4835" s="22">
        <v>1</v>
      </c>
      <c r="M4835" s="26">
        <v>55000</v>
      </c>
      <c r="N4835" s="26">
        <v>0</v>
      </c>
      <c r="O4835" s="15">
        <f t="shared" si="417"/>
        <v>55000</v>
      </c>
      <c r="P4835" s="15">
        <f t="shared" si="421"/>
        <v>20.571514063435064</v>
      </c>
      <c r="Q4835" s="25">
        <v>5000</v>
      </c>
      <c r="R4835" s="22">
        <v>53</v>
      </c>
      <c r="S4835" s="22" t="s">
        <v>5848</v>
      </c>
      <c r="T4835" s="22">
        <f t="shared" si="418"/>
        <v>5</v>
      </c>
      <c r="U4835" s="22">
        <f t="shared" si="419"/>
        <v>2022</v>
      </c>
      <c r="V4835" s="22" t="str">
        <f t="shared" si="420"/>
        <v>METROPOLITANA</v>
      </c>
    </row>
    <row r="4836" spans="1:22" x14ac:dyDescent="0.2">
      <c r="A4836" s="23" t="s">
        <v>5843</v>
      </c>
      <c r="B4836" s="22" t="s">
        <v>18</v>
      </c>
      <c r="C4836" s="22" t="s">
        <v>5796</v>
      </c>
      <c r="D4836" s="22" t="s">
        <v>5849</v>
      </c>
      <c r="E4836" s="24" t="s">
        <v>31</v>
      </c>
      <c r="F4836" s="22" t="s">
        <v>129</v>
      </c>
      <c r="G4836" s="25">
        <v>5347.2000000000025</v>
      </c>
      <c r="H4836" s="22" t="s">
        <v>24</v>
      </c>
      <c r="I4836" s="22">
        <v>1</v>
      </c>
      <c r="J4836" s="22" t="s">
        <v>129</v>
      </c>
      <c r="K4836" s="22" t="s">
        <v>23</v>
      </c>
      <c r="L4836" s="22">
        <v>1</v>
      </c>
      <c r="M4836" s="26">
        <v>58819</v>
      </c>
      <c r="N4836" s="26">
        <v>0</v>
      </c>
      <c r="O4836" s="15">
        <f t="shared" si="417"/>
        <v>58819</v>
      </c>
      <c r="P4836" s="15">
        <f t="shared" si="421"/>
        <v>10.999962597247151</v>
      </c>
      <c r="Q4836" s="25">
        <v>5000</v>
      </c>
      <c r="R4836" s="22">
        <v>100</v>
      </c>
      <c r="S4836" s="22" t="s">
        <v>5850</v>
      </c>
      <c r="T4836" s="22">
        <f t="shared" si="418"/>
        <v>5</v>
      </c>
      <c r="U4836" s="22">
        <f t="shared" si="419"/>
        <v>2022</v>
      </c>
      <c r="V4836" s="22" t="str">
        <f t="shared" si="420"/>
        <v>METROPOLITANA</v>
      </c>
    </row>
    <row r="4837" spans="1:22" x14ac:dyDescent="0.2">
      <c r="A4837" s="23" t="s">
        <v>5843</v>
      </c>
      <c r="B4837" s="22" t="s">
        <v>33</v>
      </c>
      <c r="C4837" s="22" t="s">
        <v>5851</v>
      </c>
      <c r="D4837" s="22" t="s">
        <v>30</v>
      </c>
      <c r="E4837" s="24" t="s">
        <v>31</v>
      </c>
      <c r="F4837" s="22" t="s">
        <v>274</v>
      </c>
      <c r="G4837" s="25">
        <v>6123.6000000000022</v>
      </c>
      <c r="H4837" s="22" t="s">
        <v>32</v>
      </c>
      <c r="I4837" s="22">
        <v>0</v>
      </c>
      <c r="J4837" s="22" t="s">
        <v>274</v>
      </c>
      <c r="K4837" s="22" t="s">
        <v>78</v>
      </c>
      <c r="L4837" s="22">
        <v>0</v>
      </c>
      <c r="M4837" s="26">
        <v>1</v>
      </c>
      <c r="N4837" s="26">
        <v>0</v>
      </c>
      <c r="O4837" s="15">
        <f t="shared" si="417"/>
        <v>1</v>
      </c>
      <c r="P4837" s="15">
        <f t="shared" si="421"/>
        <v>1.6330263243843484E-4</v>
      </c>
      <c r="Q4837" s="25">
        <v>8000</v>
      </c>
      <c r="R4837" s="22">
        <v>87</v>
      </c>
      <c r="S4837" s="22" t="s">
        <v>5852</v>
      </c>
      <c r="T4837" s="22">
        <f t="shared" si="418"/>
        <v>5</v>
      </c>
      <c r="U4837" s="22">
        <f t="shared" si="419"/>
        <v>2022</v>
      </c>
      <c r="V4837" s="22" t="str">
        <f t="shared" si="420"/>
        <v>REGIONES</v>
      </c>
    </row>
    <row r="4838" spans="1:22" x14ac:dyDescent="0.2">
      <c r="A4838" s="23" t="s">
        <v>5843</v>
      </c>
      <c r="B4838" s="22" t="s">
        <v>33</v>
      </c>
      <c r="C4838" s="22" t="s">
        <v>29</v>
      </c>
      <c r="D4838" s="22" t="s">
        <v>38</v>
      </c>
      <c r="E4838" s="24" t="s">
        <v>25</v>
      </c>
      <c r="F4838" s="22" t="s">
        <v>39</v>
      </c>
      <c r="G4838" s="25">
        <v>2748</v>
      </c>
      <c r="H4838" s="22" t="s">
        <v>43</v>
      </c>
      <c r="I4838" s="22">
        <v>0</v>
      </c>
      <c r="J4838" s="22" t="s">
        <v>39</v>
      </c>
      <c r="K4838" s="22" t="s">
        <v>23</v>
      </c>
      <c r="L4838" s="22">
        <v>1</v>
      </c>
      <c r="M4838" s="26">
        <v>55000</v>
      </c>
      <c r="N4838" s="26">
        <v>0</v>
      </c>
      <c r="O4838" s="15">
        <f t="shared" ref="O4838:O4901" si="422">SUM(M4838:N4838)</f>
        <v>55000</v>
      </c>
      <c r="P4838" s="15">
        <f t="shared" si="421"/>
        <v>20.014556040756915</v>
      </c>
      <c r="Q4838" s="25">
        <v>5000</v>
      </c>
      <c r="R4838" s="22">
        <v>55</v>
      </c>
      <c r="S4838" s="22" t="s">
        <v>5853</v>
      </c>
      <c r="T4838" s="22">
        <f t="shared" si="418"/>
        <v>5</v>
      </c>
      <c r="U4838" s="22">
        <f t="shared" si="419"/>
        <v>2022</v>
      </c>
      <c r="V4838" s="22" t="str">
        <f t="shared" si="420"/>
        <v>METROPOLITANA</v>
      </c>
    </row>
    <row r="4839" spans="1:22" x14ac:dyDescent="0.2">
      <c r="A4839" s="23" t="s">
        <v>5843</v>
      </c>
      <c r="B4839" s="22" t="s">
        <v>33</v>
      </c>
      <c r="C4839" s="22" t="s">
        <v>29</v>
      </c>
      <c r="D4839" s="22" t="s">
        <v>37</v>
      </c>
      <c r="E4839" s="24" t="s">
        <v>40</v>
      </c>
      <c r="F4839" s="22" t="s">
        <v>39</v>
      </c>
      <c r="G4839" s="25">
        <v>5601.5999999999995</v>
      </c>
      <c r="H4839" s="22" t="s">
        <v>22</v>
      </c>
      <c r="I4839" s="22">
        <v>0</v>
      </c>
      <c r="J4839" s="22" t="s">
        <v>39</v>
      </c>
      <c r="K4839" s="22" t="s">
        <v>23</v>
      </c>
      <c r="L4839" s="22">
        <v>1</v>
      </c>
      <c r="M4839" s="26">
        <v>61618</v>
      </c>
      <c r="N4839" s="26">
        <v>0</v>
      </c>
      <c r="O4839" s="15">
        <f t="shared" si="422"/>
        <v>61618</v>
      </c>
      <c r="P4839" s="15">
        <f t="shared" si="421"/>
        <v>11.000071408169095</v>
      </c>
      <c r="Q4839" s="25">
        <v>5000</v>
      </c>
      <c r="R4839" s="22">
        <v>100</v>
      </c>
      <c r="S4839" s="22" t="s">
        <v>5854</v>
      </c>
      <c r="T4839" s="22">
        <f t="shared" si="418"/>
        <v>5</v>
      </c>
      <c r="U4839" s="22">
        <f t="shared" si="419"/>
        <v>2022</v>
      </c>
      <c r="V4839" s="22" t="str">
        <f t="shared" si="420"/>
        <v>METROPOLITANA</v>
      </c>
    </row>
    <row r="4840" spans="1:22" x14ac:dyDescent="0.2">
      <c r="A4840" s="11" t="s">
        <v>5855</v>
      </c>
      <c r="B4840" s="12" t="s">
        <v>18</v>
      </c>
      <c r="C4840" s="12" t="s">
        <v>57</v>
      </c>
      <c r="D4840" s="12" t="s">
        <v>38</v>
      </c>
      <c r="E4840" s="13">
        <v>125108660</v>
      </c>
      <c r="F4840" s="12" t="s">
        <v>800</v>
      </c>
      <c r="G4840" s="14">
        <v>7614.24</v>
      </c>
      <c r="H4840" s="12" t="s">
        <v>43</v>
      </c>
      <c r="I4840" s="12">
        <v>0</v>
      </c>
      <c r="J4840" s="12" t="s">
        <v>800</v>
      </c>
      <c r="K4840" s="12" t="s">
        <v>23</v>
      </c>
      <c r="L4840" s="12">
        <v>5</v>
      </c>
      <c r="M4840" s="15">
        <v>90000</v>
      </c>
      <c r="N4840" s="15">
        <v>0</v>
      </c>
      <c r="O4840" s="15">
        <f t="shared" si="422"/>
        <v>90000</v>
      </c>
      <c r="P4840" s="15">
        <f t="shared" si="421"/>
        <v>11.819958393746454</v>
      </c>
      <c r="Q4840" s="14">
        <v>10000</v>
      </c>
      <c r="R4840" s="12">
        <v>76</v>
      </c>
      <c r="S4840" s="12" t="s">
        <v>5856</v>
      </c>
      <c r="T4840" s="22">
        <f t="shared" si="418"/>
        <v>5</v>
      </c>
      <c r="U4840" s="22">
        <f t="shared" si="419"/>
        <v>2022</v>
      </c>
      <c r="V4840" s="22" t="str">
        <f t="shared" si="420"/>
        <v>METROPOLITANA</v>
      </c>
    </row>
    <row r="4841" spans="1:22" x14ac:dyDescent="0.2">
      <c r="A4841" s="11" t="s">
        <v>5855</v>
      </c>
      <c r="B4841" s="12" t="s">
        <v>18</v>
      </c>
      <c r="C4841" s="12" t="s">
        <v>1669</v>
      </c>
      <c r="D4841" s="12" t="s">
        <v>786</v>
      </c>
      <c r="E4841" s="13">
        <v>95707734</v>
      </c>
      <c r="F4841" s="12" t="s">
        <v>691</v>
      </c>
      <c r="G4841" s="14">
        <v>24596.240000000009</v>
      </c>
      <c r="H4841" s="12" t="s">
        <v>788</v>
      </c>
      <c r="I4841" s="12">
        <v>1</v>
      </c>
      <c r="J4841" s="12" t="s">
        <v>691</v>
      </c>
      <c r="K4841" s="12" t="s">
        <v>873</v>
      </c>
      <c r="L4841" s="12">
        <v>0</v>
      </c>
      <c r="M4841" s="15">
        <v>1100000</v>
      </c>
      <c r="N4841" s="15">
        <v>0</v>
      </c>
      <c r="O4841" s="15">
        <f t="shared" si="422"/>
        <v>1100000</v>
      </c>
      <c r="P4841" s="15">
        <f t="shared" si="421"/>
        <v>44.722282755413005</v>
      </c>
      <c r="Q4841" s="14">
        <v>20000</v>
      </c>
      <c r="R4841" s="12">
        <v>100</v>
      </c>
      <c r="S4841" s="12" t="s">
        <v>5857</v>
      </c>
      <c r="T4841" s="22">
        <f t="shared" si="418"/>
        <v>5</v>
      </c>
      <c r="U4841" s="22">
        <f t="shared" si="419"/>
        <v>2022</v>
      </c>
      <c r="V4841" s="22" t="str">
        <f t="shared" si="420"/>
        <v>REGIONES</v>
      </c>
    </row>
    <row r="4842" spans="1:22" x14ac:dyDescent="0.2">
      <c r="A4842" s="11" t="s">
        <v>5855</v>
      </c>
      <c r="B4842" s="12" t="s">
        <v>33</v>
      </c>
      <c r="C4842" s="12" t="s">
        <v>29</v>
      </c>
      <c r="D4842" s="12" t="s">
        <v>37</v>
      </c>
      <c r="E4842" s="13">
        <v>160935094</v>
      </c>
      <c r="F4842" s="12" t="s">
        <v>39</v>
      </c>
      <c r="G4842" s="14">
        <v>9434</v>
      </c>
      <c r="H4842" s="12" t="s">
        <v>22</v>
      </c>
      <c r="I4842" s="12">
        <v>0</v>
      </c>
      <c r="J4842" s="12" t="s">
        <v>39</v>
      </c>
      <c r="K4842" s="12" t="s">
        <v>23</v>
      </c>
      <c r="L4842" s="12">
        <v>1</v>
      </c>
      <c r="M4842" s="15">
        <v>103774</v>
      </c>
      <c r="N4842" s="15">
        <v>0</v>
      </c>
      <c r="O4842" s="15">
        <f t="shared" si="422"/>
        <v>103774</v>
      </c>
      <c r="P4842" s="15">
        <f t="shared" si="421"/>
        <v>11</v>
      </c>
      <c r="Q4842" s="14">
        <v>5000</v>
      </c>
      <c r="R4842" s="12">
        <v>100</v>
      </c>
      <c r="S4842" s="12" t="s">
        <v>5858</v>
      </c>
      <c r="T4842" s="22">
        <f t="shared" si="418"/>
        <v>5</v>
      </c>
      <c r="U4842" s="22">
        <f t="shared" si="419"/>
        <v>2022</v>
      </c>
      <c r="V4842" s="22" t="str">
        <f t="shared" si="420"/>
        <v>METROPOLITANA</v>
      </c>
    </row>
    <row r="4843" spans="1:22" x14ac:dyDescent="0.2">
      <c r="A4843" s="11" t="s">
        <v>5855</v>
      </c>
      <c r="B4843" s="12" t="s">
        <v>33</v>
      </c>
      <c r="C4843" s="12" t="s">
        <v>29</v>
      </c>
      <c r="D4843" s="12" t="s">
        <v>63</v>
      </c>
      <c r="E4843" s="13">
        <v>138841065</v>
      </c>
      <c r="F4843" s="12" t="s">
        <v>129</v>
      </c>
      <c r="G4843" s="14">
        <v>7702.9999999999973</v>
      </c>
      <c r="H4843" s="12" t="s">
        <v>65</v>
      </c>
      <c r="I4843" s="12">
        <v>0</v>
      </c>
      <c r="J4843" s="12" t="s">
        <v>129</v>
      </c>
      <c r="K4843" s="12" t="s">
        <v>23</v>
      </c>
      <c r="L4843" s="12">
        <v>1</v>
      </c>
      <c r="M4843" s="15">
        <v>84733</v>
      </c>
      <c r="N4843" s="15">
        <v>0</v>
      </c>
      <c r="O4843" s="15">
        <f t="shared" si="422"/>
        <v>84733</v>
      </c>
      <c r="P4843" s="15">
        <f t="shared" si="421"/>
        <v>11.000000000000004</v>
      </c>
      <c r="Q4843" s="14">
        <v>5000</v>
      </c>
      <c r="R4843" s="12">
        <v>100</v>
      </c>
      <c r="S4843" s="12" t="s">
        <v>5859</v>
      </c>
      <c r="T4843" s="22">
        <f t="shared" si="418"/>
        <v>5</v>
      </c>
      <c r="U4843" s="22">
        <f t="shared" si="419"/>
        <v>2022</v>
      </c>
      <c r="V4843" s="22" t="str">
        <f t="shared" si="420"/>
        <v>METROPOLITANA</v>
      </c>
    </row>
    <row r="4844" spans="1:22" x14ac:dyDescent="0.2">
      <c r="A4844" s="11" t="s">
        <v>5855</v>
      </c>
      <c r="B4844" s="12" t="s">
        <v>33</v>
      </c>
      <c r="C4844" s="12" t="s">
        <v>29</v>
      </c>
      <c r="D4844" s="12" t="s">
        <v>164</v>
      </c>
      <c r="E4844" s="13">
        <v>81417709</v>
      </c>
      <c r="F4844" s="12" t="s">
        <v>39</v>
      </c>
      <c r="G4844" s="14">
        <v>25600.05000000001</v>
      </c>
      <c r="H4844" s="12" t="s">
        <v>22</v>
      </c>
      <c r="I4844" s="12">
        <v>1</v>
      </c>
      <c r="J4844" s="12" t="s">
        <v>39</v>
      </c>
      <c r="K4844" s="12" t="s">
        <v>23</v>
      </c>
      <c r="L4844" s="12">
        <v>1</v>
      </c>
      <c r="M4844" s="15">
        <v>281601</v>
      </c>
      <c r="N4844" s="15">
        <v>0</v>
      </c>
      <c r="O4844" s="15">
        <f t="shared" si="422"/>
        <v>281601</v>
      </c>
      <c r="P4844" s="15">
        <f t="shared" si="421"/>
        <v>11.000017578090663</v>
      </c>
      <c r="Q4844" s="14">
        <v>5000</v>
      </c>
      <c r="R4844" s="12">
        <v>100</v>
      </c>
      <c r="S4844" s="12" t="s">
        <v>5860</v>
      </c>
      <c r="T4844" s="22">
        <f t="shared" si="418"/>
        <v>5</v>
      </c>
      <c r="U4844" s="22">
        <f t="shared" si="419"/>
        <v>2022</v>
      </c>
      <c r="V4844" s="22" t="str">
        <f t="shared" si="420"/>
        <v>METROPOLITANA</v>
      </c>
    </row>
    <row r="4845" spans="1:22" x14ac:dyDescent="0.2">
      <c r="A4845" s="11" t="s">
        <v>5855</v>
      </c>
      <c r="B4845" s="12" t="s">
        <v>33</v>
      </c>
      <c r="C4845" s="12" t="s">
        <v>29</v>
      </c>
      <c r="D4845" s="12" t="s">
        <v>20</v>
      </c>
      <c r="E4845" s="13">
        <v>78907355</v>
      </c>
      <c r="F4845" s="12" t="s">
        <v>134</v>
      </c>
      <c r="G4845" s="14">
        <v>1998</v>
      </c>
      <c r="H4845" s="12" t="s">
        <v>22</v>
      </c>
      <c r="I4845" s="12">
        <v>0</v>
      </c>
      <c r="J4845" s="12" t="s">
        <v>134</v>
      </c>
      <c r="K4845" s="12" t="s">
        <v>23</v>
      </c>
      <c r="L4845" s="12">
        <v>2</v>
      </c>
      <c r="M4845" s="15">
        <v>55000</v>
      </c>
      <c r="N4845" s="15">
        <v>0</v>
      </c>
      <c r="O4845" s="15">
        <f t="shared" si="422"/>
        <v>55000</v>
      </c>
      <c r="P4845" s="15">
        <f t="shared" si="421"/>
        <v>27.527527527527528</v>
      </c>
      <c r="Q4845" s="14">
        <v>5000</v>
      </c>
      <c r="R4845" s="12">
        <v>40</v>
      </c>
      <c r="S4845" s="12" t="s">
        <v>5861</v>
      </c>
      <c r="T4845" s="22">
        <f t="shared" si="418"/>
        <v>5</v>
      </c>
      <c r="U4845" s="22">
        <f t="shared" si="419"/>
        <v>2022</v>
      </c>
      <c r="V4845" s="22" t="str">
        <f t="shared" si="420"/>
        <v>METROPOLITANA</v>
      </c>
    </row>
    <row r="4846" spans="1:22" x14ac:dyDescent="0.2">
      <c r="A4846" s="11" t="s">
        <v>5855</v>
      </c>
      <c r="B4846" s="12" t="s">
        <v>33</v>
      </c>
      <c r="C4846" s="12" t="s">
        <v>44</v>
      </c>
      <c r="D4846" s="12" t="s">
        <v>45</v>
      </c>
      <c r="E4846" s="13">
        <v>99626232</v>
      </c>
      <c r="F4846" s="12" t="s">
        <v>225</v>
      </c>
      <c r="G4846" s="14">
        <v>4193.9400000000014</v>
      </c>
      <c r="H4846" s="12" t="s">
        <v>22</v>
      </c>
      <c r="I4846" s="12">
        <v>0</v>
      </c>
      <c r="J4846" s="12" t="s">
        <v>225</v>
      </c>
      <c r="K4846" s="12" t="s">
        <v>23</v>
      </c>
      <c r="L4846" s="12">
        <v>3</v>
      </c>
      <c r="M4846" s="15">
        <v>55000</v>
      </c>
      <c r="N4846" s="15">
        <v>0</v>
      </c>
      <c r="O4846" s="15">
        <f t="shared" si="422"/>
        <v>55000</v>
      </c>
      <c r="P4846" s="15">
        <f t="shared" si="421"/>
        <v>13.114159954601158</v>
      </c>
      <c r="Q4846" s="14">
        <v>5000</v>
      </c>
      <c r="R4846" s="12">
        <v>84</v>
      </c>
      <c r="S4846" s="12" t="s">
        <v>5862</v>
      </c>
      <c r="T4846" s="22">
        <f t="shared" si="418"/>
        <v>5</v>
      </c>
      <c r="U4846" s="22">
        <f t="shared" si="419"/>
        <v>2022</v>
      </c>
      <c r="V4846" s="22" t="str">
        <f t="shared" si="420"/>
        <v>METROPOLITANA</v>
      </c>
    </row>
    <row r="4847" spans="1:22" x14ac:dyDescent="0.2">
      <c r="A4847" s="11" t="s">
        <v>5855</v>
      </c>
      <c r="B4847" s="12" t="s">
        <v>33</v>
      </c>
      <c r="C4847" s="12" t="s">
        <v>44</v>
      </c>
      <c r="D4847" s="12" t="s">
        <v>47</v>
      </c>
      <c r="E4847" s="13">
        <v>107643206</v>
      </c>
      <c r="F4847" s="12" t="s">
        <v>53</v>
      </c>
      <c r="G4847" s="14">
        <v>3262.6</v>
      </c>
      <c r="H4847" s="12" t="s">
        <v>22</v>
      </c>
      <c r="I4847" s="12">
        <v>0</v>
      </c>
      <c r="J4847" s="12" t="s">
        <v>53</v>
      </c>
      <c r="K4847" s="12" t="s">
        <v>23</v>
      </c>
      <c r="L4847" s="12">
        <v>3</v>
      </c>
      <c r="M4847" s="15">
        <v>55000</v>
      </c>
      <c r="N4847" s="15">
        <v>0</v>
      </c>
      <c r="O4847" s="15">
        <f t="shared" si="422"/>
        <v>55000</v>
      </c>
      <c r="P4847" s="15">
        <f t="shared" si="421"/>
        <v>16.857720836142953</v>
      </c>
      <c r="Q4847" s="14">
        <v>5000</v>
      </c>
      <c r="R4847" s="12">
        <v>65</v>
      </c>
      <c r="S4847" s="12" t="s">
        <v>5863</v>
      </c>
      <c r="T4847" s="22">
        <f t="shared" si="418"/>
        <v>5</v>
      </c>
      <c r="U4847" s="22">
        <f t="shared" si="419"/>
        <v>2022</v>
      </c>
      <c r="V4847" s="22" t="str">
        <f t="shared" si="420"/>
        <v>METROPOLITANA</v>
      </c>
    </row>
    <row r="4848" spans="1:22" x14ac:dyDescent="0.2">
      <c r="A4848" s="23" t="s">
        <v>5864</v>
      </c>
      <c r="B4848" s="22" t="s">
        <v>18</v>
      </c>
      <c r="C4848" s="22" t="s">
        <v>160</v>
      </c>
      <c r="D4848" s="22" t="s">
        <v>38</v>
      </c>
      <c r="E4848" s="24" t="s">
        <v>25</v>
      </c>
      <c r="F4848" s="22" t="s">
        <v>129</v>
      </c>
      <c r="G4848" s="25">
        <v>7643.53</v>
      </c>
      <c r="H4848" s="22" t="s">
        <v>43</v>
      </c>
      <c r="I4848" s="22">
        <v>0</v>
      </c>
      <c r="J4848" s="22" t="s">
        <v>129</v>
      </c>
      <c r="K4848" s="22" t="s">
        <v>23</v>
      </c>
      <c r="L4848" s="22">
        <v>1</v>
      </c>
      <c r="M4848" s="26">
        <v>84079</v>
      </c>
      <c r="N4848" s="26">
        <v>0</v>
      </c>
      <c r="O4848" s="15">
        <f t="shared" si="422"/>
        <v>84079</v>
      </c>
      <c r="P4848" s="15">
        <f t="shared" si="421"/>
        <v>11.000022241032612</v>
      </c>
      <c r="Q4848" s="25">
        <v>5000</v>
      </c>
      <c r="R4848" s="22">
        <v>100</v>
      </c>
      <c r="S4848" s="22" t="s">
        <v>5865</v>
      </c>
      <c r="T4848" s="22">
        <f t="shared" si="418"/>
        <v>6</v>
      </c>
      <c r="U4848" s="22">
        <f t="shared" si="419"/>
        <v>2022</v>
      </c>
      <c r="V4848" s="22" t="str">
        <f t="shared" si="420"/>
        <v>METROPOLITANA</v>
      </c>
    </row>
    <row r="4849" spans="1:22" x14ac:dyDescent="0.2">
      <c r="A4849" s="23" t="s">
        <v>5864</v>
      </c>
      <c r="B4849" s="22" t="s">
        <v>18</v>
      </c>
      <c r="C4849" s="22" t="s">
        <v>1669</v>
      </c>
      <c r="D4849" s="22" t="s">
        <v>4247</v>
      </c>
      <c r="E4849" s="24" t="s">
        <v>62</v>
      </c>
      <c r="F4849" s="22" t="s">
        <v>691</v>
      </c>
      <c r="G4849" s="25">
        <v>21954.39000000001</v>
      </c>
      <c r="H4849" s="22" t="s">
        <v>24</v>
      </c>
      <c r="I4849" s="22">
        <v>1</v>
      </c>
      <c r="J4849" s="22" t="s">
        <v>691</v>
      </c>
      <c r="K4849" s="22" t="s">
        <v>873</v>
      </c>
      <c r="L4849" s="22">
        <v>0</v>
      </c>
      <c r="M4849" s="26">
        <v>1100000</v>
      </c>
      <c r="N4849" s="26">
        <v>0</v>
      </c>
      <c r="O4849" s="15">
        <f t="shared" si="422"/>
        <v>1100000</v>
      </c>
      <c r="P4849" s="15">
        <f t="shared" si="421"/>
        <v>50.103874441512588</v>
      </c>
      <c r="Q4849" s="25">
        <v>20000</v>
      </c>
      <c r="R4849" s="22">
        <v>100</v>
      </c>
      <c r="S4849" s="22" t="s">
        <v>5866</v>
      </c>
      <c r="T4849" s="22">
        <f t="shared" si="418"/>
        <v>6</v>
      </c>
      <c r="U4849" s="22">
        <f t="shared" si="419"/>
        <v>2022</v>
      </c>
      <c r="V4849" s="22" t="str">
        <f t="shared" si="420"/>
        <v>REGIONES</v>
      </c>
    </row>
    <row r="4850" spans="1:22" x14ac:dyDescent="0.2">
      <c r="A4850" s="23" t="s">
        <v>5864</v>
      </c>
      <c r="B4850" s="22" t="s">
        <v>33</v>
      </c>
      <c r="C4850" s="22" t="s">
        <v>60</v>
      </c>
      <c r="D4850" s="22" t="s">
        <v>63</v>
      </c>
      <c r="E4850" s="24" t="s">
        <v>64</v>
      </c>
      <c r="F4850" s="22" t="s">
        <v>51</v>
      </c>
      <c r="G4850" s="25">
        <f>5850+1601</f>
        <v>7451</v>
      </c>
      <c r="H4850" s="22" t="s">
        <v>65</v>
      </c>
      <c r="I4850" s="22">
        <v>0</v>
      </c>
      <c r="J4850" s="22" t="s">
        <v>51</v>
      </c>
      <c r="K4850" s="22" t="s">
        <v>23</v>
      </c>
      <c r="L4850" s="22">
        <v>4</v>
      </c>
      <c r="M4850" s="26">
        <v>64350</v>
      </c>
      <c r="N4850" s="26">
        <v>0</v>
      </c>
      <c r="O4850" s="15">
        <f t="shared" si="422"/>
        <v>64350</v>
      </c>
      <c r="P4850" s="15">
        <f t="shared" si="421"/>
        <v>8.6364246409877872</v>
      </c>
      <c r="Q4850" s="25">
        <v>5000</v>
      </c>
      <c r="R4850" s="22">
        <v>100</v>
      </c>
      <c r="S4850" s="22" t="s">
        <v>5876</v>
      </c>
      <c r="T4850" s="22">
        <f t="shared" si="418"/>
        <v>6</v>
      </c>
      <c r="U4850" s="22">
        <f t="shared" si="419"/>
        <v>2022</v>
      </c>
      <c r="V4850" s="22" t="str">
        <f t="shared" si="420"/>
        <v>METROPOLITANA</v>
      </c>
    </row>
    <row r="4851" spans="1:22" x14ac:dyDescent="0.2">
      <c r="A4851" s="23" t="s">
        <v>5864</v>
      </c>
      <c r="B4851" s="22" t="s">
        <v>33</v>
      </c>
      <c r="C4851" s="22" t="s">
        <v>909</v>
      </c>
      <c r="D4851" s="22" t="s">
        <v>2955</v>
      </c>
      <c r="E4851" s="24" t="s">
        <v>2956</v>
      </c>
      <c r="F4851" s="22" t="s">
        <v>3898</v>
      </c>
      <c r="G4851" s="25">
        <v>11699.68</v>
      </c>
      <c r="H4851" s="22" t="s">
        <v>24</v>
      </c>
      <c r="I4851" s="22">
        <v>1</v>
      </c>
      <c r="J4851" s="22" t="s">
        <v>910</v>
      </c>
      <c r="K4851" s="22" t="s">
        <v>171</v>
      </c>
      <c r="L4851" s="22">
        <v>0</v>
      </c>
      <c r="M4851" s="26">
        <v>260000</v>
      </c>
      <c r="N4851" s="26">
        <v>0</v>
      </c>
      <c r="O4851" s="15">
        <f t="shared" si="422"/>
        <v>260000</v>
      </c>
      <c r="P4851" s="15">
        <f t="shared" si="421"/>
        <v>22.222830026120374</v>
      </c>
      <c r="Q4851" s="25">
        <v>20000</v>
      </c>
      <c r="R4851" s="22">
        <v>58</v>
      </c>
      <c r="S4851" s="22" t="s">
        <v>5867</v>
      </c>
      <c r="T4851" s="22">
        <f t="shared" si="418"/>
        <v>6</v>
      </c>
      <c r="U4851" s="22">
        <f t="shared" si="419"/>
        <v>2022</v>
      </c>
      <c r="V4851" s="22" t="str">
        <f t="shared" si="420"/>
        <v>REGIONES</v>
      </c>
    </row>
    <row r="4852" spans="1:22" x14ac:dyDescent="0.2">
      <c r="A4852" s="23" t="s">
        <v>5864</v>
      </c>
      <c r="B4852" s="22" t="s">
        <v>33</v>
      </c>
      <c r="C4852" s="22" t="s">
        <v>29</v>
      </c>
      <c r="D4852" s="22" t="s">
        <v>37</v>
      </c>
      <c r="E4852" s="24" t="s">
        <v>40</v>
      </c>
      <c r="F4852" s="22" t="s">
        <v>39</v>
      </c>
      <c r="G4852" s="25">
        <v>6983.4</v>
      </c>
      <c r="H4852" s="22" t="s">
        <v>22</v>
      </c>
      <c r="I4852" s="22">
        <v>0</v>
      </c>
      <c r="J4852" s="22" t="s">
        <v>39</v>
      </c>
      <c r="K4852" s="22" t="s">
        <v>23</v>
      </c>
      <c r="L4852" s="22">
        <v>1</v>
      </c>
      <c r="M4852" s="26">
        <v>76817</v>
      </c>
      <c r="N4852" s="26">
        <v>0</v>
      </c>
      <c r="O4852" s="15">
        <f t="shared" si="422"/>
        <v>76817</v>
      </c>
      <c r="P4852" s="15">
        <f t="shared" si="421"/>
        <v>10.999942721310537</v>
      </c>
      <c r="Q4852" s="25">
        <v>5000</v>
      </c>
      <c r="R4852" s="22">
        <v>100</v>
      </c>
      <c r="S4852" s="22" t="s">
        <v>5868</v>
      </c>
      <c r="T4852" s="22">
        <f t="shared" si="418"/>
        <v>6</v>
      </c>
      <c r="U4852" s="22">
        <f t="shared" si="419"/>
        <v>2022</v>
      </c>
      <c r="V4852" s="22" t="str">
        <f t="shared" si="420"/>
        <v>METROPOLITANA</v>
      </c>
    </row>
    <row r="4853" spans="1:22" x14ac:dyDescent="0.2">
      <c r="A4853" s="23" t="s">
        <v>5864</v>
      </c>
      <c r="B4853" s="22" t="s">
        <v>33</v>
      </c>
      <c r="C4853" s="22" t="s">
        <v>29</v>
      </c>
      <c r="D4853" s="22" t="s">
        <v>30</v>
      </c>
      <c r="E4853" s="24" t="s">
        <v>31</v>
      </c>
      <c r="F4853" s="22" t="s">
        <v>5869</v>
      </c>
      <c r="G4853" s="25">
        <v>8008.0000000000009</v>
      </c>
      <c r="H4853" s="22" t="s">
        <v>32</v>
      </c>
      <c r="I4853" s="22">
        <v>0</v>
      </c>
      <c r="J4853" s="22" t="s">
        <v>5869</v>
      </c>
      <c r="K4853" s="22" t="s">
        <v>78</v>
      </c>
      <c r="L4853" s="22">
        <v>0</v>
      </c>
      <c r="M4853" s="26">
        <v>203000</v>
      </c>
      <c r="N4853" s="26">
        <v>0</v>
      </c>
      <c r="O4853" s="15">
        <f t="shared" si="422"/>
        <v>203000</v>
      </c>
      <c r="P4853" s="15">
        <f t="shared" si="421"/>
        <v>25.349650349650346</v>
      </c>
      <c r="Q4853" s="25">
        <v>20000</v>
      </c>
      <c r="R4853" s="22">
        <v>40</v>
      </c>
      <c r="S4853" s="22" t="s">
        <v>5870</v>
      </c>
      <c r="T4853" s="22">
        <f t="shared" si="418"/>
        <v>6</v>
      </c>
      <c r="U4853" s="22">
        <f t="shared" si="419"/>
        <v>2022</v>
      </c>
      <c r="V4853" s="22" t="str">
        <f t="shared" si="420"/>
        <v>REGIONES</v>
      </c>
    </row>
    <row r="4854" spans="1:22" x14ac:dyDescent="0.2">
      <c r="A4854" s="23" t="s">
        <v>5864</v>
      </c>
      <c r="B4854" s="22" t="s">
        <v>33</v>
      </c>
      <c r="C4854" s="22" t="s">
        <v>29</v>
      </c>
      <c r="D4854" s="22" t="s">
        <v>30</v>
      </c>
      <c r="E4854" s="24" t="s">
        <v>31</v>
      </c>
      <c r="F4854" s="22" t="s">
        <v>134</v>
      </c>
      <c r="G4854" s="25">
        <v>9352.2000000000007</v>
      </c>
      <c r="H4854" s="22" t="s">
        <v>32</v>
      </c>
      <c r="I4854" s="22">
        <v>0</v>
      </c>
      <c r="J4854" s="22" t="s">
        <v>134</v>
      </c>
      <c r="K4854" s="22" t="s">
        <v>23</v>
      </c>
      <c r="L4854" s="22">
        <v>2</v>
      </c>
      <c r="M4854" s="26">
        <v>102874</v>
      </c>
      <c r="N4854" s="26">
        <v>0</v>
      </c>
      <c r="O4854" s="15">
        <f t="shared" si="422"/>
        <v>102874</v>
      </c>
      <c r="P4854" s="15">
        <f t="shared" si="421"/>
        <v>10.999978614657513</v>
      </c>
      <c r="Q4854" s="25">
        <v>5000</v>
      </c>
      <c r="R4854" s="22">
        <v>100</v>
      </c>
      <c r="S4854" s="22" t="s">
        <v>5871</v>
      </c>
      <c r="T4854" s="22">
        <f t="shared" si="418"/>
        <v>6</v>
      </c>
      <c r="U4854" s="22">
        <f t="shared" si="419"/>
        <v>2022</v>
      </c>
      <c r="V4854" s="22" t="str">
        <f t="shared" si="420"/>
        <v>METROPOLITANA</v>
      </c>
    </row>
    <row r="4855" spans="1:22" x14ac:dyDescent="0.2">
      <c r="A4855" s="23" t="s">
        <v>5864</v>
      </c>
      <c r="B4855" s="22" t="s">
        <v>33</v>
      </c>
      <c r="C4855" s="22" t="s">
        <v>29</v>
      </c>
      <c r="D4855" s="22" t="s">
        <v>164</v>
      </c>
      <c r="E4855" s="24" t="s">
        <v>28</v>
      </c>
      <c r="F4855" s="22" t="s">
        <v>39</v>
      </c>
      <c r="G4855" s="25">
        <v>19009.009999999998</v>
      </c>
      <c r="H4855" s="22" t="s">
        <v>22</v>
      </c>
      <c r="I4855" s="22">
        <v>1</v>
      </c>
      <c r="J4855" s="22" t="s">
        <v>39</v>
      </c>
      <c r="K4855" s="22" t="s">
        <v>23</v>
      </c>
      <c r="L4855" s="22">
        <v>1</v>
      </c>
      <c r="M4855" s="26">
        <v>209099</v>
      </c>
      <c r="N4855" s="26">
        <v>0</v>
      </c>
      <c r="O4855" s="15">
        <f t="shared" si="422"/>
        <v>209099</v>
      </c>
      <c r="P4855" s="15">
        <f t="shared" si="421"/>
        <v>10.999994213270444</v>
      </c>
      <c r="Q4855" s="25">
        <v>5000</v>
      </c>
      <c r="R4855" s="22">
        <v>100</v>
      </c>
      <c r="S4855" s="22" t="s">
        <v>5872</v>
      </c>
      <c r="T4855" s="22">
        <f t="shared" si="418"/>
        <v>6</v>
      </c>
      <c r="U4855" s="22">
        <f t="shared" si="419"/>
        <v>2022</v>
      </c>
      <c r="V4855" s="22" t="str">
        <f t="shared" si="420"/>
        <v>METROPOLITANA</v>
      </c>
    </row>
    <row r="4856" spans="1:22" x14ac:dyDescent="0.2">
      <c r="A4856" s="23" t="s">
        <v>5864</v>
      </c>
      <c r="B4856" s="22" t="s">
        <v>33</v>
      </c>
      <c r="C4856" s="22" t="s">
        <v>44</v>
      </c>
      <c r="D4856" s="22" t="s">
        <v>45</v>
      </c>
      <c r="E4856" s="24" t="s">
        <v>52</v>
      </c>
      <c r="F4856" s="22" t="s">
        <v>51</v>
      </c>
      <c r="G4856" s="25">
        <v>3116.6000000000008</v>
      </c>
      <c r="H4856" s="22" t="s">
        <v>22</v>
      </c>
      <c r="I4856" s="22">
        <v>0</v>
      </c>
      <c r="J4856" s="22" t="s">
        <v>51</v>
      </c>
      <c r="K4856" s="22" t="s">
        <v>23</v>
      </c>
      <c r="L4856" s="22">
        <v>4</v>
      </c>
      <c r="M4856" s="26">
        <v>55000</v>
      </c>
      <c r="N4856" s="26">
        <v>0</v>
      </c>
      <c r="O4856" s="15">
        <f t="shared" si="422"/>
        <v>55000</v>
      </c>
      <c r="P4856" s="15">
        <f t="shared" si="421"/>
        <v>17.647436308798046</v>
      </c>
      <c r="Q4856" s="25">
        <v>5000</v>
      </c>
      <c r="R4856" s="22">
        <v>62</v>
      </c>
      <c r="S4856" s="22" t="s">
        <v>5873</v>
      </c>
      <c r="T4856" s="22">
        <f t="shared" si="418"/>
        <v>6</v>
      </c>
      <c r="U4856" s="22">
        <f t="shared" si="419"/>
        <v>2022</v>
      </c>
      <c r="V4856" s="22" t="str">
        <f t="shared" si="420"/>
        <v>METROPOLITANA</v>
      </c>
    </row>
    <row r="4857" spans="1:22" x14ac:dyDescent="0.2">
      <c r="A4857" s="23" t="s">
        <v>5864</v>
      </c>
      <c r="B4857" s="22" t="s">
        <v>33</v>
      </c>
      <c r="C4857" s="22" t="s">
        <v>44</v>
      </c>
      <c r="D4857" s="22" t="s">
        <v>47</v>
      </c>
      <c r="E4857" s="24" t="s">
        <v>49</v>
      </c>
      <c r="F4857" s="22" t="s">
        <v>48</v>
      </c>
      <c r="G4857" s="25">
        <f>5426.6+1776</f>
        <v>7202.6</v>
      </c>
      <c r="H4857" s="22" t="s">
        <v>22</v>
      </c>
      <c r="I4857" s="22">
        <v>0</v>
      </c>
      <c r="J4857" s="22" t="s">
        <v>48</v>
      </c>
      <c r="K4857" s="22" t="s">
        <v>23</v>
      </c>
      <c r="L4857" s="22">
        <v>1</v>
      </c>
      <c r="M4857" s="26">
        <v>59693</v>
      </c>
      <c r="N4857" s="26">
        <v>0</v>
      </c>
      <c r="O4857" s="15">
        <f t="shared" si="422"/>
        <v>59693</v>
      </c>
      <c r="P4857" s="15">
        <f t="shared" si="421"/>
        <v>8.2877016632882565</v>
      </c>
      <c r="Q4857" s="25">
        <v>5000</v>
      </c>
      <c r="R4857" s="22">
        <v>100</v>
      </c>
      <c r="S4857" s="22" t="s">
        <v>5874</v>
      </c>
      <c r="T4857" s="22">
        <f t="shared" si="418"/>
        <v>6</v>
      </c>
      <c r="U4857" s="22">
        <f t="shared" si="419"/>
        <v>2022</v>
      </c>
      <c r="V4857" s="22" t="str">
        <f t="shared" si="420"/>
        <v>METROPOLITANA</v>
      </c>
    </row>
    <row r="4858" spans="1:22" x14ac:dyDescent="0.2">
      <c r="A4858" s="23" t="s">
        <v>5864</v>
      </c>
      <c r="B4858" s="22" t="s">
        <v>33</v>
      </c>
      <c r="C4858" s="22" t="s">
        <v>44</v>
      </c>
      <c r="D4858" s="22" t="s">
        <v>20</v>
      </c>
      <c r="E4858" s="24" t="s">
        <v>21</v>
      </c>
      <c r="F4858" s="22" t="s">
        <v>137</v>
      </c>
      <c r="G4858" s="25">
        <f>3257.3+1601</f>
        <v>4858.3</v>
      </c>
      <c r="H4858" s="22" t="s">
        <v>22</v>
      </c>
      <c r="I4858" s="22">
        <v>0</v>
      </c>
      <c r="J4858" s="22" t="s">
        <v>137</v>
      </c>
      <c r="K4858" s="22" t="s">
        <v>23</v>
      </c>
      <c r="L4858" s="22">
        <v>1</v>
      </c>
      <c r="M4858" s="26">
        <v>55000</v>
      </c>
      <c r="N4858" s="26">
        <v>0</v>
      </c>
      <c r="O4858" s="15">
        <f t="shared" si="422"/>
        <v>55000</v>
      </c>
      <c r="P4858" s="15">
        <f t="shared" si="421"/>
        <v>11.320832389930633</v>
      </c>
      <c r="Q4858" s="25">
        <v>5000</v>
      </c>
      <c r="R4858" s="22">
        <v>98</v>
      </c>
      <c r="S4858" s="22" t="s">
        <v>5875</v>
      </c>
      <c r="T4858" s="22">
        <f t="shared" si="418"/>
        <v>6</v>
      </c>
      <c r="U4858" s="22">
        <f t="shared" si="419"/>
        <v>2022</v>
      </c>
      <c r="V4858" s="22" t="str">
        <f t="shared" si="420"/>
        <v>METROPOLITANA</v>
      </c>
    </row>
    <row r="4859" spans="1:22" x14ac:dyDescent="0.2">
      <c r="A4859" s="11" t="s">
        <v>5877</v>
      </c>
      <c r="B4859" s="12" t="s">
        <v>18</v>
      </c>
      <c r="C4859" s="12" t="s">
        <v>19</v>
      </c>
      <c r="D4859" s="12" t="s">
        <v>191</v>
      </c>
      <c r="E4859" s="13" t="s">
        <v>192</v>
      </c>
      <c r="F4859" s="12" t="s">
        <v>727</v>
      </c>
      <c r="G4859" s="14">
        <v>13776.86</v>
      </c>
      <c r="H4859" s="12" t="s">
        <v>85</v>
      </c>
      <c r="I4859" s="12">
        <v>1</v>
      </c>
      <c r="J4859" s="12" t="s">
        <v>727</v>
      </c>
      <c r="K4859" s="12" t="s">
        <v>23</v>
      </c>
      <c r="L4859" s="12">
        <v>2</v>
      </c>
      <c r="M4859" s="15">
        <v>151545</v>
      </c>
      <c r="N4859" s="15">
        <v>0</v>
      </c>
      <c r="O4859" s="15">
        <f t="shared" si="422"/>
        <v>151545</v>
      </c>
      <c r="P4859" s="15">
        <f t="shared" si="421"/>
        <v>10.999966610679065</v>
      </c>
      <c r="Q4859" s="14">
        <v>5000</v>
      </c>
      <c r="R4859" s="12">
        <v>100</v>
      </c>
      <c r="S4859" s="12" t="s">
        <v>5878</v>
      </c>
      <c r="T4859" s="22">
        <f t="shared" si="418"/>
        <v>6</v>
      </c>
      <c r="U4859" s="22">
        <f t="shared" si="419"/>
        <v>2022</v>
      </c>
      <c r="V4859" s="22" t="str">
        <f t="shared" si="420"/>
        <v>METROPOLITANA</v>
      </c>
    </row>
    <row r="4860" spans="1:22" x14ac:dyDescent="0.2">
      <c r="A4860" s="11" t="s">
        <v>5877</v>
      </c>
      <c r="B4860" s="12" t="s">
        <v>18</v>
      </c>
      <c r="C4860" s="12" t="s">
        <v>5879</v>
      </c>
      <c r="D4860" s="12" t="s">
        <v>30</v>
      </c>
      <c r="E4860" s="13" t="s">
        <v>31</v>
      </c>
      <c r="F4860" s="12" t="s">
        <v>2066</v>
      </c>
      <c r="G4860" s="14">
        <v>11154</v>
      </c>
      <c r="H4860" s="12" t="s">
        <v>32</v>
      </c>
      <c r="I4860" s="12">
        <v>0</v>
      </c>
      <c r="J4860" s="12" t="s">
        <v>2066</v>
      </c>
      <c r="K4860" s="12" t="s">
        <v>171</v>
      </c>
      <c r="L4860" s="12">
        <v>0</v>
      </c>
      <c r="M4860" s="15">
        <v>260000</v>
      </c>
      <c r="N4860" s="15">
        <v>0</v>
      </c>
      <c r="O4860" s="15">
        <f t="shared" si="422"/>
        <v>260000</v>
      </c>
      <c r="P4860" s="15">
        <f t="shared" si="421"/>
        <v>23.310023310023311</v>
      </c>
      <c r="Q4860" s="14">
        <v>20000</v>
      </c>
      <c r="R4860" s="12">
        <v>56</v>
      </c>
      <c r="S4860" s="12" t="s">
        <v>5880</v>
      </c>
      <c r="T4860" s="22">
        <f t="shared" si="418"/>
        <v>6</v>
      </c>
      <c r="U4860" s="22">
        <f t="shared" si="419"/>
        <v>2022</v>
      </c>
      <c r="V4860" s="22" t="str">
        <f t="shared" si="420"/>
        <v>REGIONES</v>
      </c>
    </row>
    <row r="4861" spans="1:22" x14ac:dyDescent="0.2">
      <c r="A4861" s="11" t="s">
        <v>5877</v>
      </c>
      <c r="B4861" s="12" t="s">
        <v>33</v>
      </c>
      <c r="C4861" s="12" t="s">
        <v>36</v>
      </c>
      <c r="D4861" s="12" t="s">
        <v>45</v>
      </c>
      <c r="E4861" s="13" t="s">
        <v>52</v>
      </c>
      <c r="F4861" s="12" t="s">
        <v>129</v>
      </c>
      <c r="G4861" s="14">
        <v>2374.4</v>
      </c>
      <c r="H4861" s="12" t="s">
        <v>22</v>
      </c>
      <c r="I4861" s="12">
        <v>0</v>
      </c>
      <c r="J4861" s="12" t="s">
        <v>129</v>
      </c>
      <c r="K4861" s="12" t="s">
        <v>23</v>
      </c>
      <c r="L4861" s="12">
        <v>1</v>
      </c>
      <c r="M4861" s="15">
        <v>55000</v>
      </c>
      <c r="N4861" s="15">
        <v>0</v>
      </c>
      <c r="O4861" s="15">
        <f t="shared" si="422"/>
        <v>55000</v>
      </c>
      <c r="P4861" s="15">
        <f t="shared" si="421"/>
        <v>23.163746630727761</v>
      </c>
      <c r="Q4861" s="14">
        <v>5000</v>
      </c>
      <c r="R4861" s="12">
        <v>47</v>
      </c>
      <c r="S4861" s="12" t="s">
        <v>5881</v>
      </c>
      <c r="T4861" s="22">
        <f t="shared" si="418"/>
        <v>6</v>
      </c>
      <c r="U4861" s="22">
        <f t="shared" si="419"/>
        <v>2022</v>
      </c>
      <c r="V4861" s="22" t="str">
        <f t="shared" si="420"/>
        <v>METROPOLITANA</v>
      </c>
    </row>
    <row r="4862" spans="1:22" x14ac:dyDescent="0.2">
      <c r="A4862" s="11" t="s">
        <v>5877</v>
      </c>
      <c r="B4862" s="12" t="s">
        <v>33</v>
      </c>
      <c r="C4862" s="12" t="s">
        <v>223</v>
      </c>
      <c r="D4862" s="12" t="s">
        <v>37</v>
      </c>
      <c r="E4862" s="13" t="s">
        <v>40</v>
      </c>
      <c r="F4862" s="12" t="s">
        <v>51</v>
      </c>
      <c r="G4862" s="14">
        <f>9004.8+1501</f>
        <v>10505.8</v>
      </c>
      <c r="H4862" s="12" t="s">
        <v>22</v>
      </c>
      <c r="I4862" s="12">
        <v>0</v>
      </c>
      <c r="J4862" s="12" t="s">
        <v>51</v>
      </c>
      <c r="K4862" s="12" t="s">
        <v>23</v>
      </c>
      <c r="L4862" s="12">
        <v>4</v>
      </c>
      <c r="M4862" s="15">
        <v>99053</v>
      </c>
      <c r="N4862" s="15">
        <v>0</v>
      </c>
      <c r="O4862" s="15">
        <f t="shared" si="422"/>
        <v>99053</v>
      </c>
      <c r="P4862" s="15">
        <f t="shared" si="421"/>
        <v>9.4284109729863506</v>
      </c>
      <c r="Q4862" s="14">
        <v>5000</v>
      </c>
      <c r="R4862" s="12">
        <v>100</v>
      </c>
      <c r="S4862" s="12" t="s">
        <v>5888</v>
      </c>
      <c r="T4862" s="22">
        <f t="shared" si="418"/>
        <v>6</v>
      </c>
      <c r="U4862" s="22">
        <f t="shared" si="419"/>
        <v>2022</v>
      </c>
      <c r="V4862" s="22" t="str">
        <f t="shared" si="420"/>
        <v>METROPOLITANA</v>
      </c>
    </row>
    <row r="4863" spans="1:22" x14ac:dyDescent="0.2">
      <c r="A4863" s="11" t="s">
        <v>5877</v>
      </c>
      <c r="B4863" s="12" t="s">
        <v>33</v>
      </c>
      <c r="C4863" s="12" t="s">
        <v>223</v>
      </c>
      <c r="D4863" s="12" t="s">
        <v>63</v>
      </c>
      <c r="E4863" s="13" t="s">
        <v>64</v>
      </c>
      <c r="F4863" s="12" t="s">
        <v>51</v>
      </c>
      <c r="G4863" s="14">
        <v>10505.6</v>
      </c>
      <c r="H4863" s="12" t="s">
        <v>65</v>
      </c>
      <c r="I4863" s="12">
        <v>0</v>
      </c>
      <c r="J4863" s="12" t="s">
        <v>51</v>
      </c>
      <c r="K4863" s="12" t="s">
        <v>23</v>
      </c>
      <c r="L4863" s="12">
        <v>4</v>
      </c>
      <c r="M4863" s="15">
        <v>115562</v>
      </c>
      <c r="N4863" s="15">
        <v>0</v>
      </c>
      <c r="O4863" s="15">
        <f t="shared" si="422"/>
        <v>115562</v>
      </c>
      <c r="P4863" s="15">
        <f t="shared" si="421"/>
        <v>11.000038074931465</v>
      </c>
      <c r="Q4863" s="14">
        <v>5000</v>
      </c>
      <c r="R4863" s="12">
        <v>100</v>
      </c>
      <c r="S4863" s="12" t="s">
        <v>5882</v>
      </c>
      <c r="T4863" s="22">
        <f t="shared" si="418"/>
        <v>6</v>
      </c>
      <c r="U4863" s="22">
        <f t="shared" si="419"/>
        <v>2022</v>
      </c>
      <c r="V4863" s="22" t="str">
        <f t="shared" si="420"/>
        <v>METROPOLITANA</v>
      </c>
    </row>
    <row r="4864" spans="1:22" x14ac:dyDescent="0.2">
      <c r="A4864" s="11" t="s">
        <v>5877</v>
      </c>
      <c r="B4864" s="12" t="s">
        <v>33</v>
      </c>
      <c r="C4864" s="12" t="s">
        <v>29</v>
      </c>
      <c r="D4864" s="12" t="s">
        <v>38</v>
      </c>
      <c r="E4864" s="13" t="s">
        <v>25</v>
      </c>
      <c r="F4864" s="12" t="s">
        <v>134</v>
      </c>
      <c r="G4864" s="14">
        <v>8102.7999999999984</v>
      </c>
      <c r="H4864" s="12" t="s">
        <v>43</v>
      </c>
      <c r="I4864" s="12">
        <v>0</v>
      </c>
      <c r="J4864" s="12" t="s">
        <v>134</v>
      </c>
      <c r="K4864" s="12" t="s">
        <v>23</v>
      </c>
      <c r="L4864" s="12">
        <v>2</v>
      </c>
      <c r="M4864" s="15">
        <v>89131</v>
      </c>
      <c r="N4864" s="15">
        <v>0</v>
      </c>
      <c r="O4864" s="15">
        <f t="shared" si="422"/>
        <v>89131</v>
      </c>
      <c r="P4864" s="15">
        <f t="shared" si="421"/>
        <v>11.000024682825693</v>
      </c>
      <c r="Q4864" s="14">
        <v>5000</v>
      </c>
      <c r="R4864" s="12">
        <v>100</v>
      </c>
      <c r="S4864" s="12" t="s">
        <v>5883</v>
      </c>
      <c r="T4864" s="22">
        <f t="shared" si="418"/>
        <v>6</v>
      </c>
      <c r="U4864" s="22">
        <f t="shared" si="419"/>
        <v>2022</v>
      </c>
      <c r="V4864" s="22" t="str">
        <f t="shared" si="420"/>
        <v>METROPOLITANA</v>
      </c>
    </row>
    <row r="4865" spans="1:22" x14ac:dyDescent="0.2">
      <c r="A4865" s="11" t="s">
        <v>5877</v>
      </c>
      <c r="B4865" s="12" t="s">
        <v>33</v>
      </c>
      <c r="C4865" s="12" t="s">
        <v>29</v>
      </c>
      <c r="D4865" s="12" t="s">
        <v>37</v>
      </c>
      <c r="E4865" s="13" t="s">
        <v>40</v>
      </c>
      <c r="F4865" s="12" t="s">
        <v>39</v>
      </c>
      <c r="G4865" s="14">
        <v>2748</v>
      </c>
      <c r="H4865" s="12" t="s">
        <v>22</v>
      </c>
      <c r="I4865" s="12">
        <v>0</v>
      </c>
      <c r="J4865" s="12" t="s">
        <v>39</v>
      </c>
      <c r="K4865" s="12" t="s">
        <v>23</v>
      </c>
      <c r="L4865" s="12">
        <v>1</v>
      </c>
      <c r="M4865" s="15">
        <v>55000</v>
      </c>
      <c r="N4865" s="15">
        <v>0</v>
      </c>
      <c r="O4865" s="15">
        <f t="shared" si="422"/>
        <v>55000</v>
      </c>
      <c r="P4865" s="15">
        <f t="shared" si="421"/>
        <v>20.014556040756915</v>
      </c>
      <c r="Q4865" s="14">
        <v>5000</v>
      </c>
      <c r="R4865" s="12">
        <v>55</v>
      </c>
      <c r="S4865" s="12" t="s">
        <v>5884</v>
      </c>
      <c r="T4865" s="22">
        <f t="shared" si="418"/>
        <v>6</v>
      </c>
      <c r="U4865" s="22">
        <f t="shared" si="419"/>
        <v>2022</v>
      </c>
      <c r="V4865" s="22" t="str">
        <f t="shared" si="420"/>
        <v>METROPOLITANA</v>
      </c>
    </row>
    <row r="4866" spans="1:22" x14ac:dyDescent="0.2">
      <c r="A4866" s="11" t="s">
        <v>5877</v>
      </c>
      <c r="B4866" s="12" t="s">
        <v>33</v>
      </c>
      <c r="C4866" s="12" t="s">
        <v>29</v>
      </c>
      <c r="D4866" s="12" t="s">
        <v>63</v>
      </c>
      <c r="E4866" s="13" t="s">
        <v>64</v>
      </c>
      <c r="F4866" s="12" t="s">
        <v>134</v>
      </c>
      <c r="G4866" s="14">
        <v>8102.7999999999984</v>
      </c>
      <c r="H4866" s="12" t="s">
        <v>65</v>
      </c>
      <c r="I4866" s="12">
        <v>0</v>
      </c>
      <c r="J4866" s="12" t="s">
        <v>134</v>
      </c>
      <c r="K4866" s="12" t="s">
        <v>23</v>
      </c>
      <c r="L4866" s="12">
        <v>2</v>
      </c>
      <c r="M4866" s="15">
        <v>89131</v>
      </c>
      <c r="N4866" s="15">
        <v>0</v>
      </c>
      <c r="O4866" s="15">
        <f t="shared" si="422"/>
        <v>89131</v>
      </c>
      <c r="P4866" s="15">
        <f t="shared" si="421"/>
        <v>11.000024682825693</v>
      </c>
      <c r="Q4866" s="14">
        <v>5000</v>
      </c>
      <c r="R4866" s="12">
        <v>100</v>
      </c>
      <c r="S4866" s="12" t="s">
        <v>5885</v>
      </c>
      <c r="T4866" s="22">
        <f t="shared" si="418"/>
        <v>6</v>
      </c>
      <c r="U4866" s="22">
        <f t="shared" si="419"/>
        <v>2022</v>
      </c>
      <c r="V4866" s="22" t="str">
        <f t="shared" si="420"/>
        <v>METROPOLITANA</v>
      </c>
    </row>
    <row r="4867" spans="1:22" x14ac:dyDescent="0.2">
      <c r="A4867" s="11" t="s">
        <v>5877</v>
      </c>
      <c r="B4867" s="12" t="s">
        <v>33</v>
      </c>
      <c r="C4867" s="12" t="s">
        <v>29</v>
      </c>
      <c r="D4867" s="12" t="s">
        <v>164</v>
      </c>
      <c r="E4867" s="13" t="s">
        <v>1576</v>
      </c>
      <c r="F4867" s="12" t="s">
        <v>39</v>
      </c>
      <c r="G4867" s="14">
        <v>8156.6099999999979</v>
      </c>
      <c r="H4867" s="12" t="s">
        <v>22</v>
      </c>
      <c r="I4867" s="12">
        <v>1</v>
      </c>
      <c r="J4867" s="12" t="s">
        <v>39</v>
      </c>
      <c r="K4867" s="12" t="s">
        <v>23</v>
      </c>
      <c r="L4867" s="12">
        <v>1</v>
      </c>
      <c r="M4867" s="15">
        <v>89723</v>
      </c>
      <c r="N4867" s="15">
        <v>0</v>
      </c>
      <c r="O4867" s="15">
        <f t="shared" si="422"/>
        <v>89723</v>
      </c>
      <c r="P4867" s="15">
        <f t="shared" si="421"/>
        <v>11.00003555398628</v>
      </c>
      <c r="Q4867" s="14">
        <v>5000</v>
      </c>
      <c r="R4867" s="12">
        <v>100</v>
      </c>
      <c r="S4867" s="12" t="s">
        <v>5886</v>
      </c>
      <c r="T4867" s="22">
        <f t="shared" si="418"/>
        <v>6</v>
      </c>
      <c r="U4867" s="22">
        <f t="shared" si="419"/>
        <v>2022</v>
      </c>
      <c r="V4867" s="22" t="str">
        <f t="shared" si="420"/>
        <v>METROPOLITANA</v>
      </c>
    </row>
    <row r="4868" spans="1:22" x14ac:dyDescent="0.2">
      <c r="A4868" s="11" t="s">
        <v>5877</v>
      </c>
      <c r="B4868" s="12" t="s">
        <v>33</v>
      </c>
      <c r="C4868" s="12" t="s">
        <v>44</v>
      </c>
      <c r="D4868" s="12" t="s">
        <v>45</v>
      </c>
      <c r="E4868" s="13" t="s">
        <v>52</v>
      </c>
      <c r="F4868" s="12" t="s">
        <v>26</v>
      </c>
      <c r="G4868" s="14">
        <v>6557.2599999999984</v>
      </c>
      <c r="H4868" s="12" t="s">
        <v>22</v>
      </c>
      <c r="I4868" s="12">
        <v>0</v>
      </c>
      <c r="J4868" s="12" t="s">
        <v>26</v>
      </c>
      <c r="K4868" s="12" t="s">
        <v>23</v>
      </c>
      <c r="L4868" s="12">
        <v>4</v>
      </c>
      <c r="M4868" s="15">
        <v>72130</v>
      </c>
      <c r="N4868" s="15">
        <v>0</v>
      </c>
      <c r="O4868" s="15">
        <f t="shared" si="422"/>
        <v>72130</v>
      </c>
      <c r="P4868" s="15">
        <f t="shared" si="421"/>
        <v>11.000021350381108</v>
      </c>
      <c r="Q4868" s="14">
        <v>5000</v>
      </c>
      <c r="R4868" s="12">
        <v>100</v>
      </c>
      <c r="S4868" s="12" t="s">
        <v>5887</v>
      </c>
      <c r="T4868" s="22">
        <f t="shared" si="418"/>
        <v>6</v>
      </c>
      <c r="U4868" s="22">
        <f t="shared" si="419"/>
        <v>2022</v>
      </c>
      <c r="V4868" s="22" t="str">
        <f t="shared" si="420"/>
        <v>METROPOLITANA</v>
      </c>
    </row>
    <row r="4869" spans="1:22" x14ac:dyDescent="0.2">
      <c r="A4869" s="23" t="s">
        <v>5889</v>
      </c>
      <c r="B4869" s="22" t="s">
        <v>33</v>
      </c>
      <c r="C4869" s="22" t="s">
        <v>270</v>
      </c>
      <c r="D4869" s="22" t="s">
        <v>47</v>
      </c>
      <c r="E4869" s="24" t="s">
        <v>49</v>
      </c>
      <c r="F4869" s="22" t="s">
        <v>120</v>
      </c>
      <c r="G4869" s="25">
        <v>11148.900000000011</v>
      </c>
      <c r="H4869" s="22" t="s">
        <v>22</v>
      </c>
      <c r="I4869" s="22">
        <v>0</v>
      </c>
      <c r="J4869" s="22" t="s">
        <v>120</v>
      </c>
      <c r="K4869" s="22" t="s">
        <v>23</v>
      </c>
      <c r="L4869" s="22">
        <v>5</v>
      </c>
      <c r="M4869" s="26">
        <v>70000</v>
      </c>
      <c r="N4869" s="26">
        <v>0</v>
      </c>
      <c r="O4869" s="15">
        <f t="shared" si="422"/>
        <v>70000</v>
      </c>
      <c r="P4869" s="15">
        <f t="shared" si="421"/>
        <v>6.2786463238525716</v>
      </c>
      <c r="Q4869" s="25">
        <v>10000</v>
      </c>
      <c r="R4869" s="22">
        <v>100</v>
      </c>
      <c r="S4869" s="22" t="s">
        <v>5890</v>
      </c>
      <c r="T4869" s="22">
        <f t="shared" si="418"/>
        <v>6</v>
      </c>
      <c r="U4869" s="22">
        <f t="shared" si="419"/>
        <v>2022</v>
      </c>
      <c r="V4869" s="22" t="str">
        <f t="shared" si="420"/>
        <v>METROPOLITANA</v>
      </c>
    </row>
    <row r="4870" spans="1:22" x14ac:dyDescent="0.2">
      <c r="A4870" s="23" t="s">
        <v>5889</v>
      </c>
      <c r="B4870" s="22" t="s">
        <v>33</v>
      </c>
      <c r="C4870" s="22" t="s">
        <v>128</v>
      </c>
      <c r="D4870" s="22" t="s">
        <v>2955</v>
      </c>
      <c r="E4870" s="24" t="s">
        <v>2956</v>
      </c>
      <c r="F4870" s="22" t="s">
        <v>34</v>
      </c>
      <c r="G4870" s="25">
        <f>6541.82+65</f>
        <v>6606.82</v>
      </c>
      <c r="H4870" s="22" t="s">
        <v>24</v>
      </c>
      <c r="I4870" s="22">
        <v>1</v>
      </c>
      <c r="J4870" s="22" t="s">
        <v>34</v>
      </c>
      <c r="K4870" s="22" t="s">
        <v>23</v>
      </c>
      <c r="L4870" s="22">
        <v>1</v>
      </c>
      <c r="M4870" s="26">
        <v>71960</v>
      </c>
      <c r="N4870" s="26">
        <v>0</v>
      </c>
      <c r="O4870" s="15">
        <f t="shared" si="422"/>
        <v>71960</v>
      </c>
      <c r="P4870" s="15">
        <f t="shared" si="421"/>
        <v>10.891775468379645</v>
      </c>
      <c r="Q4870" s="25">
        <v>5000</v>
      </c>
      <c r="R4870" s="22">
        <v>100</v>
      </c>
      <c r="S4870" s="22" t="s">
        <v>5897</v>
      </c>
      <c r="T4870" s="22">
        <f t="shared" si="418"/>
        <v>6</v>
      </c>
      <c r="U4870" s="22">
        <f t="shared" si="419"/>
        <v>2022</v>
      </c>
      <c r="V4870" s="22" t="str">
        <f t="shared" si="420"/>
        <v>METROPOLITANA</v>
      </c>
    </row>
    <row r="4871" spans="1:22" x14ac:dyDescent="0.2">
      <c r="A4871" s="23" t="s">
        <v>5889</v>
      </c>
      <c r="B4871" s="22" t="s">
        <v>33</v>
      </c>
      <c r="C4871" s="22" t="s">
        <v>29</v>
      </c>
      <c r="D4871" s="22" t="s">
        <v>38</v>
      </c>
      <c r="E4871" s="24" t="s">
        <v>25</v>
      </c>
      <c r="F4871" s="22" t="s">
        <v>134</v>
      </c>
      <c r="G4871" s="25">
        <f>7504+5998+1625</f>
        <v>15127</v>
      </c>
      <c r="H4871" s="22" t="s">
        <v>43</v>
      </c>
      <c r="I4871" s="22">
        <v>0</v>
      </c>
      <c r="J4871" s="22" t="s">
        <v>134</v>
      </c>
      <c r="K4871" s="22" t="s">
        <v>23</v>
      </c>
      <c r="L4871" s="22">
        <v>2</v>
      </c>
      <c r="M4871" s="26">
        <v>82544</v>
      </c>
      <c r="N4871" s="26">
        <v>0</v>
      </c>
      <c r="O4871" s="15">
        <f t="shared" si="422"/>
        <v>82544</v>
      </c>
      <c r="P4871" s="15">
        <f t="shared" si="421"/>
        <v>5.4567329939842661</v>
      </c>
      <c r="Q4871" s="25">
        <v>5000</v>
      </c>
      <c r="R4871" s="22">
        <v>100</v>
      </c>
      <c r="S4871" s="22" t="s">
        <v>5898</v>
      </c>
      <c r="T4871" s="22">
        <f t="shared" ref="T4871:T4934" si="423">MONTH(A4871)</f>
        <v>6</v>
      </c>
      <c r="U4871" s="22">
        <f t="shared" ref="U4871:U4934" si="424">YEAR(A4871)</f>
        <v>2022</v>
      </c>
      <c r="V4871" s="22" t="str">
        <f t="shared" ref="V4871:V4934" si="425">IF(K4871="METROPOLITANA DE SANTIAGO","METROPOLITANA","REGIONES")</f>
        <v>METROPOLITANA</v>
      </c>
    </row>
    <row r="4872" spans="1:22" x14ac:dyDescent="0.2">
      <c r="A4872" s="23" t="s">
        <v>5889</v>
      </c>
      <c r="B4872" s="22" t="s">
        <v>33</v>
      </c>
      <c r="C4872" s="22" t="s">
        <v>29</v>
      </c>
      <c r="D4872" s="22" t="s">
        <v>37</v>
      </c>
      <c r="E4872" s="24" t="s">
        <v>40</v>
      </c>
      <c r="F4872" s="22" t="s">
        <v>134</v>
      </c>
      <c r="G4872" s="25">
        <v>5252.7999999999984</v>
      </c>
      <c r="H4872" s="22" t="s">
        <v>22</v>
      </c>
      <c r="I4872" s="22">
        <v>0</v>
      </c>
      <c r="J4872" s="22" t="s">
        <v>134</v>
      </c>
      <c r="K4872" s="22" t="s">
        <v>23</v>
      </c>
      <c r="L4872" s="22">
        <v>2</v>
      </c>
      <c r="M4872" s="26">
        <v>57781</v>
      </c>
      <c r="N4872" s="26">
        <v>0</v>
      </c>
      <c r="O4872" s="15">
        <f t="shared" si="422"/>
        <v>57781</v>
      </c>
      <c r="P4872" s="15">
        <f t="shared" si="421"/>
        <v>11.000038074931469</v>
      </c>
      <c r="Q4872" s="25">
        <v>5000</v>
      </c>
      <c r="R4872" s="22">
        <v>100</v>
      </c>
      <c r="S4872" s="22" t="s">
        <v>5891</v>
      </c>
      <c r="T4872" s="22">
        <f t="shared" si="423"/>
        <v>6</v>
      </c>
      <c r="U4872" s="22">
        <f t="shared" si="424"/>
        <v>2022</v>
      </c>
      <c r="V4872" s="22" t="str">
        <f t="shared" si="425"/>
        <v>METROPOLITANA</v>
      </c>
    </row>
    <row r="4873" spans="1:22" x14ac:dyDescent="0.2">
      <c r="A4873" s="23" t="s">
        <v>5889</v>
      </c>
      <c r="B4873" s="22" t="s">
        <v>33</v>
      </c>
      <c r="C4873" s="22" t="s">
        <v>29</v>
      </c>
      <c r="D4873" s="22" t="s">
        <v>30</v>
      </c>
      <c r="E4873" s="24" t="s">
        <v>5892</v>
      </c>
      <c r="F4873" s="22" t="s">
        <v>39</v>
      </c>
      <c r="G4873" s="25">
        <f>4373+3225</f>
        <v>7598</v>
      </c>
      <c r="H4873" s="22" t="s">
        <v>32</v>
      </c>
      <c r="I4873" s="22">
        <v>0</v>
      </c>
      <c r="J4873" s="22" t="s">
        <v>39</v>
      </c>
      <c r="K4873" s="22" t="s">
        <v>23</v>
      </c>
      <c r="L4873" s="22">
        <v>1</v>
      </c>
      <c r="M4873" s="26">
        <v>55000</v>
      </c>
      <c r="N4873" s="26">
        <v>0</v>
      </c>
      <c r="O4873" s="15">
        <f t="shared" si="422"/>
        <v>55000</v>
      </c>
      <c r="P4873" s="15">
        <f t="shared" si="421"/>
        <v>7.2387470386943935</v>
      </c>
      <c r="Q4873" s="25">
        <v>5000</v>
      </c>
      <c r="R4873" s="22">
        <v>100</v>
      </c>
      <c r="S4873" s="22" t="s">
        <v>5899</v>
      </c>
      <c r="T4873" s="22">
        <f t="shared" si="423"/>
        <v>6</v>
      </c>
      <c r="U4873" s="22">
        <f t="shared" si="424"/>
        <v>2022</v>
      </c>
      <c r="V4873" s="22" t="str">
        <f t="shared" si="425"/>
        <v>METROPOLITANA</v>
      </c>
    </row>
    <row r="4874" spans="1:22" x14ac:dyDescent="0.2">
      <c r="A4874" s="23" t="s">
        <v>5889</v>
      </c>
      <c r="B4874" s="22" t="s">
        <v>33</v>
      </c>
      <c r="C4874" s="22" t="s">
        <v>29</v>
      </c>
      <c r="D4874" s="22" t="s">
        <v>164</v>
      </c>
      <c r="E4874" s="24" t="s">
        <v>1576</v>
      </c>
      <c r="F4874" s="22" t="s">
        <v>39</v>
      </c>
      <c r="G4874" s="25">
        <v>10305</v>
      </c>
      <c r="H4874" s="22" t="s">
        <v>22</v>
      </c>
      <c r="I4874" s="22">
        <v>1</v>
      </c>
      <c r="J4874" s="22" t="s">
        <v>39</v>
      </c>
      <c r="K4874" s="22" t="s">
        <v>23</v>
      </c>
      <c r="L4874" s="22">
        <v>1</v>
      </c>
      <c r="M4874" s="26">
        <v>113355</v>
      </c>
      <c r="N4874" s="26">
        <v>0</v>
      </c>
      <c r="O4874" s="15">
        <f t="shared" si="422"/>
        <v>113355</v>
      </c>
      <c r="P4874" s="15">
        <f t="shared" si="421"/>
        <v>11</v>
      </c>
      <c r="Q4874" s="25">
        <v>5000</v>
      </c>
      <c r="R4874" s="22">
        <v>100</v>
      </c>
      <c r="S4874" s="22" t="s">
        <v>5893</v>
      </c>
      <c r="T4874" s="22">
        <f t="shared" si="423"/>
        <v>6</v>
      </c>
      <c r="U4874" s="22">
        <f t="shared" si="424"/>
        <v>2022</v>
      </c>
      <c r="V4874" s="22" t="str">
        <f t="shared" si="425"/>
        <v>METROPOLITANA</v>
      </c>
    </row>
    <row r="4875" spans="1:22" x14ac:dyDescent="0.2">
      <c r="A4875" s="23" t="s">
        <v>5889</v>
      </c>
      <c r="B4875" s="22" t="s">
        <v>33</v>
      </c>
      <c r="C4875" s="22" t="s">
        <v>44</v>
      </c>
      <c r="D4875" s="22" t="s">
        <v>63</v>
      </c>
      <c r="E4875" s="24" t="s">
        <v>64</v>
      </c>
      <c r="F4875" s="22" t="s">
        <v>95</v>
      </c>
      <c r="G4875" s="25">
        <v>3435.8</v>
      </c>
      <c r="H4875" s="22" t="s">
        <v>65</v>
      </c>
      <c r="I4875" s="22">
        <v>0</v>
      </c>
      <c r="J4875" s="22" t="s">
        <v>95</v>
      </c>
      <c r="K4875" s="22" t="s">
        <v>23</v>
      </c>
      <c r="L4875" s="22">
        <v>4</v>
      </c>
      <c r="M4875" s="26">
        <v>55000</v>
      </c>
      <c r="N4875" s="26">
        <v>0</v>
      </c>
      <c r="O4875" s="15">
        <f t="shared" si="422"/>
        <v>55000</v>
      </c>
      <c r="P4875" s="15">
        <f t="shared" si="421"/>
        <v>16.007916642412248</v>
      </c>
      <c r="Q4875" s="25">
        <v>5000</v>
      </c>
      <c r="R4875" s="22">
        <v>69</v>
      </c>
      <c r="S4875" s="22" t="s">
        <v>5894</v>
      </c>
      <c r="T4875" s="22">
        <f t="shared" si="423"/>
        <v>6</v>
      </c>
      <c r="U4875" s="22">
        <f t="shared" si="424"/>
        <v>2022</v>
      </c>
      <c r="V4875" s="22" t="str">
        <f t="shared" si="425"/>
        <v>METROPOLITANA</v>
      </c>
    </row>
    <row r="4876" spans="1:22" x14ac:dyDescent="0.2">
      <c r="A4876" s="23" t="s">
        <v>5889</v>
      </c>
      <c r="B4876" s="22" t="s">
        <v>33</v>
      </c>
      <c r="C4876" s="22" t="s">
        <v>44</v>
      </c>
      <c r="D4876" s="22" t="s">
        <v>45</v>
      </c>
      <c r="E4876" s="24" t="s">
        <v>52</v>
      </c>
      <c r="F4876" s="22" t="s">
        <v>137</v>
      </c>
      <c r="G4876" s="25">
        <v>4498.3</v>
      </c>
      <c r="H4876" s="22" t="s">
        <v>22</v>
      </c>
      <c r="I4876" s="22">
        <v>0</v>
      </c>
      <c r="J4876" s="22" t="s">
        <v>137</v>
      </c>
      <c r="K4876" s="22" t="s">
        <v>23</v>
      </c>
      <c r="L4876" s="22">
        <v>1</v>
      </c>
      <c r="M4876" s="26">
        <v>55000</v>
      </c>
      <c r="N4876" s="26">
        <v>0</v>
      </c>
      <c r="O4876" s="15">
        <f t="shared" si="422"/>
        <v>55000</v>
      </c>
      <c r="P4876" s="15">
        <f t="shared" si="421"/>
        <v>12.226841251139319</v>
      </c>
      <c r="Q4876" s="25">
        <v>5000</v>
      </c>
      <c r="R4876" s="22">
        <v>90</v>
      </c>
      <c r="S4876" s="22" t="s">
        <v>5895</v>
      </c>
      <c r="T4876" s="22">
        <f t="shared" si="423"/>
        <v>6</v>
      </c>
      <c r="U4876" s="22">
        <f t="shared" si="424"/>
        <v>2022</v>
      </c>
      <c r="V4876" s="22" t="str">
        <f t="shared" si="425"/>
        <v>METROPOLITANA</v>
      </c>
    </row>
    <row r="4877" spans="1:22" x14ac:dyDescent="0.2">
      <c r="A4877" s="23" t="s">
        <v>5889</v>
      </c>
      <c r="B4877" s="22" t="s">
        <v>33</v>
      </c>
      <c r="C4877" s="22" t="s">
        <v>44</v>
      </c>
      <c r="D4877" s="22" t="s">
        <v>47</v>
      </c>
      <c r="E4877" s="24" t="s">
        <v>49</v>
      </c>
      <c r="F4877" s="22" t="s">
        <v>48</v>
      </c>
      <c r="G4877" s="25">
        <v>6088.48</v>
      </c>
      <c r="H4877" s="22" t="s">
        <v>22</v>
      </c>
      <c r="I4877" s="22">
        <v>0</v>
      </c>
      <c r="J4877" s="22" t="s">
        <v>48</v>
      </c>
      <c r="K4877" s="22" t="s">
        <v>23</v>
      </c>
      <c r="L4877" s="22">
        <v>1</v>
      </c>
      <c r="M4877" s="26">
        <v>66973</v>
      </c>
      <c r="N4877" s="26">
        <v>0</v>
      </c>
      <c r="O4877" s="15">
        <f t="shared" si="422"/>
        <v>66973</v>
      </c>
      <c r="P4877" s="15">
        <f t="shared" si="421"/>
        <v>10.999954011510264</v>
      </c>
      <c r="Q4877" s="25">
        <v>5000</v>
      </c>
      <c r="R4877" s="22">
        <v>100</v>
      </c>
      <c r="S4877" s="22" t="s">
        <v>5896</v>
      </c>
      <c r="T4877" s="22">
        <f t="shared" si="423"/>
        <v>6</v>
      </c>
      <c r="U4877" s="22">
        <f t="shared" si="424"/>
        <v>2022</v>
      </c>
      <c r="V4877" s="22" t="str">
        <f t="shared" si="425"/>
        <v>METROPOLITANA</v>
      </c>
    </row>
    <row r="4878" spans="1:22" x14ac:dyDescent="0.2">
      <c r="A4878" s="11" t="s">
        <v>5900</v>
      </c>
      <c r="B4878" s="12" t="s">
        <v>33</v>
      </c>
      <c r="C4878" s="12" t="s">
        <v>5901</v>
      </c>
      <c r="D4878" s="12" t="s">
        <v>38</v>
      </c>
      <c r="E4878" s="13">
        <v>12518660</v>
      </c>
      <c r="F4878" s="12" t="s">
        <v>129</v>
      </c>
      <c r="G4878" s="14">
        <v>2017.420000000001</v>
      </c>
      <c r="H4878" s="12" t="s">
        <v>43</v>
      </c>
      <c r="I4878" s="12">
        <v>0</v>
      </c>
      <c r="J4878" s="12" t="s">
        <v>129</v>
      </c>
      <c r="K4878" s="12" t="s">
        <v>23</v>
      </c>
      <c r="L4878" s="12">
        <v>1</v>
      </c>
      <c r="M4878" s="15">
        <v>55000</v>
      </c>
      <c r="N4878" s="15">
        <v>0</v>
      </c>
      <c r="O4878" s="15">
        <f t="shared" si="422"/>
        <v>55000</v>
      </c>
      <c r="P4878" s="15">
        <f t="shared" si="421"/>
        <v>27.262543248307232</v>
      </c>
      <c r="Q4878" s="14">
        <v>5000</v>
      </c>
      <c r="R4878" s="12">
        <v>40</v>
      </c>
      <c r="S4878" s="12" t="s">
        <v>5902</v>
      </c>
      <c r="T4878" s="22">
        <f t="shared" si="423"/>
        <v>6</v>
      </c>
      <c r="U4878" s="22">
        <f t="shared" si="424"/>
        <v>2022</v>
      </c>
      <c r="V4878" s="22" t="str">
        <f t="shared" si="425"/>
        <v>METROPOLITANA</v>
      </c>
    </row>
    <row r="4879" spans="1:22" x14ac:dyDescent="0.2">
      <c r="A4879" s="11" t="s">
        <v>5900</v>
      </c>
      <c r="B4879" s="12" t="s">
        <v>33</v>
      </c>
      <c r="C4879" s="12" t="s">
        <v>128</v>
      </c>
      <c r="D4879" s="12" t="s">
        <v>786</v>
      </c>
      <c r="E4879" s="13">
        <v>95707734</v>
      </c>
      <c r="F4879" s="12" t="s">
        <v>34</v>
      </c>
      <c r="G4879" s="14">
        <v>10562.93</v>
      </c>
      <c r="H4879" s="12" t="s">
        <v>788</v>
      </c>
      <c r="I4879" s="12">
        <v>1</v>
      </c>
      <c r="J4879" s="12" t="s">
        <v>34</v>
      </c>
      <c r="K4879" s="12" t="s">
        <v>23</v>
      </c>
      <c r="L4879" s="12">
        <v>1</v>
      </c>
      <c r="M4879" s="15">
        <v>116192</v>
      </c>
      <c r="N4879" s="15">
        <v>0</v>
      </c>
      <c r="O4879" s="15">
        <f t="shared" si="422"/>
        <v>116192</v>
      </c>
      <c r="P4879" s="15">
        <f t="shared" si="421"/>
        <v>10.999978225738502</v>
      </c>
      <c r="Q4879" s="14">
        <v>5000</v>
      </c>
      <c r="R4879" s="12">
        <v>100</v>
      </c>
      <c r="S4879" s="12" t="s">
        <v>5903</v>
      </c>
      <c r="T4879" s="22">
        <f t="shared" si="423"/>
        <v>6</v>
      </c>
      <c r="U4879" s="22">
        <f t="shared" si="424"/>
        <v>2022</v>
      </c>
      <c r="V4879" s="22" t="str">
        <f t="shared" si="425"/>
        <v>METROPOLITANA</v>
      </c>
    </row>
    <row r="4880" spans="1:22" x14ac:dyDescent="0.2">
      <c r="A4880" s="11" t="s">
        <v>5900</v>
      </c>
      <c r="B4880" s="12" t="s">
        <v>33</v>
      </c>
      <c r="C4880" s="12" t="s">
        <v>29</v>
      </c>
      <c r="D4880" s="12" t="s">
        <v>164</v>
      </c>
      <c r="E4880" s="13">
        <v>81417709</v>
      </c>
      <c r="F4880" s="12" t="s">
        <v>39</v>
      </c>
      <c r="G4880" s="14">
        <v>8244.0000000000036</v>
      </c>
      <c r="H4880" s="12" t="s">
        <v>22</v>
      </c>
      <c r="I4880" s="12">
        <v>1</v>
      </c>
      <c r="J4880" s="12" t="s">
        <v>39</v>
      </c>
      <c r="K4880" s="12" t="s">
        <v>23</v>
      </c>
      <c r="L4880" s="12">
        <v>1</v>
      </c>
      <c r="M4880" s="15">
        <v>90684</v>
      </c>
      <c r="N4880" s="15">
        <v>0</v>
      </c>
      <c r="O4880" s="15">
        <f t="shared" si="422"/>
        <v>90684</v>
      </c>
      <c r="P4880" s="15">
        <f t="shared" si="421"/>
        <v>10.999999999999995</v>
      </c>
      <c r="Q4880" s="14">
        <v>5000</v>
      </c>
      <c r="R4880" s="12">
        <v>100</v>
      </c>
      <c r="S4880" s="12" t="s">
        <v>5904</v>
      </c>
      <c r="T4880" s="22">
        <f t="shared" si="423"/>
        <v>6</v>
      </c>
      <c r="U4880" s="22">
        <f t="shared" si="424"/>
        <v>2022</v>
      </c>
      <c r="V4880" s="22" t="str">
        <f t="shared" si="425"/>
        <v>METROPOLITANA</v>
      </c>
    </row>
    <row r="4881" spans="1:22" x14ac:dyDescent="0.2">
      <c r="A4881" s="11" t="s">
        <v>5900</v>
      </c>
      <c r="B4881" s="12" t="s">
        <v>33</v>
      </c>
      <c r="C4881" s="12" t="s">
        <v>29</v>
      </c>
      <c r="D4881" s="12" t="s">
        <v>20</v>
      </c>
      <c r="E4881" s="13">
        <v>78907355</v>
      </c>
      <c r="F4881" s="12" t="s">
        <v>39</v>
      </c>
      <c r="G4881" s="14">
        <v>8354.1999999999989</v>
      </c>
      <c r="H4881" s="12" t="s">
        <v>22</v>
      </c>
      <c r="I4881" s="12">
        <v>0</v>
      </c>
      <c r="J4881" s="12" t="s">
        <v>39</v>
      </c>
      <c r="K4881" s="12" t="s">
        <v>23</v>
      </c>
      <c r="L4881" s="12">
        <v>1</v>
      </c>
      <c r="M4881" s="15">
        <v>91896</v>
      </c>
      <c r="N4881" s="15">
        <v>0</v>
      </c>
      <c r="O4881" s="15">
        <f t="shared" si="422"/>
        <v>91896</v>
      </c>
      <c r="P4881" s="15">
        <f t="shared" si="421"/>
        <v>10.999976059945897</v>
      </c>
      <c r="Q4881" s="14">
        <v>5000</v>
      </c>
      <c r="R4881" s="12">
        <v>100</v>
      </c>
      <c r="S4881" s="12" t="s">
        <v>5905</v>
      </c>
      <c r="T4881" s="22">
        <f t="shared" si="423"/>
        <v>6</v>
      </c>
      <c r="U4881" s="22">
        <f t="shared" si="424"/>
        <v>2022</v>
      </c>
      <c r="V4881" s="22" t="str">
        <f t="shared" si="425"/>
        <v>METROPOLITANA</v>
      </c>
    </row>
    <row r="4882" spans="1:22" x14ac:dyDescent="0.2">
      <c r="A4882" s="11" t="s">
        <v>5900</v>
      </c>
      <c r="B4882" s="12" t="s">
        <v>33</v>
      </c>
      <c r="C4882" s="12" t="s">
        <v>44</v>
      </c>
      <c r="D4882" s="12" t="s">
        <v>2251</v>
      </c>
      <c r="E4882" s="13">
        <v>9543982</v>
      </c>
      <c r="F4882" s="12" t="s">
        <v>92</v>
      </c>
      <c r="G4882" s="14">
        <v>10222.48</v>
      </c>
      <c r="H4882" s="12" t="s">
        <v>24</v>
      </c>
      <c r="I4882" s="12">
        <v>1</v>
      </c>
      <c r="J4882" s="12" t="s">
        <v>92</v>
      </c>
      <c r="K4882" s="12" t="s">
        <v>93</v>
      </c>
      <c r="L4882" s="12">
        <v>0</v>
      </c>
      <c r="M4882" s="15">
        <v>700000</v>
      </c>
      <c r="N4882" s="15">
        <v>0</v>
      </c>
      <c r="O4882" s="15">
        <f t="shared" si="422"/>
        <v>700000</v>
      </c>
      <c r="P4882" s="15">
        <f t="shared" si="421"/>
        <v>68.476534070010416</v>
      </c>
      <c r="Q4882" s="14">
        <v>20000</v>
      </c>
      <c r="R4882" s="12">
        <v>51</v>
      </c>
      <c r="S4882" s="12" t="s">
        <v>5906</v>
      </c>
      <c r="T4882" s="22">
        <f t="shared" si="423"/>
        <v>6</v>
      </c>
      <c r="U4882" s="22">
        <f t="shared" si="424"/>
        <v>2022</v>
      </c>
      <c r="V4882" s="22" t="str">
        <f t="shared" si="425"/>
        <v>REGIONES</v>
      </c>
    </row>
    <row r="4883" spans="1:22" x14ac:dyDescent="0.2">
      <c r="A4883" s="23" t="s">
        <v>5907</v>
      </c>
      <c r="B4883" s="22" t="s">
        <v>18</v>
      </c>
      <c r="C4883" s="22" t="s">
        <v>270</v>
      </c>
      <c r="D4883" s="22" t="s">
        <v>30</v>
      </c>
      <c r="E4883" s="24" t="s">
        <v>4655</v>
      </c>
      <c r="F4883" s="22" t="s">
        <v>120</v>
      </c>
      <c r="G4883" s="25">
        <f>10712.52+1444</f>
        <v>12156.52</v>
      </c>
      <c r="H4883" s="22" t="s">
        <v>32</v>
      </c>
      <c r="I4883" s="22">
        <v>0</v>
      </c>
      <c r="J4883" s="22" t="s">
        <v>120</v>
      </c>
      <c r="K4883" s="22" t="s">
        <v>23</v>
      </c>
      <c r="L4883" s="22">
        <v>5</v>
      </c>
      <c r="M4883" s="26">
        <v>70000</v>
      </c>
      <c r="N4883" s="26">
        <v>0</v>
      </c>
      <c r="O4883" s="15">
        <f t="shared" si="422"/>
        <v>70000</v>
      </c>
      <c r="P4883" s="15">
        <f t="shared" si="421"/>
        <v>5.7582268609766611</v>
      </c>
      <c r="Q4883" s="25">
        <v>10000</v>
      </c>
      <c r="R4883" s="22">
        <v>100</v>
      </c>
      <c r="S4883" s="22" t="s">
        <v>5915</v>
      </c>
      <c r="T4883" s="22">
        <f t="shared" si="423"/>
        <v>6</v>
      </c>
      <c r="U4883" s="22">
        <f t="shared" si="424"/>
        <v>2022</v>
      </c>
      <c r="V4883" s="22" t="str">
        <f t="shared" si="425"/>
        <v>METROPOLITANA</v>
      </c>
    </row>
    <row r="4884" spans="1:22" x14ac:dyDescent="0.2">
      <c r="A4884" s="23" t="s">
        <v>5907</v>
      </c>
      <c r="B4884" s="22" t="s">
        <v>33</v>
      </c>
      <c r="C4884" s="22" t="s">
        <v>60</v>
      </c>
      <c r="D4884" s="22" t="s">
        <v>786</v>
      </c>
      <c r="E4884" s="24" t="s">
        <v>787</v>
      </c>
      <c r="F4884" s="22" t="s">
        <v>161</v>
      </c>
      <c r="G4884" s="25">
        <v>7398.1000000000022</v>
      </c>
      <c r="H4884" s="22" t="s">
        <v>788</v>
      </c>
      <c r="I4884" s="22">
        <v>1</v>
      </c>
      <c r="J4884" s="22" t="s">
        <v>161</v>
      </c>
      <c r="K4884" s="22" t="s">
        <v>23</v>
      </c>
      <c r="L4884" s="22">
        <v>5</v>
      </c>
      <c r="M4884" s="26">
        <v>120000</v>
      </c>
      <c r="N4884" s="26">
        <v>0</v>
      </c>
      <c r="O4884" s="15">
        <f t="shared" si="422"/>
        <v>120000</v>
      </c>
      <c r="P4884" s="15">
        <f t="shared" si="421"/>
        <v>16.220380908611666</v>
      </c>
      <c r="Q4884" s="25">
        <v>10000</v>
      </c>
      <c r="R4884" s="22">
        <v>74</v>
      </c>
      <c r="S4884" s="22" t="s">
        <v>5908</v>
      </c>
      <c r="T4884" s="22">
        <f t="shared" si="423"/>
        <v>6</v>
      </c>
      <c r="U4884" s="22">
        <f t="shared" si="424"/>
        <v>2022</v>
      </c>
      <c r="V4884" s="22" t="str">
        <f t="shared" si="425"/>
        <v>METROPOLITANA</v>
      </c>
    </row>
    <row r="4885" spans="1:22" x14ac:dyDescent="0.2">
      <c r="A4885" s="23" t="s">
        <v>5907</v>
      </c>
      <c r="B4885" s="22" t="s">
        <v>33</v>
      </c>
      <c r="C4885" s="22" t="s">
        <v>128</v>
      </c>
      <c r="D4885" s="22" t="s">
        <v>2955</v>
      </c>
      <c r="E4885" s="24" t="s">
        <v>2956</v>
      </c>
      <c r="F4885" s="22" t="s">
        <v>129</v>
      </c>
      <c r="G4885" s="25">
        <v>16450.21000000001</v>
      </c>
      <c r="H4885" s="22" t="s">
        <v>24</v>
      </c>
      <c r="I4885" s="22">
        <v>1</v>
      </c>
      <c r="J4885" s="22" t="s">
        <v>129</v>
      </c>
      <c r="K4885" s="22" t="s">
        <v>23</v>
      </c>
      <c r="L4885" s="22">
        <v>1</v>
      </c>
      <c r="M4885" s="26">
        <v>180952</v>
      </c>
      <c r="N4885" s="26">
        <v>0</v>
      </c>
      <c r="O4885" s="15">
        <f t="shared" si="422"/>
        <v>180952</v>
      </c>
      <c r="P4885" s="15">
        <f t="shared" si="421"/>
        <v>10.999981155255762</v>
      </c>
      <c r="Q4885" s="25">
        <v>5000</v>
      </c>
      <c r="R4885" s="22">
        <v>100</v>
      </c>
      <c r="S4885" s="22" t="s">
        <v>5909</v>
      </c>
      <c r="T4885" s="22">
        <f t="shared" si="423"/>
        <v>6</v>
      </c>
      <c r="U4885" s="22">
        <f t="shared" si="424"/>
        <v>2022</v>
      </c>
      <c r="V4885" s="22" t="str">
        <f t="shared" si="425"/>
        <v>METROPOLITANA</v>
      </c>
    </row>
    <row r="4886" spans="1:22" x14ac:dyDescent="0.2">
      <c r="A4886" s="23" t="s">
        <v>5907</v>
      </c>
      <c r="B4886" s="22" t="s">
        <v>33</v>
      </c>
      <c r="C4886" s="22" t="s">
        <v>29</v>
      </c>
      <c r="D4886" s="22" t="s">
        <v>37</v>
      </c>
      <c r="E4886" s="24" t="s">
        <v>40</v>
      </c>
      <c r="F4886" s="22" t="s">
        <v>39</v>
      </c>
      <c r="G4886" s="25">
        <v>9019.9500000000007</v>
      </c>
      <c r="H4886" s="22" t="s">
        <v>22</v>
      </c>
      <c r="I4886" s="22">
        <v>0</v>
      </c>
      <c r="J4886" s="22" t="s">
        <v>39</v>
      </c>
      <c r="K4886" s="22" t="s">
        <v>23</v>
      </c>
      <c r="L4886" s="22">
        <v>1</v>
      </c>
      <c r="M4886" s="26">
        <v>99219</v>
      </c>
      <c r="N4886" s="26">
        <v>0</v>
      </c>
      <c r="O4886" s="15">
        <f t="shared" si="422"/>
        <v>99219</v>
      </c>
      <c r="P4886" s="15">
        <f t="shared" si="421"/>
        <v>10.999950110588195</v>
      </c>
      <c r="Q4886" s="25">
        <v>5000</v>
      </c>
      <c r="R4886" s="22">
        <v>100</v>
      </c>
      <c r="S4886" s="22" t="s">
        <v>5910</v>
      </c>
      <c r="T4886" s="22">
        <f t="shared" si="423"/>
        <v>6</v>
      </c>
      <c r="U4886" s="22">
        <f t="shared" si="424"/>
        <v>2022</v>
      </c>
      <c r="V4886" s="22" t="str">
        <f t="shared" si="425"/>
        <v>METROPOLITANA</v>
      </c>
    </row>
    <row r="4887" spans="1:22" x14ac:dyDescent="0.2">
      <c r="A4887" s="23" t="s">
        <v>5907</v>
      </c>
      <c r="B4887" s="22" t="s">
        <v>33</v>
      </c>
      <c r="C4887" s="22" t="s">
        <v>29</v>
      </c>
      <c r="D4887" s="22" t="s">
        <v>2955</v>
      </c>
      <c r="E4887" s="24" t="s">
        <v>2956</v>
      </c>
      <c r="F4887" s="22" t="s">
        <v>173</v>
      </c>
      <c r="G4887" s="25">
        <v>6074.3600000000024</v>
      </c>
      <c r="H4887" s="22" t="s">
        <v>24</v>
      </c>
      <c r="I4887" s="22">
        <v>1</v>
      </c>
      <c r="J4887" s="22" t="s">
        <v>173</v>
      </c>
      <c r="K4887" s="22" t="s">
        <v>23</v>
      </c>
      <c r="L4887" s="22">
        <v>5</v>
      </c>
      <c r="M4887" s="26">
        <v>120000</v>
      </c>
      <c r="N4887" s="26">
        <v>0</v>
      </c>
      <c r="O4887" s="15">
        <f t="shared" si="422"/>
        <v>120000</v>
      </c>
      <c r="P4887" s="15">
        <f t="shared" si="421"/>
        <v>19.75516762259727</v>
      </c>
      <c r="Q4887" s="25">
        <v>10000</v>
      </c>
      <c r="R4887" s="22">
        <v>61</v>
      </c>
      <c r="S4887" s="22" t="s">
        <v>5911</v>
      </c>
      <c r="T4887" s="22">
        <f t="shared" si="423"/>
        <v>6</v>
      </c>
      <c r="U4887" s="22">
        <f t="shared" si="424"/>
        <v>2022</v>
      </c>
      <c r="V4887" s="22" t="str">
        <f t="shared" si="425"/>
        <v>METROPOLITANA</v>
      </c>
    </row>
    <row r="4888" spans="1:22" x14ac:dyDescent="0.2">
      <c r="A4888" s="23" t="s">
        <v>5907</v>
      </c>
      <c r="B4888" s="22" t="s">
        <v>33</v>
      </c>
      <c r="C4888" s="22" t="s">
        <v>29</v>
      </c>
      <c r="D4888" s="22" t="s">
        <v>164</v>
      </c>
      <c r="E4888" s="24" t="s">
        <v>28</v>
      </c>
      <c r="F4888" s="22" t="s">
        <v>39</v>
      </c>
      <c r="G4888" s="25">
        <v>10472</v>
      </c>
      <c r="H4888" s="22" t="s">
        <v>22</v>
      </c>
      <c r="I4888" s="22">
        <v>1</v>
      </c>
      <c r="J4888" s="22" t="s">
        <v>39</v>
      </c>
      <c r="K4888" s="22" t="s">
        <v>23</v>
      </c>
      <c r="L4888" s="22">
        <v>1</v>
      </c>
      <c r="M4888" s="26">
        <v>115192</v>
      </c>
      <c r="N4888" s="26">
        <v>0</v>
      </c>
      <c r="O4888" s="15">
        <f t="shared" si="422"/>
        <v>115192</v>
      </c>
      <c r="P4888" s="15">
        <f t="shared" si="421"/>
        <v>11</v>
      </c>
      <c r="Q4888" s="25">
        <v>5000</v>
      </c>
      <c r="R4888" s="22">
        <v>100</v>
      </c>
      <c r="S4888" s="22" t="s">
        <v>5912</v>
      </c>
      <c r="T4888" s="22">
        <f t="shared" si="423"/>
        <v>6</v>
      </c>
      <c r="U4888" s="22">
        <f t="shared" si="424"/>
        <v>2022</v>
      </c>
      <c r="V4888" s="22" t="str">
        <f t="shared" si="425"/>
        <v>METROPOLITANA</v>
      </c>
    </row>
    <row r="4889" spans="1:22" x14ac:dyDescent="0.2">
      <c r="A4889" s="23" t="s">
        <v>5907</v>
      </c>
      <c r="B4889" s="22" t="s">
        <v>33</v>
      </c>
      <c r="C4889" s="22" t="s">
        <v>44</v>
      </c>
      <c r="D4889" s="22" t="s">
        <v>1869</v>
      </c>
      <c r="E4889" s="24" t="s">
        <v>1870</v>
      </c>
      <c r="F4889" s="22" t="s">
        <v>3139</v>
      </c>
      <c r="G4889" s="25">
        <v>7872.560000000004</v>
      </c>
      <c r="H4889" s="22" t="s">
        <v>24</v>
      </c>
      <c r="I4889" s="22">
        <v>1</v>
      </c>
      <c r="J4889" s="22" t="s">
        <v>3139</v>
      </c>
      <c r="K4889" s="22" t="s">
        <v>93</v>
      </c>
      <c r="L4889" s="22">
        <v>0</v>
      </c>
      <c r="M4889" s="26">
        <v>530000</v>
      </c>
      <c r="N4889" s="26">
        <v>0</v>
      </c>
      <c r="O4889" s="15">
        <f t="shared" si="422"/>
        <v>530000</v>
      </c>
      <c r="P4889" s="15">
        <f t="shared" si="421"/>
        <v>67.322446573922548</v>
      </c>
      <c r="Q4889" s="25">
        <v>14000</v>
      </c>
      <c r="R4889" s="22">
        <v>68</v>
      </c>
      <c r="S4889" s="22" t="s">
        <v>5913</v>
      </c>
      <c r="T4889" s="22">
        <f t="shared" si="423"/>
        <v>6</v>
      </c>
      <c r="U4889" s="22">
        <f t="shared" si="424"/>
        <v>2022</v>
      </c>
      <c r="V4889" s="22" t="str">
        <f t="shared" si="425"/>
        <v>REGIONES</v>
      </c>
    </row>
    <row r="4890" spans="1:22" x14ac:dyDescent="0.2">
      <c r="A4890" s="23" t="s">
        <v>5907</v>
      </c>
      <c r="B4890" s="22" t="s">
        <v>33</v>
      </c>
      <c r="C4890" s="22" t="s">
        <v>44</v>
      </c>
      <c r="D4890" s="22" t="s">
        <v>45</v>
      </c>
      <c r="E4890" s="24" t="s">
        <v>52</v>
      </c>
      <c r="F4890" s="22" t="s">
        <v>46</v>
      </c>
      <c r="G4890" s="25">
        <v>4112.46</v>
      </c>
      <c r="H4890" s="22" t="s">
        <v>22</v>
      </c>
      <c r="I4890" s="22">
        <v>0</v>
      </c>
      <c r="J4890" s="22" t="s">
        <v>46</v>
      </c>
      <c r="K4890" s="22" t="s">
        <v>23</v>
      </c>
      <c r="L4890" s="22">
        <v>2</v>
      </c>
      <c r="M4890" s="26">
        <v>55000</v>
      </c>
      <c r="N4890" s="26">
        <v>0</v>
      </c>
      <c r="O4890" s="15">
        <f t="shared" si="422"/>
        <v>55000</v>
      </c>
      <c r="P4890" s="15">
        <f t="shared" si="421"/>
        <v>13.373990263735088</v>
      </c>
      <c r="Q4890" s="25">
        <v>5000</v>
      </c>
      <c r="R4890" s="22">
        <v>82</v>
      </c>
      <c r="S4890" s="22" t="s">
        <v>5914</v>
      </c>
      <c r="T4890" s="22">
        <f t="shared" si="423"/>
        <v>6</v>
      </c>
      <c r="U4890" s="22">
        <f t="shared" si="424"/>
        <v>2022</v>
      </c>
      <c r="V4890" s="22" t="str">
        <f t="shared" si="425"/>
        <v>METROPOLITANA</v>
      </c>
    </row>
    <row r="4891" spans="1:22" x14ac:dyDescent="0.2">
      <c r="A4891" s="11" t="s">
        <v>5916</v>
      </c>
      <c r="B4891" s="12" t="s">
        <v>18</v>
      </c>
      <c r="C4891" s="12" t="s">
        <v>270</v>
      </c>
      <c r="D4891" s="12" t="s">
        <v>38</v>
      </c>
      <c r="E4891" s="13" t="s">
        <v>25</v>
      </c>
      <c r="F4891" s="12" t="s">
        <v>120</v>
      </c>
      <c r="G4891" s="14">
        <v>8019.5599999999977</v>
      </c>
      <c r="H4891" s="12" t="s">
        <v>43</v>
      </c>
      <c r="I4891" s="12">
        <v>0</v>
      </c>
      <c r="J4891" s="12" t="s">
        <v>120</v>
      </c>
      <c r="K4891" s="12" t="s">
        <v>23</v>
      </c>
      <c r="L4891" s="12">
        <v>5</v>
      </c>
      <c r="M4891" s="15">
        <v>70000</v>
      </c>
      <c r="N4891" s="15">
        <v>0</v>
      </c>
      <c r="O4891" s="15">
        <f t="shared" si="422"/>
        <v>70000</v>
      </c>
      <c r="P4891" s="15">
        <f t="shared" si="421"/>
        <v>8.7286584301383137</v>
      </c>
      <c r="Q4891" s="14">
        <v>10000</v>
      </c>
      <c r="R4891" s="12">
        <v>80</v>
      </c>
      <c r="S4891" s="12" t="s">
        <v>5917</v>
      </c>
      <c r="T4891" s="22">
        <f t="shared" si="423"/>
        <v>6</v>
      </c>
      <c r="U4891" s="22">
        <f t="shared" si="424"/>
        <v>2022</v>
      </c>
      <c r="V4891" s="22" t="str">
        <f t="shared" si="425"/>
        <v>METROPOLITANA</v>
      </c>
    </row>
    <row r="4892" spans="1:22" x14ac:dyDescent="0.2">
      <c r="A4892" s="11" t="s">
        <v>5916</v>
      </c>
      <c r="B4892" s="12" t="s">
        <v>33</v>
      </c>
      <c r="C4892" s="12" t="s">
        <v>29</v>
      </c>
      <c r="D4892" s="12" t="s">
        <v>37</v>
      </c>
      <c r="E4892" s="13" t="s">
        <v>40</v>
      </c>
      <c r="F4892" s="12" t="s">
        <v>39</v>
      </c>
      <c r="G4892" s="14">
        <v>2748</v>
      </c>
      <c r="H4892" s="12" t="s">
        <v>22</v>
      </c>
      <c r="I4892" s="12">
        <v>0</v>
      </c>
      <c r="J4892" s="12" t="s">
        <v>39</v>
      </c>
      <c r="K4892" s="12" t="s">
        <v>23</v>
      </c>
      <c r="L4892" s="12">
        <v>1</v>
      </c>
      <c r="M4892" s="15">
        <v>55000</v>
      </c>
      <c r="N4892" s="15">
        <v>0</v>
      </c>
      <c r="O4892" s="15">
        <f t="shared" si="422"/>
        <v>55000</v>
      </c>
      <c r="P4892" s="15">
        <f t="shared" si="421"/>
        <v>20.014556040756915</v>
      </c>
      <c r="Q4892" s="14">
        <v>5000</v>
      </c>
      <c r="R4892" s="12">
        <v>55</v>
      </c>
      <c r="S4892" s="12" t="s">
        <v>5918</v>
      </c>
      <c r="T4892" s="22">
        <f t="shared" si="423"/>
        <v>6</v>
      </c>
      <c r="U4892" s="22">
        <f t="shared" si="424"/>
        <v>2022</v>
      </c>
      <c r="V4892" s="22" t="str">
        <f t="shared" si="425"/>
        <v>METROPOLITANA</v>
      </c>
    </row>
    <row r="4893" spans="1:22" x14ac:dyDescent="0.2">
      <c r="A4893" s="11" t="s">
        <v>5916</v>
      </c>
      <c r="B4893" s="12" t="s">
        <v>33</v>
      </c>
      <c r="C4893" s="12" t="s">
        <v>29</v>
      </c>
      <c r="D4893" s="12" t="s">
        <v>30</v>
      </c>
      <c r="E4893" s="13" t="s">
        <v>31</v>
      </c>
      <c r="F4893" s="12" t="s">
        <v>876</v>
      </c>
      <c r="G4893" s="14">
        <v>8282.4</v>
      </c>
      <c r="H4893" s="12" t="s">
        <v>32</v>
      </c>
      <c r="I4893" s="12">
        <v>0</v>
      </c>
      <c r="J4893" s="12" t="s">
        <v>876</v>
      </c>
      <c r="K4893" s="12" t="s">
        <v>86</v>
      </c>
      <c r="L4893" s="12">
        <v>0</v>
      </c>
      <c r="M4893" s="15">
        <v>280000</v>
      </c>
      <c r="N4893" s="15">
        <v>0</v>
      </c>
      <c r="O4893" s="15">
        <f t="shared" si="422"/>
        <v>280000</v>
      </c>
      <c r="P4893" s="15">
        <f t="shared" si="421"/>
        <v>33.806626098715348</v>
      </c>
      <c r="Q4893" s="14">
        <v>20000</v>
      </c>
      <c r="R4893" s="12">
        <v>41</v>
      </c>
      <c r="S4893" s="12" t="s">
        <v>5919</v>
      </c>
      <c r="T4893" s="22">
        <f t="shared" si="423"/>
        <v>6</v>
      </c>
      <c r="U4893" s="22">
        <f t="shared" si="424"/>
        <v>2022</v>
      </c>
      <c r="V4893" s="22" t="str">
        <f t="shared" si="425"/>
        <v>REGIONES</v>
      </c>
    </row>
    <row r="4894" spans="1:22" x14ac:dyDescent="0.2">
      <c r="A4894" s="11" t="s">
        <v>5916</v>
      </c>
      <c r="B4894" s="12" t="s">
        <v>33</v>
      </c>
      <c r="C4894" s="12" t="s">
        <v>29</v>
      </c>
      <c r="D4894" s="12" t="s">
        <v>164</v>
      </c>
      <c r="E4894" s="13" t="s">
        <v>28</v>
      </c>
      <c r="F4894" s="12" t="s">
        <v>39</v>
      </c>
      <c r="G4894" s="14">
        <f>16002.31+334</f>
        <v>16336.31</v>
      </c>
      <c r="H4894" s="12" t="s">
        <v>22</v>
      </c>
      <c r="I4894" s="12">
        <v>1</v>
      </c>
      <c r="J4894" s="12" t="s">
        <v>39</v>
      </c>
      <c r="K4894" s="12" t="s">
        <v>23</v>
      </c>
      <c r="L4894" s="12">
        <v>1</v>
      </c>
      <c r="M4894" s="15">
        <v>176025</v>
      </c>
      <c r="N4894" s="15">
        <v>0</v>
      </c>
      <c r="O4894" s="15">
        <f t="shared" si="422"/>
        <v>176025</v>
      </c>
      <c r="P4894" s="15">
        <f t="shared" si="421"/>
        <v>10.775077113497479</v>
      </c>
      <c r="Q4894" s="14">
        <v>5000</v>
      </c>
      <c r="R4894" s="12">
        <v>100</v>
      </c>
      <c r="S4894" s="12" t="s">
        <v>5925</v>
      </c>
      <c r="T4894" s="22">
        <f t="shared" si="423"/>
        <v>6</v>
      </c>
      <c r="U4894" s="22">
        <f t="shared" si="424"/>
        <v>2022</v>
      </c>
      <c r="V4894" s="22" t="str">
        <f t="shared" si="425"/>
        <v>METROPOLITANA</v>
      </c>
    </row>
    <row r="4895" spans="1:22" x14ac:dyDescent="0.2">
      <c r="A4895" s="11" t="s">
        <v>5916</v>
      </c>
      <c r="B4895" s="12" t="s">
        <v>33</v>
      </c>
      <c r="C4895" s="12" t="s">
        <v>44</v>
      </c>
      <c r="D4895" s="12" t="s">
        <v>63</v>
      </c>
      <c r="E4895" s="13" t="s">
        <v>64</v>
      </c>
      <c r="F4895" s="12" t="s">
        <v>51</v>
      </c>
      <c r="G4895" s="14">
        <v>3487.84</v>
      </c>
      <c r="H4895" s="12" t="s">
        <v>65</v>
      </c>
      <c r="I4895" s="12">
        <v>0</v>
      </c>
      <c r="J4895" s="12" t="s">
        <v>51</v>
      </c>
      <c r="K4895" s="12" t="s">
        <v>23</v>
      </c>
      <c r="L4895" s="12">
        <v>4</v>
      </c>
      <c r="M4895" s="15">
        <v>55000</v>
      </c>
      <c r="N4895" s="15">
        <v>0</v>
      </c>
      <c r="O4895" s="15">
        <f t="shared" si="422"/>
        <v>55000</v>
      </c>
      <c r="P4895" s="15">
        <f t="shared" si="421"/>
        <v>15.769071975778704</v>
      </c>
      <c r="Q4895" s="14">
        <v>5000</v>
      </c>
      <c r="R4895" s="12">
        <v>70</v>
      </c>
      <c r="S4895" s="12" t="s">
        <v>5920</v>
      </c>
      <c r="T4895" s="22">
        <f t="shared" si="423"/>
        <v>6</v>
      </c>
      <c r="U4895" s="22">
        <f t="shared" si="424"/>
        <v>2022</v>
      </c>
      <c r="V4895" s="22" t="str">
        <f t="shared" si="425"/>
        <v>METROPOLITANA</v>
      </c>
    </row>
    <row r="4896" spans="1:22" x14ac:dyDescent="0.2">
      <c r="A4896" s="11" t="s">
        <v>5916</v>
      </c>
      <c r="B4896" s="12" t="s">
        <v>33</v>
      </c>
      <c r="C4896" s="12" t="s">
        <v>44</v>
      </c>
      <c r="D4896" s="12" t="s">
        <v>45</v>
      </c>
      <c r="E4896" s="13" t="s">
        <v>52</v>
      </c>
      <c r="F4896" s="12" t="s">
        <v>95</v>
      </c>
      <c r="G4896" s="14">
        <v>3125.76</v>
      </c>
      <c r="H4896" s="12" t="s">
        <v>22</v>
      </c>
      <c r="I4896" s="12">
        <v>0</v>
      </c>
      <c r="J4896" s="12" t="s">
        <v>95</v>
      </c>
      <c r="K4896" s="12" t="s">
        <v>23</v>
      </c>
      <c r="L4896" s="12">
        <v>4</v>
      </c>
      <c r="M4896" s="15">
        <v>55000</v>
      </c>
      <c r="N4896" s="15">
        <v>0</v>
      </c>
      <c r="O4896" s="15">
        <f t="shared" si="422"/>
        <v>55000</v>
      </c>
      <c r="P4896" s="15">
        <f t="shared" si="421"/>
        <v>17.59572072072072</v>
      </c>
      <c r="Q4896" s="14">
        <v>5000</v>
      </c>
      <c r="R4896" s="12">
        <v>63</v>
      </c>
      <c r="S4896" s="12" t="s">
        <v>5921</v>
      </c>
      <c r="T4896" s="22">
        <f t="shared" si="423"/>
        <v>6</v>
      </c>
      <c r="U4896" s="22">
        <f t="shared" si="424"/>
        <v>2022</v>
      </c>
      <c r="V4896" s="22" t="str">
        <f t="shared" si="425"/>
        <v>METROPOLITANA</v>
      </c>
    </row>
    <row r="4897" spans="1:22" x14ac:dyDescent="0.2">
      <c r="A4897" s="11" t="s">
        <v>5916</v>
      </c>
      <c r="B4897" s="12" t="s">
        <v>33</v>
      </c>
      <c r="C4897" s="12" t="s">
        <v>44</v>
      </c>
      <c r="D4897" s="12" t="s">
        <v>47</v>
      </c>
      <c r="E4897" s="13" t="s">
        <v>49</v>
      </c>
      <c r="F4897" s="12" t="s">
        <v>94</v>
      </c>
      <c r="G4897" s="14">
        <v>7421.2999999999975</v>
      </c>
      <c r="H4897" s="12" t="s">
        <v>22</v>
      </c>
      <c r="I4897" s="12">
        <v>0</v>
      </c>
      <c r="J4897" s="12" t="s">
        <v>59</v>
      </c>
      <c r="K4897" s="12" t="s">
        <v>78</v>
      </c>
      <c r="L4897" s="12">
        <v>0</v>
      </c>
      <c r="M4897" s="15">
        <v>203000</v>
      </c>
      <c r="N4897" s="15">
        <v>0</v>
      </c>
      <c r="O4897" s="15">
        <f t="shared" si="422"/>
        <v>203000</v>
      </c>
      <c r="P4897" s="15">
        <f t="shared" ref="P4897:P4960" si="426">O4897/G4897</f>
        <v>27.353698139140054</v>
      </c>
      <c r="Q4897" s="14">
        <v>20000</v>
      </c>
      <c r="R4897" s="12">
        <v>37</v>
      </c>
      <c r="S4897" s="12" t="s">
        <v>5922</v>
      </c>
      <c r="T4897" s="22">
        <f t="shared" si="423"/>
        <v>6</v>
      </c>
      <c r="U4897" s="22">
        <f t="shared" si="424"/>
        <v>2022</v>
      </c>
      <c r="V4897" s="22" t="str">
        <f t="shared" si="425"/>
        <v>REGIONES</v>
      </c>
    </row>
    <row r="4898" spans="1:22" x14ac:dyDescent="0.2">
      <c r="A4898" s="11" t="s">
        <v>5916</v>
      </c>
      <c r="B4898" s="12" t="s">
        <v>33</v>
      </c>
      <c r="C4898" s="12" t="s">
        <v>44</v>
      </c>
      <c r="D4898" s="12" t="s">
        <v>164</v>
      </c>
      <c r="E4898" s="13" t="s">
        <v>28</v>
      </c>
      <c r="F4898" s="12" t="s">
        <v>48</v>
      </c>
      <c r="G4898" s="14">
        <v>13664.47</v>
      </c>
      <c r="H4898" s="12" t="s">
        <v>22</v>
      </c>
      <c r="I4898" s="12">
        <v>1</v>
      </c>
      <c r="J4898" s="12" t="s">
        <v>48</v>
      </c>
      <c r="K4898" s="12" t="s">
        <v>23</v>
      </c>
      <c r="L4898" s="12">
        <v>1</v>
      </c>
      <c r="M4898" s="15">
        <v>150309</v>
      </c>
      <c r="N4898" s="15">
        <v>0</v>
      </c>
      <c r="O4898" s="15">
        <f t="shared" si="422"/>
        <v>150309</v>
      </c>
      <c r="P4898" s="15">
        <f t="shared" si="426"/>
        <v>10.999987558975944</v>
      </c>
      <c r="Q4898" s="14">
        <v>5000</v>
      </c>
      <c r="R4898" s="12">
        <v>100</v>
      </c>
      <c r="S4898" s="12" t="s">
        <v>5923</v>
      </c>
      <c r="T4898" s="22">
        <f t="shared" si="423"/>
        <v>6</v>
      </c>
      <c r="U4898" s="22">
        <f t="shared" si="424"/>
        <v>2022</v>
      </c>
      <c r="V4898" s="22" t="str">
        <f t="shared" si="425"/>
        <v>METROPOLITANA</v>
      </c>
    </row>
    <row r="4899" spans="1:22" x14ac:dyDescent="0.2">
      <c r="A4899" s="11" t="s">
        <v>5916</v>
      </c>
      <c r="B4899" s="12" t="s">
        <v>33</v>
      </c>
      <c r="C4899" s="12" t="s">
        <v>44</v>
      </c>
      <c r="D4899" s="12" t="s">
        <v>20</v>
      </c>
      <c r="E4899" s="13" t="s">
        <v>21</v>
      </c>
      <c r="F4899" s="12" t="s">
        <v>26</v>
      </c>
      <c r="G4899" s="14">
        <v>5684.7999999999984</v>
      </c>
      <c r="H4899" s="12" t="s">
        <v>22</v>
      </c>
      <c r="I4899" s="12">
        <v>0</v>
      </c>
      <c r="J4899" s="12" t="s">
        <v>26</v>
      </c>
      <c r="K4899" s="12" t="s">
        <v>23</v>
      </c>
      <c r="L4899" s="12">
        <v>4</v>
      </c>
      <c r="M4899" s="15">
        <v>62533</v>
      </c>
      <c r="N4899" s="15">
        <v>0</v>
      </c>
      <c r="O4899" s="15">
        <f t="shared" si="422"/>
        <v>62533</v>
      </c>
      <c r="P4899" s="15">
        <f t="shared" si="426"/>
        <v>11.000035181536733</v>
      </c>
      <c r="Q4899" s="14">
        <v>5000</v>
      </c>
      <c r="R4899" s="12">
        <v>100</v>
      </c>
      <c r="S4899" s="12" t="s">
        <v>5924</v>
      </c>
      <c r="T4899" s="22">
        <f t="shared" si="423"/>
        <v>6</v>
      </c>
      <c r="U4899" s="22">
        <f t="shared" si="424"/>
        <v>2022</v>
      </c>
      <c r="V4899" s="22" t="str">
        <f t="shared" si="425"/>
        <v>METROPOLITANA</v>
      </c>
    </row>
    <row r="4900" spans="1:22" x14ac:dyDescent="0.2">
      <c r="A4900" s="23" t="s">
        <v>5926</v>
      </c>
      <c r="B4900" s="22" t="s">
        <v>18</v>
      </c>
      <c r="C4900" s="22" t="s">
        <v>270</v>
      </c>
      <c r="D4900" s="22" t="s">
        <v>63</v>
      </c>
      <c r="E4900" s="24" t="s">
        <v>64</v>
      </c>
      <c r="F4900" s="22" t="s">
        <v>120</v>
      </c>
      <c r="G4900" s="25">
        <v>5918.4</v>
      </c>
      <c r="H4900" s="22" t="s">
        <v>65</v>
      </c>
      <c r="I4900" s="22">
        <v>0</v>
      </c>
      <c r="J4900" s="22" t="s">
        <v>120</v>
      </c>
      <c r="K4900" s="22" t="s">
        <v>23</v>
      </c>
      <c r="L4900" s="22">
        <v>5</v>
      </c>
      <c r="M4900" s="26">
        <v>70000</v>
      </c>
      <c r="N4900" s="26">
        <v>0</v>
      </c>
      <c r="O4900" s="15">
        <f t="shared" si="422"/>
        <v>70000</v>
      </c>
      <c r="P4900" s="15">
        <f t="shared" si="426"/>
        <v>11.827520951608543</v>
      </c>
      <c r="Q4900" s="25">
        <v>10000</v>
      </c>
      <c r="R4900" s="22">
        <v>59</v>
      </c>
      <c r="S4900" s="22" t="s">
        <v>5927</v>
      </c>
      <c r="T4900" s="22">
        <f t="shared" si="423"/>
        <v>6</v>
      </c>
      <c r="U4900" s="22">
        <f t="shared" si="424"/>
        <v>2022</v>
      </c>
      <c r="V4900" s="22" t="str">
        <f t="shared" si="425"/>
        <v>METROPOLITANA</v>
      </c>
    </row>
    <row r="4901" spans="1:22" x14ac:dyDescent="0.2">
      <c r="A4901" s="23" t="s">
        <v>5926</v>
      </c>
      <c r="B4901" s="22" t="s">
        <v>18</v>
      </c>
      <c r="C4901" s="22" t="s">
        <v>1173</v>
      </c>
      <c r="D4901" s="22" t="s">
        <v>63</v>
      </c>
      <c r="E4901" s="24" t="s">
        <v>64</v>
      </c>
      <c r="F4901" s="22" t="s">
        <v>182</v>
      </c>
      <c r="G4901" s="25">
        <v>12960.48</v>
      </c>
      <c r="H4901" s="22" t="s">
        <v>65</v>
      </c>
      <c r="I4901" s="22">
        <v>0</v>
      </c>
      <c r="J4901" s="22" t="s">
        <v>182</v>
      </c>
      <c r="K4901" s="22" t="s">
        <v>23</v>
      </c>
      <c r="L4901" s="22">
        <v>4</v>
      </c>
      <c r="M4901" s="26">
        <v>142565</v>
      </c>
      <c r="N4901" s="26">
        <v>0</v>
      </c>
      <c r="O4901" s="15">
        <f t="shared" si="422"/>
        <v>142565</v>
      </c>
      <c r="P4901" s="15">
        <f t="shared" si="426"/>
        <v>10.999978395861882</v>
      </c>
      <c r="Q4901" s="25">
        <v>5000</v>
      </c>
      <c r="R4901" s="22">
        <v>100</v>
      </c>
      <c r="S4901" s="22" t="s">
        <v>5928</v>
      </c>
      <c r="T4901" s="22">
        <f t="shared" si="423"/>
        <v>6</v>
      </c>
      <c r="U4901" s="22">
        <f t="shared" si="424"/>
        <v>2022</v>
      </c>
      <c r="V4901" s="22" t="str">
        <f t="shared" si="425"/>
        <v>METROPOLITANA</v>
      </c>
    </row>
    <row r="4902" spans="1:22" x14ac:dyDescent="0.2">
      <c r="A4902" s="23" t="s">
        <v>5926</v>
      </c>
      <c r="B4902" s="22" t="s">
        <v>18</v>
      </c>
      <c r="C4902" s="22" t="s">
        <v>5571</v>
      </c>
      <c r="D4902" s="22" t="s">
        <v>27</v>
      </c>
      <c r="E4902" s="24" t="s">
        <v>28</v>
      </c>
      <c r="F4902" s="22" t="s">
        <v>170</v>
      </c>
      <c r="G4902" s="25">
        <v>20855.849999999999</v>
      </c>
      <c r="H4902" s="22" t="s">
        <v>22</v>
      </c>
      <c r="I4902" s="22">
        <v>1</v>
      </c>
      <c r="J4902" s="22" t="s">
        <v>170</v>
      </c>
      <c r="K4902" s="22" t="s">
        <v>171</v>
      </c>
      <c r="L4902" s="22">
        <v>0</v>
      </c>
      <c r="M4902" s="26">
        <v>250000</v>
      </c>
      <c r="N4902" s="26">
        <v>0</v>
      </c>
      <c r="O4902" s="15">
        <f t="shared" ref="O4902:O4947" si="427">SUM(M4902:N4902)</f>
        <v>250000</v>
      </c>
      <c r="P4902" s="15">
        <f t="shared" si="426"/>
        <v>11.987044402409877</v>
      </c>
      <c r="Q4902" s="25">
        <v>20000</v>
      </c>
      <c r="R4902" s="22">
        <v>100</v>
      </c>
      <c r="S4902" s="22" t="s">
        <v>5929</v>
      </c>
      <c r="T4902" s="22">
        <f t="shared" si="423"/>
        <v>6</v>
      </c>
      <c r="U4902" s="22">
        <f t="shared" si="424"/>
        <v>2022</v>
      </c>
      <c r="V4902" s="22" t="str">
        <f t="shared" si="425"/>
        <v>REGIONES</v>
      </c>
    </row>
    <row r="4903" spans="1:22" x14ac:dyDescent="0.2">
      <c r="A4903" s="23" t="s">
        <v>5926</v>
      </c>
      <c r="B4903" s="22" t="s">
        <v>18</v>
      </c>
      <c r="C4903" s="22" t="s">
        <v>5571</v>
      </c>
      <c r="D4903" s="22" t="s">
        <v>2955</v>
      </c>
      <c r="E4903" s="24" t="s">
        <v>2956</v>
      </c>
      <c r="F4903" s="22" t="s">
        <v>170</v>
      </c>
      <c r="G4903" s="25">
        <v>18194.400000000001</v>
      </c>
      <c r="H4903" s="22" t="s">
        <v>24</v>
      </c>
      <c r="I4903" s="22">
        <v>1</v>
      </c>
      <c r="J4903" s="22" t="s">
        <v>170</v>
      </c>
      <c r="K4903" s="22" t="s">
        <v>171</v>
      </c>
      <c r="L4903" s="22">
        <v>0</v>
      </c>
      <c r="M4903" s="26">
        <v>250000</v>
      </c>
      <c r="N4903" s="26">
        <v>0</v>
      </c>
      <c r="O4903" s="15">
        <f t="shared" si="427"/>
        <v>250000</v>
      </c>
      <c r="P4903" s="15">
        <f t="shared" si="426"/>
        <v>13.74049157982676</v>
      </c>
      <c r="Q4903" s="25">
        <v>20000</v>
      </c>
      <c r="R4903" s="22">
        <v>91</v>
      </c>
      <c r="S4903" s="22" t="s">
        <v>5930</v>
      </c>
      <c r="T4903" s="22">
        <f t="shared" si="423"/>
        <v>6</v>
      </c>
      <c r="U4903" s="22">
        <f t="shared" si="424"/>
        <v>2022</v>
      </c>
      <c r="V4903" s="22" t="str">
        <f t="shared" si="425"/>
        <v>REGIONES</v>
      </c>
    </row>
    <row r="4904" spans="1:22" x14ac:dyDescent="0.2">
      <c r="A4904" s="23" t="s">
        <v>5926</v>
      </c>
      <c r="B4904" s="22" t="s">
        <v>33</v>
      </c>
      <c r="C4904" s="22" t="s">
        <v>1233</v>
      </c>
      <c r="D4904" s="22" t="s">
        <v>47</v>
      </c>
      <c r="E4904" s="24" t="s">
        <v>49</v>
      </c>
      <c r="F4904" s="22" t="s">
        <v>1234</v>
      </c>
      <c r="G4904" s="25">
        <v>1561.2</v>
      </c>
      <c r="H4904" s="22" t="s">
        <v>22</v>
      </c>
      <c r="I4904" s="22">
        <v>0</v>
      </c>
      <c r="J4904" s="22" t="s">
        <v>1234</v>
      </c>
      <c r="K4904" s="22" t="s">
        <v>23</v>
      </c>
      <c r="L4904" s="22">
        <v>3</v>
      </c>
      <c r="M4904" s="26">
        <v>55000</v>
      </c>
      <c r="N4904" s="26">
        <v>0</v>
      </c>
      <c r="O4904" s="15">
        <f t="shared" si="427"/>
        <v>55000</v>
      </c>
      <c r="P4904" s="15">
        <f t="shared" si="426"/>
        <v>35.22931078657443</v>
      </c>
      <c r="Q4904" s="25">
        <v>5000</v>
      </c>
      <c r="R4904" s="22">
        <v>31</v>
      </c>
      <c r="S4904" s="22" t="s">
        <v>5931</v>
      </c>
      <c r="T4904" s="22">
        <f t="shared" si="423"/>
        <v>6</v>
      </c>
      <c r="U4904" s="22">
        <f t="shared" si="424"/>
        <v>2022</v>
      </c>
      <c r="V4904" s="22" t="str">
        <f t="shared" si="425"/>
        <v>METROPOLITANA</v>
      </c>
    </row>
    <row r="4905" spans="1:22" x14ac:dyDescent="0.2">
      <c r="A4905" s="23" t="s">
        <v>5926</v>
      </c>
      <c r="B4905" s="22" t="s">
        <v>33</v>
      </c>
      <c r="C4905" s="22" t="s">
        <v>36</v>
      </c>
      <c r="D4905" s="22" t="s">
        <v>45</v>
      </c>
      <c r="E4905" s="24" t="s">
        <v>52</v>
      </c>
      <c r="F4905" s="22" t="s">
        <v>129</v>
      </c>
      <c r="G4905" s="25">
        <v>1005.6</v>
      </c>
      <c r="H4905" s="22" t="s">
        <v>22</v>
      </c>
      <c r="I4905" s="22">
        <v>0</v>
      </c>
      <c r="J4905" s="22" t="s">
        <v>129</v>
      </c>
      <c r="K4905" s="22" t="s">
        <v>23</v>
      </c>
      <c r="L4905" s="22">
        <v>1</v>
      </c>
      <c r="M4905" s="26">
        <v>55000</v>
      </c>
      <c r="N4905" s="26">
        <v>0</v>
      </c>
      <c r="O4905" s="15">
        <f t="shared" si="427"/>
        <v>55000</v>
      </c>
      <c r="P4905" s="15">
        <f t="shared" si="426"/>
        <v>54.693715194908513</v>
      </c>
      <c r="Q4905" s="25">
        <v>5000</v>
      </c>
      <c r="R4905" s="22">
        <v>20</v>
      </c>
      <c r="S4905" s="22" t="s">
        <v>5932</v>
      </c>
      <c r="T4905" s="22">
        <f t="shared" si="423"/>
        <v>6</v>
      </c>
      <c r="U4905" s="22">
        <f t="shared" si="424"/>
        <v>2022</v>
      </c>
      <c r="V4905" s="22" t="str">
        <f t="shared" si="425"/>
        <v>METROPOLITANA</v>
      </c>
    </row>
    <row r="4906" spans="1:22" x14ac:dyDescent="0.2">
      <c r="A4906" s="23" t="s">
        <v>5926</v>
      </c>
      <c r="B4906" s="22" t="s">
        <v>33</v>
      </c>
      <c r="C4906" s="22" t="s">
        <v>29</v>
      </c>
      <c r="D4906" s="22" t="s">
        <v>38</v>
      </c>
      <c r="E4906" s="24" t="s">
        <v>25</v>
      </c>
      <c r="F4906" s="22" t="s">
        <v>39</v>
      </c>
      <c r="G4906" s="25">
        <f>2748+2185</f>
        <v>4933</v>
      </c>
      <c r="H4906" s="22" t="s">
        <v>43</v>
      </c>
      <c r="I4906" s="22">
        <v>0</v>
      </c>
      <c r="J4906" s="22" t="s">
        <v>39</v>
      </c>
      <c r="K4906" s="22" t="s">
        <v>23</v>
      </c>
      <c r="L4906" s="22">
        <v>1</v>
      </c>
      <c r="M4906" s="26">
        <v>55000</v>
      </c>
      <c r="N4906" s="26">
        <v>0</v>
      </c>
      <c r="O4906" s="15">
        <f t="shared" si="427"/>
        <v>55000</v>
      </c>
      <c r="P4906" s="15">
        <f t="shared" si="426"/>
        <v>11.149401986620717</v>
      </c>
      <c r="Q4906" s="25">
        <v>5000</v>
      </c>
      <c r="R4906" s="22">
        <v>100</v>
      </c>
      <c r="S4906" s="22" t="s">
        <v>5938</v>
      </c>
      <c r="T4906" s="22">
        <f t="shared" si="423"/>
        <v>6</v>
      </c>
      <c r="U4906" s="22">
        <f t="shared" si="424"/>
        <v>2022</v>
      </c>
      <c r="V4906" s="22" t="str">
        <f t="shared" si="425"/>
        <v>METROPOLITANA</v>
      </c>
    </row>
    <row r="4907" spans="1:22" x14ac:dyDescent="0.2">
      <c r="A4907" s="23" t="s">
        <v>5926</v>
      </c>
      <c r="B4907" s="22" t="s">
        <v>33</v>
      </c>
      <c r="C4907" s="22" t="s">
        <v>29</v>
      </c>
      <c r="D4907" s="22" t="s">
        <v>37</v>
      </c>
      <c r="E4907" s="24" t="s">
        <v>40</v>
      </c>
      <c r="F4907" s="22" t="s">
        <v>39</v>
      </c>
      <c r="G4907" s="25">
        <v>2748</v>
      </c>
      <c r="H4907" s="22" t="s">
        <v>22</v>
      </c>
      <c r="I4907" s="22">
        <v>0</v>
      </c>
      <c r="J4907" s="22" t="s">
        <v>39</v>
      </c>
      <c r="K4907" s="22" t="s">
        <v>23</v>
      </c>
      <c r="L4907" s="22">
        <v>1</v>
      </c>
      <c r="M4907" s="26">
        <v>55000</v>
      </c>
      <c r="N4907" s="26">
        <v>0</v>
      </c>
      <c r="O4907" s="15">
        <f t="shared" si="427"/>
        <v>55000</v>
      </c>
      <c r="P4907" s="15">
        <f t="shared" si="426"/>
        <v>20.014556040756915</v>
      </c>
      <c r="Q4907" s="25">
        <v>5000</v>
      </c>
      <c r="R4907" s="22">
        <v>55</v>
      </c>
      <c r="S4907" s="22" t="s">
        <v>5933</v>
      </c>
      <c r="T4907" s="22">
        <f t="shared" si="423"/>
        <v>6</v>
      </c>
      <c r="U4907" s="22">
        <f t="shared" si="424"/>
        <v>2022</v>
      </c>
      <c r="V4907" s="22" t="str">
        <f t="shared" si="425"/>
        <v>METROPOLITANA</v>
      </c>
    </row>
    <row r="4908" spans="1:22" x14ac:dyDescent="0.2">
      <c r="A4908" s="23" t="s">
        <v>5926</v>
      </c>
      <c r="B4908" s="22" t="s">
        <v>33</v>
      </c>
      <c r="C4908" s="22" t="s">
        <v>29</v>
      </c>
      <c r="D4908" s="22" t="s">
        <v>164</v>
      </c>
      <c r="E4908" s="24" t="s">
        <v>1576</v>
      </c>
      <c r="F4908" s="22" t="s">
        <v>39</v>
      </c>
      <c r="G4908" s="25">
        <v>21164.15</v>
      </c>
      <c r="H4908" s="22" t="s">
        <v>22</v>
      </c>
      <c r="I4908" s="22">
        <v>1</v>
      </c>
      <c r="J4908" s="22" t="s">
        <v>39</v>
      </c>
      <c r="K4908" s="22" t="s">
        <v>23</v>
      </c>
      <c r="L4908" s="22">
        <v>1</v>
      </c>
      <c r="M4908" s="26">
        <v>232806</v>
      </c>
      <c r="N4908" s="26">
        <v>0</v>
      </c>
      <c r="O4908" s="15">
        <f t="shared" si="427"/>
        <v>232806</v>
      </c>
      <c r="P4908" s="15">
        <f t="shared" si="426"/>
        <v>11.000016537399327</v>
      </c>
      <c r="Q4908" s="25">
        <v>5000</v>
      </c>
      <c r="R4908" s="22">
        <v>100</v>
      </c>
      <c r="S4908" s="22" t="s">
        <v>5934</v>
      </c>
      <c r="T4908" s="22">
        <f t="shared" si="423"/>
        <v>6</v>
      </c>
      <c r="U4908" s="22">
        <f t="shared" si="424"/>
        <v>2022</v>
      </c>
      <c r="V4908" s="22" t="str">
        <f t="shared" si="425"/>
        <v>METROPOLITANA</v>
      </c>
    </row>
    <row r="4909" spans="1:22" x14ac:dyDescent="0.2">
      <c r="A4909" s="23" t="s">
        <v>5926</v>
      </c>
      <c r="B4909" s="22" t="s">
        <v>33</v>
      </c>
      <c r="C4909" s="22" t="s">
        <v>44</v>
      </c>
      <c r="D4909" s="22" t="s">
        <v>786</v>
      </c>
      <c r="E4909" s="24" t="s">
        <v>787</v>
      </c>
      <c r="F4909" s="22" t="s">
        <v>67</v>
      </c>
      <c r="G4909" s="25">
        <v>7442.5000000000027</v>
      </c>
      <c r="H4909" s="22" t="s">
        <v>788</v>
      </c>
      <c r="I4909" s="22">
        <v>1</v>
      </c>
      <c r="J4909" s="22" t="s">
        <v>67</v>
      </c>
      <c r="K4909" s="22" t="s">
        <v>23</v>
      </c>
      <c r="L4909" s="22">
        <v>2</v>
      </c>
      <c r="M4909" s="26">
        <v>81868</v>
      </c>
      <c r="N4909" s="26">
        <v>0</v>
      </c>
      <c r="O4909" s="15">
        <f t="shared" si="427"/>
        <v>81868</v>
      </c>
      <c r="P4909" s="15">
        <f t="shared" si="426"/>
        <v>11.000067181726566</v>
      </c>
      <c r="Q4909" s="25">
        <v>5000</v>
      </c>
      <c r="R4909" s="22">
        <v>100</v>
      </c>
      <c r="S4909" s="22" t="s">
        <v>5935</v>
      </c>
      <c r="T4909" s="22">
        <f t="shared" si="423"/>
        <v>6</v>
      </c>
      <c r="U4909" s="22">
        <f t="shared" si="424"/>
        <v>2022</v>
      </c>
      <c r="V4909" s="22" t="str">
        <f t="shared" si="425"/>
        <v>METROPOLITANA</v>
      </c>
    </row>
    <row r="4910" spans="1:22" x14ac:dyDescent="0.2">
      <c r="A4910" s="23" t="s">
        <v>5926</v>
      </c>
      <c r="B4910" s="22" t="s">
        <v>33</v>
      </c>
      <c r="C4910" s="22" t="s">
        <v>44</v>
      </c>
      <c r="D4910" s="22" t="s">
        <v>47</v>
      </c>
      <c r="E4910" s="24" t="s">
        <v>49</v>
      </c>
      <c r="F4910" s="22" t="s">
        <v>48</v>
      </c>
      <c r="G4910" s="25">
        <v>8762.3000000000029</v>
      </c>
      <c r="H4910" s="22" t="s">
        <v>22</v>
      </c>
      <c r="I4910" s="22">
        <v>0</v>
      </c>
      <c r="J4910" s="22" t="s">
        <v>48</v>
      </c>
      <c r="K4910" s="22" t="s">
        <v>23</v>
      </c>
      <c r="L4910" s="22">
        <v>1</v>
      </c>
      <c r="M4910" s="26">
        <v>96385</v>
      </c>
      <c r="N4910" s="26">
        <v>0</v>
      </c>
      <c r="O4910" s="15">
        <f t="shared" si="427"/>
        <v>96385</v>
      </c>
      <c r="P4910" s="15">
        <f t="shared" si="426"/>
        <v>10.999965762413975</v>
      </c>
      <c r="Q4910" s="25">
        <v>5000</v>
      </c>
      <c r="R4910" s="22">
        <v>100</v>
      </c>
      <c r="S4910" s="22" t="s">
        <v>5936</v>
      </c>
      <c r="T4910" s="22">
        <f t="shared" si="423"/>
        <v>6</v>
      </c>
      <c r="U4910" s="22">
        <f t="shared" si="424"/>
        <v>2022</v>
      </c>
      <c r="V4910" s="22" t="str">
        <f t="shared" si="425"/>
        <v>METROPOLITANA</v>
      </c>
    </row>
    <row r="4911" spans="1:22" x14ac:dyDescent="0.2">
      <c r="A4911" s="23" t="s">
        <v>5926</v>
      </c>
      <c r="B4911" s="22" t="s">
        <v>33</v>
      </c>
      <c r="C4911" s="22" t="s">
        <v>44</v>
      </c>
      <c r="D4911" s="22" t="s">
        <v>20</v>
      </c>
      <c r="E4911" s="24" t="s">
        <v>21</v>
      </c>
      <c r="F4911" s="22" t="s">
        <v>34</v>
      </c>
      <c r="G4911" s="25">
        <v>6520.3999999999987</v>
      </c>
      <c r="H4911" s="22" t="s">
        <v>22</v>
      </c>
      <c r="I4911" s="22">
        <v>0</v>
      </c>
      <c r="J4911" s="22" t="s">
        <v>34</v>
      </c>
      <c r="K4911" s="22" t="s">
        <v>23</v>
      </c>
      <c r="L4911" s="22">
        <v>1</v>
      </c>
      <c r="M4911" s="26">
        <v>71724</v>
      </c>
      <c r="N4911" s="26">
        <v>0</v>
      </c>
      <c r="O4911" s="15">
        <f t="shared" si="427"/>
        <v>71724</v>
      </c>
      <c r="P4911" s="15">
        <f t="shared" si="426"/>
        <v>10.999938654070304</v>
      </c>
      <c r="Q4911" s="25">
        <v>5000</v>
      </c>
      <c r="R4911" s="22">
        <v>100</v>
      </c>
      <c r="S4911" s="22" t="s">
        <v>5937</v>
      </c>
      <c r="T4911" s="22">
        <f t="shared" si="423"/>
        <v>6</v>
      </c>
      <c r="U4911" s="22">
        <f t="shared" si="424"/>
        <v>2022</v>
      </c>
      <c r="V4911" s="22" t="str">
        <f t="shared" si="425"/>
        <v>METROPOLITANA</v>
      </c>
    </row>
    <row r="4912" spans="1:22" x14ac:dyDescent="0.2">
      <c r="A4912" s="11" t="s">
        <v>5939</v>
      </c>
      <c r="B4912" s="12" t="s">
        <v>18</v>
      </c>
      <c r="C4912" s="12" t="s">
        <v>1173</v>
      </c>
      <c r="D4912" s="12" t="s">
        <v>37</v>
      </c>
      <c r="E4912" s="13" t="s">
        <v>40</v>
      </c>
      <c r="F4912" s="12" t="s">
        <v>182</v>
      </c>
      <c r="G4912" s="14">
        <v>7875.7999999999975</v>
      </c>
      <c r="H4912" s="12" t="s">
        <v>22</v>
      </c>
      <c r="I4912" s="12">
        <v>0</v>
      </c>
      <c r="J4912" s="12" t="s">
        <v>182</v>
      </c>
      <c r="K4912" s="12" t="s">
        <v>23</v>
      </c>
      <c r="L4912" s="12">
        <v>4</v>
      </c>
      <c r="M4912" s="15">
        <v>86634</v>
      </c>
      <c r="N4912" s="15">
        <v>0</v>
      </c>
      <c r="O4912" s="15">
        <f t="shared" si="427"/>
        <v>86634</v>
      </c>
      <c r="P4912" s="15">
        <f t="shared" si="426"/>
        <v>11.000025394245668</v>
      </c>
      <c r="Q4912" s="14">
        <v>5000</v>
      </c>
      <c r="R4912" s="12">
        <v>100</v>
      </c>
      <c r="S4912" s="12" t="s">
        <v>5940</v>
      </c>
      <c r="T4912" s="22">
        <f t="shared" si="423"/>
        <v>6</v>
      </c>
      <c r="U4912" s="22">
        <f t="shared" si="424"/>
        <v>2022</v>
      </c>
      <c r="V4912" s="22" t="str">
        <f t="shared" si="425"/>
        <v>METROPOLITANA</v>
      </c>
    </row>
    <row r="4913" spans="1:22" x14ac:dyDescent="0.2">
      <c r="A4913" s="11" t="s">
        <v>5939</v>
      </c>
      <c r="B4913" s="12" t="s">
        <v>18</v>
      </c>
      <c r="C4913" s="12" t="s">
        <v>500</v>
      </c>
      <c r="D4913" s="12" t="s">
        <v>30</v>
      </c>
      <c r="E4913" s="13" t="s">
        <v>31</v>
      </c>
      <c r="F4913" s="12" t="s">
        <v>727</v>
      </c>
      <c r="G4913" s="14">
        <v>9682.89</v>
      </c>
      <c r="H4913" s="12" t="s">
        <v>32</v>
      </c>
      <c r="I4913" s="12">
        <v>0</v>
      </c>
      <c r="J4913" s="12" t="s">
        <v>727</v>
      </c>
      <c r="K4913" s="12" t="s">
        <v>23</v>
      </c>
      <c r="L4913" s="12">
        <v>2</v>
      </c>
      <c r="M4913" s="15">
        <v>106512</v>
      </c>
      <c r="N4913" s="15">
        <v>0</v>
      </c>
      <c r="O4913" s="15">
        <f t="shared" si="427"/>
        <v>106512</v>
      </c>
      <c r="P4913" s="15">
        <f t="shared" si="426"/>
        <v>11.000021687739922</v>
      </c>
      <c r="Q4913" s="14">
        <v>5000</v>
      </c>
      <c r="R4913" s="12">
        <v>100</v>
      </c>
      <c r="S4913" s="12" t="s">
        <v>5941</v>
      </c>
      <c r="T4913" s="22">
        <f t="shared" si="423"/>
        <v>6</v>
      </c>
      <c r="U4913" s="22">
        <f t="shared" si="424"/>
        <v>2022</v>
      </c>
      <c r="V4913" s="22" t="str">
        <f t="shared" si="425"/>
        <v>METROPOLITANA</v>
      </c>
    </row>
    <row r="4914" spans="1:22" x14ac:dyDescent="0.2">
      <c r="A4914" s="11" t="s">
        <v>5939</v>
      </c>
      <c r="B4914" s="12" t="s">
        <v>18</v>
      </c>
      <c r="C4914" s="12" t="s">
        <v>87</v>
      </c>
      <c r="D4914" s="12" t="s">
        <v>37</v>
      </c>
      <c r="E4914" s="13" t="s">
        <v>40</v>
      </c>
      <c r="F4914" s="12" t="s">
        <v>51</v>
      </c>
      <c r="G4914" s="14">
        <v>5038.67</v>
      </c>
      <c r="H4914" s="12" t="s">
        <v>22</v>
      </c>
      <c r="I4914" s="12">
        <v>0</v>
      </c>
      <c r="J4914" s="12" t="s">
        <v>51</v>
      </c>
      <c r="K4914" s="12" t="s">
        <v>23</v>
      </c>
      <c r="L4914" s="12">
        <v>4</v>
      </c>
      <c r="M4914" s="15">
        <v>55425</v>
      </c>
      <c r="N4914" s="15">
        <v>0</v>
      </c>
      <c r="O4914" s="15">
        <f t="shared" si="427"/>
        <v>55425</v>
      </c>
      <c r="P4914" s="15">
        <f t="shared" si="426"/>
        <v>10.999926567923678</v>
      </c>
      <c r="Q4914" s="14">
        <v>5000</v>
      </c>
      <c r="R4914" s="12">
        <v>100</v>
      </c>
      <c r="S4914" s="12" t="s">
        <v>5942</v>
      </c>
      <c r="T4914" s="22">
        <f t="shared" si="423"/>
        <v>6</v>
      </c>
      <c r="U4914" s="22">
        <f t="shared" si="424"/>
        <v>2022</v>
      </c>
      <c r="V4914" s="22" t="str">
        <f t="shared" si="425"/>
        <v>METROPOLITANA</v>
      </c>
    </row>
    <row r="4915" spans="1:22" x14ac:dyDescent="0.2">
      <c r="A4915" s="11" t="s">
        <v>5939</v>
      </c>
      <c r="B4915" s="12" t="s">
        <v>33</v>
      </c>
      <c r="C4915" s="12" t="s">
        <v>3060</v>
      </c>
      <c r="D4915" s="12" t="s">
        <v>47</v>
      </c>
      <c r="E4915" s="13" t="s">
        <v>49</v>
      </c>
      <c r="F4915" s="12" t="s">
        <v>58</v>
      </c>
      <c r="G4915" s="14">
        <v>3330.32</v>
      </c>
      <c r="H4915" s="12" t="s">
        <v>22</v>
      </c>
      <c r="I4915" s="12">
        <v>0</v>
      </c>
      <c r="J4915" s="12" t="s">
        <v>58</v>
      </c>
      <c r="K4915" s="12" t="s">
        <v>23</v>
      </c>
      <c r="L4915" s="12">
        <v>5</v>
      </c>
      <c r="M4915" s="15">
        <v>70000</v>
      </c>
      <c r="N4915" s="15">
        <v>0</v>
      </c>
      <c r="O4915" s="15">
        <f t="shared" si="427"/>
        <v>70000</v>
      </c>
      <c r="P4915" s="15">
        <f t="shared" si="426"/>
        <v>21.019001177064066</v>
      </c>
      <c r="Q4915" s="14">
        <v>10000</v>
      </c>
      <c r="R4915" s="12">
        <v>33</v>
      </c>
      <c r="S4915" s="12" t="s">
        <v>5943</v>
      </c>
      <c r="T4915" s="22">
        <f t="shared" si="423"/>
        <v>6</v>
      </c>
      <c r="U4915" s="22">
        <f t="shared" si="424"/>
        <v>2022</v>
      </c>
      <c r="V4915" s="22" t="str">
        <f t="shared" si="425"/>
        <v>METROPOLITANA</v>
      </c>
    </row>
    <row r="4916" spans="1:22" x14ac:dyDescent="0.2">
      <c r="A4916" s="11" t="s">
        <v>5939</v>
      </c>
      <c r="B4916" s="12" t="s">
        <v>33</v>
      </c>
      <c r="C4916" s="12" t="s">
        <v>29</v>
      </c>
      <c r="D4916" s="12" t="s">
        <v>38</v>
      </c>
      <c r="E4916" s="13" t="s">
        <v>42</v>
      </c>
      <c r="F4916" s="12" t="s">
        <v>39</v>
      </c>
      <c r="G4916" s="14">
        <v>9905.7000000000007</v>
      </c>
      <c r="H4916" s="12" t="s">
        <v>43</v>
      </c>
      <c r="I4916" s="12">
        <v>0</v>
      </c>
      <c r="J4916" s="12" t="s">
        <v>39</v>
      </c>
      <c r="K4916" s="12" t="s">
        <v>23</v>
      </c>
      <c r="L4916" s="12">
        <v>1</v>
      </c>
      <c r="M4916" s="15">
        <v>108963</v>
      </c>
      <c r="N4916" s="15">
        <v>0</v>
      </c>
      <c r="O4916" s="15">
        <f t="shared" si="427"/>
        <v>108963</v>
      </c>
      <c r="P4916" s="15">
        <f t="shared" si="426"/>
        <v>11.000030285593143</v>
      </c>
      <c r="Q4916" s="14">
        <v>5000</v>
      </c>
      <c r="R4916" s="12">
        <v>100</v>
      </c>
      <c r="S4916" s="12" t="s">
        <v>5944</v>
      </c>
      <c r="T4916" s="22">
        <f t="shared" si="423"/>
        <v>6</v>
      </c>
      <c r="U4916" s="22">
        <f t="shared" si="424"/>
        <v>2022</v>
      </c>
      <c r="V4916" s="22" t="str">
        <f t="shared" si="425"/>
        <v>METROPOLITANA</v>
      </c>
    </row>
    <row r="4917" spans="1:22" x14ac:dyDescent="0.2">
      <c r="A4917" s="11" t="s">
        <v>5939</v>
      </c>
      <c r="B4917" s="12" t="s">
        <v>33</v>
      </c>
      <c r="C4917" s="12" t="s">
        <v>29</v>
      </c>
      <c r="D4917" s="12" t="s">
        <v>41</v>
      </c>
      <c r="E4917" s="13" t="s">
        <v>25</v>
      </c>
      <c r="F4917" s="12" t="s">
        <v>39</v>
      </c>
      <c r="G4917" s="14">
        <v>12423.6</v>
      </c>
      <c r="H4917" s="12" t="s">
        <v>43</v>
      </c>
      <c r="I4917" s="12">
        <v>0</v>
      </c>
      <c r="J4917" s="12" t="s">
        <v>39</v>
      </c>
      <c r="K4917" s="12" t="s">
        <v>23</v>
      </c>
      <c r="L4917" s="12">
        <v>1</v>
      </c>
      <c r="M4917" s="15">
        <v>136660</v>
      </c>
      <c r="N4917" s="15">
        <v>0</v>
      </c>
      <c r="O4917" s="15">
        <f t="shared" si="427"/>
        <v>136660</v>
      </c>
      <c r="P4917" s="15">
        <f t="shared" si="426"/>
        <v>11.00003219678676</v>
      </c>
      <c r="Q4917" s="14">
        <v>5000</v>
      </c>
      <c r="R4917" s="12">
        <v>100</v>
      </c>
      <c r="S4917" s="12" t="s">
        <v>5945</v>
      </c>
      <c r="T4917" s="22">
        <f t="shared" si="423"/>
        <v>6</v>
      </c>
      <c r="U4917" s="22">
        <f t="shared" si="424"/>
        <v>2022</v>
      </c>
      <c r="V4917" s="22" t="str">
        <f t="shared" si="425"/>
        <v>METROPOLITANA</v>
      </c>
    </row>
    <row r="4918" spans="1:22" x14ac:dyDescent="0.2">
      <c r="A4918" s="11" t="s">
        <v>5939</v>
      </c>
      <c r="B4918" s="12" t="s">
        <v>33</v>
      </c>
      <c r="C4918" s="12" t="s">
        <v>29</v>
      </c>
      <c r="D4918" s="12" t="s">
        <v>164</v>
      </c>
      <c r="E4918" s="13" t="s">
        <v>1576</v>
      </c>
      <c r="F4918" s="12" t="s">
        <v>39</v>
      </c>
      <c r="G4918" s="14">
        <v>9185.7999999999956</v>
      </c>
      <c r="H4918" s="12" t="s">
        <v>22</v>
      </c>
      <c r="I4918" s="12">
        <v>1</v>
      </c>
      <c r="J4918" s="12" t="s">
        <v>39</v>
      </c>
      <c r="K4918" s="12" t="s">
        <v>23</v>
      </c>
      <c r="L4918" s="12">
        <v>1</v>
      </c>
      <c r="M4918" s="15">
        <v>101044</v>
      </c>
      <c r="N4918" s="15">
        <v>0</v>
      </c>
      <c r="O4918" s="15">
        <f t="shared" si="427"/>
        <v>101044</v>
      </c>
      <c r="P4918" s="15">
        <f t="shared" si="426"/>
        <v>11.000021772736185</v>
      </c>
      <c r="Q4918" s="14">
        <v>5000</v>
      </c>
      <c r="R4918" s="12">
        <v>100</v>
      </c>
      <c r="S4918" s="12" t="s">
        <v>5946</v>
      </c>
      <c r="T4918" s="22">
        <f t="shared" si="423"/>
        <v>6</v>
      </c>
      <c r="U4918" s="22">
        <f t="shared" si="424"/>
        <v>2022</v>
      </c>
      <c r="V4918" s="22" t="str">
        <f t="shared" si="425"/>
        <v>METROPOLITANA</v>
      </c>
    </row>
    <row r="4919" spans="1:22" x14ac:dyDescent="0.2">
      <c r="A4919" s="11" t="s">
        <v>5939</v>
      </c>
      <c r="B4919" s="12" t="s">
        <v>33</v>
      </c>
      <c r="C4919" s="12" t="s">
        <v>44</v>
      </c>
      <c r="D4919" s="12" t="s">
        <v>2825</v>
      </c>
      <c r="E4919" s="13" t="s">
        <v>639</v>
      </c>
      <c r="F4919" s="12" t="s">
        <v>876</v>
      </c>
      <c r="G4919" s="14">
        <f>4627.61+6173</f>
        <v>10800.61</v>
      </c>
      <c r="H4919" s="12" t="s">
        <v>24</v>
      </c>
      <c r="I4919" s="12">
        <v>1</v>
      </c>
      <c r="J4919" s="12" t="s">
        <v>876</v>
      </c>
      <c r="K4919" s="12" t="s">
        <v>86</v>
      </c>
      <c r="L4919" s="12">
        <v>0</v>
      </c>
      <c r="M4919" s="15">
        <v>350000</v>
      </c>
      <c r="N4919" s="15">
        <v>0</v>
      </c>
      <c r="O4919" s="15">
        <f t="shared" si="427"/>
        <v>350000</v>
      </c>
      <c r="P4919" s="15">
        <f t="shared" si="426"/>
        <v>32.405577092404961</v>
      </c>
      <c r="Q4919" s="14">
        <v>20000</v>
      </c>
      <c r="R4919" s="12">
        <v>65</v>
      </c>
      <c r="S4919" s="12" t="s">
        <v>5951</v>
      </c>
      <c r="T4919" s="22">
        <f t="shared" si="423"/>
        <v>6</v>
      </c>
      <c r="U4919" s="22">
        <f t="shared" si="424"/>
        <v>2022</v>
      </c>
      <c r="V4919" s="22" t="str">
        <f t="shared" si="425"/>
        <v>REGIONES</v>
      </c>
    </row>
    <row r="4920" spans="1:22" x14ac:dyDescent="0.2">
      <c r="A4920" s="11" t="s">
        <v>5939</v>
      </c>
      <c r="B4920" s="12" t="s">
        <v>33</v>
      </c>
      <c r="C4920" s="12" t="s">
        <v>44</v>
      </c>
      <c r="D4920" s="12" t="s">
        <v>30</v>
      </c>
      <c r="E4920" s="13" t="s">
        <v>31</v>
      </c>
      <c r="F4920" s="12" t="s">
        <v>95</v>
      </c>
      <c r="G4920" s="14">
        <v>4127.28</v>
      </c>
      <c r="H4920" s="12" t="s">
        <v>32</v>
      </c>
      <c r="I4920" s="12">
        <v>0</v>
      </c>
      <c r="J4920" s="12" t="s">
        <v>95</v>
      </c>
      <c r="K4920" s="12" t="s">
        <v>23</v>
      </c>
      <c r="L4920" s="12">
        <v>4</v>
      </c>
      <c r="M4920" s="15">
        <v>55000</v>
      </c>
      <c r="N4920" s="15">
        <v>0</v>
      </c>
      <c r="O4920" s="15">
        <f t="shared" si="427"/>
        <v>55000</v>
      </c>
      <c r="P4920" s="15">
        <f t="shared" si="426"/>
        <v>13.325967707545891</v>
      </c>
      <c r="Q4920" s="14">
        <v>5000</v>
      </c>
      <c r="R4920" s="12">
        <v>83</v>
      </c>
      <c r="S4920" s="12" t="s">
        <v>5947</v>
      </c>
      <c r="T4920" s="22">
        <f t="shared" si="423"/>
        <v>6</v>
      </c>
      <c r="U4920" s="22">
        <f t="shared" si="424"/>
        <v>2022</v>
      </c>
      <c r="V4920" s="22" t="str">
        <f t="shared" si="425"/>
        <v>METROPOLITANA</v>
      </c>
    </row>
    <row r="4921" spans="1:22" x14ac:dyDescent="0.2">
      <c r="A4921" s="11" t="s">
        <v>5939</v>
      </c>
      <c r="B4921" s="12" t="s">
        <v>33</v>
      </c>
      <c r="C4921" s="12" t="s">
        <v>44</v>
      </c>
      <c r="D4921" s="12" t="s">
        <v>45</v>
      </c>
      <c r="E4921" s="13" t="s">
        <v>52</v>
      </c>
      <c r="F4921" s="12" t="s">
        <v>229</v>
      </c>
      <c r="G4921" s="14">
        <v>4036.84</v>
      </c>
      <c r="H4921" s="12" t="s">
        <v>22</v>
      </c>
      <c r="I4921" s="12">
        <v>0</v>
      </c>
      <c r="J4921" s="12" t="s">
        <v>230</v>
      </c>
      <c r="K4921" s="12" t="s">
        <v>23</v>
      </c>
      <c r="L4921" s="12">
        <v>4</v>
      </c>
      <c r="M4921" s="15">
        <v>55000</v>
      </c>
      <c r="N4921" s="15">
        <v>0</v>
      </c>
      <c r="O4921" s="15">
        <f t="shared" si="427"/>
        <v>55000</v>
      </c>
      <c r="P4921" s="15">
        <f t="shared" si="426"/>
        <v>13.624518187493187</v>
      </c>
      <c r="Q4921" s="14">
        <v>5000</v>
      </c>
      <c r="R4921" s="12">
        <v>81</v>
      </c>
      <c r="S4921" s="12" t="s">
        <v>5948</v>
      </c>
      <c r="T4921" s="22">
        <f t="shared" si="423"/>
        <v>6</v>
      </c>
      <c r="U4921" s="22">
        <f t="shared" si="424"/>
        <v>2022</v>
      </c>
      <c r="V4921" s="22" t="str">
        <f t="shared" si="425"/>
        <v>METROPOLITANA</v>
      </c>
    </row>
    <row r="4922" spans="1:22" x14ac:dyDescent="0.2">
      <c r="A4922" s="11" t="s">
        <v>5939</v>
      </c>
      <c r="B4922" s="12" t="s">
        <v>33</v>
      </c>
      <c r="C4922" s="12" t="s">
        <v>44</v>
      </c>
      <c r="D4922" s="12" t="s">
        <v>47</v>
      </c>
      <c r="E4922" s="13" t="s">
        <v>49</v>
      </c>
      <c r="F4922" s="12" t="s">
        <v>51</v>
      </c>
      <c r="G4922" s="14">
        <v>4991.04</v>
      </c>
      <c r="H4922" s="12" t="s">
        <v>22</v>
      </c>
      <c r="I4922" s="12">
        <v>0</v>
      </c>
      <c r="J4922" s="12" t="s">
        <v>51</v>
      </c>
      <c r="K4922" s="12" t="s">
        <v>23</v>
      </c>
      <c r="L4922" s="12">
        <v>4</v>
      </c>
      <c r="M4922" s="15">
        <v>55000</v>
      </c>
      <c r="N4922" s="15">
        <v>0</v>
      </c>
      <c r="O4922" s="15">
        <f t="shared" si="427"/>
        <v>55000</v>
      </c>
      <c r="P4922" s="15">
        <f t="shared" si="426"/>
        <v>11.019747387318073</v>
      </c>
      <c r="Q4922" s="14">
        <v>5000</v>
      </c>
      <c r="R4922" s="12">
        <v>100</v>
      </c>
      <c r="S4922" s="12" t="s">
        <v>5949</v>
      </c>
      <c r="T4922" s="22">
        <f t="shared" si="423"/>
        <v>6</v>
      </c>
      <c r="U4922" s="22">
        <f t="shared" si="424"/>
        <v>2022</v>
      </c>
      <c r="V4922" s="22" t="str">
        <f t="shared" si="425"/>
        <v>METROPOLITANA</v>
      </c>
    </row>
    <row r="4923" spans="1:22" x14ac:dyDescent="0.2">
      <c r="A4923" s="11" t="s">
        <v>5939</v>
      </c>
      <c r="B4923" s="12" t="s">
        <v>33</v>
      </c>
      <c r="C4923" s="12" t="s">
        <v>44</v>
      </c>
      <c r="D4923" s="12" t="s">
        <v>20</v>
      </c>
      <c r="E4923" s="13" t="s">
        <v>21</v>
      </c>
      <c r="F4923" s="12" t="s">
        <v>53</v>
      </c>
      <c r="G4923" s="14">
        <v>4578.119999999999</v>
      </c>
      <c r="H4923" s="12" t="s">
        <v>22</v>
      </c>
      <c r="I4923" s="12">
        <v>0</v>
      </c>
      <c r="J4923" s="12" t="s">
        <v>53</v>
      </c>
      <c r="K4923" s="12" t="s">
        <v>23</v>
      </c>
      <c r="L4923" s="12">
        <v>3</v>
      </c>
      <c r="M4923" s="15">
        <v>55000</v>
      </c>
      <c r="N4923" s="15">
        <v>0</v>
      </c>
      <c r="O4923" s="15">
        <f t="shared" si="427"/>
        <v>55000</v>
      </c>
      <c r="P4923" s="15">
        <f t="shared" si="426"/>
        <v>12.013664997859387</v>
      </c>
      <c r="Q4923" s="14">
        <v>5000</v>
      </c>
      <c r="R4923" s="12">
        <v>92</v>
      </c>
      <c r="S4923" s="12" t="s">
        <v>5950</v>
      </c>
      <c r="T4923" s="22">
        <f t="shared" si="423"/>
        <v>6</v>
      </c>
      <c r="U4923" s="22">
        <f t="shared" si="424"/>
        <v>2022</v>
      </c>
      <c r="V4923" s="22" t="str">
        <f t="shared" si="425"/>
        <v>METROPOLITANA</v>
      </c>
    </row>
    <row r="4924" spans="1:22" x14ac:dyDescent="0.2">
      <c r="A4924" s="23" t="s">
        <v>5952</v>
      </c>
      <c r="B4924" s="22" t="s">
        <v>18</v>
      </c>
      <c r="C4924" s="22" t="s">
        <v>270</v>
      </c>
      <c r="D4924" s="22" t="s">
        <v>63</v>
      </c>
      <c r="E4924" s="24">
        <v>138441065</v>
      </c>
      <c r="F4924" s="22" t="s">
        <v>120</v>
      </c>
      <c r="G4924" s="25">
        <v>4021.84</v>
      </c>
      <c r="H4924" s="22" t="s">
        <v>65</v>
      </c>
      <c r="I4924" s="22">
        <v>0</v>
      </c>
      <c r="J4924" s="22" t="s">
        <v>120</v>
      </c>
      <c r="K4924" s="22" t="s">
        <v>23</v>
      </c>
      <c r="L4924" s="22">
        <v>5</v>
      </c>
      <c r="M4924" s="26">
        <v>70000</v>
      </c>
      <c r="N4924" s="26">
        <v>0</v>
      </c>
      <c r="O4924" s="15">
        <f t="shared" si="427"/>
        <v>70000</v>
      </c>
      <c r="P4924" s="15">
        <f t="shared" si="426"/>
        <v>17.404968869969963</v>
      </c>
      <c r="Q4924" s="25">
        <v>10000</v>
      </c>
      <c r="R4924" s="22">
        <v>40</v>
      </c>
      <c r="S4924" s="22" t="s">
        <v>5953</v>
      </c>
      <c r="T4924" s="22">
        <f t="shared" si="423"/>
        <v>6</v>
      </c>
      <c r="U4924" s="22">
        <f t="shared" si="424"/>
        <v>2022</v>
      </c>
      <c r="V4924" s="22" t="str">
        <f t="shared" si="425"/>
        <v>METROPOLITANA</v>
      </c>
    </row>
    <row r="4925" spans="1:22" x14ac:dyDescent="0.2">
      <c r="A4925" s="23" t="s">
        <v>5952</v>
      </c>
      <c r="B4925" s="22" t="s">
        <v>18</v>
      </c>
      <c r="C4925" s="22" t="s">
        <v>500</v>
      </c>
      <c r="D4925" s="22" t="s">
        <v>30</v>
      </c>
      <c r="E4925" s="24">
        <v>72564391</v>
      </c>
      <c r="F4925" s="22" t="s">
        <v>727</v>
      </c>
      <c r="G4925" s="25">
        <v>8983.16</v>
      </c>
      <c r="H4925" s="22" t="s">
        <v>32</v>
      </c>
      <c r="I4925" s="22">
        <v>0</v>
      </c>
      <c r="J4925" s="22" t="s">
        <v>727</v>
      </c>
      <c r="K4925" s="22" t="s">
        <v>23</v>
      </c>
      <c r="L4925" s="22">
        <v>2</v>
      </c>
      <c r="M4925" s="26">
        <v>98815</v>
      </c>
      <c r="N4925" s="26">
        <v>0</v>
      </c>
      <c r="O4925" s="15">
        <f t="shared" si="427"/>
        <v>98815</v>
      </c>
      <c r="P4925" s="15">
        <f t="shared" si="426"/>
        <v>11.0000267166565</v>
      </c>
      <c r="Q4925" s="25">
        <v>5000</v>
      </c>
      <c r="R4925" s="22">
        <v>100</v>
      </c>
      <c r="S4925" s="22" t="s">
        <v>5954</v>
      </c>
      <c r="T4925" s="22">
        <f t="shared" si="423"/>
        <v>6</v>
      </c>
      <c r="U4925" s="22">
        <f t="shared" si="424"/>
        <v>2022</v>
      </c>
      <c r="V4925" s="22" t="str">
        <f t="shared" si="425"/>
        <v>METROPOLITANA</v>
      </c>
    </row>
    <row r="4926" spans="1:22" x14ac:dyDescent="0.2">
      <c r="A4926" s="23" t="s">
        <v>5952</v>
      </c>
      <c r="B4926" s="22" t="s">
        <v>18</v>
      </c>
      <c r="C4926" s="22" t="s">
        <v>500</v>
      </c>
      <c r="D4926" s="22" t="s">
        <v>20</v>
      </c>
      <c r="E4926" s="24">
        <v>78907355</v>
      </c>
      <c r="F4926" s="22" t="s">
        <v>727</v>
      </c>
      <c r="G4926" s="25">
        <v>8414.4</v>
      </c>
      <c r="H4926" s="22" t="s">
        <v>22</v>
      </c>
      <c r="I4926" s="22">
        <v>0</v>
      </c>
      <c r="J4926" s="22" t="s">
        <v>727</v>
      </c>
      <c r="K4926" s="22" t="s">
        <v>23</v>
      </c>
      <c r="L4926" s="22">
        <v>2</v>
      </c>
      <c r="M4926" s="26">
        <v>92558</v>
      </c>
      <c r="N4926" s="26">
        <v>0</v>
      </c>
      <c r="O4926" s="15">
        <f t="shared" si="427"/>
        <v>92558</v>
      </c>
      <c r="P4926" s="15">
        <f t="shared" si="426"/>
        <v>10.999952462445332</v>
      </c>
      <c r="Q4926" s="25">
        <v>5000</v>
      </c>
      <c r="R4926" s="22">
        <v>100</v>
      </c>
      <c r="S4926" s="22" t="s">
        <v>5955</v>
      </c>
      <c r="T4926" s="22">
        <f t="shared" si="423"/>
        <v>6</v>
      </c>
      <c r="U4926" s="22">
        <f t="shared" si="424"/>
        <v>2022</v>
      </c>
      <c r="V4926" s="22" t="str">
        <f t="shared" si="425"/>
        <v>METROPOLITANA</v>
      </c>
    </row>
    <row r="4927" spans="1:22" x14ac:dyDescent="0.2">
      <c r="A4927" s="23" t="s">
        <v>5952</v>
      </c>
      <c r="B4927" s="22" t="s">
        <v>33</v>
      </c>
      <c r="C4927" s="22" t="s">
        <v>270</v>
      </c>
      <c r="D4927" s="22" t="s">
        <v>63</v>
      </c>
      <c r="E4927" s="24">
        <v>138841065</v>
      </c>
      <c r="F4927" s="22" t="s">
        <v>120</v>
      </c>
      <c r="G4927" s="25">
        <v>11148.900000000011</v>
      </c>
      <c r="H4927" s="22" t="s">
        <v>65</v>
      </c>
      <c r="I4927" s="22">
        <v>0</v>
      </c>
      <c r="J4927" s="22" t="s">
        <v>120</v>
      </c>
      <c r="K4927" s="22" t="s">
        <v>23</v>
      </c>
      <c r="L4927" s="22">
        <v>5</v>
      </c>
      <c r="M4927" s="26">
        <v>70000</v>
      </c>
      <c r="N4927" s="26">
        <v>0</v>
      </c>
      <c r="O4927" s="15">
        <f t="shared" si="427"/>
        <v>70000</v>
      </c>
      <c r="P4927" s="15">
        <f t="shared" si="426"/>
        <v>6.2786463238525716</v>
      </c>
      <c r="Q4927" s="25">
        <v>10000</v>
      </c>
      <c r="R4927" s="22">
        <v>100</v>
      </c>
      <c r="S4927" s="22" t="s">
        <v>5956</v>
      </c>
      <c r="T4927" s="22">
        <f t="shared" si="423"/>
        <v>6</v>
      </c>
      <c r="U4927" s="22">
        <f t="shared" si="424"/>
        <v>2022</v>
      </c>
      <c r="V4927" s="22" t="str">
        <f t="shared" si="425"/>
        <v>METROPOLITANA</v>
      </c>
    </row>
    <row r="4928" spans="1:22" x14ac:dyDescent="0.2">
      <c r="A4928" s="23" t="s">
        <v>5952</v>
      </c>
      <c r="B4928" s="22" t="s">
        <v>33</v>
      </c>
      <c r="C4928" s="22" t="s">
        <v>57</v>
      </c>
      <c r="D4928" s="22" t="s">
        <v>47</v>
      </c>
      <c r="E4928" s="24">
        <v>107643206</v>
      </c>
      <c r="F4928" s="22" t="s">
        <v>800</v>
      </c>
      <c r="G4928" s="25">
        <v>3240</v>
      </c>
      <c r="H4928" s="22" t="s">
        <v>22</v>
      </c>
      <c r="I4928" s="22">
        <v>0</v>
      </c>
      <c r="J4928" s="22" t="s">
        <v>800</v>
      </c>
      <c r="K4928" s="22" t="s">
        <v>23</v>
      </c>
      <c r="L4928" s="22">
        <v>5</v>
      </c>
      <c r="M4928" s="26">
        <v>90000</v>
      </c>
      <c r="N4928" s="26">
        <v>0</v>
      </c>
      <c r="O4928" s="15">
        <f t="shared" si="427"/>
        <v>90000</v>
      </c>
      <c r="P4928" s="15">
        <f t="shared" si="426"/>
        <v>27.777777777777779</v>
      </c>
      <c r="Q4928" s="25">
        <v>10000</v>
      </c>
      <c r="R4928" s="22">
        <v>32</v>
      </c>
      <c r="S4928" s="22" t="s">
        <v>5957</v>
      </c>
      <c r="T4928" s="22">
        <f t="shared" si="423"/>
        <v>6</v>
      </c>
      <c r="U4928" s="22">
        <f t="shared" si="424"/>
        <v>2022</v>
      </c>
      <c r="V4928" s="22" t="str">
        <f t="shared" si="425"/>
        <v>METROPOLITANA</v>
      </c>
    </row>
    <row r="4929" spans="1:22" x14ac:dyDescent="0.2">
      <c r="A4929" s="23" t="s">
        <v>5952</v>
      </c>
      <c r="B4929" s="22" t="s">
        <v>33</v>
      </c>
      <c r="C4929" s="22" t="s">
        <v>128</v>
      </c>
      <c r="D4929" s="22" t="s">
        <v>4247</v>
      </c>
      <c r="E4929" s="24">
        <v>115812335</v>
      </c>
      <c r="F4929" s="22" t="s">
        <v>5958</v>
      </c>
      <c r="G4929" s="25">
        <v>6528.5999999999976</v>
      </c>
      <c r="H4929" s="22" t="s">
        <v>24</v>
      </c>
      <c r="I4929" s="22">
        <v>1</v>
      </c>
      <c r="J4929" s="22" t="s">
        <v>5958</v>
      </c>
      <c r="K4929" s="22" t="s">
        <v>93</v>
      </c>
      <c r="L4929" s="22">
        <v>0</v>
      </c>
      <c r="M4929" s="26">
        <v>530000</v>
      </c>
      <c r="N4929" s="26">
        <v>0</v>
      </c>
      <c r="O4929" s="15">
        <f t="shared" si="427"/>
        <v>530000</v>
      </c>
      <c r="P4929" s="15">
        <f t="shared" si="426"/>
        <v>81.181263976962924</v>
      </c>
      <c r="Q4929" s="25">
        <v>20000</v>
      </c>
      <c r="R4929" s="22">
        <v>33</v>
      </c>
      <c r="S4929" s="22" t="s">
        <v>5959</v>
      </c>
      <c r="T4929" s="22">
        <f t="shared" si="423"/>
        <v>6</v>
      </c>
      <c r="U4929" s="22">
        <f t="shared" si="424"/>
        <v>2022</v>
      </c>
      <c r="V4929" s="22" t="str">
        <f t="shared" si="425"/>
        <v>REGIONES</v>
      </c>
    </row>
    <row r="4930" spans="1:22" x14ac:dyDescent="0.2">
      <c r="A4930" s="23" t="s">
        <v>5952</v>
      </c>
      <c r="B4930" s="22" t="s">
        <v>33</v>
      </c>
      <c r="C4930" s="22" t="s">
        <v>36</v>
      </c>
      <c r="D4930" s="22" t="s">
        <v>30</v>
      </c>
      <c r="E4930" s="24">
        <v>72564391</v>
      </c>
      <c r="F4930" s="22" t="s">
        <v>855</v>
      </c>
      <c r="G4930" s="25">
        <v>4502.3999999999996</v>
      </c>
      <c r="H4930" s="22" t="s">
        <v>32</v>
      </c>
      <c r="I4930" s="22">
        <v>0</v>
      </c>
      <c r="J4930" s="22" t="s">
        <v>855</v>
      </c>
      <c r="K4930" s="22" t="s">
        <v>78</v>
      </c>
      <c r="L4930" s="22">
        <v>0</v>
      </c>
      <c r="M4930" s="26">
        <v>203000</v>
      </c>
      <c r="N4930" s="26">
        <v>0</v>
      </c>
      <c r="O4930" s="15">
        <f t="shared" si="427"/>
        <v>203000</v>
      </c>
      <c r="P4930" s="15">
        <f t="shared" si="426"/>
        <v>45.087064676616919</v>
      </c>
      <c r="Q4930" s="25">
        <v>20000</v>
      </c>
      <c r="R4930" s="22">
        <v>23</v>
      </c>
      <c r="S4930" s="22" t="s">
        <v>5960</v>
      </c>
      <c r="T4930" s="22">
        <f t="shared" si="423"/>
        <v>6</v>
      </c>
      <c r="U4930" s="22">
        <f t="shared" si="424"/>
        <v>2022</v>
      </c>
      <c r="V4930" s="22" t="str">
        <f t="shared" si="425"/>
        <v>REGIONES</v>
      </c>
    </row>
    <row r="4931" spans="1:22" x14ac:dyDescent="0.2">
      <c r="A4931" s="23" t="s">
        <v>5952</v>
      </c>
      <c r="B4931" s="22" t="s">
        <v>33</v>
      </c>
      <c r="C4931" s="22" t="s">
        <v>44</v>
      </c>
      <c r="D4931" s="22" t="s">
        <v>45</v>
      </c>
      <c r="E4931" s="24">
        <v>99626232</v>
      </c>
      <c r="F4931" s="22" t="s">
        <v>95</v>
      </c>
      <c r="G4931" s="25">
        <v>3967.92</v>
      </c>
      <c r="H4931" s="22" t="s">
        <v>22</v>
      </c>
      <c r="I4931" s="22">
        <v>0</v>
      </c>
      <c r="J4931" s="22" t="s">
        <v>95</v>
      </c>
      <c r="K4931" s="22" t="s">
        <v>23</v>
      </c>
      <c r="L4931" s="22">
        <v>4</v>
      </c>
      <c r="M4931" s="26">
        <v>55000</v>
      </c>
      <c r="N4931" s="26">
        <v>0</v>
      </c>
      <c r="O4931" s="15">
        <f t="shared" si="427"/>
        <v>55000</v>
      </c>
      <c r="P4931" s="15">
        <f t="shared" si="426"/>
        <v>13.861166555777334</v>
      </c>
      <c r="Q4931" s="25">
        <v>5000</v>
      </c>
      <c r="R4931" s="22">
        <v>79</v>
      </c>
      <c r="S4931" s="22" t="s">
        <v>5961</v>
      </c>
      <c r="T4931" s="22">
        <f t="shared" si="423"/>
        <v>6</v>
      </c>
      <c r="U4931" s="22">
        <f t="shared" si="424"/>
        <v>2022</v>
      </c>
      <c r="V4931" s="22" t="str">
        <f t="shared" si="425"/>
        <v>METROPOLITANA</v>
      </c>
    </row>
    <row r="4932" spans="1:22" x14ac:dyDescent="0.2">
      <c r="A4932" s="23" t="s">
        <v>5952</v>
      </c>
      <c r="B4932" s="22" t="s">
        <v>33</v>
      </c>
      <c r="C4932" s="22" t="s">
        <v>3922</v>
      </c>
      <c r="D4932" s="22" t="s">
        <v>2251</v>
      </c>
      <c r="E4932" s="24">
        <v>95439802</v>
      </c>
      <c r="F4932" s="22" t="s">
        <v>129</v>
      </c>
      <c r="G4932" s="25">
        <v>8650.8000000000011</v>
      </c>
      <c r="H4932" s="22" t="s">
        <v>24</v>
      </c>
      <c r="I4932" s="22">
        <v>1</v>
      </c>
      <c r="J4932" s="22" t="s">
        <v>129</v>
      </c>
      <c r="K4932" s="22" t="s">
        <v>23</v>
      </c>
      <c r="L4932" s="22">
        <v>1</v>
      </c>
      <c r="M4932" s="26">
        <v>95159</v>
      </c>
      <c r="N4932" s="26">
        <v>0</v>
      </c>
      <c r="O4932" s="15">
        <f t="shared" si="427"/>
        <v>95159</v>
      </c>
      <c r="P4932" s="15">
        <f t="shared" si="426"/>
        <v>11.000023119249086</v>
      </c>
      <c r="Q4932" s="25">
        <v>5000</v>
      </c>
      <c r="R4932" s="22">
        <v>100</v>
      </c>
      <c r="S4932" s="22" t="s">
        <v>5962</v>
      </c>
      <c r="T4932" s="22">
        <f t="shared" si="423"/>
        <v>6</v>
      </c>
      <c r="U4932" s="22">
        <f t="shared" si="424"/>
        <v>2022</v>
      </c>
      <c r="V4932" s="22" t="str">
        <f t="shared" si="425"/>
        <v>METROPOLITANA</v>
      </c>
    </row>
    <row r="4933" spans="1:22" x14ac:dyDescent="0.2">
      <c r="A4933" s="11" t="s">
        <v>5963</v>
      </c>
      <c r="B4933" s="12" t="s">
        <v>18</v>
      </c>
      <c r="C4933" s="12" t="s">
        <v>1173</v>
      </c>
      <c r="D4933" s="12" t="s">
        <v>38</v>
      </c>
      <c r="E4933" s="13" t="s">
        <v>25</v>
      </c>
      <c r="F4933" s="12" t="s">
        <v>182</v>
      </c>
      <c r="G4933" s="14">
        <v>5779.6</v>
      </c>
      <c r="H4933" s="12" t="s">
        <v>43</v>
      </c>
      <c r="I4933" s="12">
        <v>0</v>
      </c>
      <c r="J4933" s="12" t="s">
        <v>182</v>
      </c>
      <c r="K4933" s="12" t="s">
        <v>23</v>
      </c>
      <c r="L4933" s="12">
        <v>4</v>
      </c>
      <c r="M4933" s="15">
        <v>63576</v>
      </c>
      <c r="N4933" s="15">
        <v>0</v>
      </c>
      <c r="O4933" s="15">
        <f t="shared" si="427"/>
        <v>63576</v>
      </c>
      <c r="P4933" s="15">
        <f t="shared" si="426"/>
        <v>11.000069208941795</v>
      </c>
      <c r="Q4933" s="14">
        <v>5000</v>
      </c>
      <c r="R4933" s="12">
        <v>100</v>
      </c>
      <c r="S4933" s="12" t="s">
        <v>5964</v>
      </c>
      <c r="T4933" s="22">
        <f t="shared" si="423"/>
        <v>6</v>
      </c>
      <c r="U4933" s="22">
        <f t="shared" si="424"/>
        <v>2022</v>
      </c>
      <c r="V4933" s="22" t="str">
        <f t="shared" si="425"/>
        <v>METROPOLITANA</v>
      </c>
    </row>
    <row r="4934" spans="1:22" x14ac:dyDescent="0.2">
      <c r="A4934" s="11" t="s">
        <v>5963</v>
      </c>
      <c r="B4934" s="12" t="s">
        <v>18</v>
      </c>
      <c r="C4934" s="12" t="s">
        <v>1173</v>
      </c>
      <c r="D4934" s="12" t="s">
        <v>37</v>
      </c>
      <c r="E4934" s="13" t="s">
        <v>40</v>
      </c>
      <c r="F4934" s="12" t="s">
        <v>182</v>
      </c>
      <c r="G4934" s="14">
        <v>9791.11</v>
      </c>
      <c r="H4934" s="12" t="s">
        <v>22</v>
      </c>
      <c r="I4934" s="12">
        <v>0</v>
      </c>
      <c r="J4934" s="12" t="s">
        <v>182</v>
      </c>
      <c r="K4934" s="12" t="s">
        <v>23</v>
      </c>
      <c r="L4934" s="12">
        <v>4</v>
      </c>
      <c r="M4934" s="15">
        <v>107702</v>
      </c>
      <c r="N4934" s="15">
        <v>0</v>
      </c>
      <c r="O4934" s="15">
        <f t="shared" si="427"/>
        <v>107702</v>
      </c>
      <c r="P4934" s="15">
        <f t="shared" si="426"/>
        <v>10.999978551972145</v>
      </c>
      <c r="Q4934" s="14">
        <v>5000</v>
      </c>
      <c r="R4934" s="12">
        <v>100</v>
      </c>
      <c r="S4934" s="12" t="s">
        <v>5965</v>
      </c>
      <c r="T4934" s="22">
        <f t="shared" si="423"/>
        <v>6</v>
      </c>
      <c r="U4934" s="22">
        <f t="shared" si="424"/>
        <v>2022</v>
      </c>
      <c r="V4934" s="22" t="str">
        <f t="shared" si="425"/>
        <v>METROPOLITANA</v>
      </c>
    </row>
    <row r="4935" spans="1:22" x14ac:dyDescent="0.2">
      <c r="A4935" s="11" t="s">
        <v>5963</v>
      </c>
      <c r="B4935" s="12" t="s">
        <v>33</v>
      </c>
      <c r="C4935" s="12" t="s">
        <v>270</v>
      </c>
      <c r="D4935" s="12" t="s">
        <v>786</v>
      </c>
      <c r="E4935" s="13" t="s">
        <v>787</v>
      </c>
      <c r="F4935" s="12" t="s">
        <v>120</v>
      </c>
      <c r="G4935" s="14">
        <v>24346</v>
      </c>
      <c r="H4935" s="12" t="s">
        <v>788</v>
      </c>
      <c r="I4935" s="12">
        <v>1</v>
      </c>
      <c r="J4935" s="12" t="s">
        <v>120</v>
      </c>
      <c r="K4935" s="12" t="s">
        <v>23</v>
      </c>
      <c r="L4935" s="12">
        <v>5</v>
      </c>
      <c r="M4935" s="15">
        <v>120000</v>
      </c>
      <c r="N4935" s="15">
        <v>0</v>
      </c>
      <c r="O4935" s="15">
        <f t="shared" si="427"/>
        <v>120000</v>
      </c>
      <c r="P4935" s="15">
        <f t="shared" si="426"/>
        <v>4.9289410991538647</v>
      </c>
      <c r="Q4935" s="14">
        <v>10000</v>
      </c>
      <c r="R4935" s="12">
        <v>100</v>
      </c>
      <c r="S4935" s="12" t="s">
        <v>5966</v>
      </c>
      <c r="T4935" s="22">
        <f t="shared" ref="T4935:T4998" si="428">MONTH(A4935)</f>
        <v>6</v>
      </c>
      <c r="U4935" s="22">
        <f t="shared" ref="U4935:U4998" si="429">YEAR(A4935)</f>
        <v>2022</v>
      </c>
      <c r="V4935" s="22" t="str">
        <f t="shared" ref="V4935:V4998" si="430">IF(K4935="METROPOLITANA DE SANTIAGO","METROPOLITANA","REGIONES")</f>
        <v>METROPOLITANA</v>
      </c>
    </row>
    <row r="4936" spans="1:22" x14ac:dyDescent="0.2">
      <c r="A4936" s="11" t="s">
        <v>5963</v>
      </c>
      <c r="B4936" s="12" t="s">
        <v>33</v>
      </c>
      <c r="C4936" s="12" t="s">
        <v>36</v>
      </c>
      <c r="D4936" s="12" t="s">
        <v>30</v>
      </c>
      <c r="E4936" s="13" t="s">
        <v>31</v>
      </c>
      <c r="F4936" s="12" t="s">
        <v>308</v>
      </c>
      <c r="G4936" s="14">
        <v>4825.6000000000004</v>
      </c>
      <c r="H4936" s="12" t="s">
        <v>32</v>
      </c>
      <c r="I4936" s="12">
        <v>0</v>
      </c>
      <c r="J4936" s="12" t="s">
        <v>308</v>
      </c>
      <c r="K4936" s="12" t="s">
        <v>78</v>
      </c>
      <c r="L4936" s="12">
        <v>0</v>
      </c>
      <c r="M4936" s="15">
        <v>203000</v>
      </c>
      <c r="N4936" s="15">
        <v>0</v>
      </c>
      <c r="O4936" s="15">
        <f t="shared" si="427"/>
        <v>203000</v>
      </c>
      <c r="P4936" s="15">
        <f t="shared" si="426"/>
        <v>42.067307692307686</v>
      </c>
      <c r="Q4936" s="14">
        <v>20000</v>
      </c>
      <c r="R4936" s="12">
        <v>24</v>
      </c>
      <c r="S4936" s="12" t="s">
        <v>5967</v>
      </c>
      <c r="T4936" s="22">
        <f t="shared" si="428"/>
        <v>6</v>
      </c>
      <c r="U4936" s="22">
        <f t="shared" si="429"/>
        <v>2022</v>
      </c>
      <c r="V4936" s="22" t="str">
        <f t="shared" si="430"/>
        <v>REGIONES</v>
      </c>
    </row>
    <row r="4937" spans="1:22" x14ac:dyDescent="0.2">
      <c r="A4937" s="11" t="s">
        <v>5963</v>
      </c>
      <c r="B4937" s="12" t="s">
        <v>33</v>
      </c>
      <c r="C4937" s="12" t="s">
        <v>36</v>
      </c>
      <c r="D4937" s="12" t="s">
        <v>45</v>
      </c>
      <c r="E4937" s="13" t="s">
        <v>52</v>
      </c>
      <c r="F4937" s="12" t="s">
        <v>34</v>
      </c>
      <c r="G4937" s="14">
        <v>5426.8799999999992</v>
      </c>
      <c r="H4937" s="12" t="s">
        <v>22</v>
      </c>
      <c r="I4937" s="12">
        <v>0</v>
      </c>
      <c r="J4937" s="12" t="s">
        <v>34</v>
      </c>
      <c r="K4937" s="12" t="s">
        <v>23</v>
      </c>
      <c r="L4937" s="12">
        <v>1</v>
      </c>
      <c r="M4937" s="15">
        <v>59696</v>
      </c>
      <c r="N4937" s="15">
        <v>0</v>
      </c>
      <c r="O4937" s="15">
        <f t="shared" si="427"/>
        <v>59696</v>
      </c>
      <c r="P4937" s="15">
        <f t="shared" si="426"/>
        <v>11.000058965740907</v>
      </c>
      <c r="Q4937" s="14">
        <v>5000</v>
      </c>
      <c r="R4937" s="12">
        <v>100</v>
      </c>
      <c r="S4937" s="12" t="s">
        <v>5968</v>
      </c>
      <c r="T4937" s="22">
        <f t="shared" si="428"/>
        <v>6</v>
      </c>
      <c r="U4937" s="22">
        <f t="shared" si="429"/>
        <v>2022</v>
      </c>
      <c r="V4937" s="22" t="str">
        <f t="shared" si="430"/>
        <v>METROPOLITANA</v>
      </c>
    </row>
    <row r="4938" spans="1:22" x14ac:dyDescent="0.2">
      <c r="A4938" s="11" t="s">
        <v>5963</v>
      </c>
      <c r="B4938" s="12" t="s">
        <v>33</v>
      </c>
      <c r="C4938" s="12" t="s">
        <v>36</v>
      </c>
      <c r="D4938" s="12" t="s">
        <v>47</v>
      </c>
      <c r="E4938" s="13" t="s">
        <v>49</v>
      </c>
      <c r="F4938" s="12" t="s">
        <v>127</v>
      </c>
      <c r="G4938" s="14">
        <v>6845.66</v>
      </c>
      <c r="H4938" s="12" t="s">
        <v>22</v>
      </c>
      <c r="I4938" s="12">
        <v>0</v>
      </c>
      <c r="J4938" s="12" t="s">
        <v>127</v>
      </c>
      <c r="K4938" s="12" t="s">
        <v>78</v>
      </c>
      <c r="L4938" s="12">
        <v>0</v>
      </c>
      <c r="M4938" s="15">
        <v>203000</v>
      </c>
      <c r="N4938" s="15">
        <v>0</v>
      </c>
      <c r="O4938" s="15">
        <f t="shared" si="427"/>
        <v>203000</v>
      </c>
      <c r="P4938" s="15">
        <f t="shared" si="426"/>
        <v>29.653824466888512</v>
      </c>
      <c r="Q4938" s="14">
        <v>20000</v>
      </c>
      <c r="R4938" s="12">
        <v>34</v>
      </c>
      <c r="S4938" s="12" t="s">
        <v>5969</v>
      </c>
      <c r="T4938" s="22">
        <f t="shared" si="428"/>
        <v>6</v>
      </c>
      <c r="U4938" s="22">
        <f t="shared" si="429"/>
        <v>2022</v>
      </c>
      <c r="V4938" s="22" t="str">
        <f t="shared" si="430"/>
        <v>REGIONES</v>
      </c>
    </row>
    <row r="4939" spans="1:22" x14ac:dyDescent="0.2">
      <c r="A4939" s="11" t="s">
        <v>5963</v>
      </c>
      <c r="B4939" s="12" t="s">
        <v>33</v>
      </c>
      <c r="C4939" s="12" t="s">
        <v>223</v>
      </c>
      <c r="D4939" s="12" t="s">
        <v>27</v>
      </c>
      <c r="E4939" s="13" t="s">
        <v>28</v>
      </c>
      <c r="F4939" s="12" t="s">
        <v>51</v>
      </c>
      <c r="G4939" s="14">
        <v>11121.6</v>
      </c>
      <c r="H4939" s="12" t="s">
        <v>22</v>
      </c>
      <c r="I4939" s="12">
        <v>1</v>
      </c>
      <c r="J4939" s="12" t="s">
        <v>51</v>
      </c>
      <c r="K4939" s="12" t="s">
        <v>23</v>
      </c>
      <c r="L4939" s="12">
        <v>4</v>
      </c>
      <c r="M4939" s="15">
        <v>122338</v>
      </c>
      <c r="N4939" s="15">
        <v>0</v>
      </c>
      <c r="O4939" s="15">
        <f t="shared" si="427"/>
        <v>122338</v>
      </c>
      <c r="P4939" s="15">
        <f t="shared" si="426"/>
        <v>11.000035966048051</v>
      </c>
      <c r="Q4939" s="14">
        <v>5000</v>
      </c>
      <c r="R4939" s="12">
        <v>100</v>
      </c>
      <c r="S4939" s="12" t="s">
        <v>5970</v>
      </c>
      <c r="T4939" s="22">
        <f t="shared" si="428"/>
        <v>6</v>
      </c>
      <c r="U4939" s="22">
        <f t="shared" si="429"/>
        <v>2022</v>
      </c>
      <c r="V4939" s="22" t="str">
        <f t="shared" si="430"/>
        <v>METROPOLITANA</v>
      </c>
    </row>
    <row r="4940" spans="1:22" x14ac:dyDescent="0.2">
      <c r="A4940" s="11" t="s">
        <v>5963</v>
      </c>
      <c r="B4940" s="12" t="s">
        <v>33</v>
      </c>
      <c r="C4940" s="12" t="s">
        <v>29</v>
      </c>
      <c r="D4940" s="12" t="s">
        <v>38</v>
      </c>
      <c r="E4940" s="13" t="s">
        <v>42</v>
      </c>
      <c r="F4940" s="12" t="s">
        <v>39</v>
      </c>
      <c r="G4940" s="14">
        <v>6953.5999999999995</v>
      </c>
      <c r="H4940" s="12" t="s">
        <v>43</v>
      </c>
      <c r="I4940" s="12">
        <v>0</v>
      </c>
      <c r="J4940" s="12" t="s">
        <v>39</v>
      </c>
      <c r="K4940" s="12" t="s">
        <v>23</v>
      </c>
      <c r="L4940" s="12">
        <v>1</v>
      </c>
      <c r="M4940" s="15">
        <v>76490</v>
      </c>
      <c r="N4940" s="15">
        <v>0</v>
      </c>
      <c r="O4940" s="15">
        <f t="shared" si="427"/>
        <v>76490</v>
      </c>
      <c r="P4940" s="15">
        <f t="shared" si="426"/>
        <v>11.000057524160148</v>
      </c>
      <c r="Q4940" s="14">
        <v>5000</v>
      </c>
      <c r="R4940" s="12">
        <v>100</v>
      </c>
      <c r="S4940" s="12" t="s">
        <v>5971</v>
      </c>
      <c r="T4940" s="22">
        <f t="shared" si="428"/>
        <v>6</v>
      </c>
      <c r="U4940" s="22">
        <f t="shared" si="429"/>
        <v>2022</v>
      </c>
      <c r="V4940" s="22" t="str">
        <f t="shared" si="430"/>
        <v>METROPOLITANA</v>
      </c>
    </row>
    <row r="4941" spans="1:22" x14ac:dyDescent="0.2">
      <c r="A4941" s="11" t="s">
        <v>5963</v>
      </c>
      <c r="B4941" s="12" t="s">
        <v>33</v>
      </c>
      <c r="C4941" s="12" t="s">
        <v>29</v>
      </c>
      <c r="D4941" s="12" t="s">
        <v>164</v>
      </c>
      <c r="E4941" s="13" t="s">
        <v>1576</v>
      </c>
      <c r="F4941" s="12" t="s">
        <v>39</v>
      </c>
      <c r="G4941" s="14">
        <f>15907+2281</f>
        <v>18188</v>
      </c>
      <c r="H4941" s="12" t="s">
        <v>22</v>
      </c>
      <c r="I4941" s="12">
        <v>1</v>
      </c>
      <c r="J4941" s="12" t="s">
        <v>39</v>
      </c>
      <c r="K4941" s="12" t="s">
        <v>23</v>
      </c>
      <c r="L4941" s="12">
        <v>1</v>
      </c>
      <c r="M4941" s="15">
        <v>174977</v>
      </c>
      <c r="N4941" s="15">
        <v>0</v>
      </c>
      <c r="O4941" s="15">
        <f t="shared" si="427"/>
        <v>174977</v>
      </c>
      <c r="P4941" s="15">
        <f t="shared" si="426"/>
        <v>9.6204640422256436</v>
      </c>
      <c r="Q4941" s="14">
        <v>5000</v>
      </c>
      <c r="R4941" s="12">
        <v>100</v>
      </c>
      <c r="S4941" s="12" t="s">
        <v>5974</v>
      </c>
      <c r="T4941" s="22">
        <f t="shared" si="428"/>
        <v>6</v>
      </c>
      <c r="U4941" s="22">
        <f t="shared" si="429"/>
        <v>2022</v>
      </c>
      <c r="V4941" s="22" t="str">
        <f t="shared" si="430"/>
        <v>METROPOLITANA</v>
      </c>
    </row>
    <row r="4942" spans="1:22" x14ac:dyDescent="0.2">
      <c r="A4942" s="11" t="s">
        <v>5963</v>
      </c>
      <c r="B4942" s="12" t="s">
        <v>33</v>
      </c>
      <c r="C4942" s="12" t="s">
        <v>29</v>
      </c>
      <c r="D4942" s="12" t="s">
        <v>20</v>
      </c>
      <c r="E4942" s="13" t="s">
        <v>21</v>
      </c>
      <c r="F4942" s="12" t="s">
        <v>39</v>
      </c>
      <c r="G4942" s="14">
        <v>2748</v>
      </c>
      <c r="H4942" s="12" t="s">
        <v>22</v>
      </c>
      <c r="I4942" s="12">
        <v>0</v>
      </c>
      <c r="J4942" s="12" t="s">
        <v>39</v>
      </c>
      <c r="K4942" s="12" t="s">
        <v>23</v>
      </c>
      <c r="L4942" s="12">
        <v>1</v>
      </c>
      <c r="M4942" s="15">
        <v>55000</v>
      </c>
      <c r="N4942" s="15">
        <v>0</v>
      </c>
      <c r="O4942" s="15">
        <f t="shared" si="427"/>
        <v>55000</v>
      </c>
      <c r="P4942" s="15">
        <f t="shared" si="426"/>
        <v>20.014556040756915</v>
      </c>
      <c r="Q4942" s="14">
        <v>5000</v>
      </c>
      <c r="R4942" s="12">
        <v>55</v>
      </c>
      <c r="S4942" s="12" t="s">
        <v>5972</v>
      </c>
      <c r="T4942" s="22">
        <f t="shared" si="428"/>
        <v>6</v>
      </c>
      <c r="U4942" s="22">
        <f t="shared" si="429"/>
        <v>2022</v>
      </c>
      <c r="V4942" s="22" t="str">
        <f t="shared" si="430"/>
        <v>METROPOLITANA</v>
      </c>
    </row>
    <row r="4943" spans="1:22" x14ac:dyDescent="0.2">
      <c r="A4943" s="11" t="s">
        <v>5963</v>
      </c>
      <c r="B4943" s="12" t="s">
        <v>33</v>
      </c>
      <c r="C4943" s="12" t="s">
        <v>44</v>
      </c>
      <c r="D4943" s="12" t="s">
        <v>37</v>
      </c>
      <c r="E4943" s="13" t="s">
        <v>40</v>
      </c>
      <c r="F4943" s="12" t="s">
        <v>48</v>
      </c>
      <c r="G4943" s="14">
        <v>7516.7300000000014</v>
      </c>
      <c r="H4943" s="12" t="s">
        <v>22</v>
      </c>
      <c r="I4943" s="12">
        <v>0</v>
      </c>
      <c r="J4943" s="12" t="s">
        <v>48</v>
      </c>
      <c r="K4943" s="12" t="s">
        <v>23</v>
      </c>
      <c r="L4943" s="12">
        <v>1</v>
      </c>
      <c r="M4943" s="15">
        <v>82684</v>
      </c>
      <c r="N4943" s="15">
        <v>0</v>
      </c>
      <c r="O4943" s="15">
        <f t="shared" si="427"/>
        <v>82684</v>
      </c>
      <c r="P4943" s="15">
        <f t="shared" si="426"/>
        <v>10.999996008902805</v>
      </c>
      <c r="Q4943" s="14">
        <v>5000</v>
      </c>
      <c r="R4943" s="12">
        <v>100</v>
      </c>
      <c r="S4943" s="12" t="s">
        <v>5973</v>
      </c>
      <c r="T4943" s="22">
        <f t="shared" si="428"/>
        <v>6</v>
      </c>
      <c r="U4943" s="22">
        <f t="shared" si="429"/>
        <v>2022</v>
      </c>
      <c r="V4943" s="22" t="str">
        <f t="shared" si="430"/>
        <v>METROPOLITANA</v>
      </c>
    </row>
    <row r="4944" spans="1:22" x14ac:dyDescent="0.2">
      <c r="A4944" s="23" t="s">
        <v>5975</v>
      </c>
      <c r="B4944" s="22" t="s">
        <v>18</v>
      </c>
      <c r="C4944" s="22" t="s">
        <v>4880</v>
      </c>
      <c r="D4944" s="22" t="s">
        <v>38</v>
      </c>
      <c r="E4944" s="24" t="s">
        <v>25</v>
      </c>
      <c r="F4944" s="22" t="s">
        <v>129</v>
      </c>
      <c r="G4944" s="25">
        <v>13322.44</v>
      </c>
      <c r="H4944" s="22" t="s">
        <v>43</v>
      </c>
      <c r="I4944" s="22">
        <v>0</v>
      </c>
      <c r="J4944" s="22" t="s">
        <v>129</v>
      </c>
      <c r="K4944" s="22" t="s">
        <v>23</v>
      </c>
      <c r="L4944" s="22">
        <v>1</v>
      </c>
      <c r="M4944" s="26">
        <v>146547</v>
      </c>
      <c r="N4944" s="26">
        <v>0</v>
      </c>
      <c r="O4944" s="15">
        <f t="shared" si="427"/>
        <v>146547</v>
      </c>
      <c r="P4944" s="15">
        <f t="shared" si="426"/>
        <v>11.000012009812016</v>
      </c>
      <c r="Q4944" s="25">
        <v>5000</v>
      </c>
      <c r="R4944" s="22">
        <v>100</v>
      </c>
      <c r="S4944" s="22" t="s">
        <v>5976</v>
      </c>
      <c r="T4944" s="22">
        <f t="shared" si="428"/>
        <v>6</v>
      </c>
      <c r="U4944" s="22">
        <f t="shared" si="429"/>
        <v>2022</v>
      </c>
      <c r="V4944" s="22" t="str">
        <f t="shared" si="430"/>
        <v>METROPOLITANA</v>
      </c>
    </row>
    <row r="4945" spans="1:22" x14ac:dyDescent="0.2">
      <c r="A4945" s="23" t="s">
        <v>5975</v>
      </c>
      <c r="B4945" s="22" t="s">
        <v>18</v>
      </c>
      <c r="C4945" s="22" t="s">
        <v>1173</v>
      </c>
      <c r="D4945" s="22" t="s">
        <v>63</v>
      </c>
      <c r="E4945" s="24" t="s">
        <v>64</v>
      </c>
      <c r="F4945" s="22" t="s">
        <v>182</v>
      </c>
      <c r="G4945" s="25">
        <v>8340.8599999999988</v>
      </c>
      <c r="H4945" s="22" t="s">
        <v>65</v>
      </c>
      <c r="I4945" s="22">
        <v>0</v>
      </c>
      <c r="J4945" s="22" t="s">
        <v>182</v>
      </c>
      <c r="K4945" s="22" t="s">
        <v>23</v>
      </c>
      <c r="L4945" s="22">
        <v>4</v>
      </c>
      <c r="M4945" s="26">
        <v>91749</v>
      </c>
      <c r="N4945" s="26">
        <v>0</v>
      </c>
      <c r="O4945" s="15">
        <f t="shared" si="427"/>
        <v>91749</v>
      </c>
      <c r="P4945" s="15">
        <f t="shared" si="426"/>
        <v>10.999944849811651</v>
      </c>
      <c r="Q4945" s="25">
        <v>5000</v>
      </c>
      <c r="R4945" s="22">
        <v>100</v>
      </c>
      <c r="S4945" s="22" t="s">
        <v>5977</v>
      </c>
      <c r="T4945" s="22">
        <f t="shared" si="428"/>
        <v>6</v>
      </c>
      <c r="U4945" s="22">
        <f t="shared" si="429"/>
        <v>2022</v>
      </c>
      <c r="V4945" s="22" t="str">
        <f t="shared" si="430"/>
        <v>METROPOLITANA</v>
      </c>
    </row>
    <row r="4946" spans="1:22" x14ac:dyDescent="0.2">
      <c r="A4946" s="23" t="s">
        <v>5975</v>
      </c>
      <c r="B4946" s="22" t="s">
        <v>18</v>
      </c>
      <c r="C4946" s="22" t="s">
        <v>500</v>
      </c>
      <c r="D4946" s="22" t="s">
        <v>20</v>
      </c>
      <c r="E4946" s="24" t="s">
        <v>21</v>
      </c>
      <c r="F4946" s="22" t="s">
        <v>727</v>
      </c>
      <c r="G4946" s="25">
        <v>4992.66</v>
      </c>
      <c r="H4946" s="22" t="s">
        <v>22</v>
      </c>
      <c r="I4946" s="22">
        <v>0</v>
      </c>
      <c r="J4946" s="22" t="s">
        <v>727</v>
      </c>
      <c r="K4946" s="22" t="s">
        <v>23</v>
      </c>
      <c r="L4946" s="22">
        <v>2</v>
      </c>
      <c r="M4946" s="26">
        <v>55000</v>
      </c>
      <c r="N4946" s="26">
        <v>0</v>
      </c>
      <c r="O4946" s="15">
        <f t="shared" si="427"/>
        <v>55000</v>
      </c>
      <c r="P4946" s="15">
        <f t="shared" si="426"/>
        <v>11.016171740114489</v>
      </c>
      <c r="Q4946" s="25">
        <v>5000</v>
      </c>
      <c r="R4946" s="22">
        <v>100</v>
      </c>
      <c r="S4946" s="22" t="s">
        <v>5978</v>
      </c>
      <c r="T4946" s="22">
        <f t="shared" si="428"/>
        <v>6</v>
      </c>
      <c r="U4946" s="22">
        <f t="shared" si="429"/>
        <v>2022</v>
      </c>
      <c r="V4946" s="22" t="str">
        <f t="shared" si="430"/>
        <v>METROPOLITANA</v>
      </c>
    </row>
    <row r="4947" spans="1:22" x14ac:dyDescent="0.2">
      <c r="A4947" s="23" t="s">
        <v>5975</v>
      </c>
      <c r="B4947" s="22" t="s">
        <v>33</v>
      </c>
      <c r="C4947" s="22" t="s">
        <v>128</v>
      </c>
      <c r="D4947" s="22" t="s">
        <v>30</v>
      </c>
      <c r="E4947" s="24" t="s">
        <v>31</v>
      </c>
      <c r="F4947" s="22" t="s">
        <v>34</v>
      </c>
      <c r="G4947" s="25">
        <v>8420.0000000000036</v>
      </c>
      <c r="H4947" s="22" t="s">
        <v>32</v>
      </c>
      <c r="I4947" s="22">
        <v>0</v>
      </c>
      <c r="J4947" s="22" t="s">
        <v>34</v>
      </c>
      <c r="K4947" s="22" t="s">
        <v>23</v>
      </c>
      <c r="L4947" s="22">
        <v>1</v>
      </c>
      <c r="M4947" s="26">
        <v>92620</v>
      </c>
      <c r="N4947" s="26">
        <v>0</v>
      </c>
      <c r="O4947" s="15">
        <f t="shared" si="427"/>
        <v>92620</v>
      </c>
      <c r="P4947" s="15">
        <f t="shared" si="426"/>
        <v>10.999999999999995</v>
      </c>
      <c r="Q4947" s="25">
        <v>5000</v>
      </c>
      <c r="R4947" s="22">
        <v>100</v>
      </c>
      <c r="S4947" s="22" t="s">
        <v>5979</v>
      </c>
      <c r="T4947" s="22">
        <f t="shared" si="428"/>
        <v>6</v>
      </c>
      <c r="U4947" s="22">
        <f t="shared" si="429"/>
        <v>2022</v>
      </c>
      <c r="V4947" s="22" t="str">
        <f t="shared" si="430"/>
        <v>METROPOLITANA</v>
      </c>
    </row>
    <row r="4948" spans="1:22" x14ac:dyDescent="0.2">
      <c r="A4948" s="23" t="s">
        <v>5975</v>
      </c>
      <c r="B4948" s="22" t="s">
        <v>33</v>
      </c>
      <c r="C4948" s="22" t="s">
        <v>36</v>
      </c>
      <c r="D4948" s="22" t="s">
        <v>786</v>
      </c>
      <c r="E4948" s="24" t="s">
        <v>787</v>
      </c>
      <c r="F4948" s="22" t="s">
        <v>1026</v>
      </c>
      <c r="G4948" s="25">
        <v>8798.0999999999985</v>
      </c>
      <c r="H4948" s="22" t="s">
        <v>788</v>
      </c>
      <c r="I4948" s="22">
        <v>1</v>
      </c>
      <c r="J4948" s="22" t="s">
        <v>1026</v>
      </c>
      <c r="K4948" s="22" t="s">
        <v>408</v>
      </c>
      <c r="L4948" s="22">
        <v>0</v>
      </c>
      <c r="M4948" s="26">
        <v>650000</v>
      </c>
      <c r="N4948" s="26">
        <v>0</v>
      </c>
      <c r="O4948" s="15">
        <f>650000-370000</f>
        <v>280000</v>
      </c>
      <c r="P4948" s="15">
        <f t="shared" si="426"/>
        <v>31.825053136472654</v>
      </c>
      <c r="Q4948" s="25">
        <v>20000</v>
      </c>
      <c r="R4948" s="22">
        <v>44</v>
      </c>
      <c r="S4948" s="22" t="s">
        <v>5980</v>
      </c>
      <c r="T4948" s="22">
        <f t="shared" si="428"/>
        <v>6</v>
      </c>
      <c r="U4948" s="22">
        <f t="shared" si="429"/>
        <v>2022</v>
      </c>
      <c r="V4948" s="22" t="str">
        <f t="shared" si="430"/>
        <v>REGIONES</v>
      </c>
    </row>
    <row r="4949" spans="1:22" x14ac:dyDescent="0.2">
      <c r="A4949" s="23" t="s">
        <v>5975</v>
      </c>
      <c r="B4949" s="22" t="s">
        <v>33</v>
      </c>
      <c r="C4949" s="22" t="s">
        <v>36</v>
      </c>
      <c r="D4949" s="22" t="s">
        <v>45</v>
      </c>
      <c r="E4949" s="24" t="s">
        <v>52</v>
      </c>
      <c r="F4949" s="22" t="s">
        <v>67</v>
      </c>
      <c r="G4949" s="25">
        <v>5143.66</v>
      </c>
      <c r="H4949" s="22" t="s">
        <v>22</v>
      </c>
      <c r="I4949" s="22">
        <v>0</v>
      </c>
      <c r="J4949" s="22" t="s">
        <v>67</v>
      </c>
      <c r="K4949" s="22" t="s">
        <v>23</v>
      </c>
      <c r="L4949" s="22">
        <v>2</v>
      </c>
      <c r="M4949" s="26">
        <v>56580</v>
      </c>
      <c r="N4949" s="26">
        <v>0</v>
      </c>
      <c r="O4949" s="15">
        <f t="shared" ref="O4949:O5012" si="431">SUM(M4949:N4949)</f>
        <v>56580</v>
      </c>
      <c r="P4949" s="15">
        <f t="shared" si="426"/>
        <v>10.999949452335496</v>
      </c>
      <c r="Q4949" s="25">
        <v>5000</v>
      </c>
      <c r="R4949" s="22">
        <v>100</v>
      </c>
      <c r="S4949" s="22" t="s">
        <v>5981</v>
      </c>
      <c r="T4949" s="22">
        <f t="shared" si="428"/>
        <v>6</v>
      </c>
      <c r="U4949" s="22">
        <f t="shared" si="429"/>
        <v>2022</v>
      </c>
      <c r="V4949" s="22" t="str">
        <f t="shared" si="430"/>
        <v>METROPOLITANA</v>
      </c>
    </row>
    <row r="4950" spans="1:22" x14ac:dyDescent="0.2">
      <c r="A4950" s="23" t="s">
        <v>5975</v>
      </c>
      <c r="B4950" s="22" t="s">
        <v>33</v>
      </c>
      <c r="C4950" s="22" t="s">
        <v>36</v>
      </c>
      <c r="D4950" s="22" t="s">
        <v>164</v>
      </c>
      <c r="E4950" s="24" t="s">
        <v>1576</v>
      </c>
      <c r="F4950" s="22" t="s">
        <v>170</v>
      </c>
      <c r="G4950" s="25">
        <v>6018.9600000000009</v>
      </c>
      <c r="H4950" s="22" t="s">
        <v>22</v>
      </c>
      <c r="I4950" s="22">
        <v>1</v>
      </c>
      <c r="J4950" s="22" t="s">
        <v>170</v>
      </c>
      <c r="K4950" s="22" t="s">
        <v>171</v>
      </c>
      <c r="L4950" s="22">
        <v>0</v>
      </c>
      <c r="M4950" s="26">
        <v>250000</v>
      </c>
      <c r="N4950" s="26">
        <v>0</v>
      </c>
      <c r="O4950" s="15">
        <f t="shared" si="431"/>
        <v>250000</v>
      </c>
      <c r="P4950" s="15">
        <f t="shared" si="426"/>
        <v>41.535414756037582</v>
      </c>
      <c r="Q4950" s="25">
        <v>20000</v>
      </c>
      <c r="R4950" s="22">
        <v>30</v>
      </c>
      <c r="S4950" s="22" t="s">
        <v>5982</v>
      </c>
      <c r="T4950" s="22">
        <f t="shared" si="428"/>
        <v>6</v>
      </c>
      <c r="U4950" s="22">
        <f t="shared" si="429"/>
        <v>2022</v>
      </c>
      <c r="V4950" s="22" t="str">
        <f t="shared" si="430"/>
        <v>REGIONES</v>
      </c>
    </row>
    <row r="4951" spans="1:22" x14ac:dyDescent="0.2">
      <c r="A4951" s="23" t="s">
        <v>5975</v>
      </c>
      <c r="B4951" s="22" t="s">
        <v>33</v>
      </c>
      <c r="C4951" s="22" t="s">
        <v>36</v>
      </c>
      <c r="D4951" s="22" t="s">
        <v>20</v>
      </c>
      <c r="E4951" s="24" t="s">
        <v>21</v>
      </c>
      <c r="F4951" s="22" t="s">
        <v>129</v>
      </c>
      <c r="G4951" s="25">
        <v>4037.67</v>
      </c>
      <c r="H4951" s="22" t="s">
        <v>22</v>
      </c>
      <c r="I4951" s="22">
        <v>0</v>
      </c>
      <c r="J4951" s="22" t="s">
        <v>129</v>
      </c>
      <c r="K4951" s="22" t="s">
        <v>23</v>
      </c>
      <c r="L4951" s="22">
        <v>1</v>
      </c>
      <c r="M4951" s="26">
        <v>55000</v>
      </c>
      <c r="N4951" s="26">
        <v>0</v>
      </c>
      <c r="O4951" s="15">
        <f t="shared" si="431"/>
        <v>55000</v>
      </c>
      <c r="P4951" s="15">
        <f t="shared" si="426"/>
        <v>13.621717475672851</v>
      </c>
      <c r="Q4951" s="25">
        <v>5000</v>
      </c>
      <c r="R4951" s="22">
        <v>81</v>
      </c>
      <c r="S4951" s="22" t="s">
        <v>5983</v>
      </c>
      <c r="T4951" s="22">
        <f t="shared" si="428"/>
        <v>6</v>
      </c>
      <c r="U4951" s="22">
        <f t="shared" si="429"/>
        <v>2022</v>
      </c>
      <c r="V4951" s="22" t="str">
        <f t="shared" si="430"/>
        <v>METROPOLITANA</v>
      </c>
    </row>
    <row r="4952" spans="1:22" x14ac:dyDescent="0.2">
      <c r="A4952" s="23" t="s">
        <v>5975</v>
      </c>
      <c r="B4952" s="22" t="s">
        <v>33</v>
      </c>
      <c r="C4952" s="22" t="s">
        <v>223</v>
      </c>
      <c r="D4952" s="22" t="s">
        <v>63</v>
      </c>
      <c r="E4952" s="24" t="s">
        <v>64</v>
      </c>
      <c r="F4952" s="22" t="s">
        <v>51</v>
      </c>
      <c r="G4952" s="25">
        <v>4698</v>
      </c>
      <c r="H4952" s="22" t="s">
        <v>65</v>
      </c>
      <c r="I4952" s="22">
        <v>0</v>
      </c>
      <c r="J4952" s="22" t="s">
        <v>51</v>
      </c>
      <c r="K4952" s="22" t="s">
        <v>23</v>
      </c>
      <c r="L4952" s="22">
        <v>4</v>
      </c>
      <c r="M4952" s="26">
        <v>55000</v>
      </c>
      <c r="N4952" s="26">
        <v>0</v>
      </c>
      <c r="O4952" s="15">
        <f t="shared" si="431"/>
        <v>55000</v>
      </c>
      <c r="P4952" s="15">
        <f t="shared" si="426"/>
        <v>11.707109408258834</v>
      </c>
      <c r="Q4952" s="25">
        <v>5000</v>
      </c>
      <c r="R4952" s="22">
        <v>94</v>
      </c>
      <c r="S4952" s="22" t="s">
        <v>5984</v>
      </c>
      <c r="T4952" s="22">
        <f t="shared" si="428"/>
        <v>6</v>
      </c>
      <c r="U4952" s="22">
        <f t="shared" si="429"/>
        <v>2022</v>
      </c>
      <c r="V4952" s="22" t="str">
        <f t="shared" si="430"/>
        <v>METROPOLITANA</v>
      </c>
    </row>
    <row r="4953" spans="1:22" x14ac:dyDescent="0.2">
      <c r="A4953" s="23" t="s">
        <v>5975</v>
      </c>
      <c r="B4953" s="22" t="s">
        <v>33</v>
      </c>
      <c r="C4953" s="22" t="s">
        <v>29</v>
      </c>
      <c r="D4953" s="22" t="s">
        <v>38</v>
      </c>
      <c r="E4953" s="24" t="s">
        <v>42</v>
      </c>
      <c r="F4953" s="22" t="s">
        <v>39</v>
      </c>
      <c r="G4953" s="25">
        <v>7852.199999999998</v>
      </c>
      <c r="H4953" s="22" t="s">
        <v>43</v>
      </c>
      <c r="I4953" s="22">
        <v>0</v>
      </c>
      <c r="J4953" s="22" t="s">
        <v>39</v>
      </c>
      <c r="K4953" s="22" t="s">
        <v>23</v>
      </c>
      <c r="L4953" s="22">
        <v>1</v>
      </c>
      <c r="M4953" s="26">
        <v>86374</v>
      </c>
      <c r="N4953" s="26">
        <v>0</v>
      </c>
      <c r="O4953" s="15">
        <f t="shared" si="431"/>
        <v>86374</v>
      </c>
      <c r="P4953" s="15">
        <f t="shared" si="426"/>
        <v>10.999974529431245</v>
      </c>
      <c r="Q4953" s="25">
        <v>5000</v>
      </c>
      <c r="R4953" s="22">
        <v>100</v>
      </c>
      <c r="S4953" s="22" t="s">
        <v>5985</v>
      </c>
      <c r="T4953" s="22">
        <f t="shared" si="428"/>
        <v>6</v>
      </c>
      <c r="U4953" s="22">
        <f t="shared" si="429"/>
        <v>2022</v>
      </c>
      <c r="V4953" s="22" t="str">
        <f t="shared" si="430"/>
        <v>METROPOLITANA</v>
      </c>
    </row>
    <row r="4954" spans="1:22" x14ac:dyDescent="0.2">
      <c r="A4954" s="23" t="s">
        <v>5975</v>
      </c>
      <c r="B4954" s="22" t="s">
        <v>33</v>
      </c>
      <c r="C4954" s="22" t="s">
        <v>29</v>
      </c>
      <c r="D4954" s="22" t="s">
        <v>37</v>
      </c>
      <c r="E4954" s="24" t="s">
        <v>40</v>
      </c>
      <c r="F4954" s="22" t="s">
        <v>39</v>
      </c>
      <c r="G4954" s="25">
        <v>7641.5</v>
      </c>
      <c r="H4954" s="22" t="s">
        <v>22</v>
      </c>
      <c r="I4954" s="22">
        <v>0</v>
      </c>
      <c r="J4954" s="22" t="s">
        <v>39</v>
      </c>
      <c r="K4954" s="22" t="s">
        <v>23</v>
      </c>
      <c r="L4954" s="22">
        <v>1</v>
      </c>
      <c r="M4954" s="26">
        <v>84056</v>
      </c>
      <c r="N4954" s="26">
        <v>0</v>
      </c>
      <c r="O4954" s="15">
        <f t="shared" si="431"/>
        <v>84056</v>
      </c>
      <c r="P4954" s="15">
        <f t="shared" si="426"/>
        <v>10.999934567820453</v>
      </c>
      <c r="Q4954" s="25">
        <v>5000</v>
      </c>
      <c r="R4954" s="22">
        <v>100</v>
      </c>
      <c r="S4954" s="22" t="s">
        <v>5986</v>
      </c>
      <c r="T4954" s="22">
        <f t="shared" si="428"/>
        <v>6</v>
      </c>
      <c r="U4954" s="22">
        <f t="shared" si="429"/>
        <v>2022</v>
      </c>
      <c r="V4954" s="22" t="str">
        <f t="shared" si="430"/>
        <v>METROPOLITANA</v>
      </c>
    </row>
    <row r="4955" spans="1:22" x14ac:dyDescent="0.2">
      <c r="A4955" s="23" t="s">
        <v>5975</v>
      </c>
      <c r="B4955" s="22" t="s">
        <v>33</v>
      </c>
      <c r="C4955" s="22" t="s">
        <v>29</v>
      </c>
      <c r="D4955" s="22" t="s">
        <v>47</v>
      </c>
      <c r="E4955" s="24" t="s">
        <v>49</v>
      </c>
      <c r="F4955" s="22" t="s">
        <v>129</v>
      </c>
      <c r="G4955" s="25">
        <v>3009.6000000000008</v>
      </c>
      <c r="H4955" s="22" t="s">
        <v>22</v>
      </c>
      <c r="I4955" s="22">
        <v>0</v>
      </c>
      <c r="J4955" s="22" t="s">
        <v>129</v>
      </c>
      <c r="K4955" s="22" t="s">
        <v>23</v>
      </c>
      <c r="L4955" s="22">
        <v>1</v>
      </c>
      <c r="M4955" s="26">
        <v>55000</v>
      </c>
      <c r="N4955" s="26">
        <v>0</v>
      </c>
      <c r="O4955" s="15">
        <f t="shared" si="431"/>
        <v>55000</v>
      </c>
      <c r="P4955" s="15">
        <f t="shared" si="426"/>
        <v>18.274853801169584</v>
      </c>
      <c r="Q4955" s="25">
        <v>5000</v>
      </c>
      <c r="R4955" s="22">
        <v>60</v>
      </c>
      <c r="S4955" s="22" t="s">
        <v>5987</v>
      </c>
      <c r="T4955" s="22">
        <f t="shared" si="428"/>
        <v>6</v>
      </c>
      <c r="U4955" s="22">
        <f t="shared" si="429"/>
        <v>2022</v>
      </c>
      <c r="V4955" s="22" t="str">
        <f t="shared" si="430"/>
        <v>METROPOLITANA</v>
      </c>
    </row>
    <row r="4956" spans="1:22" x14ac:dyDescent="0.2">
      <c r="A4956" s="11" t="s">
        <v>5988</v>
      </c>
      <c r="B4956" s="12" t="s">
        <v>18</v>
      </c>
      <c r="C4956" s="12" t="s">
        <v>4880</v>
      </c>
      <c r="D4956" s="12" t="s">
        <v>38</v>
      </c>
      <c r="E4956" s="13" t="s">
        <v>25</v>
      </c>
      <c r="F4956" s="12" t="s">
        <v>129</v>
      </c>
      <c r="G4956" s="14">
        <v>12637.48</v>
      </c>
      <c r="H4956" s="12" t="s">
        <v>43</v>
      </c>
      <c r="I4956" s="12">
        <v>0</v>
      </c>
      <c r="J4956" s="12" t="s">
        <v>129</v>
      </c>
      <c r="K4956" s="12" t="s">
        <v>23</v>
      </c>
      <c r="L4956" s="12">
        <v>1</v>
      </c>
      <c r="M4956" s="15">
        <v>139012</v>
      </c>
      <c r="N4956" s="15">
        <v>0</v>
      </c>
      <c r="O4956" s="15">
        <f t="shared" si="431"/>
        <v>139012</v>
      </c>
      <c r="P4956" s="15">
        <f t="shared" si="426"/>
        <v>10.999977843684025</v>
      </c>
      <c r="Q4956" s="14">
        <v>5000</v>
      </c>
      <c r="R4956" s="12">
        <v>100</v>
      </c>
      <c r="S4956" s="12" t="s">
        <v>5989</v>
      </c>
      <c r="T4956" s="22">
        <f t="shared" si="428"/>
        <v>6</v>
      </c>
      <c r="U4956" s="22">
        <f t="shared" si="429"/>
        <v>2022</v>
      </c>
      <c r="V4956" s="22" t="str">
        <f t="shared" si="430"/>
        <v>METROPOLITANA</v>
      </c>
    </row>
    <row r="4957" spans="1:22" x14ac:dyDescent="0.2">
      <c r="A4957" s="11" t="s">
        <v>5988</v>
      </c>
      <c r="B4957" s="12" t="s">
        <v>33</v>
      </c>
      <c r="C4957" s="12" t="s">
        <v>36</v>
      </c>
      <c r="D4957" s="12" t="s">
        <v>2825</v>
      </c>
      <c r="E4957" s="13" t="s">
        <v>639</v>
      </c>
      <c r="F4957" s="12" t="s">
        <v>815</v>
      </c>
      <c r="G4957" s="14">
        <v>8181.6600000000026</v>
      </c>
      <c r="H4957" s="12" t="s">
        <v>24</v>
      </c>
      <c r="I4957" s="12">
        <v>1</v>
      </c>
      <c r="J4957" s="12" t="s">
        <v>815</v>
      </c>
      <c r="K4957" s="12" t="s">
        <v>75</v>
      </c>
      <c r="L4957" s="12">
        <v>0</v>
      </c>
      <c r="M4957" s="15">
        <v>460000</v>
      </c>
      <c r="N4957" s="15">
        <v>0</v>
      </c>
      <c r="O4957" s="15">
        <f t="shared" si="431"/>
        <v>460000</v>
      </c>
      <c r="P4957" s="15">
        <f t="shared" si="426"/>
        <v>56.223309206200192</v>
      </c>
      <c r="Q4957" s="14">
        <v>20000</v>
      </c>
      <c r="R4957" s="12">
        <v>41</v>
      </c>
      <c r="S4957" s="12" t="s">
        <v>5990</v>
      </c>
      <c r="T4957" s="22">
        <f t="shared" si="428"/>
        <v>6</v>
      </c>
      <c r="U4957" s="22">
        <f t="shared" si="429"/>
        <v>2022</v>
      </c>
      <c r="V4957" s="22" t="str">
        <f t="shared" si="430"/>
        <v>REGIONES</v>
      </c>
    </row>
    <row r="4958" spans="1:22" x14ac:dyDescent="0.2">
      <c r="A4958" s="11" t="s">
        <v>5988</v>
      </c>
      <c r="B4958" s="12" t="s">
        <v>33</v>
      </c>
      <c r="C4958" s="12" t="s">
        <v>36</v>
      </c>
      <c r="D4958" s="12" t="s">
        <v>30</v>
      </c>
      <c r="E4958" s="13" t="s">
        <v>31</v>
      </c>
      <c r="F4958" s="12" t="s">
        <v>376</v>
      </c>
      <c r="G4958" s="14">
        <v>3098.8</v>
      </c>
      <c r="H4958" s="12" t="s">
        <v>32</v>
      </c>
      <c r="I4958" s="12">
        <v>0</v>
      </c>
      <c r="J4958" s="12" t="s">
        <v>377</v>
      </c>
      <c r="K4958" s="12" t="s">
        <v>23</v>
      </c>
      <c r="L4958" s="12">
        <v>4</v>
      </c>
      <c r="M4958" s="15">
        <v>55000</v>
      </c>
      <c r="N4958" s="15">
        <v>0</v>
      </c>
      <c r="O4958" s="15">
        <f t="shared" si="431"/>
        <v>55000</v>
      </c>
      <c r="P4958" s="15">
        <f t="shared" si="426"/>
        <v>17.748805989415256</v>
      </c>
      <c r="Q4958" s="14">
        <v>5000</v>
      </c>
      <c r="R4958" s="12">
        <v>62</v>
      </c>
      <c r="S4958" s="12" t="s">
        <v>5991</v>
      </c>
      <c r="T4958" s="22">
        <f t="shared" si="428"/>
        <v>6</v>
      </c>
      <c r="U4958" s="22">
        <f t="shared" si="429"/>
        <v>2022</v>
      </c>
      <c r="V4958" s="22" t="str">
        <f t="shared" si="430"/>
        <v>METROPOLITANA</v>
      </c>
    </row>
    <row r="4959" spans="1:22" x14ac:dyDescent="0.2">
      <c r="A4959" s="11" t="s">
        <v>5988</v>
      </c>
      <c r="B4959" s="12" t="s">
        <v>33</v>
      </c>
      <c r="C4959" s="12" t="s">
        <v>36</v>
      </c>
      <c r="D4959" s="12" t="s">
        <v>47</v>
      </c>
      <c r="E4959" s="13" t="s">
        <v>49</v>
      </c>
      <c r="F4959" s="12" t="s">
        <v>46</v>
      </c>
      <c r="G4959" s="14">
        <v>9178.02</v>
      </c>
      <c r="H4959" s="12" t="s">
        <v>22</v>
      </c>
      <c r="I4959" s="12">
        <v>0</v>
      </c>
      <c r="J4959" s="12" t="s">
        <v>46</v>
      </c>
      <c r="K4959" s="12" t="s">
        <v>23</v>
      </c>
      <c r="L4959" s="12">
        <v>2</v>
      </c>
      <c r="M4959" s="15">
        <v>100958</v>
      </c>
      <c r="N4959" s="15">
        <v>0</v>
      </c>
      <c r="O4959" s="15">
        <f t="shared" si="431"/>
        <v>100958</v>
      </c>
      <c r="P4959" s="15">
        <f t="shared" si="426"/>
        <v>10.99997602968832</v>
      </c>
      <c r="Q4959" s="14">
        <v>5000</v>
      </c>
      <c r="R4959" s="12">
        <v>100</v>
      </c>
      <c r="S4959" s="12" t="s">
        <v>5992</v>
      </c>
      <c r="T4959" s="22">
        <f t="shared" si="428"/>
        <v>6</v>
      </c>
      <c r="U4959" s="22">
        <f t="shared" si="429"/>
        <v>2022</v>
      </c>
      <c r="V4959" s="22" t="str">
        <f t="shared" si="430"/>
        <v>METROPOLITANA</v>
      </c>
    </row>
    <row r="4960" spans="1:22" x14ac:dyDescent="0.2">
      <c r="A4960" s="11" t="s">
        <v>5988</v>
      </c>
      <c r="B4960" s="12" t="s">
        <v>33</v>
      </c>
      <c r="C4960" s="12" t="s">
        <v>29</v>
      </c>
      <c r="D4960" s="12" t="s">
        <v>20</v>
      </c>
      <c r="E4960" s="13" t="s">
        <v>1576</v>
      </c>
      <c r="F4960" s="12" t="s">
        <v>134</v>
      </c>
      <c r="G4960" s="14">
        <v>3435</v>
      </c>
      <c r="H4960" s="12" t="s">
        <v>22</v>
      </c>
      <c r="I4960" s="12">
        <v>0</v>
      </c>
      <c r="J4960" s="12" t="s">
        <v>134</v>
      </c>
      <c r="K4960" s="12" t="s">
        <v>23</v>
      </c>
      <c r="L4960" s="12">
        <v>2</v>
      </c>
      <c r="M4960" s="15">
        <v>55000</v>
      </c>
      <c r="N4960" s="15">
        <v>0</v>
      </c>
      <c r="O4960" s="15">
        <f t="shared" si="431"/>
        <v>55000</v>
      </c>
      <c r="P4960" s="15">
        <f t="shared" si="426"/>
        <v>16.01164483260553</v>
      </c>
      <c r="Q4960" s="14">
        <v>5000</v>
      </c>
      <c r="R4960" s="12">
        <v>69</v>
      </c>
      <c r="S4960" s="12" t="s">
        <v>5993</v>
      </c>
      <c r="T4960" s="22">
        <f t="shared" si="428"/>
        <v>6</v>
      </c>
      <c r="U4960" s="22">
        <f t="shared" si="429"/>
        <v>2022</v>
      </c>
      <c r="V4960" s="22" t="str">
        <f t="shared" si="430"/>
        <v>METROPOLITANA</v>
      </c>
    </row>
    <row r="4961" spans="1:22" x14ac:dyDescent="0.2">
      <c r="A4961" s="11" t="s">
        <v>5988</v>
      </c>
      <c r="B4961" s="12" t="s">
        <v>33</v>
      </c>
      <c r="C4961" s="12" t="s">
        <v>44</v>
      </c>
      <c r="D4961" s="12" t="s">
        <v>37</v>
      </c>
      <c r="E4961" s="13" t="s">
        <v>40</v>
      </c>
      <c r="F4961" s="12" t="s">
        <v>48</v>
      </c>
      <c r="G4961" s="14">
        <f>4794.4+238+988+702</f>
        <v>6722.4</v>
      </c>
      <c r="H4961" s="12" t="s">
        <v>22</v>
      </c>
      <c r="I4961" s="12">
        <v>0</v>
      </c>
      <c r="J4961" s="12" t="s">
        <v>48</v>
      </c>
      <c r="K4961" s="12" t="s">
        <v>23</v>
      </c>
      <c r="L4961" s="12">
        <v>1</v>
      </c>
      <c r="M4961" s="15">
        <v>55000</v>
      </c>
      <c r="N4961" s="15">
        <v>0</v>
      </c>
      <c r="O4961" s="15">
        <f t="shared" si="431"/>
        <v>55000</v>
      </c>
      <c r="P4961" s="15">
        <f t="shared" ref="P4961:P5024" si="432">O4961/G4961</f>
        <v>8.1816018088777813</v>
      </c>
      <c r="Q4961" s="14">
        <v>5000</v>
      </c>
      <c r="R4961" s="12">
        <v>100</v>
      </c>
      <c r="S4961" s="12" t="s">
        <v>5995</v>
      </c>
      <c r="T4961" s="22">
        <f t="shared" si="428"/>
        <v>6</v>
      </c>
      <c r="U4961" s="22">
        <f t="shared" si="429"/>
        <v>2022</v>
      </c>
      <c r="V4961" s="22" t="str">
        <f t="shared" si="430"/>
        <v>METROPOLITANA</v>
      </c>
    </row>
    <row r="4962" spans="1:22" x14ac:dyDescent="0.2">
      <c r="A4962" s="11" t="s">
        <v>5988</v>
      </c>
      <c r="B4962" s="12" t="s">
        <v>33</v>
      </c>
      <c r="C4962" s="12" t="s">
        <v>44</v>
      </c>
      <c r="D4962" s="12" t="s">
        <v>45</v>
      </c>
      <c r="E4962" s="13" t="s">
        <v>52</v>
      </c>
      <c r="F4962" s="12" t="s">
        <v>182</v>
      </c>
      <c r="G4962" s="14">
        <v>4410.7</v>
      </c>
      <c r="H4962" s="12" t="s">
        <v>22</v>
      </c>
      <c r="I4962" s="12">
        <v>0</v>
      </c>
      <c r="J4962" s="12" t="s">
        <v>182</v>
      </c>
      <c r="K4962" s="12" t="s">
        <v>23</v>
      </c>
      <c r="L4962" s="12">
        <v>4</v>
      </c>
      <c r="M4962" s="15">
        <v>55000</v>
      </c>
      <c r="N4962" s="15">
        <v>0</v>
      </c>
      <c r="O4962" s="15">
        <f t="shared" si="431"/>
        <v>55000</v>
      </c>
      <c r="P4962" s="15">
        <f t="shared" si="432"/>
        <v>12.469676015144989</v>
      </c>
      <c r="Q4962" s="14">
        <v>5000</v>
      </c>
      <c r="R4962" s="12">
        <v>88</v>
      </c>
      <c r="S4962" s="12" t="s">
        <v>5994</v>
      </c>
      <c r="T4962" s="22">
        <f t="shared" si="428"/>
        <v>6</v>
      </c>
      <c r="U4962" s="22">
        <f t="shared" si="429"/>
        <v>2022</v>
      </c>
      <c r="V4962" s="22" t="str">
        <f t="shared" si="430"/>
        <v>METROPOLITANA</v>
      </c>
    </row>
    <row r="4963" spans="1:22" x14ac:dyDescent="0.2">
      <c r="A4963" s="23" t="s">
        <v>5996</v>
      </c>
      <c r="B4963" s="22" t="s">
        <v>18</v>
      </c>
      <c r="C4963" s="22" t="s">
        <v>270</v>
      </c>
      <c r="D4963" s="22" t="s">
        <v>786</v>
      </c>
      <c r="E4963" s="24">
        <v>95707734</v>
      </c>
      <c r="F4963" s="22" t="s">
        <v>120</v>
      </c>
      <c r="G4963" s="25">
        <v>14465.12</v>
      </c>
      <c r="H4963" s="22" t="s">
        <v>788</v>
      </c>
      <c r="I4963" s="22">
        <v>1</v>
      </c>
      <c r="J4963" s="22" t="s">
        <v>120</v>
      </c>
      <c r="K4963" s="22" t="s">
        <v>23</v>
      </c>
      <c r="L4963" s="22">
        <v>5</v>
      </c>
      <c r="M4963" s="26">
        <v>120000</v>
      </c>
      <c r="N4963" s="26">
        <v>0</v>
      </c>
      <c r="O4963" s="15">
        <f t="shared" si="431"/>
        <v>120000</v>
      </c>
      <c r="P4963" s="15">
        <f t="shared" si="432"/>
        <v>8.2958178017188935</v>
      </c>
      <c r="Q4963" s="25">
        <v>10000</v>
      </c>
      <c r="R4963" s="22">
        <v>100</v>
      </c>
      <c r="S4963" s="22" t="s">
        <v>5997</v>
      </c>
      <c r="T4963" s="22">
        <f t="shared" si="428"/>
        <v>6</v>
      </c>
      <c r="U4963" s="22">
        <f t="shared" si="429"/>
        <v>2022</v>
      </c>
      <c r="V4963" s="22" t="str">
        <f t="shared" si="430"/>
        <v>METROPOLITANA</v>
      </c>
    </row>
    <row r="4964" spans="1:22" x14ac:dyDescent="0.2">
      <c r="A4964" s="23" t="s">
        <v>5996</v>
      </c>
      <c r="B4964" s="22" t="s">
        <v>33</v>
      </c>
      <c r="C4964" s="22" t="s">
        <v>36</v>
      </c>
      <c r="D4964" s="22" t="s">
        <v>30</v>
      </c>
      <c r="E4964" s="24">
        <v>72564391</v>
      </c>
      <c r="F4964" s="22" t="s">
        <v>59</v>
      </c>
      <c r="G4964" s="25">
        <v>6180.8</v>
      </c>
      <c r="H4964" s="22" t="s">
        <v>32</v>
      </c>
      <c r="I4964" s="22">
        <v>0</v>
      </c>
      <c r="J4964" s="22" t="s">
        <v>59</v>
      </c>
      <c r="K4964" s="22" t="s">
        <v>78</v>
      </c>
      <c r="L4964" s="22">
        <v>0</v>
      </c>
      <c r="M4964" s="26">
        <v>203000</v>
      </c>
      <c r="N4964" s="26">
        <v>0</v>
      </c>
      <c r="O4964" s="15">
        <f t="shared" si="431"/>
        <v>203000</v>
      </c>
      <c r="P4964" s="15">
        <f t="shared" si="432"/>
        <v>32.843644835619983</v>
      </c>
      <c r="Q4964" s="25">
        <v>20000</v>
      </c>
      <c r="R4964" s="22">
        <v>31</v>
      </c>
      <c r="S4964" s="22" t="s">
        <v>5998</v>
      </c>
      <c r="T4964" s="22">
        <f t="shared" si="428"/>
        <v>6</v>
      </c>
      <c r="U4964" s="22">
        <f t="shared" si="429"/>
        <v>2022</v>
      </c>
      <c r="V4964" s="22" t="str">
        <f t="shared" si="430"/>
        <v>REGIONES</v>
      </c>
    </row>
    <row r="4965" spans="1:22" x14ac:dyDescent="0.2">
      <c r="A4965" s="23" t="s">
        <v>5996</v>
      </c>
      <c r="B4965" s="22" t="s">
        <v>33</v>
      </c>
      <c r="C4965" s="22" t="s">
        <v>29</v>
      </c>
      <c r="D4965" s="22" t="s">
        <v>38</v>
      </c>
      <c r="E4965" s="24">
        <v>53173292</v>
      </c>
      <c r="F4965" s="22" t="s">
        <v>39</v>
      </c>
      <c r="G4965" s="25">
        <v>6254.3</v>
      </c>
      <c r="H4965" s="22" t="s">
        <v>43</v>
      </c>
      <c r="I4965" s="22">
        <v>0</v>
      </c>
      <c r="J4965" s="22" t="s">
        <v>39</v>
      </c>
      <c r="K4965" s="22" t="s">
        <v>23</v>
      </c>
      <c r="L4965" s="22">
        <v>1</v>
      </c>
      <c r="M4965" s="26">
        <v>68797</v>
      </c>
      <c r="N4965" s="26">
        <v>0</v>
      </c>
      <c r="O4965" s="15">
        <f t="shared" si="431"/>
        <v>68797</v>
      </c>
      <c r="P4965" s="15">
        <f t="shared" si="432"/>
        <v>10.999952033001295</v>
      </c>
      <c r="Q4965" s="25">
        <v>5000</v>
      </c>
      <c r="R4965" s="22">
        <v>100</v>
      </c>
      <c r="S4965" s="22" t="s">
        <v>5999</v>
      </c>
      <c r="T4965" s="22">
        <f t="shared" si="428"/>
        <v>6</v>
      </c>
      <c r="U4965" s="22">
        <f t="shared" si="429"/>
        <v>2022</v>
      </c>
      <c r="V4965" s="22" t="str">
        <f t="shared" si="430"/>
        <v>METROPOLITANA</v>
      </c>
    </row>
    <row r="4966" spans="1:22" x14ac:dyDescent="0.2">
      <c r="A4966" s="23" t="s">
        <v>5996</v>
      </c>
      <c r="B4966" s="22" t="s">
        <v>33</v>
      </c>
      <c r="C4966" s="22" t="s">
        <v>29</v>
      </c>
      <c r="D4966" s="22" t="s">
        <v>41</v>
      </c>
      <c r="E4966" s="24">
        <v>125108660</v>
      </c>
      <c r="F4966" s="22" t="s">
        <v>39</v>
      </c>
      <c r="G4966" s="25">
        <v>7776</v>
      </c>
      <c r="H4966" s="22" t="s">
        <v>43</v>
      </c>
      <c r="I4966" s="22">
        <v>0</v>
      </c>
      <c r="J4966" s="22" t="s">
        <v>39</v>
      </c>
      <c r="K4966" s="22" t="s">
        <v>23</v>
      </c>
      <c r="L4966" s="22">
        <v>1</v>
      </c>
      <c r="M4966" s="26">
        <v>85536</v>
      </c>
      <c r="N4966" s="26">
        <v>0</v>
      </c>
      <c r="O4966" s="15">
        <f t="shared" si="431"/>
        <v>85536</v>
      </c>
      <c r="P4966" s="15">
        <f t="shared" si="432"/>
        <v>11</v>
      </c>
      <c r="Q4966" s="25">
        <v>5000</v>
      </c>
      <c r="R4966" s="22">
        <v>100</v>
      </c>
      <c r="S4966" s="22" t="s">
        <v>6000</v>
      </c>
      <c r="T4966" s="22">
        <f t="shared" si="428"/>
        <v>6</v>
      </c>
      <c r="U4966" s="22">
        <f t="shared" si="429"/>
        <v>2022</v>
      </c>
      <c r="V4966" s="22" t="str">
        <f t="shared" si="430"/>
        <v>METROPOLITANA</v>
      </c>
    </row>
    <row r="4967" spans="1:22" x14ac:dyDescent="0.2">
      <c r="A4967" s="23" t="s">
        <v>5996</v>
      </c>
      <c r="B4967" s="22" t="s">
        <v>33</v>
      </c>
      <c r="C4967" s="22" t="s">
        <v>44</v>
      </c>
      <c r="D4967" s="22" t="s">
        <v>45</v>
      </c>
      <c r="E4967" s="24">
        <v>99626232</v>
      </c>
      <c r="F4967" s="22" t="s">
        <v>53</v>
      </c>
      <c r="G4967" s="25">
        <v>4555.12</v>
      </c>
      <c r="H4967" s="22" t="s">
        <v>22</v>
      </c>
      <c r="I4967" s="22">
        <v>0</v>
      </c>
      <c r="J4967" s="22" t="s">
        <v>53</v>
      </c>
      <c r="K4967" s="22" t="s">
        <v>23</v>
      </c>
      <c r="L4967" s="22">
        <v>3</v>
      </c>
      <c r="M4967" s="26">
        <v>55000</v>
      </c>
      <c r="N4967" s="26">
        <v>0</v>
      </c>
      <c r="O4967" s="15">
        <f t="shared" si="431"/>
        <v>55000</v>
      </c>
      <c r="P4967" s="15">
        <f t="shared" si="432"/>
        <v>12.074325154990429</v>
      </c>
      <c r="Q4967" s="25">
        <v>5000</v>
      </c>
      <c r="R4967" s="22">
        <v>91</v>
      </c>
      <c r="S4967" s="22" t="s">
        <v>6001</v>
      </c>
      <c r="T4967" s="22">
        <f t="shared" si="428"/>
        <v>6</v>
      </c>
      <c r="U4967" s="22">
        <f t="shared" si="429"/>
        <v>2022</v>
      </c>
      <c r="V4967" s="22" t="str">
        <f t="shared" si="430"/>
        <v>METROPOLITANA</v>
      </c>
    </row>
    <row r="4968" spans="1:22" x14ac:dyDescent="0.2">
      <c r="A4968" s="23" t="s">
        <v>5996</v>
      </c>
      <c r="B4968" s="22" t="s">
        <v>33</v>
      </c>
      <c r="C4968" s="22" t="s">
        <v>44</v>
      </c>
      <c r="D4968" s="22" t="s">
        <v>164</v>
      </c>
      <c r="E4968" s="24">
        <v>81417709</v>
      </c>
      <c r="F4968" s="22" t="s">
        <v>48</v>
      </c>
      <c r="G4968" s="25">
        <v>8833.7800000000007</v>
      </c>
      <c r="H4968" s="22" t="s">
        <v>22</v>
      </c>
      <c r="I4968" s="22">
        <v>1</v>
      </c>
      <c r="J4968" s="22" t="s">
        <v>48</v>
      </c>
      <c r="K4968" s="22" t="s">
        <v>23</v>
      </c>
      <c r="L4968" s="22">
        <v>1</v>
      </c>
      <c r="M4968" s="26">
        <v>97172</v>
      </c>
      <c r="N4968" s="26">
        <v>0</v>
      </c>
      <c r="O4968" s="15">
        <f t="shared" si="431"/>
        <v>97172</v>
      </c>
      <c r="P4968" s="15">
        <f t="shared" si="432"/>
        <v>11.00004754476566</v>
      </c>
      <c r="Q4968" s="25">
        <v>5000</v>
      </c>
      <c r="R4968" s="22">
        <v>100</v>
      </c>
      <c r="S4968" s="22" t="s">
        <v>6002</v>
      </c>
      <c r="T4968" s="22">
        <f t="shared" si="428"/>
        <v>6</v>
      </c>
      <c r="U4968" s="22">
        <f t="shared" si="429"/>
        <v>2022</v>
      </c>
      <c r="V4968" s="22" t="str">
        <f t="shared" si="430"/>
        <v>METROPOLITANA</v>
      </c>
    </row>
    <row r="4969" spans="1:22" x14ac:dyDescent="0.2">
      <c r="A4969" s="23" t="s">
        <v>5996</v>
      </c>
      <c r="B4969" s="22" t="s">
        <v>33</v>
      </c>
      <c r="C4969" s="22" t="s">
        <v>3922</v>
      </c>
      <c r="D4969" s="22" t="s">
        <v>20</v>
      </c>
      <c r="E4969" s="24">
        <v>154837728</v>
      </c>
      <c r="F4969" s="22" t="s">
        <v>129</v>
      </c>
      <c r="G4969" s="25">
        <v>6771.6</v>
      </c>
      <c r="H4969" s="22" t="s">
        <v>22</v>
      </c>
      <c r="I4969" s="22">
        <v>0</v>
      </c>
      <c r="J4969" s="22" t="s">
        <v>129</v>
      </c>
      <c r="K4969" s="22" t="s">
        <v>23</v>
      </c>
      <c r="L4969" s="22">
        <v>1</v>
      </c>
      <c r="M4969" s="26">
        <v>74488</v>
      </c>
      <c r="N4969" s="26">
        <v>0</v>
      </c>
      <c r="O4969" s="15">
        <f t="shared" si="431"/>
        <v>74488</v>
      </c>
      <c r="P4969" s="15">
        <f t="shared" si="432"/>
        <v>11.000059070234508</v>
      </c>
      <c r="Q4969" s="25">
        <v>5000</v>
      </c>
      <c r="R4969" s="22">
        <v>100</v>
      </c>
      <c r="S4969" s="22" t="s">
        <v>6003</v>
      </c>
      <c r="T4969" s="22">
        <f t="shared" si="428"/>
        <v>6</v>
      </c>
      <c r="U4969" s="22">
        <f t="shared" si="429"/>
        <v>2022</v>
      </c>
      <c r="V4969" s="22" t="str">
        <f t="shared" si="430"/>
        <v>METROPOLITANA</v>
      </c>
    </row>
    <row r="4970" spans="1:22" x14ac:dyDescent="0.2">
      <c r="A4970" s="11" t="s">
        <v>6004</v>
      </c>
      <c r="B4970" s="12" t="s">
        <v>18</v>
      </c>
      <c r="C4970" s="12" t="s">
        <v>6005</v>
      </c>
      <c r="D4970" s="12" t="s">
        <v>45</v>
      </c>
      <c r="E4970" s="13" t="s">
        <v>52</v>
      </c>
      <c r="F4970" s="12" t="s">
        <v>26</v>
      </c>
      <c r="G4970" s="14">
        <v>1727.6</v>
      </c>
      <c r="H4970" s="12" t="s">
        <v>22</v>
      </c>
      <c r="I4970" s="12">
        <v>0</v>
      </c>
      <c r="J4970" s="12" t="s">
        <v>26</v>
      </c>
      <c r="K4970" s="12" t="s">
        <v>23</v>
      </c>
      <c r="L4970" s="12">
        <v>4</v>
      </c>
      <c r="M4970" s="15">
        <v>55000</v>
      </c>
      <c r="N4970" s="15">
        <v>0</v>
      </c>
      <c r="O4970" s="15">
        <f t="shared" si="431"/>
        <v>55000</v>
      </c>
      <c r="P4970" s="15">
        <f t="shared" si="432"/>
        <v>31.83607316508451</v>
      </c>
      <c r="Q4970" s="14">
        <v>5000</v>
      </c>
      <c r="R4970" s="12">
        <v>35</v>
      </c>
      <c r="S4970" s="12" t="s">
        <v>6006</v>
      </c>
      <c r="T4970" s="22">
        <f t="shared" si="428"/>
        <v>6</v>
      </c>
      <c r="U4970" s="22">
        <f t="shared" si="429"/>
        <v>2022</v>
      </c>
      <c r="V4970" s="22" t="str">
        <f t="shared" si="430"/>
        <v>METROPOLITANA</v>
      </c>
    </row>
    <row r="4971" spans="1:22" x14ac:dyDescent="0.2">
      <c r="A4971" s="11" t="s">
        <v>6004</v>
      </c>
      <c r="B4971" s="12" t="s">
        <v>33</v>
      </c>
      <c r="C4971" s="12" t="s">
        <v>270</v>
      </c>
      <c r="D4971" s="12" t="s">
        <v>786</v>
      </c>
      <c r="E4971" s="13" t="s">
        <v>787</v>
      </c>
      <c r="F4971" s="12" t="s">
        <v>120</v>
      </c>
      <c r="G4971" s="14">
        <v>22216.95</v>
      </c>
      <c r="H4971" s="12" t="s">
        <v>788</v>
      </c>
      <c r="I4971" s="12">
        <v>1</v>
      </c>
      <c r="J4971" s="12" t="s">
        <v>120</v>
      </c>
      <c r="K4971" s="12" t="s">
        <v>23</v>
      </c>
      <c r="L4971" s="12">
        <v>5</v>
      </c>
      <c r="M4971" s="15">
        <v>120000</v>
      </c>
      <c r="N4971" s="15">
        <v>0</v>
      </c>
      <c r="O4971" s="15">
        <f t="shared" si="431"/>
        <v>120000</v>
      </c>
      <c r="P4971" s="15">
        <f t="shared" si="432"/>
        <v>5.401281454024967</v>
      </c>
      <c r="Q4971" s="14">
        <v>10000</v>
      </c>
      <c r="R4971" s="12">
        <v>100</v>
      </c>
      <c r="S4971" s="12" t="s">
        <v>6007</v>
      </c>
      <c r="T4971" s="22">
        <f t="shared" si="428"/>
        <v>6</v>
      </c>
      <c r="U4971" s="22">
        <f t="shared" si="429"/>
        <v>2022</v>
      </c>
      <c r="V4971" s="22" t="str">
        <f t="shared" si="430"/>
        <v>METROPOLITANA</v>
      </c>
    </row>
    <row r="4972" spans="1:22" x14ac:dyDescent="0.2">
      <c r="A4972" s="11" t="s">
        <v>6004</v>
      </c>
      <c r="B4972" s="12" t="s">
        <v>33</v>
      </c>
      <c r="C4972" s="12" t="s">
        <v>36</v>
      </c>
      <c r="D4972" s="12" t="s">
        <v>5478</v>
      </c>
      <c r="E4972" s="13" t="s">
        <v>6008</v>
      </c>
      <c r="F4972" s="12" t="s">
        <v>876</v>
      </c>
      <c r="G4972" s="14">
        <f>3462.12+1374+1749</f>
        <v>6585.12</v>
      </c>
      <c r="H4972" s="12" t="s">
        <v>24</v>
      </c>
      <c r="I4972" s="12">
        <v>1</v>
      </c>
      <c r="J4972" s="12" t="s">
        <v>876</v>
      </c>
      <c r="K4972" s="12" t="s">
        <v>86</v>
      </c>
      <c r="L4972" s="12">
        <v>0</v>
      </c>
      <c r="M4972" s="15">
        <v>350000</v>
      </c>
      <c r="N4972" s="15">
        <v>0</v>
      </c>
      <c r="O4972" s="15">
        <f t="shared" si="431"/>
        <v>350000</v>
      </c>
      <c r="P4972" s="15">
        <f t="shared" si="432"/>
        <v>53.150132419758485</v>
      </c>
      <c r="Q4972" s="14">
        <v>20000</v>
      </c>
      <c r="R4972" s="12">
        <v>48</v>
      </c>
      <c r="S4972" s="12" t="s">
        <v>6013</v>
      </c>
      <c r="T4972" s="22">
        <f t="shared" si="428"/>
        <v>6</v>
      </c>
      <c r="U4972" s="22">
        <f t="shared" si="429"/>
        <v>2022</v>
      </c>
      <c r="V4972" s="22" t="str">
        <f t="shared" si="430"/>
        <v>REGIONES</v>
      </c>
    </row>
    <row r="4973" spans="1:22" x14ac:dyDescent="0.2">
      <c r="A4973" s="11" t="s">
        <v>6004</v>
      </c>
      <c r="B4973" s="12" t="s">
        <v>33</v>
      </c>
      <c r="C4973" s="12" t="s">
        <v>36</v>
      </c>
      <c r="D4973" s="12" t="s">
        <v>37</v>
      </c>
      <c r="E4973" s="13" t="s">
        <v>40</v>
      </c>
      <c r="F4973" s="12" t="s">
        <v>129</v>
      </c>
      <c r="G4973" s="14">
        <v>3939.26</v>
      </c>
      <c r="H4973" s="12" t="s">
        <v>22</v>
      </c>
      <c r="I4973" s="12">
        <v>0</v>
      </c>
      <c r="J4973" s="12" t="s">
        <v>129</v>
      </c>
      <c r="K4973" s="12" t="s">
        <v>23</v>
      </c>
      <c r="L4973" s="12">
        <v>1</v>
      </c>
      <c r="M4973" s="15">
        <v>55000</v>
      </c>
      <c r="N4973" s="15">
        <v>0</v>
      </c>
      <c r="O4973" s="15">
        <f t="shared" si="431"/>
        <v>55000</v>
      </c>
      <c r="P4973" s="15">
        <f t="shared" si="432"/>
        <v>13.962013169986241</v>
      </c>
      <c r="Q4973" s="14">
        <v>5000</v>
      </c>
      <c r="R4973" s="12">
        <v>79</v>
      </c>
      <c r="S4973" s="12" t="s">
        <v>6009</v>
      </c>
      <c r="T4973" s="22">
        <f t="shared" si="428"/>
        <v>6</v>
      </c>
      <c r="U4973" s="22">
        <f t="shared" si="429"/>
        <v>2022</v>
      </c>
      <c r="V4973" s="22" t="str">
        <f t="shared" si="430"/>
        <v>METROPOLITANA</v>
      </c>
    </row>
    <row r="4974" spans="1:22" x14ac:dyDescent="0.2">
      <c r="A4974" s="11" t="s">
        <v>6004</v>
      </c>
      <c r="B4974" s="12" t="s">
        <v>33</v>
      </c>
      <c r="C4974" s="12" t="s">
        <v>5690</v>
      </c>
      <c r="D4974" s="12" t="s">
        <v>63</v>
      </c>
      <c r="E4974" s="13" t="s">
        <v>64</v>
      </c>
      <c r="F4974" s="12" t="s">
        <v>34</v>
      </c>
      <c r="G4974" s="14">
        <v>4002.9</v>
      </c>
      <c r="H4974" s="12" t="s">
        <v>65</v>
      </c>
      <c r="I4974" s="12">
        <v>0</v>
      </c>
      <c r="J4974" s="12" t="s">
        <v>34</v>
      </c>
      <c r="K4974" s="12" t="s">
        <v>23</v>
      </c>
      <c r="L4974" s="12">
        <v>1</v>
      </c>
      <c r="M4974" s="15">
        <v>55000</v>
      </c>
      <c r="N4974" s="15">
        <v>0</v>
      </c>
      <c r="O4974" s="15">
        <f t="shared" si="431"/>
        <v>55000</v>
      </c>
      <c r="P4974" s="15">
        <f t="shared" si="432"/>
        <v>13.740038472107722</v>
      </c>
      <c r="Q4974" s="14">
        <v>5000</v>
      </c>
      <c r="R4974" s="12">
        <v>80</v>
      </c>
      <c r="S4974" s="12" t="s">
        <v>6010</v>
      </c>
      <c r="T4974" s="22">
        <f t="shared" si="428"/>
        <v>6</v>
      </c>
      <c r="U4974" s="22">
        <f t="shared" si="429"/>
        <v>2022</v>
      </c>
      <c r="V4974" s="22" t="str">
        <f t="shared" si="430"/>
        <v>METROPOLITANA</v>
      </c>
    </row>
    <row r="4975" spans="1:22" x14ac:dyDescent="0.2">
      <c r="A4975" s="11" t="s">
        <v>6004</v>
      </c>
      <c r="B4975" s="12" t="s">
        <v>33</v>
      </c>
      <c r="C4975" s="12" t="s">
        <v>29</v>
      </c>
      <c r="D4975" s="12" t="s">
        <v>164</v>
      </c>
      <c r="E4975" s="13" t="s">
        <v>28</v>
      </c>
      <c r="F4975" s="12" t="s">
        <v>39</v>
      </c>
      <c r="G4975" s="14">
        <v>11399.6</v>
      </c>
      <c r="H4975" s="12" t="s">
        <v>22</v>
      </c>
      <c r="I4975" s="12">
        <v>1</v>
      </c>
      <c r="J4975" s="12" t="s">
        <v>39</v>
      </c>
      <c r="K4975" s="12" t="s">
        <v>23</v>
      </c>
      <c r="L4975" s="12">
        <v>1</v>
      </c>
      <c r="M4975" s="15">
        <v>125396</v>
      </c>
      <c r="N4975" s="15">
        <v>0</v>
      </c>
      <c r="O4975" s="15">
        <f t="shared" si="431"/>
        <v>125396</v>
      </c>
      <c r="P4975" s="15">
        <f t="shared" si="432"/>
        <v>11.000035088950488</v>
      </c>
      <c r="Q4975" s="14">
        <v>5000</v>
      </c>
      <c r="R4975" s="12">
        <v>100</v>
      </c>
      <c r="S4975" s="12" t="s">
        <v>6011</v>
      </c>
      <c r="T4975" s="22">
        <f t="shared" si="428"/>
        <v>6</v>
      </c>
      <c r="U4975" s="22">
        <f t="shared" si="429"/>
        <v>2022</v>
      </c>
      <c r="V4975" s="22" t="str">
        <f t="shared" si="430"/>
        <v>METROPOLITANA</v>
      </c>
    </row>
    <row r="4976" spans="1:22" x14ac:dyDescent="0.2">
      <c r="A4976" s="11" t="s">
        <v>6004</v>
      </c>
      <c r="B4976" s="12" t="s">
        <v>33</v>
      </c>
      <c r="C4976" s="12" t="s">
        <v>44</v>
      </c>
      <c r="D4976" s="12" t="s">
        <v>47</v>
      </c>
      <c r="E4976" s="13" t="s">
        <v>49</v>
      </c>
      <c r="F4976" s="12" t="s">
        <v>59</v>
      </c>
      <c r="G4976" s="14">
        <v>5854.5</v>
      </c>
      <c r="H4976" s="12" t="s">
        <v>22</v>
      </c>
      <c r="I4976" s="12">
        <v>0</v>
      </c>
      <c r="J4976" s="12" t="s">
        <v>59</v>
      </c>
      <c r="K4976" s="12" t="s">
        <v>78</v>
      </c>
      <c r="L4976" s="12">
        <v>0</v>
      </c>
      <c r="M4976" s="15">
        <v>203000</v>
      </c>
      <c r="N4976" s="15">
        <v>0</v>
      </c>
      <c r="O4976" s="15">
        <f t="shared" si="431"/>
        <v>203000</v>
      </c>
      <c r="P4976" s="15">
        <f t="shared" si="432"/>
        <v>34.674182252967803</v>
      </c>
      <c r="Q4976" s="14">
        <v>20000</v>
      </c>
      <c r="R4976" s="12">
        <v>29</v>
      </c>
      <c r="S4976" s="12" t="s">
        <v>6012</v>
      </c>
      <c r="T4976" s="22">
        <f t="shared" si="428"/>
        <v>6</v>
      </c>
      <c r="U4976" s="22">
        <f t="shared" si="429"/>
        <v>2022</v>
      </c>
      <c r="V4976" s="22" t="str">
        <f t="shared" si="430"/>
        <v>REGIONES</v>
      </c>
    </row>
    <row r="4977" spans="1:22" x14ac:dyDescent="0.2">
      <c r="A4977" s="23" t="s">
        <v>6014</v>
      </c>
      <c r="B4977" s="22" t="s">
        <v>33</v>
      </c>
      <c r="C4977" s="22" t="s">
        <v>60</v>
      </c>
      <c r="D4977" s="22" t="s">
        <v>20</v>
      </c>
      <c r="E4977" s="24" t="s">
        <v>21</v>
      </c>
      <c r="F4977" s="22" t="s">
        <v>51</v>
      </c>
      <c r="G4977" s="25">
        <f>5184+3240</f>
        <v>8424</v>
      </c>
      <c r="H4977" s="22" t="s">
        <v>22</v>
      </c>
      <c r="I4977" s="22">
        <v>0</v>
      </c>
      <c r="J4977" s="22" t="s">
        <v>51</v>
      </c>
      <c r="K4977" s="22" t="s">
        <v>23</v>
      </c>
      <c r="L4977" s="22">
        <v>4</v>
      </c>
      <c r="M4977" s="26">
        <v>57024</v>
      </c>
      <c r="N4977" s="26">
        <v>0</v>
      </c>
      <c r="O4977" s="15">
        <f t="shared" si="431"/>
        <v>57024</v>
      </c>
      <c r="P4977" s="15">
        <f t="shared" si="432"/>
        <v>6.7692307692307692</v>
      </c>
      <c r="Q4977" s="25">
        <v>5000</v>
      </c>
      <c r="R4977" s="22">
        <v>100</v>
      </c>
      <c r="S4977" s="22" t="s">
        <v>6024</v>
      </c>
      <c r="T4977" s="22">
        <f t="shared" si="428"/>
        <v>6</v>
      </c>
      <c r="U4977" s="22">
        <f t="shared" si="429"/>
        <v>2022</v>
      </c>
      <c r="V4977" s="22" t="str">
        <f t="shared" si="430"/>
        <v>METROPOLITANA</v>
      </c>
    </row>
    <row r="4978" spans="1:22" x14ac:dyDescent="0.2">
      <c r="A4978" s="23" t="s">
        <v>6014</v>
      </c>
      <c r="B4978" s="22" t="s">
        <v>33</v>
      </c>
      <c r="C4978" s="22" t="s">
        <v>3566</v>
      </c>
      <c r="D4978" s="22" t="s">
        <v>30</v>
      </c>
      <c r="E4978" s="24" t="s">
        <v>31</v>
      </c>
      <c r="F4978" s="22" t="s">
        <v>173</v>
      </c>
      <c r="G4978" s="25">
        <v>5483.2</v>
      </c>
      <c r="H4978" s="22" t="s">
        <v>32</v>
      </c>
      <c r="I4978" s="22">
        <v>0</v>
      </c>
      <c r="J4978" s="22" t="s">
        <v>173</v>
      </c>
      <c r="K4978" s="22" t="s">
        <v>23</v>
      </c>
      <c r="L4978" s="22">
        <v>5</v>
      </c>
      <c r="M4978" s="26">
        <v>90000</v>
      </c>
      <c r="N4978" s="26">
        <v>0</v>
      </c>
      <c r="O4978" s="15">
        <f t="shared" si="431"/>
        <v>90000</v>
      </c>
      <c r="P4978" s="15">
        <f t="shared" si="432"/>
        <v>16.413772979282172</v>
      </c>
      <c r="Q4978" s="25">
        <v>10000</v>
      </c>
      <c r="R4978" s="22">
        <v>55</v>
      </c>
      <c r="S4978" s="22" t="s">
        <v>6015</v>
      </c>
      <c r="T4978" s="22">
        <f t="shared" si="428"/>
        <v>6</v>
      </c>
      <c r="U4978" s="22">
        <f t="shared" si="429"/>
        <v>2022</v>
      </c>
      <c r="V4978" s="22" t="str">
        <f t="shared" si="430"/>
        <v>METROPOLITANA</v>
      </c>
    </row>
    <row r="4979" spans="1:22" x14ac:dyDescent="0.2">
      <c r="A4979" s="23" t="s">
        <v>6014</v>
      </c>
      <c r="B4979" s="22" t="s">
        <v>33</v>
      </c>
      <c r="C4979" s="22" t="s">
        <v>36</v>
      </c>
      <c r="D4979" s="22" t="s">
        <v>786</v>
      </c>
      <c r="E4979" s="24" t="s">
        <v>1891</v>
      </c>
      <c r="F4979" s="22" t="s">
        <v>893</v>
      </c>
      <c r="G4979" s="25">
        <f>1648.8+3466</f>
        <v>5114.8</v>
      </c>
      <c r="H4979" s="22" t="s">
        <v>788</v>
      </c>
      <c r="I4979" s="22">
        <v>1</v>
      </c>
      <c r="J4979" s="22" t="s">
        <v>893</v>
      </c>
      <c r="K4979" s="22" t="s">
        <v>437</v>
      </c>
      <c r="L4979" s="22">
        <v>0</v>
      </c>
      <c r="M4979" s="26">
        <v>1000000</v>
      </c>
      <c r="N4979" s="26">
        <v>0</v>
      </c>
      <c r="O4979" s="15">
        <f t="shared" si="431"/>
        <v>1000000</v>
      </c>
      <c r="P4979" s="15">
        <f t="shared" si="432"/>
        <v>195.51106592633141</v>
      </c>
      <c r="Q4979" s="25">
        <v>20000</v>
      </c>
      <c r="R4979" s="22">
        <v>35</v>
      </c>
      <c r="S4979" s="22" t="s">
        <v>6025</v>
      </c>
      <c r="T4979" s="22">
        <f t="shared" si="428"/>
        <v>6</v>
      </c>
      <c r="U4979" s="22">
        <f t="shared" si="429"/>
        <v>2022</v>
      </c>
      <c r="V4979" s="22" t="str">
        <f t="shared" si="430"/>
        <v>REGIONES</v>
      </c>
    </row>
    <row r="4980" spans="1:22" x14ac:dyDescent="0.2">
      <c r="A4980" s="23" t="s">
        <v>6014</v>
      </c>
      <c r="B4980" s="22" t="s">
        <v>33</v>
      </c>
      <c r="C4980" s="22" t="s">
        <v>29</v>
      </c>
      <c r="D4980" s="22" t="s">
        <v>38</v>
      </c>
      <c r="E4980" s="24" t="s">
        <v>42</v>
      </c>
      <c r="F4980" s="22" t="s">
        <v>39</v>
      </c>
      <c r="G4980" s="25">
        <v>2176.1999999999998</v>
      </c>
      <c r="H4980" s="22" t="s">
        <v>43</v>
      </c>
      <c r="I4980" s="22">
        <v>0</v>
      </c>
      <c r="J4980" s="22" t="s">
        <v>39</v>
      </c>
      <c r="K4980" s="22" t="s">
        <v>23</v>
      </c>
      <c r="L4980" s="22">
        <v>1</v>
      </c>
      <c r="M4980" s="26">
        <v>55000</v>
      </c>
      <c r="N4980" s="26">
        <v>0</v>
      </c>
      <c r="O4980" s="15">
        <f t="shared" si="431"/>
        <v>55000</v>
      </c>
      <c r="P4980" s="15">
        <f t="shared" si="432"/>
        <v>25.273412370186566</v>
      </c>
      <c r="Q4980" s="25">
        <v>5000</v>
      </c>
      <c r="R4980" s="22">
        <v>44</v>
      </c>
      <c r="S4980" s="22" t="s">
        <v>6016</v>
      </c>
      <c r="T4980" s="22">
        <f t="shared" si="428"/>
        <v>6</v>
      </c>
      <c r="U4980" s="22">
        <f t="shared" si="429"/>
        <v>2022</v>
      </c>
      <c r="V4980" s="22" t="str">
        <f t="shared" si="430"/>
        <v>METROPOLITANA</v>
      </c>
    </row>
    <row r="4981" spans="1:22" x14ac:dyDescent="0.2">
      <c r="A4981" s="23" t="s">
        <v>6014</v>
      </c>
      <c r="B4981" s="22" t="s">
        <v>33</v>
      </c>
      <c r="C4981" s="22" t="s">
        <v>29</v>
      </c>
      <c r="D4981" s="22" t="s">
        <v>37</v>
      </c>
      <c r="E4981" s="24" t="s">
        <v>40</v>
      </c>
      <c r="F4981" s="22" t="s">
        <v>39</v>
      </c>
      <c r="G4981" s="25">
        <v>2176.1999999999989</v>
      </c>
      <c r="H4981" s="22" t="s">
        <v>22</v>
      </c>
      <c r="I4981" s="22">
        <v>0</v>
      </c>
      <c r="J4981" s="22" t="s">
        <v>39</v>
      </c>
      <c r="K4981" s="22" t="s">
        <v>23</v>
      </c>
      <c r="L4981" s="22">
        <v>1</v>
      </c>
      <c r="M4981" s="26">
        <v>55000</v>
      </c>
      <c r="N4981" s="26">
        <v>0</v>
      </c>
      <c r="O4981" s="15">
        <f t="shared" si="431"/>
        <v>55000</v>
      </c>
      <c r="P4981" s="15">
        <f t="shared" si="432"/>
        <v>25.273412370186577</v>
      </c>
      <c r="Q4981" s="25">
        <v>5000</v>
      </c>
      <c r="R4981" s="22">
        <v>44</v>
      </c>
      <c r="S4981" s="22" t="s">
        <v>6017</v>
      </c>
      <c r="T4981" s="22">
        <f t="shared" si="428"/>
        <v>6</v>
      </c>
      <c r="U4981" s="22">
        <f t="shared" si="429"/>
        <v>2022</v>
      </c>
      <c r="V4981" s="22" t="str">
        <f t="shared" si="430"/>
        <v>METROPOLITANA</v>
      </c>
    </row>
    <row r="4982" spans="1:22" x14ac:dyDescent="0.2">
      <c r="A4982" s="23" t="s">
        <v>6014</v>
      </c>
      <c r="B4982" s="22" t="s">
        <v>33</v>
      </c>
      <c r="C4982" s="22" t="s">
        <v>29</v>
      </c>
      <c r="D4982" s="22" t="s">
        <v>164</v>
      </c>
      <c r="E4982" s="24" t="s">
        <v>28</v>
      </c>
      <c r="F4982" s="22" t="s">
        <v>39</v>
      </c>
      <c r="G4982" s="25">
        <v>6528.5999999999976</v>
      </c>
      <c r="H4982" s="22" t="s">
        <v>22</v>
      </c>
      <c r="I4982" s="22">
        <v>1</v>
      </c>
      <c r="J4982" s="22" t="s">
        <v>39</v>
      </c>
      <c r="K4982" s="22" t="s">
        <v>23</v>
      </c>
      <c r="L4982" s="22">
        <v>1</v>
      </c>
      <c r="M4982" s="26">
        <v>71815</v>
      </c>
      <c r="N4982" s="26">
        <v>0</v>
      </c>
      <c r="O4982" s="15">
        <f t="shared" si="431"/>
        <v>71815</v>
      </c>
      <c r="P4982" s="15">
        <f t="shared" si="432"/>
        <v>11.000061268878477</v>
      </c>
      <c r="Q4982" s="25">
        <v>5000</v>
      </c>
      <c r="R4982" s="22">
        <v>100</v>
      </c>
      <c r="S4982" s="22" t="s">
        <v>6018</v>
      </c>
      <c r="T4982" s="22">
        <f t="shared" si="428"/>
        <v>6</v>
      </c>
      <c r="U4982" s="22">
        <f t="shared" si="429"/>
        <v>2022</v>
      </c>
      <c r="V4982" s="22" t="str">
        <f t="shared" si="430"/>
        <v>METROPOLITANA</v>
      </c>
    </row>
    <row r="4983" spans="1:22" x14ac:dyDescent="0.2">
      <c r="A4983" s="23" t="s">
        <v>6014</v>
      </c>
      <c r="B4983" s="22" t="s">
        <v>33</v>
      </c>
      <c r="C4983" s="22" t="s">
        <v>44</v>
      </c>
      <c r="D4983" s="22" t="s">
        <v>2825</v>
      </c>
      <c r="E4983" s="24" t="s">
        <v>6019</v>
      </c>
      <c r="F4983" s="22" t="s">
        <v>3438</v>
      </c>
      <c r="G4983" s="25">
        <v>6972.8400000000038</v>
      </c>
      <c r="H4983" s="22" t="s">
        <v>24</v>
      </c>
      <c r="I4983" s="22">
        <v>1</v>
      </c>
      <c r="J4983" s="22" t="s">
        <v>3438</v>
      </c>
      <c r="K4983" s="22" t="s">
        <v>93</v>
      </c>
      <c r="L4983" s="22">
        <v>0</v>
      </c>
      <c r="M4983" s="26">
        <v>800000</v>
      </c>
      <c r="N4983" s="26">
        <v>0</v>
      </c>
      <c r="O4983" s="15">
        <f t="shared" si="431"/>
        <v>800000</v>
      </c>
      <c r="P4983" s="15">
        <f t="shared" si="432"/>
        <v>114.73087006155305</v>
      </c>
      <c r="Q4983" s="25">
        <v>20000</v>
      </c>
      <c r="R4983" s="22">
        <v>35</v>
      </c>
      <c r="S4983" s="22" t="s">
        <v>6020</v>
      </c>
      <c r="T4983" s="22">
        <f t="shared" si="428"/>
        <v>6</v>
      </c>
      <c r="U4983" s="22">
        <f t="shared" si="429"/>
        <v>2022</v>
      </c>
      <c r="V4983" s="22" t="str">
        <f t="shared" si="430"/>
        <v>REGIONES</v>
      </c>
    </row>
    <row r="4984" spans="1:22" x14ac:dyDescent="0.2">
      <c r="A4984" s="23" t="s">
        <v>6014</v>
      </c>
      <c r="B4984" s="22" t="s">
        <v>33</v>
      </c>
      <c r="C4984" s="22" t="s">
        <v>44</v>
      </c>
      <c r="D4984" s="22" t="s">
        <v>45</v>
      </c>
      <c r="E4984" s="24" t="s">
        <v>52</v>
      </c>
      <c r="F4984" s="22" t="s">
        <v>134</v>
      </c>
      <c r="G4984" s="25">
        <v>5092.1399999999994</v>
      </c>
      <c r="H4984" s="22" t="s">
        <v>22</v>
      </c>
      <c r="I4984" s="22">
        <v>0</v>
      </c>
      <c r="J4984" s="22" t="s">
        <v>134</v>
      </c>
      <c r="K4984" s="22" t="s">
        <v>23</v>
      </c>
      <c r="L4984" s="22">
        <v>2</v>
      </c>
      <c r="M4984" s="26">
        <v>56014</v>
      </c>
      <c r="N4984" s="26">
        <v>0</v>
      </c>
      <c r="O4984" s="15">
        <f t="shared" si="431"/>
        <v>56014</v>
      </c>
      <c r="P4984" s="15">
        <f t="shared" si="432"/>
        <v>11.000090335301072</v>
      </c>
      <c r="Q4984" s="25">
        <v>5000</v>
      </c>
      <c r="R4984" s="22">
        <v>100</v>
      </c>
      <c r="S4984" s="22" t="s">
        <v>6021</v>
      </c>
      <c r="T4984" s="22">
        <f t="shared" si="428"/>
        <v>6</v>
      </c>
      <c r="U4984" s="22">
        <f t="shared" si="429"/>
        <v>2022</v>
      </c>
      <c r="V4984" s="22" t="str">
        <f t="shared" si="430"/>
        <v>METROPOLITANA</v>
      </c>
    </row>
    <row r="4985" spans="1:22" x14ac:dyDescent="0.2">
      <c r="A4985" s="23" t="s">
        <v>6014</v>
      </c>
      <c r="B4985" s="22" t="s">
        <v>33</v>
      </c>
      <c r="C4985" s="22" t="s">
        <v>44</v>
      </c>
      <c r="D4985" s="22" t="s">
        <v>47</v>
      </c>
      <c r="E4985" s="24" t="s">
        <v>49</v>
      </c>
      <c r="F4985" s="22" t="s">
        <v>59</v>
      </c>
      <c r="G4985" s="25">
        <v>4381.76</v>
      </c>
      <c r="H4985" s="22" t="s">
        <v>22</v>
      </c>
      <c r="I4985" s="22">
        <v>0</v>
      </c>
      <c r="J4985" s="22" t="s">
        <v>59</v>
      </c>
      <c r="K4985" s="22" t="s">
        <v>78</v>
      </c>
      <c r="L4985" s="22">
        <v>0</v>
      </c>
      <c r="M4985" s="26">
        <v>203000</v>
      </c>
      <c r="N4985" s="26">
        <v>0</v>
      </c>
      <c r="O4985" s="15">
        <f t="shared" si="431"/>
        <v>203000</v>
      </c>
      <c r="P4985" s="15">
        <f t="shared" si="432"/>
        <v>46.328415978967357</v>
      </c>
      <c r="Q4985" s="25">
        <v>20000</v>
      </c>
      <c r="R4985" s="22">
        <v>22</v>
      </c>
      <c r="S4985" s="22" t="s">
        <v>6022</v>
      </c>
      <c r="T4985" s="22">
        <f t="shared" si="428"/>
        <v>6</v>
      </c>
      <c r="U4985" s="22">
        <f t="shared" si="429"/>
        <v>2022</v>
      </c>
      <c r="V4985" s="22" t="str">
        <f t="shared" si="430"/>
        <v>REGIONES</v>
      </c>
    </row>
    <row r="4986" spans="1:22" x14ac:dyDescent="0.2">
      <c r="A4986" s="23" t="s">
        <v>6014</v>
      </c>
      <c r="B4986" s="22" t="s">
        <v>33</v>
      </c>
      <c r="C4986" s="22" t="s">
        <v>4802</v>
      </c>
      <c r="D4986" s="22" t="s">
        <v>130</v>
      </c>
      <c r="E4986" s="24" t="s">
        <v>131</v>
      </c>
      <c r="F4986" s="22" t="s">
        <v>815</v>
      </c>
      <c r="G4986" s="25">
        <v>8502</v>
      </c>
      <c r="H4986" s="22" t="s">
        <v>85</v>
      </c>
      <c r="I4986" s="22">
        <v>1</v>
      </c>
      <c r="J4986" s="22" t="s">
        <v>815</v>
      </c>
      <c r="K4986" s="22" t="s">
        <v>75</v>
      </c>
      <c r="L4986" s="22">
        <v>0</v>
      </c>
      <c r="M4986" s="26">
        <v>460000</v>
      </c>
      <c r="N4986" s="26">
        <v>0</v>
      </c>
      <c r="O4986" s="15">
        <f t="shared" si="431"/>
        <v>460000</v>
      </c>
      <c r="P4986" s="15">
        <f t="shared" si="432"/>
        <v>54.104916490237592</v>
      </c>
      <c r="Q4986" s="25">
        <v>20000</v>
      </c>
      <c r="R4986" s="22">
        <v>43</v>
      </c>
      <c r="S4986" s="22" t="s">
        <v>6023</v>
      </c>
      <c r="T4986" s="22">
        <f t="shared" si="428"/>
        <v>6</v>
      </c>
      <c r="U4986" s="22">
        <f t="shared" si="429"/>
        <v>2022</v>
      </c>
      <c r="V4986" s="22" t="str">
        <f t="shared" si="430"/>
        <v>REGIONES</v>
      </c>
    </row>
    <row r="4987" spans="1:22" x14ac:dyDescent="0.2">
      <c r="A4987" s="11" t="s">
        <v>6026</v>
      </c>
      <c r="B4987" s="12" t="s">
        <v>18</v>
      </c>
      <c r="C4987" s="12" t="s">
        <v>270</v>
      </c>
      <c r="D4987" s="12" t="s">
        <v>63</v>
      </c>
      <c r="E4987" s="13" t="s">
        <v>64</v>
      </c>
      <c r="F4987" s="12" t="s">
        <v>120</v>
      </c>
      <c r="G4987" s="14">
        <v>6378.72</v>
      </c>
      <c r="H4987" s="12" t="s">
        <v>65</v>
      </c>
      <c r="I4987" s="12">
        <v>0</v>
      </c>
      <c r="J4987" s="12" t="s">
        <v>120</v>
      </c>
      <c r="K4987" s="12" t="s">
        <v>23</v>
      </c>
      <c r="L4987" s="12">
        <v>5</v>
      </c>
      <c r="M4987" s="15">
        <v>70000</v>
      </c>
      <c r="N4987" s="15">
        <v>0</v>
      </c>
      <c r="O4987" s="15">
        <f t="shared" si="431"/>
        <v>70000</v>
      </c>
      <c r="P4987" s="15">
        <f t="shared" si="432"/>
        <v>10.973988511801741</v>
      </c>
      <c r="Q4987" s="14">
        <v>10000</v>
      </c>
      <c r="R4987" s="12">
        <v>64</v>
      </c>
      <c r="S4987" s="12" t="s">
        <v>6027</v>
      </c>
      <c r="T4987" s="22">
        <f t="shared" si="428"/>
        <v>6</v>
      </c>
      <c r="U4987" s="22">
        <f t="shared" si="429"/>
        <v>2022</v>
      </c>
      <c r="V4987" s="22" t="str">
        <f t="shared" si="430"/>
        <v>METROPOLITANA</v>
      </c>
    </row>
    <row r="4988" spans="1:22" x14ac:dyDescent="0.2">
      <c r="A4988" s="11" t="s">
        <v>6026</v>
      </c>
      <c r="B4988" s="12" t="s">
        <v>18</v>
      </c>
      <c r="C4988" s="12" t="s">
        <v>1173</v>
      </c>
      <c r="D4988" s="12" t="s">
        <v>37</v>
      </c>
      <c r="E4988" s="13" t="s">
        <v>40</v>
      </c>
      <c r="F4988" s="12" t="s">
        <v>182</v>
      </c>
      <c r="G4988" s="14">
        <v>11081.3</v>
      </c>
      <c r="H4988" s="12" t="s">
        <v>22</v>
      </c>
      <c r="I4988" s="12">
        <v>0</v>
      </c>
      <c r="J4988" s="12" t="s">
        <v>182</v>
      </c>
      <c r="K4988" s="12" t="s">
        <v>23</v>
      </c>
      <c r="L4988" s="12">
        <v>4</v>
      </c>
      <c r="M4988" s="15">
        <v>121894</v>
      </c>
      <c r="N4988" s="15">
        <v>0</v>
      </c>
      <c r="O4988" s="15">
        <f t="shared" si="431"/>
        <v>121894</v>
      </c>
      <c r="P4988" s="15">
        <f t="shared" si="432"/>
        <v>10.999972927364119</v>
      </c>
      <c r="Q4988" s="14">
        <v>5000</v>
      </c>
      <c r="R4988" s="12">
        <v>100</v>
      </c>
      <c r="S4988" s="12" t="s">
        <v>6028</v>
      </c>
      <c r="T4988" s="22">
        <f t="shared" si="428"/>
        <v>6</v>
      </c>
      <c r="U4988" s="22">
        <f t="shared" si="429"/>
        <v>2022</v>
      </c>
      <c r="V4988" s="22" t="str">
        <f t="shared" si="430"/>
        <v>METROPOLITANA</v>
      </c>
    </row>
    <row r="4989" spans="1:22" x14ac:dyDescent="0.2">
      <c r="A4989" s="11" t="s">
        <v>6026</v>
      </c>
      <c r="B4989" s="12" t="s">
        <v>18</v>
      </c>
      <c r="C4989" s="12" t="s">
        <v>29</v>
      </c>
      <c r="D4989" s="12" t="s">
        <v>38</v>
      </c>
      <c r="E4989" s="13" t="s">
        <v>42</v>
      </c>
      <c r="F4989" s="12" t="s">
        <v>51</v>
      </c>
      <c r="G4989" s="14">
        <v>2820</v>
      </c>
      <c r="H4989" s="12" t="s">
        <v>43</v>
      </c>
      <c r="I4989" s="12">
        <v>0</v>
      </c>
      <c r="J4989" s="12" t="s">
        <v>51</v>
      </c>
      <c r="K4989" s="12" t="s">
        <v>23</v>
      </c>
      <c r="L4989" s="12">
        <v>4</v>
      </c>
      <c r="M4989" s="15">
        <v>55000</v>
      </c>
      <c r="N4989" s="15">
        <v>0</v>
      </c>
      <c r="O4989" s="15">
        <f t="shared" si="431"/>
        <v>55000</v>
      </c>
      <c r="P4989" s="15">
        <f t="shared" si="432"/>
        <v>19.50354609929078</v>
      </c>
      <c r="Q4989" s="14">
        <v>5000</v>
      </c>
      <c r="R4989" s="12">
        <v>56</v>
      </c>
      <c r="S4989" s="12" t="s">
        <v>6029</v>
      </c>
      <c r="T4989" s="22">
        <f t="shared" si="428"/>
        <v>6</v>
      </c>
      <c r="U4989" s="22">
        <f t="shared" si="429"/>
        <v>2022</v>
      </c>
      <c r="V4989" s="22" t="str">
        <f t="shared" si="430"/>
        <v>METROPOLITANA</v>
      </c>
    </row>
    <row r="4990" spans="1:22" x14ac:dyDescent="0.2">
      <c r="A4990" s="11" t="s">
        <v>6026</v>
      </c>
      <c r="B4990" s="12" t="s">
        <v>18</v>
      </c>
      <c r="C4990" s="12" t="s">
        <v>508</v>
      </c>
      <c r="D4990" s="12" t="s">
        <v>30</v>
      </c>
      <c r="E4990" s="13" t="s">
        <v>31</v>
      </c>
      <c r="F4990" s="12" t="s">
        <v>58</v>
      </c>
      <c r="G4990" s="14">
        <v>15054.96</v>
      </c>
      <c r="H4990" s="12" t="s">
        <v>32</v>
      </c>
      <c r="I4990" s="12">
        <v>0</v>
      </c>
      <c r="J4990" s="12" t="s">
        <v>58</v>
      </c>
      <c r="K4990" s="12" t="s">
        <v>23</v>
      </c>
      <c r="L4990" s="12">
        <v>5</v>
      </c>
      <c r="M4990" s="15">
        <v>70000</v>
      </c>
      <c r="N4990" s="15">
        <v>0</v>
      </c>
      <c r="O4990" s="15">
        <f t="shared" si="431"/>
        <v>70000</v>
      </c>
      <c r="P4990" s="15">
        <f t="shared" si="432"/>
        <v>4.6496304208048382</v>
      </c>
      <c r="Q4990" s="14">
        <v>10000</v>
      </c>
      <c r="R4990" s="12">
        <v>100</v>
      </c>
      <c r="S4990" s="12" t="s">
        <v>6030</v>
      </c>
      <c r="T4990" s="22">
        <f t="shared" si="428"/>
        <v>6</v>
      </c>
      <c r="U4990" s="22">
        <f t="shared" si="429"/>
        <v>2022</v>
      </c>
      <c r="V4990" s="22" t="str">
        <f t="shared" si="430"/>
        <v>METROPOLITANA</v>
      </c>
    </row>
    <row r="4991" spans="1:22" x14ac:dyDescent="0.2">
      <c r="A4991" s="11" t="s">
        <v>6026</v>
      </c>
      <c r="B4991" s="12" t="s">
        <v>33</v>
      </c>
      <c r="C4991" s="12" t="s">
        <v>1233</v>
      </c>
      <c r="D4991" s="12" t="s">
        <v>6031</v>
      </c>
      <c r="E4991" s="13" t="s">
        <v>1576</v>
      </c>
      <c r="F4991" s="12" t="s">
        <v>1234</v>
      </c>
      <c r="G4991" s="14">
        <v>1700.4</v>
      </c>
      <c r="H4991" s="12" t="s">
        <v>24</v>
      </c>
      <c r="I4991" s="12">
        <v>1</v>
      </c>
      <c r="J4991" s="12" t="s">
        <v>1234</v>
      </c>
      <c r="K4991" s="12" t="s">
        <v>23</v>
      </c>
      <c r="L4991" s="12">
        <v>3</v>
      </c>
      <c r="M4991" s="15">
        <v>55000</v>
      </c>
      <c r="N4991" s="15">
        <v>0</v>
      </c>
      <c r="O4991" s="15">
        <f t="shared" si="431"/>
        <v>55000</v>
      </c>
      <c r="P4991" s="15">
        <f t="shared" si="432"/>
        <v>32.345330510468123</v>
      </c>
      <c r="Q4991" s="14">
        <v>5000</v>
      </c>
      <c r="R4991" s="12">
        <v>34</v>
      </c>
      <c r="S4991" s="12" t="s">
        <v>6032</v>
      </c>
      <c r="T4991" s="22">
        <f t="shared" si="428"/>
        <v>6</v>
      </c>
      <c r="U4991" s="22">
        <f t="shared" si="429"/>
        <v>2022</v>
      </c>
      <c r="V4991" s="22" t="str">
        <f t="shared" si="430"/>
        <v>METROPOLITANA</v>
      </c>
    </row>
    <row r="4992" spans="1:22" x14ac:dyDescent="0.2">
      <c r="A4992" s="11" t="s">
        <v>6026</v>
      </c>
      <c r="B4992" s="12" t="s">
        <v>33</v>
      </c>
      <c r="C4992" s="12" t="s">
        <v>128</v>
      </c>
      <c r="D4992" s="12" t="s">
        <v>786</v>
      </c>
      <c r="E4992" s="13" t="s">
        <v>787</v>
      </c>
      <c r="F4992" s="12" t="s">
        <v>34</v>
      </c>
      <c r="G4992" s="14">
        <v>15509.099999999989</v>
      </c>
      <c r="H4992" s="12" t="s">
        <v>788</v>
      </c>
      <c r="I4992" s="12">
        <v>1</v>
      </c>
      <c r="J4992" s="12" t="s">
        <v>34</v>
      </c>
      <c r="K4992" s="12" t="s">
        <v>23</v>
      </c>
      <c r="L4992" s="12">
        <v>1</v>
      </c>
      <c r="M4992" s="15">
        <v>170600</v>
      </c>
      <c r="N4992" s="15">
        <v>0</v>
      </c>
      <c r="O4992" s="15">
        <f t="shared" si="431"/>
        <v>170600</v>
      </c>
      <c r="P4992" s="15">
        <f t="shared" si="432"/>
        <v>10.999993552172603</v>
      </c>
      <c r="Q4992" s="14">
        <v>5000</v>
      </c>
      <c r="R4992" s="12">
        <v>100</v>
      </c>
      <c r="S4992" s="12" t="s">
        <v>6033</v>
      </c>
      <c r="T4992" s="22">
        <f t="shared" si="428"/>
        <v>6</v>
      </c>
      <c r="U4992" s="22">
        <f t="shared" si="429"/>
        <v>2022</v>
      </c>
      <c r="V4992" s="22" t="str">
        <f t="shared" si="430"/>
        <v>METROPOLITANA</v>
      </c>
    </row>
    <row r="4993" spans="1:22" x14ac:dyDescent="0.2">
      <c r="A4993" s="11" t="s">
        <v>6026</v>
      </c>
      <c r="B4993" s="12" t="s">
        <v>33</v>
      </c>
      <c r="C4993" s="12" t="s">
        <v>36</v>
      </c>
      <c r="D4993" s="12" t="s">
        <v>1869</v>
      </c>
      <c r="E4993" s="13" t="s">
        <v>1870</v>
      </c>
      <c r="F4993" s="12" t="s">
        <v>2744</v>
      </c>
      <c r="G4993" s="14">
        <f>3884.4+4227</f>
        <v>8111.4</v>
      </c>
      <c r="H4993" s="12" t="s">
        <v>24</v>
      </c>
      <c r="I4993" s="12">
        <v>1</v>
      </c>
      <c r="J4993" s="12" t="s">
        <v>2744</v>
      </c>
      <c r="K4993" s="12" t="s">
        <v>75</v>
      </c>
      <c r="L4993" s="12">
        <v>0</v>
      </c>
      <c r="M4993" s="15">
        <v>420000</v>
      </c>
      <c r="N4993" s="15">
        <v>0</v>
      </c>
      <c r="O4993" s="15">
        <f t="shared" si="431"/>
        <v>420000</v>
      </c>
      <c r="P4993" s="15">
        <f t="shared" si="432"/>
        <v>51.778977735039575</v>
      </c>
      <c r="Q4993" s="14">
        <v>20000</v>
      </c>
      <c r="R4993" s="12">
        <v>45</v>
      </c>
      <c r="S4993" s="12" t="s">
        <v>6039</v>
      </c>
      <c r="T4993" s="22">
        <f t="shared" si="428"/>
        <v>6</v>
      </c>
      <c r="U4993" s="22">
        <f t="shared" si="429"/>
        <v>2022</v>
      </c>
      <c r="V4993" s="22" t="str">
        <f t="shared" si="430"/>
        <v>REGIONES</v>
      </c>
    </row>
    <row r="4994" spans="1:22" x14ac:dyDescent="0.2">
      <c r="A4994" s="11" t="s">
        <v>6026</v>
      </c>
      <c r="B4994" s="12" t="s">
        <v>33</v>
      </c>
      <c r="C4994" s="12" t="s">
        <v>29</v>
      </c>
      <c r="D4994" s="12" t="s">
        <v>63</v>
      </c>
      <c r="E4994" s="13" t="s">
        <v>64</v>
      </c>
      <c r="F4994" s="12" t="s">
        <v>39</v>
      </c>
      <c r="G4994" s="14">
        <v>2718.87</v>
      </c>
      <c r="H4994" s="12" t="s">
        <v>65</v>
      </c>
      <c r="I4994" s="12">
        <v>0</v>
      </c>
      <c r="J4994" s="12" t="s">
        <v>39</v>
      </c>
      <c r="K4994" s="12" t="s">
        <v>23</v>
      </c>
      <c r="L4994" s="12">
        <v>1</v>
      </c>
      <c r="M4994" s="15">
        <v>55000</v>
      </c>
      <c r="N4994" s="15">
        <v>0</v>
      </c>
      <c r="O4994" s="15">
        <f t="shared" si="431"/>
        <v>55000</v>
      </c>
      <c r="P4994" s="15">
        <f t="shared" si="432"/>
        <v>20.228992191609017</v>
      </c>
      <c r="Q4994" s="14">
        <v>5000</v>
      </c>
      <c r="R4994" s="12">
        <v>54</v>
      </c>
      <c r="S4994" s="12" t="s">
        <v>6034</v>
      </c>
      <c r="T4994" s="22">
        <f t="shared" si="428"/>
        <v>6</v>
      </c>
      <c r="U4994" s="22">
        <f t="shared" si="429"/>
        <v>2022</v>
      </c>
      <c r="V4994" s="22" t="str">
        <f t="shared" si="430"/>
        <v>METROPOLITANA</v>
      </c>
    </row>
    <row r="4995" spans="1:22" x14ac:dyDescent="0.2">
      <c r="A4995" s="11" t="s">
        <v>6026</v>
      </c>
      <c r="B4995" s="12" t="s">
        <v>33</v>
      </c>
      <c r="C4995" s="12" t="s">
        <v>29</v>
      </c>
      <c r="D4995" s="12" t="s">
        <v>30</v>
      </c>
      <c r="E4995" s="13" t="s">
        <v>31</v>
      </c>
      <c r="F4995" s="12" t="s">
        <v>39</v>
      </c>
      <c r="G4995" s="14">
        <v>2718.87</v>
      </c>
      <c r="H4995" s="12" t="s">
        <v>32</v>
      </c>
      <c r="I4995" s="12">
        <v>0</v>
      </c>
      <c r="J4995" s="12" t="s">
        <v>39</v>
      </c>
      <c r="K4995" s="12" t="s">
        <v>23</v>
      </c>
      <c r="L4995" s="12">
        <v>1</v>
      </c>
      <c r="M4995" s="15">
        <v>55000</v>
      </c>
      <c r="N4995" s="15">
        <v>0</v>
      </c>
      <c r="O4995" s="15">
        <f t="shared" si="431"/>
        <v>55000</v>
      </c>
      <c r="P4995" s="15">
        <f t="shared" si="432"/>
        <v>20.228992191609017</v>
      </c>
      <c r="Q4995" s="14">
        <v>5000</v>
      </c>
      <c r="R4995" s="12">
        <v>54</v>
      </c>
      <c r="S4995" s="12" t="s">
        <v>6035</v>
      </c>
      <c r="T4995" s="22">
        <f t="shared" si="428"/>
        <v>6</v>
      </c>
      <c r="U4995" s="22">
        <f t="shared" si="429"/>
        <v>2022</v>
      </c>
      <c r="V4995" s="22" t="str">
        <f t="shared" si="430"/>
        <v>METROPOLITANA</v>
      </c>
    </row>
    <row r="4996" spans="1:22" x14ac:dyDescent="0.2">
      <c r="A4996" s="11" t="s">
        <v>6026</v>
      </c>
      <c r="B4996" s="12" t="s">
        <v>33</v>
      </c>
      <c r="C4996" s="12" t="s">
        <v>29</v>
      </c>
      <c r="D4996" s="12" t="s">
        <v>164</v>
      </c>
      <c r="E4996" s="13" t="s">
        <v>28</v>
      </c>
      <c r="F4996" s="12" t="s">
        <v>39</v>
      </c>
      <c r="G4996" s="14">
        <v>6528.5999999999995</v>
      </c>
      <c r="H4996" s="12" t="s">
        <v>22</v>
      </c>
      <c r="I4996" s="12">
        <v>1</v>
      </c>
      <c r="J4996" s="12" t="s">
        <v>39</v>
      </c>
      <c r="K4996" s="12" t="s">
        <v>23</v>
      </c>
      <c r="L4996" s="12">
        <v>1</v>
      </c>
      <c r="M4996" s="15">
        <v>71815</v>
      </c>
      <c r="N4996" s="15">
        <v>0</v>
      </c>
      <c r="O4996" s="15">
        <f t="shared" si="431"/>
        <v>71815</v>
      </c>
      <c r="P4996" s="15">
        <f t="shared" si="432"/>
        <v>11.000061268878474</v>
      </c>
      <c r="Q4996" s="14">
        <v>5000</v>
      </c>
      <c r="R4996" s="12">
        <v>100</v>
      </c>
      <c r="S4996" s="12" t="s">
        <v>6036</v>
      </c>
      <c r="T4996" s="22">
        <f t="shared" si="428"/>
        <v>6</v>
      </c>
      <c r="U4996" s="22">
        <f t="shared" si="429"/>
        <v>2022</v>
      </c>
      <c r="V4996" s="22" t="str">
        <f t="shared" si="430"/>
        <v>METROPOLITANA</v>
      </c>
    </row>
    <row r="4997" spans="1:22" x14ac:dyDescent="0.2">
      <c r="A4997" s="11" t="s">
        <v>6026</v>
      </c>
      <c r="B4997" s="12" t="s">
        <v>33</v>
      </c>
      <c r="C4997" s="12" t="s">
        <v>44</v>
      </c>
      <c r="D4997" s="12" t="s">
        <v>5478</v>
      </c>
      <c r="E4997" s="13" t="s">
        <v>83</v>
      </c>
      <c r="F4997" s="12" t="s">
        <v>92</v>
      </c>
      <c r="G4997" s="14">
        <v>8146.6999999999989</v>
      </c>
      <c r="H4997" s="12" t="s">
        <v>24</v>
      </c>
      <c r="I4997" s="12">
        <v>1</v>
      </c>
      <c r="J4997" s="12" t="s">
        <v>92</v>
      </c>
      <c r="K4997" s="12" t="s">
        <v>93</v>
      </c>
      <c r="L4997" s="12">
        <v>0</v>
      </c>
      <c r="M4997" s="15">
        <v>700000</v>
      </c>
      <c r="N4997" s="15">
        <v>0</v>
      </c>
      <c r="O4997" s="15">
        <f t="shared" si="431"/>
        <v>700000</v>
      </c>
      <c r="P4997" s="15">
        <f t="shared" si="432"/>
        <v>85.924362011612075</v>
      </c>
      <c r="Q4997" s="14">
        <v>20000</v>
      </c>
      <c r="R4997" s="12">
        <v>41</v>
      </c>
      <c r="S4997" s="12" t="s">
        <v>6037</v>
      </c>
      <c r="T4997" s="22">
        <f t="shared" si="428"/>
        <v>6</v>
      </c>
      <c r="U4997" s="22">
        <f t="shared" si="429"/>
        <v>2022</v>
      </c>
      <c r="V4997" s="22" t="str">
        <f t="shared" si="430"/>
        <v>REGIONES</v>
      </c>
    </row>
    <row r="4998" spans="1:22" x14ac:dyDescent="0.2">
      <c r="A4998" s="11" t="s">
        <v>6026</v>
      </c>
      <c r="B4998" s="12" t="s">
        <v>33</v>
      </c>
      <c r="C4998" s="12" t="s">
        <v>44</v>
      </c>
      <c r="D4998" s="12" t="s">
        <v>41</v>
      </c>
      <c r="E4998" s="13" t="s">
        <v>25</v>
      </c>
      <c r="F4998" s="12" t="s">
        <v>53</v>
      </c>
      <c r="G4998" s="14">
        <v>12735.9</v>
      </c>
      <c r="H4998" s="12" t="s">
        <v>43</v>
      </c>
      <c r="I4998" s="12">
        <v>0</v>
      </c>
      <c r="J4998" s="12" t="s">
        <v>53</v>
      </c>
      <c r="K4998" s="12" t="s">
        <v>23</v>
      </c>
      <c r="L4998" s="12">
        <v>3</v>
      </c>
      <c r="M4998" s="15">
        <v>140095</v>
      </c>
      <c r="N4998" s="15">
        <v>0</v>
      </c>
      <c r="O4998" s="15">
        <f t="shared" si="431"/>
        <v>140095</v>
      </c>
      <c r="P4998" s="15">
        <f t="shared" si="432"/>
        <v>11.000007851820445</v>
      </c>
      <c r="Q4998" s="14">
        <v>5000</v>
      </c>
      <c r="R4998" s="12">
        <v>100</v>
      </c>
      <c r="S4998" s="12" t="s">
        <v>6038</v>
      </c>
      <c r="T4998" s="22">
        <f t="shared" si="428"/>
        <v>6</v>
      </c>
      <c r="U4998" s="22">
        <f t="shared" si="429"/>
        <v>2022</v>
      </c>
      <c r="V4998" s="22" t="str">
        <f t="shared" si="430"/>
        <v>METROPOLITANA</v>
      </c>
    </row>
    <row r="4999" spans="1:22" x14ac:dyDescent="0.2">
      <c r="A4999" s="23" t="s">
        <v>6040</v>
      </c>
      <c r="B4999" s="22" t="s">
        <v>18</v>
      </c>
      <c r="C4999" s="22" t="s">
        <v>270</v>
      </c>
      <c r="D4999" s="22" t="s">
        <v>37</v>
      </c>
      <c r="E4999" s="24" t="s">
        <v>40</v>
      </c>
      <c r="F4999" s="22" t="s">
        <v>120</v>
      </c>
      <c r="G4999" s="25">
        <v>6778</v>
      </c>
      <c r="H4999" s="22" t="s">
        <v>22</v>
      </c>
      <c r="I4999" s="22">
        <v>0</v>
      </c>
      <c r="J4999" s="22" t="s">
        <v>120</v>
      </c>
      <c r="K4999" s="22" t="s">
        <v>23</v>
      </c>
      <c r="L4999" s="22">
        <v>5</v>
      </c>
      <c r="M4999" s="26">
        <v>70000</v>
      </c>
      <c r="N4999" s="26">
        <v>0</v>
      </c>
      <c r="O4999" s="15">
        <f t="shared" si="431"/>
        <v>70000</v>
      </c>
      <c r="P4999" s="15">
        <f t="shared" si="432"/>
        <v>10.327530244910003</v>
      </c>
      <c r="Q4999" s="25">
        <v>10000</v>
      </c>
      <c r="R4999" s="22">
        <v>68</v>
      </c>
      <c r="S4999" s="22" t="s">
        <v>6041</v>
      </c>
      <c r="T4999" s="22">
        <f t="shared" ref="T4999:T5062" si="433">MONTH(A4999)</f>
        <v>6</v>
      </c>
      <c r="U4999" s="22">
        <f t="shared" ref="U4999:U5062" si="434">YEAR(A4999)</f>
        <v>2022</v>
      </c>
      <c r="V4999" s="22" t="str">
        <f t="shared" ref="V4999:V5062" si="435">IF(K4999="METROPOLITANA DE SANTIAGO","METROPOLITANA","REGIONES")</f>
        <v>METROPOLITANA</v>
      </c>
    </row>
    <row r="5000" spans="1:22" x14ac:dyDescent="0.2">
      <c r="A5000" s="23" t="s">
        <v>6040</v>
      </c>
      <c r="B5000" s="22" t="s">
        <v>18</v>
      </c>
      <c r="C5000" s="22" t="s">
        <v>1173</v>
      </c>
      <c r="D5000" s="22" t="s">
        <v>20</v>
      </c>
      <c r="E5000" s="24" t="s">
        <v>1576</v>
      </c>
      <c r="F5000" s="22" t="s">
        <v>182</v>
      </c>
      <c r="G5000" s="25">
        <v>2210</v>
      </c>
      <c r="H5000" s="22" t="s">
        <v>22</v>
      </c>
      <c r="I5000" s="22">
        <v>0</v>
      </c>
      <c r="J5000" s="22" t="s">
        <v>182</v>
      </c>
      <c r="K5000" s="22" t="s">
        <v>23</v>
      </c>
      <c r="L5000" s="22">
        <v>4</v>
      </c>
      <c r="M5000" s="26">
        <v>55000</v>
      </c>
      <c r="N5000" s="26">
        <v>0</v>
      </c>
      <c r="O5000" s="15">
        <f t="shared" si="431"/>
        <v>55000</v>
      </c>
      <c r="P5000" s="15">
        <f t="shared" si="432"/>
        <v>24.886877828054299</v>
      </c>
      <c r="Q5000" s="25">
        <v>5000</v>
      </c>
      <c r="R5000" s="22">
        <v>44</v>
      </c>
      <c r="S5000" s="22" t="s">
        <v>6042</v>
      </c>
      <c r="T5000" s="22">
        <f t="shared" si="433"/>
        <v>6</v>
      </c>
      <c r="U5000" s="22">
        <f t="shared" si="434"/>
        <v>2022</v>
      </c>
      <c r="V5000" s="22" t="str">
        <f t="shared" si="435"/>
        <v>METROPOLITANA</v>
      </c>
    </row>
    <row r="5001" spans="1:22" x14ac:dyDescent="0.2">
      <c r="A5001" s="23" t="s">
        <v>6040</v>
      </c>
      <c r="B5001" s="22" t="s">
        <v>18</v>
      </c>
      <c r="C5001" s="22" t="s">
        <v>5796</v>
      </c>
      <c r="D5001" s="22" t="s">
        <v>38</v>
      </c>
      <c r="E5001" s="24" t="s">
        <v>42</v>
      </c>
      <c r="F5001" s="22" t="s">
        <v>129</v>
      </c>
      <c r="G5001" s="25">
        <v>11272.8</v>
      </c>
      <c r="H5001" s="22" t="s">
        <v>43</v>
      </c>
      <c r="I5001" s="22">
        <v>0</v>
      </c>
      <c r="J5001" s="22" t="s">
        <v>129</v>
      </c>
      <c r="K5001" s="22" t="s">
        <v>23</v>
      </c>
      <c r="L5001" s="22">
        <v>1</v>
      </c>
      <c r="M5001" s="26">
        <v>124001</v>
      </c>
      <c r="N5001" s="26">
        <v>0</v>
      </c>
      <c r="O5001" s="15">
        <f t="shared" si="431"/>
        <v>124001</v>
      </c>
      <c r="P5001" s="15">
        <f t="shared" si="432"/>
        <v>11.000017741821022</v>
      </c>
      <c r="Q5001" s="25">
        <v>5000</v>
      </c>
      <c r="R5001" s="22">
        <v>100</v>
      </c>
      <c r="S5001" s="22" t="s">
        <v>6043</v>
      </c>
      <c r="T5001" s="22">
        <f t="shared" si="433"/>
        <v>6</v>
      </c>
      <c r="U5001" s="22">
        <f t="shared" si="434"/>
        <v>2022</v>
      </c>
      <c r="V5001" s="22" t="str">
        <f t="shared" si="435"/>
        <v>METROPOLITANA</v>
      </c>
    </row>
    <row r="5002" spans="1:22" x14ac:dyDescent="0.2">
      <c r="A5002" s="23" t="s">
        <v>6040</v>
      </c>
      <c r="B5002" s="22" t="s">
        <v>18</v>
      </c>
      <c r="C5002" s="22" t="s">
        <v>5796</v>
      </c>
      <c r="D5002" s="22" t="s">
        <v>41</v>
      </c>
      <c r="E5002" s="24" t="s">
        <v>25</v>
      </c>
      <c r="F5002" s="22" t="s">
        <v>129</v>
      </c>
      <c r="G5002" s="25">
        <v>11272.8</v>
      </c>
      <c r="H5002" s="22" t="s">
        <v>43</v>
      </c>
      <c r="I5002" s="22">
        <v>0</v>
      </c>
      <c r="J5002" s="22" t="s">
        <v>129</v>
      </c>
      <c r="K5002" s="22" t="s">
        <v>23</v>
      </c>
      <c r="L5002" s="22">
        <v>1</v>
      </c>
      <c r="M5002" s="26">
        <v>124001</v>
      </c>
      <c r="N5002" s="26">
        <v>0</v>
      </c>
      <c r="O5002" s="15">
        <f t="shared" si="431"/>
        <v>124001</v>
      </c>
      <c r="P5002" s="15">
        <f t="shared" si="432"/>
        <v>11.000017741821022</v>
      </c>
      <c r="Q5002" s="25">
        <v>5000</v>
      </c>
      <c r="R5002" s="22">
        <v>100</v>
      </c>
      <c r="S5002" s="22" t="s">
        <v>6044</v>
      </c>
      <c r="T5002" s="22">
        <f t="shared" si="433"/>
        <v>6</v>
      </c>
      <c r="U5002" s="22">
        <f t="shared" si="434"/>
        <v>2022</v>
      </c>
      <c r="V5002" s="22" t="str">
        <f t="shared" si="435"/>
        <v>METROPOLITANA</v>
      </c>
    </row>
    <row r="5003" spans="1:22" x14ac:dyDescent="0.2">
      <c r="A5003" s="23" t="s">
        <v>6040</v>
      </c>
      <c r="B5003" s="22" t="s">
        <v>33</v>
      </c>
      <c r="C5003" s="22" t="s">
        <v>1642</v>
      </c>
      <c r="D5003" s="22" t="s">
        <v>47</v>
      </c>
      <c r="E5003" s="24" t="s">
        <v>49</v>
      </c>
      <c r="F5003" s="22" t="s">
        <v>274</v>
      </c>
      <c r="G5003" s="25">
        <v>3183.7250000000008</v>
      </c>
      <c r="H5003" s="22" t="s">
        <v>22</v>
      </c>
      <c r="I5003" s="22">
        <v>0</v>
      </c>
      <c r="J5003" s="22" t="s">
        <v>274</v>
      </c>
      <c r="K5003" s="22" t="s">
        <v>78</v>
      </c>
      <c r="L5003" s="22">
        <v>0</v>
      </c>
      <c r="M5003" s="26">
        <v>203000</v>
      </c>
      <c r="N5003" s="26">
        <v>0</v>
      </c>
      <c r="O5003" s="15">
        <f t="shared" si="431"/>
        <v>203000</v>
      </c>
      <c r="P5003" s="15">
        <f t="shared" si="432"/>
        <v>63.761788471051972</v>
      </c>
      <c r="Q5003" s="25">
        <v>20000</v>
      </c>
      <c r="R5003" s="22">
        <v>16</v>
      </c>
      <c r="S5003" s="22" t="s">
        <v>6045</v>
      </c>
      <c r="T5003" s="22">
        <f t="shared" si="433"/>
        <v>6</v>
      </c>
      <c r="U5003" s="22">
        <f t="shared" si="434"/>
        <v>2022</v>
      </c>
      <c r="V5003" s="22" t="str">
        <f t="shared" si="435"/>
        <v>REGIONES</v>
      </c>
    </row>
    <row r="5004" spans="1:22" x14ac:dyDescent="0.2">
      <c r="A5004" s="23" t="s">
        <v>6040</v>
      </c>
      <c r="B5004" s="22" t="s">
        <v>33</v>
      </c>
      <c r="C5004" s="22" t="s">
        <v>270</v>
      </c>
      <c r="D5004" s="22" t="s">
        <v>164</v>
      </c>
      <c r="E5004" s="24" t="s">
        <v>28</v>
      </c>
      <c r="F5004" s="22" t="s">
        <v>120</v>
      </c>
      <c r="G5004" s="25">
        <v>23813.95</v>
      </c>
      <c r="H5004" s="22" t="s">
        <v>22</v>
      </c>
      <c r="I5004" s="22">
        <v>1</v>
      </c>
      <c r="J5004" s="22" t="s">
        <v>120</v>
      </c>
      <c r="K5004" s="22" t="s">
        <v>23</v>
      </c>
      <c r="L5004" s="22">
        <v>5</v>
      </c>
      <c r="M5004" s="26">
        <v>120000</v>
      </c>
      <c r="N5004" s="26">
        <v>0</v>
      </c>
      <c r="O5004" s="15">
        <f t="shared" si="431"/>
        <v>120000</v>
      </c>
      <c r="P5004" s="15">
        <f t="shared" si="432"/>
        <v>5.0390632381440286</v>
      </c>
      <c r="Q5004" s="25">
        <v>10000</v>
      </c>
      <c r="R5004" s="22">
        <v>100</v>
      </c>
      <c r="S5004" s="22" t="s">
        <v>6046</v>
      </c>
      <c r="T5004" s="22">
        <f t="shared" si="433"/>
        <v>6</v>
      </c>
      <c r="U5004" s="22">
        <f t="shared" si="434"/>
        <v>2022</v>
      </c>
      <c r="V5004" s="22" t="str">
        <f t="shared" si="435"/>
        <v>METROPOLITANA</v>
      </c>
    </row>
    <row r="5005" spans="1:22" x14ac:dyDescent="0.2">
      <c r="A5005" s="23" t="s">
        <v>6040</v>
      </c>
      <c r="B5005" s="22" t="s">
        <v>33</v>
      </c>
      <c r="C5005" s="22" t="s">
        <v>909</v>
      </c>
      <c r="D5005" s="22" t="s">
        <v>786</v>
      </c>
      <c r="E5005" s="24" t="s">
        <v>1891</v>
      </c>
      <c r="F5005" s="22" t="s">
        <v>910</v>
      </c>
      <c r="G5005" s="25">
        <v>16144.3</v>
      </c>
      <c r="H5005" s="22" t="s">
        <v>788</v>
      </c>
      <c r="I5005" s="22">
        <v>1</v>
      </c>
      <c r="J5005" s="22" t="s">
        <v>910</v>
      </c>
      <c r="K5005" s="22" t="s">
        <v>171</v>
      </c>
      <c r="L5005" s="22">
        <v>0</v>
      </c>
      <c r="M5005" s="26">
        <v>260000</v>
      </c>
      <c r="N5005" s="26">
        <v>0</v>
      </c>
      <c r="O5005" s="15">
        <f t="shared" si="431"/>
        <v>260000</v>
      </c>
      <c r="P5005" s="15">
        <f t="shared" si="432"/>
        <v>16.104755238691055</v>
      </c>
      <c r="Q5005" s="25">
        <v>20000</v>
      </c>
      <c r="R5005" s="22">
        <v>81</v>
      </c>
      <c r="S5005" s="22" t="s">
        <v>6047</v>
      </c>
      <c r="T5005" s="22">
        <f t="shared" si="433"/>
        <v>6</v>
      </c>
      <c r="U5005" s="22">
        <f t="shared" si="434"/>
        <v>2022</v>
      </c>
      <c r="V5005" s="22" t="str">
        <f t="shared" si="435"/>
        <v>REGIONES</v>
      </c>
    </row>
    <row r="5006" spans="1:22" x14ac:dyDescent="0.2">
      <c r="A5006" s="23" t="s">
        <v>6040</v>
      </c>
      <c r="B5006" s="22" t="s">
        <v>33</v>
      </c>
      <c r="C5006" s="22" t="s">
        <v>29</v>
      </c>
      <c r="D5006" s="22" t="s">
        <v>63</v>
      </c>
      <c r="E5006" s="24" t="s">
        <v>64</v>
      </c>
      <c r="F5006" s="22" t="s">
        <v>39</v>
      </c>
      <c r="G5006" s="25">
        <v>2885.4</v>
      </c>
      <c r="H5006" s="22" t="s">
        <v>65</v>
      </c>
      <c r="I5006" s="22">
        <v>0</v>
      </c>
      <c r="J5006" s="22" t="s">
        <v>39</v>
      </c>
      <c r="K5006" s="22" t="s">
        <v>23</v>
      </c>
      <c r="L5006" s="22">
        <v>1</v>
      </c>
      <c r="M5006" s="26">
        <v>55000</v>
      </c>
      <c r="N5006" s="26">
        <v>0</v>
      </c>
      <c r="O5006" s="15">
        <f t="shared" si="431"/>
        <v>55000</v>
      </c>
      <c r="P5006" s="15">
        <f t="shared" si="432"/>
        <v>19.061481943578013</v>
      </c>
      <c r="Q5006" s="25">
        <v>5000</v>
      </c>
      <c r="R5006" s="22">
        <v>58</v>
      </c>
      <c r="S5006" s="22" t="s">
        <v>6048</v>
      </c>
      <c r="T5006" s="22">
        <f t="shared" si="433"/>
        <v>6</v>
      </c>
      <c r="U5006" s="22">
        <f t="shared" si="434"/>
        <v>2022</v>
      </c>
      <c r="V5006" s="22" t="str">
        <f t="shared" si="435"/>
        <v>METROPOLITANA</v>
      </c>
    </row>
    <row r="5007" spans="1:22" x14ac:dyDescent="0.2">
      <c r="A5007" s="23" t="s">
        <v>6040</v>
      </c>
      <c r="B5007" s="22" t="s">
        <v>33</v>
      </c>
      <c r="C5007" s="22" t="s">
        <v>29</v>
      </c>
      <c r="D5007" s="22" t="s">
        <v>30</v>
      </c>
      <c r="E5007" s="24" t="s">
        <v>31</v>
      </c>
      <c r="F5007" s="22" t="s">
        <v>39</v>
      </c>
      <c r="G5007" s="25">
        <v>8099.800000000002</v>
      </c>
      <c r="H5007" s="22" t="s">
        <v>32</v>
      </c>
      <c r="I5007" s="22">
        <v>0</v>
      </c>
      <c r="J5007" s="22" t="s">
        <v>39</v>
      </c>
      <c r="K5007" s="22" t="s">
        <v>23</v>
      </c>
      <c r="L5007" s="22">
        <v>1</v>
      </c>
      <c r="M5007" s="26">
        <v>89098</v>
      </c>
      <c r="N5007" s="26">
        <v>0</v>
      </c>
      <c r="O5007" s="15">
        <f t="shared" si="431"/>
        <v>89098</v>
      </c>
      <c r="P5007" s="15">
        <f t="shared" si="432"/>
        <v>11.000024691967701</v>
      </c>
      <c r="Q5007" s="25">
        <v>5000</v>
      </c>
      <c r="R5007" s="22">
        <v>100</v>
      </c>
      <c r="S5007" s="22" t="s">
        <v>6049</v>
      </c>
      <c r="T5007" s="22">
        <f t="shared" si="433"/>
        <v>6</v>
      </c>
      <c r="U5007" s="22">
        <f t="shared" si="434"/>
        <v>2022</v>
      </c>
      <c r="V5007" s="22" t="str">
        <f t="shared" si="435"/>
        <v>METROPOLITANA</v>
      </c>
    </row>
    <row r="5008" spans="1:22" x14ac:dyDescent="0.2">
      <c r="A5008" s="23" t="s">
        <v>6040</v>
      </c>
      <c r="B5008" s="22" t="s">
        <v>33</v>
      </c>
      <c r="C5008" s="22" t="s">
        <v>29</v>
      </c>
      <c r="D5008" s="22" t="s">
        <v>164</v>
      </c>
      <c r="E5008" s="24" t="s">
        <v>28</v>
      </c>
      <c r="F5008" s="22" t="s">
        <v>39</v>
      </c>
      <c r="G5008" s="25">
        <v>11400.74</v>
      </c>
      <c r="H5008" s="22" t="s">
        <v>22</v>
      </c>
      <c r="I5008" s="22">
        <v>1</v>
      </c>
      <c r="J5008" s="22" t="s">
        <v>39</v>
      </c>
      <c r="K5008" s="22" t="s">
        <v>23</v>
      </c>
      <c r="L5008" s="22">
        <v>1</v>
      </c>
      <c r="M5008" s="26">
        <v>125408</v>
      </c>
      <c r="N5008" s="26">
        <v>0</v>
      </c>
      <c r="O5008" s="15">
        <f t="shared" si="431"/>
        <v>125408</v>
      </c>
      <c r="P5008" s="15">
        <f t="shared" si="432"/>
        <v>10.999987720095362</v>
      </c>
      <c r="Q5008" s="25">
        <v>5000</v>
      </c>
      <c r="R5008" s="22">
        <v>100</v>
      </c>
      <c r="S5008" s="22" t="s">
        <v>6050</v>
      </c>
      <c r="T5008" s="22">
        <f t="shared" si="433"/>
        <v>6</v>
      </c>
      <c r="U5008" s="22">
        <f t="shared" si="434"/>
        <v>2022</v>
      </c>
      <c r="V5008" s="22" t="str">
        <f t="shared" si="435"/>
        <v>METROPOLITANA</v>
      </c>
    </row>
    <row r="5009" spans="1:22" x14ac:dyDescent="0.2">
      <c r="A5009" s="23" t="s">
        <v>6040</v>
      </c>
      <c r="B5009" s="22" t="s">
        <v>33</v>
      </c>
      <c r="C5009" s="22" t="s">
        <v>44</v>
      </c>
      <c r="D5009" s="22" t="s">
        <v>37</v>
      </c>
      <c r="E5009" s="24" t="s">
        <v>40</v>
      </c>
      <c r="F5009" s="22" t="s">
        <v>48</v>
      </c>
      <c r="G5009" s="25">
        <v>9152.9</v>
      </c>
      <c r="H5009" s="22" t="s">
        <v>22</v>
      </c>
      <c r="I5009" s="22">
        <v>0</v>
      </c>
      <c r="J5009" s="22" t="s">
        <v>48</v>
      </c>
      <c r="K5009" s="22" t="s">
        <v>23</v>
      </c>
      <c r="L5009" s="22">
        <v>1</v>
      </c>
      <c r="M5009" s="26">
        <v>100682</v>
      </c>
      <c r="N5009" s="26">
        <v>0</v>
      </c>
      <c r="O5009" s="15">
        <f t="shared" si="431"/>
        <v>100682</v>
      </c>
      <c r="P5009" s="15">
        <f t="shared" si="432"/>
        <v>11.000010925499023</v>
      </c>
      <c r="Q5009" s="25">
        <v>5000</v>
      </c>
      <c r="R5009" s="22">
        <v>100</v>
      </c>
      <c r="S5009" s="22" t="s">
        <v>6051</v>
      </c>
      <c r="T5009" s="22">
        <f t="shared" si="433"/>
        <v>6</v>
      </c>
      <c r="U5009" s="22">
        <f t="shared" si="434"/>
        <v>2022</v>
      </c>
      <c r="V5009" s="22" t="str">
        <f t="shared" si="435"/>
        <v>METROPOLITANA</v>
      </c>
    </row>
    <row r="5010" spans="1:22" x14ac:dyDescent="0.2">
      <c r="A5010" s="11" t="s">
        <v>6052</v>
      </c>
      <c r="B5010" s="12" t="s">
        <v>33</v>
      </c>
      <c r="C5010" s="12" t="s">
        <v>1642</v>
      </c>
      <c r="D5010" s="12" t="s">
        <v>2825</v>
      </c>
      <c r="E5010" s="13" t="s">
        <v>639</v>
      </c>
      <c r="F5010" s="12" t="s">
        <v>691</v>
      </c>
      <c r="G5010" s="14">
        <f>4040.75+1655+3333</f>
        <v>9028.75</v>
      </c>
      <c r="H5010" s="12" t="s">
        <v>24</v>
      </c>
      <c r="I5010" s="12">
        <v>1</v>
      </c>
      <c r="J5010" s="12" t="s">
        <v>691</v>
      </c>
      <c r="K5010" s="12" t="s">
        <v>873</v>
      </c>
      <c r="L5010" s="12">
        <v>0</v>
      </c>
      <c r="M5010" s="15">
        <v>1100000</v>
      </c>
      <c r="N5010" s="15">
        <v>0</v>
      </c>
      <c r="O5010" s="15">
        <f t="shared" si="431"/>
        <v>1100000</v>
      </c>
      <c r="P5010" s="15">
        <f t="shared" si="432"/>
        <v>121.83303336563755</v>
      </c>
      <c r="Q5010" s="14">
        <v>20000</v>
      </c>
      <c r="R5010" s="12">
        <v>65</v>
      </c>
      <c r="S5010" s="12" t="s">
        <v>6060</v>
      </c>
      <c r="T5010" s="22">
        <f t="shared" si="433"/>
        <v>7</v>
      </c>
      <c r="U5010" s="22">
        <f t="shared" si="434"/>
        <v>2022</v>
      </c>
      <c r="V5010" s="22" t="str">
        <f t="shared" si="435"/>
        <v>REGIONES</v>
      </c>
    </row>
    <row r="5011" spans="1:22" x14ac:dyDescent="0.2">
      <c r="A5011" s="11" t="s">
        <v>6052</v>
      </c>
      <c r="B5011" s="12" t="s">
        <v>33</v>
      </c>
      <c r="C5011" s="12" t="s">
        <v>128</v>
      </c>
      <c r="D5011" s="12" t="s">
        <v>30</v>
      </c>
      <c r="E5011" s="13" t="s">
        <v>31</v>
      </c>
      <c r="F5011" s="12" t="s">
        <v>34</v>
      </c>
      <c r="G5011" s="14">
        <v>3785.2</v>
      </c>
      <c r="H5011" s="12" t="s">
        <v>32</v>
      </c>
      <c r="I5011" s="12">
        <v>0</v>
      </c>
      <c r="J5011" s="12" t="s">
        <v>34</v>
      </c>
      <c r="K5011" s="12" t="s">
        <v>23</v>
      </c>
      <c r="L5011" s="12">
        <v>1</v>
      </c>
      <c r="M5011" s="15">
        <v>55000</v>
      </c>
      <c r="N5011" s="15">
        <v>0</v>
      </c>
      <c r="O5011" s="15">
        <f t="shared" si="431"/>
        <v>55000</v>
      </c>
      <c r="P5011" s="15">
        <f t="shared" si="432"/>
        <v>14.530275811053578</v>
      </c>
      <c r="Q5011" s="14">
        <v>5000</v>
      </c>
      <c r="R5011" s="12">
        <v>76</v>
      </c>
      <c r="S5011" s="12" t="s">
        <v>6053</v>
      </c>
      <c r="T5011" s="22">
        <f t="shared" si="433"/>
        <v>7</v>
      </c>
      <c r="U5011" s="22">
        <f t="shared" si="434"/>
        <v>2022</v>
      </c>
      <c r="V5011" s="22" t="str">
        <f t="shared" si="435"/>
        <v>METROPOLITANA</v>
      </c>
    </row>
    <row r="5012" spans="1:22" x14ac:dyDescent="0.2">
      <c r="A5012" s="11" t="s">
        <v>6052</v>
      </c>
      <c r="B5012" s="12" t="s">
        <v>33</v>
      </c>
      <c r="C5012" s="12" t="s">
        <v>223</v>
      </c>
      <c r="D5012" s="12" t="s">
        <v>37</v>
      </c>
      <c r="E5012" s="13" t="s">
        <v>40</v>
      </c>
      <c r="F5012" s="12" t="s">
        <v>51</v>
      </c>
      <c r="G5012" s="14">
        <v>6827.5999999999995</v>
      </c>
      <c r="H5012" s="12" t="s">
        <v>22</v>
      </c>
      <c r="I5012" s="12">
        <v>0</v>
      </c>
      <c r="J5012" s="12" t="s">
        <v>51</v>
      </c>
      <c r="K5012" s="12" t="s">
        <v>23</v>
      </c>
      <c r="L5012" s="12">
        <v>4</v>
      </c>
      <c r="M5012" s="15">
        <v>75104</v>
      </c>
      <c r="N5012" s="15">
        <v>0</v>
      </c>
      <c r="O5012" s="15">
        <f t="shared" si="431"/>
        <v>75104</v>
      </c>
      <c r="P5012" s="15">
        <f t="shared" si="432"/>
        <v>11.000058585740232</v>
      </c>
      <c r="Q5012" s="14">
        <v>5000</v>
      </c>
      <c r="R5012" s="12">
        <v>100</v>
      </c>
      <c r="S5012" s="12" t="s">
        <v>6054</v>
      </c>
      <c r="T5012" s="22">
        <f t="shared" si="433"/>
        <v>7</v>
      </c>
      <c r="U5012" s="22">
        <f t="shared" si="434"/>
        <v>2022</v>
      </c>
      <c r="V5012" s="22" t="str">
        <f t="shared" si="435"/>
        <v>METROPOLITANA</v>
      </c>
    </row>
    <row r="5013" spans="1:22" x14ac:dyDescent="0.2">
      <c r="A5013" s="11" t="s">
        <v>6052</v>
      </c>
      <c r="B5013" s="12" t="s">
        <v>33</v>
      </c>
      <c r="C5013" s="12" t="s">
        <v>29</v>
      </c>
      <c r="D5013" s="12" t="s">
        <v>38</v>
      </c>
      <c r="E5013" s="13" t="s">
        <v>42</v>
      </c>
      <c r="F5013" s="12" t="s">
        <v>39</v>
      </c>
      <c r="G5013" s="14">
        <v>12113.64</v>
      </c>
      <c r="H5013" s="12" t="s">
        <v>43</v>
      </c>
      <c r="I5013" s="12">
        <v>0</v>
      </c>
      <c r="J5013" s="12" t="s">
        <v>39</v>
      </c>
      <c r="K5013" s="12" t="s">
        <v>23</v>
      </c>
      <c r="L5013" s="12">
        <v>1</v>
      </c>
      <c r="M5013" s="15">
        <v>133250</v>
      </c>
      <c r="N5013" s="15">
        <v>0</v>
      </c>
      <c r="O5013" s="15">
        <f t="shared" ref="O5013:O5076" si="436">SUM(M5013:N5013)</f>
        <v>133250</v>
      </c>
      <c r="P5013" s="15">
        <f t="shared" si="432"/>
        <v>10.999996697937203</v>
      </c>
      <c r="Q5013" s="14">
        <v>5000</v>
      </c>
      <c r="R5013" s="12">
        <v>100</v>
      </c>
      <c r="S5013" s="12" t="s">
        <v>6055</v>
      </c>
      <c r="T5013" s="22">
        <f t="shared" si="433"/>
        <v>7</v>
      </c>
      <c r="U5013" s="22">
        <f t="shared" si="434"/>
        <v>2022</v>
      </c>
      <c r="V5013" s="22" t="str">
        <f t="shared" si="435"/>
        <v>METROPOLITANA</v>
      </c>
    </row>
    <row r="5014" spans="1:22" x14ac:dyDescent="0.2">
      <c r="A5014" s="11" t="s">
        <v>6052</v>
      </c>
      <c r="B5014" s="12" t="s">
        <v>33</v>
      </c>
      <c r="C5014" s="12" t="s">
        <v>29</v>
      </c>
      <c r="D5014" s="12" t="s">
        <v>41</v>
      </c>
      <c r="E5014" s="13" t="s">
        <v>25</v>
      </c>
      <c r="F5014" s="12" t="s">
        <v>39</v>
      </c>
      <c r="G5014" s="14">
        <v>4373.0000000000009</v>
      </c>
      <c r="H5014" s="12" t="s">
        <v>43</v>
      </c>
      <c r="I5014" s="12">
        <v>0</v>
      </c>
      <c r="J5014" s="12" t="s">
        <v>39</v>
      </c>
      <c r="K5014" s="12" t="s">
        <v>23</v>
      </c>
      <c r="L5014" s="12">
        <v>1</v>
      </c>
      <c r="M5014" s="15">
        <v>55000</v>
      </c>
      <c r="N5014" s="15">
        <v>0</v>
      </c>
      <c r="O5014" s="15">
        <f t="shared" si="436"/>
        <v>55000</v>
      </c>
      <c r="P5014" s="15">
        <f t="shared" si="432"/>
        <v>12.577178138577633</v>
      </c>
      <c r="Q5014" s="14">
        <v>5000</v>
      </c>
      <c r="R5014" s="12">
        <v>87</v>
      </c>
      <c r="S5014" s="12" t="s">
        <v>6056</v>
      </c>
      <c r="T5014" s="22">
        <f t="shared" si="433"/>
        <v>7</v>
      </c>
      <c r="U5014" s="22">
        <f t="shared" si="434"/>
        <v>2022</v>
      </c>
      <c r="V5014" s="22" t="str">
        <f t="shared" si="435"/>
        <v>METROPOLITANA</v>
      </c>
    </row>
    <row r="5015" spans="1:22" x14ac:dyDescent="0.2">
      <c r="A5015" s="11" t="s">
        <v>6052</v>
      </c>
      <c r="B5015" s="12" t="s">
        <v>33</v>
      </c>
      <c r="C5015" s="12" t="s">
        <v>29</v>
      </c>
      <c r="D5015" s="12" t="s">
        <v>164</v>
      </c>
      <c r="E5015" s="13" t="s">
        <v>28</v>
      </c>
      <c r="F5015" s="12" t="s">
        <v>39</v>
      </c>
      <c r="G5015" s="14">
        <v>18589</v>
      </c>
      <c r="H5015" s="12" t="s">
        <v>22</v>
      </c>
      <c r="I5015" s="12">
        <v>1</v>
      </c>
      <c r="J5015" s="12" t="s">
        <v>39</v>
      </c>
      <c r="K5015" s="12" t="s">
        <v>23</v>
      </c>
      <c r="L5015" s="12">
        <v>1</v>
      </c>
      <c r="M5015" s="15">
        <v>204479</v>
      </c>
      <c r="N5015" s="15">
        <v>0</v>
      </c>
      <c r="O5015" s="15">
        <f t="shared" si="436"/>
        <v>204479</v>
      </c>
      <c r="P5015" s="15">
        <f t="shared" si="432"/>
        <v>11</v>
      </c>
      <c r="Q5015" s="14">
        <v>5000</v>
      </c>
      <c r="R5015" s="12">
        <v>100</v>
      </c>
      <c r="S5015" s="12" t="s">
        <v>6057</v>
      </c>
      <c r="T5015" s="22">
        <f t="shared" si="433"/>
        <v>7</v>
      </c>
      <c r="U5015" s="22">
        <f t="shared" si="434"/>
        <v>2022</v>
      </c>
      <c r="V5015" s="22" t="str">
        <f t="shared" si="435"/>
        <v>METROPOLITANA</v>
      </c>
    </row>
    <row r="5016" spans="1:22" x14ac:dyDescent="0.2">
      <c r="A5016" s="11" t="s">
        <v>6052</v>
      </c>
      <c r="B5016" s="12" t="s">
        <v>33</v>
      </c>
      <c r="C5016" s="12" t="s">
        <v>44</v>
      </c>
      <c r="D5016" s="12" t="s">
        <v>63</v>
      </c>
      <c r="E5016" s="13" t="s">
        <v>64</v>
      </c>
      <c r="F5016" s="12" t="s">
        <v>138</v>
      </c>
      <c r="G5016" s="14">
        <v>5079.92</v>
      </c>
      <c r="H5016" s="12" t="s">
        <v>65</v>
      </c>
      <c r="I5016" s="12">
        <v>0</v>
      </c>
      <c r="J5016" s="12" t="s">
        <v>138</v>
      </c>
      <c r="K5016" s="12" t="s">
        <v>23</v>
      </c>
      <c r="L5016" s="12">
        <v>3</v>
      </c>
      <c r="M5016" s="15">
        <v>55879</v>
      </c>
      <c r="N5016" s="15">
        <v>0</v>
      </c>
      <c r="O5016" s="15">
        <f t="shared" si="436"/>
        <v>55879</v>
      </c>
      <c r="P5016" s="15">
        <f t="shared" si="432"/>
        <v>10.999976377580749</v>
      </c>
      <c r="Q5016" s="14">
        <v>5000</v>
      </c>
      <c r="R5016" s="12">
        <v>100</v>
      </c>
      <c r="S5016" s="12" t="s">
        <v>6058</v>
      </c>
      <c r="T5016" s="22">
        <f t="shared" si="433"/>
        <v>7</v>
      </c>
      <c r="U5016" s="22">
        <f t="shared" si="434"/>
        <v>2022</v>
      </c>
      <c r="V5016" s="22" t="str">
        <f t="shared" si="435"/>
        <v>METROPOLITANA</v>
      </c>
    </row>
    <row r="5017" spans="1:22" x14ac:dyDescent="0.2">
      <c r="A5017" s="11" t="s">
        <v>6052</v>
      </c>
      <c r="B5017" s="12" t="s">
        <v>33</v>
      </c>
      <c r="C5017" s="12" t="s">
        <v>44</v>
      </c>
      <c r="D5017" s="12" t="s">
        <v>47</v>
      </c>
      <c r="E5017" s="13" t="s">
        <v>49</v>
      </c>
      <c r="F5017" s="12" t="s">
        <v>94</v>
      </c>
      <c r="G5017" s="14">
        <v>5487.9999999999991</v>
      </c>
      <c r="H5017" s="12" t="s">
        <v>22</v>
      </c>
      <c r="I5017" s="12">
        <v>0</v>
      </c>
      <c r="J5017" s="12" t="s">
        <v>59</v>
      </c>
      <c r="K5017" s="12" t="s">
        <v>78</v>
      </c>
      <c r="L5017" s="12">
        <v>0</v>
      </c>
      <c r="M5017" s="15">
        <v>203000</v>
      </c>
      <c r="N5017" s="15">
        <v>0</v>
      </c>
      <c r="O5017" s="15">
        <f t="shared" si="436"/>
        <v>203000</v>
      </c>
      <c r="P5017" s="15">
        <f t="shared" si="432"/>
        <v>36.989795918367356</v>
      </c>
      <c r="Q5017" s="14">
        <v>20000</v>
      </c>
      <c r="R5017" s="12">
        <v>27</v>
      </c>
      <c r="S5017" s="12" t="s">
        <v>6059</v>
      </c>
      <c r="T5017" s="22">
        <f t="shared" si="433"/>
        <v>7</v>
      </c>
      <c r="U5017" s="22">
        <f t="shared" si="434"/>
        <v>2022</v>
      </c>
      <c r="V5017" s="22" t="str">
        <f t="shared" si="435"/>
        <v>REGIONES</v>
      </c>
    </row>
    <row r="5018" spans="1:22" x14ac:dyDescent="0.2">
      <c r="A5018" s="23" t="s">
        <v>6061</v>
      </c>
      <c r="B5018" s="22" t="s">
        <v>18</v>
      </c>
      <c r="C5018" s="22" t="s">
        <v>270</v>
      </c>
      <c r="D5018" s="22" t="s">
        <v>786</v>
      </c>
      <c r="E5018" s="24" t="s">
        <v>787</v>
      </c>
      <c r="F5018" s="22" t="s">
        <v>120</v>
      </c>
      <c r="G5018" s="25">
        <v>15690.920000000009</v>
      </c>
      <c r="H5018" s="22" t="s">
        <v>788</v>
      </c>
      <c r="I5018" s="22">
        <v>1</v>
      </c>
      <c r="J5018" s="22" t="s">
        <v>120</v>
      </c>
      <c r="K5018" s="22" t="s">
        <v>23</v>
      </c>
      <c r="L5018" s="22">
        <v>5</v>
      </c>
      <c r="M5018" s="26">
        <v>120000</v>
      </c>
      <c r="N5018" s="26">
        <v>0</v>
      </c>
      <c r="O5018" s="15">
        <f t="shared" si="436"/>
        <v>120000</v>
      </c>
      <c r="P5018" s="15">
        <f t="shared" si="432"/>
        <v>7.6477351232432467</v>
      </c>
      <c r="Q5018" s="25">
        <v>10000</v>
      </c>
      <c r="R5018" s="22">
        <v>100</v>
      </c>
      <c r="S5018" s="22" t="s">
        <v>6062</v>
      </c>
      <c r="T5018" s="22">
        <f t="shared" si="433"/>
        <v>7</v>
      </c>
      <c r="U5018" s="22">
        <f t="shared" si="434"/>
        <v>2022</v>
      </c>
      <c r="V5018" s="22" t="str">
        <f t="shared" si="435"/>
        <v>METROPOLITANA</v>
      </c>
    </row>
    <row r="5019" spans="1:22" x14ac:dyDescent="0.2">
      <c r="A5019" s="23" t="s">
        <v>6061</v>
      </c>
      <c r="B5019" s="22" t="s">
        <v>18</v>
      </c>
      <c r="C5019" s="22" t="s">
        <v>508</v>
      </c>
      <c r="D5019" s="22" t="s">
        <v>41</v>
      </c>
      <c r="E5019" s="24" t="s">
        <v>25</v>
      </c>
      <c r="F5019" s="22" t="s">
        <v>51</v>
      </c>
      <c r="G5019" s="25">
        <v>8429.4900000000016</v>
      </c>
      <c r="H5019" s="22" t="s">
        <v>43</v>
      </c>
      <c r="I5019" s="22">
        <v>0</v>
      </c>
      <c r="J5019" s="22" t="s">
        <v>51</v>
      </c>
      <c r="K5019" s="22" t="s">
        <v>23</v>
      </c>
      <c r="L5019" s="22">
        <v>4</v>
      </c>
      <c r="M5019" s="26">
        <v>92724</v>
      </c>
      <c r="N5019" s="26">
        <v>0</v>
      </c>
      <c r="O5019" s="15">
        <f t="shared" si="436"/>
        <v>92724</v>
      </c>
      <c r="P5019" s="15">
        <f t="shared" si="432"/>
        <v>10.999953733855783</v>
      </c>
      <c r="Q5019" s="25">
        <v>5000</v>
      </c>
      <c r="R5019" s="22">
        <v>100</v>
      </c>
      <c r="S5019" s="22" t="s">
        <v>6063</v>
      </c>
      <c r="T5019" s="22">
        <f t="shared" si="433"/>
        <v>7</v>
      </c>
      <c r="U5019" s="22">
        <f t="shared" si="434"/>
        <v>2022</v>
      </c>
      <c r="V5019" s="22" t="str">
        <f t="shared" si="435"/>
        <v>METROPOLITANA</v>
      </c>
    </row>
    <row r="5020" spans="1:22" x14ac:dyDescent="0.2">
      <c r="A5020" s="23" t="s">
        <v>6061</v>
      </c>
      <c r="B5020" s="22" t="s">
        <v>33</v>
      </c>
      <c r="C5020" s="22" t="s">
        <v>29</v>
      </c>
      <c r="D5020" s="22" t="s">
        <v>38</v>
      </c>
      <c r="E5020" s="24" t="s">
        <v>42</v>
      </c>
      <c r="F5020" s="22" t="s">
        <v>129</v>
      </c>
      <c r="G5020" s="25">
        <v>4464.8</v>
      </c>
      <c r="H5020" s="22" t="s">
        <v>43</v>
      </c>
      <c r="I5020" s="22">
        <v>0</v>
      </c>
      <c r="J5020" s="22" t="s">
        <v>129</v>
      </c>
      <c r="K5020" s="22" t="s">
        <v>23</v>
      </c>
      <c r="L5020" s="22">
        <v>1</v>
      </c>
      <c r="M5020" s="26">
        <v>55000</v>
      </c>
      <c r="N5020" s="26">
        <v>0</v>
      </c>
      <c r="O5020" s="15">
        <f t="shared" si="436"/>
        <v>55000</v>
      </c>
      <c r="P5020" s="15">
        <f t="shared" si="432"/>
        <v>12.318580899480379</v>
      </c>
      <c r="Q5020" s="25">
        <v>5000</v>
      </c>
      <c r="R5020" s="22">
        <v>89</v>
      </c>
      <c r="S5020" s="22" t="s">
        <v>6064</v>
      </c>
      <c r="T5020" s="22">
        <f t="shared" si="433"/>
        <v>7</v>
      </c>
      <c r="U5020" s="22">
        <f t="shared" si="434"/>
        <v>2022</v>
      </c>
      <c r="V5020" s="22" t="str">
        <f t="shared" si="435"/>
        <v>METROPOLITANA</v>
      </c>
    </row>
    <row r="5021" spans="1:22" x14ac:dyDescent="0.2">
      <c r="A5021" s="23" t="s">
        <v>6061</v>
      </c>
      <c r="B5021" s="22" t="s">
        <v>33</v>
      </c>
      <c r="C5021" s="22" t="s">
        <v>29</v>
      </c>
      <c r="D5021" s="22" t="s">
        <v>164</v>
      </c>
      <c r="E5021" s="24" t="s">
        <v>28</v>
      </c>
      <c r="F5021" s="22" t="s">
        <v>39</v>
      </c>
      <c r="G5021" s="25">
        <f>16282.1+1338</f>
        <v>17620.099999999999</v>
      </c>
      <c r="H5021" s="22" t="s">
        <v>22</v>
      </c>
      <c r="I5021" s="22">
        <v>1</v>
      </c>
      <c r="J5021" s="22" t="s">
        <v>39</v>
      </c>
      <c r="K5021" s="22" t="s">
        <v>23</v>
      </c>
      <c r="L5021" s="22">
        <v>1</v>
      </c>
      <c r="M5021" s="26">
        <v>179103</v>
      </c>
      <c r="N5021" s="26">
        <v>0</v>
      </c>
      <c r="O5021" s="15">
        <f t="shared" si="436"/>
        <v>179103</v>
      </c>
      <c r="P5021" s="15">
        <f t="shared" si="432"/>
        <v>10.164698270724912</v>
      </c>
      <c r="Q5021" s="25">
        <v>5000</v>
      </c>
      <c r="R5021" s="22">
        <v>100</v>
      </c>
      <c r="S5021" s="22" t="s">
        <v>6069</v>
      </c>
      <c r="T5021" s="22">
        <f t="shared" si="433"/>
        <v>7</v>
      </c>
      <c r="U5021" s="22">
        <f t="shared" si="434"/>
        <v>2022</v>
      </c>
      <c r="V5021" s="22" t="str">
        <f t="shared" si="435"/>
        <v>METROPOLITANA</v>
      </c>
    </row>
    <row r="5022" spans="1:22" x14ac:dyDescent="0.2">
      <c r="A5022" s="23" t="s">
        <v>6061</v>
      </c>
      <c r="B5022" s="22" t="s">
        <v>33</v>
      </c>
      <c r="C5022" s="22" t="s">
        <v>44</v>
      </c>
      <c r="D5022" s="22" t="s">
        <v>38</v>
      </c>
      <c r="E5022" s="24" t="s">
        <v>42</v>
      </c>
      <c r="F5022" s="22" t="s">
        <v>95</v>
      </c>
      <c r="G5022" s="25">
        <v>3682.5</v>
      </c>
      <c r="H5022" s="22" t="s">
        <v>43</v>
      </c>
      <c r="I5022" s="22">
        <v>0</v>
      </c>
      <c r="J5022" s="22" t="s">
        <v>95</v>
      </c>
      <c r="K5022" s="22" t="s">
        <v>23</v>
      </c>
      <c r="L5022" s="22">
        <v>4</v>
      </c>
      <c r="M5022" s="26">
        <v>55000</v>
      </c>
      <c r="N5022" s="26">
        <v>0</v>
      </c>
      <c r="O5022" s="15">
        <f t="shared" si="436"/>
        <v>55000</v>
      </c>
      <c r="P5022" s="15">
        <f t="shared" si="432"/>
        <v>14.93550577053632</v>
      </c>
      <c r="Q5022" s="25">
        <v>5000</v>
      </c>
      <c r="R5022" s="22">
        <v>74</v>
      </c>
      <c r="S5022" s="22" t="s">
        <v>6065</v>
      </c>
      <c r="T5022" s="22">
        <f t="shared" si="433"/>
        <v>7</v>
      </c>
      <c r="U5022" s="22">
        <f t="shared" si="434"/>
        <v>2022</v>
      </c>
      <c r="V5022" s="22" t="str">
        <f t="shared" si="435"/>
        <v>METROPOLITANA</v>
      </c>
    </row>
    <row r="5023" spans="1:22" x14ac:dyDescent="0.2">
      <c r="A5023" s="23" t="s">
        <v>6061</v>
      </c>
      <c r="B5023" s="22" t="s">
        <v>33</v>
      </c>
      <c r="C5023" s="22" t="s">
        <v>44</v>
      </c>
      <c r="D5023" s="22" t="s">
        <v>37</v>
      </c>
      <c r="E5023" s="24" t="s">
        <v>40</v>
      </c>
      <c r="F5023" s="22" t="s">
        <v>26</v>
      </c>
      <c r="G5023" s="25">
        <v>4039.2</v>
      </c>
      <c r="H5023" s="22" t="s">
        <v>22</v>
      </c>
      <c r="I5023" s="22">
        <v>0</v>
      </c>
      <c r="J5023" s="22" t="s">
        <v>26</v>
      </c>
      <c r="K5023" s="22" t="s">
        <v>23</v>
      </c>
      <c r="L5023" s="22">
        <v>4</v>
      </c>
      <c r="M5023" s="26">
        <v>55000</v>
      </c>
      <c r="N5023" s="26">
        <v>0</v>
      </c>
      <c r="O5023" s="15">
        <f t="shared" si="436"/>
        <v>55000</v>
      </c>
      <c r="P5023" s="15">
        <f t="shared" si="432"/>
        <v>13.616557734204793</v>
      </c>
      <c r="Q5023" s="25">
        <v>5000</v>
      </c>
      <c r="R5023" s="22">
        <v>81</v>
      </c>
      <c r="S5023" s="22" t="s">
        <v>6066</v>
      </c>
      <c r="T5023" s="22">
        <f t="shared" si="433"/>
        <v>7</v>
      </c>
      <c r="U5023" s="22">
        <f t="shared" si="434"/>
        <v>2022</v>
      </c>
      <c r="V5023" s="22" t="str">
        <f t="shared" si="435"/>
        <v>METROPOLITANA</v>
      </c>
    </row>
    <row r="5024" spans="1:22" x14ac:dyDescent="0.2">
      <c r="A5024" s="23" t="s">
        <v>6061</v>
      </c>
      <c r="B5024" s="22" t="s">
        <v>33</v>
      </c>
      <c r="C5024" s="22" t="s">
        <v>44</v>
      </c>
      <c r="D5024" s="22" t="s">
        <v>47</v>
      </c>
      <c r="E5024" s="24" t="s">
        <v>49</v>
      </c>
      <c r="F5024" s="22" t="s">
        <v>225</v>
      </c>
      <c r="G5024" s="25">
        <v>3779.24</v>
      </c>
      <c r="H5024" s="22" t="s">
        <v>22</v>
      </c>
      <c r="I5024" s="22">
        <v>0</v>
      </c>
      <c r="J5024" s="22" t="s">
        <v>225</v>
      </c>
      <c r="K5024" s="22" t="s">
        <v>23</v>
      </c>
      <c r="L5024" s="22">
        <v>3</v>
      </c>
      <c r="M5024" s="26">
        <v>55000</v>
      </c>
      <c r="N5024" s="26">
        <v>0</v>
      </c>
      <c r="O5024" s="15">
        <f t="shared" si="436"/>
        <v>55000</v>
      </c>
      <c r="P5024" s="15">
        <f t="shared" si="432"/>
        <v>14.553190588583949</v>
      </c>
      <c r="Q5024" s="25">
        <v>5000</v>
      </c>
      <c r="R5024" s="22">
        <v>76</v>
      </c>
      <c r="S5024" s="22" t="s">
        <v>6067</v>
      </c>
      <c r="T5024" s="22">
        <f t="shared" si="433"/>
        <v>7</v>
      </c>
      <c r="U5024" s="22">
        <f t="shared" si="434"/>
        <v>2022</v>
      </c>
      <c r="V5024" s="22" t="str">
        <f t="shared" si="435"/>
        <v>METROPOLITANA</v>
      </c>
    </row>
    <row r="5025" spans="1:22" x14ac:dyDescent="0.2">
      <c r="A5025" s="23" t="s">
        <v>6061</v>
      </c>
      <c r="B5025" s="22" t="s">
        <v>33</v>
      </c>
      <c r="C5025" s="22" t="s">
        <v>44</v>
      </c>
      <c r="D5025" s="22" t="s">
        <v>20</v>
      </c>
      <c r="E5025" s="24" t="s">
        <v>1576</v>
      </c>
      <c r="F5025" s="22" t="s">
        <v>34</v>
      </c>
      <c r="G5025" s="25">
        <v>4457.5200000000004</v>
      </c>
      <c r="H5025" s="22" t="s">
        <v>22</v>
      </c>
      <c r="I5025" s="22">
        <v>0</v>
      </c>
      <c r="J5025" s="22" t="s">
        <v>34</v>
      </c>
      <c r="K5025" s="22" t="s">
        <v>23</v>
      </c>
      <c r="L5025" s="22">
        <v>1</v>
      </c>
      <c r="M5025" s="26">
        <v>55000</v>
      </c>
      <c r="N5025" s="26">
        <v>0</v>
      </c>
      <c r="O5025" s="15">
        <f t="shared" si="436"/>
        <v>55000</v>
      </c>
      <c r="P5025" s="15">
        <f t="shared" ref="P5025:P5088" si="437">O5025/G5025</f>
        <v>12.338699545935855</v>
      </c>
      <c r="Q5025" s="25">
        <v>5000</v>
      </c>
      <c r="R5025" s="22">
        <v>89</v>
      </c>
      <c r="S5025" s="22" t="s">
        <v>6068</v>
      </c>
      <c r="T5025" s="22">
        <f t="shared" si="433"/>
        <v>7</v>
      </c>
      <c r="U5025" s="22">
        <f t="shared" si="434"/>
        <v>2022</v>
      </c>
      <c r="V5025" s="22" t="str">
        <f t="shared" si="435"/>
        <v>METROPOLITANA</v>
      </c>
    </row>
    <row r="5026" spans="1:22" x14ac:dyDescent="0.2">
      <c r="A5026" s="11" t="s">
        <v>6070</v>
      </c>
      <c r="B5026" s="12" t="s">
        <v>18</v>
      </c>
      <c r="C5026" s="12" t="s">
        <v>5796</v>
      </c>
      <c r="D5026" s="12" t="s">
        <v>63</v>
      </c>
      <c r="E5026" s="13">
        <v>138841065</v>
      </c>
      <c r="F5026" s="12" t="s">
        <v>129</v>
      </c>
      <c r="G5026" s="14">
        <v>10006.4</v>
      </c>
      <c r="H5026" s="12" t="s">
        <v>65</v>
      </c>
      <c r="I5026" s="12">
        <v>0</v>
      </c>
      <c r="J5026" s="12" t="s">
        <v>129</v>
      </c>
      <c r="K5026" s="12" t="s">
        <v>23</v>
      </c>
      <c r="L5026" s="12">
        <v>1</v>
      </c>
      <c r="M5026" s="15">
        <v>110070</v>
      </c>
      <c r="N5026" s="15">
        <v>0</v>
      </c>
      <c r="O5026" s="15">
        <f t="shared" si="436"/>
        <v>110070</v>
      </c>
      <c r="P5026" s="15">
        <f t="shared" si="437"/>
        <v>10.999960025583627</v>
      </c>
      <c r="Q5026" s="14">
        <v>5000</v>
      </c>
      <c r="R5026" s="12">
        <v>100</v>
      </c>
      <c r="S5026" s="12" t="s">
        <v>6071</v>
      </c>
      <c r="T5026" s="12">
        <f t="shared" si="433"/>
        <v>7</v>
      </c>
      <c r="U5026" s="12">
        <f t="shared" si="434"/>
        <v>2022</v>
      </c>
      <c r="V5026" s="12" t="str">
        <f t="shared" si="435"/>
        <v>METROPOLITANA</v>
      </c>
    </row>
    <row r="5027" spans="1:22" x14ac:dyDescent="0.2">
      <c r="A5027" s="11" t="s">
        <v>6070</v>
      </c>
      <c r="B5027" s="12" t="s">
        <v>33</v>
      </c>
      <c r="C5027" s="12" t="s">
        <v>1642</v>
      </c>
      <c r="D5027" s="12" t="s">
        <v>191</v>
      </c>
      <c r="E5027" s="13">
        <v>78551976</v>
      </c>
      <c r="F5027" s="12" t="s">
        <v>815</v>
      </c>
      <c r="G5027" s="14">
        <v>3296.2999999999988</v>
      </c>
      <c r="H5027" s="12" t="s">
        <v>85</v>
      </c>
      <c r="I5027" s="12">
        <v>1</v>
      </c>
      <c r="J5027" s="12" t="s">
        <v>815</v>
      </c>
      <c r="K5027" s="12" t="s">
        <v>75</v>
      </c>
      <c r="L5027" s="12">
        <v>0</v>
      </c>
      <c r="M5027" s="15">
        <v>460000</v>
      </c>
      <c r="N5027" s="15">
        <v>0</v>
      </c>
      <c r="O5027" s="15">
        <f t="shared" si="436"/>
        <v>460000</v>
      </c>
      <c r="P5027" s="15">
        <f t="shared" si="437"/>
        <v>139.55040499954498</v>
      </c>
      <c r="Q5027" s="14">
        <v>20000</v>
      </c>
      <c r="R5027" s="12">
        <v>16</v>
      </c>
      <c r="S5027" s="12" t="s">
        <v>6072</v>
      </c>
      <c r="T5027" s="12">
        <f t="shared" si="433"/>
        <v>7</v>
      </c>
      <c r="U5027" s="12">
        <f t="shared" si="434"/>
        <v>2022</v>
      </c>
      <c r="V5027" s="12" t="str">
        <f t="shared" si="435"/>
        <v>REGIONES</v>
      </c>
    </row>
    <row r="5028" spans="1:22" x14ac:dyDescent="0.2">
      <c r="A5028" s="11" t="s">
        <v>6070</v>
      </c>
      <c r="B5028" s="12" t="s">
        <v>33</v>
      </c>
      <c r="C5028" s="12" t="s">
        <v>270</v>
      </c>
      <c r="D5028" s="12" t="s">
        <v>786</v>
      </c>
      <c r="E5028" s="13">
        <v>95707734</v>
      </c>
      <c r="F5028" s="12" t="s">
        <v>120</v>
      </c>
      <c r="G5028" s="14">
        <v>15927.000000000009</v>
      </c>
      <c r="H5028" s="12" t="s">
        <v>788</v>
      </c>
      <c r="I5028" s="12">
        <v>1</v>
      </c>
      <c r="J5028" s="12" t="s">
        <v>120</v>
      </c>
      <c r="K5028" s="12" t="s">
        <v>23</v>
      </c>
      <c r="L5028" s="12">
        <v>5</v>
      </c>
      <c r="M5028" s="15">
        <v>120000</v>
      </c>
      <c r="N5028" s="15">
        <v>0</v>
      </c>
      <c r="O5028" s="15">
        <f t="shared" si="436"/>
        <v>120000</v>
      </c>
      <c r="P5028" s="15">
        <f t="shared" si="437"/>
        <v>7.5343755886230888</v>
      </c>
      <c r="Q5028" s="14">
        <v>10000</v>
      </c>
      <c r="R5028" s="12">
        <v>100</v>
      </c>
      <c r="S5028" s="12" t="s">
        <v>6073</v>
      </c>
      <c r="T5028" s="12">
        <f t="shared" si="433"/>
        <v>7</v>
      </c>
      <c r="U5028" s="12">
        <f t="shared" si="434"/>
        <v>2022</v>
      </c>
      <c r="V5028" s="12" t="str">
        <f t="shared" si="435"/>
        <v>METROPOLITANA</v>
      </c>
    </row>
    <row r="5029" spans="1:22" x14ac:dyDescent="0.2">
      <c r="A5029" s="11" t="s">
        <v>6070</v>
      </c>
      <c r="B5029" s="12" t="s">
        <v>33</v>
      </c>
      <c r="C5029" s="12" t="s">
        <v>60</v>
      </c>
      <c r="D5029" s="12" t="s">
        <v>38</v>
      </c>
      <c r="E5029" s="13">
        <v>53173292</v>
      </c>
      <c r="F5029" s="12" t="s">
        <v>51</v>
      </c>
      <c r="G5029" s="14">
        <v>4100.8</v>
      </c>
      <c r="H5029" s="12" t="s">
        <v>43</v>
      </c>
      <c r="I5029" s="12">
        <v>0</v>
      </c>
      <c r="J5029" s="12" t="s">
        <v>51</v>
      </c>
      <c r="K5029" s="12" t="s">
        <v>23</v>
      </c>
      <c r="L5029" s="12">
        <v>4</v>
      </c>
      <c r="M5029" s="15">
        <v>55000</v>
      </c>
      <c r="N5029" s="15">
        <v>0</v>
      </c>
      <c r="O5029" s="15">
        <f t="shared" si="436"/>
        <v>55000</v>
      </c>
      <c r="P5029" s="15">
        <f t="shared" si="437"/>
        <v>13.412017167381974</v>
      </c>
      <c r="Q5029" s="14">
        <v>5000</v>
      </c>
      <c r="R5029" s="12">
        <v>82</v>
      </c>
      <c r="S5029" s="12" t="s">
        <v>6074</v>
      </c>
      <c r="T5029" s="12">
        <f t="shared" si="433"/>
        <v>7</v>
      </c>
      <c r="U5029" s="12">
        <f t="shared" si="434"/>
        <v>2022</v>
      </c>
      <c r="V5029" s="12" t="str">
        <f t="shared" si="435"/>
        <v>METROPOLITANA</v>
      </c>
    </row>
    <row r="5030" spans="1:22" x14ac:dyDescent="0.2">
      <c r="A5030" s="11" t="s">
        <v>6070</v>
      </c>
      <c r="B5030" s="12" t="s">
        <v>33</v>
      </c>
      <c r="C5030" s="12" t="s">
        <v>1233</v>
      </c>
      <c r="D5030" s="12" t="s">
        <v>41</v>
      </c>
      <c r="E5030" s="13">
        <v>125108660</v>
      </c>
      <c r="F5030" s="12" t="s">
        <v>1234</v>
      </c>
      <c r="G5030" s="14">
        <v>2341.8000000000002</v>
      </c>
      <c r="H5030" s="12" t="s">
        <v>43</v>
      </c>
      <c r="I5030" s="12">
        <v>0</v>
      </c>
      <c r="J5030" s="12" t="s">
        <v>1234</v>
      </c>
      <c r="K5030" s="12" t="s">
        <v>23</v>
      </c>
      <c r="L5030" s="12">
        <v>3</v>
      </c>
      <c r="M5030" s="15">
        <v>55000</v>
      </c>
      <c r="N5030" s="15">
        <v>0</v>
      </c>
      <c r="O5030" s="15">
        <f t="shared" si="436"/>
        <v>55000</v>
      </c>
      <c r="P5030" s="15">
        <f t="shared" si="437"/>
        <v>23.486207191049619</v>
      </c>
      <c r="Q5030" s="14">
        <v>5000</v>
      </c>
      <c r="R5030" s="12">
        <v>47</v>
      </c>
      <c r="S5030" s="12" t="s">
        <v>6075</v>
      </c>
      <c r="T5030" s="12">
        <f t="shared" si="433"/>
        <v>7</v>
      </c>
      <c r="U5030" s="12">
        <f t="shared" si="434"/>
        <v>2022</v>
      </c>
      <c r="V5030" s="12" t="str">
        <f t="shared" si="435"/>
        <v>METROPOLITANA</v>
      </c>
    </row>
    <row r="5031" spans="1:22" x14ac:dyDescent="0.2">
      <c r="A5031" s="11" t="s">
        <v>6070</v>
      </c>
      <c r="B5031" s="12" t="s">
        <v>33</v>
      </c>
      <c r="C5031" s="12" t="s">
        <v>909</v>
      </c>
      <c r="D5031" s="12" t="s">
        <v>786</v>
      </c>
      <c r="E5031" s="13">
        <v>95707334</v>
      </c>
      <c r="F5031" s="12" t="s">
        <v>910</v>
      </c>
      <c r="G5031" s="14">
        <v>14857.599999999989</v>
      </c>
      <c r="H5031" s="12" t="s">
        <v>788</v>
      </c>
      <c r="I5031" s="12">
        <v>1</v>
      </c>
      <c r="J5031" s="12" t="s">
        <v>910</v>
      </c>
      <c r="K5031" s="12" t="s">
        <v>171</v>
      </c>
      <c r="L5031" s="12">
        <v>0</v>
      </c>
      <c r="M5031" s="15">
        <v>260000</v>
      </c>
      <c r="N5031" s="15">
        <v>0</v>
      </c>
      <c r="O5031" s="15">
        <f t="shared" si="436"/>
        <v>260000</v>
      </c>
      <c r="P5031" s="15">
        <f t="shared" si="437"/>
        <v>17.49946155502909</v>
      </c>
      <c r="Q5031" s="14">
        <v>20000</v>
      </c>
      <c r="R5031" s="12">
        <v>74</v>
      </c>
      <c r="S5031" s="12" t="s">
        <v>6076</v>
      </c>
      <c r="T5031" s="12">
        <f t="shared" si="433"/>
        <v>7</v>
      </c>
      <c r="U5031" s="12">
        <f t="shared" si="434"/>
        <v>2022</v>
      </c>
      <c r="V5031" s="12" t="str">
        <f t="shared" si="435"/>
        <v>REGIONES</v>
      </c>
    </row>
    <row r="5032" spans="1:22" x14ac:dyDescent="0.2">
      <c r="A5032" s="11" t="s">
        <v>6070</v>
      </c>
      <c r="B5032" s="12" t="s">
        <v>33</v>
      </c>
      <c r="C5032" s="12" t="s">
        <v>909</v>
      </c>
      <c r="D5032" s="12" t="s">
        <v>30</v>
      </c>
      <c r="E5032" s="13">
        <v>72564391</v>
      </c>
      <c r="F5032" s="12" t="s">
        <v>3781</v>
      </c>
      <c r="G5032" s="14">
        <v>7532.4000000000024</v>
      </c>
      <c r="H5032" s="12" t="s">
        <v>32</v>
      </c>
      <c r="I5032" s="12">
        <v>0</v>
      </c>
      <c r="J5032" s="12" t="s">
        <v>3781</v>
      </c>
      <c r="K5032" s="12" t="s">
        <v>171</v>
      </c>
      <c r="L5032" s="12">
        <v>0</v>
      </c>
      <c r="M5032" s="15">
        <v>203000</v>
      </c>
      <c r="N5032" s="15">
        <v>0</v>
      </c>
      <c r="O5032" s="15">
        <f t="shared" si="436"/>
        <v>203000</v>
      </c>
      <c r="P5032" s="15">
        <f t="shared" si="437"/>
        <v>26.95024162285592</v>
      </c>
      <c r="Q5032" s="14">
        <v>20000</v>
      </c>
      <c r="R5032" s="12">
        <v>38</v>
      </c>
      <c r="S5032" s="12" t="s">
        <v>6077</v>
      </c>
      <c r="T5032" s="12">
        <f t="shared" si="433"/>
        <v>7</v>
      </c>
      <c r="U5032" s="12">
        <f t="shared" si="434"/>
        <v>2022</v>
      </c>
      <c r="V5032" s="12" t="str">
        <f t="shared" si="435"/>
        <v>REGIONES</v>
      </c>
    </row>
    <row r="5033" spans="1:22" x14ac:dyDescent="0.2">
      <c r="A5033" s="11" t="s">
        <v>6070</v>
      </c>
      <c r="B5033" s="12" t="s">
        <v>33</v>
      </c>
      <c r="C5033" s="12" t="s">
        <v>29</v>
      </c>
      <c r="D5033" s="12" t="s">
        <v>41</v>
      </c>
      <c r="E5033" s="13">
        <v>125108660</v>
      </c>
      <c r="F5033" s="12" t="s">
        <v>39</v>
      </c>
      <c r="G5033" s="14">
        <v>2641.74</v>
      </c>
      <c r="H5033" s="12" t="s">
        <v>43</v>
      </c>
      <c r="I5033" s="12">
        <v>0</v>
      </c>
      <c r="J5033" s="12" t="s">
        <v>39</v>
      </c>
      <c r="K5033" s="12" t="s">
        <v>23</v>
      </c>
      <c r="L5033" s="12">
        <v>1</v>
      </c>
      <c r="M5033" s="15">
        <v>55000</v>
      </c>
      <c r="N5033" s="15">
        <v>0</v>
      </c>
      <c r="O5033" s="15">
        <f t="shared" si="436"/>
        <v>55000</v>
      </c>
      <c r="P5033" s="15">
        <f t="shared" si="437"/>
        <v>20.819611316783636</v>
      </c>
      <c r="Q5033" s="14">
        <v>5000</v>
      </c>
      <c r="R5033" s="12">
        <v>53</v>
      </c>
      <c r="S5033" s="12" t="s">
        <v>6078</v>
      </c>
      <c r="T5033" s="12">
        <f t="shared" si="433"/>
        <v>7</v>
      </c>
      <c r="U5033" s="12">
        <f t="shared" si="434"/>
        <v>2022</v>
      </c>
      <c r="V5033" s="12" t="str">
        <f t="shared" si="435"/>
        <v>METROPOLITANA</v>
      </c>
    </row>
    <row r="5034" spans="1:22" x14ac:dyDescent="0.2">
      <c r="A5034" s="11" t="s">
        <v>6070</v>
      </c>
      <c r="B5034" s="12" t="s">
        <v>33</v>
      </c>
      <c r="C5034" s="12" t="s">
        <v>29</v>
      </c>
      <c r="D5034" s="12" t="s">
        <v>164</v>
      </c>
      <c r="E5034" s="13">
        <v>81417709</v>
      </c>
      <c r="F5034" s="12" t="s">
        <v>39</v>
      </c>
      <c r="G5034" s="14">
        <v>15028.4</v>
      </c>
      <c r="H5034" s="12" t="s">
        <v>22</v>
      </c>
      <c r="I5034" s="12">
        <v>1</v>
      </c>
      <c r="J5034" s="12" t="s">
        <v>39</v>
      </c>
      <c r="K5034" s="12" t="s">
        <v>23</v>
      </c>
      <c r="L5034" s="12">
        <v>1</v>
      </c>
      <c r="M5034" s="15">
        <v>165312</v>
      </c>
      <c r="N5034" s="15">
        <v>0</v>
      </c>
      <c r="O5034" s="15">
        <f t="shared" si="436"/>
        <v>165312</v>
      </c>
      <c r="P5034" s="15">
        <f t="shared" si="437"/>
        <v>10.999973383726811</v>
      </c>
      <c r="Q5034" s="14">
        <v>5000</v>
      </c>
      <c r="R5034" s="12">
        <v>100</v>
      </c>
      <c r="S5034" s="12" t="s">
        <v>6079</v>
      </c>
      <c r="T5034" s="12">
        <f t="shared" si="433"/>
        <v>7</v>
      </c>
      <c r="U5034" s="12">
        <f t="shared" si="434"/>
        <v>2022</v>
      </c>
      <c r="V5034" s="12" t="str">
        <f t="shared" si="435"/>
        <v>METROPOLITANA</v>
      </c>
    </row>
    <row r="5035" spans="1:22" x14ac:dyDescent="0.2">
      <c r="A5035" s="11" t="s">
        <v>6070</v>
      </c>
      <c r="B5035" s="12" t="s">
        <v>33</v>
      </c>
      <c r="C5035" s="12" t="s">
        <v>29</v>
      </c>
      <c r="D5035" s="12" t="s">
        <v>20</v>
      </c>
      <c r="E5035" s="13">
        <v>78907355</v>
      </c>
      <c r="F5035" s="12" t="s">
        <v>39</v>
      </c>
      <c r="G5035" s="14">
        <v>5684.74</v>
      </c>
      <c r="H5035" s="12" t="s">
        <v>22</v>
      </c>
      <c r="I5035" s="12">
        <v>0</v>
      </c>
      <c r="J5035" s="12" t="s">
        <v>39</v>
      </c>
      <c r="K5035" s="12" t="s">
        <v>23</v>
      </c>
      <c r="L5035" s="12">
        <v>1</v>
      </c>
      <c r="M5035" s="15">
        <v>62532</v>
      </c>
      <c r="N5035" s="15">
        <v>0</v>
      </c>
      <c r="O5035" s="15">
        <f t="shared" si="436"/>
        <v>62532</v>
      </c>
      <c r="P5035" s="15">
        <f t="shared" si="437"/>
        <v>10.999975372664361</v>
      </c>
      <c r="Q5035" s="14">
        <v>5000</v>
      </c>
      <c r="R5035" s="12">
        <v>100</v>
      </c>
      <c r="S5035" s="12" t="s">
        <v>6080</v>
      </c>
      <c r="T5035" s="12">
        <f t="shared" si="433"/>
        <v>7</v>
      </c>
      <c r="U5035" s="12">
        <f t="shared" si="434"/>
        <v>2022</v>
      </c>
      <c r="V5035" s="12" t="str">
        <f t="shared" si="435"/>
        <v>METROPOLITANA</v>
      </c>
    </row>
    <row r="5036" spans="1:22" x14ac:dyDescent="0.2">
      <c r="A5036" s="11" t="s">
        <v>6070</v>
      </c>
      <c r="B5036" s="12" t="s">
        <v>33</v>
      </c>
      <c r="C5036" s="12" t="s">
        <v>44</v>
      </c>
      <c r="D5036" s="12" t="s">
        <v>191</v>
      </c>
      <c r="E5036" s="13">
        <v>78551976</v>
      </c>
      <c r="F5036" s="12" t="s">
        <v>815</v>
      </c>
      <c r="G5036" s="14">
        <v>7292.6199999999972</v>
      </c>
      <c r="H5036" s="12" t="s">
        <v>85</v>
      </c>
      <c r="I5036" s="12">
        <v>1</v>
      </c>
      <c r="J5036" s="12" t="s">
        <v>815</v>
      </c>
      <c r="K5036" s="12" t="s">
        <v>75</v>
      </c>
      <c r="L5036" s="12">
        <v>0</v>
      </c>
      <c r="M5036" s="15">
        <v>460000</v>
      </c>
      <c r="N5036" s="15">
        <v>0</v>
      </c>
      <c r="O5036" s="15">
        <f t="shared" si="436"/>
        <v>460000</v>
      </c>
      <c r="P5036" s="15">
        <f t="shared" si="437"/>
        <v>63.077467357410669</v>
      </c>
      <c r="Q5036" s="14">
        <v>20000</v>
      </c>
      <c r="R5036" s="12">
        <v>36</v>
      </c>
      <c r="S5036" s="12" t="s">
        <v>6081</v>
      </c>
      <c r="T5036" s="12">
        <f t="shared" si="433"/>
        <v>7</v>
      </c>
      <c r="U5036" s="12">
        <f t="shared" si="434"/>
        <v>2022</v>
      </c>
      <c r="V5036" s="12" t="str">
        <f t="shared" si="435"/>
        <v>REGIONES</v>
      </c>
    </row>
    <row r="5037" spans="1:22" x14ac:dyDescent="0.2">
      <c r="A5037" s="23" t="s">
        <v>6082</v>
      </c>
      <c r="B5037" s="22" t="s">
        <v>18</v>
      </c>
      <c r="C5037" s="22" t="s">
        <v>1997</v>
      </c>
      <c r="D5037" s="22" t="s">
        <v>63</v>
      </c>
      <c r="E5037" s="24" t="s">
        <v>64</v>
      </c>
      <c r="F5037" s="22" t="s">
        <v>58</v>
      </c>
      <c r="G5037" s="25">
        <v>11812.48</v>
      </c>
      <c r="H5037" s="22" t="s">
        <v>65</v>
      </c>
      <c r="I5037" s="22">
        <v>0</v>
      </c>
      <c r="J5037" s="22" t="s">
        <v>58</v>
      </c>
      <c r="K5037" s="22" t="s">
        <v>23</v>
      </c>
      <c r="L5037" s="22">
        <v>5</v>
      </c>
      <c r="M5037" s="26">
        <v>70000</v>
      </c>
      <c r="N5037" s="26">
        <v>0</v>
      </c>
      <c r="O5037" s="15">
        <f t="shared" si="436"/>
        <v>70000</v>
      </c>
      <c r="P5037" s="15">
        <f t="shared" si="437"/>
        <v>5.925935959256651</v>
      </c>
      <c r="Q5037" s="25">
        <v>10000</v>
      </c>
      <c r="R5037" s="22">
        <v>100</v>
      </c>
      <c r="S5037" s="22" t="s">
        <v>6083</v>
      </c>
      <c r="T5037" s="22">
        <f t="shared" si="433"/>
        <v>7</v>
      </c>
      <c r="U5037" s="22">
        <f t="shared" si="434"/>
        <v>2022</v>
      </c>
      <c r="V5037" s="22" t="str">
        <f t="shared" si="435"/>
        <v>METROPOLITANA</v>
      </c>
    </row>
    <row r="5038" spans="1:22" x14ac:dyDescent="0.2">
      <c r="A5038" s="23" t="s">
        <v>6082</v>
      </c>
      <c r="B5038" s="22" t="s">
        <v>33</v>
      </c>
      <c r="C5038" s="22" t="s">
        <v>29</v>
      </c>
      <c r="D5038" s="22" t="s">
        <v>37</v>
      </c>
      <c r="E5038" s="24" t="s">
        <v>40</v>
      </c>
      <c r="F5038" s="22" t="s">
        <v>39</v>
      </c>
      <c r="G5038" s="25">
        <v>6164.3300000000008</v>
      </c>
      <c r="H5038" s="22" t="s">
        <v>22</v>
      </c>
      <c r="I5038" s="22">
        <v>0</v>
      </c>
      <c r="J5038" s="22" t="s">
        <v>39</v>
      </c>
      <c r="K5038" s="22" t="s">
        <v>23</v>
      </c>
      <c r="L5038" s="22">
        <v>1</v>
      </c>
      <c r="M5038" s="26">
        <v>67808</v>
      </c>
      <c r="N5038" s="26">
        <v>0</v>
      </c>
      <c r="O5038" s="15">
        <f t="shared" si="436"/>
        <v>67808</v>
      </c>
      <c r="P5038" s="15">
        <f t="shared" si="437"/>
        <v>11.000060022743751</v>
      </c>
      <c r="Q5038" s="25">
        <v>5000</v>
      </c>
      <c r="R5038" s="22">
        <v>100</v>
      </c>
      <c r="S5038" s="22" t="s">
        <v>6084</v>
      </c>
      <c r="T5038" s="22">
        <f t="shared" si="433"/>
        <v>7</v>
      </c>
      <c r="U5038" s="22">
        <f t="shared" si="434"/>
        <v>2022</v>
      </c>
      <c r="V5038" s="22" t="str">
        <f t="shared" si="435"/>
        <v>METROPOLITANA</v>
      </c>
    </row>
    <row r="5039" spans="1:22" x14ac:dyDescent="0.2">
      <c r="A5039" s="23" t="s">
        <v>6082</v>
      </c>
      <c r="B5039" s="22" t="s">
        <v>33</v>
      </c>
      <c r="C5039" s="22" t="s">
        <v>29</v>
      </c>
      <c r="D5039" s="22" t="s">
        <v>164</v>
      </c>
      <c r="E5039" s="24" t="s">
        <v>28</v>
      </c>
      <c r="F5039" s="22" t="s">
        <v>39</v>
      </c>
      <c r="G5039" s="25">
        <v>6528.5999999999976</v>
      </c>
      <c r="H5039" s="22" t="s">
        <v>22</v>
      </c>
      <c r="I5039" s="22">
        <v>1</v>
      </c>
      <c r="J5039" s="22" t="s">
        <v>39</v>
      </c>
      <c r="K5039" s="22" t="s">
        <v>23</v>
      </c>
      <c r="L5039" s="22">
        <v>1</v>
      </c>
      <c r="M5039" s="26">
        <v>71815</v>
      </c>
      <c r="N5039" s="26">
        <v>0</v>
      </c>
      <c r="O5039" s="15">
        <f t="shared" si="436"/>
        <v>71815</v>
      </c>
      <c r="P5039" s="15">
        <f t="shared" si="437"/>
        <v>11.000061268878477</v>
      </c>
      <c r="Q5039" s="25">
        <v>5000</v>
      </c>
      <c r="R5039" s="22">
        <v>100</v>
      </c>
      <c r="S5039" s="22" t="s">
        <v>6085</v>
      </c>
      <c r="T5039" s="22">
        <f t="shared" si="433"/>
        <v>7</v>
      </c>
      <c r="U5039" s="22">
        <f t="shared" si="434"/>
        <v>2022</v>
      </c>
      <c r="V5039" s="22" t="str">
        <f t="shared" si="435"/>
        <v>METROPOLITANA</v>
      </c>
    </row>
    <row r="5040" spans="1:22" x14ac:dyDescent="0.2">
      <c r="A5040" s="23" t="s">
        <v>6082</v>
      </c>
      <c r="B5040" s="22" t="s">
        <v>33</v>
      </c>
      <c r="C5040" s="22" t="s">
        <v>44</v>
      </c>
      <c r="D5040" s="22" t="s">
        <v>6086</v>
      </c>
      <c r="E5040" s="24" t="s">
        <v>6087</v>
      </c>
      <c r="F5040" s="22" t="s">
        <v>1105</v>
      </c>
      <c r="G5040" s="25">
        <v>9376.279999999997</v>
      </c>
      <c r="H5040" s="22" t="s">
        <v>24</v>
      </c>
      <c r="I5040" s="22">
        <v>1</v>
      </c>
      <c r="J5040" s="22" t="s">
        <v>1105</v>
      </c>
      <c r="K5040" s="22" t="s">
        <v>873</v>
      </c>
      <c r="L5040" s="22">
        <v>0</v>
      </c>
      <c r="M5040" s="26">
        <v>950000</v>
      </c>
      <c r="N5040" s="26">
        <v>0</v>
      </c>
      <c r="O5040" s="15">
        <f t="shared" si="436"/>
        <v>950000</v>
      </c>
      <c r="P5040" s="15">
        <f t="shared" si="437"/>
        <v>101.31949984428796</v>
      </c>
      <c r="Q5040" s="25">
        <v>20000</v>
      </c>
      <c r="R5040" s="22">
        <v>47</v>
      </c>
      <c r="S5040" s="22" t="s">
        <v>6088</v>
      </c>
      <c r="T5040" s="22">
        <f t="shared" si="433"/>
        <v>7</v>
      </c>
      <c r="U5040" s="22">
        <f t="shared" si="434"/>
        <v>2022</v>
      </c>
      <c r="V5040" s="22" t="str">
        <f t="shared" si="435"/>
        <v>REGIONES</v>
      </c>
    </row>
    <row r="5041" spans="1:22" x14ac:dyDescent="0.2">
      <c r="A5041" s="23" t="s">
        <v>6082</v>
      </c>
      <c r="B5041" s="22" t="s">
        <v>33</v>
      </c>
      <c r="C5041" s="22" t="s">
        <v>44</v>
      </c>
      <c r="D5041" s="22" t="s">
        <v>164</v>
      </c>
      <c r="E5041" s="24" t="s">
        <v>1576</v>
      </c>
      <c r="F5041" s="22" t="s">
        <v>48</v>
      </c>
      <c r="G5041" s="25">
        <v>10473.4</v>
      </c>
      <c r="H5041" s="22" t="s">
        <v>22</v>
      </c>
      <c r="I5041" s="22">
        <v>1</v>
      </c>
      <c r="J5041" s="22" t="s">
        <v>48</v>
      </c>
      <c r="K5041" s="22" t="s">
        <v>23</v>
      </c>
      <c r="L5041" s="22">
        <v>1</v>
      </c>
      <c r="M5041" s="26">
        <v>115207</v>
      </c>
      <c r="N5041" s="26">
        <v>0</v>
      </c>
      <c r="O5041" s="15">
        <f t="shared" si="436"/>
        <v>115207</v>
      </c>
      <c r="P5041" s="15">
        <f t="shared" si="437"/>
        <v>10.999961808008861</v>
      </c>
      <c r="Q5041" s="25">
        <v>5000</v>
      </c>
      <c r="R5041" s="22">
        <v>100</v>
      </c>
      <c r="S5041" s="22" t="s">
        <v>6089</v>
      </c>
      <c r="T5041" s="22">
        <f t="shared" si="433"/>
        <v>7</v>
      </c>
      <c r="U5041" s="22">
        <f t="shared" si="434"/>
        <v>2022</v>
      </c>
      <c r="V5041" s="22" t="str">
        <f t="shared" si="435"/>
        <v>METROPOLITANA</v>
      </c>
    </row>
    <row r="5042" spans="1:22" x14ac:dyDescent="0.2">
      <c r="A5042" s="11" t="s">
        <v>6090</v>
      </c>
      <c r="B5042" s="12" t="s">
        <v>18</v>
      </c>
      <c r="C5042" s="12" t="s">
        <v>475</v>
      </c>
      <c r="D5042" s="12" t="s">
        <v>4247</v>
      </c>
      <c r="E5042" s="13">
        <v>115812335</v>
      </c>
      <c r="F5042" s="12" t="s">
        <v>2639</v>
      </c>
      <c r="G5042" s="14">
        <v>16070.55</v>
      </c>
      <c r="H5042" s="12" t="s">
        <v>24</v>
      </c>
      <c r="I5042" s="12">
        <v>1</v>
      </c>
      <c r="J5042" s="12" t="s">
        <v>2639</v>
      </c>
      <c r="K5042" s="12" t="s">
        <v>75</v>
      </c>
      <c r="L5042" s="12">
        <v>0</v>
      </c>
      <c r="M5042" s="15">
        <v>460000</v>
      </c>
      <c r="N5042" s="15">
        <v>0</v>
      </c>
      <c r="O5042" s="15">
        <f t="shared" si="436"/>
        <v>460000</v>
      </c>
      <c r="P5042" s="15">
        <f t="shared" si="437"/>
        <v>28.623786989244302</v>
      </c>
      <c r="Q5042" s="14">
        <v>20000</v>
      </c>
      <c r="R5042" s="12">
        <v>80</v>
      </c>
      <c r="S5042" s="12" t="s">
        <v>6091</v>
      </c>
      <c r="T5042" s="22">
        <f t="shared" si="433"/>
        <v>7</v>
      </c>
      <c r="U5042" s="22">
        <f t="shared" si="434"/>
        <v>2022</v>
      </c>
      <c r="V5042" s="22" t="str">
        <f t="shared" si="435"/>
        <v>REGIONES</v>
      </c>
    </row>
    <row r="5043" spans="1:22" x14ac:dyDescent="0.2">
      <c r="A5043" s="11" t="s">
        <v>6090</v>
      </c>
      <c r="B5043" s="12" t="s">
        <v>18</v>
      </c>
      <c r="C5043" s="12" t="s">
        <v>1997</v>
      </c>
      <c r="D5043" s="12" t="s">
        <v>47</v>
      </c>
      <c r="E5043" s="13">
        <v>107643206</v>
      </c>
      <c r="F5043" s="12" t="s">
        <v>58</v>
      </c>
      <c r="G5043" s="14">
        <v>12652</v>
      </c>
      <c r="H5043" s="12" t="s">
        <v>22</v>
      </c>
      <c r="I5043" s="12">
        <v>0</v>
      </c>
      <c r="J5043" s="12" t="s">
        <v>58</v>
      </c>
      <c r="K5043" s="12" t="s">
        <v>23</v>
      </c>
      <c r="L5043" s="12">
        <v>5</v>
      </c>
      <c r="M5043" s="15">
        <v>70000</v>
      </c>
      <c r="N5043" s="15">
        <v>0</v>
      </c>
      <c r="O5043" s="15">
        <f t="shared" si="436"/>
        <v>70000</v>
      </c>
      <c r="P5043" s="15">
        <f t="shared" si="437"/>
        <v>5.5327220992728421</v>
      </c>
      <c r="Q5043" s="14">
        <v>10000</v>
      </c>
      <c r="R5043" s="12">
        <v>100</v>
      </c>
      <c r="S5043" s="12" t="s">
        <v>6092</v>
      </c>
      <c r="T5043" s="22">
        <f t="shared" si="433"/>
        <v>7</v>
      </c>
      <c r="U5043" s="22">
        <f t="shared" si="434"/>
        <v>2022</v>
      </c>
      <c r="V5043" s="22" t="str">
        <f t="shared" si="435"/>
        <v>METROPOLITANA</v>
      </c>
    </row>
    <row r="5044" spans="1:22" x14ac:dyDescent="0.2">
      <c r="A5044" s="11" t="s">
        <v>6090</v>
      </c>
      <c r="B5044" s="12" t="s">
        <v>18</v>
      </c>
      <c r="C5044" s="12" t="s">
        <v>508</v>
      </c>
      <c r="D5044" s="12" t="s">
        <v>2199</v>
      </c>
      <c r="E5044" s="13">
        <v>125108600</v>
      </c>
      <c r="F5044" s="12" t="s">
        <v>51</v>
      </c>
      <c r="G5044" s="14">
        <v>14552.5</v>
      </c>
      <c r="H5044" s="12" t="s">
        <v>22</v>
      </c>
      <c r="I5044" s="12">
        <v>0</v>
      </c>
      <c r="J5044" s="12" t="s">
        <v>51</v>
      </c>
      <c r="K5044" s="12" t="s">
        <v>23</v>
      </c>
      <c r="L5044" s="12">
        <v>4</v>
      </c>
      <c r="M5044" s="15">
        <v>160077</v>
      </c>
      <c r="N5044" s="15">
        <v>0</v>
      </c>
      <c r="O5044" s="15">
        <f t="shared" si="436"/>
        <v>160077</v>
      </c>
      <c r="P5044" s="15">
        <f t="shared" si="437"/>
        <v>10.99996564164233</v>
      </c>
      <c r="Q5044" s="14">
        <v>5000</v>
      </c>
      <c r="R5044" s="12">
        <v>100</v>
      </c>
      <c r="S5044" s="12" t="s">
        <v>6093</v>
      </c>
      <c r="T5044" s="22">
        <f t="shared" si="433"/>
        <v>7</v>
      </c>
      <c r="U5044" s="22">
        <f t="shared" si="434"/>
        <v>2022</v>
      </c>
      <c r="V5044" s="22" t="str">
        <f t="shared" si="435"/>
        <v>METROPOLITANA</v>
      </c>
    </row>
    <row r="5045" spans="1:22" x14ac:dyDescent="0.2">
      <c r="A5045" s="11" t="s">
        <v>6090</v>
      </c>
      <c r="B5045" s="12" t="s">
        <v>33</v>
      </c>
      <c r="C5045" s="12" t="s">
        <v>60</v>
      </c>
      <c r="D5045" s="12" t="s">
        <v>20</v>
      </c>
      <c r="E5045" s="13">
        <v>78907355</v>
      </c>
      <c r="F5045" s="12" t="s">
        <v>51</v>
      </c>
      <c r="G5045" s="14">
        <f>2332.8+1555</f>
        <v>3887.8</v>
      </c>
      <c r="H5045" s="12" t="s">
        <v>22</v>
      </c>
      <c r="I5045" s="12">
        <v>0</v>
      </c>
      <c r="J5045" s="12" t="s">
        <v>51</v>
      </c>
      <c r="K5045" s="12" t="s">
        <v>23</v>
      </c>
      <c r="L5045" s="12">
        <v>4</v>
      </c>
      <c r="M5045" s="15">
        <v>55000</v>
      </c>
      <c r="N5045" s="15">
        <v>0</v>
      </c>
      <c r="O5045" s="15">
        <f t="shared" si="436"/>
        <v>55000</v>
      </c>
      <c r="P5045" s="15">
        <f t="shared" si="437"/>
        <v>14.146818251967693</v>
      </c>
      <c r="Q5045" s="14">
        <v>5000</v>
      </c>
      <c r="R5045" s="12">
        <v>68</v>
      </c>
      <c r="S5045" s="12" t="s">
        <v>6094</v>
      </c>
      <c r="T5045" s="22">
        <f t="shared" si="433"/>
        <v>7</v>
      </c>
      <c r="U5045" s="22">
        <f t="shared" si="434"/>
        <v>2022</v>
      </c>
      <c r="V5045" s="22" t="str">
        <f t="shared" si="435"/>
        <v>METROPOLITANA</v>
      </c>
    </row>
    <row r="5046" spans="1:22" x14ac:dyDescent="0.2">
      <c r="A5046" s="11" t="s">
        <v>6090</v>
      </c>
      <c r="B5046" s="12" t="s">
        <v>33</v>
      </c>
      <c r="C5046" s="12" t="s">
        <v>128</v>
      </c>
      <c r="D5046" s="12" t="s">
        <v>30</v>
      </c>
      <c r="E5046" s="13">
        <v>72564391</v>
      </c>
      <c r="F5046" s="12" t="s">
        <v>129</v>
      </c>
      <c r="G5046" s="14">
        <v>11893.61</v>
      </c>
      <c r="H5046" s="12" t="s">
        <v>32</v>
      </c>
      <c r="I5046" s="12">
        <v>0</v>
      </c>
      <c r="J5046" s="12" t="s">
        <v>129</v>
      </c>
      <c r="K5046" s="12" t="s">
        <v>23</v>
      </c>
      <c r="L5046" s="12">
        <v>1</v>
      </c>
      <c r="M5046" s="15">
        <v>130830</v>
      </c>
      <c r="N5046" s="15">
        <v>0</v>
      </c>
      <c r="O5046" s="15">
        <f t="shared" si="436"/>
        <v>130830</v>
      </c>
      <c r="P5046" s="15">
        <f t="shared" si="437"/>
        <v>11.00002438284087</v>
      </c>
      <c r="Q5046" s="14">
        <v>5000</v>
      </c>
      <c r="R5046" s="12">
        <v>100</v>
      </c>
      <c r="S5046" s="12" t="s">
        <v>6095</v>
      </c>
      <c r="T5046" s="22">
        <f t="shared" si="433"/>
        <v>7</v>
      </c>
      <c r="U5046" s="22">
        <f t="shared" si="434"/>
        <v>2022</v>
      </c>
      <c r="V5046" s="22" t="str">
        <f t="shared" si="435"/>
        <v>METROPOLITANA</v>
      </c>
    </row>
    <row r="5047" spans="1:22" x14ac:dyDescent="0.2">
      <c r="A5047" s="11" t="s">
        <v>6090</v>
      </c>
      <c r="B5047" s="12" t="s">
        <v>33</v>
      </c>
      <c r="C5047" s="12" t="s">
        <v>44</v>
      </c>
      <c r="D5047" s="12" t="s">
        <v>6096</v>
      </c>
      <c r="E5047" s="13">
        <v>87493997</v>
      </c>
      <c r="F5047" s="12" t="s">
        <v>2639</v>
      </c>
      <c r="G5047" s="14">
        <v>8112.699999999998</v>
      </c>
      <c r="H5047" s="12" t="s">
        <v>24</v>
      </c>
      <c r="I5047" s="12">
        <v>1</v>
      </c>
      <c r="J5047" s="12" t="s">
        <v>2639</v>
      </c>
      <c r="K5047" s="12" t="s">
        <v>75</v>
      </c>
      <c r="L5047" s="12">
        <v>0</v>
      </c>
      <c r="M5047" s="15">
        <v>460000</v>
      </c>
      <c r="N5047" s="15">
        <v>0</v>
      </c>
      <c r="O5047" s="15">
        <f t="shared" si="436"/>
        <v>460000</v>
      </c>
      <c r="P5047" s="15">
        <f t="shared" si="437"/>
        <v>56.701221541533656</v>
      </c>
      <c r="Q5047" s="14">
        <v>20000</v>
      </c>
      <c r="R5047" s="12">
        <v>41</v>
      </c>
      <c r="S5047" s="12" t="s">
        <v>6097</v>
      </c>
      <c r="T5047" s="22">
        <f t="shared" si="433"/>
        <v>7</v>
      </c>
      <c r="U5047" s="22">
        <f t="shared" si="434"/>
        <v>2022</v>
      </c>
      <c r="V5047" s="22" t="str">
        <f t="shared" si="435"/>
        <v>REGIONES</v>
      </c>
    </row>
    <row r="5048" spans="1:22" x14ac:dyDescent="0.2">
      <c r="A5048" s="11" t="s">
        <v>6090</v>
      </c>
      <c r="B5048" s="12" t="s">
        <v>33</v>
      </c>
      <c r="C5048" s="12" t="s">
        <v>44</v>
      </c>
      <c r="D5048" s="12" t="s">
        <v>164</v>
      </c>
      <c r="E5048" s="13">
        <v>154837728</v>
      </c>
      <c r="F5048" s="12" t="s">
        <v>48</v>
      </c>
      <c r="G5048" s="14">
        <v>5037.0599999999986</v>
      </c>
      <c r="H5048" s="12" t="s">
        <v>22</v>
      </c>
      <c r="I5048" s="12">
        <v>1</v>
      </c>
      <c r="J5048" s="12" t="s">
        <v>48</v>
      </c>
      <c r="K5048" s="12" t="s">
        <v>23</v>
      </c>
      <c r="L5048" s="12">
        <v>1</v>
      </c>
      <c r="M5048" s="15">
        <v>55408</v>
      </c>
      <c r="N5048" s="15">
        <v>0</v>
      </c>
      <c r="O5048" s="15">
        <f t="shared" si="436"/>
        <v>55408</v>
      </c>
      <c r="P5048" s="15">
        <f t="shared" si="437"/>
        <v>11.000067499692284</v>
      </c>
      <c r="Q5048" s="14">
        <v>5000</v>
      </c>
      <c r="R5048" s="12">
        <v>100</v>
      </c>
      <c r="S5048" s="12" t="s">
        <v>6098</v>
      </c>
      <c r="T5048" s="22">
        <f t="shared" si="433"/>
        <v>7</v>
      </c>
      <c r="U5048" s="22">
        <f t="shared" si="434"/>
        <v>2022</v>
      </c>
      <c r="V5048" s="22" t="str">
        <f t="shared" si="435"/>
        <v>METROPOLITANA</v>
      </c>
    </row>
    <row r="5049" spans="1:22" x14ac:dyDescent="0.2">
      <c r="A5049" s="23" t="s">
        <v>6099</v>
      </c>
      <c r="B5049" s="22" t="s">
        <v>18</v>
      </c>
      <c r="C5049" s="22" t="s">
        <v>1997</v>
      </c>
      <c r="D5049" s="22" t="s">
        <v>38</v>
      </c>
      <c r="E5049" s="24" t="s">
        <v>1124</v>
      </c>
      <c r="F5049" s="22" t="s">
        <v>58</v>
      </c>
      <c r="G5049" s="25">
        <v>9440.7999999999993</v>
      </c>
      <c r="H5049" s="22" t="s">
        <v>43</v>
      </c>
      <c r="I5049" s="22">
        <v>0</v>
      </c>
      <c r="J5049" s="22" t="s">
        <v>58</v>
      </c>
      <c r="K5049" s="22" t="s">
        <v>23</v>
      </c>
      <c r="L5049" s="22">
        <v>5</v>
      </c>
      <c r="M5049" s="26">
        <v>70000</v>
      </c>
      <c r="N5049" s="26">
        <v>0</v>
      </c>
      <c r="O5049" s="15">
        <f t="shared" si="436"/>
        <v>70000</v>
      </c>
      <c r="P5049" s="15">
        <f t="shared" si="437"/>
        <v>7.4146258791627835</v>
      </c>
      <c r="Q5049" s="25">
        <v>10000</v>
      </c>
      <c r="R5049" s="22">
        <v>94</v>
      </c>
      <c r="S5049" s="22" t="s">
        <v>6100</v>
      </c>
      <c r="T5049" s="22">
        <f t="shared" si="433"/>
        <v>7</v>
      </c>
      <c r="U5049" s="22">
        <f t="shared" si="434"/>
        <v>2022</v>
      </c>
      <c r="V5049" s="22" t="str">
        <f t="shared" si="435"/>
        <v>METROPOLITANA</v>
      </c>
    </row>
    <row r="5050" spans="1:22" x14ac:dyDescent="0.2">
      <c r="A5050" s="23" t="s">
        <v>6099</v>
      </c>
      <c r="B5050" s="22" t="s">
        <v>18</v>
      </c>
      <c r="C5050" s="22" t="s">
        <v>1997</v>
      </c>
      <c r="D5050" s="22" t="s">
        <v>37</v>
      </c>
      <c r="E5050" s="24" t="s">
        <v>40</v>
      </c>
      <c r="F5050" s="22" t="s">
        <v>58</v>
      </c>
      <c r="G5050" s="25">
        <v>14881.43</v>
      </c>
      <c r="H5050" s="22" t="s">
        <v>22</v>
      </c>
      <c r="I5050" s="22">
        <v>0</v>
      </c>
      <c r="J5050" s="22" t="s">
        <v>58</v>
      </c>
      <c r="K5050" s="22" t="s">
        <v>23</v>
      </c>
      <c r="L5050" s="22">
        <v>5</v>
      </c>
      <c r="M5050" s="26">
        <v>70000</v>
      </c>
      <c r="N5050" s="26">
        <v>0</v>
      </c>
      <c r="O5050" s="15">
        <f t="shared" si="436"/>
        <v>70000</v>
      </c>
      <c r="P5050" s="15">
        <f t="shared" si="437"/>
        <v>4.7038490252616851</v>
      </c>
      <c r="Q5050" s="25">
        <v>10000</v>
      </c>
      <c r="R5050" s="22">
        <v>100</v>
      </c>
      <c r="S5050" s="22" t="s">
        <v>6101</v>
      </c>
      <c r="T5050" s="22">
        <f t="shared" si="433"/>
        <v>7</v>
      </c>
      <c r="U5050" s="22">
        <f t="shared" si="434"/>
        <v>2022</v>
      </c>
      <c r="V5050" s="22" t="str">
        <f t="shared" si="435"/>
        <v>METROPOLITANA</v>
      </c>
    </row>
    <row r="5051" spans="1:22" x14ac:dyDescent="0.2">
      <c r="A5051" s="23" t="s">
        <v>6099</v>
      </c>
      <c r="B5051" s="22" t="s">
        <v>18</v>
      </c>
      <c r="C5051" s="22" t="s">
        <v>5571</v>
      </c>
      <c r="D5051" s="22" t="s">
        <v>37</v>
      </c>
      <c r="E5051" s="24" t="s">
        <v>40</v>
      </c>
      <c r="F5051" s="22" t="s">
        <v>170</v>
      </c>
      <c r="G5051" s="25">
        <v>5238.84</v>
      </c>
      <c r="H5051" s="22" t="s">
        <v>22</v>
      </c>
      <c r="I5051" s="22">
        <v>0</v>
      </c>
      <c r="J5051" s="22" t="s">
        <v>170</v>
      </c>
      <c r="K5051" s="22" t="s">
        <v>171</v>
      </c>
      <c r="L5051" s="22">
        <v>0</v>
      </c>
      <c r="M5051" s="26">
        <v>180000</v>
      </c>
      <c r="N5051" s="26">
        <v>0</v>
      </c>
      <c r="O5051" s="15">
        <f t="shared" si="436"/>
        <v>180000</v>
      </c>
      <c r="P5051" s="15">
        <f t="shared" si="437"/>
        <v>34.358751173923999</v>
      </c>
      <c r="Q5051" s="25">
        <v>20000</v>
      </c>
      <c r="R5051" s="22">
        <v>26</v>
      </c>
      <c r="S5051" s="22" t="s">
        <v>6102</v>
      </c>
      <c r="T5051" s="22">
        <f t="shared" si="433"/>
        <v>7</v>
      </c>
      <c r="U5051" s="22">
        <f t="shared" si="434"/>
        <v>2022</v>
      </c>
      <c r="V5051" s="22" t="str">
        <f t="shared" si="435"/>
        <v>REGIONES</v>
      </c>
    </row>
    <row r="5052" spans="1:22" x14ac:dyDescent="0.2">
      <c r="A5052" s="23" t="s">
        <v>6099</v>
      </c>
      <c r="B5052" s="22" t="s">
        <v>18</v>
      </c>
      <c r="C5052" s="22" t="s">
        <v>5571</v>
      </c>
      <c r="D5052" s="22" t="s">
        <v>5718</v>
      </c>
      <c r="E5052" s="24" t="s">
        <v>126</v>
      </c>
      <c r="F5052" s="22" t="s">
        <v>170</v>
      </c>
      <c r="G5052" s="25">
        <v>19198.68</v>
      </c>
      <c r="H5052" s="22" t="s">
        <v>24</v>
      </c>
      <c r="I5052" s="22">
        <v>1</v>
      </c>
      <c r="J5052" s="22" t="s">
        <v>170</v>
      </c>
      <c r="K5052" s="22" t="s">
        <v>171</v>
      </c>
      <c r="L5052" s="22">
        <v>0</v>
      </c>
      <c r="M5052" s="26">
        <v>250000</v>
      </c>
      <c r="N5052" s="26">
        <v>0</v>
      </c>
      <c r="O5052" s="15">
        <f t="shared" si="436"/>
        <v>250000</v>
      </c>
      <c r="P5052" s="15">
        <f t="shared" si="437"/>
        <v>13.021728577173013</v>
      </c>
      <c r="Q5052" s="25">
        <v>20000</v>
      </c>
      <c r="R5052" s="22">
        <v>96</v>
      </c>
      <c r="S5052" s="22" t="s">
        <v>6103</v>
      </c>
      <c r="T5052" s="22">
        <f t="shared" si="433"/>
        <v>7</v>
      </c>
      <c r="U5052" s="22">
        <f t="shared" si="434"/>
        <v>2022</v>
      </c>
      <c r="V5052" s="22" t="str">
        <f t="shared" si="435"/>
        <v>REGIONES</v>
      </c>
    </row>
    <row r="5053" spans="1:22" x14ac:dyDescent="0.2">
      <c r="A5053" s="23" t="s">
        <v>6099</v>
      </c>
      <c r="B5053" s="22" t="s">
        <v>33</v>
      </c>
      <c r="C5053" s="22" t="s">
        <v>909</v>
      </c>
      <c r="D5053" s="22" t="s">
        <v>2955</v>
      </c>
      <c r="E5053" s="24" t="s">
        <v>2956</v>
      </c>
      <c r="F5053" s="22" t="s">
        <v>910</v>
      </c>
      <c r="G5053" s="25">
        <v>16434.899999999991</v>
      </c>
      <c r="H5053" s="22" t="s">
        <v>24</v>
      </c>
      <c r="I5053" s="22">
        <v>1</v>
      </c>
      <c r="J5053" s="22" t="s">
        <v>910</v>
      </c>
      <c r="K5053" s="22" t="s">
        <v>171</v>
      </c>
      <c r="L5053" s="22">
        <v>0</v>
      </c>
      <c r="M5053" s="26">
        <v>260000</v>
      </c>
      <c r="N5053" s="26">
        <v>0</v>
      </c>
      <c r="O5053" s="15">
        <f t="shared" si="436"/>
        <v>260000</v>
      </c>
      <c r="P5053" s="15">
        <f t="shared" si="437"/>
        <v>15.819992820157113</v>
      </c>
      <c r="Q5053" s="25">
        <v>20000</v>
      </c>
      <c r="R5053" s="22">
        <v>82</v>
      </c>
      <c r="S5053" s="22" t="s">
        <v>6104</v>
      </c>
      <c r="T5053" s="22">
        <f t="shared" si="433"/>
        <v>7</v>
      </c>
      <c r="U5053" s="22">
        <f t="shared" si="434"/>
        <v>2022</v>
      </c>
      <c r="V5053" s="22" t="str">
        <f t="shared" si="435"/>
        <v>REGIONES</v>
      </c>
    </row>
    <row r="5054" spans="1:22" x14ac:dyDescent="0.2">
      <c r="A5054" s="23" t="s">
        <v>6099</v>
      </c>
      <c r="B5054" s="22" t="s">
        <v>33</v>
      </c>
      <c r="C5054" s="22" t="s">
        <v>29</v>
      </c>
      <c r="D5054" s="22" t="s">
        <v>47</v>
      </c>
      <c r="E5054" s="24" t="s">
        <v>49</v>
      </c>
      <c r="F5054" s="22" t="s">
        <v>134</v>
      </c>
      <c r="G5054" s="25">
        <f>6704.85+530</f>
        <v>7234.85</v>
      </c>
      <c r="H5054" s="22" t="s">
        <v>22</v>
      </c>
      <c r="I5054" s="22">
        <v>0</v>
      </c>
      <c r="J5054" s="22" t="s">
        <v>134</v>
      </c>
      <c r="K5054" s="22" t="s">
        <v>23</v>
      </c>
      <c r="L5054" s="22">
        <v>2</v>
      </c>
      <c r="M5054" s="26">
        <v>73753</v>
      </c>
      <c r="N5054" s="26">
        <v>0</v>
      </c>
      <c r="O5054" s="15">
        <f t="shared" si="436"/>
        <v>73753</v>
      </c>
      <c r="P5054" s="15">
        <f t="shared" si="437"/>
        <v>10.19412980227648</v>
      </c>
      <c r="Q5054" s="25">
        <v>5000</v>
      </c>
      <c r="R5054" s="22">
        <v>100</v>
      </c>
      <c r="S5054" s="22" t="s">
        <v>6105</v>
      </c>
      <c r="T5054" s="22">
        <f t="shared" si="433"/>
        <v>7</v>
      </c>
      <c r="U5054" s="22">
        <f t="shared" si="434"/>
        <v>2022</v>
      </c>
      <c r="V5054" s="22" t="str">
        <f t="shared" si="435"/>
        <v>METROPOLITANA</v>
      </c>
    </row>
    <row r="5055" spans="1:22" x14ac:dyDescent="0.2">
      <c r="A5055" s="23" t="s">
        <v>6099</v>
      </c>
      <c r="B5055" s="22" t="s">
        <v>33</v>
      </c>
      <c r="C5055" s="22" t="s">
        <v>29</v>
      </c>
      <c r="D5055" s="22" t="s">
        <v>20</v>
      </c>
      <c r="E5055" s="24" t="s">
        <v>1576</v>
      </c>
      <c r="F5055" s="22" t="s">
        <v>129</v>
      </c>
      <c r="G5055" s="25">
        <f>5058.47+1944</f>
        <v>7002.47</v>
      </c>
      <c r="H5055" s="22" t="s">
        <v>22</v>
      </c>
      <c r="I5055" s="22">
        <v>0</v>
      </c>
      <c r="J5055" s="22" t="s">
        <v>129</v>
      </c>
      <c r="K5055" s="22" t="s">
        <v>23</v>
      </c>
      <c r="L5055" s="22">
        <v>1</v>
      </c>
      <c r="M5055" s="26">
        <v>55643</v>
      </c>
      <c r="N5055" s="26">
        <v>0</v>
      </c>
      <c r="O5055" s="15">
        <f t="shared" si="436"/>
        <v>55643</v>
      </c>
      <c r="P5055" s="15">
        <f t="shared" si="437"/>
        <v>7.9461961279377133</v>
      </c>
      <c r="Q5055" s="25">
        <v>5000</v>
      </c>
      <c r="R5055" s="22">
        <v>100</v>
      </c>
      <c r="S5055" s="22" t="s">
        <v>6106</v>
      </c>
      <c r="T5055" s="22">
        <f t="shared" si="433"/>
        <v>7</v>
      </c>
      <c r="U5055" s="22">
        <f t="shared" si="434"/>
        <v>2022</v>
      </c>
      <c r="V5055" s="22" t="str">
        <f t="shared" si="435"/>
        <v>METROPOLITANA</v>
      </c>
    </row>
    <row r="5056" spans="1:22" x14ac:dyDescent="0.2">
      <c r="A5056" s="11" t="s">
        <v>6107</v>
      </c>
      <c r="B5056" s="12" t="s">
        <v>18</v>
      </c>
      <c r="C5056" s="12" t="s">
        <v>1997</v>
      </c>
      <c r="D5056" s="12" t="s">
        <v>38</v>
      </c>
      <c r="E5056" s="13">
        <v>53173292</v>
      </c>
      <c r="F5056" s="12" t="s">
        <v>58</v>
      </c>
      <c r="G5056" s="14">
        <v>15209.08</v>
      </c>
      <c r="H5056" s="12" t="s">
        <v>43</v>
      </c>
      <c r="I5056" s="12">
        <v>0</v>
      </c>
      <c r="J5056" s="12" t="s">
        <v>58</v>
      </c>
      <c r="K5056" s="12" t="s">
        <v>23</v>
      </c>
      <c r="L5056" s="12">
        <v>5</v>
      </c>
      <c r="M5056" s="15">
        <v>70000</v>
      </c>
      <c r="N5056" s="15">
        <v>0</v>
      </c>
      <c r="O5056" s="15">
        <f t="shared" si="436"/>
        <v>70000</v>
      </c>
      <c r="P5056" s="15">
        <f t="shared" si="437"/>
        <v>4.6025137615161471</v>
      </c>
      <c r="Q5056" s="14">
        <v>10000</v>
      </c>
      <c r="R5056" s="12">
        <v>100</v>
      </c>
      <c r="S5056" s="12" t="s">
        <v>6108</v>
      </c>
      <c r="T5056" s="22">
        <f t="shared" si="433"/>
        <v>7</v>
      </c>
      <c r="U5056" s="22">
        <f t="shared" si="434"/>
        <v>2022</v>
      </c>
      <c r="V5056" s="22" t="str">
        <f t="shared" si="435"/>
        <v>METROPOLITANA</v>
      </c>
    </row>
    <row r="5057" spans="1:22" x14ac:dyDescent="0.2">
      <c r="A5057" s="11" t="s">
        <v>6107</v>
      </c>
      <c r="B5057" s="12" t="s">
        <v>18</v>
      </c>
      <c r="C5057" s="12" t="s">
        <v>1997</v>
      </c>
      <c r="D5057" s="12" t="s">
        <v>41</v>
      </c>
      <c r="E5057" s="13">
        <v>1251408660</v>
      </c>
      <c r="F5057" s="12" t="s">
        <v>58</v>
      </c>
      <c r="G5057" s="14">
        <v>11557.22</v>
      </c>
      <c r="H5057" s="12" t="s">
        <v>43</v>
      </c>
      <c r="I5057" s="12">
        <v>0</v>
      </c>
      <c r="J5057" s="12" t="s">
        <v>58</v>
      </c>
      <c r="K5057" s="12" t="s">
        <v>23</v>
      </c>
      <c r="L5057" s="12">
        <v>5</v>
      </c>
      <c r="M5057" s="15">
        <v>70000</v>
      </c>
      <c r="N5057" s="15">
        <v>0</v>
      </c>
      <c r="O5057" s="15">
        <f t="shared" si="436"/>
        <v>70000</v>
      </c>
      <c r="P5057" s="15">
        <f t="shared" si="437"/>
        <v>6.0568198926731522</v>
      </c>
      <c r="Q5057" s="14">
        <v>10000</v>
      </c>
      <c r="R5057" s="12">
        <v>100</v>
      </c>
      <c r="S5057" s="12" t="s">
        <v>6109</v>
      </c>
      <c r="T5057" s="22">
        <f t="shared" si="433"/>
        <v>7</v>
      </c>
      <c r="U5057" s="22">
        <f t="shared" si="434"/>
        <v>2022</v>
      </c>
      <c r="V5057" s="22" t="str">
        <f t="shared" si="435"/>
        <v>METROPOLITANA</v>
      </c>
    </row>
    <row r="5058" spans="1:22" x14ac:dyDescent="0.2">
      <c r="A5058" s="11" t="s">
        <v>6107</v>
      </c>
      <c r="B5058" s="12" t="s">
        <v>18</v>
      </c>
      <c r="C5058" s="12" t="s">
        <v>508</v>
      </c>
      <c r="D5058" s="12" t="s">
        <v>63</v>
      </c>
      <c r="E5058" s="13">
        <v>138841065</v>
      </c>
      <c r="F5058" s="12" t="s">
        <v>51</v>
      </c>
      <c r="G5058" s="14">
        <v>12129.6</v>
      </c>
      <c r="H5058" s="12" t="s">
        <v>65</v>
      </c>
      <c r="I5058" s="12">
        <v>0</v>
      </c>
      <c r="J5058" s="12" t="s">
        <v>51</v>
      </c>
      <c r="K5058" s="12" t="s">
        <v>23</v>
      </c>
      <c r="L5058" s="12">
        <v>4</v>
      </c>
      <c r="M5058" s="15">
        <v>133426</v>
      </c>
      <c r="N5058" s="15">
        <v>0</v>
      </c>
      <c r="O5058" s="15">
        <f t="shared" si="436"/>
        <v>133426</v>
      </c>
      <c r="P5058" s="15">
        <f t="shared" si="437"/>
        <v>11.00003297717979</v>
      </c>
      <c r="Q5058" s="14">
        <v>5000</v>
      </c>
      <c r="R5058" s="12">
        <v>100</v>
      </c>
      <c r="S5058" s="12" t="s">
        <v>6110</v>
      </c>
      <c r="T5058" s="22">
        <f t="shared" si="433"/>
        <v>7</v>
      </c>
      <c r="U5058" s="22">
        <f t="shared" si="434"/>
        <v>2022</v>
      </c>
      <c r="V5058" s="22" t="str">
        <f t="shared" si="435"/>
        <v>METROPOLITANA</v>
      </c>
    </row>
    <row r="5059" spans="1:22" x14ac:dyDescent="0.2">
      <c r="A5059" s="11" t="s">
        <v>6107</v>
      </c>
      <c r="B5059" s="12" t="s">
        <v>33</v>
      </c>
      <c r="C5059" s="12" t="s">
        <v>2431</v>
      </c>
      <c r="D5059" s="12" t="s">
        <v>5478</v>
      </c>
      <c r="E5059" s="13">
        <v>122975819</v>
      </c>
      <c r="F5059" s="12" t="s">
        <v>67</v>
      </c>
      <c r="G5059" s="14">
        <f>15440+4517</f>
        <v>19957</v>
      </c>
      <c r="H5059" s="12" t="s">
        <v>24</v>
      </c>
      <c r="I5059" s="12">
        <v>1</v>
      </c>
      <c r="J5059" s="12" t="s">
        <v>67</v>
      </c>
      <c r="K5059" s="12" t="s">
        <v>23</v>
      </c>
      <c r="L5059" s="12">
        <v>2</v>
      </c>
      <c r="M5059" s="15">
        <v>169840</v>
      </c>
      <c r="N5059" s="15">
        <v>0</v>
      </c>
      <c r="O5059" s="15">
        <f t="shared" si="436"/>
        <v>169840</v>
      </c>
      <c r="P5059" s="15">
        <f t="shared" si="437"/>
        <v>8.5102971388485251</v>
      </c>
      <c r="Q5059" s="14">
        <v>5000</v>
      </c>
      <c r="R5059" s="12">
        <v>100</v>
      </c>
      <c r="S5059" s="12" t="s">
        <v>6116</v>
      </c>
      <c r="T5059" s="22">
        <f t="shared" si="433"/>
        <v>7</v>
      </c>
      <c r="U5059" s="22">
        <f t="shared" si="434"/>
        <v>2022</v>
      </c>
      <c r="V5059" s="22" t="str">
        <f t="shared" si="435"/>
        <v>METROPOLITANA</v>
      </c>
    </row>
    <row r="5060" spans="1:22" x14ac:dyDescent="0.2">
      <c r="A5060" s="11" t="s">
        <v>6107</v>
      </c>
      <c r="B5060" s="12" t="s">
        <v>33</v>
      </c>
      <c r="C5060" s="12" t="s">
        <v>270</v>
      </c>
      <c r="D5060" s="12" t="s">
        <v>41</v>
      </c>
      <c r="E5060" s="13">
        <v>125108660</v>
      </c>
      <c r="F5060" s="12" t="s">
        <v>120</v>
      </c>
      <c r="G5060" s="14">
        <v>13537.95</v>
      </c>
      <c r="H5060" s="12" t="s">
        <v>43</v>
      </c>
      <c r="I5060" s="12">
        <v>0</v>
      </c>
      <c r="J5060" s="12" t="s">
        <v>120</v>
      </c>
      <c r="K5060" s="12" t="s">
        <v>23</v>
      </c>
      <c r="L5060" s="12">
        <v>5</v>
      </c>
      <c r="M5060" s="15">
        <v>70000</v>
      </c>
      <c r="N5060" s="15">
        <v>0</v>
      </c>
      <c r="O5060" s="15">
        <f t="shared" si="436"/>
        <v>70000</v>
      </c>
      <c r="P5060" s="15">
        <f t="shared" si="437"/>
        <v>5.1706499137609461</v>
      </c>
      <c r="Q5060" s="14">
        <v>10000</v>
      </c>
      <c r="R5060" s="12">
        <v>100</v>
      </c>
      <c r="S5060" s="12" t="s">
        <v>6111</v>
      </c>
      <c r="T5060" s="22">
        <f t="shared" si="433"/>
        <v>7</v>
      </c>
      <c r="U5060" s="22">
        <f t="shared" si="434"/>
        <v>2022</v>
      </c>
      <c r="V5060" s="22" t="str">
        <f t="shared" si="435"/>
        <v>METROPOLITANA</v>
      </c>
    </row>
    <row r="5061" spans="1:22" x14ac:dyDescent="0.2">
      <c r="A5061" s="11" t="s">
        <v>6107</v>
      </c>
      <c r="B5061" s="12" t="s">
        <v>33</v>
      </c>
      <c r="C5061" s="12" t="s">
        <v>29</v>
      </c>
      <c r="D5061" s="12" t="s">
        <v>63</v>
      </c>
      <c r="E5061" s="13">
        <v>138841065</v>
      </c>
      <c r="F5061" s="12" t="s">
        <v>39</v>
      </c>
      <c r="G5061" s="14">
        <v>5326.4</v>
      </c>
      <c r="H5061" s="12" t="s">
        <v>65</v>
      </c>
      <c r="I5061" s="12">
        <v>0</v>
      </c>
      <c r="J5061" s="12" t="s">
        <v>39</v>
      </c>
      <c r="K5061" s="12" t="s">
        <v>23</v>
      </c>
      <c r="L5061" s="12">
        <v>1</v>
      </c>
      <c r="M5061" s="15">
        <v>58590</v>
      </c>
      <c r="N5061" s="15">
        <v>0</v>
      </c>
      <c r="O5061" s="15">
        <f t="shared" si="436"/>
        <v>58590</v>
      </c>
      <c r="P5061" s="15">
        <f t="shared" si="437"/>
        <v>10.999924902373087</v>
      </c>
      <c r="Q5061" s="14">
        <v>5000</v>
      </c>
      <c r="R5061" s="12">
        <v>100</v>
      </c>
      <c r="S5061" s="12" t="s">
        <v>6112</v>
      </c>
      <c r="T5061" s="22">
        <f t="shared" si="433"/>
        <v>7</v>
      </c>
      <c r="U5061" s="22">
        <f t="shared" si="434"/>
        <v>2022</v>
      </c>
      <c r="V5061" s="22" t="str">
        <f t="shared" si="435"/>
        <v>METROPOLITANA</v>
      </c>
    </row>
    <row r="5062" spans="1:22" x14ac:dyDescent="0.2">
      <c r="A5062" s="11" t="s">
        <v>6107</v>
      </c>
      <c r="B5062" s="12" t="s">
        <v>33</v>
      </c>
      <c r="C5062" s="12" t="s">
        <v>29</v>
      </c>
      <c r="D5062" s="12" t="s">
        <v>164</v>
      </c>
      <c r="E5062" s="13">
        <v>154837728</v>
      </c>
      <c r="F5062" s="12" t="s">
        <v>39</v>
      </c>
      <c r="G5062" s="14">
        <v>22673.18</v>
      </c>
      <c r="H5062" s="12" t="s">
        <v>22</v>
      </c>
      <c r="I5062" s="12">
        <v>1</v>
      </c>
      <c r="J5062" s="12" t="s">
        <v>39</v>
      </c>
      <c r="K5062" s="12" t="s">
        <v>23</v>
      </c>
      <c r="L5062" s="12">
        <v>1</v>
      </c>
      <c r="M5062" s="15">
        <v>249405</v>
      </c>
      <c r="N5062" s="15">
        <v>0</v>
      </c>
      <c r="O5062" s="15">
        <f t="shared" si="436"/>
        <v>249405</v>
      </c>
      <c r="P5062" s="15">
        <f t="shared" si="437"/>
        <v>11.000000882099467</v>
      </c>
      <c r="Q5062" s="14">
        <v>5000</v>
      </c>
      <c r="R5062" s="12">
        <v>100</v>
      </c>
      <c r="S5062" s="12" t="s">
        <v>6113</v>
      </c>
      <c r="T5062" s="22">
        <f t="shared" si="433"/>
        <v>7</v>
      </c>
      <c r="U5062" s="22">
        <f t="shared" si="434"/>
        <v>2022</v>
      </c>
      <c r="V5062" s="22" t="str">
        <f t="shared" si="435"/>
        <v>METROPOLITANA</v>
      </c>
    </row>
    <row r="5063" spans="1:22" x14ac:dyDescent="0.2">
      <c r="A5063" s="11" t="s">
        <v>6107</v>
      </c>
      <c r="B5063" s="12" t="s">
        <v>33</v>
      </c>
      <c r="C5063" s="12" t="s">
        <v>29</v>
      </c>
      <c r="D5063" s="12" t="s">
        <v>20</v>
      </c>
      <c r="E5063" s="13">
        <v>78907355</v>
      </c>
      <c r="F5063" s="12" t="s">
        <v>39</v>
      </c>
      <c r="G5063" s="14">
        <v>6693.3999999999987</v>
      </c>
      <c r="H5063" s="12" t="s">
        <v>22</v>
      </c>
      <c r="I5063" s="12">
        <v>0</v>
      </c>
      <c r="J5063" s="12" t="s">
        <v>39</v>
      </c>
      <c r="K5063" s="12" t="s">
        <v>23</v>
      </c>
      <c r="L5063" s="12">
        <v>1</v>
      </c>
      <c r="M5063" s="15">
        <v>73627</v>
      </c>
      <c r="N5063" s="15">
        <v>0</v>
      </c>
      <c r="O5063" s="15">
        <f t="shared" si="436"/>
        <v>73627</v>
      </c>
      <c r="P5063" s="15">
        <f t="shared" si="437"/>
        <v>10.999940239639049</v>
      </c>
      <c r="Q5063" s="14">
        <v>5000</v>
      </c>
      <c r="R5063" s="12">
        <v>100</v>
      </c>
      <c r="S5063" s="12" t="s">
        <v>6114</v>
      </c>
      <c r="T5063" s="22">
        <f t="shared" ref="T5063:T5126" si="438">MONTH(A5063)</f>
        <v>7</v>
      </c>
      <c r="U5063" s="22">
        <f t="shared" ref="U5063:U5126" si="439">YEAR(A5063)</f>
        <v>2022</v>
      </c>
      <c r="V5063" s="22" t="str">
        <f t="shared" ref="V5063:V5126" si="440">IF(K5063="METROPOLITANA DE SANTIAGO","METROPOLITANA","REGIONES")</f>
        <v>METROPOLITANA</v>
      </c>
    </row>
    <row r="5064" spans="1:22" x14ac:dyDescent="0.2">
      <c r="A5064" s="11" t="s">
        <v>6107</v>
      </c>
      <c r="B5064" s="12" t="s">
        <v>33</v>
      </c>
      <c r="C5064" s="12" t="s">
        <v>44</v>
      </c>
      <c r="D5064" s="12" t="s">
        <v>130</v>
      </c>
      <c r="E5064" s="13">
        <v>167832741</v>
      </c>
      <c r="F5064" s="12" t="s">
        <v>2308</v>
      </c>
      <c r="G5064" s="14">
        <v>8903.86</v>
      </c>
      <c r="H5064" s="12" t="s">
        <v>85</v>
      </c>
      <c r="I5064" s="12">
        <v>1</v>
      </c>
      <c r="J5064" s="12" t="s">
        <v>2308</v>
      </c>
      <c r="K5064" s="12" t="s">
        <v>2309</v>
      </c>
      <c r="L5064" s="12">
        <v>0</v>
      </c>
      <c r="M5064" s="15">
        <v>900000</v>
      </c>
      <c r="N5064" s="15">
        <v>0</v>
      </c>
      <c r="O5064" s="15">
        <f t="shared" si="436"/>
        <v>900000</v>
      </c>
      <c r="P5064" s="15">
        <f t="shared" si="437"/>
        <v>101.07975642024918</v>
      </c>
      <c r="Q5064" s="14">
        <v>20000</v>
      </c>
      <c r="R5064" s="12">
        <v>45</v>
      </c>
      <c r="S5064" s="12" t="s">
        <v>6115</v>
      </c>
      <c r="T5064" s="22">
        <f t="shared" si="438"/>
        <v>7</v>
      </c>
      <c r="U5064" s="22">
        <f t="shared" si="439"/>
        <v>2022</v>
      </c>
      <c r="V5064" s="22" t="str">
        <f t="shared" si="440"/>
        <v>REGIONES</v>
      </c>
    </row>
    <row r="5065" spans="1:22" x14ac:dyDescent="0.2">
      <c r="A5065" s="23" t="s">
        <v>6117</v>
      </c>
      <c r="B5065" s="22" t="s">
        <v>18</v>
      </c>
      <c r="C5065" s="22" t="s">
        <v>270</v>
      </c>
      <c r="D5065" s="22" t="s">
        <v>47</v>
      </c>
      <c r="E5065" s="24" t="s">
        <v>49</v>
      </c>
      <c r="F5065" s="22" t="s">
        <v>120</v>
      </c>
      <c r="G5065" s="25">
        <v>6180</v>
      </c>
      <c r="H5065" s="22" t="s">
        <v>22</v>
      </c>
      <c r="I5065" s="22">
        <v>0</v>
      </c>
      <c r="J5065" s="22" t="s">
        <v>120</v>
      </c>
      <c r="K5065" s="22" t="s">
        <v>23</v>
      </c>
      <c r="L5065" s="22">
        <v>5</v>
      </c>
      <c r="M5065" s="26">
        <v>70000</v>
      </c>
      <c r="N5065" s="26">
        <v>0</v>
      </c>
      <c r="O5065" s="15">
        <f t="shared" si="436"/>
        <v>70000</v>
      </c>
      <c r="P5065" s="15">
        <f t="shared" si="437"/>
        <v>11.326860841423947</v>
      </c>
      <c r="Q5065" s="25">
        <v>10000</v>
      </c>
      <c r="R5065" s="22">
        <v>62</v>
      </c>
      <c r="S5065" s="22" t="s">
        <v>6118</v>
      </c>
      <c r="T5065" s="22">
        <f t="shared" si="438"/>
        <v>7</v>
      </c>
      <c r="U5065" s="22">
        <f t="shared" si="439"/>
        <v>2022</v>
      </c>
      <c r="V5065" s="22" t="str">
        <f t="shared" si="440"/>
        <v>METROPOLITANA</v>
      </c>
    </row>
    <row r="5066" spans="1:22" x14ac:dyDescent="0.2">
      <c r="A5066" s="23" t="s">
        <v>6117</v>
      </c>
      <c r="B5066" s="22" t="s">
        <v>18</v>
      </c>
      <c r="C5066" s="22" t="s">
        <v>1997</v>
      </c>
      <c r="D5066" s="22" t="s">
        <v>37</v>
      </c>
      <c r="E5066" s="24" t="s">
        <v>40</v>
      </c>
      <c r="F5066" s="22" t="s">
        <v>58</v>
      </c>
      <c r="G5066" s="25">
        <v>12329.44</v>
      </c>
      <c r="H5066" s="22" t="s">
        <v>22</v>
      </c>
      <c r="I5066" s="22">
        <v>0</v>
      </c>
      <c r="J5066" s="22" t="s">
        <v>58</v>
      </c>
      <c r="K5066" s="22" t="s">
        <v>23</v>
      </c>
      <c r="L5066" s="22">
        <v>5</v>
      </c>
      <c r="M5066" s="26">
        <v>70000</v>
      </c>
      <c r="N5066" s="26">
        <v>0</v>
      </c>
      <c r="O5066" s="15">
        <f t="shared" si="436"/>
        <v>70000</v>
      </c>
      <c r="P5066" s="15">
        <f t="shared" si="437"/>
        <v>5.6774679141956161</v>
      </c>
      <c r="Q5066" s="25">
        <v>10000</v>
      </c>
      <c r="R5066" s="22">
        <v>100</v>
      </c>
      <c r="S5066" s="22" t="s">
        <v>6119</v>
      </c>
      <c r="T5066" s="22">
        <f t="shared" si="438"/>
        <v>7</v>
      </c>
      <c r="U5066" s="22">
        <f t="shared" si="439"/>
        <v>2022</v>
      </c>
      <c r="V5066" s="22" t="str">
        <f t="shared" si="440"/>
        <v>METROPOLITANA</v>
      </c>
    </row>
    <row r="5067" spans="1:22" x14ac:dyDescent="0.2">
      <c r="A5067" s="23" t="s">
        <v>6117</v>
      </c>
      <c r="B5067" s="22" t="s">
        <v>18</v>
      </c>
      <c r="C5067" s="22" t="s">
        <v>508</v>
      </c>
      <c r="D5067" s="22" t="s">
        <v>30</v>
      </c>
      <c r="E5067" s="24" t="s">
        <v>31</v>
      </c>
      <c r="F5067" s="22" t="s">
        <v>51</v>
      </c>
      <c r="G5067" s="25">
        <v>4825.8</v>
      </c>
      <c r="H5067" s="22" t="s">
        <v>32</v>
      </c>
      <c r="I5067" s="22">
        <v>0</v>
      </c>
      <c r="J5067" s="22" t="s">
        <v>51</v>
      </c>
      <c r="K5067" s="22" t="s">
        <v>23</v>
      </c>
      <c r="L5067" s="22">
        <v>4</v>
      </c>
      <c r="M5067" s="26">
        <v>55000</v>
      </c>
      <c r="N5067" s="26">
        <v>0</v>
      </c>
      <c r="O5067" s="15">
        <f t="shared" si="436"/>
        <v>55000</v>
      </c>
      <c r="P5067" s="15">
        <f t="shared" si="437"/>
        <v>11.397074060259438</v>
      </c>
      <c r="Q5067" s="25">
        <v>5000</v>
      </c>
      <c r="R5067" s="22">
        <v>97</v>
      </c>
      <c r="S5067" s="22" t="s">
        <v>6120</v>
      </c>
      <c r="T5067" s="22">
        <f t="shared" si="438"/>
        <v>7</v>
      </c>
      <c r="U5067" s="22">
        <f t="shared" si="439"/>
        <v>2022</v>
      </c>
      <c r="V5067" s="22" t="str">
        <f t="shared" si="440"/>
        <v>METROPOLITANA</v>
      </c>
    </row>
    <row r="5068" spans="1:22" x14ac:dyDescent="0.2">
      <c r="A5068" s="23" t="s">
        <v>6117</v>
      </c>
      <c r="B5068" s="22" t="s">
        <v>33</v>
      </c>
      <c r="C5068" s="22" t="s">
        <v>270</v>
      </c>
      <c r="D5068" s="22" t="s">
        <v>2955</v>
      </c>
      <c r="E5068" s="24" t="s">
        <v>2956</v>
      </c>
      <c r="F5068" s="22" t="s">
        <v>120</v>
      </c>
      <c r="G5068" s="25">
        <v>13973</v>
      </c>
      <c r="H5068" s="22" t="s">
        <v>24</v>
      </c>
      <c r="I5068" s="22">
        <v>1</v>
      </c>
      <c r="J5068" s="22" t="s">
        <v>120</v>
      </c>
      <c r="K5068" s="22" t="s">
        <v>23</v>
      </c>
      <c r="L5068" s="22">
        <v>5</v>
      </c>
      <c r="M5068" s="26">
        <v>120000</v>
      </c>
      <c r="N5068" s="26">
        <v>0</v>
      </c>
      <c r="O5068" s="15">
        <f t="shared" si="436"/>
        <v>120000</v>
      </c>
      <c r="P5068" s="15">
        <f t="shared" si="437"/>
        <v>8.5879911257425032</v>
      </c>
      <c r="Q5068" s="25">
        <v>10000</v>
      </c>
      <c r="R5068" s="22">
        <v>100</v>
      </c>
      <c r="S5068" s="22" t="s">
        <v>6121</v>
      </c>
      <c r="T5068" s="22">
        <f t="shared" si="438"/>
        <v>7</v>
      </c>
      <c r="U5068" s="22">
        <f t="shared" si="439"/>
        <v>2022</v>
      </c>
      <c r="V5068" s="22" t="str">
        <f t="shared" si="440"/>
        <v>METROPOLITANA</v>
      </c>
    </row>
    <row r="5069" spans="1:22" x14ac:dyDescent="0.2">
      <c r="A5069" s="23" t="s">
        <v>6117</v>
      </c>
      <c r="B5069" s="22" t="s">
        <v>33</v>
      </c>
      <c r="C5069" s="22" t="s">
        <v>29</v>
      </c>
      <c r="D5069" s="22" t="s">
        <v>38</v>
      </c>
      <c r="E5069" s="24" t="s">
        <v>42</v>
      </c>
      <c r="F5069" s="22" t="s">
        <v>39</v>
      </c>
      <c r="G5069" s="25">
        <f>5184+2592</f>
        <v>7776</v>
      </c>
      <c r="H5069" s="22" t="s">
        <v>43</v>
      </c>
      <c r="I5069" s="22">
        <v>0</v>
      </c>
      <c r="J5069" s="22" t="s">
        <v>39</v>
      </c>
      <c r="K5069" s="22" t="s">
        <v>23</v>
      </c>
      <c r="L5069" s="22">
        <v>1</v>
      </c>
      <c r="M5069" s="26">
        <v>57024</v>
      </c>
      <c r="N5069" s="26">
        <v>0</v>
      </c>
      <c r="O5069" s="15">
        <f t="shared" si="436"/>
        <v>57024</v>
      </c>
      <c r="P5069" s="15">
        <f t="shared" si="437"/>
        <v>7.333333333333333</v>
      </c>
      <c r="Q5069" s="25">
        <v>5000</v>
      </c>
      <c r="R5069" s="22">
        <v>100</v>
      </c>
      <c r="S5069" s="22" t="s">
        <v>6124</v>
      </c>
      <c r="T5069" s="22">
        <f t="shared" si="438"/>
        <v>7</v>
      </c>
      <c r="U5069" s="22">
        <f t="shared" si="439"/>
        <v>2022</v>
      </c>
      <c r="V5069" s="22" t="str">
        <f t="shared" si="440"/>
        <v>METROPOLITANA</v>
      </c>
    </row>
    <row r="5070" spans="1:22" x14ac:dyDescent="0.2">
      <c r="A5070" s="23" t="s">
        <v>6117</v>
      </c>
      <c r="B5070" s="22" t="s">
        <v>33</v>
      </c>
      <c r="C5070" s="22" t="s">
        <v>29</v>
      </c>
      <c r="D5070" s="22" t="s">
        <v>786</v>
      </c>
      <c r="E5070" s="24" t="s">
        <v>787</v>
      </c>
      <c r="F5070" s="22" t="s">
        <v>39</v>
      </c>
      <c r="G5070" s="25">
        <v>15706.6</v>
      </c>
      <c r="H5070" s="22" t="s">
        <v>788</v>
      </c>
      <c r="I5070" s="22">
        <v>1</v>
      </c>
      <c r="J5070" s="22" t="s">
        <v>39</v>
      </c>
      <c r="K5070" s="22" t="s">
        <v>23</v>
      </c>
      <c r="L5070" s="22">
        <v>1</v>
      </c>
      <c r="M5070" s="26">
        <v>172773</v>
      </c>
      <c r="N5070" s="26">
        <v>0</v>
      </c>
      <c r="O5070" s="15">
        <f t="shared" si="436"/>
        <v>172773</v>
      </c>
      <c r="P5070" s="15">
        <f t="shared" si="437"/>
        <v>11.000025467001134</v>
      </c>
      <c r="Q5070" s="25">
        <v>5000</v>
      </c>
      <c r="R5070" s="22">
        <v>100</v>
      </c>
      <c r="S5070" s="22" t="s">
        <v>6122</v>
      </c>
      <c r="T5070" s="22">
        <f t="shared" si="438"/>
        <v>7</v>
      </c>
      <c r="U5070" s="22">
        <f t="shared" si="439"/>
        <v>2022</v>
      </c>
      <c r="V5070" s="22" t="str">
        <f t="shared" si="440"/>
        <v>METROPOLITANA</v>
      </c>
    </row>
    <row r="5071" spans="1:22" x14ac:dyDescent="0.2">
      <c r="A5071" s="23" t="s">
        <v>6117</v>
      </c>
      <c r="B5071" s="22" t="s">
        <v>33</v>
      </c>
      <c r="C5071" s="22" t="s">
        <v>29</v>
      </c>
      <c r="D5071" s="22" t="s">
        <v>164</v>
      </c>
      <c r="E5071" s="24" t="s">
        <v>1576</v>
      </c>
      <c r="F5071" s="22" t="s">
        <v>39</v>
      </c>
      <c r="G5071" s="25">
        <v>8800.0700000000033</v>
      </c>
      <c r="H5071" s="22" t="s">
        <v>22</v>
      </c>
      <c r="I5071" s="22">
        <v>1</v>
      </c>
      <c r="J5071" s="22" t="s">
        <v>39</v>
      </c>
      <c r="K5071" s="22" t="s">
        <v>23</v>
      </c>
      <c r="L5071" s="22">
        <v>1</v>
      </c>
      <c r="M5071" s="26">
        <v>96801</v>
      </c>
      <c r="N5071" s="26">
        <v>0</v>
      </c>
      <c r="O5071" s="15">
        <f t="shared" si="436"/>
        <v>96801</v>
      </c>
      <c r="P5071" s="15">
        <f t="shared" si="437"/>
        <v>11.00002613615573</v>
      </c>
      <c r="Q5071" s="25">
        <v>5000</v>
      </c>
      <c r="R5071" s="22">
        <v>100</v>
      </c>
      <c r="S5071" s="22" t="s">
        <v>6123</v>
      </c>
      <c r="T5071" s="22">
        <f t="shared" si="438"/>
        <v>7</v>
      </c>
      <c r="U5071" s="22">
        <f t="shared" si="439"/>
        <v>2022</v>
      </c>
      <c r="V5071" s="22" t="str">
        <f t="shared" si="440"/>
        <v>METROPOLITANA</v>
      </c>
    </row>
    <row r="5072" spans="1:22" x14ac:dyDescent="0.2">
      <c r="A5072" s="11" t="s">
        <v>6125</v>
      </c>
      <c r="B5072" s="12" t="s">
        <v>18</v>
      </c>
      <c r="C5072" s="12" t="s">
        <v>270</v>
      </c>
      <c r="D5072" s="12" t="s">
        <v>37</v>
      </c>
      <c r="E5072" s="13" t="s">
        <v>40</v>
      </c>
      <c r="F5072" s="12" t="s">
        <v>120</v>
      </c>
      <c r="G5072" s="14">
        <v>7702.4000000000024</v>
      </c>
      <c r="H5072" s="12" t="s">
        <v>22</v>
      </c>
      <c r="I5072" s="12">
        <v>0</v>
      </c>
      <c r="J5072" s="12" t="s">
        <v>120</v>
      </c>
      <c r="K5072" s="12" t="s">
        <v>23</v>
      </c>
      <c r="L5072" s="12">
        <v>5</v>
      </c>
      <c r="M5072" s="15">
        <v>70000</v>
      </c>
      <c r="N5072" s="15">
        <v>0</v>
      </c>
      <c r="O5072" s="15">
        <f t="shared" si="436"/>
        <v>70000</v>
      </c>
      <c r="P5072" s="15">
        <f t="shared" si="437"/>
        <v>9.0880764437058552</v>
      </c>
      <c r="Q5072" s="14">
        <v>10000</v>
      </c>
      <c r="R5072" s="12">
        <v>77</v>
      </c>
      <c r="S5072" s="12" t="s">
        <v>6126</v>
      </c>
      <c r="T5072" s="22">
        <f t="shared" si="438"/>
        <v>7</v>
      </c>
      <c r="U5072" s="22">
        <f t="shared" si="439"/>
        <v>2022</v>
      </c>
      <c r="V5072" s="22" t="str">
        <f t="shared" si="440"/>
        <v>METROPOLITANA</v>
      </c>
    </row>
    <row r="5073" spans="1:22" x14ac:dyDescent="0.2">
      <c r="A5073" s="11" t="s">
        <v>6125</v>
      </c>
      <c r="B5073" s="12" t="s">
        <v>18</v>
      </c>
      <c r="C5073" s="12" t="s">
        <v>1997</v>
      </c>
      <c r="D5073" s="12" t="s">
        <v>30</v>
      </c>
      <c r="E5073" s="13" t="s">
        <v>31</v>
      </c>
      <c r="F5073" s="12" t="s">
        <v>58</v>
      </c>
      <c r="G5073" s="14">
        <v>8937.5799999999981</v>
      </c>
      <c r="H5073" s="12" t="s">
        <v>32</v>
      </c>
      <c r="I5073" s="12">
        <v>0</v>
      </c>
      <c r="J5073" s="12" t="s">
        <v>58</v>
      </c>
      <c r="K5073" s="12" t="s">
        <v>23</v>
      </c>
      <c r="L5073" s="12">
        <v>5</v>
      </c>
      <c r="M5073" s="15">
        <v>70000</v>
      </c>
      <c r="N5073" s="15">
        <v>0</v>
      </c>
      <c r="O5073" s="15">
        <f t="shared" si="436"/>
        <v>70000</v>
      </c>
      <c r="P5073" s="15">
        <f t="shared" si="437"/>
        <v>7.8320977266776932</v>
      </c>
      <c r="Q5073" s="14">
        <v>10000</v>
      </c>
      <c r="R5073" s="12">
        <v>89</v>
      </c>
      <c r="S5073" s="12" t="s">
        <v>6127</v>
      </c>
      <c r="T5073" s="22">
        <f t="shared" si="438"/>
        <v>7</v>
      </c>
      <c r="U5073" s="22">
        <f t="shared" si="439"/>
        <v>2022</v>
      </c>
      <c r="V5073" s="22" t="str">
        <f t="shared" si="440"/>
        <v>METROPOLITANA</v>
      </c>
    </row>
    <row r="5074" spans="1:22" x14ac:dyDescent="0.2">
      <c r="A5074" s="11" t="s">
        <v>6125</v>
      </c>
      <c r="B5074" s="12" t="s">
        <v>33</v>
      </c>
      <c r="C5074" s="12" t="s">
        <v>60</v>
      </c>
      <c r="D5074" s="12" t="s">
        <v>130</v>
      </c>
      <c r="E5074" s="13" t="s">
        <v>131</v>
      </c>
      <c r="F5074" s="12" t="s">
        <v>6128</v>
      </c>
      <c r="G5074" s="14">
        <f>6754.8+4865</f>
        <v>11619.8</v>
      </c>
      <c r="H5074" s="12" t="s">
        <v>85</v>
      </c>
      <c r="I5074" s="12">
        <v>1</v>
      </c>
      <c r="J5074" s="12" t="s">
        <v>6128</v>
      </c>
      <c r="K5074" s="12" t="s">
        <v>2309</v>
      </c>
      <c r="L5074" s="12">
        <v>0</v>
      </c>
      <c r="M5074" s="15">
        <v>950000</v>
      </c>
      <c r="N5074" s="15">
        <v>0</v>
      </c>
      <c r="O5074" s="15">
        <f t="shared" si="436"/>
        <v>950000</v>
      </c>
      <c r="P5074" s="15">
        <f t="shared" si="437"/>
        <v>81.757000981084019</v>
      </c>
      <c r="Q5074" s="14">
        <v>20000</v>
      </c>
      <c r="R5074" s="12">
        <v>65</v>
      </c>
      <c r="S5074" s="12" t="s">
        <v>6132</v>
      </c>
      <c r="T5074" s="22">
        <f t="shared" si="438"/>
        <v>7</v>
      </c>
      <c r="U5074" s="22">
        <f t="shared" si="439"/>
        <v>2022</v>
      </c>
      <c r="V5074" s="22" t="str">
        <f t="shared" si="440"/>
        <v>REGIONES</v>
      </c>
    </row>
    <row r="5075" spans="1:22" x14ac:dyDescent="0.2">
      <c r="A5075" s="11" t="s">
        <v>6125</v>
      </c>
      <c r="B5075" s="12" t="s">
        <v>33</v>
      </c>
      <c r="C5075" s="12" t="s">
        <v>128</v>
      </c>
      <c r="D5075" s="12" t="s">
        <v>164</v>
      </c>
      <c r="E5075" s="13" t="s">
        <v>1576</v>
      </c>
      <c r="F5075" s="12" t="s">
        <v>129</v>
      </c>
      <c r="G5075" s="14">
        <v>11407.65</v>
      </c>
      <c r="H5075" s="12" t="s">
        <v>22</v>
      </c>
      <c r="I5075" s="12">
        <v>1</v>
      </c>
      <c r="J5075" s="12" t="s">
        <v>129</v>
      </c>
      <c r="K5075" s="12" t="s">
        <v>23</v>
      </c>
      <c r="L5075" s="12">
        <v>1</v>
      </c>
      <c r="M5075" s="15">
        <v>125484</v>
      </c>
      <c r="N5075" s="15">
        <v>0</v>
      </c>
      <c r="O5075" s="15">
        <f t="shared" si="436"/>
        <v>125484</v>
      </c>
      <c r="P5075" s="15">
        <f t="shared" si="437"/>
        <v>10.999986850928982</v>
      </c>
      <c r="Q5075" s="14">
        <v>5000</v>
      </c>
      <c r="R5075" s="12">
        <v>100</v>
      </c>
      <c r="S5075" s="12" t="s">
        <v>6129</v>
      </c>
      <c r="T5075" s="22">
        <f t="shared" si="438"/>
        <v>7</v>
      </c>
      <c r="U5075" s="22">
        <f t="shared" si="439"/>
        <v>2022</v>
      </c>
      <c r="V5075" s="22" t="str">
        <f t="shared" si="440"/>
        <v>METROPOLITANA</v>
      </c>
    </row>
    <row r="5076" spans="1:22" x14ac:dyDescent="0.2">
      <c r="A5076" s="11" t="s">
        <v>6125</v>
      </c>
      <c r="B5076" s="12" t="s">
        <v>33</v>
      </c>
      <c r="C5076" s="12" t="s">
        <v>44</v>
      </c>
      <c r="D5076" s="12" t="s">
        <v>191</v>
      </c>
      <c r="E5076" s="13" t="s">
        <v>192</v>
      </c>
      <c r="F5076" s="12" t="s">
        <v>114</v>
      </c>
      <c r="G5076" s="14">
        <f>4155.26+4048</f>
        <v>8203.26</v>
      </c>
      <c r="H5076" s="12" t="s">
        <v>85</v>
      </c>
      <c r="I5076" s="12">
        <v>1</v>
      </c>
      <c r="J5076" s="12" t="s">
        <v>114</v>
      </c>
      <c r="K5076" s="12" t="s">
        <v>75</v>
      </c>
      <c r="L5076" s="12">
        <v>0</v>
      </c>
      <c r="M5076" s="15">
        <v>480000</v>
      </c>
      <c r="N5076" s="15">
        <v>0</v>
      </c>
      <c r="O5076" s="15">
        <f t="shared" si="436"/>
        <v>480000</v>
      </c>
      <c r="P5076" s="15">
        <f t="shared" si="437"/>
        <v>58.513322752174133</v>
      </c>
      <c r="Q5076" s="14">
        <v>20000</v>
      </c>
      <c r="R5076" s="12">
        <v>48</v>
      </c>
      <c r="S5076" s="12" t="s">
        <v>6133</v>
      </c>
      <c r="T5076" s="22">
        <f t="shared" si="438"/>
        <v>7</v>
      </c>
      <c r="U5076" s="22">
        <f t="shared" si="439"/>
        <v>2022</v>
      </c>
      <c r="V5076" s="22" t="str">
        <f t="shared" si="440"/>
        <v>REGIONES</v>
      </c>
    </row>
    <row r="5077" spans="1:22" x14ac:dyDescent="0.2">
      <c r="A5077" s="11" t="s">
        <v>6125</v>
      </c>
      <c r="B5077" s="12" t="s">
        <v>33</v>
      </c>
      <c r="C5077" s="12" t="s">
        <v>44</v>
      </c>
      <c r="D5077" s="12" t="s">
        <v>45</v>
      </c>
      <c r="E5077" s="13" t="s">
        <v>6130</v>
      </c>
      <c r="F5077" s="12" t="s">
        <v>95</v>
      </c>
      <c r="G5077" s="14">
        <v>4585.6399999999994</v>
      </c>
      <c r="H5077" s="12" t="s">
        <v>22</v>
      </c>
      <c r="I5077" s="12">
        <v>0</v>
      </c>
      <c r="J5077" s="12" t="s">
        <v>95</v>
      </c>
      <c r="K5077" s="12" t="s">
        <v>23</v>
      </c>
      <c r="L5077" s="12">
        <v>4</v>
      </c>
      <c r="M5077" s="15">
        <v>55000</v>
      </c>
      <c r="N5077" s="15">
        <v>0</v>
      </c>
      <c r="O5077" s="15">
        <f t="shared" ref="O5077:O5140" si="441">SUM(M5077:N5077)</f>
        <v>55000</v>
      </c>
      <c r="P5077" s="15">
        <f t="shared" si="437"/>
        <v>11.993963765145107</v>
      </c>
      <c r="Q5077" s="14">
        <v>5000</v>
      </c>
      <c r="R5077" s="12">
        <v>92</v>
      </c>
      <c r="S5077" s="12" t="s">
        <v>6131</v>
      </c>
      <c r="T5077" s="22">
        <f t="shared" si="438"/>
        <v>7</v>
      </c>
      <c r="U5077" s="22">
        <f t="shared" si="439"/>
        <v>2022</v>
      </c>
      <c r="V5077" s="22" t="str">
        <f t="shared" si="440"/>
        <v>METROPOLITANA</v>
      </c>
    </row>
    <row r="5078" spans="1:22" x14ac:dyDescent="0.2">
      <c r="A5078" s="23" t="s">
        <v>6134</v>
      </c>
      <c r="B5078" s="22" t="s">
        <v>18</v>
      </c>
      <c r="C5078" s="22" t="s">
        <v>508</v>
      </c>
      <c r="D5078" s="22" t="s">
        <v>38</v>
      </c>
      <c r="E5078" s="24">
        <v>53173292</v>
      </c>
      <c r="F5078" s="22" t="s">
        <v>58</v>
      </c>
      <c r="G5078" s="25">
        <v>7510.3199999999979</v>
      </c>
      <c r="H5078" s="22" t="s">
        <v>43</v>
      </c>
      <c r="I5078" s="22">
        <v>0</v>
      </c>
      <c r="J5078" s="22" t="s">
        <v>58</v>
      </c>
      <c r="K5078" s="22" t="s">
        <v>23</v>
      </c>
      <c r="L5078" s="22">
        <v>5</v>
      </c>
      <c r="M5078" s="26">
        <v>70000</v>
      </c>
      <c r="N5078" s="26">
        <v>0</v>
      </c>
      <c r="O5078" s="15">
        <f t="shared" si="441"/>
        <v>70000</v>
      </c>
      <c r="P5078" s="15">
        <f t="shared" si="437"/>
        <v>9.3205083138934182</v>
      </c>
      <c r="Q5078" s="25">
        <v>10000</v>
      </c>
      <c r="R5078" s="22">
        <v>75</v>
      </c>
      <c r="S5078" s="22" t="s">
        <v>6135</v>
      </c>
      <c r="T5078" s="22">
        <f t="shared" si="438"/>
        <v>7</v>
      </c>
      <c r="U5078" s="22">
        <f t="shared" si="439"/>
        <v>2022</v>
      </c>
      <c r="V5078" s="22" t="str">
        <f t="shared" si="440"/>
        <v>METROPOLITANA</v>
      </c>
    </row>
    <row r="5079" spans="1:22" x14ac:dyDescent="0.2">
      <c r="A5079" s="23" t="s">
        <v>6134</v>
      </c>
      <c r="B5079" s="22" t="s">
        <v>33</v>
      </c>
      <c r="C5079" s="22" t="s">
        <v>128</v>
      </c>
      <c r="D5079" s="22" t="s">
        <v>45</v>
      </c>
      <c r="E5079" s="24">
        <v>78907355</v>
      </c>
      <c r="F5079" s="22" t="s">
        <v>34</v>
      </c>
      <c r="G5079" s="25">
        <v>2239.6</v>
      </c>
      <c r="H5079" s="22" t="s">
        <v>22</v>
      </c>
      <c r="I5079" s="22">
        <v>0</v>
      </c>
      <c r="J5079" s="22" t="s">
        <v>34</v>
      </c>
      <c r="K5079" s="22" t="s">
        <v>23</v>
      </c>
      <c r="L5079" s="22">
        <v>1</v>
      </c>
      <c r="M5079" s="26">
        <v>55000</v>
      </c>
      <c r="N5079" s="26">
        <v>0</v>
      </c>
      <c r="O5079" s="15">
        <f t="shared" si="441"/>
        <v>55000</v>
      </c>
      <c r="P5079" s="15">
        <f t="shared" si="437"/>
        <v>24.557956777996072</v>
      </c>
      <c r="Q5079" s="25">
        <v>5000</v>
      </c>
      <c r="R5079" s="22">
        <v>45</v>
      </c>
      <c r="S5079" s="22" t="s">
        <v>6136</v>
      </c>
      <c r="T5079" s="22">
        <f t="shared" si="438"/>
        <v>7</v>
      </c>
      <c r="U5079" s="22">
        <f t="shared" si="439"/>
        <v>2022</v>
      </c>
      <c r="V5079" s="22" t="str">
        <f t="shared" si="440"/>
        <v>METROPOLITANA</v>
      </c>
    </row>
    <row r="5080" spans="1:22" x14ac:dyDescent="0.2">
      <c r="A5080" s="23" t="s">
        <v>6134</v>
      </c>
      <c r="B5080" s="22" t="s">
        <v>33</v>
      </c>
      <c r="C5080" s="22" t="s">
        <v>909</v>
      </c>
      <c r="D5080" s="22" t="s">
        <v>47</v>
      </c>
      <c r="E5080" s="24">
        <v>107643206</v>
      </c>
      <c r="F5080" s="22" t="s">
        <v>910</v>
      </c>
      <c r="G5080" s="25">
        <v>4145.5999999999995</v>
      </c>
      <c r="H5080" s="22" t="s">
        <v>22</v>
      </c>
      <c r="I5080" s="22">
        <v>0</v>
      </c>
      <c r="J5080" s="22" t="s">
        <v>910</v>
      </c>
      <c r="K5080" s="22" t="s">
        <v>171</v>
      </c>
      <c r="L5080" s="22">
        <v>0</v>
      </c>
      <c r="M5080" s="26">
        <v>203000</v>
      </c>
      <c r="N5080" s="26">
        <v>0</v>
      </c>
      <c r="O5080" s="15">
        <f t="shared" si="441"/>
        <v>203000</v>
      </c>
      <c r="P5080" s="15">
        <f t="shared" si="437"/>
        <v>48.967580084909308</v>
      </c>
      <c r="Q5080" s="25">
        <v>20000</v>
      </c>
      <c r="R5080" s="22">
        <v>21</v>
      </c>
      <c r="S5080" s="22" t="s">
        <v>6137</v>
      </c>
      <c r="T5080" s="22">
        <f t="shared" si="438"/>
        <v>7</v>
      </c>
      <c r="U5080" s="22">
        <f t="shared" si="439"/>
        <v>2022</v>
      </c>
      <c r="V5080" s="22" t="str">
        <f t="shared" si="440"/>
        <v>REGIONES</v>
      </c>
    </row>
    <row r="5081" spans="1:22" x14ac:dyDescent="0.2">
      <c r="A5081" s="23" t="s">
        <v>6134</v>
      </c>
      <c r="B5081" s="22" t="s">
        <v>33</v>
      </c>
      <c r="C5081" s="22" t="s">
        <v>29</v>
      </c>
      <c r="D5081" s="22" t="s">
        <v>63</v>
      </c>
      <c r="E5081" s="24">
        <v>138841065</v>
      </c>
      <c r="F5081" s="22" t="s">
        <v>39</v>
      </c>
      <c r="G5081" s="25">
        <v>7082.6199999999972</v>
      </c>
      <c r="H5081" s="22" t="s">
        <v>65</v>
      </c>
      <c r="I5081" s="22">
        <v>0</v>
      </c>
      <c r="J5081" s="22" t="s">
        <v>39</v>
      </c>
      <c r="K5081" s="22" t="s">
        <v>23</v>
      </c>
      <c r="L5081" s="22">
        <v>1</v>
      </c>
      <c r="M5081" s="26">
        <v>77909</v>
      </c>
      <c r="N5081" s="26">
        <v>0</v>
      </c>
      <c r="O5081" s="15">
        <f t="shared" si="441"/>
        <v>77909</v>
      </c>
      <c r="P5081" s="15">
        <f t="shared" si="437"/>
        <v>11.000025414324082</v>
      </c>
      <c r="Q5081" s="25">
        <v>5000</v>
      </c>
      <c r="R5081" s="22">
        <v>100</v>
      </c>
      <c r="S5081" s="22" t="s">
        <v>6138</v>
      </c>
      <c r="T5081" s="22">
        <f t="shared" si="438"/>
        <v>7</v>
      </c>
      <c r="U5081" s="22">
        <f t="shared" si="439"/>
        <v>2022</v>
      </c>
      <c r="V5081" s="22" t="str">
        <f t="shared" si="440"/>
        <v>METROPOLITANA</v>
      </c>
    </row>
    <row r="5082" spans="1:22" x14ac:dyDescent="0.2">
      <c r="A5082" s="23" t="s">
        <v>6134</v>
      </c>
      <c r="B5082" s="22" t="s">
        <v>33</v>
      </c>
      <c r="C5082" s="22" t="s">
        <v>29</v>
      </c>
      <c r="D5082" s="22" t="s">
        <v>164</v>
      </c>
      <c r="E5082" s="24">
        <v>154837728</v>
      </c>
      <c r="F5082" s="22" t="s">
        <v>39</v>
      </c>
      <c r="G5082" s="25">
        <f>10592.67+796+238</f>
        <v>11626.67</v>
      </c>
      <c r="H5082" s="22" t="s">
        <v>22</v>
      </c>
      <c r="I5082" s="22">
        <v>1</v>
      </c>
      <c r="J5082" s="22" t="s">
        <v>39</v>
      </c>
      <c r="K5082" s="22" t="s">
        <v>23</v>
      </c>
      <c r="L5082" s="22">
        <v>1</v>
      </c>
      <c r="M5082" s="26">
        <v>116519</v>
      </c>
      <c r="N5082" s="26">
        <v>0</v>
      </c>
      <c r="O5082" s="15">
        <f t="shared" si="441"/>
        <v>116519</v>
      </c>
      <c r="P5082" s="15">
        <f t="shared" si="437"/>
        <v>10.021700108457537</v>
      </c>
      <c r="Q5082" s="25">
        <v>5000</v>
      </c>
      <c r="R5082" s="22">
        <v>100</v>
      </c>
      <c r="S5082" s="22" t="s">
        <v>6140</v>
      </c>
      <c r="T5082" s="22">
        <f t="shared" si="438"/>
        <v>7</v>
      </c>
      <c r="U5082" s="22">
        <f t="shared" si="439"/>
        <v>2022</v>
      </c>
      <c r="V5082" s="22" t="str">
        <f t="shared" si="440"/>
        <v>METROPOLITANA</v>
      </c>
    </row>
    <row r="5083" spans="1:22" x14ac:dyDescent="0.2">
      <c r="A5083" s="23" t="s">
        <v>6134</v>
      </c>
      <c r="B5083" s="22" t="s">
        <v>33</v>
      </c>
      <c r="C5083" s="22" t="s">
        <v>508</v>
      </c>
      <c r="D5083" s="22" t="s">
        <v>38</v>
      </c>
      <c r="E5083" s="24">
        <v>53173292</v>
      </c>
      <c r="F5083" s="22" t="s">
        <v>58</v>
      </c>
      <c r="G5083" s="25">
        <v>1458</v>
      </c>
      <c r="H5083" s="22" t="s">
        <v>43</v>
      </c>
      <c r="I5083" s="22">
        <v>0</v>
      </c>
      <c r="J5083" s="22" t="s">
        <v>58</v>
      </c>
      <c r="K5083" s="22" t="s">
        <v>23</v>
      </c>
      <c r="L5083" s="22">
        <v>5</v>
      </c>
      <c r="M5083" s="26">
        <v>70000</v>
      </c>
      <c r="N5083" s="26">
        <v>0</v>
      </c>
      <c r="O5083" s="15">
        <f t="shared" si="441"/>
        <v>70000</v>
      </c>
      <c r="P5083" s="15">
        <f t="shared" si="437"/>
        <v>48.010973936899866</v>
      </c>
      <c r="Q5083" s="25">
        <v>10000</v>
      </c>
      <c r="R5083" s="22">
        <v>15</v>
      </c>
      <c r="S5083" s="22" t="s">
        <v>6139</v>
      </c>
      <c r="T5083" s="22">
        <f t="shared" si="438"/>
        <v>7</v>
      </c>
      <c r="U5083" s="22">
        <f t="shared" si="439"/>
        <v>2022</v>
      </c>
      <c r="V5083" s="22" t="str">
        <f t="shared" si="440"/>
        <v>METROPOLITANA</v>
      </c>
    </row>
    <row r="5084" spans="1:22" x14ac:dyDescent="0.2">
      <c r="A5084" s="11" t="s">
        <v>6141</v>
      </c>
      <c r="B5084" s="12" t="s">
        <v>18</v>
      </c>
      <c r="C5084" s="12" t="s">
        <v>270</v>
      </c>
      <c r="D5084" s="12" t="s">
        <v>38</v>
      </c>
      <c r="E5084" s="13" t="s">
        <v>42</v>
      </c>
      <c r="F5084" s="12" t="s">
        <v>120</v>
      </c>
      <c r="G5084" s="14">
        <v>5595.2</v>
      </c>
      <c r="H5084" s="12" t="s">
        <v>43</v>
      </c>
      <c r="I5084" s="12">
        <v>0</v>
      </c>
      <c r="J5084" s="12" t="s">
        <v>120</v>
      </c>
      <c r="K5084" s="12" t="s">
        <v>23</v>
      </c>
      <c r="L5084" s="12">
        <v>5</v>
      </c>
      <c r="M5084" s="15">
        <v>70000</v>
      </c>
      <c r="N5084" s="15">
        <v>0</v>
      </c>
      <c r="O5084" s="15">
        <f t="shared" si="441"/>
        <v>70000</v>
      </c>
      <c r="P5084" s="15">
        <f t="shared" si="437"/>
        <v>12.510723477266229</v>
      </c>
      <c r="Q5084" s="14">
        <v>10000</v>
      </c>
      <c r="R5084" s="12">
        <v>56</v>
      </c>
      <c r="S5084" s="12" t="s">
        <v>6142</v>
      </c>
      <c r="T5084" s="22">
        <f t="shared" si="438"/>
        <v>7</v>
      </c>
      <c r="U5084" s="22">
        <f t="shared" si="439"/>
        <v>2022</v>
      </c>
      <c r="V5084" s="22" t="str">
        <f t="shared" si="440"/>
        <v>METROPOLITANA</v>
      </c>
    </row>
    <row r="5085" spans="1:22" x14ac:dyDescent="0.2">
      <c r="A5085" s="11" t="s">
        <v>6141</v>
      </c>
      <c r="B5085" s="12" t="s">
        <v>18</v>
      </c>
      <c r="C5085" s="12" t="s">
        <v>1997</v>
      </c>
      <c r="D5085" s="12" t="s">
        <v>37</v>
      </c>
      <c r="E5085" s="13" t="s">
        <v>40</v>
      </c>
      <c r="F5085" s="12" t="s">
        <v>58</v>
      </c>
      <c r="G5085" s="14">
        <v>7233.32</v>
      </c>
      <c r="H5085" s="12" t="s">
        <v>22</v>
      </c>
      <c r="I5085" s="12">
        <v>0</v>
      </c>
      <c r="J5085" s="12" t="s">
        <v>58</v>
      </c>
      <c r="K5085" s="12" t="s">
        <v>23</v>
      </c>
      <c r="L5085" s="12">
        <v>5</v>
      </c>
      <c r="M5085" s="15">
        <v>70000</v>
      </c>
      <c r="N5085" s="15">
        <v>0</v>
      </c>
      <c r="O5085" s="15">
        <f t="shared" si="441"/>
        <v>70000</v>
      </c>
      <c r="P5085" s="15">
        <f t="shared" si="437"/>
        <v>9.6774371934326151</v>
      </c>
      <c r="Q5085" s="14">
        <v>10000</v>
      </c>
      <c r="R5085" s="12">
        <v>72</v>
      </c>
      <c r="S5085" s="12" t="s">
        <v>6143</v>
      </c>
      <c r="T5085" s="22">
        <f t="shared" si="438"/>
        <v>7</v>
      </c>
      <c r="U5085" s="22">
        <f t="shared" si="439"/>
        <v>2022</v>
      </c>
      <c r="V5085" s="22" t="str">
        <f t="shared" si="440"/>
        <v>METROPOLITANA</v>
      </c>
    </row>
    <row r="5086" spans="1:22" x14ac:dyDescent="0.2">
      <c r="A5086" s="11" t="s">
        <v>6141</v>
      </c>
      <c r="B5086" s="12" t="s">
        <v>33</v>
      </c>
      <c r="C5086" s="12" t="s">
        <v>270</v>
      </c>
      <c r="D5086" s="12" t="s">
        <v>41</v>
      </c>
      <c r="E5086" s="13" t="s">
        <v>25</v>
      </c>
      <c r="F5086" s="12" t="s">
        <v>120</v>
      </c>
      <c r="G5086" s="14">
        <v>13219.410000000011</v>
      </c>
      <c r="H5086" s="12" t="s">
        <v>43</v>
      </c>
      <c r="I5086" s="12">
        <v>0</v>
      </c>
      <c r="J5086" s="12" t="s">
        <v>120</v>
      </c>
      <c r="K5086" s="12" t="s">
        <v>23</v>
      </c>
      <c r="L5086" s="12">
        <v>5</v>
      </c>
      <c r="M5086" s="15">
        <v>70000</v>
      </c>
      <c r="N5086" s="15">
        <v>0</v>
      </c>
      <c r="O5086" s="15">
        <f t="shared" si="441"/>
        <v>70000</v>
      </c>
      <c r="P5086" s="15">
        <f t="shared" si="437"/>
        <v>5.2952438875865067</v>
      </c>
      <c r="Q5086" s="14">
        <v>10000</v>
      </c>
      <c r="R5086" s="12">
        <v>100</v>
      </c>
      <c r="S5086" s="12" t="s">
        <v>6144</v>
      </c>
      <c r="T5086" s="22">
        <f t="shared" si="438"/>
        <v>7</v>
      </c>
      <c r="U5086" s="22">
        <f t="shared" si="439"/>
        <v>2022</v>
      </c>
      <c r="V5086" s="22" t="str">
        <f t="shared" si="440"/>
        <v>METROPOLITANA</v>
      </c>
    </row>
    <row r="5087" spans="1:22" x14ac:dyDescent="0.2">
      <c r="A5087" s="11" t="s">
        <v>6141</v>
      </c>
      <c r="B5087" s="12" t="s">
        <v>33</v>
      </c>
      <c r="C5087" s="12" t="s">
        <v>909</v>
      </c>
      <c r="D5087" s="12" t="s">
        <v>786</v>
      </c>
      <c r="E5087" s="13" t="s">
        <v>787</v>
      </c>
      <c r="F5087" s="12" t="s">
        <v>910</v>
      </c>
      <c r="G5087" s="14">
        <v>14099.320000000011</v>
      </c>
      <c r="H5087" s="12" t="s">
        <v>788</v>
      </c>
      <c r="I5087" s="12">
        <v>1</v>
      </c>
      <c r="J5087" s="12" t="s">
        <v>910</v>
      </c>
      <c r="K5087" s="12" t="s">
        <v>171</v>
      </c>
      <c r="L5087" s="12">
        <v>0</v>
      </c>
      <c r="M5087" s="15">
        <v>260000</v>
      </c>
      <c r="N5087" s="15">
        <v>0</v>
      </c>
      <c r="O5087" s="15">
        <f t="shared" si="441"/>
        <v>260000</v>
      </c>
      <c r="P5087" s="15">
        <f t="shared" si="437"/>
        <v>18.440605646229734</v>
      </c>
      <c r="Q5087" s="14">
        <v>20000</v>
      </c>
      <c r="R5087" s="12">
        <v>70</v>
      </c>
      <c r="S5087" s="12" t="s">
        <v>6145</v>
      </c>
      <c r="T5087" s="22">
        <f t="shared" si="438"/>
        <v>7</v>
      </c>
      <c r="U5087" s="22">
        <f t="shared" si="439"/>
        <v>2022</v>
      </c>
      <c r="V5087" s="22" t="str">
        <f t="shared" si="440"/>
        <v>REGIONES</v>
      </c>
    </row>
    <row r="5088" spans="1:22" x14ac:dyDescent="0.2">
      <c r="A5088" s="11" t="s">
        <v>6141</v>
      </c>
      <c r="B5088" s="12" t="s">
        <v>33</v>
      </c>
      <c r="C5088" s="12" t="s">
        <v>909</v>
      </c>
      <c r="D5088" s="12" t="s">
        <v>30</v>
      </c>
      <c r="E5088" s="13" t="s">
        <v>31</v>
      </c>
      <c r="F5088" s="12" t="s">
        <v>170</v>
      </c>
      <c r="G5088" s="14">
        <v>5390.4000000000005</v>
      </c>
      <c r="H5088" s="12" t="s">
        <v>32</v>
      </c>
      <c r="I5088" s="12">
        <v>0</v>
      </c>
      <c r="J5088" s="12" t="s">
        <v>170</v>
      </c>
      <c r="K5088" s="12" t="s">
        <v>171</v>
      </c>
      <c r="L5088" s="12">
        <v>0</v>
      </c>
      <c r="M5088" s="15">
        <v>180000</v>
      </c>
      <c r="N5088" s="15">
        <v>0</v>
      </c>
      <c r="O5088" s="15">
        <f t="shared" si="441"/>
        <v>180000</v>
      </c>
      <c r="P5088" s="15">
        <f t="shared" si="437"/>
        <v>33.392698130008903</v>
      </c>
      <c r="Q5088" s="14">
        <v>20000</v>
      </c>
      <c r="R5088" s="12">
        <v>27</v>
      </c>
      <c r="S5088" s="12" t="s">
        <v>6146</v>
      </c>
      <c r="T5088" s="22">
        <f t="shared" si="438"/>
        <v>7</v>
      </c>
      <c r="U5088" s="22">
        <f t="shared" si="439"/>
        <v>2022</v>
      </c>
      <c r="V5088" s="22" t="str">
        <f t="shared" si="440"/>
        <v>REGIONES</v>
      </c>
    </row>
    <row r="5089" spans="1:22" x14ac:dyDescent="0.2">
      <c r="A5089" s="11" t="s">
        <v>6141</v>
      </c>
      <c r="B5089" s="12" t="s">
        <v>33</v>
      </c>
      <c r="C5089" s="12" t="s">
        <v>909</v>
      </c>
      <c r="D5089" s="12" t="s">
        <v>20</v>
      </c>
      <c r="E5089" s="13" t="s">
        <v>6147</v>
      </c>
      <c r="F5089" s="12" t="s">
        <v>3781</v>
      </c>
      <c r="G5089" s="14">
        <v>3327.72</v>
      </c>
      <c r="H5089" s="12" t="s">
        <v>22</v>
      </c>
      <c r="I5089" s="12">
        <v>0</v>
      </c>
      <c r="J5089" s="12" t="s">
        <v>3781</v>
      </c>
      <c r="K5089" s="12" t="s">
        <v>171</v>
      </c>
      <c r="L5089" s="12">
        <v>0</v>
      </c>
      <c r="M5089" s="15">
        <v>203000</v>
      </c>
      <c r="N5089" s="15">
        <v>0</v>
      </c>
      <c r="O5089" s="15">
        <f t="shared" si="441"/>
        <v>203000</v>
      </c>
      <c r="P5089" s="15">
        <f t="shared" ref="P5089:P5152" si="442">O5089/G5089</f>
        <v>61.002728594953908</v>
      </c>
      <c r="Q5089" s="14">
        <v>20000</v>
      </c>
      <c r="R5089" s="12">
        <v>17</v>
      </c>
      <c r="S5089" s="12" t="s">
        <v>6148</v>
      </c>
      <c r="T5089" s="22">
        <f t="shared" si="438"/>
        <v>7</v>
      </c>
      <c r="U5089" s="22">
        <f t="shared" si="439"/>
        <v>2022</v>
      </c>
      <c r="V5089" s="22" t="str">
        <f t="shared" si="440"/>
        <v>REGIONES</v>
      </c>
    </row>
    <row r="5090" spans="1:22" x14ac:dyDescent="0.2">
      <c r="A5090" s="11" t="s">
        <v>6141</v>
      </c>
      <c r="B5090" s="12" t="s">
        <v>33</v>
      </c>
      <c r="C5090" s="12" t="s">
        <v>44</v>
      </c>
      <c r="D5090" s="12" t="s">
        <v>37</v>
      </c>
      <c r="E5090" s="13" t="s">
        <v>40</v>
      </c>
      <c r="F5090" s="12" t="s">
        <v>48</v>
      </c>
      <c r="G5090" s="14">
        <v>7457.9399999999987</v>
      </c>
      <c r="H5090" s="12" t="s">
        <v>22</v>
      </c>
      <c r="I5090" s="12">
        <v>0</v>
      </c>
      <c r="J5090" s="12" t="s">
        <v>48</v>
      </c>
      <c r="K5090" s="12" t="s">
        <v>23</v>
      </c>
      <c r="L5090" s="12">
        <v>1</v>
      </c>
      <c r="M5090" s="15">
        <v>82037</v>
      </c>
      <c r="N5090" s="15">
        <v>0</v>
      </c>
      <c r="O5090" s="15">
        <f t="shared" si="441"/>
        <v>82037</v>
      </c>
      <c r="P5090" s="15">
        <f t="shared" si="442"/>
        <v>10.999954411003577</v>
      </c>
      <c r="Q5090" s="14">
        <v>5000</v>
      </c>
      <c r="R5090" s="12">
        <v>100</v>
      </c>
      <c r="S5090" s="12" t="s">
        <v>6149</v>
      </c>
      <c r="T5090" s="22">
        <f t="shared" si="438"/>
        <v>7</v>
      </c>
      <c r="U5090" s="22">
        <f t="shared" si="439"/>
        <v>2022</v>
      </c>
      <c r="V5090" s="22" t="str">
        <f t="shared" si="440"/>
        <v>METROPOLITANA</v>
      </c>
    </row>
    <row r="5091" spans="1:22" x14ac:dyDescent="0.2">
      <c r="A5091" s="11" t="s">
        <v>6141</v>
      </c>
      <c r="B5091" s="12" t="s">
        <v>33</v>
      </c>
      <c r="C5091" s="12" t="s">
        <v>44</v>
      </c>
      <c r="D5091" s="12" t="s">
        <v>45</v>
      </c>
      <c r="E5091" s="13" t="s">
        <v>52</v>
      </c>
      <c r="F5091" s="12" t="s">
        <v>26</v>
      </c>
      <c r="G5091" s="14">
        <v>4235.3399999999983</v>
      </c>
      <c r="H5091" s="12" t="s">
        <v>22</v>
      </c>
      <c r="I5091" s="12">
        <v>0</v>
      </c>
      <c r="J5091" s="12" t="s">
        <v>26</v>
      </c>
      <c r="K5091" s="12" t="s">
        <v>23</v>
      </c>
      <c r="L5091" s="12">
        <v>4</v>
      </c>
      <c r="M5091" s="15">
        <v>55000</v>
      </c>
      <c r="N5091" s="15">
        <v>0</v>
      </c>
      <c r="O5091" s="15">
        <f t="shared" si="441"/>
        <v>55000</v>
      </c>
      <c r="P5091" s="15">
        <f t="shared" si="442"/>
        <v>12.985970429764794</v>
      </c>
      <c r="Q5091" s="14">
        <v>5000</v>
      </c>
      <c r="R5091" s="12">
        <v>85</v>
      </c>
      <c r="S5091" s="12" t="s">
        <v>6150</v>
      </c>
      <c r="T5091" s="22">
        <f t="shared" si="438"/>
        <v>7</v>
      </c>
      <c r="U5091" s="22">
        <f t="shared" si="439"/>
        <v>2022</v>
      </c>
      <c r="V5091" s="22" t="str">
        <f t="shared" si="440"/>
        <v>METROPOLITANA</v>
      </c>
    </row>
    <row r="5092" spans="1:22" x14ac:dyDescent="0.2">
      <c r="A5092" s="11" t="s">
        <v>6141</v>
      </c>
      <c r="B5092" s="12" t="s">
        <v>33</v>
      </c>
      <c r="C5092" s="12" t="s">
        <v>44</v>
      </c>
      <c r="D5092" s="12" t="s">
        <v>47</v>
      </c>
      <c r="E5092" s="13" t="s">
        <v>49</v>
      </c>
      <c r="F5092" s="12" t="s">
        <v>229</v>
      </c>
      <c r="G5092" s="14">
        <v>2348.4</v>
      </c>
      <c r="H5092" s="12" t="s">
        <v>22</v>
      </c>
      <c r="I5092" s="12">
        <v>0</v>
      </c>
      <c r="J5092" s="12" t="s">
        <v>230</v>
      </c>
      <c r="K5092" s="12" t="s">
        <v>23</v>
      </c>
      <c r="L5092" s="12">
        <v>4</v>
      </c>
      <c r="M5092" s="15">
        <v>55000</v>
      </c>
      <c r="N5092" s="15">
        <v>0</v>
      </c>
      <c r="O5092" s="15">
        <f t="shared" si="441"/>
        <v>55000</v>
      </c>
      <c r="P5092" s="15">
        <f t="shared" si="442"/>
        <v>23.420200987906657</v>
      </c>
      <c r="Q5092" s="14">
        <v>5000</v>
      </c>
      <c r="R5092" s="12">
        <v>47</v>
      </c>
      <c r="S5092" s="12" t="s">
        <v>6151</v>
      </c>
      <c r="T5092" s="22">
        <f t="shared" si="438"/>
        <v>7</v>
      </c>
      <c r="U5092" s="22">
        <f t="shared" si="439"/>
        <v>2022</v>
      </c>
      <c r="V5092" s="22" t="str">
        <f t="shared" si="440"/>
        <v>METROPOLITANA</v>
      </c>
    </row>
    <row r="5093" spans="1:22" x14ac:dyDescent="0.2">
      <c r="A5093" s="23" t="s">
        <v>6152</v>
      </c>
      <c r="B5093" s="22" t="s">
        <v>18</v>
      </c>
      <c r="C5093" s="22" t="s">
        <v>1997</v>
      </c>
      <c r="D5093" s="22" t="s">
        <v>63</v>
      </c>
      <c r="E5093" s="24">
        <v>138841065</v>
      </c>
      <c r="F5093" s="22" t="s">
        <v>58</v>
      </c>
      <c r="G5093" s="25">
        <v>4658.3999999999996</v>
      </c>
      <c r="H5093" s="22" t="s">
        <v>65</v>
      </c>
      <c r="I5093" s="22">
        <v>0</v>
      </c>
      <c r="J5093" s="22" t="s">
        <v>58</v>
      </c>
      <c r="K5093" s="22" t="s">
        <v>23</v>
      </c>
      <c r="L5093" s="22">
        <v>5</v>
      </c>
      <c r="M5093" s="26">
        <v>70000</v>
      </c>
      <c r="N5093" s="26">
        <v>0</v>
      </c>
      <c r="O5093" s="15">
        <f t="shared" si="441"/>
        <v>70000</v>
      </c>
      <c r="P5093" s="15">
        <f t="shared" si="442"/>
        <v>15.026618581487208</v>
      </c>
      <c r="Q5093" s="25">
        <v>10000</v>
      </c>
      <c r="R5093" s="22">
        <v>47</v>
      </c>
      <c r="S5093" s="22" t="s">
        <v>6153</v>
      </c>
      <c r="T5093" s="22">
        <f t="shared" si="438"/>
        <v>7</v>
      </c>
      <c r="U5093" s="22">
        <f t="shared" si="439"/>
        <v>2022</v>
      </c>
      <c r="V5093" s="22" t="str">
        <f t="shared" si="440"/>
        <v>METROPOLITANA</v>
      </c>
    </row>
    <row r="5094" spans="1:22" x14ac:dyDescent="0.2">
      <c r="A5094" s="23" t="s">
        <v>6152</v>
      </c>
      <c r="B5094" s="22" t="s">
        <v>18</v>
      </c>
      <c r="C5094" s="22" t="s">
        <v>5571</v>
      </c>
      <c r="D5094" s="22" t="s">
        <v>164</v>
      </c>
      <c r="E5094" s="24">
        <v>81417709</v>
      </c>
      <c r="F5094" s="22" t="s">
        <v>170</v>
      </c>
      <c r="G5094" s="25">
        <v>8496.82</v>
      </c>
      <c r="H5094" s="22" t="s">
        <v>22</v>
      </c>
      <c r="I5094" s="22">
        <v>1</v>
      </c>
      <c r="J5094" s="22" t="s">
        <v>170</v>
      </c>
      <c r="K5094" s="22" t="s">
        <v>171</v>
      </c>
      <c r="L5094" s="22">
        <v>0</v>
      </c>
      <c r="M5094" s="26">
        <v>250000</v>
      </c>
      <c r="N5094" s="26">
        <v>0</v>
      </c>
      <c r="O5094" s="15">
        <f t="shared" si="441"/>
        <v>250000</v>
      </c>
      <c r="P5094" s="15">
        <f t="shared" si="442"/>
        <v>29.422772284219274</v>
      </c>
      <c r="Q5094" s="25">
        <v>20000</v>
      </c>
      <c r="R5094" s="22">
        <v>42</v>
      </c>
      <c r="S5094" s="22" t="s">
        <v>6154</v>
      </c>
      <c r="T5094" s="22">
        <f t="shared" si="438"/>
        <v>7</v>
      </c>
      <c r="U5094" s="22">
        <f t="shared" si="439"/>
        <v>2022</v>
      </c>
      <c r="V5094" s="22" t="str">
        <f t="shared" si="440"/>
        <v>REGIONES</v>
      </c>
    </row>
    <row r="5095" spans="1:22" x14ac:dyDescent="0.2">
      <c r="A5095" s="23" t="s">
        <v>6152</v>
      </c>
      <c r="B5095" s="22" t="s">
        <v>18</v>
      </c>
      <c r="C5095" s="22" t="s">
        <v>5571</v>
      </c>
      <c r="D5095" s="22" t="s">
        <v>164</v>
      </c>
      <c r="E5095" s="24">
        <v>81417709</v>
      </c>
      <c r="F5095" s="22" t="s">
        <v>4064</v>
      </c>
      <c r="G5095" s="25">
        <v>7336.6600000000017</v>
      </c>
      <c r="H5095" s="22" t="s">
        <v>22</v>
      </c>
      <c r="I5095" s="22">
        <v>1</v>
      </c>
      <c r="J5095" s="22" t="s">
        <v>4064</v>
      </c>
      <c r="K5095" s="22" t="s">
        <v>171</v>
      </c>
      <c r="L5095" s="22">
        <v>0</v>
      </c>
      <c r="M5095" s="26">
        <v>280000</v>
      </c>
      <c r="N5095" s="26">
        <v>0</v>
      </c>
      <c r="O5095" s="15">
        <f t="shared" si="441"/>
        <v>280000</v>
      </c>
      <c r="P5095" s="15">
        <f t="shared" si="442"/>
        <v>38.164505374380155</v>
      </c>
      <c r="Q5095" s="25">
        <v>20000</v>
      </c>
      <c r="R5095" s="22">
        <v>37</v>
      </c>
      <c r="S5095" s="22" t="s">
        <v>6155</v>
      </c>
      <c r="T5095" s="22">
        <f t="shared" si="438"/>
        <v>7</v>
      </c>
      <c r="U5095" s="22">
        <f t="shared" si="439"/>
        <v>2022</v>
      </c>
      <c r="V5095" s="22" t="str">
        <f t="shared" si="440"/>
        <v>REGIONES</v>
      </c>
    </row>
    <row r="5096" spans="1:22" x14ac:dyDescent="0.2">
      <c r="A5096" s="23" t="s">
        <v>6152</v>
      </c>
      <c r="B5096" s="22" t="s">
        <v>33</v>
      </c>
      <c r="C5096" s="22" t="s">
        <v>36</v>
      </c>
      <c r="D5096" s="22" t="s">
        <v>45</v>
      </c>
      <c r="E5096" s="24">
        <v>99626232</v>
      </c>
      <c r="F5096" s="22" t="s">
        <v>34</v>
      </c>
      <c r="G5096" s="25">
        <v>3001.6</v>
      </c>
      <c r="H5096" s="22" t="s">
        <v>22</v>
      </c>
      <c r="I5096" s="22">
        <v>0</v>
      </c>
      <c r="J5096" s="22" t="s">
        <v>34</v>
      </c>
      <c r="K5096" s="22" t="s">
        <v>23</v>
      </c>
      <c r="L5096" s="22">
        <v>1</v>
      </c>
      <c r="M5096" s="26">
        <v>55000</v>
      </c>
      <c r="N5096" s="26">
        <v>0</v>
      </c>
      <c r="O5096" s="15">
        <f t="shared" si="441"/>
        <v>55000</v>
      </c>
      <c r="P5096" s="15">
        <f t="shared" si="442"/>
        <v>18.323560767590617</v>
      </c>
      <c r="Q5096" s="25">
        <v>5000</v>
      </c>
      <c r="R5096" s="22">
        <v>60</v>
      </c>
      <c r="S5096" s="22" t="s">
        <v>6156</v>
      </c>
      <c r="T5096" s="22">
        <f t="shared" si="438"/>
        <v>7</v>
      </c>
      <c r="U5096" s="22">
        <f t="shared" si="439"/>
        <v>2022</v>
      </c>
      <c r="V5096" s="22" t="str">
        <f t="shared" si="440"/>
        <v>METROPOLITANA</v>
      </c>
    </row>
    <row r="5097" spans="1:22" x14ac:dyDescent="0.2">
      <c r="A5097" s="23" t="s">
        <v>6152</v>
      </c>
      <c r="B5097" s="22" t="s">
        <v>33</v>
      </c>
      <c r="C5097" s="22" t="s">
        <v>44</v>
      </c>
      <c r="D5097" s="22" t="s">
        <v>5478</v>
      </c>
      <c r="E5097" s="24">
        <v>122975819</v>
      </c>
      <c r="F5097" s="22" t="s">
        <v>3438</v>
      </c>
      <c r="G5097" s="25">
        <v>15040.1</v>
      </c>
      <c r="H5097" s="22" t="s">
        <v>24</v>
      </c>
      <c r="I5097" s="22">
        <v>1</v>
      </c>
      <c r="J5097" s="22" t="s">
        <v>3438</v>
      </c>
      <c r="K5097" s="22" t="s">
        <v>93</v>
      </c>
      <c r="L5097" s="22">
        <v>0</v>
      </c>
      <c r="M5097" s="26">
        <v>800000</v>
      </c>
      <c r="N5097" s="26">
        <v>0</v>
      </c>
      <c r="O5097" s="15">
        <f t="shared" si="441"/>
        <v>800000</v>
      </c>
      <c r="P5097" s="15">
        <f t="shared" si="442"/>
        <v>53.191135697236057</v>
      </c>
      <c r="Q5097" s="25">
        <v>20000</v>
      </c>
      <c r="R5097" s="22">
        <v>75</v>
      </c>
      <c r="S5097" s="22" t="s">
        <v>6157</v>
      </c>
      <c r="T5097" s="22">
        <f t="shared" si="438"/>
        <v>7</v>
      </c>
      <c r="U5097" s="22">
        <f t="shared" si="439"/>
        <v>2022</v>
      </c>
      <c r="V5097" s="22" t="str">
        <f t="shared" si="440"/>
        <v>REGIONES</v>
      </c>
    </row>
    <row r="5098" spans="1:22" x14ac:dyDescent="0.2">
      <c r="A5098" s="23" t="s">
        <v>6152</v>
      </c>
      <c r="B5098" s="22" t="s">
        <v>33</v>
      </c>
      <c r="C5098" s="22" t="s">
        <v>44</v>
      </c>
      <c r="D5098" s="22" t="s">
        <v>47</v>
      </c>
      <c r="E5098" s="24">
        <v>107643206</v>
      </c>
      <c r="F5098" s="22" t="s">
        <v>53</v>
      </c>
      <c r="G5098" s="25">
        <v>4448.7400000000016</v>
      </c>
      <c r="H5098" s="22" t="s">
        <v>22</v>
      </c>
      <c r="I5098" s="22">
        <v>0</v>
      </c>
      <c r="J5098" s="22" t="s">
        <v>53</v>
      </c>
      <c r="K5098" s="22" t="s">
        <v>23</v>
      </c>
      <c r="L5098" s="22">
        <v>3</v>
      </c>
      <c r="M5098" s="26">
        <v>55000</v>
      </c>
      <c r="N5098" s="26">
        <v>0</v>
      </c>
      <c r="O5098" s="15">
        <f t="shared" si="441"/>
        <v>55000</v>
      </c>
      <c r="P5098" s="15">
        <f t="shared" si="442"/>
        <v>12.363051111101116</v>
      </c>
      <c r="Q5098" s="25">
        <v>5000</v>
      </c>
      <c r="R5098" s="22">
        <v>89</v>
      </c>
      <c r="S5098" s="22" t="s">
        <v>6158</v>
      </c>
      <c r="T5098" s="22">
        <f t="shared" si="438"/>
        <v>7</v>
      </c>
      <c r="U5098" s="22">
        <f t="shared" si="439"/>
        <v>2022</v>
      </c>
      <c r="V5098" s="22" t="str">
        <f t="shared" si="440"/>
        <v>METROPOLITANA</v>
      </c>
    </row>
    <row r="5099" spans="1:22" x14ac:dyDescent="0.2">
      <c r="A5099" s="11" t="s">
        <v>6159</v>
      </c>
      <c r="B5099" s="12" t="s">
        <v>18</v>
      </c>
      <c r="C5099" s="12" t="s">
        <v>1997</v>
      </c>
      <c r="D5099" s="12" t="s">
        <v>63</v>
      </c>
      <c r="E5099" s="13">
        <v>138841065</v>
      </c>
      <c r="F5099" s="12" t="s">
        <v>58</v>
      </c>
      <c r="G5099" s="14">
        <v>2424</v>
      </c>
      <c r="H5099" s="12" t="s">
        <v>65</v>
      </c>
      <c r="I5099" s="12">
        <v>0</v>
      </c>
      <c r="J5099" s="12" t="s">
        <v>58</v>
      </c>
      <c r="K5099" s="12" t="s">
        <v>23</v>
      </c>
      <c r="L5099" s="12">
        <v>5</v>
      </c>
      <c r="M5099" s="15">
        <v>70000</v>
      </c>
      <c r="N5099" s="15">
        <v>0</v>
      </c>
      <c r="O5099" s="15">
        <f t="shared" si="441"/>
        <v>70000</v>
      </c>
      <c r="P5099" s="15">
        <f t="shared" si="442"/>
        <v>28.877887788778878</v>
      </c>
      <c r="Q5099" s="14">
        <v>10000</v>
      </c>
      <c r="R5099" s="12">
        <v>24</v>
      </c>
      <c r="S5099" s="12" t="s">
        <v>6160</v>
      </c>
      <c r="T5099" s="22">
        <f t="shared" si="438"/>
        <v>7</v>
      </c>
      <c r="U5099" s="22">
        <f t="shared" si="439"/>
        <v>2022</v>
      </c>
      <c r="V5099" s="22" t="str">
        <f t="shared" si="440"/>
        <v>METROPOLITANA</v>
      </c>
    </row>
    <row r="5100" spans="1:22" x14ac:dyDescent="0.2">
      <c r="A5100" s="11" t="s">
        <v>6159</v>
      </c>
      <c r="B5100" s="12" t="s">
        <v>33</v>
      </c>
      <c r="C5100" s="12" t="s">
        <v>36</v>
      </c>
      <c r="D5100" s="12" t="s">
        <v>1869</v>
      </c>
      <c r="E5100" s="13">
        <v>125897258</v>
      </c>
      <c r="F5100" s="12" t="s">
        <v>426</v>
      </c>
      <c r="G5100" s="14">
        <f>4502.4+2991</f>
        <v>7493.4</v>
      </c>
      <c r="H5100" s="12" t="s">
        <v>24</v>
      </c>
      <c r="I5100" s="12">
        <v>1</v>
      </c>
      <c r="J5100" s="12" t="s">
        <v>426</v>
      </c>
      <c r="K5100" s="12" t="s">
        <v>75</v>
      </c>
      <c r="L5100" s="12">
        <v>0</v>
      </c>
      <c r="M5100" s="15">
        <v>452000</v>
      </c>
      <c r="N5100" s="15">
        <v>0</v>
      </c>
      <c r="O5100" s="15">
        <f t="shared" si="441"/>
        <v>452000</v>
      </c>
      <c r="P5100" s="15">
        <f t="shared" si="442"/>
        <v>60.319748044946223</v>
      </c>
      <c r="Q5100" s="14">
        <v>20000</v>
      </c>
      <c r="R5100" s="12">
        <v>67</v>
      </c>
      <c r="S5100" s="12" t="s">
        <v>6164</v>
      </c>
      <c r="T5100" s="22">
        <f t="shared" si="438"/>
        <v>7</v>
      </c>
      <c r="U5100" s="22">
        <f t="shared" si="439"/>
        <v>2022</v>
      </c>
      <c r="V5100" s="22" t="str">
        <f t="shared" si="440"/>
        <v>REGIONES</v>
      </c>
    </row>
    <row r="5101" spans="1:22" x14ac:dyDescent="0.2">
      <c r="A5101" s="11" t="s">
        <v>6159</v>
      </c>
      <c r="B5101" s="12" t="s">
        <v>33</v>
      </c>
      <c r="C5101" s="12" t="s">
        <v>36</v>
      </c>
      <c r="D5101" s="12" t="s">
        <v>63</v>
      </c>
      <c r="E5101" s="13">
        <v>72564391</v>
      </c>
      <c r="F5101" s="12" t="s">
        <v>59</v>
      </c>
      <c r="G5101" s="14">
        <f>3410.7+950</f>
        <v>4360.7</v>
      </c>
      <c r="H5101" s="12" t="s">
        <v>65</v>
      </c>
      <c r="I5101" s="12">
        <v>0</v>
      </c>
      <c r="J5101" s="12" t="s">
        <v>59</v>
      </c>
      <c r="K5101" s="12" t="s">
        <v>78</v>
      </c>
      <c r="L5101" s="12">
        <v>0</v>
      </c>
      <c r="M5101" s="15">
        <v>203000</v>
      </c>
      <c r="N5101" s="15">
        <v>0</v>
      </c>
      <c r="O5101" s="15">
        <f t="shared" si="441"/>
        <v>203000</v>
      </c>
      <c r="P5101" s="15">
        <f t="shared" si="442"/>
        <v>46.552159057032128</v>
      </c>
      <c r="Q5101" s="14">
        <v>20000</v>
      </c>
      <c r="R5101" s="12">
        <v>35</v>
      </c>
      <c r="S5101" s="12" t="s">
        <v>6165</v>
      </c>
      <c r="T5101" s="22">
        <f t="shared" si="438"/>
        <v>7</v>
      </c>
      <c r="U5101" s="22">
        <f t="shared" si="439"/>
        <v>2022</v>
      </c>
      <c r="V5101" s="22" t="str">
        <f t="shared" si="440"/>
        <v>REGIONES</v>
      </c>
    </row>
    <row r="5102" spans="1:22" x14ac:dyDescent="0.2">
      <c r="A5102" s="11" t="s">
        <v>6159</v>
      </c>
      <c r="B5102" s="12" t="s">
        <v>33</v>
      </c>
      <c r="C5102" s="12" t="s">
        <v>29</v>
      </c>
      <c r="D5102" s="12" t="s">
        <v>164</v>
      </c>
      <c r="E5102" s="13">
        <v>154837728</v>
      </c>
      <c r="F5102" s="12" t="s">
        <v>39</v>
      </c>
      <c r="G5102" s="14">
        <v>18157.239999999991</v>
      </c>
      <c r="H5102" s="12" t="s">
        <v>22</v>
      </c>
      <c r="I5102" s="12">
        <v>1</v>
      </c>
      <c r="J5102" s="12" t="s">
        <v>39</v>
      </c>
      <c r="K5102" s="12" t="s">
        <v>23</v>
      </c>
      <c r="L5102" s="12">
        <v>1</v>
      </c>
      <c r="M5102" s="15">
        <v>199730</v>
      </c>
      <c r="N5102" s="15">
        <v>0</v>
      </c>
      <c r="O5102" s="15">
        <f t="shared" si="441"/>
        <v>199730</v>
      </c>
      <c r="P5102" s="15">
        <f t="shared" si="442"/>
        <v>11.000019826801877</v>
      </c>
      <c r="Q5102" s="14">
        <v>5000</v>
      </c>
      <c r="R5102" s="12">
        <v>100</v>
      </c>
      <c r="S5102" s="12" t="s">
        <v>6161</v>
      </c>
      <c r="T5102" s="22">
        <f t="shared" si="438"/>
        <v>7</v>
      </c>
      <c r="U5102" s="22">
        <f t="shared" si="439"/>
        <v>2022</v>
      </c>
      <c r="V5102" s="22" t="str">
        <f t="shared" si="440"/>
        <v>METROPOLITANA</v>
      </c>
    </row>
    <row r="5103" spans="1:22" x14ac:dyDescent="0.2">
      <c r="A5103" s="11" t="s">
        <v>6159</v>
      </c>
      <c r="B5103" s="12" t="s">
        <v>33</v>
      </c>
      <c r="C5103" s="12" t="s">
        <v>44</v>
      </c>
      <c r="D5103" s="12" t="s">
        <v>30</v>
      </c>
      <c r="E5103" s="13">
        <v>72564391</v>
      </c>
      <c r="F5103" s="12" t="s">
        <v>94</v>
      </c>
      <c r="G5103" s="14">
        <v>7260.3399999999974</v>
      </c>
      <c r="H5103" s="12" t="s">
        <v>32</v>
      </c>
      <c r="I5103" s="12">
        <v>0</v>
      </c>
      <c r="J5103" s="12" t="s">
        <v>59</v>
      </c>
      <c r="K5103" s="12" t="s">
        <v>78</v>
      </c>
      <c r="L5103" s="12">
        <v>0</v>
      </c>
      <c r="M5103" s="15">
        <v>203000</v>
      </c>
      <c r="N5103" s="15">
        <v>0</v>
      </c>
      <c r="O5103" s="15">
        <f t="shared" si="441"/>
        <v>203000</v>
      </c>
      <c r="P5103" s="15">
        <f t="shared" si="442"/>
        <v>27.960123079635398</v>
      </c>
      <c r="Q5103" s="14">
        <v>20000</v>
      </c>
      <c r="R5103" s="12">
        <v>36</v>
      </c>
      <c r="S5103" s="12" t="s">
        <v>6162</v>
      </c>
      <c r="T5103" s="22">
        <f t="shared" si="438"/>
        <v>7</v>
      </c>
      <c r="U5103" s="22">
        <f t="shared" si="439"/>
        <v>2022</v>
      </c>
      <c r="V5103" s="22" t="str">
        <f t="shared" si="440"/>
        <v>REGIONES</v>
      </c>
    </row>
    <row r="5104" spans="1:22" x14ac:dyDescent="0.2">
      <c r="A5104" s="11" t="s">
        <v>6159</v>
      </c>
      <c r="B5104" s="12" t="s">
        <v>33</v>
      </c>
      <c r="C5104" s="12" t="s">
        <v>44</v>
      </c>
      <c r="D5104" s="12" t="s">
        <v>45</v>
      </c>
      <c r="E5104" s="13">
        <v>78907355</v>
      </c>
      <c r="F5104" s="12" t="s">
        <v>51</v>
      </c>
      <c r="G5104" s="14">
        <v>3305.2</v>
      </c>
      <c r="H5104" s="12" t="s">
        <v>22</v>
      </c>
      <c r="I5104" s="12">
        <v>0</v>
      </c>
      <c r="J5104" s="12" t="s">
        <v>51</v>
      </c>
      <c r="K5104" s="12" t="s">
        <v>23</v>
      </c>
      <c r="L5104" s="12">
        <v>4</v>
      </c>
      <c r="M5104" s="15">
        <v>55000</v>
      </c>
      <c r="N5104" s="15">
        <v>0</v>
      </c>
      <c r="O5104" s="15">
        <f t="shared" si="441"/>
        <v>55000</v>
      </c>
      <c r="P5104" s="15">
        <f t="shared" si="442"/>
        <v>16.640445358828515</v>
      </c>
      <c r="Q5104" s="14">
        <v>5000</v>
      </c>
      <c r="R5104" s="12">
        <v>66</v>
      </c>
      <c r="S5104" s="12" t="s">
        <v>6163</v>
      </c>
      <c r="T5104" s="22">
        <f t="shared" si="438"/>
        <v>7</v>
      </c>
      <c r="U5104" s="22">
        <f t="shared" si="439"/>
        <v>2022</v>
      </c>
      <c r="V5104" s="22" t="str">
        <f t="shared" si="440"/>
        <v>METROPOLITANA</v>
      </c>
    </row>
    <row r="5105" spans="1:22" x14ac:dyDescent="0.2">
      <c r="A5105" s="23" t="s">
        <v>6166</v>
      </c>
      <c r="B5105" s="22" t="s">
        <v>33</v>
      </c>
      <c r="C5105" s="22" t="s">
        <v>29</v>
      </c>
      <c r="D5105" s="22" t="s">
        <v>38</v>
      </c>
      <c r="E5105" s="24">
        <v>53173292</v>
      </c>
      <c r="F5105" s="22" t="s">
        <v>39</v>
      </c>
      <c r="G5105" s="25">
        <v>4860</v>
      </c>
      <c r="H5105" s="22" t="s">
        <v>43</v>
      </c>
      <c r="I5105" s="22">
        <v>0</v>
      </c>
      <c r="J5105" s="22" t="s">
        <v>39</v>
      </c>
      <c r="K5105" s="22" t="s">
        <v>23</v>
      </c>
      <c r="L5105" s="22">
        <v>1</v>
      </c>
      <c r="M5105" s="26">
        <v>55000</v>
      </c>
      <c r="N5105" s="26">
        <v>0</v>
      </c>
      <c r="O5105" s="15">
        <f t="shared" si="441"/>
        <v>55000</v>
      </c>
      <c r="P5105" s="15">
        <f t="shared" si="442"/>
        <v>11.316872427983538</v>
      </c>
      <c r="Q5105" s="25">
        <v>5000</v>
      </c>
      <c r="R5105" s="22">
        <v>97</v>
      </c>
      <c r="S5105" s="22" t="s">
        <v>6167</v>
      </c>
      <c r="T5105" s="22">
        <f t="shared" si="438"/>
        <v>7</v>
      </c>
      <c r="U5105" s="22">
        <f t="shared" si="439"/>
        <v>2022</v>
      </c>
      <c r="V5105" s="22" t="str">
        <f t="shared" si="440"/>
        <v>METROPOLITANA</v>
      </c>
    </row>
    <row r="5106" spans="1:22" x14ac:dyDescent="0.2">
      <c r="A5106" s="23" t="s">
        <v>6166</v>
      </c>
      <c r="B5106" s="22" t="s">
        <v>33</v>
      </c>
      <c r="C5106" s="22" t="s">
        <v>29</v>
      </c>
      <c r="D5106" s="22" t="s">
        <v>164</v>
      </c>
      <c r="E5106" s="24">
        <v>154837728</v>
      </c>
      <c r="F5106" s="22" t="s">
        <v>39</v>
      </c>
      <c r="G5106" s="25">
        <v>9592.9000000000033</v>
      </c>
      <c r="H5106" s="22" t="s">
        <v>22</v>
      </c>
      <c r="I5106" s="22">
        <v>1</v>
      </c>
      <c r="J5106" s="22" t="s">
        <v>39</v>
      </c>
      <c r="K5106" s="22" t="s">
        <v>23</v>
      </c>
      <c r="L5106" s="22">
        <v>1</v>
      </c>
      <c r="M5106" s="26">
        <v>105522</v>
      </c>
      <c r="N5106" s="26">
        <v>0</v>
      </c>
      <c r="O5106" s="15">
        <f t="shared" si="441"/>
        <v>105522</v>
      </c>
      <c r="P5106" s="15">
        <f t="shared" si="442"/>
        <v>11.000010424376358</v>
      </c>
      <c r="Q5106" s="25">
        <v>5000</v>
      </c>
      <c r="R5106" s="22">
        <v>100</v>
      </c>
      <c r="S5106" s="22" t="s">
        <v>6168</v>
      </c>
      <c r="T5106" s="22">
        <f t="shared" si="438"/>
        <v>7</v>
      </c>
      <c r="U5106" s="22">
        <f t="shared" si="439"/>
        <v>2022</v>
      </c>
      <c r="V5106" s="22" t="str">
        <f t="shared" si="440"/>
        <v>METROPOLITANA</v>
      </c>
    </row>
    <row r="5107" spans="1:22" x14ac:dyDescent="0.2">
      <c r="A5107" s="11" t="s">
        <v>6169</v>
      </c>
      <c r="B5107" s="12" t="s">
        <v>18</v>
      </c>
      <c r="C5107" s="12" t="s">
        <v>1997</v>
      </c>
      <c r="D5107" s="12" t="s">
        <v>37</v>
      </c>
      <c r="E5107" s="13" t="s">
        <v>40</v>
      </c>
      <c r="F5107" s="12" t="s">
        <v>58</v>
      </c>
      <c r="G5107" s="14">
        <v>9915.9100000000035</v>
      </c>
      <c r="H5107" s="12" t="s">
        <v>22</v>
      </c>
      <c r="I5107" s="12">
        <v>0</v>
      </c>
      <c r="J5107" s="12" t="s">
        <v>58</v>
      </c>
      <c r="K5107" s="12" t="s">
        <v>23</v>
      </c>
      <c r="L5107" s="12">
        <v>5</v>
      </c>
      <c r="M5107" s="15">
        <v>70000</v>
      </c>
      <c r="N5107" s="15">
        <v>0</v>
      </c>
      <c r="O5107" s="15">
        <f t="shared" si="441"/>
        <v>70000</v>
      </c>
      <c r="P5107" s="15">
        <f t="shared" si="442"/>
        <v>7.0593621765425434</v>
      </c>
      <c r="Q5107" s="14">
        <v>10000</v>
      </c>
      <c r="R5107" s="12">
        <v>99</v>
      </c>
      <c r="S5107" s="12" t="s">
        <v>6170</v>
      </c>
      <c r="T5107" s="22">
        <f t="shared" si="438"/>
        <v>7</v>
      </c>
      <c r="U5107" s="22">
        <f t="shared" si="439"/>
        <v>2022</v>
      </c>
      <c r="V5107" s="22" t="str">
        <f t="shared" si="440"/>
        <v>METROPOLITANA</v>
      </c>
    </row>
    <row r="5108" spans="1:22" x14ac:dyDescent="0.2">
      <c r="A5108" s="11" t="s">
        <v>6169</v>
      </c>
      <c r="B5108" s="12" t="s">
        <v>18</v>
      </c>
      <c r="C5108" s="12" t="s">
        <v>500</v>
      </c>
      <c r="D5108" s="12" t="s">
        <v>164</v>
      </c>
      <c r="E5108" s="13" t="s">
        <v>1576</v>
      </c>
      <c r="F5108" s="12" t="s">
        <v>727</v>
      </c>
      <c r="G5108" s="14">
        <v>11155.63</v>
      </c>
      <c r="H5108" s="12" t="s">
        <v>22</v>
      </c>
      <c r="I5108" s="12">
        <v>1</v>
      </c>
      <c r="J5108" s="12" t="s">
        <v>727</v>
      </c>
      <c r="K5108" s="12" t="s">
        <v>23</v>
      </c>
      <c r="L5108" s="12">
        <v>2</v>
      </c>
      <c r="M5108" s="15">
        <v>122712</v>
      </c>
      <c r="N5108" s="15">
        <v>0</v>
      </c>
      <c r="O5108" s="15">
        <f t="shared" si="441"/>
        <v>122712</v>
      </c>
      <c r="P5108" s="15">
        <f t="shared" si="442"/>
        <v>11.000006274858524</v>
      </c>
      <c r="Q5108" s="14">
        <v>5000</v>
      </c>
      <c r="R5108" s="12">
        <v>100</v>
      </c>
      <c r="S5108" s="12" t="s">
        <v>6171</v>
      </c>
      <c r="T5108" s="22">
        <f t="shared" si="438"/>
        <v>7</v>
      </c>
      <c r="U5108" s="22">
        <f t="shared" si="439"/>
        <v>2022</v>
      </c>
      <c r="V5108" s="22" t="str">
        <f t="shared" si="440"/>
        <v>METROPOLITANA</v>
      </c>
    </row>
    <row r="5109" spans="1:22" x14ac:dyDescent="0.2">
      <c r="A5109" s="11" t="s">
        <v>6169</v>
      </c>
      <c r="B5109" s="12" t="s">
        <v>18</v>
      </c>
      <c r="C5109" s="12" t="s">
        <v>5796</v>
      </c>
      <c r="D5109" s="12" t="s">
        <v>38</v>
      </c>
      <c r="E5109" s="13" t="s">
        <v>25</v>
      </c>
      <c r="F5109" s="12" t="s">
        <v>129</v>
      </c>
      <c r="G5109" s="14">
        <v>7659</v>
      </c>
      <c r="H5109" s="12" t="s">
        <v>43</v>
      </c>
      <c r="I5109" s="12">
        <v>0</v>
      </c>
      <c r="J5109" s="12" t="s">
        <v>129</v>
      </c>
      <c r="K5109" s="12" t="s">
        <v>23</v>
      </c>
      <c r="L5109" s="12">
        <v>1</v>
      </c>
      <c r="M5109" s="15">
        <v>84249</v>
      </c>
      <c r="N5109" s="15">
        <v>0</v>
      </c>
      <c r="O5109" s="15">
        <f t="shared" si="441"/>
        <v>84249</v>
      </c>
      <c r="P5109" s="15">
        <f t="shared" si="442"/>
        <v>11</v>
      </c>
      <c r="Q5109" s="14">
        <v>5000</v>
      </c>
      <c r="R5109" s="12">
        <v>100</v>
      </c>
      <c r="S5109" s="12" t="s">
        <v>6172</v>
      </c>
      <c r="T5109" s="22">
        <f t="shared" si="438"/>
        <v>7</v>
      </c>
      <c r="U5109" s="22">
        <f t="shared" si="439"/>
        <v>2022</v>
      </c>
      <c r="V5109" s="22" t="str">
        <f t="shared" si="440"/>
        <v>METROPOLITANA</v>
      </c>
    </row>
    <row r="5110" spans="1:22" x14ac:dyDescent="0.2">
      <c r="A5110" s="11" t="s">
        <v>6169</v>
      </c>
      <c r="B5110" s="12" t="s">
        <v>33</v>
      </c>
      <c r="C5110" s="12" t="s">
        <v>36</v>
      </c>
      <c r="D5110" s="12" t="s">
        <v>5695</v>
      </c>
      <c r="E5110" s="13" t="s">
        <v>5696</v>
      </c>
      <c r="F5110" s="12" t="s">
        <v>305</v>
      </c>
      <c r="G5110" s="14">
        <v>20000</v>
      </c>
      <c r="H5110" s="12" t="s">
        <v>24</v>
      </c>
      <c r="I5110" s="12">
        <v>1</v>
      </c>
      <c r="J5110" s="12" t="s">
        <v>305</v>
      </c>
      <c r="K5110" s="12" t="s">
        <v>306</v>
      </c>
      <c r="L5110" s="12">
        <v>0</v>
      </c>
      <c r="M5110" s="15">
        <v>1600000</v>
      </c>
      <c r="N5110" s="15">
        <v>0</v>
      </c>
      <c r="O5110" s="15">
        <f t="shared" si="441"/>
        <v>1600000</v>
      </c>
      <c r="P5110" s="15">
        <f t="shared" si="442"/>
        <v>80</v>
      </c>
      <c r="Q5110" s="14">
        <v>20000</v>
      </c>
      <c r="R5110" s="12">
        <v>75</v>
      </c>
      <c r="S5110" s="12" t="s">
        <v>6173</v>
      </c>
      <c r="T5110" s="22">
        <f t="shared" si="438"/>
        <v>7</v>
      </c>
      <c r="U5110" s="22">
        <f t="shared" si="439"/>
        <v>2022</v>
      </c>
      <c r="V5110" s="22" t="str">
        <f t="shared" si="440"/>
        <v>REGIONES</v>
      </c>
    </row>
    <row r="5111" spans="1:22" x14ac:dyDescent="0.2">
      <c r="A5111" s="11" t="s">
        <v>6169</v>
      </c>
      <c r="B5111" s="12" t="s">
        <v>33</v>
      </c>
      <c r="C5111" s="12" t="s">
        <v>2862</v>
      </c>
      <c r="D5111" s="12" t="s">
        <v>30</v>
      </c>
      <c r="E5111" s="13" t="s">
        <v>31</v>
      </c>
      <c r="F5111" s="12" t="s">
        <v>129</v>
      </c>
      <c r="G5111" s="14">
        <v>4970.0000000000018</v>
      </c>
      <c r="H5111" s="12" t="s">
        <v>32</v>
      </c>
      <c r="I5111" s="12">
        <v>0</v>
      </c>
      <c r="J5111" s="12" t="s">
        <v>129</v>
      </c>
      <c r="K5111" s="12" t="s">
        <v>23</v>
      </c>
      <c r="L5111" s="12">
        <v>1</v>
      </c>
      <c r="M5111" s="15">
        <v>55000</v>
      </c>
      <c r="N5111" s="15">
        <v>0</v>
      </c>
      <c r="O5111" s="15">
        <f t="shared" si="441"/>
        <v>55000</v>
      </c>
      <c r="P5111" s="15">
        <f t="shared" si="442"/>
        <v>11.066398390342048</v>
      </c>
      <c r="Q5111" s="14">
        <v>5000</v>
      </c>
      <c r="R5111" s="12">
        <v>99</v>
      </c>
      <c r="S5111" s="12" t="s">
        <v>6174</v>
      </c>
      <c r="T5111" s="22">
        <f t="shared" si="438"/>
        <v>7</v>
      </c>
      <c r="U5111" s="22">
        <f t="shared" si="439"/>
        <v>2022</v>
      </c>
      <c r="V5111" s="22" t="str">
        <f t="shared" si="440"/>
        <v>METROPOLITANA</v>
      </c>
    </row>
    <row r="5112" spans="1:22" x14ac:dyDescent="0.2">
      <c r="A5112" s="11" t="s">
        <v>6169</v>
      </c>
      <c r="B5112" s="12" t="s">
        <v>33</v>
      </c>
      <c r="C5112" s="12" t="s">
        <v>87</v>
      </c>
      <c r="D5112" s="12" t="s">
        <v>20</v>
      </c>
      <c r="E5112" s="13" t="s">
        <v>21</v>
      </c>
      <c r="F5112" s="12" t="s">
        <v>51</v>
      </c>
      <c r="G5112" s="14">
        <v>2000.7</v>
      </c>
      <c r="H5112" s="12" t="s">
        <v>22</v>
      </c>
      <c r="I5112" s="12">
        <v>0</v>
      </c>
      <c r="J5112" s="12" t="s">
        <v>51</v>
      </c>
      <c r="K5112" s="12" t="s">
        <v>23</v>
      </c>
      <c r="L5112" s="12">
        <v>4</v>
      </c>
      <c r="M5112" s="15">
        <v>55000</v>
      </c>
      <c r="N5112" s="15">
        <v>0</v>
      </c>
      <c r="O5112" s="15">
        <f t="shared" si="441"/>
        <v>55000</v>
      </c>
      <c r="P5112" s="15">
        <f t="shared" si="442"/>
        <v>27.490378367571349</v>
      </c>
      <c r="Q5112" s="14">
        <v>5000</v>
      </c>
      <c r="R5112" s="12">
        <v>40</v>
      </c>
      <c r="S5112" s="12" t="s">
        <v>6175</v>
      </c>
      <c r="T5112" s="22">
        <f t="shared" si="438"/>
        <v>7</v>
      </c>
      <c r="U5112" s="22">
        <f t="shared" si="439"/>
        <v>2022</v>
      </c>
      <c r="V5112" s="22" t="str">
        <f t="shared" si="440"/>
        <v>METROPOLITANA</v>
      </c>
    </row>
    <row r="5113" spans="1:22" x14ac:dyDescent="0.2">
      <c r="A5113" s="11" t="s">
        <v>6169</v>
      </c>
      <c r="B5113" s="12" t="s">
        <v>33</v>
      </c>
      <c r="C5113" s="12" t="s">
        <v>29</v>
      </c>
      <c r="D5113" s="12" t="s">
        <v>63</v>
      </c>
      <c r="E5113" s="13" t="s">
        <v>64</v>
      </c>
      <c r="F5113" s="12" t="s">
        <v>173</v>
      </c>
      <c r="G5113" s="14">
        <v>3580.079999999999</v>
      </c>
      <c r="H5113" s="12" t="s">
        <v>65</v>
      </c>
      <c r="I5113" s="12">
        <v>0</v>
      </c>
      <c r="J5113" s="12" t="s">
        <v>173</v>
      </c>
      <c r="K5113" s="12" t="s">
        <v>23</v>
      </c>
      <c r="L5113" s="12">
        <v>5</v>
      </c>
      <c r="M5113" s="15">
        <v>90000</v>
      </c>
      <c r="N5113" s="15">
        <v>0</v>
      </c>
      <c r="O5113" s="15">
        <f t="shared" si="441"/>
        <v>90000</v>
      </c>
      <c r="P5113" s="15">
        <f t="shared" si="442"/>
        <v>25.139103036803654</v>
      </c>
      <c r="Q5113" s="14">
        <v>10000</v>
      </c>
      <c r="R5113" s="12">
        <v>36</v>
      </c>
      <c r="S5113" s="12" t="s">
        <v>6176</v>
      </c>
      <c r="T5113" s="22">
        <f t="shared" si="438"/>
        <v>7</v>
      </c>
      <c r="U5113" s="22">
        <f t="shared" si="439"/>
        <v>2022</v>
      </c>
      <c r="V5113" s="22" t="str">
        <f t="shared" si="440"/>
        <v>METROPOLITANA</v>
      </c>
    </row>
    <row r="5114" spans="1:22" x14ac:dyDescent="0.2">
      <c r="A5114" s="11" t="s">
        <v>6169</v>
      </c>
      <c r="B5114" s="12" t="s">
        <v>33</v>
      </c>
      <c r="C5114" s="12" t="s">
        <v>44</v>
      </c>
      <c r="D5114" s="12" t="s">
        <v>45</v>
      </c>
      <c r="E5114" s="13" t="s">
        <v>52</v>
      </c>
      <c r="F5114" s="12" t="s">
        <v>182</v>
      </c>
      <c r="G5114" s="14">
        <v>3749.4</v>
      </c>
      <c r="H5114" s="12" t="s">
        <v>22</v>
      </c>
      <c r="I5114" s="12">
        <v>0</v>
      </c>
      <c r="J5114" s="12" t="s">
        <v>182</v>
      </c>
      <c r="K5114" s="12" t="s">
        <v>23</v>
      </c>
      <c r="L5114" s="12">
        <v>4</v>
      </c>
      <c r="M5114" s="15">
        <v>55000</v>
      </c>
      <c r="N5114" s="15">
        <v>0</v>
      </c>
      <c r="O5114" s="15">
        <f t="shared" si="441"/>
        <v>55000</v>
      </c>
      <c r="P5114" s="15">
        <f t="shared" si="442"/>
        <v>14.669013708860083</v>
      </c>
      <c r="Q5114" s="14">
        <v>5000</v>
      </c>
      <c r="R5114" s="12">
        <v>75</v>
      </c>
      <c r="S5114" s="12" t="s">
        <v>6177</v>
      </c>
      <c r="T5114" s="22">
        <f t="shared" si="438"/>
        <v>7</v>
      </c>
      <c r="U5114" s="22">
        <f t="shared" si="439"/>
        <v>2022</v>
      </c>
      <c r="V5114" s="22" t="str">
        <f t="shared" si="440"/>
        <v>METROPOLITANA</v>
      </c>
    </row>
    <row r="5115" spans="1:22" x14ac:dyDescent="0.2">
      <c r="A5115" s="11" t="s">
        <v>6169</v>
      </c>
      <c r="B5115" s="12" t="s">
        <v>33</v>
      </c>
      <c r="C5115" s="12" t="s">
        <v>44</v>
      </c>
      <c r="D5115" s="12" t="s">
        <v>47</v>
      </c>
      <c r="E5115" s="13" t="s">
        <v>49</v>
      </c>
      <c r="F5115" s="12" t="s">
        <v>48</v>
      </c>
      <c r="G5115" s="14">
        <v>6392.8599999999988</v>
      </c>
      <c r="H5115" s="12" t="s">
        <v>22</v>
      </c>
      <c r="I5115" s="12">
        <v>0</v>
      </c>
      <c r="J5115" s="12" t="s">
        <v>48</v>
      </c>
      <c r="K5115" s="12" t="s">
        <v>23</v>
      </c>
      <c r="L5115" s="12">
        <v>1</v>
      </c>
      <c r="M5115" s="15">
        <v>70321</v>
      </c>
      <c r="N5115" s="15">
        <v>0</v>
      </c>
      <c r="O5115" s="15">
        <f t="shared" si="441"/>
        <v>70321</v>
      </c>
      <c r="P5115" s="15">
        <f t="shared" si="442"/>
        <v>10.999928044724898</v>
      </c>
      <c r="Q5115" s="14">
        <v>5000</v>
      </c>
      <c r="R5115" s="12">
        <v>100</v>
      </c>
      <c r="S5115" s="12" t="s">
        <v>6178</v>
      </c>
      <c r="T5115" s="22">
        <f t="shared" si="438"/>
        <v>7</v>
      </c>
      <c r="U5115" s="22">
        <f t="shared" si="439"/>
        <v>2022</v>
      </c>
      <c r="V5115" s="22" t="str">
        <f t="shared" si="440"/>
        <v>METROPOLITANA</v>
      </c>
    </row>
    <row r="5116" spans="1:22" x14ac:dyDescent="0.2">
      <c r="A5116" s="23" t="s">
        <v>6179</v>
      </c>
      <c r="B5116" s="22" t="s">
        <v>18</v>
      </c>
      <c r="C5116" s="22" t="s">
        <v>508</v>
      </c>
      <c r="D5116" s="22" t="s">
        <v>37</v>
      </c>
      <c r="E5116" s="24" t="s">
        <v>40</v>
      </c>
      <c r="F5116" s="22" t="s">
        <v>51</v>
      </c>
      <c r="G5116" s="25">
        <v>8083.1600000000026</v>
      </c>
      <c r="H5116" s="22" t="s">
        <v>22</v>
      </c>
      <c r="I5116" s="22">
        <v>0</v>
      </c>
      <c r="J5116" s="22" t="s">
        <v>51</v>
      </c>
      <c r="K5116" s="22" t="s">
        <v>23</v>
      </c>
      <c r="L5116" s="22">
        <v>4</v>
      </c>
      <c r="M5116" s="26">
        <v>88915</v>
      </c>
      <c r="N5116" s="26">
        <v>0</v>
      </c>
      <c r="O5116" s="15">
        <f t="shared" si="441"/>
        <v>88915</v>
      </c>
      <c r="P5116" s="15">
        <f t="shared" si="442"/>
        <v>11.000029691358327</v>
      </c>
      <c r="Q5116" s="25">
        <v>5000</v>
      </c>
      <c r="R5116" s="22">
        <v>100</v>
      </c>
      <c r="S5116" s="22" t="s">
        <v>6180</v>
      </c>
      <c r="T5116" s="22">
        <f t="shared" si="438"/>
        <v>7</v>
      </c>
      <c r="U5116" s="22">
        <f t="shared" si="439"/>
        <v>2022</v>
      </c>
      <c r="V5116" s="22" t="str">
        <f t="shared" si="440"/>
        <v>METROPOLITANA</v>
      </c>
    </row>
    <row r="5117" spans="1:22" x14ac:dyDescent="0.2">
      <c r="A5117" s="23" t="s">
        <v>6179</v>
      </c>
      <c r="B5117" s="22" t="s">
        <v>33</v>
      </c>
      <c r="C5117" s="22" t="s">
        <v>2431</v>
      </c>
      <c r="D5117" s="22" t="s">
        <v>2955</v>
      </c>
      <c r="E5117" s="24" t="s">
        <v>2956</v>
      </c>
      <c r="F5117" s="22" t="s">
        <v>67</v>
      </c>
      <c r="G5117" s="25">
        <v>14887</v>
      </c>
      <c r="H5117" s="22" t="s">
        <v>24</v>
      </c>
      <c r="I5117" s="22">
        <v>1</v>
      </c>
      <c r="J5117" s="22" t="s">
        <v>67</v>
      </c>
      <c r="K5117" s="22" t="s">
        <v>23</v>
      </c>
      <c r="L5117" s="22">
        <v>2</v>
      </c>
      <c r="M5117" s="26">
        <v>163757</v>
      </c>
      <c r="N5117" s="26">
        <v>0</v>
      </c>
      <c r="O5117" s="15">
        <f t="shared" si="441"/>
        <v>163757</v>
      </c>
      <c r="P5117" s="15">
        <f t="shared" si="442"/>
        <v>11</v>
      </c>
      <c r="Q5117" s="25">
        <v>5000</v>
      </c>
      <c r="R5117" s="22">
        <v>100</v>
      </c>
      <c r="S5117" s="22" t="s">
        <v>6181</v>
      </c>
      <c r="T5117" s="22">
        <f t="shared" si="438"/>
        <v>7</v>
      </c>
      <c r="U5117" s="22">
        <f t="shared" si="439"/>
        <v>2022</v>
      </c>
      <c r="V5117" s="22" t="str">
        <f t="shared" si="440"/>
        <v>METROPOLITANA</v>
      </c>
    </row>
    <row r="5118" spans="1:22" x14ac:dyDescent="0.2">
      <c r="A5118" s="23" t="s">
        <v>6179</v>
      </c>
      <c r="B5118" s="22" t="s">
        <v>33</v>
      </c>
      <c r="C5118" s="22" t="s">
        <v>270</v>
      </c>
      <c r="D5118" s="22" t="s">
        <v>41</v>
      </c>
      <c r="E5118" s="24" t="s">
        <v>25</v>
      </c>
      <c r="F5118" s="22" t="s">
        <v>120</v>
      </c>
      <c r="G5118" s="25">
        <v>13537.95</v>
      </c>
      <c r="H5118" s="22" t="s">
        <v>43</v>
      </c>
      <c r="I5118" s="22">
        <v>0</v>
      </c>
      <c r="J5118" s="22" t="s">
        <v>120</v>
      </c>
      <c r="K5118" s="22" t="s">
        <v>23</v>
      </c>
      <c r="L5118" s="22">
        <v>5</v>
      </c>
      <c r="M5118" s="26">
        <v>70000</v>
      </c>
      <c r="N5118" s="26">
        <v>0</v>
      </c>
      <c r="O5118" s="15">
        <f t="shared" si="441"/>
        <v>70000</v>
      </c>
      <c r="P5118" s="15">
        <f t="shared" si="442"/>
        <v>5.1706499137609461</v>
      </c>
      <c r="Q5118" s="25">
        <v>10000</v>
      </c>
      <c r="R5118" s="22">
        <v>100</v>
      </c>
      <c r="S5118" s="22" t="s">
        <v>6182</v>
      </c>
      <c r="T5118" s="22">
        <f t="shared" si="438"/>
        <v>7</v>
      </c>
      <c r="U5118" s="22">
        <f t="shared" si="439"/>
        <v>2022</v>
      </c>
      <c r="V5118" s="22" t="str">
        <f t="shared" si="440"/>
        <v>METROPOLITANA</v>
      </c>
    </row>
    <row r="5119" spans="1:22" x14ac:dyDescent="0.2">
      <c r="A5119" s="23" t="s">
        <v>6179</v>
      </c>
      <c r="B5119" s="22" t="s">
        <v>33</v>
      </c>
      <c r="C5119" s="22" t="s">
        <v>500</v>
      </c>
      <c r="D5119" s="22" t="s">
        <v>164</v>
      </c>
      <c r="E5119" s="24" t="s">
        <v>1576</v>
      </c>
      <c r="F5119" s="22" t="s">
        <v>727</v>
      </c>
      <c r="G5119" s="25">
        <v>3517.8</v>
      </c>
      <c r="H5119" s="22" t="s">
        <v>22</v>
      </c>
      <c r="I5119" s="22">
        <v>1</v>
      </c>
      <c r="J5119" s="22" t="s">
        <v>727</v>
      </c>
      <c r="K5119" s="22" t="s">
        <v>23</v>
      </c>
      <c r="L5119" s="22">
        <v>2</v>
      </c>
      <c r="M5119" s="26">
        <v>55000</v>
      </c>
      <c r="N5119" s="26">
        <v>0</v>
      </c>
      <c r="O5119" s="15">
        <f t="shared" si="441"/>
        <v>55000</v>
      </c>
      <c r="P5119" s="15">
        <f t="shared" si="442"/>
        <v>15.634771732332707</v>
      </c>
      <c r="Q5119" s="25">
        <v>5000</v>
      </c>
      <c r="R5119" s="22">
        <v>70</v>
      </c>
      <c r="S5119" s="22" t="s">
        <v>6183</v>
      </c>
      <c r="T5119" s="22">
        <f t="shared" si="438"/>
        <v>7</v>
      </c>
      <c r="U5119" s="22">
        <f t="shared" si="439"/>
        <v>2022</v>
      </c>
      <c r="V5119" s="22" t="str">
        <f t="shared" si="440"/>
        <v>METROPOLITANA</v>
      </c>
    </row>
    <row r="5120" spans="1:22" x14ac:dyDescent="0.2">
      <c r="A5120" s="23" t="s">
        <v>6179</v>
      </c>
      <c r="B5120" s="22" t="s">
        <v>33</v>
      </c>
      <c r="C5120" s="22" t="s">
        <v>36</v>
      </c>
      <c r="D5120" s="22" t="s">
        <v>45</v>
      </c>
      <c r="E5120" s="24" t="s">
        <v>21</v>
      </c>
      <c r="F5120" s="22" t="s">
        <v>53</v>
      </c>
      <c r="G5120" s="25">
        <v>2314.8200000000002</v>
      </c>
      <c r="H5120" s="22" t="s">
        <v>22</v>
      </c>
      <c r="I5120" s="22">
        <v>0</v>
      </c>
      <c r="J5120" s="22" t="s">
        <v>53</v>
      </c>
      <c r="K5120" s="22" t="s">
        <v>23</v>
      </c>
      <c r="L5120" s="22">
        <v>3</v>
      </c>
      <c r="M5120" s="26">
        <v>55000</v>
      </c>
      <c r="N5120" s="26">
        <v>0</v>
      </c>
      <c r="O5120" s="15">
        <f t="shared" si="441"/>
        <v>55000</v>
      </c>
      <c r="P5120" s="15">
        <f t="shared" si="442"/>
        <v>23.759946777719215</v>
      </c>
      <c r="Q5120" s="25">
        <v>5000</v>
      </c>
      <c r="R5120" s="22">
        <v>46</v>
      </c>
      <c r="S5120" s="22" t="s">
        <v>6184</v>
      </c>
      <c r="T5120" s="22">
        <f t="shared" si="438"/>
        <v>7</v>
      </c>
      <c r="U5120" s="22">
        <f t="shared" si="439"/>
        <v>2022</v>
      </c>
      <c r="V5120" s="22" t="str">
        <f t="shared" si="440"/>
        <v>METROPOLITANA</v>
      </c>
    </row>
    <row r="5121" spans="1:22" x14ac:dyDescent="0.2">
      <c r="A5121" s="23" t="s">
        <v>6179</v>
      </c>
      <c r="B5121" s="22" t="s">
        <v>33</v>
      </c>
      <c r="C5121" s="22" t="s">
        <v>29</v>
      </c>
      <c r="D5121" s="22" t="s">
        <v>164</v>
      </c>
      <c r="E5121" s="24" t="s">
        <v>1576</v>
      </c>
      <c r="F5121" s="22" t="s">
        <v>39</v>
      </c>
      <c r="G5121" s="25">
        <f>17644.59+597+1561</f>
        <v>19802.59</v>
      </c>
      <c r="H5121" s="22" t="s">
        <v>22</v>
      </c>
      <c r="I5121" s="22">
        <v>1</v>
      </c>
      <c r="J5121" s="22" t="s">
        <v>39</v>
      </c>
      <c r="K5121" s="22" t="s">
        <v>23</v>
      </c>
      <c r="L5121" s="22">
        <v>1</v>
      </c>
      <c r="M5121" s="26">
        <v>194090</v>
      </c>
      <c r="N5121" s="26">
        <v>0</v>
      </c>
      <c r="O5121" s="15">
        <f t="shared" si="441"/>
        <v>194090</v>
      </c>
      <c r="P5121" s="15">
        <f t="shared" si="442"/>
        <v>9.8012431707165586</v>
      </c>
      <c r="Q5121" s="25">
        <v>5000</v>
      </c>
      <c r="R5121" s="22">
        <v>100</v>
      </c>
      <c r="S5121" s="22" t="s">
        <v>6186</v>
      </c>
      <c r="T5121" s="22">
        <f t="shared" si="438"/>
        <v>7</v>
      </c>
      <c r="U5121" s="22">
        <f t="shared" si="439"/>
        <v>2022</v>
      </c>
      <c r="V5121" s="22" t="str">
        <f t="shared" si="440"/>
        <v>METROPOLITANA</v>
      </c>
    </row>
    <row r="5122" spans="1:22" x14ac:dyDescent="0.2">
      <c r="A5122" s="23" t="s">
        <v>6179</v>
      </c>
      <c r="B5122" s="22" t="s">
        <v>33</v>
      </c>
      <c r="C5122" s="22" t="s">
        <v>44</v>
      </c>
      <c r="D5122" s="22" t="s">
        <v>191</v>
      </c>
      <c r="E5122" s="24" t="s">
        <v>192</v>
      </c>
      <c r="F5122" s="22" t="s">
        <v>3139</v>
      </c>
      <c r="G5122" s="25">
        <v>6896.6399999999994</v>
      </c>
      <c r="H5122" s="22" t="s">
        <v>85</v>
      </c>
      <c r="I5122" s="22">
        <v>1</v>
      </c>
      <c r="J5122" s="22" t="s">
        <v>3139</v>
      </c>
      <c r="K5122" s="22" t="s">
        <v>93</v>
      </c>
      <c r="L5122" s="22">
        <v>0</v>
      </c>
      <c r="M5122" s="26">
        <v>530000</v>
      </c>
      <c r="N5122" s="26">
        <v>0</v>
      </c>
      <c r="O5122" s="15">
        <f t="shared" si="441"/>
        <v>530000</v>
      </c>
      <c r="P5122" s="15">
        <f t="shared" si="442"/>
        <v>76.849016332590949</v>
      </c>
      <c r="Q5122" s="25">
        <v>20000</v>
      </c>
      <c r="R5122" s="22">
        <v>34</v>
      </c>
      <c r="S5122" s="22" t="s">
        <v>6185</v>
      </c>
      <c r="T5122" s="22">
        <f t="shared" si="438"/>
        <v>7</v>
      </c>
      <c r="U5122" s="22">
        <f t="shared" si="439"/>
        <v>2022</v>
      </c>
      <c r="V5122" s="22" t="str">
        <f t="shared" si="440"/>
        <v>REGIONES</v>
      </c>
    </row>
    <row r="5123" spans="1:22" x14ac:dyDescent="0.2">
      <c r="A5123" s="11" t="s">
        <v>6187</v>
      </c>
      <c r="B5123" s="12" t="s">
        <v>18</v>
      </c>
      <c r="C5123" s="12" t="s">
        <v>270</v>
      </c>
      <c r="D5123" s="12" t="s">
        <v>786</v>
      </c>
      <c r="E5123" s="13" t="s">
        <v>787</v>
      </c>
      <c r="F5123" s="12" t="s">
        <v>120</v>
      </c>
      <c r="G5123" s="14">
        <v>16024.680000000009</v>
      </c>
      <c r="H5123" s="12" t="s">
        <v>788</v>
      </c>
      <c r="I5123" s="12">
        <v>1</v>
      </c>
      <c r="J5123" s="12" t="s">
        <v>120</v>
      </c>
      <c r="K5123" s="12" t="s">
        <v>23</v>
      </c>
      <c r="L5123" s="12">
        <v>5</v>
      </c>
      <c r="M5123" s="15">
        <v>120000</v>
      </c>
      <c r="N5123" s="15">
        <v>0</v>
      </c>
      <c r="O5123" s="15">
        <f t="shared" si="441"/>
        <v>120000</v>
      </c>
      <c r="P5123" s="15">
        <f t="shared" si="442"/>
        <v>7.4884490673136641</v>
      </c>
      <c r="Q5123" s="14">
        <v>10000</v>
      </c>
      <c r="R5123" s="12">
        <v>100</v>
      </c>
      <c r="S5123" s="12" t="s">
        <v>6188</v>
      </c>
      <c r="T5123" s="22">
        <f t="shared" si="438"/>
        <v>7</v>
      </c>
      <c r="U5123" s="22">
        <f t="shared" si="439"/>
        <v>2022</v>
      </c>
      <c r="V5123" s="22" t="str">
        <f t="shared" si="440"/>
        <v>METROPOLITANA</v>
      </c>
    </row>
    <row r="5124" spans="1:22" x14ac:dyDescent="0.2">
      <c r="A5124" s="11" t="s">
        <v>6187</v>
      </c>
      <c r="B5124" s="12" t="s">
        <v>18</v>
      </c>
      <c r="C5124" s="12" t="s">
        <v>57</v>
      </c>
      <c r="D5124" s="12" t="s">
        <v>20</v>
      </c>
      <c r="E5124" s="13" t="s">
        <v>21</v>
      </c>
      <c r="F5124" s="12" t="s">
        <v>58</v>
      </c>
      <c r="G5124" s="14">
        <v>2657.5</v>
      </c>
      <c r="H5124" s="12" t="s">
        <v>22</v>
      </c>
      <c r="I5124" s="12">
        <v>0</v>
      </c>
      <c r="J5124" s="12" t="s">
        <v>58</v>
      </c>
      <c r="K5124" s="12" t="s">
        <v>23</v>
      </c>
      <c r="L5124" s="12">
        <v>5</v>
      </c>
      <c r="M5124" s="15">
        <v>70000</v>
      </c>
      <c r="N5124" s="15">
        <v>0</v>
      </c>
      <c r="O5124" s="15">
        <f t="shared" si="441"/>
        <v>70000</v>
      </c>
      <c r="P5124" s="15">
        <f t="shared" si="442"/>
        <v>26.340545625587957</v>
      </c>
      <c r="Q5124" s="14">
        <v>10000</v>
      </c>
      <c r="R5124" s="12">
        <v>27</v>
      </c>
      <c r="S5124" s="12" t="s">
        <v>6189</v>
      </c>
      <c r="T5124" s="22">
        <f t="shared" si="438"/>
        <v>7</v>
      </c>
      <c r="U5124" s="22">
        <f t="shared" si="439"/>
        <v>2022</v>
      </c>
      <c r="V5124" s="22" t="str">
        <f t="shared" si="440"/>
        <v>METROPOLITANA</v>
      </c>
    </row>
    <row r="5125" spans="1:22" x14ac:dyDescent="0.2">
      <c r="A5125" s="11" t="s">
        <v>6187</v>
      </c>
      <c r="B5125" s="12" t="s">
        <v>18</v>
      </c>
      <c r="C5125" s="12" t="s">
        <v>500</v>
      </c>
      <c r="D5125" s="12" t="s">
        <v>30</v>
      </c>
      <c r="E5125" s="13" t="s">
        <v>31</v>
      </c>
      <c r="F5125" s="12" t="s">
        <v>727</v>
      </c>
      <c r="G5125" s="14">
        <f>7435.76+3250</f>
        <v>10685.76</v>
      </c>
      <c r="H5125" s="12" t="s">
        <v>32</v>
      </c>
      <c r="I5125" s="12">
        <v>0</v>
      </c>
      <c r="J5125" s="12" t="s">
        <v>727</v>
      </c>
      <c r="K5125" s="12" t="s">
        <v>23</v>
      </c>
      <c r="L5125" s="12">
        <v>2</v>
      </c>
      <c r="M5125" s="15">
        <v>81793</v>
      </c>
      <c r="N5125" s="15">
        <v>0</v>
      </c>
      <c r="O5125" s="15">
        <f t="shared" si="441"/>
        <v>81793</v>
      </c>
      <c r="P5125" s="15">
        <f t="shared" si="442"/>
        <v>7.6543923876261486</v>
      </c>
      <c r="Q5125" s="14">
        <v>5000</v>
      </c>
      <c r="R5125" s="12">
        <v>100</v>
      </c>
      <c r="S5125" s="12" t="s">
        <v>6200</v>
      </c>
      <c r="T5125" s="22">
        <f t="shared" si="438"/>
        <v>7</v>
      </c>
      <c r="U5125" s="22">
        <f t="shared" si="439"/>
        <v>2022</v>
      </c>
      <c r="V5125" s="22" t="str">
        <f t="shared" si="440"/>
        <v>METROPOLITANA</v>
      </c>
    </row>
    <row r="5126" spans="1:22" x14ac:dyDescent="0.2">
      <c r="A5126" s="11" t="s">
        <v>6187</v>
      </c>
      <c r="B5126" s="12" t="s">
        <v>18</v>
      </c>
      <c r="C5126" s="12" t="s">
        <v>29</v>
      </c>
      <c r="D5126" s="12" t="s">
        <v>164</v>
      </c>
      <c r="E5126" s="13" t="s">
        <v>1576</v>
      </c>
      <c r="F5126" s="12" t="s">
        <v>39</v>
      </c>
      <c r="G5126" s="14">
        <v>9040.68</v>
      </c>
      <c r="H5126" s="12" t="s">
        <v>22</v>
      </c>
      <c r="I5126" s="12">
        <v>1</v>
      </c>
      <c r="J5126" s="12" t="s">
        <v>39</v>
      </c>
      <c r="K5126" s="12" t="s">
        <v>23</v>
      </c>
      <c r="L5126" s="12">
        <v>1</v>
      </c>
      <c r="M5126" s="15">
        <v>99447</v>
      </c>
      <c r="N5126" s="15">
        <v>0</v>
      </c>
      <c r="O5126" s="15">
        <f t="shared" si="441"/>
        <v>99447</v>
      </c>
      <c r="P5126" s="15">
        <f t="shared" si="442"/>
        <v>10.999946906648615</v>
      </c>
      <c r="Q5126" s="14">
        <v>5000</v>
      </c>
      <c r="R5126" s="12">
        <v>100</v>
      </c>
      <c r="S5126" s="12" t="s">
        <v>6190</v>
      </c>
      <c r="T5126" s="22">
        <f t="shared" si="438"/>
        <v>7</v>
      </c>
      <c r="U5126" s="22">
        <f t="shared" si="439"/>
        <v>2022</v>
      </c>
      <c r="V5126" s="22" t="str">
        <f t="shared" si="440"/>
        <v>METROPOLITANA</v>
      </c>
    </row>
    <row r="5127" spans="1:22" x14ac:dyDescent="0.2">
      <c r="A5127" s="11" t="s">
        <v>6187</v>
      </c>
      <c r="B5127" s="12" t="s">
        <v>18</v>
      </c>
      <c r="C5127" s="12" t="s">
        <v>508</v>
      </c>
      <c r="D5127" s="12" t="s">
        <v>38</v>
      </c>
      <c r="E5127" s="13" t="s">
        <v>25</v>
      </c>
      <c r="F5127" s="12" t="s">
        <v>51</v>
      </c>
      <c r="G5127" s="14">
        <v>9847.32</v>
      </c>
      <c r="H5127" s="12" t="s">
        <v>43</v>
      </c>
      <c r="I5127" s="12">
        <v>0</v>
      </c>
      <c r="J5127" s="12" t="s">
        <v>51</v>
      </c>
      <c r="K5127" s="12" t="s">
        <v>23</v>
      </c>
      <c r="L5127" s="12">
        <v>4</v>
      </c>
      <c r="M5127" s="15">
        <v>108321</v>
      </c>
      <c r="N5127" s="15">
        <v>0</v>
      </c>
      <c r="O5127" s="15">
        <f t="shared" si="441"/>
        <v>108321</v>
      </c>
      <c r="P5127" s="15">
        <f t="shared" si="442"/>
        <v>11.000048744226856</v>
      </c>
      <c r="Q5127" s="14">
        <v>5000</v>
      </c>
      <c r="R5127" s="12">
        <v>100</v>
      </c>
      <c r="S5127" s="12" t="s">
        <v>6191</v>
      </c>
      <c r="T5127" s="22">
        <f t="shared" ref="T5127:T5190" si="443">MONTH(A5127)</f>
        <v>7</v>
      </c>
      <c r="U5127" s="22">
        <f t="shared" ref="U5127:U5190" si="444">YEAR(A5127)</f>
        <v>2022</v>
      </c>
      <c r="V5127" s="22" t="str">
        <f t="shared" ref="V5127:V5190" si="445">IF(K5127="METROPOLITANA DE SANTIAGO","METROPOLITANA","REGIONES")</f>
        <v>METROPOLITANA</v>
      </c>
    </row>
    <row r="5128" spans="1:22" x14ac:dyDescent="0.2">
      <c r="A5128" s="11" t="s">
        <v>6187</v>
      </c>
      <c r="B5128" s="12" t="s">
        <v>33</v>
      </c>
      <c r="C5128" s="12" t="s">
        <v>270</v>
      </c>
      <c r="D5128" s="12" t="s">
        <v>2955</v>
      </c>
      <c r="E5128" s="13" t="s">
        <v>2956</v>
      </c>
      <c r="F5128" s="12" t="s">
        <v>120</v>
      </c>
      <c r="G5128" s="14">
        <v>15867</v>
      </c>
      <c r="H5128" s="12" t="s">
        <v>24</v>
      </c>
      <c r="I5128" s="12">
        <v>1</v>
      </c>
      <c r="J5128" s="12" t="s">
        <v>120</v>
      </c>
      <c r="K5128" s="12" t="s">
        <v>23</v>
      </c>
      <c r="L5128" s="12">
        <v>5</v>
      </c>
      <c r="M5128" s="15">
        <v>120000</v>
      </c>
      <c r="N5128" s="15">
        <v>0</v>
      </c>
      <c r="O5128" s="15">
        <f t="shared" si="441"/>
        <v>120000</v>
      </c>
      <c r="P5128" s="15">
        <f t="shared" si="442"/>
        <v>7.5628663263376819</v>
      </c>
      <c r="Q5128" s="14">
        <v>10000</v>
      </c>
      <c r="R5128" s="12">
        <v>100</v>
      </c>
      <c r="S5128" s="12" t="s">
        <v>6192</v>
      </c>
      <c r="T5128" s="22">
        <f t="shared" si="443"/>
        <v>7</v>
      </c>
      <c r="U5128" s="22">
        <f t="shared" si="444"/>
        <v>2022</v>
      </c>
      <c r="V5128" s="22" t="str">
        <f t="shared" si="445"/>
        <v>METROPOLITANA</v>
      </c>
    </row>
    <row r="5129" spans="1:22" x14ac:dyDescent="0.2">
      <c r="A5129" s="11" t="s">
        <v>6187</v>
      </c>
      <c r="B5129" s="12" t="s">
        <v>33</v>
      </c>
      <c r="C5129" s="12" t="s">
        <v>1233</v>
      </c>
      <c r="D5129" s="12" t="s">
        <v>6193</v>
      </c>
      <c r="E5129" s="13" t="s">
        <v>64</v>
      </c>
      <c r="F5129" s="12" t="s">
        <v>1234</v>
      </c>
      <c r="G5129" s="14">
        <v>1700.4</v>
      </c>
      <c r="H5129" s="12" t="s">
        <v>24</v>
      </c>
      <c r="I5129" s="12">
        <v>1</v>
      </c>
      <c r="J5129" s="12" t="s">
        <v>1234</v>
      </c>
      <c r="K5129" s="12" t="s">
        <v>23</v>
      </c>
      <c r="L5129" s="12">
        <v>3</v>
      </c>
      <c r="M5129" s="15">
        <v>55000</v>
      </c>
      <c r="N5129" s="15">
        <v>0</v>
      </c>
      <c r="O5129" s="15">
        <f t="shared" si="441"/>
        <v>55000</v>
      </c>
      <c r="P5129" s="15">
        <f t="shared" si="442"/>
        <v>32.345330510468123</v>
      </c>
      <c r="Q5129" s="14">
        <v>5000</v>
      </c>
      <c r="R5129" s="12">
        <v>34</v>
      </c>
      <c r="S5129" s="12" t="s">
        <v>6194</v>
      </c>
      <c r="T5129" s="22">
        <f t="shared" si="443"/>
        <v>7</v>
      </c>
      <c r="U5129" s="22">
        <f t="shared" si="444"/>
        <v>2022</v>
      </c>
      <c r="V5129" s="22" t="str">
        <f t="shared" si="445"/>
        <v>METROPOLITANA</v>
      </c>
    </row>
    <row r="5130" spans="1:22" x14ac:dyDescent="0.2">
      <c r="A5130" s="11" t="s">
        <v>6187</v>
      </c>
      <c r="B5130" s="12" t="s">
        <v>33</v>
      </c>
      <c r="C5130" s="12" t="s">
        <v>128</v>
      </c>
      <c r="D5130" s="12" t="s">
        <v>37</v>
      </c>
      <c r="E5130" s="13" t="s">
        <v>40</v>
      </c>
      <c r="F5130" s="12" t="s">
        <v>134</v>
      </c>
      <c r="G5130" s="14">
        <v>5524.06</v>
      </c>
      <c r="H5130" s="12" t="s">
        <v>22</v>
      </c>
      <c r="I5130" s="12">
        <v>0</v>
      </c>
      <c r="J5130" s="12" t="s">
        <v>134</v>
      </c>
      <c r="K5130" s="12" t="s">
        <v>23</v>
      </c>
      <c r="L5130" s="12">
        <v>2</v>
      </c>
      <c r="M5130" s="15">
        <v>60765</v>
      </c>
      <c r="N5130" s="15">
        <v>0</v>
      </c>
      <c r="O5130" s="15">
        <f t="shared" si="441"/>
        <v>60765</v>
      </c>
      <c r="P5130" s="15">
        <f t="shared" si="442"/>
        <v>11.000061548933211</v>
      </c>
      <c r="Q5130" s="14">
        <v>5000</v>
      </c>
      <c r="R5130" s="12">
        <v>100</v>
      </c>
      <c r="S5130" s="12" t="s">
        <v>6195</v>
      </c>
      <c r="T5130" s="22">
        <f t="shared" si="443"/>
        <v>7</v>
      </c>
      <c r="U5130" s="22">
        <f t="shared" si="444"/>
        <v>2022</v>
      </c>
      <c r="V5130" s="22" t="str">
        <f t="shared" si="445"/>
        <v>METROPOLITANA</v>
      </c>
    </row>
    <row r="5131" spans="1:22" x14ac:dyDescent="0.2">
      <c r="A5131" s="11" t="s">
        <v>6187</v>
      </c>
      <c r="B5131" s="12" t="s">
        <v>33</v>
      </c>
      <c r="C5131" s="12" t="s">
        <v>29</v>
      </c>
      <c r="D5131" s="12" t="s">
        <v>164</v>
      </c>
      <c r="E5131" s="13" t="s">
        <v>1576</v>
      </c>
      <c r="F5131" s="12" t="s">
        <v>39</v>
      </c>
      <c r="G5131" s="14">
        <v>6517.3600000000006</v>
      </c>
      <c r="H5131" s="12" t="s">
        <v>22</v>
      </c>
      <c r="I5131" s="12">
        <v>1</v>
      </c>
      <c r="J5131" s="12" t="s">
        <v>39</v>
      </c>
      <c r="K5131" s="12" t="s">
        <v>23</v>
      </c>
      <c r="L5131" s="12">
        <v>1</v>
      </c>
      <c r="M5131" s="15">
        <v>71691</v>
      </c>
      <c r="N5131" s="15">
        <v>0</v>
      </c>
      <c r="O5131" s="15">
        <f t="shared" si="441"/>
        <v>71691</v>
      </c>
      <c r="P5131" s="15">
        <f t="shared" si="442"/>
        <v>11.000006137454429</v>
      </c>
      <c r="Q5131" s="14">
        <v>5000</v>
      </c>
      <c r="R5131" s="12">
        <v>100</v>
      </c>
      <c r="S5131" s="12" t="s">
        <v>6196</v>
      </c>
      <c r="T5131" s="22">
        <f t="shared" si="443"/>
        <v>7</v>
      </c>
      <c r="U5131" s="22">
        <f t="shared" si="444"/>
        <v>2022</v>
      </c>
      <c r="V5131" s="22" t="str">
        <f t="shared" si="445"/>
        <v>METROPOLITANA</v>
      </c>
    </row>
    <row r="5132" spans="1:22" x14ac:dyDescent="0.2">
      <c r="A5132" s="11" t="s">
        <v>6187</v>
      </c>
      <c r="B5132" s="12" t="s">
        <v>33</v>
      </c>
      <c r="C5132" s="12" t="s">
        <v>44</v>
      </c>
      <c r="D5132" s="12" t="s">
        <v>30</v>
      </c>
      <c r="E5132" s="13" t="s">
        <v>31</v>
      </c>
      <c r="F5132" s="12" t="s">
        <v>94</v>
      </c>
      <c r="G5132" s="14">
        <v>10510.4</v>
      </c>
      <c r="H5132" s="12" t="s">
        <v>32</v>
      </c>
      <c r="I5132" s="12">
        <v>0</v>
      </c>
      <c r="J5132" s="12" t="s">
        <v>59</v>
      </c>
      <c r="K5132" s="12" t="s">
        <v>78</v>
      </c>
      <c r="L5132" s="12">
        <v>0</v>
      </c>
      <c r="M5132" s="15">
        <v>203000</v>
      </c>
      <c r="N5132" s="15">
        <v>0</v>
      </c>
      <c r="O5132" s="15">
        <f t="shared" si="441"/>
        <v>203000</v>
      </c>
      <c r="P5132" s="15">
        <f t="shared" si="442"/>
        <v>19.314203075049477</v>
      </c>
      <c r="Q5132" s="14">
        <v>20000</v>
      </c>
      <c r="R5132" s="12">
        <v>53</v>
      </c>
      <c r="S5132" s="12" t="s">
        <v>6197</v>
      </c>
      <c r="T5132" s="22">
        <f t="shared" si="443"/>
        <v>7</v>
      </c>
      <c r="U5132" s="22">
        <f t="shared" si="444"/>
        <v>2022</v>
      </c>
      <c r="V5132" s="22" t="str">
        <f t="shared" si="445"/>
        <v>REGIONES</v>
      </c>
    </row>
    <row r="5133" spans="1:22" x14ac:dyDescent="0.2">
      <c r="A5133" s="11" t="s">
        <v>6187</v>
      </c>
      <c r="B5133" s="12" t="s">
        <v>33</v>
      </c>
      <c r="C5133" s="12" t="s">
        <v>44</v>
      </c>
      <c r="D5133" s="12" t="s">
        <v>6198</v>
      </c>
      <c r="E5133" s="13" t="s">
        <v>21</v>
      </c>
      <c r="F5133" s="12" t="s">
        <v>26</v>
      </c>
      <c r="G5133" s="14">
        <v>4107.6000000000004</v>
      </c>
      <c r="H5133" s="12" t="s">
        <v>24</v>
      </c>
      <c r="I5133" s="12">
        <v>1</v>
      </c>
      <c r="J5133" s="12" t="s">
        <v>26</v>
      </c>
      <c r="K5133" s="12" t="s">
        <v>23</v>
      </c>
      <c r="L5133" s="12">
        <v>4</v>
      </c>
      <c r="M5133" s="15">
        <v>55000</v>
      </c>
      <c r="N5133" s="15">
        <v>0</v>
      </c>
      <c r="O5133" s="15">
        <f t="shared" si="441"/>
        <v>55000</v>
      </c>
      <c r="P5133" s="15">
        <f t="shared" si="442"/>
        <v>13.389814003310935</v>
      </c>
      <c r="Q5133" s="14">
        <v>5000</v>
      </c>
      <c r="R5133" s="12">
        <v>82</v>
      </c>
      <c r="S5133" s="12" t="s">
        <v>6199</v>
      </c>
      <c r="T5133" s="22">
        <f t="shared" si="443"/>
        <v>7</v>
      </c>
      <c r="U5133" s="22">
        <f t="shared" si="444"/>
        <v>2022</v>
      </c>
      <c r="V5133" s="22" t="str">
        <f t="shared" si="445"/>
        <v>METROPOLITANA</v>
      </c>
    </row>
    <row r="5134" spans="1:22" x14ac:dyDescent="0.2">
      <c r="A5134" s="23" t="s">
        <v>6201</v>
      </c>
      <c r="B5134" s="22" t="s">
        <v>18</v>
      </c>
      <c r="C5134" s="22" t="s">
        <v>500</v>
      </c>
      <c r="D5134" s="22" t="s">
        <v>37</v>
      </c>
      <c r="E5134" s="24" t="s">
        <v>40</v>
      </c>
      <c r="F5134" s="22" t="s">
        <v>727</v>
      </c>
      <c r="G5134" s="25">
        <v>6801.26</v>
      </c>
      <c r="H5134" s="22" t="s">
        <v>22</v>
      </c>
      <c r="I5134" s="22">
        <v>0</v>
      </c>
      <c r="J5134" s="22" t="s">
        <v>727</v>
      </c>
      <c r="K5134" s="22" t="s">
        <v>23</v>
      </c>
      <c r="L5134" s="22">
        <v>2</v>
      </c>
      <c r="M5134" s="26">
        <v>74814</v>
      </c>
      <c r="N5134" s="26">
        <v>0</v>
      </c>
      <c r="O5134" s="15">
        <f t="shared" si="441"/>
        <v>74814</v>
      </c>
      <c r="P5134" s="15">
        <f t="shared" si="442"/>
        <v>11.000020584421122</v>
      </c>
      <c r="Q5134" s="25">
        <v>5000</v>
      </c>
      <c r="R5134" s="22">
        <v>100</v>
      </c>
      <c r="S5134" s="22" t="s">
        <v>6202</v>
      </c>
      <c r="T5134" s="22">
        <f t="shared" si="443"/>
        <v>7</v>
      </c>
      <c r="U5134" s="22">
        <f t="shared" si="444"/>
        <v>2022</v>
      </c>
      <c r="V5134" s="22" t="str">
        <f t="shared" si="445"/>
        <v>METROPOLITANA</v>
      </c>
    </row>
    <row r="5135" spans="1:22" x14ac:dyDescent="0.2">
      <c r="A5135" s="23" t="s">
        <v>6201</v>
      </c>
      <c r="B5135" s="22" t="s">
        <v>18</v>
      </c>
      <c r="C5135" s="22" t="s">
        <v>508</v>
      </c>
      <c r="D5135" s="22" t="s">
        <v>38</v>
      </c>
      <c r="E5135" s="24" t="s">
        <v>42</v>
      </c>
      <c r="F5135" s="22" t="s">
        <v>51</v>
      </c>
      <c r="G5135" s="25">
        <v>9956.8000000000029</v>
      </c>
      <c r="H5135" s="22" t="s">
        <v>43</v>
      </c>
      <c r="I5135" s="22">
        <v>0</v>
      </c>
      <c r="J5135" s="22" t="s">
        <v>51</v>
      </c>
      <c r="K5135" s="22" t="s">
        <v>23</v>
      </c>
      <c r="L5135" s="22">
        <v>4</v>
      </c>
      <c r="M5135" s="26">
        <v>109525</v>
      </c>
      <c r="N5135" s="26">
        <v>0</v>
      </c>
      <c r="O5135" s="15">
        <f t="shared" si="441"/>
        <v>109525</v>
      </c>
      <c r="P5135" s="15">
        <f t="shared" si="442"/>
        <v>11.000020086774864</v>
      </c>
      <c r="Q5135" s="25">
        <v>5000</v>
      </c>
      <c r="R5135" s="22">
        <v>100</v>
      </c>
      <c r="S5135" s="22" t="s">
        <v>6203</v>
      </c>
      <c r="T5135" s="22">
        <f t="shared" si="443"/>
        <v>7</v>
      </c>
      <c r="U5135" s="22">
        <f t="shared" si="444"/>
        <v>2022</v>
      </c>
      <c r="V5135" s="22" t="str">
        <f t="shared" si="445"/>
        <v>METROPOLITANA</v>
      </c>
    </row>
    <row r="5136" spans="1:22" x14ac:dyDescent="0.2">
      <c r="A5136" s="23" t="s">
        <v>6201</v>
      </c>
      <c r="B5136" s="22" t="s">
        <v>18</v>
      </c>
      <c r="C5136" s="22" t="s">
        <v>508</v>
      </c>
      <c r="D5136" s="22" t="s">
        <v>41</v>
      </c>
      <c r="E5136" s="24" t="s">
        <v>25</v>
      </c>
      <c r="F5136" s="22" t="s">
        <v>51</v>
      </c>
      <c r="G5136" s="25">
        <v>9594.15</v>
      </c>
      <c r="H5136" s="22" t="s">
        <v>43</v>
      </c>
      <c r="I5136" s="22">
        <v>0</v>
      </c>
      <c r="J5136" s="22" t="s">
        <v>51</v>
      </c>
      <c r="K5136" s="22" t="s">
        <v>23</v>
      </c>
      <c r="L5136" s="22">
        <v>4</v>
      </c>
      <c r="M5136" s="26">
        <v>105536</v>
      </c>
      <c r="N5136" s="26">
        <v>0</v>
      </c>
      <c r="O5136" s="15">
        <f t="shared" si="441"/>
        <v>105536</v>
      </c>
      <c r="P5136" s="15">
        <f t="shared" si="442"/>
        <v>11.000036480563677</v>
      </c>
      <c r="Q5136" s="25">
        <v>5000</v>
      </c>
      <c r="R5136" s="22">
        <v>100</v>
      </c>
      <c r="S5136" s="22" t="s">
        <v>6204</v>
      </c>
      <c r="T5136" s="22">
        <f t="shared" si="443"/>
        <v>7</v>
      </c>
      <c r="U5136" s="22">
        <f t="shared" si="444"/>
        <v>2022</v>
      </c>
      <c r="V5136" s="22" t="str">
        <f t="shared" si="445"/>
        <v>METROPOLITANA</v>
      </c>
    </row>
    <row r="5137" spans="1:22" x14ac:dyDescent="0.2">
      <c r="A5137" s="23" t="s">
        <v>6201</v>
      </c>
      <c r="B5137" s="22" t="s">
        <v>33</v>
      </c>
      <c r="C5137" s="22" t="s">
        <v>128</v>
      </c>
      <c r="D5137" s="22" t="s">
        <v>63</v>
      </c>
      <c r="E5137" s="24" t="s">
        <v>64</v>
      </c>
      <c r="F5137" s="22" t="s">
        <v>129</v>
      </c>
      <c r="G5137" s="25">
        <v>9473.5400000000009</v>
      </c>
      <c r="H5137" s="22" t="s">
        <v>65</v>
      </c>
      <c r="I5137" s="22">
        <v>0</v>
      </c>
      <c r="J5137" s="22" t="s">
        <v>129</v>
      </c>
      <c r="K5137" s="22" t="s">
        <v>23</v>
      </c>
      <c r="L5137" s="22">
        <v>1</v>
      </c>
      <c r="M5137" s="26">
        <v>104209</v>
      </c>
      <c r="N5137" s="26">
        <v>0</v>
      </c>
      <c r="O5137" s="15">
        <f t="shared" si="441"/>
        <v>104209</v>
      </c>
      <c r="P5137" s="15">
        <f t="shared" si="442"/>
        <v>11.000006333429742</v>
      </c>
      <c r="Q5137" s="25">
        <v>5000</v>
      </c>
      <c r="R5137" s="22">
        <v>100</v>
      </c>
      <c r="S5137" s="22" t="s">
        <v>6205</v>
      </c>
      <c r="T5137" s="22">
        <f t="shared" si="443"/>
        <v>7</v>
      </c>
      <c r="U5137" s="22">
        <f t="shared" si="444"/>
        <v>2022</v>
      </c>
      <c r="V5137" s="22" t="str">
        <f t="shared" si="445"/>
        <v>METROPOLITANA</v>
      </c>
    </row>
    <row r="5138" spans="1:22" x14ac:dyDescent="0.2">
      <c r="A5138" s="23" t="s">
        <v>6201</v>
      </c>
      <c r="B5138" s="22" t="s">
        <v>33</v>
      </c>
      <c r="C5138" s="22" t="s">
        <v>36</v>
      </c>
      <c r="D5138" s="22" t="s">
        <v>47</v>
      </c>
      <c r="E5138" s="24" t="s">
        <v>49</v>
      </c>
      <c r="F5138" s="22" t="s">
        <v>225</v>
      </c>
      <c r="G5138" s="25">
        <f>1099.2+1514</f>
        <v>2613.1999999999998</v>
      </c>
      <c r="H5138" s="22" t="s">
        <v>22</v>
      </c>
      <c r="I5138" s="22">
        <v>0</v>
      </c>
      <c r="J5138" s="22" t="s">
        <v>225</v>
      </c>
      <c r="K5138" s="22" t="s">
        <v>23</v>
      </c>
      <c r="L5138" s="22">
        <v>3</v>
      </c>
      <c r="M5138" s="26">
        <v>55000</v>
      </c>
      <c r="N5138" s="26">
        <v>0</v>
      </c>
      <c r="O5138" s="15">
        <f t="shared" si="441"/>
        <v>55000</v>
      </c>
      <c r="P5138" s="15">
        <f t="shared" si="442"/>
        <v>21.046992193479262</v>
      </c>
      <c r="Q5138" s="25">
        <v>5000</v>
      </c>
      <c r="R5138" s="22">
        <v>55</v>
      </c>
      <c r="S5138" s="22" t="s">
        <v>6213</v>
      </c>
      <c r="T5138" s="22">
        <f t="shared" si="443"/>
        <v>7</v>
      </c>
      <c r="U5138" s="22">
        <f t="shared" si="444"/>
        <v>2022</v>
      </c>
      <c r="V5138" s="22" t="str">
        <f t="shared" si="445"/>
        <v>METROPOLITANA</v>
      </c>
    </row>
    <row r="5139" spans="1:22" x14ac:dyDescent="0.2">
      <c r="A5139" s="23" t="s">
        <v>6201</v>
      </c>
      <c r="B5139" s="22" t="s">
        <v>33</v>
      </c>
      <c r="C5139" s="22" t="s">
        <v>29</v>
      </c>
      <c r="D5139" s="22" t="s">
        <v>38</v>
      </c>
      <c r="E5139" s="24" t="s">
        <v>42</v>
      </c>
      <c r="F5139" s="22" t="s">
        <v>39</v>
      </c>
      <c r="G5139" s="25">
        <f>11545.34+122+238</f>
        <v>11905.34</v>
      </c>
      <c r="H5139" s="22" t="s">
        <v>43</v>
      </c>
      <c r="I5139" s="22">
        <v>0</v>
      </c>
      <c r="J5139" s="22" t="s">
        <v>39</v>
      </c>
      <c r="K5139" s="22" t="s">
        <v>23</v>
      </c>
      <c r="L5139" s="22">
        <v>1</v>
      </c>
      <c r="M5139" s="26">
        <v>126999</v>
      </c>
      <c r="N5139" s="26">
        <v>0</v>
      </c>
      <c r="O5139" s="15">
        <f t="shared" si="441"/>
        <v>126999</v>
      </c>
      <c r="P5139" s="15">
        <f t="shared" si="442"/>
        <v>10.66739799115355</v>
      </c>
      <c r="Q5139" s="25">
        <v>5000</v>
      </c>
      <c r="R5139" s="22">
        <v>100</v>
      </c>
      <c r="S5139" s="22" t="s">
        <v>6211</v>
      </c>
      <c r="T5139" s="22">
        <f t="shared" si="443"/>
        <v>7</v>
      </c>
      <c r="U5139" s="22">
        <f t="shared" si="444"/>
        <v>2022</v>
      </c>
      <c r="V5139" s="22" t="str">
        <f t="shared" si="445"/>
        <v>METROPOLITANA</v>
      </c>
    </row>
    <row r="5140" spans="1:22" x14ac:dyDescent="0.2">
      <c r="A5140" s="23" t="s">
        <v>6201</v>
      </c>
      <c r="B5140" s="22" t="s">
        <v>33</v>
      </c>
      <c r="C5140" s="22" t="s">
        <v>29</v>
      </c>
      <c r="D5140" s="22" t="s">
        <v>30</v>
      </c>
      <c r="E5140" s="24" t="s">
        <v>31</v>
      </c>
      <c r="F5140" s="22" t="s">
        <v>39</v>
      </c>
      <c r="G5140" s="25">
        <f>4842.4+475+781</f>
        <v>6098.4</v>
      </c>
      <c r="H5140" s="22" t="s">
        <v>32</v>
      </c>
      <c r="I5140" s="22">
        <v>0</v>
      </c>
      <c r="J5140" s="22" t="s">
        <v>39</v>
      </c>
      <c r="K5140" s="22" t="s">
        <v>23</v>
      </c>
      <c r="L5140" s="22">
        <v>1</v>
      </c>
      <c r="M5140" s="26">
        <v>55000</v>
      </c>
      <c r="N5140" s="26">
        <v>0</v>
      </c>
      <c r="O5140" s="15">
        <f t="shared" si="441"/>
        <v>55000</v>
      </c>
      <c r="P5140" s="15">
        <f t="shared" si="442"/>
        <v>9.0187590187590185</v>
      </c>
      <c r="Q5140" s="25">
        <v>5000</v>
      </c>
      <c r="R5140" s="22">
        <v>100</v>
      </c>
      <c r="S5140" s="22" t="s">
        <v>6212</v>
      </c>
      <c r="T5140" s="22">
        <f t="shared" si="443"/>
        <v>7</v>
      </c>
      <c r="U5140" s="22">
        <f t="shared" si="444"/>
        <v>2022</v>
      </c>
      <c r="V5140" s="22" t="str">
        <f t="shared" si="445"/>
        <v>METROPOLITANA</v>
      </c>
    </row>
    <row r="5141" spans="1:22" x14ac:dyDescent="0.2">
      <c r="A5141" s="23" t="s">
        <v>6201</v>
      </c>
      <c r="B5141" s="22" t="s">
        <v>33</v>
      </c>
      <c r="C5141" s="22" t="s">
        <v>29</v>
      </c>
      <c r="D5141" s="22" t="s">
        <v>164</v>
      </c>
      <c r="E5141" s="24" t="s">
        <v>1576</v>
      </c>
      <c r="F5141" s="22" t="s">
        <v>39</v>
      </c>
      <c r="G5141" s="25">
        <v>18500.459999999988</v>
      </c>
      <c r="H5141" s="22" t="s">
        <v>22</v>
      </c>
      <c r="I5141" s="22">
        <v>1</v>
      </c>
      <c r="J5141" s="22" t="s">
        <v>39</v>
      </c>
      <c r="K5141" s="22" t="s">
        <v>23</v>
      </c>
      <c r="L5141" s="22">
        <v>1</v>
      </c>
      <c r="M5141" s="26">
        <v>203505</v>
      </c>
      <c r="N5141" s="26">
        <v>0</v>
      </c>
      <c r="O5141" s="15">
        <f t="shared" ref="O5141:O5204" si="446">SUM(M5141:N5141)</f>
        <v>203505</v>
      </c>
      <c r="P5141" s="15">
        <f t="shared" si="442"/>
        <v>10.999996756837405</v>
      </c>
      <c r="Q5141" s="25">
        <v>5000</v>
      </c>
      <c r="R5141" s="22">
        <v>100</v>
      </c>
      <c r="S5141" s="22" t="s">
        <v>6206</v>
      </c>
      <c r="T5141" s="22">
        <f t="shared" si="443"/>
        <v>7</v>
      </c>
      <c r="U5141" s="22">
        <f t="shared" si="444"/>
        <v>2022</v>
      </c>
      <c r="V5141" s="22" t="str">
        <f t="shared" si="445"/>
        <v>METROPOLITANA</v>
      </c>
    </row>
    <row r="5142" spans="1:22" x14ac:dyDescent="0.2">
      <c r="A5142" s="23" t="s">
        <v>6201</v>
      </c>
      <c r="B5142" s="22" t="s">
        <v>33</v>
      </c>
      <c r="C5142" s="22" t="s">
        <v>29</v>
      </c>
      <c r="D5142" s="22" t="s">
        <v>20</v>
      </c>
      <c r="E5142" s="24" t="s">
        <v>21</v>
      </c>
      <c r="F5142" s="22" t="s">
        <v>173</v>
      </c>
      <c r="G5142" s="25">
        <v>5252.7999999999984</v>
      </c>
      <c r="H5142" s="22" t="s">
        <v>22</v>
      </c>
      <c r="I5142" s="22">
        <v>0</v>
      </c>
      <c r="J5142" s="22" t="s">
        <v>173</v>
      </c>
      <c r="K5142" s="22" t="s">
        <v>23</v>
      </c>
      <c r="L5142" s="22">
        <v>5</v>
      </c>
      <c r="M5142" s="26">
        <v>90000</v>
      </c>
      <c r="N5142" s="26">
        <v>0</v>
      </c>
      <c r="O5142" s="15">
        <f t="shared" si="446"/>
        <v>90000</v>
      </c>
      <c r="P5142" s="15">
        <f t="shared" si="442"/>
        <v>17.133719159305517</v>
      </c>
      <c r="Q5142" s="25">
        <v>10000</v>
      </c>
      <c r="R5142" s="22">
        <v>53</v>
      </c>
      <c r="S5142" s="22" t="s">
        <v>6207</v>
      </c>
      <c r="T5142" s="22">
        <f t="shared" si="443"/>
        <v>7</v>
      </c>
      <c r="U5142" s="22">
        <f t="shared" si="444"/>
        <v>2022</v>
      </c>
      <c r="V5142" s="22" t="str">
        <f t="shared" si="445"/>
        <v>METROPOLITANA</v>
      </c>
    </row>
    <row r="5143" spans="1:22" x14ac:dyDescent="0.2">
      <c r="A5143" s="23" t="s">
        <v>6201</v>
      </c>
      <c r="B5143" s="22" t="s">
        <v>33</v>
      </c>
      <c r="C5143" s="22" t="s">
        <v>2698</v>
      </c>
      <c r="D5143" s="22" t="s">
        <v>37</v>
      </c>
      <c r="E5143" s="24" t="s">
        <v>40</v>
      </c>
      <c r="F5143" s="22" t="s">
        <v>51</v>
      </c>
      <c r="G5143" s="25">
        <v>4305.2999999999984</v>
      </c>
      <c r="H5143" s="22" t="s">
        <v>22</v>
      </c>
      <c r="I5143" s="22">
        <v>0</v>
      </c>
      <c r="J5143" s="22" t="s">
        <v>51</v>
      </c>
      <c r="K5143" s="22" t="s">
        <v>23</v>
      </c>
      <c r="L5143" s="22">
        <v>4</v>
      </c>
      <c r="M5143" s="26">
        <v>55000</v>
      </c>
      <c r="N5143" s="26">
        <v>0</v>
      </c>
      <c r="O5143" s="15">
        <f t="shared" si="446"/>
        <v>55000</v>
      </c>
      <c r="P5143" s="15">
        <f t="shared" si="442"/>
        <v>12.774951803590927</v>
      </c>
      <c r="Q5143" s="25">
        <v>5000</v>
      </c>
      <c r="R5143" s="22">
        <v>86</v>
      </c>
      <c r="S5143" s="22" t="s">
        <v>6208</v>
      </c>
      <c r="T5143" s="22">
        <f t="shared" si="443"/>
        <v>7</v>
      </c>
      <c r="U5143" s="22">
        <f t="shared" si="444"/>
        <v>2022</v>
      </c>
      <c r="V5143" s="22" t="str">
        <f t="shared" si="445"/>
        <v>METROPOLITANA</v>
      </c>
    </row>
    <row r="5144" spans="1:22" x14ac:dyDescent="0.2">
      <c r="A5144" s="23" t="s">
        <v>6201</v>
      </c>
      <c r="B5144" s="22" t="s">
        <v>33</v>
      </c>
      <c r="C5144" s="22" t="s">
        <v>2698</v>
      </c>
      <c r="D5144" s="22" t="s">
        <v>30</v>
      </c>
      <c r="E5144" s="24" t="s">
        <v>31</v>
      </c>
      <c r="F5144" s="22" t="s">
        <v>51</v>
      </c>
      <c r="G5144" s="25">
        <v>4099.2000000000016</v>
      </c>
      <c r="H5144" s="22" t="s">
        <v>32</v>
      </c>
      <c r="I5144" s="22">
        <v>0</v>
      </c>
      <c r="J5144" s="22" t="s">
        <v>51</v>
      </c>
      <c r="K5144" s="22" t="s">
        <v>23</v>
      </c>
      <c r="L5144" s="22">
        <v>4</v>
      </c>
      <c r="M5144" s="26">
        <v>55000</v>
      </c>
      <c r="N5144" s="26">
        <v>0</v>
      </c>
      <c r="O5144" s="15">
        <f t="shared" si="446"/>
        <v>55000</v>
      </c>
      <c r="P5144" s="15">
        <f t="shared" si="442"/>
        <v>13.417252146760339</v>
      </c>
      <c r="Q5144" s="25">
        <v>5000</v>
      </c>
      <c r="R5144" s="22">
        <v>82</v>
      </c>
      <c r="S5144" s="22" t="s">
        <v>6209</v>
      </c>
      <c r="T5144" s="22">
        <f t="shared" si="443"/>
        <v>7</v>
      </c>
      <c r="U5144" s="22">
        <f t="shared" si="444"/>
        <v>2022</v>
      </c>
      <c r="V5144" s="22" t="str">
        <f t="shared" si="445"/>
        <v>METROPOLITANA</v>
      </c>
    </row>
    <row r="5145" spans="1:22" x14ac:dyDescent="0.2">
      <c r="A5145" s="23" t="s">
        <v>6201</v>
      </c>
      <c r="B5145" s="22" t="s">
        <v>33</v>
      </c>
      <c r="C5145" s="22" t="s">
        <v>5611</v>
      </c>
      <c r="D5145" s="22" t="s">
        <v>47</v>
      </c>
      <c r="E5145" s="24" t="s">
        <v>49</v>
      </c>
      <c r="F5145" s="22" t="s">
        <v>89</v>
      </c>
      <c r="G5145" s="25">
        <v>8291.989999999998</v>
      </c>
      <c r="H5145" s="22" t="s">
        <v>22</v>
      </c>
      <c r="I5145" s="22">
        <v>0</v>
      </c>
      <c r="J5145" s="22" t="s">
        <v>89</v>
      </c>
      <c r="K5145" s="22" t="s">
        <v>23</v>
      </c>
      <c r="L5145" s="22">
        <v>5</v>
      </c>
      <c r="M5145" s="26">
        <v>90000</v>
      </c>
      <c r="N5145" s="26">
        <v>0</v>
      </c>
      <c r="O5145" s="15">
        <f t="shared" si="446"/>
        <v>90000</v>
      </c>
      <c r="P5145" s="15">
        <f t="shared" si="442"/>
        <v>10.853848111249533</v>
      </c>
      <c r="Q5145" s="25">
        <v>10000</v>
      </c>
      <c r="R5145" s="22">
        <v>83</v>
      </c>
      <c r="S5145" s="22" t="s">
        <v>6210</v>
      </c>
      <c r="T5145" s="22">
        <f t="shared" si="443"/>
        <v>7</v>
      </c>
      <c r="U5145" s="22">
        <f t="shared" si="444"/>
        <v>2022</v>
      </c>
      <c r="V5145" s="22" t="str">
        <f t="shared" si="445"/>
        <v>METROPOLITANA</v>
      </c>
    </row>
    <row r="5146" spans="1:22" x14ac:dyDescent="0.2">
      <c r="A5146" s="11" t="s">
        <v>6214</v>
      </c>
      <c r="B5146" s="12" t="s">
        <v>18</v>
      </c>
      <c r="C5146" s="12" t="s">
        <v>270</v>
      </c>
      <c r="D5146" s="12" t="s">
        <v>27</v>
      </c>
      <c r="E5146" s="13" t="s">
        <v>28</v>
      </c>
      <c r="F5146" s="12" t="s">
        <v>120</v>
      </c>
      <c r="G5146" s="14">
        <v>11198.5</v>
      </c>
      <c r="H5146" s="12" t="s">
        <v>22</v>
      </c>
      <c r="I5146" s="12">
        <v>1</v>
      </c>
      <c r="J5146" s="12" t="s">
        <v>120</v>
      </c>
      <c r="K5146" s="12" t="s">
        <v>23</v>
      </c>
      <c r="L5146" s="12">
        <v>5</v>
      </c>
      <c r="M5146" s="15">
        <v>120000</v>
      </c>
      <c r="N5146" s="15">
        <v>0</v>
      </c>
      <c r="O5146" s="15">
        <f t="shared" si="446"/>
        <v>120000</v>
      </c>
      <c r="P5146" s="15">
        <f t="shared" si="442"/>
        <v>10.715720855471716</v>
      </c>
      <c r="Q5146" s="14">
        <v>10000</v>
      </c>
      <c r="R5146" s="12">
        <v>100</v>
      </c>
      <c r="S5146" s="12" t="s">
        <v>6215</v>
      </c>
      <c r="T5146" s="22">
        <f t="shared" si="443"/>
        <v>7</v>
      </c>
      <c r="U5146" s="22">
        <f t="shared" si="444"/>
        <v>2022</v>
      </c>
      <c r="V5146" s="22" t="str">
        <f t="shared" si="445"/>
        <v>METROPOLITANA</v>
      </c>
    </row>
    <row r="5147" spans="1:22" x14ac:dyDescent="0.2">
      <c r="A5147" s="11" t="s">
        <v>6214</v>
      </c>
      <c r="B5147" s="12" t="s">
        <v>18</v>
      </c>
      <c r="C5147" s="12" t="s">
        <v>270</v>
      </c>
      <c r="D5147" s="12" t="s">
        <v>5718</v>
      </c>
      <c r="E5147" s="13" t="s">
        <v>126</v>
      </c>
      <c r="F5147" s="12" t="s">
        <v>120</v>
      </c>
      <c r="G5147" s="14">
        <v>17908.850000000009</v>
      </c>
      <c r="H5147" s="12" t="s">
        <v>24</v>
      </c>
      <c r="I5147" s="12">
        <v>1</v>
      </c>
      <c r="J5147" s="12" t="s">
        <v>120</v>
      </c>
      <c r="K5147" s="12" t="s">
        <v>23</v>
      </c>
      <c r="L5147" s="12">
        <v>5</v>
      </c>
      <c r="M5147" s="15">
        <v>120000</v>
      </c>
      <c r="N5147" s="15">
        <v>0</v>
      </c>
      <c r="O5147" s="15">
        <f t="shared" si="446"/>
        <v>120000</v>
      </c>
      <c r="P5147" s="15">
        <f t="shared" si="442"/>
        <v>6.7005977491575361</v>
      </c>
      <c r="Q5147" s="14">
        <v>10000</v>
      </c>
      <c r="R5147" s="12">
        <v>100</v>
      </c>
      <c r="S5147" s="12" t="s">
        <v>6216</v>
      </c>
      <c r="T5147" s="22">
        <f t="shared" si="443"/>
        <v>7</v>
      </c>
      <c r="U5147" s="22">
        <f t="shared" si="444"/>
        <v>2022</v>
      </c>
      <c r="V5147" s="22" t="str">
        <f t="shared" si="445"/>
        <v>METROPOLITANA</v>
      </c>
    </row>
    <row r="5148" spans="1:22" x14ac:dyDescent="0.2">
      <c r="A5148" s="11" t="s">
        <v>6214</v>
      </c>
      <c r="B5148" s="12" t="s">
        <v>18</v>
      </c>
      <c r="C5148" s="12" t="s">
        <v>5796</v>
      </c>
      <c r="D5148" s="12" t="s">
        <v>38</v>
      </c>
      <c r="E5148" s="13" t="s">
        <v>25</v>
      </c>
      <c r="F5148" s="12" t="s">
        <v>129</v>
      </c>
      <c r="G5148" s="14">
        <v>6609.6000000000013</v>
      </c>
      <c r="H5148" s="12" t="s">
        <v>43</v>
      </c>
      <c r="I5148" s="12">
        <v>0</v>
      </c>
      <c r="J5148" s="12" t="s">
        <v>129</v>
      </c>
      <c r="K5148" s="12" t="s">
        <v>23</v>
      </c>
      <c r="L5148" s="12">
        <v>1</v>
      </c>
      <c r="M5148" s="15">
        <v>72706</v>
      </c>
      <c r="N5148" s="15">
        <v>0</v>
      </c>
      <c r="O5148" s="15">
        <f t="shared" si="446"/>
        <v>72706</v>
      </c>
      <c r="P5148" s="15">
        <f t="shared" si="442"/>
        <v>11.000060518034372</v>
      </c>
      <c r="Q5148" s="14">
        <v>5000</v>
      </c>
      <c r="R5148" s="12">
        <v>100</v>
      </c>
      <c r="S5148" s="12" t="s">
        <v>6217</v>
      </c>
      <c r="T5148" s="22">
        <f t="shared" si="443"/>
        <v>7</v>
      </c>
      <c r="U5148" s="22">
        <f t="shared" si="444"/>
        <v>2022</v>
      </c>
      <c r="V5148" s="22" t="str">
        <f t="shared" si="445"/>
        <v>METROPOLITANA</v>
      </c>
    </row>
    <row r="5149" spans="1:22" x14ac:dyDescent="0.2">
      <c r="A5149" s="11" t="s">
        <v>6214</v>
      </c>
      <c r="B5149" s="12" t="s">
        <v>18</v>
      </c>
      <c r="C5149" s="12" t="s">
        <v>29</v>
      </c>
      <c r="D5149" s="12" t="s">
        <v>6218</v>
      </c>
      <c r="E5149" s="13" t="s">
        <v>6219</v>
      </c>
      <c r="F5149" s="12" t="s">
        <v>39</v>
      </c>
      <c r="G5149" s="14">
        <v>26220.46000000001</v>
      </c>
      <c r="H5149" s="12" t="s">
        <v>24</v>
      </c>
      <c r="I5149" s="12">
        <v>1</v>
      </c>
      <c r="J5149" s="12" t="s">
        <v>39</v>
      </c>
      <c r="K5149" s="12" t="s">
        <v>23</v>
      </c>
      <c r="L5149" s="12">
        <v>1</v>
      </c>
      <c r="M5149" s="15">
        <v>288425</v>
      </c>
      <c r="N5149" s="15">
        <v>0</v>
      </c>
      <c r="O5149" s="15">
        <f t="shared" si="446"/>
        <v>288425</v>
      </c>
      <c r="P5149" s="15">
        <f t="shared" si="442"/>
        <v>10.999997711710622</v>
      </c>
      <c r="Q5149" s="14">
        <v>5000</v>
      </c>
      <c r="R5149" s="12">
        <v>100</v>
      </c>
      <c r="S5149" s="12" t="s">
        <v>6220</v>
      </c>
      <c r="T5149" s="22">
        <f t="shared" si="443"/>
        <v>7</v>
      </c>
      <c r="U5149" s="22">
        <f t="shared" si="444"/>
        <v>2022</v>
      </c>
      <c r="V5149" s="22" t="str">
        <f t="shared" si="445"/>
        <v>METROPOLITANA</v>
      </c>
    </row>
    <row r="5150" spans="1:22" x14ac:dyDescent="0.2">
      <c r="A5150" s="11" t="s">
        <v>6214</v>
      </c>
      <c r="B5150" s="12" t="s">
        <v>18</v>
      </c>
      <c r="C5150" s="12" t="s">
        <v>29</v>
      </c>
      <c r="D5150" s="12" t="s">
        <v>6221</v>
      </c>
      <c r="E5150" s="13" t="s">
        <v>6222</v>
      </c>
      <c r="F5150" s="12" t="s">
        <v>39</v>
      </c>
      <c r="G5150" s="14">
        <v>26220.46000000001</v>
      </c>
      <c r="H5150" s="12" t="s">
        <v>24</v>
      </c>
      <c r="I5150" s="12">
        <v>1</v>
      </c>
      <c r="J5150" s="12" t="s">
        <v>39</v>
      </c>
      <c r="K5150" s="12" t="s">
        <v>23</v>
      </c>
      <c r="L5150" s="12">
        <v>1</v>
      </c>
      <c r="M5150" s="15">
        <v>288425</v>
      </c>
      <c r="N5150" s="15">
        <v>0</v>
      </c>
      <c r="O5150" s="15">
        <f t="shared" si="446"/>
        <v>288425</v>
      </c>
      <c r="P5150" s="15">
        <f t="shared" si="442"/>
        <v>10.999997711710622</v>
      </c>
      <c r="Q5150" s="14">
        <v>5000</v>
      </c>
      <c r="R5150" s="12">
        <v>100</v>
      </c>
      <c r="S5150" s="12" t="s">
        <v>6223</v>
      </c>
      <c r="T5150" s="22">
        <f t="shared" si="443"/>
        <v>7</v>
      </c>
      <c r="U5150" s="22">
        <f t="shared" si="444"/>
        <v>2022</v>
      </c>
      <c r="V5150" s="22" t="str">
        <f t="shared" si="445"/>
        <v>METROPOLITANA</v>
      </c>
    </row>
    <row r="5151" spans="1:22" x14ac:dyDescent="0.2">
      <c r="A5151" s="11" t="s">
        <v>6214</v>
      </c>
      <c r="B5151" s="12" t="s">
        <v>33</v>
      </c>
      <c r="C5151" s="12" t="s">
        <v>128</v>
      </c>
      <c r="D5151" s="12" t="s">
        <v>786</v>
      </c>
      <c r="E5151" s="13" t="s">
        <v>787</v>
      </c>
      <c r="F5151" s="12" t="s">
        <v>34</v>
      </c>
      <c r="G5151" s="14">
        <v>8856.0099999999984</v>
      </c>
      <c r="H5151" s="12" t="s">
        <v>788</v>
      </c>
      <c r="I5151" s="12">
        <v>1</v>
      </c>
      <c r="J5151" s="12" t="s">
        <v>34</v>
      </c>
      <c r="K5151" s="12" t="s">
        <v>23</v>
      </c>
      <c r="L5151" s="12">
        <v>1</v>
      </c>
      <c r="M5151" s="15">
        <v>97416</v>
      </c>
      <c r="N5151" s="15">
        <v>0</v>
      </c>
      <c r="O5151" s="15">
        <f t="shared" si="446"/>
        <v>97416</v>
      </c>
      <c r="P5151" s="15">
        <f t="shared" si="442"/>
        <v>10.999987579056485</v>
      </c>
      <c r="Q5151" s="14">
        <v>5000</v>
      </c>
      <c r="R5151" s="12">
        <v>100</v>
      </c>
      <c r="S5151" s="12" t="s">
        <v>6224</v>
      </c>
      <c r="T5151" s="22">
        <f t="shared" si="443"/>
        <v>7</v>
      </c>
      <c r="U5151" s="22">
        <f t="shared" si="444"/>
        <v>2022</v>
      </c>
      <c r="V5151" s="22" t="str">
        <f t="shared" si="445"/>
        <v>METROPOLITANA</v>
      </c>
    </row>
    <row r="5152" spans="1:22" x14ac:dyDescent="0.2">
      <c r="A5152" s="11" t="s">
        <v>6214</v>
      </c>
      <c r="B5152" s="12" t="s">
        <v>33</v>
      </c>
      <c r="C5152" s="12" t="s">
        <v>128</v>
      </c>
      <c r="D5152" s="12" t="s">
        <v>2955</v>
      </c>
      <c r="E5152" s="13" t="s">
        <v>2956</v>
      </c>
      <c r="F5152" s="12" t="s">
        <v>34</v>
      </c>
      <c r="G5152" s="14">
        <v>7925.64</v>
      </c>
      <c r="H5152" s="12" t="s">
        <v>24</v>
      </c>
      <c r="I5152" s="12">
        <v>1</v>
      </c>
      <c r="J5152" s="12" t="s">
        <v>34</v>
      </c>
      <c r="K5152" s="12" t="s">
        <v>23</v>
      </c>
      <c r="L5152" s="12">
        <v>1</v>
      </c>
      <c r="M5152" s="15">
        <v>87182</v>
      </c>
      <c r="N5152" s="15">
        <v>0</v>
      </c>
      <c r="O5152" s="15">
        <f t="shared" si="446"/>
        <v>87182</v>
      </c>
      <c r="P5152" s="15">
        <f t="shared" si="442"/>
        <v>10.999994953088962</v>
      </c>
      <c r="Q5152" s="14">
        <v>5000</v>
      </c>
      <c r="R5152" s="12">
        <v>100</v>
      </c>
      <c r="S5152" s="12" t="s">
        <v>6225</v>
      </c>
      <c r="T5152" s="22">
        <f t="shared" si="443"/>
        <v>7</v>
      </c>
      <c r="U5152" s="22">
        <f t="shared" si="444"/>
        <v>2022</v>
      </c>
      <c r="V5152" s="22" t="str">
        <f t="shared" si="445"/>
        <v>METROPOLITANA</v>
      </c>
    </row>
    <row r="5153" spans="1:22" x14ac:dyDescent="0.2">
      <c r="A5153" s="11" t="s">
        <v>6214</v>
      </c>
      <c r="B5153" s="12" t="s">
        <v>33</v>
      </c>
      <c r="C5153" s="12" t="s">
        <v>36</v>
      </c>
      <c r="D5153" s="12" t="s">
        <v>45</v>
      </c>
      <c r="E5153" s="13" t="s">
        <v>21</v>
      </c>
      <c r="F5153" s="12" t="s">
        <v>67</v>
      </c>
      <c r="G5153" s="14">
        <v>1898.4</v>
      </c>
      <c r="H5153" s="12" t="s">
        <v>22</v>
      </c>
      <c r="I5153" s="12">
        <v>0</v>
      </c>
      <c r="J5153" s="12" t="s">
        <v>67</v>
      </c>
      <c r="K5153" s="12" t="s">
        <v>23</v>
      </c>
      <c r="L5153" s="12">
        <v>2</v>
      </c>
      <c r="M5153" s="15">
        <v>55000</v>
      </c>
      <c r="N5153" s="15">
        <v>0</v>
      </c>
      <c r="O5153" s="15">
        <f t="shared" si="446"/>
        <v>55000</v>
      </c>
      <c r="P5153" s="15">
        <f t="shared" ref="P5153:P5216" si="447">O5153/G5153</f>
        <v>28.971765697429412</v>
      </c>
      <c r="Q5153" s="14">
        <v>5000</v>
      </c>
      <c r="R5153" s="12">
        <v>38</v>
      </c>
      <c r="S5153" s="12" t="s">
        <v>6226</v>
      </c>
      <c r="T5153" s="22">
        <f t="shared" si="443"/>
        <v>7</v>
      </c>
      <c r="U5153" s="22">
        <f t="shared" si="444"/>
        <v>2022</v>
      </c>
      <c r="V5153" s="22" t="str">
        <f t="shared" si="445"/>
        <v>METROPOLITANA</v>
      </c>
    </row>
    <row r="5154" spans="1:22" x14ac:dyDescent="0.2">
      <c r="A5154" s="11" t="s">
        <v>6214</v>
      </c>
      <c r="B5154" s="12" t="s">
        <v>33</v>
      </c>
      <c r="C5154" s="12" t="s">
        <v>29</v>
      </c>
      <c r="D5154" s="12" t="s">
        <v>2955</v>
      </c>
      <c r="E5154" s="13" t="s">
        <v>2956</v>
      </c>
      <c r="F5154" s="12" t="s">
        <v>173</v>
      </c>
      <c r="G5154" s="14">
        <v>19510.400000000001</v>
      </c>
      <c r="H5154" s="12" t="s">
        <v>24</v>
      </c>
      <c r="I5154" s="12">
        <v>1</v>
      </c>
      <c r="J5154" s="12" t="s">
        <v>173</v>
      </c>
      <c r="K5154" s="12" t="s">
        <v>23</v>
      </c>
      <c r="L5154" s="12">
        <v>5</v>
      </c>
      <c r="M5154" s="15">
        <v>120000</v>
      </c>
      <c r="N5154" s="15">
        <v>0</v>
      </c>
      <c r="O5154" s="15">
        <f t="shared" si="446"/>
        <v>120000</v>
      </c>
      <c r="P5154" s="15">
        <f t="shared" si="447"/>
        <v>6.1505658520583886</v>
      </c>
      <c r="Q5154" s="14">
        <v>10000</v>
      </c>
      <c r="R5154" s="12">
        <v>100</v>
      </c>
      <c r="S5154" s="12" t="s">
        <v>6227</v>
      </c>
      <c r="T5154" s="22">
        <f t="shared" si="443"/>
        <v>7</v>
      </c>
      <c r="U5154" s="22">
        <f t="shared" si="444"/>
        <v>2022</v>
      </c>
      <c r="V5154" s="22" t="str">
        <f t="shared" si="445"/>
        <v>METROPOLITANA</v>
      </c>
    </row>
    <row r="5155" spans="1:22" x14ac:dyDescent="0.2">
      <c r="A5155" s="11" t="s">
        <v>6214</v>
      </c>
      <c r="B5155" s="12" t="s">
        <v>33</v>
      </c>
      <c r="C5155" s="12" t="s">
        <v>29</v>
      </c>
      <c r="D5155" s="12" t="s">
        <v>164</v>
      </c>
      <c r="E5155" s="13" t="s">
        <v>1576</v>
      </c>
      <c r="F5155" s="12" t="s">
        <v>39</v>
      </c>
      <c r="G5155" s="14">
        <v>10099.6</v>
      </c>
      <c r="H5155" s="12" t="s">
        <v>22</v>
      </c>
      <c r="I5155" s="12">
        <v>1</v>
      </c>
      <c r="J5155" s="12" t="s">
        <v>39</v>
      </c>
      <c r="K5155" s="12" t="s">
        <v>23</v>
      </c>
      <c r="L5155" s="12">
        <v>1</v>
      </c>
      <c r="M5155" s="15">
        <v>111096</v>
      </c>
      <c r="N5155" s="15">
        <v>0</v>
      </c>
      <c r="O5155" s="15">
        <f t="shared" si="446"/>
        <v>111096</v>
      </c>
      <c r="P5155" s="15">
        <f t="shared" si="447"/>
        <v>11.000039605528931</v>
      </c>
      <c r="Q5155" s="14">
        <v>5000</v>
      </c>
      <c r="R5155" s="12">
        <v>100</v>
      </c>
      <c r="S5155" s="12" t="s">
        <v>6228</v>
      </c>
      <c r="T5155" s="22">
        <f t="shared" si="443"/>
        <v>7</v>
      </c>
      <c r="U5155" s="22">
        <f t="shared" si="444"/>
        <v>2022</v>
      </c>
      <c r="V5155" s="22" t="str">
        <f t="shared" si="445"/>
        <v>METROPOLITANA</v>
      </c>
    </row>
    <row r="5156" spans="1:22" x14ac:dyDescent="0.2">
      <c r="A5156" s="11" t="s">
        <v>6214</v>
      </c>
      <c r="B5156" s="12" t="s">
        <v>33</v>
      </c>
      <c r="C5156" s="12" t="s">
        <v>29</v>
      </c>
      <c r="D5156" s="12" t="s">
        <v>20</v>
      </c>
      <c r="E5156" s="13" t="s">
        <v>21</v>
      </c>
      <c r="F5156" s="12" t="s">
        <v>129</v>
      </c>
      <c r="G5156" s="14">
        <v>7503.9999999999973</v>
      </c>
      <c r="H5156" s="12" t="s">
        <v>22</v>
      </c>
      <c r="I5156" s="12">
        <v>0</v>
      </c>
      <c r="J5156" s="12" t="s">
        <v>129</v>
      </c>
      <c r="K5156" s="12" t="s">
        <v>23</v>
      </c>
      <c r="L5156" s="12">
        <v>1</v>
      </c>
      <c r="M5156" s="15">
        <v>82544</v>
      </c>
      <c r="N5156" s="15">
        <v>0</v>
      </c>
      <c r="O5156" s="15">
        <f t="shared" si="446"/>
        <v>82544</v>
      </c>
      <c r="P5156" s="15">
        <f t="shared" si="447"/>
        <v>11.000000000000004</v>
      </c>
      <c r="Q5156" s="14">
        <v>5000</v>
      </c>
      <c r="R5156" s="12">
        <v>100</v>
      </c>
      <c r="S5156" s="12" t="s">
        <v>6229</v>
      </c>
      <c r="T5156" s="22">
        <f t="shared" si="443"/>
        <v>7</v>
      </c>
      <c r="U5156" s="22">
        <f t="shared" si="444"/>
        <v>2022</v>
      </c>
      <c r="V5156" s="22" t="str">
        <f t="shared" si="445"/>
        <v>METROPOLITANA</v>
      </c>
    </row>
    <row r="5157" spans="1:22" x14ac:dyDescent="0.2">
      <c r="A5157" s="11" t="s">
        <v>6214</v>
      </c>
      <c r="B5157" s="12" t="s">
        <v>33</v>
      </c>
      <c r="C5157" s="12" t="s">
        <v>44</v>
      </c>
      <c r="D5157" s="12" t="s">
        <v>37</v>
      </c>
      <c r="E5157" s="13" t="s">
        <v>40</v>
      </c>
      <c r="F5157" s="12" t="s">
        <v>48</v>
      </c>
      <c r="G5157" s="14">
        <v>12052.5</v>
      </c>
      <c r="H5157" s="12" t="s">
        <v>22</v>
      </c>
      <c r="I5157" s="12">
        <v>0</v>
      </c>
      <c r="J5157" s="12" t="s">
        <v>48</v>
      </c>
      <c r="K5157" s="12" t="s">
        <v>23</v>
      </c>
      <c r="L5157" s="12">
        <v>1</v>
      </c>
      <c r="M5157" s="15">
        <v>132578</v>
      </c>
      <c r="N5157" s="15">
        <v>0</v>
      </c>
      <c r="O5157" s="15">
        <f t="shared" si="446"/>
        <v>132578</v>
      </c>
      <c r="P5157" s="15">
        <f t="shared" si="447"/>
        <v>11.000041485169053</v>
      </c>
      <c r="Q5157" s="14">
        <v>5000</v>
      </c>
      <c r="R5157" s="12">
        <v>100</v>
      </c>
      <c r="S5157" s="12" t="s">
        <v>6230</v>
      </c>
      <c r="T5157" s="22">
        <f t="shared" si="443"/>
        <v>7</v>
      </c>
      <c r="U5157" s="22">
        <f t="shared" si="444"/>
        <v>2022</v>
      </c>
      <c r="V5157" s="22" t="str">
        <f t="shared" si="445"/>
        <v>METROPOLITANA</v>
      </c>
    </row>
    <row r="5158" spans="1:22" x14ac:dyDescent="0.2">
      <c r="A5158" s="11" t="s">
        <v>6214</v>
      </c>
      <c r="B5158" s="12" t="s">
        <v>33</v>
      </c>
      <c r="C5158" s="12" t="s">
        <v>44</v>
      </c>
      <c r="D5158" s="12" t="s">
        <v>47</v>
      </c>
      <c r="E5158" s="13" t="s">
        <v>49</v>
      </c>
      <c r="F5158" s="12" t="s">
        <v>46</v>
      </c>
      <c r="G5158" s="14">
        <v>2251.1999999999998</v>
      </c>
      <c r="H5158" s="12" t="s">
        <v>22</v>
      </c>
      <c r="I5158" s="12">
        <v>0</v>
      </c>
      <c r="J5158" s="12" t="s">
        <v>46</v>
      </c>
      <c r="K5158" s="12" t="s">
        <v>23</v>
      </c>
      <c r="L5158" s="12">
        <v>2</v>
      </c>
      <c r="M5158" s="15">
        <v>55000</v>
      </c>
      <c r="N5158" s="15">
        <v>0</v>
      </c>
      <c r="O5158" s="15">
        <f t="shared" si="446"/>
        <v>55000</v>
      </c>
      <c r="P5158" s="15">
        <f t="shared" si="447"/>
        <v>24.431414356787492</v>
      </c>
      <c r="Q5158" s="14">
        <v>5000</v>
      </c>
      <c r="R5158" s="12">
        <v>45</v>
      </c>
      <c r="S5158" s="12" t="s">
        <v>6231</v>
      </c>
      <c r="T5158" s="22">
        <f t="shared" si="443"/>
        <v>7</v>
      </c>
      <c r="U5158" s="22">
        <f t="shared" si="444"/>
        <v>2022</v>
      </c>
      <c r="V5158" s="22" t="str">
        <f t="shared" si="445"/>
        <v>METROPOLITANA</v>
      </c>
    </row>
    <row r="5159" spans="1:22" x14ac:dyDescent="0.2">
      <c r="A5159" s="23" t="s">
        <v>6232</v>
      </c>
      <c r="B5159" s="22" t="s">
        <v>18</v>
      </c>
      <c r="C5159" s="22" t="s">
        <v>5796</v>
      </c>
      <c r="D5159" s="22" t="s">
        <v>38</v>
      </c>
      <c r="E5159" s="24">
        <v>125108660</v>
      </c>
      <c r="F5159" s="22" t="s">
        <v>129</v>
      </c>
      <c r="G5159" s="25">
        <v>6609.6000000000013</v>
      </c>
      <c r="H5159" s="22" t="s">
        <v>43</v>
      </c>
      <c r="I5159" s="22">
        <v>0</v>
      </c>
      <c r="J5159" s="22" t="s">
        <v>129</v>
      </c>
      <c r="K5159" s="22" t="s">
        <v>23</v>
      </c>
      <c r="L5159" s="22">
        <v>1</v>
      </c>
      <c r="M5159" s="26">
        <v>72706</v>
      </c>
      <c r="N5159" s="26">
        <v>0</v>
      </c>
      <c r="O5159" s="15">
        <f t="shared" si="446"/>
        <v>72706</v>
      </c>
      <c r="P5159" s="15">
        <f t="shared" si="447"/>
        <v>11.000060518034372</v>
      </c>
      <c r="Q5159" s="25">
        <v>5000</v>
      </c>
      <c r="R5159" s="22">
        <v>100</v>
      </c>
      <c r="S5159" s="22" t="s">
        <v>6233</v>
      </c>
      <c r="T5159" s="22">
        <f t="shared" si="443"/>
        <v>8</v>
      </c>
      <c r="U5159" s="22">
        <f t="shared" si="444"/>
        <v>2022</v>
      </c>
      <c r="V5159" s="22" t="str">
        <f t="shared" si="445"/>
        <v>METROPOLITANA</v>
      </c>
    </row>
    <row r="5160" spans="1:22" x14ac:dyDescent="0.2">
      <c r="A5160" s="23" t="s">
        <v>6232</v>
      </c>
      <c r="B5160" s="22" t="s">
        <v>18</v>
      </c>
      <c r="C5160" s="22" t="s">
        <v>5571</v>
      </c>
      <c r="D5160" s="22" t="s">
        <v>164</v>
      </c>
      <c r="E5160" s="24">
        <v>81417709</v>
      </c>
      <c r="F5160" s="22" t="s">
        <v>170</v>
      </c>
      <c r="G5160" s="25">
        <v>19760.64000000001</v>
      </c>
      <c r="H5160" s="22" t="s">
        <v>22</v>
      </c>
      <c r="I5160" s="22">
        <v>1</v>
      </c>
      <c r="J5160" s="22" t="s">
        <v>170</v>
      </c>
      <c r="K5160" s="22" t="s">
        <v>171</v>
      </c>
      <c r="L5160" s="22">
        <v>0</v>
      </c>
      <c r="M5160" s="26">
        <v>250000</v>
      </c>
      <c r="N5160" s="26">
        <v>0</v>
      </c>
      <c r="O5160" s="15">
        <f t="shared" si="446"/>
        <v>250000</v>
      </c>
      <c r="P5160" s="15">
        <f t="shared" si="447"/>
        <v>12.651412100012948</v>
      </c>
      <c r="Q5160" s="25">
        <v>20000</v>
      </c>
      <c r="R5160" s="22">
        <v>99</v>
      </c>
      <c r="S5160" s="22" t="s">
        <v>6234</v>
      </c>
      <c r="T5160" s="22">
        <f t="shared" si="443"/>
        <v>8</v>
      </c>
      <c r="U5160" s="22">
        <f t="shared" si="444"/>
        <v>2022</v>
      </c>
      <c r="V5160" s="22" t="str">
        <f t="shared" si="445"/>
        <v>REGIONES</v>
      </c>
    </row>
    <row r="5161" spans="1:22" x14ac:dyDescent="0.2">
      <c r="A5161" s="23" t="s">
        <v>6232</v>
      </c>
      <c r="B5161" s="22" t="s">
        <v>33</v>
      </c>
      <c r="C5161" s="22" t="s">
        <v>29</v>
      </c>
      <c r="D5161" s="22" t="s">
        <v>47</v>
      </c>
      <c r="E5161" s="24">
        <v>107643206</v>
      </c>
      <c r="F5161" s="22" t="s">
        <v>5869</v>
      </c>
      <c r="G5161" s="25">
        <v>9379.9999999999982</v>
      </c>
      <c r="H5161" s="22" t="s">
        <v>22</v>
      </c>
      <c r="I5161" s="22">
        <v>0</v>
      </c>
      <c r="J5161" s="22" t="s">
        <v>5869</v>
      </c>
      <c r="K5161" s="22" t="s">
        <v>78</v>
      </c>
      <c r="L5161" s="22">
        <v>0</v>
      </c>
      <c r="M5161" s="26">
        <v>250000</v>
      </c>
      <c r="N5161" s="26">
        <v>0</v>
      </c>
      <c r="O5161" s="15">
        <f t="shared" si="446"/>
        <v>250000</v>
      </c>
      <c r="P5161" s="15">
        <f t="shared" si="447"/>
        <v>26.65245202558636</v>
      </c>
      <c r="Q5161" s="25">
        <v>20000</v>
      </c>
      <c r="R5161" s="22">
        <v>47</v>
      </c>
      <c r="S5161" s="22" t="s">
        <v>6235</v>
      </c>
      <c r="T5161" s="22">
        <f t="shared" si="443"/>
        <v>8</v>
      </c>
      <c r="U5161" s="22">
        <f t="shared" si="444"/>
        <v>2022</v>
      </c>
      <c r="V5161" s="22" t="str">
        <f t="shared" si="445"/>
        <v>REGIONES</v>
      </c>
    </row>
    <row r="5162" spans="1:22" x14ac:dyDescent="0.2">
      <c r="A5162" s="11" t="s">
        <v>6236</v>
      </c>
      <c r="B5162" s="12" t="s">
        <v>18</v>
      </c>
      <c r="C5162" s="12" t="s">
        <v>500</v>
      </c>
      <c r="D5162" s="12" t="s">
        <v>37</v>
      </c>
      <c r="E5162" s="13" t="s">
        <v>40</v>
      </c>
      <c r="F5162" s="12" t="s">
        <v>727</v>
      </c>
      <c r="G5162" s="14">
        <v>11049.64</v>
      </c>
      <c r="H5162" s="12" t="s">
        <v>22</v>
      </c>
      <c r="I5162" s="12">
        <v>0</v>
      </c>
      <c r="J5162" s="12" t="s">
        <v>727</v>
      </c>
      <c r="K5162" s="12" t="s">
        <v>23</v>
      </c>
      <c r="L5162" s="12">
        <v>2</v>
      </c>
      <c r="M5162" s="15">
        <v>121546</v>
      </c>
      <c r="N5162" s="15">
        <v>0</v>
      </c>
      <c r="O5162" s="15">
        <f t="shared" si="446"/>
        <v>121546</v>
      </c>
      <c r="P5162" s="15">
        <f t="shared" si="447"/>
        <v>10.999996379972561</v>
      </c>
      <c r="Q5162" s="14">
        <v>5000</v>
      </c>
      <c r="R5162" s="12">
        <v>100</v>
      </c>
      <c r="S5162" s="12" t="s">
        <v>6237</v>
      </c>
      <c r="T5162" s="22">
        <f t="shared" si="443"/>
        <v>8</v>
      </c>
      <c r="U5162" s="22">
        <f t="shared" si="444"/>
        <v>2022</v>
      </c>
      <c r="V5162" s="22" t="str">
        <f t="shared" si="445"/>
        <v>METROPOLITANA</v>
      </c>
    </row>
    <row r="5163" spans="1:22" x14ac:dyDescent="0.2">
      <c r="A5163" s="11" t="s">
        <v>6236</v>
      </c>
      <c r="B5163" s="12" t="s">
        <v>18</v>
      </c>
      <c r="C5163" s="12" t="s">
        <v>500</v>
      </c>
      <c r="D5163" s="12" t="s">
        <v>30</v>
      </c>
      <c r="E5163" s="13" t="s">
        <v>31</v>
      </c>
      <c r="F5163" s="12" t="s">
        <v>727</v>
      </c>
      <c r="G5163" s="14">
        <v>8763.0600000000013</v>
      </c>
      <c r="H5163" s="12" t="s">
        <v>32</v>
      </c>
      <c r="I5163" s="12">
        <v>0</v>
      </c>
      <c r="J5163" s="12" t="s">
        <v>727</v>
      </c>
      <c r="K5163" s="12" t="s">
        <v>23</v>
      </c>
      <c r="L5163" s="12">
        <v>2</v>
      </c>
      <c r="M5163" s="15">
        <v>96394</v>
      </c>
      <c r="N5163" s="15">
        <v>0</v>
      </c>
      <c r="O5163" s="15">
        <f t="shared" si="446"/>
        <v>96394</v>
      </c>
      <c r="P5163" s="15">
        <f t="shared" si="447"/>
        <v>11.000038799232231</v>
      </c>
      <c r="Q5163" s="14">
        <v>5000</v>
      </c>
      <c r="R5163" s="12">
        <v>100</v>
      </c>
      <c r="S5163" s="12" t="s">
        <v>6238</v>
      </c>
      <c r="T5163" s="22">
        <f t="shared" si="443"/>
        <v>8</v>
      </c>
      <c r="U5163" s="22">
        <f t="shared" si="444"/>
        <v>2022</v>
      </c>
      <c r="V5163" s="22" t="str">
        <f t="shared" si="445"/>
        <v>METROPOLITANA</v>
      </c>
    </row>
    <row r="5164" spans="1:22" x14ac:dyDescent="0.2">
      <c r="A5164" s="11" t="s">
        <v>6236</v>
      </c>
      <c r="B5164" s="12" t="s">
        <v>18</v>
      </c>
      <c r="C5164" s="12" t="s">
        <v>5796</v>
      </c>
      <c r="D5164" s="12" t="s">
        <v>38</v>
      </c>
      <c r="E5164" s="13" t="s">
        <v>25</v>
      </c>
      <c r="F5164" s="12" t="s">
        <v>129</v>
      </c>
      <c r="G5164" s="14">
        <v>8364</v>
      </c>
      <c r="H5164" s="12" t="s">
        <v>43</v>
      </c>
      <c r="I5164" s="12">
        <v>0</v>
      </c>
      <c r="J5164" s="12" t="s">
        <v>129</v>
      </c>
      <c r="K5164" s="12" t="s">
        <v>23</v>
      </c>
      <c r="L5164" s="12">
        <v>1</v>
      </c>
      <c r="M5164" s="15">
        <v>92004</v>
      </c>
      <c r="N5164" s="15">
        <v>0</v>
      </c>
      <c r="O5164" s="15">
        <f t="shared" si="446"/>
        <v>92004</v>
      </c>
      <c r="P5164" s="15">
        <f t="shared" si="447"/>
        <v>11</v>
      </c>
      <c r="Q5164" s="14">
        <v>5000</v>
      </c>
      <c r="R5164" s="12">
        <v>100</v>
      </c>
      <c r="S5164" s="12" t="s">
        <v>6239</v>
      </c>
      <c r="T5164" s="22">
        <f t="shared" si="443"/>
        <v>8</v>
      </c>
      <c r="U5164" s="22">
        <f t="shared" si="444"/>
        <v>2022</v>
      </c>
      <c r="V5164" s="22" t="str">
        <f t="shared" si="445"/>
        <v>METROPOLITANA</v>
      </c>
    </row>
    <row r="5165" spans="1:22" x14ac:dyDescent="0.2">
      <c r="A5165" s="11" t="s">
        <v>6236</v>
      </c>
      <c r="B5165" s="12" t="s">
        <v>18</v>
      </c>
      <c r="C5165" s="12" t="s">
        <v>5571</v>
      </c>
      <c r="D5165" s="12" t="s">
        <v>164</v>
      </c>
      <c r="E5165" s="13" t="s">
        <v>28</v>
      </c>
      <c r="F5165" s="12" t="s">
        <v>170</v>
      </c>
      <c r="G5165" s="14">
        <v>14845.2</v>
      </c>
      <c r="H5165" s="12" t="s">
        <v>22</v>
      </c>
      <c r="I5165" s="12">
        <v>1</v>
      </c>
      <c r="J5165" s="12" t="s">
        <v>170</v>
      </c>
      <c r="K5165" s="12" t="s">
        <v>171</v>
      </c>
      <c r="L5165" s="12">
        <v>0</v>
      </c>
      <c r="M5165" s="15">
        <v>250000</v>
      </c>
      <c r="N5165" s="15">
        <v>0</v>
      </c>
      <c r="O5165" s="15">
        <f t="shared" si="446"/>
        <v>250000</v>
      </c>
      <c r="P5165" s="15">
        <f t="shared" si="447"/>
        <v>16.840460216096783</v>
      </c>
      <c r="Q5165" s="14">
        <v>20000</v>
      </c>
      <c r="R5165" s="12">
        <v>74</v>
      </c>
      <c r="S5165" s="12" t="s">
        <v>6240</v>
      </c>
      <c r="T5165" s="22">
        <f t="shared" si="443"/>
        <v>8</v>
      </c>
      <c r="U5165" s="22">
        <f t="shared" si="444"/>
        <v>2022</v>
      </c>
      <c r="V5165" s="22" t="str">
        <f t="shared" si="445"/>
        <v>REGIONES</v>
      </c>
    </row>
    <row r="5166" spans="1:22" x14ac:dyDescent="0.2">
      <c r="A5166" s="11" t="s">
        <v>6236</v>
      </c>
      <c r="B5166" s="12" t="s">
        <v>33</v>
      </c>
      <c r="C5166" s="12" t="s">
        <v>3961</v>
      </c>
      <c r="D5166" s="12" t="s">
        <v>786</v>
      </c>
      <c r="E5166" s="13" t="s">
        <v>1891</v>
      </c>
      <c r="F5166" s="12" t="s">
        <v>1783</v>
      </c>
      <c r="G5166" s="14">
        <v>23994.600000000009</v>
      </c>
      <c r="H5166" s="12" t="s">
        <v>788</v>
      </c>
      <c r="I5166" s="12">
        <v>1</v>
      </c>
      <c r="J5166" s="12" t="s">
        <v>1784</v>
      </c>
      <c r="K5166" s="12" t="s">
        <v>23</v>
      </c>
      <c r="L5166" s="12">
        <v>5</v>
      </c>
      <c r="M5166" s="15">
        <v>120000</v>
      </c>
      <c r="N5166" s="15">
        <v>0</v>
      </c>
      <c r="O5166" s="15">
        <f t="shared" si="446"/>
        <v>120000</v>
      </c>
      <c r="P5166" s="15">
        <f t="shared" si="447"/>
        <v>5.0011252531819643</v>
      </c>
      <c r="Q5166" s="14">
        <v>10000</v>
      </c>
      <c r="R5166" s="12">
        <v>100</v>
      </c>
      <c r="S5166" s="12" t="s">
        <v>6241</v>
      </c>
      <c r="T5166" s="22">
        <f t="shared" si="443"/>
        <v>8</v>
      </c>
      <c r="U5166" s="22">
        <f t="shared" si="444"/>
        <v>2022</v>
      </c>
      <c r="V5166" s="22" t="str">
        <f t="shared" si="445"/>
        <v>METROPOLITANA</v>
      </c>
    </row>
    <row r="5167" spans="1:22" x14ac:dyDescent="0.2">
      <c r="A5167" s="23" t="s">
        <v>6242</v>
      </c>
      <c r="B5167" s="22" t="s">
        <v>18</v>
      </c>
      <c r="C5167" s="22" t="s">
        <v>128</v>
      </c>
      <c r="D5167" s="22" t="s">
        <v>37</v>
      </c>
      <c r="E5167" s="24" t="s">
        <v>40</v>
      </c>
      <c r="F5167" s="22" t="s">
        <v>3199</v>
      </c>
      <c r="G5167" s="25">
        <f>8440.65+11713</f>
        <v>20153.650000000001</v>
      </c>
      <c r="H5167" s="22" t="s">
        <v>22</v>
      </c>
      <c r="I5167" s="22">
        <v>0</v>
      </c>
      <c r="J5167" s="22" t="s">
        <v>3199</v>
      </c>
      <c r="K5167" s="22" t="s">
        <v>408</v>
      </c>
      <c r="L5167" s="22">
        <v>0</v>
      </c>
      <c r="M5167" s="26">
        <v>400000</v>
      </c>
      <c r="N5167" s="26">
        <v>0</v>
      </c>
      <c r="O5167" s="15">
        <f t="shared" si="446"/>
        <v>400000</v>
      </c>
      <c r="P5167" s="15">
        <f t="shared" si="447"/>
        <v>19.847521416716077</v>
      </c>
      <c r="Q5167" s="25">
        <v>20000</v>
      </c>
      <c r="R5167" s="22">
        <v>88</v>
      </c>
      <c r="S5167" s="22" t="s">
        <v>6243</v>
      </c>
      <c r="T5167" s="22">
        <f t="shared" si="443"/>
        <v>8</v>
      </c>
      <c r="U5167" s="22">
        <f t="shared" si="444"/>
        <v>2022</v>
      </c>
      <c r="V5167" s="22" t="str">
        <f t="shared" si="445"/>
        <v>REGIONES</v>
      </c>
    </row>
    <row r="5168" spans="1:22" x14ac:dyDescent="0.2">
      <c r="A5168" s="23" t="s">
        <v>6242</v>
      </c>
      <c r="B5168" s="22" t="s">
        <v>33</v>
      </c>
      <c r="C5168" s="22" t="s">
        <v>29</v>
      </c>
      <c r="D5168" s="22" t="s">
        <v>47</v>
      </c>
      <c r="E5168" s="24" t="s">
        <v>49</v>
      </c>
      <c r="F5168" s="22" t="s">
        <v>134</v>
      </c>
      <c r="G5168" s="25">
        <v>4764.1599999999989</v>
      </c>
      <c r="H5168" s="22" t="s">
        <v>22</v>
      </c>
      <c r="I5168" s="22">
        <v>0</v>
      </c>
      <c r="J5168" s="22" t="s">
        <v>134</v>
      </c>
      <c r="K5168" s="22" t="s">
        <v>23</v>
      </c>
      <c r="L5168" s="22">
        <v>2</v>
      </c>
      <c r="M5168" s="26">
        <v>55000</v>
      </c>
      <c r="N5168" s="26">
        <v>0</v>
      </c>
      <c r="O5168" s="15">
        <f t="shared" si="446"/>
        <v>55000</v>
      </c>
      <c r="P5168" s="15">
        <f t="shared" si="447"/>
        <v>11.544532509403549</v>
      </c>
      <c r="Q5168" s="25">
        <v>5000</v>
      </c>
      <c r="R5168" s="22">
        <v>95</v>
      </c>
      <c r="S5168" s="22" t="s">
        <v>6244</v>
      </c>
      <c r="T5168" s="22">
        <f t="shared" si="443"/>
        <v>8</v>
      </c>
      <c r="U5168" s="22">
        <f t="shared" si="444"/>
        <v>2022</v>
      </c>
      <c r="V5168" s="22" t="str">
        <f t="shared" si="445"/>
        <v>METROPOLITANA</v>
      </c>
    </row>
    <row r="5169" spans="1:22" x14ac:dyDescent="0.2">
      <c r="A5169" s="23" t="s">
        <v>6242</v>
      </c>
      <c r="B5169" s="22" t="s">
        <v>33</v>
      </c>
      <c r="C5169" s="22" t="s">
        <v>44</v>
      </c>
      <c r="D5169" s="22" t="s">
        <v>45</v>
      </c>
      <c r="E5169" s="24" t="s">
        <v>21</v>
      </c>
      <c r="F5169" s="22" t="s">
        <v>138</v>
      </c>
      <c r="G5169" s="25">
        <v>3097.5</v>
      </c>
      <c r="H5169" s="22" t="s">
        <v>22</v>
      </c>
      <c r="I5169" s="22">
        <v>0</v>
      </c>
      <c r="J5169" s="22" t="s">
        <v>138</v>
      </c>
      <c r="K5169" s="22" t="s">
        <v>23</v>
      </c>
      <c r="L5169" s="22">
        <v>3</v>
      </c>
      <c r="M5169" s="26">
        <v>55000</v>
      </c>
      <c r="N5169" s="26">
        <v>0</v>
      </c>
      <c r="O5169" s="15">
        <f t="shared" si="446"/>
        <v>55000</v>
      </c>
      <c r="P5169" s="15">
        <f t="shared" si="447"/>
        <v>17.756255044390638</v>
      </c>
      <c r="Q5169" s="25">
        <v>5000</v>
      </c>
      <c r="R5169" s="22">
        <v>62</v>
      </c>
      <c r="S5169" s="22" t="s">
        <v>6245</v>
      </c>
      <c r="T5169" s="22">
        <f t="shared" si="443"/>
        <v>8</v>
      </c>
      <c r="U5169" s="22">
        <f t="shared" si="444"/>
        <v>2022</v>
      </c>
      <c r="V5169" s="22" t="str">
        <f t="shared" si="445"/>
        <v>METROPOLITANA</v>
      </c>
    </row>
    <row r="5170" spans="1:22" x14ac:dyDescent="0.2">
      <c r="A5170" s="11" t="s">
        <v>6246</v>
      </c>
      <c r="B5170" s="12" t="s">
        <v>18</v>
      </c>
      <c r="C5170" s="12" t="s">
        <v>1997</v>
      </c>
      <c r="D5170" s="12" t="s">
        <v>30</v>
      </c>
      <c r="E5170" s="13" t="s">
        <v>31</v>
      </c>
      <c r="F5170" s="12" t="s">
        <v>58</v>
      </c>
      <c r="G5170" s="14">
        <v>11724.88</v>
      </c>
      <c r="H5170" s="12" t="s">
        <v>32</v>
      </c>
      <c r="I5170" s="12">
        <v>0</v>
      </c>
      <c r="J5170" s="12" t="s">
        <v>58</v>
      </c>
      <c r="K5170" s="12" t="s">
        <v>23</v>
      </c>
      <c r="L5170" s="12">
        <v>5</v>
      </c>
      <c r="M5170" s="15">
        <v>70000</v>
      </c>
      <c r="N5170" s="15">
        <v>0</v>
      </c>
      <c r="O5170" s="15">
        <f t="shared" si="446"/>
        <v>70000</v>
      </c>
      <c r="P5170" s="15">
        <f t="shared" si="447"/>
        <v>5.9702103560974615</v>
      </c>
      <c r="Q5170" s="14">
        <v>10000</v>
      </c>
      <c r="R5170" s="12">
        <v>100</v>
      </c>
      <c r="S5170" s="12" t="s">
        <v>6247</v>
      </c>
      <c r="T5170" s="22">
        <f t="shared" si="443"/>
        <v>8</v>
      </c>
      <c r="U5170" s="22">
        <f t="shared" si="444"/>
        <v>2022</v>
      </c>
      <c r="V5170" s="22" t="str">
        <f t="shared" si="445"/>
        <v>METROPOLITANA</v>
      </c>
    </row>
    <row r="5171" spans="1:22" x14ac:dyDescent="0.2">
      <c r="A5171" s="11" t="s">
        <v>6246</v>
      </c>
      <c r="B5171" s="12" t="s">
        <v>18</v>
      </c>
      <c r="C5171" s="12" t="s">
        <v>128</v>
      </c>
      <c r="D5171" s="12" t="s">
        <v>37</v>
      </c>
      <c r="E5171" s="13" t="s">
        <v>40</v>
      </c>
      <c r="F5171" s="12" t="s">
        <v>3199</v>
      </c>
      <c r="G5171" s="14">
        <v>9911.6499999999978</v>
      </c>
      <c r="H5171" s="12" t="s">
        <v>22</v>
      </c>
      <c r="I5171" s="12">
        <v>0</v>
      </c>
      <c r="J5171" s="12" t="s">
        <v>3199</v>
      </c>
      <c r="K5171" s="12" t="s">
        <v>408</v>
      </c>
      <c r="L5171" s="12">
        <v>0</v>
      </c>
      <c r="M5171" s="15">
        <v>400000</v>
      </c>
      <c r="N5171" s="15">
        <v>0</v>
      </c>
      <c r="O5171" s="15">
        <f t="shared" si="446"/>
        <v>400000</v>
      </c>
      <c r="P5171" s="15">
        <f t="shared" si="447"/>
        <v>40.356550120312974</v>
      </c>
      <c r="Q5171" s="14">
        <v>20000</v>
      </c>
      <c r="R5171" s="12">
        <v>50</v>
      </c>
      <c r="S5171" s="12" t="s">
        <v>6248</v>
      </c>
      <c r="T5171" s="22">
        <f t="shared" si="443"/>
        <v>8</v>
      </c>
      <c r="U5171" s="22">
        <f t="shared" si="444"/>
        <v>2022</v>
      </c>
      <c r="V5171" s="22" t="str">
        <f t="shared" si="445"/>
        <v>REGIONES</v>
      </c>
    </row>
    <row r="5172" spans="1:22" x14ac:dyDescent="0.2">
      <c r="A5172" s="11" t="s">
        <v>6246</v>
      </c>
      <c r="B5172" s="12" t="s">
        <v>18</v>
      </c>
      <c r="C5172" s="12" t="s">
        <v>128</v>
      </c>
      <c r="D5172" s="12" t="s">
        <v>63</v>
      </c>
      <c r="E5172" s="13" t="s">
        <v>64</v>
      </c>
      <c r="F5172" s="12" t="s">
        <v>3199</v>
      </c>
      <c r="G5172" s="14">
        <v>5901.15</v>
      </c>
      <c r="H5172" s="12" t="s">
        <v>65</v>
      </c>
      <c r="I5172" s="12">
        <v>0</v>
      </c>
      <c r="J5172" s="12" t="s">
        <v>3199</v>
      </c>
      <c r="K5172" s="12" t="s">
        <v>408</v>
      </c>
      <c r="L5172" s="12">
        <v>0</v>
      </c>
      <c r="M5172" s="15">
        <v>400000</v>
      </c>
      <c r="N5172" s="15">
        <v>0</v>
      </c>
      <c r="O5172" s="15">
        <f t="shared" si="446"/>
        <v>400000</v>
      </c>
      <c r="P5172" s="15">
        <f t="shared" si="447"/>
        <v>67.78339815120782</v>
      </c>
      <c r="Q5172" s="14">
        <v>20000</v>
      </c>
      <c r="R5172" s="12">
        <v>30</v>
      </c>
      <c r="S5172" s="12" t="s">
        <v>6249</v>
      </c>
      <c r="T5172" s="22">
        <f t="shared" si="443"/>
        <v>8</v>
      </c>
      <c r="U5172" s="22">
        <f t="shared" si="444"/>
        <v>2022</v>
      </c>
      <c r="V5172" s="22" t="str">
        <f t="shared" si="445"/>
        <v>REGIONES</v>
      </c>
    </row>
    <row r="5173" spans="1:22" x14ac:dyDescent="0.2">
      <c r="A5173" s="11" t="s">
        <v>6246</v>
      </c>
      <c r="B5173" s="12" t="s">
        <v>33</v>
      </c>
      <c r="C5173" s="12" t="s">
        <v>128</v>
      </c>
      <c r="D5173" s="12" t="s">
        <v>38</v>
      </c>
      <c r="E5173" s="13" t="s">
        <v>42</v>
      </c>
      <c r="F5173" s="12" t="s">
        <v>34</v>
      </c>
      <c r="G5173" s="14">
        <f>4538+750</f>
        <v>5288</v>
      </c>
      <c r="H5173" s="12" t="s">
        <v>43</v>
      </c>
      <c r="I5173" s="12">
        <v>0</v>
      </c>
      <c r="J5173" s="12" t="s">
        <v>34</v>
      </c>
      <c r="K5173" s="12" t="s">
        <v>23</v>
      </c>
      <c r="L5173" s="12">
        <v>1</v>
      </c>
      <c r="M5173" s="15">
        <v>55000</v>
      </c>
      <c r="N5173" s="15">
        <v>0</v>
      </c>
      <c r="O5173" s="15">
        <f t="shared" si="446"/>
        <v>55000</v>
      </c>
      <c r="P5173" s="15">
        <f t="shared" si="447"/>
        <v>10.40090771558245</v>
      </c>
      <c r="Q5173" s="14">
        <v>5000</v>
      </c>
      <c r="R5173" s="12">
        <v>96</v>
      </c>
      <c r="S5173" s="12" t="s">
        <v>6255</v>
      </c>
      <c r="T5173" s="22">
        <f t="shared" si="443"/>
        <v>8</v>
      </c>
      <c r="U5173" s="22">
        <f t="shared" si="444"/>
        <v>2022</v>
      </c>
      <c r="V5173" s="22" t="str">
        <f t="shared" si="445"/>
        <v>METROPOLITANA</v>
      </c>
    </row>
    <row r="5174" spans="1:22" x14ac:dyDescent="0.2">
      <c r="A5174" s="11" t="s">
        <v>6246</v>
      </c>
      <c r="B5174" s="12" t="s">
        <v>33</v>
      </c>
      <c r="C5174" s="12" t="s">
        <v>29</v>
      </c>
      <c r="D5174" s="12" t="s">
        <v>30</v>
      </c>
      <c r="E5174" s="13" t="s">
        <v>31</v>
      </c>
      <c r="F5174" s="12" t="s">
        <v>39</v>
      </c>
      <c r="G5174" s="14">
        <v>12231.4</v>
      </c>
      <c r="H5174" s="12" t="s">
        <v>32</v>
      </c>
      <c r="I5174" s="12">
        <v>0</v>
      </c>
      <c r="J5174" s="12" t="s">
        <v>39</v>
      </c>
      <c r="K5174" s="12" t="s">
        <v>23</v>
      </c>
      <c r="L5174" s="12">
        <v>1</v>
      </c>
      <c r="M5174" s="15">
        <v>134545</v>
      </c>
      <c r="N5174" s="15">
        <v>0</v>
      </c>
      <c r="O5174" s="15">
        <f t="shared" si="446"/>
        <v>134545</v>
      </c>
      <c r="P5174" s="15">
        <f t="shared" si="447"/>
        <v>10.999967297284039</v>
      </c>
      <c r="Q5174" s="14">
        <v>5000</v>
      </c>
      <c r="R5174" s="12">
        <v>100</v>
      </c>
      <c r="S5174" s="12" t="s">
        <v>6250</v>
      </c>
      <c r="T5174" s="22">
        <f t="shared" si="443"/>
        <v>8</v>
      </c>
      <c r="U5174" s="22">
        <f t="shared" si="444"/>
        <v>2022</v>
      </c>
      <c r="V5174" s="22" t="str">
        <f t="shared" si="445"/>
        <v>METROPOLITANA</v>
      </c>
    </row>
    <row r="5175" spans="1:22" x14ac:dyDescent="0.2">
      <c r="A5175" s="11" t="s">
        <v>6246</v>
      </c>
      <c r="B5175" s="12" t="s">
        <v>33</v>
      </c>
      <c r="C5175" s="12" t="s">
        <v>29</v>
      </c>
      <c r="D5175" s="12" t="s">
        <v>41</v>
      </c>
      <c r="E5175" s="13" t="s">
        <v>25</v>
      </c>
      <c r="F5175" s="12" t="s">
        <v>39</v>
      </c>
      <c r="G5175" s="14">
        <v>11640.4</v>
      </c>
      <c r="H5175" s="12" t="s">
        <v>43</v>
      </c>
      <c r="I5175" s="12">
        <v>0</v>
      </c>
      <c r="J5175" s="12" t="s">
        <v>39</v>
      </c>
      <c r="K5175" s="12" t="s">
        <v>23</v>
      </c>
      <c r="L5175" s="12">
        <v>1</v>
      </c>
      <c r="M5175" s="15">
        <v>128044</v>
      </c>
      <c r="N5175" s="15">
        <v>0</v>
      </c>
      <c r="O5175" s="15">
        <f t="shared" si="446"/>
        <v>128044</v>
      </c>
      <c r="P5175" s="15">
        <f t="shared" si="447"/>
        <v>10.999965636919693</v>
      </c>
      <c r="Q5175" s="14">
        <v>5000</v>
      </c>
      <c r="R5175" s="12">
        <v>100</v>
      </c>
      <c r="S5175" s="12" t="s">
        <v>6251</v>
      </c>
      <c r="T5175" s="22">
        <f t="shared" si="443"/>
        <v>8</v>
      </c>
      <c r="U5175" s="22">
        <f t="shared" si="444"/>
        <v>2022</v>
      </c>
      <c r="V5175" s="22" t="str">
        <f t="shared" si="445"/>
        <v>METROPOLITANA</v>
      </c>
    </row>
    <row r="5176" spans="1:22" x14ac:dyDescent="0.2">
      <c r="A5176" s="11" t="s">
        <v>6246</v>
      </c>
      <c r="B5176" s="12" t="s">
        <v>33</v>
      </c>
      <c r="C5176" s="12" t="s">
        <v>29</v>
      </c>
      <c r="D5176" s="12" t="s">
        <v>164</v>
      </c>
      <c r="E5176" s="13" t="s">
        <v>1576</v>
      </c>
      <c r="F5176" s="12" t="s">
        <v>39</v>
      </c>
      <c r="G5176" s="14">
        <v>21413.21000000001</v>
      </c>
      <c r="H5176" s="12" t="s">
        <v>22</v>
      </c>
      <c r="I5176" s="12">
        <v>1</v>
      </c>
      <c r="J5176" s="12" t="s">
        <v>39</v>
      </c>
      <c r="K5176" s="12" t="s">
        <v>23</v>
      </c>
      <c r="L5176" s="12">
        <v>1</v>
      </c>
      <c r="M5176" s="15">
        <v>235545</v>
      </c>
      <c r="N5176" s="15">
        <v>0</v>
      </c>
      <c r="O5176" s="15">
        <f t="shared" si="446"/>
        <v>235545</v>
      </c>
      <c r="P5176" s="15">
        <f t="shared" si="447"/>
        <v>10.999985522955217</v>
      </c>
      <c r="Q5176" s="14">
        <v>5000</v>
      </c>
      <c r="R5176" s="12">
        <v>100</v>
      </c>
      <c r="S5176" s="12" t="s">
        <v>6252</v>
      </c>
      <c r="T5176" s="22">
        <f t="shared" si="443"/>
        <v>8</v>
      </c>
      <c r="U5176" s="22">
        <f t="shared" si="444"/>
        <v>2022</v>
      </c>
      <c r="V5176" s="22" t="str">
        <f t="shared" si="445"/>
        <v>METROPOLITANA</v>
      </c>
    </row>
    <row r="5177" spans="1:22" x14ac:dyDescent="0.2">
      <c r="A5177" s="11" t="s">
        <v>6246</v>
      </c>
      <c r="B5177" s="12" t="s">
        <v>33</v>
      </c>
      <c r="C5177" s="12" t="s">
        <v>44</v>
      </c>
      <c r="D5177" s="12" t="s">
        <v>45</v>
      </c>
      <c r="E5177" s="13" t="s">
        <v>21</v>
      </c>
      <c r="F5177" s="12" t="s">
        <v>95</v>
      </c>
      <c r="G5177" s="14">
        <v>2251.1999999999998</v>
      </c>
      <c r="H5177" s="12" t="s">
        <v>22</v>
      </c>
      <c r="I5177" s="12">
        <v>0</v>
      </c>
      <c r="J5177" s="12" t="s">
        <v>95</v>
      </c>
      <c r="K5177" s="12" t="s">
        <v>23</v>
      </c>
      <c r="L5177" s="12">
        <v>4</v>
      </c>
      <c r="M5177" s="15">
        <v>55000</v>
      </c>
      <c r="N5177" s="15">
        <v>0</v>
      </c>
      <c r="O5177" s="15">
        <f t="shared" si="446"/>
        <v>55000</v>
      </c>
      <c r="P5177" s="15">
        <f t="shared" si="447"/>
        <v>24.431414356787492</v>
      </c>
      <c r="Q5177" s="14">
        <v>5000</v>
      </c>
      <c r="R5177" s="12">
        <v>45</v>
      </c>
      <c r="S5177" s="12" t="s">
        <v>6253</v>
      </c>
      <c r="T5177" s="22">
        <f t="shared" si="443"/>
        <v>8</v>
      </c>
      <c r="U5177" s="22">
        <f t="shared" si="444"/>
        <v>2022</v>
      </c>
      <c r="V5177" s="22" t="str">
        <f t="shared" si="445"/>
        <v>METROPOLITANA</v>
      </c>
    </row>
    <row r="5178" spans="1:22" x14ac:dyDescent="0.2">
      <c r="A5178" s="11" t="s">
        <v>6246</v>
      </c>
      <c r="B5178" s="12" t="s">
        <v>33</v>
      </c>
      <c r="C5178" s="12" t="s">
        <v>44</v>
      </c>
      <c r="D5178" s="12" t="s">
        <v>47</v>
      </c>
      <c r="E5178" s="13" t="s">
        <v>49</v>
      </c>
      <c r="F5178" s="12" t="s">
        <v>48</v>
      </c>
      <c r="G5178" s="14">
        <v>7437.4299999999976</v>
      </c>
      <c r="H5178" s="12" t="s">
        <v>22</v>
      </c>
      <c r="I5178" s="12">
        <v>0</v>
      </c>
      <c r="J5178" s="12" t="s">
        <v>48</v>
      </c>
      <c r="K5178" s="12" t="s">
        <v>23</v>
      </c>
      <c r="L5178" s="12">
        <v>1</v>
      </c>
      <c r="M5178" s="15">
        <v>81812</v>
      </c>
      <c r="N5178" s="15">
        <v>0</v>
      </c>
      <c r="O5178" s="15">
        <f t="shared" si="446"/>
        <v>81812</v>
      </c>
      <c r="P5178" s="15">
        <f t="shared" si="447"/>
        <v>11.000036302862686</v>
      </c>
      <c r="Q5178" s="14">
        <v>5000</v>
      </c>
      <c r="R5178" s="12">
        <v>100</v>
      </c>
      <c r="S5178" s="12" t="s">
        <v>6254</v>
      </c>
      <c r="T5178" s="22">
        <f t="shared" si="443"/>
        <v>8</v>
      </c>
      <c r="U5178" s="22">
        <f t="shared" si="444"/>
        <v>2022</v>
      </c>
      <c r="V5178" s="22" t="str">
        <f t="shared" si="445"/>
        <v>METROPOLITANA</v>
      </c>
    </row>
    <row r="5179" spans="1:22" x14ac:dyDescent="0.2">
      <c r="A5179" s="23" t="s">
        <v>6256</v>
      </c>
      <c r="B5179" s="22" t="s">
        <v>18</v>
      </c>
      <c r="C5179" s="22" t="s">
        <v>1997</v>
      </c>
      <c r="D5179" s="22" t="s">
        <v>20</v>
      </c>
      <c r="E5179" s="24">
        <v>138841065</v>
      </c>
      <c r="F5179" s="22" t="s">
        <v>58</v>
      </c>
      <c r="G5179" s="25">
        <v>7826.8000000000011</v>
      </c>
      <c r="H5179" s="22" t="s">
        <v>22</v>
      </c>
      <c r="I5179" s="22">
        <v>0</v>
      </c>
      <c r="J5179" s="22" t="s">
        <v>58</v>
      </c>
      <c r="K5179" s="22" t="s">
        <v>23</v>
      </c>
      <c r="L5179" s="22">
        <v>5</v>
      </c>
      <c r="M5179" s="26">
        <v>70000</v>
      </c>
      <c r="N5179" s="26">
        <v>0</v>
      </c>
      <c r="O5179" s="15">
        <f t="shared" si="446"/>
        <v>70000</v>
      </c>
      <c r="P5179" s="15">
        <f t="shared" si="447"/>
        <v>8.9436295804160046</v>
      </c>
      <c r="Q5179" s="25">
        <v>10000</v>
      </c>
      <c r="R5179" s="22">
        <v>78</v>
      </c>
      <c r="S5179" s="22" t="s">
        <v>6257</v>
      </c>
      <c r="T5179" s="22">
        <f t="shared" si="443"/>
        <v>8</v>
      </c>
      <c r="U5179" s="22">
        <f t="shared" si="444"/>
        <v>2022</v>
      </c>
      <c r="V5179" s="22" t="str">
        <f t="shared" si="445"/>
        <v>METROPOLITANA</v>
      </c>
    </row>
    <row r="5180" spans="1:22" x14ac:dyDescent="0.2">
      <c r="A5180" s="23" t="s">
        <v>6256</v>
      </c>
      <c r="B5180" s="22" t="s">
        <v>18</v>
      </c>
      <c r="C5180" s="22" t="s">
        <v>4252</v>
      </c>
      <c r="D5180" s="22" t="s">
        <v>786</v>
      </c>
      <c r="E5180" s="24">
        <v>95707734</v>
      </c>
      <c r="F5180" s="22" t="s">
        <v>6258</v>
      </c>
      <c r="G5180" s="25">
        <v>23111.089999999989</v>
      </c>
      <c r="H5180" s="22" t="s">
        <v>788</v>
      </c>
      <c r="I5180" s="22">
        <v>1</v>
      </c>
      <c r="J5180" s="22" t="s">
        <v>6258</v>
      </c>
      <c r="K5180" s="22" t="s">
        <v>437</v>
      </c>
      <c r="L5180" s="22">
        <v>0</v>
      </c>
      <c r="M5180" s="26">
        <v>1100000</v>
      </c>
      <c r="N5180" s="26">
        <v>0</v>
      </c>
      <c r="O5180" s="15">
        <f t="shared" si="446"/>
        <v>1100000</v>
      </c>
      <c r="P5180" s="15">
        <f t="shared" si="447"/>
        <v>47.596197323449502</v>
      </c>
      <c r="Q5180" s="25">
        <v>20000</v>
      </c>
      <c r="R5180" s="22">
        <v>100</v>
      </c>
      <c r="S5180" s="22" t="s">
        <v>6259</v>
      </c>
      <c r="T5180" s="22">
        <f t="shared" si="443"/>
        <v>8</v>
      </c>
      <c r="U5180" s="22">
        <f t="shared" si="444"/>
        <v>2022</v>
      </c>
      <c r="V5180" s="22" t="str">
        <f t="shared" si="445"/>
        <v>REGIONES</v>
      </c>
    </row>
    <row r="5181" spans="1:22" x14ac:dyDescent="0.2">
      <c r="A5181" s="23" t="s">
        <v>6256</v>
      </c>
      <c r="B5181" s="22" t="s">
        <v>33</v>
      </c>
      <c r="C5181" s="22" t="s">
        <v>36</v>
      </c>
      <c r="D5181" s="22" t="s">
        <v>20</v>
      </c>
      <c r="E5181" s="24">
        <v>78907355</v>
      </c>
      <c r="F5181" s="22" t="s">
        <v>274</v>
      </c>
      <c r="G5181" s="25">
        <v>1134</v>
      </c>
      <c r="H5181" s="22" t="s">
        <v>22</v>
      </c>
      <c r="I5181" s="22">
        <v>0</v>
      </c>
      <c r="J5181" s="22" t="s">
        <v>274</v>
      </c>
      <c r="K5181" s="22" t="s">
        <v>78</v>
      </c>
      <c r="L5181" s="22">
        <v>0</v>
      </c>
      <c r="M5181" s="26">
        <v>203000</v>
      </c>
      <c r="N5181" s="26">
        <v>0</v>
      </c>
      <c r="O5181" s="15">
        <f t="shared" si="446"/>
        <v>203000</v>
      </c>
      <c r="P5181" s="15">
        <f t="shared" si="447"/>
        <v>179.01234567901236</v>
      </c>
      <c r="Q5181" s="25">
        <v>20000</v>
      </c>
      <c r="R5181" s="22">
        <v>6</v>
      </c>
      <c r="S5181" s="22" t="s">
        <v>6260</v>
      </c>
      <c r="T5181" s="22">
        <f t="shared" si="443"/>
        <v>8</v>
      </c>
      <c r="U5181" s="22">
        <f t="shared" si="444"/>
        <v>2022</v>
      </c>
      <c r="V5181" s="22" t="str">
        <f t="shared" si="445"/>
        <v>REGIONES</v>
      </c>
    </row>
    <row r="5182" spans="1:22" x14ac:dyDescent="0.2">
      <c r="A5182" s="23" t="s">
        <v>6256</v>
      </c>
      <c r="B5182" s="22" t="s">
        <v>33</v>
      </c>
      <c r="C5182" s="22" t="s">
        <v>29</v>
      </c>
      <c r="D5182" s="22" t="s">
        <v>164</v>
      </c>
      <c r="E5182" s="24">
        <v>154837728</v>
      </c>
      <c r="F5182" s="22" t="s">
        <v>39</v>
      </c>
      <c r="G5182" s="25">
        <v>10672.4</v>
      </c>
      <c r="H5182" s="22" t="s">
        <v>22</v>
      </c>
      <c r="I5182" s="22">
        <v>1</v>
      </c>
      <c r="J5182" s="22" t="s">
        <v>39</v>
      </c>
      <c r="K5182" s="22" t="s">
        <v>23</v>
      </c>
      <c r="L5182" s="22">
        <v>1</v>
      </c>
      <c r="M5182" s="26">
        <v>117396</v>
      </c>
      <c r="N5182" s="26">
        <v>0</v>
      </c>
      <c r="O5182" s="15">
        <f t="shared" si="446"/>
        <v>117396</v>
      </c>
      <c r="P5182" s="15">
        <f t="shared" si="447"/>
        <v>10.999962520145422</v>
      </c>
      <c r="Q5182" s="25">
        <v>5000</v>
      </c>
      <c r="R5182" s="22">
        <v>100</v>
      </c>
      <c r="S5182" s="22" t="s">
        <v>6261</v>
      </c>
      <c r="T5182" s="22">
        <f t="shared" si="443"/>
        <v>8</v>
      </c>
      <c r="U5182" s="22">
        <f t="shared" si="444"/>
        <v>2022</v>
      </c>
      <c r="V5182" s="22" t="str">
        <f t="shared" si="445"/>
        <v>METROPOLITANA</v>
      </c>
    </row>
    <row r="5183" spans="1:22" x14ac:dyDescent="0.2">
      <c r="A5183" s="23" t="s">
        <v>6256</v>
      </c>
      <c r="B5183" s="22" t="s">
        <v>33</v>
      </c>
      <c r="C5183" s="22" t="s">
        <v>44</v>
      </c>
      <c r="D5183" s="22" t="s">
        <v>45</v>
      </c>
      <c r="E5183" s="24">
        <v>107643206</v>
      </c>
      <c r="F5183" s="22" t="s">
        <v>67</v>
      </c>
      <c r="G5183" s="25">
        <v>3646.36</v>
      </c>
      <c r="H5183" s="22" t="s">
        <v>22</v>
      </c>
      <c r="I5183" s="22">
        <v>0</v>
      </c>
      <c r="J5183" s="22" t="s">
        <v>67</v>
      </c>
      <c r="K5183" s="22" t="s">
        <v>23</v>
      </c>
      <c r="L5183" s="22">
        <v>2</v>
      </c>
      <c r="M5183" s="26">
        <v>55000</v>
      </c>
      <c r="N5183" s="26">
        <v>0</v>
      </c>
      <c r="O5183" s="15">
        <f t="shared" si="446"/>
        <v>55000</v>
      </c>
      <c r="P5183" s="15">
        <f t="shared" si="447"/>
        <v>15.083535361291808</v>
      </c>
      <c r="Q5183" s="25">
        <v>5000</v>
      </c>
      <c r="R5183" s="22">
        <v>73</v>
      </c>
      <c r="S5183" s="22" t="s">
        <v>6262</v>
      </c>
      <c r="T5183" s="22">
        <f t="shared" si="443"/>
        <v>8</v>
      </c>
      <c r="U5183" s="22">
        <f t="shared" si="444"/>
        <v>2022</v>
      </c>
      <c r="V5183" s="22" t="str">
        <f t="shared" si="445"/>
        <v>METROPOLITANA</v>
      </c>
    </row>
    <row r="5184" spans="1:22" x14ac:dyDescent="0.2">
      <c r="A5184" s="23" t="s">
        <v>6256</v>
      </c>
      <c r="B5184" s="22" t="s">
        <v>33</v>
      </c>
      <c r="C5184" s="22" t="s">
        <v>44</v>
      </c>
      <c r="D5184" s="22" t="s">
        <v>47</v>
      </c>
      <c r="E5184" s="24">
        <v>107643206</v>
      </c>
      <c r="F5184" s="22" t="s">
        <v>34</v>
      </c>
      <c r="G5184" s="25">
        <v>3638.2399999999989</v>
      </c>
      <c r="H5184" s="22" t="s">
        <v>22</v>
      </c>
      <c r="I5184" s="22">
        <v>0</v>
      </c>
      <c r="J5184" s="22" t="s">
        <v>34</v>
      </c>
      <c r="K5184" s="22" t="s">
        <v>23</v>
      </c>
      <c r="L5184" s="22">
        <v>1</v>
      </c>
      <c r="M5184" s="26">
        <v>55000</v>
      </c>
      <c r="N5184" s="26">
        <v>0</v>
      </c>
      <c r="O5184" s="15">
        <f t="shared" si="446"/>
        <v>55000</v>
      </c>
      <c r="P5184" s="15">
        <f t="shared" si="447"/>
        <v>15.117199525045081</v>
      </c>
      <c r="Q5184" s="25">
        <v>5000</v>
      </c>
      <c r="R5184" s="22">
        <v>73</v>
      </c>
      <c r="S5184" s="22" t="s">
        <v>6263</v>
      </c>
      <c r="T5184" s="22">
        <f t="shared" si="443"/>
        <v>8</v>
      </c>
      <c r="U5184" s="22">
        <f t="shared" si="444"/>
        <v>2022</v>
      </c>
      <c r="V5184" s="22" t="str">
        <f t="shared" si="445"/>
        <v>METROPOLITANA</v>
      </c>
    </row>
    <row r="5185" spans="1:22" x14ac:dyDescent="0.2">
      <c r="A5185" s="11" t="s">
        <v>6264</v>
      </c>
      <c r="B5185" s="12" t="s">
        <v>18</v>
      </c>
      <c r="C5185" s="12" t="s">
        <v>29</v>
      </c>
      <c r="D5185" s="12" t="s">
        <v>6265</v>
      </c>
      <c r="E5185" s="13" t="s">
        <v>304</v>
      </c>
      <c r="F5185" s="12" t="s">
        <v>39</v>
      </c>
      <c r="G5185" s="14">
        <v>26057.600000000009</v>
      </c>
      <c r="H5185" s="12" t="s">
        <v>24</v>
      </c>
      <c r="I5185" s="12">
        <v>1</v>
      </c>
      <c r="J5185" s="12" t="s">
        <v>39</v>
      </c>
      <c r="K5185" s="12" t="s">
        <v>23</v>
      </c>
      <c r="L5185" s="12">
        <v>1</v>
      </c>
      <c r="M5185" s="15">
        <v>286634</v>
      </c>
      <c r="N5185" s="15">
        <v>0</v>
      </c>
      <c r="O5185" s="15">
        <f t="shared" si="446"/>
        <v>286634</v>
      </c>
      <c r="P5185" s="15">
        <f t="shared" si="447"/>
        <v>11.00001535060788</v>
      </c>
      <c r="Q5185" s="14">
        <v>5000</v>
      </c>
      <c r="R5185" s="12">
        <v>100</v>
      </c>
      <c r="S5185" s="12" t="s">
        <v>6266</v>
      </c>
      <c r="T5185" s="22">
        <f t="shared" si="443"/>
        <v>8</v>
      </c>
      <c r="U5185" s="22">
        <f t="shared" si="444"/>
        <v>2022</v>
      </c>
      <c r="V5185" s="22" t="str">
        <f t="shared" si="445"/>
        <v>METROPOLITANA</v>
      </c>
    </row>
    <row r="5186" spans="1:22" x14ac:dyDescent="0.2">
      <c r="A5186" s="11" t="s">
        <v>6264</v>
      </c>
      <c r="B5186" s="12" t="s">
        <v>18</v>
      </c>
      <c r="C5186" s="12" t="s">
        <v>29</v>
      </c>
      <c r="D5186" s="12" t="s">
        <v>6267</v>
      </c>
      <c r="E5186" s="13" t="s">
        <v>312</v>
      </c>
      <c r="F5186" s="12" t="s">
        <v>39</v>
      </c>
      <c r="G5186" s="14">
        <v>25731.880000000008</v>
      </c>
      <c r="H5186" s="12" t="s">
        <v>24</v>
      </c>
      <c r="I5186" s="12">
        <v>1</v>
      </c>
      <c r="J5186" s="12" t="s">
        <v>39</v>
      </c>
      <c r="K5186" s="12" t="s">
        <v>23</v>
      </c>
      <c r="L5186" s="12">
        <v>1</v>
      </c>
      <c r="M5186" s="15">
        <v>283051</v>
      </c>
      <c r="N5186" s="15">
        <v>0</v>
      </c>
      <c r="O5186" s="15">
        <f t="shared" si="446"/>
        <v>283051</v>
      </c>
      <c r="P5186" s="15">
        <f t="shared" si="447"/>
        <v>11.000012435935497</v>
      </c>
      <c r="Q5186" s="14">
        <v>5000</v>
      </c>
      <c r="R5186" s="12">
        <v>100</v>
      </c>
      <c r="S5186" s="12" t="s">
        <v>6268</v>
      </c>
      <c r="T5186" s="22">
        <f t="shared" si="443"/>
        <v>8</v>
      </c>
      <c r="U5186" s="22">
        <f t="shared" si="444"/>
        <v>2022</v>
      </c>
      <c r="V5186" s="22" t="str">
        <f t="shared" si="445"/>
        <v>METROPOLITANA</v>
      </c>
    </row>
    <row r="5187" spans="1:22" x14ac:dyDescent="0.2">
      <c r="A5187" s="11" t="s">
        <v>6264</v>
      </c>
      <c r="B5187" s="12" t="s">
        <v>33</v>
      </c>
      <c r="C5187" s="12" t="s">
        <v>29</v>
      </c>
      <c r="D5187" s="12" t="s">
        <v>41</v>
      </c>
      <c r="E5187" s="13" t="s">
        <v>25</v>
      </c>
      <c r="F5187" s="12" t="s">
        <v>39</v>
      </c>
      <c r="G5187" s="14">
        <f>5058.2+1876</f>
        <v>6934.2</v>
      </c>
      <c r="H5187" s="12" t="s">
        <v>43</v>
      </c>
      <c r="I5187" s="12">
        <v>0</v>
      </c>
      <c r="J5187" s="12" t="s">
        <v>39</v>
      </c>
      <c r="K5187" s="12" t="s">
        <v>23</v>
      </c>
      <c r="L5187" s="12">
        <v>1</v>
      </c>
      <c r="M5187" s="15">
        <v>55640</v>
      </c>
      <c r="N5187" s="15">
        <v>0</v>
      </c>
      <c r="O5187" s="15">
        <f t="shared" si="446"/>
        <v>55640</v>
      </c>
      <c r="P5187" s="15">
        <f t="shared" si="447"/>
        <v>8.023997000374953</v>
      </c>
      <c r="Q5187" s="14">
        <v>5000</v>
      </c>
      <c r="R5187" s="12">
        <v>100</v>
      </c>
      <c r="S5187" s="12" t="s">
        <v>6271</v>
      </c>
      <c r="T5187" s="22">
        <f t="shared" si="443"/>
        <v>8</v>
      </c>
      <c r="U5187" s="22">
        <f t="shared" si="444"/>
        <v>2022</v>
      </c>
      <c r="V5187" s="22" t="str">
        <f t="shared" si="445"/>
        <v>METROPOLITANA</v>
      </c>
    </row>
    <row r="5188" spans="1:22" x14ac:dyDescent="0.2">
      <c r="A5188" s="11" t="s">
        <v>6264</v>
      </c>
      <c r="B5188" s="12" t="s">
        <v>33</v>
      </c>
      <c r="C5188" s="12" t="s">
        <v>29</v>
      </c>
      <c r="D5188" s="12" t="s">
        <v>164</v>
      </c>
      <c r="E5188" s="13" t="s">
        <v>28</v>
      </c>
      <c r="F5188" s="12" t="s">
        <v>39</v>
      </c>
      <c r="G5188" s="14">
        <v>9277.4</v>
      </c>
      <c r="H5188" s="12" t="s">
        <v>22</v>
      </c>
      <c r="I5188" s="12">
        <v>1</v>
      </c>
      <c r="J5188" s="12" t="s">
        <v>39</v>
      </c>
      <c r="K5188" s="12" t="s">
        <v>23</v>
      </c>
      <c r="L5188" s="12">
        <v>1</v>
      </c>
      <c r="M5188" s="15">
        <v>102051</v>
      </c>
      <c r="N5188" s="15">
        <v>0</v>
      </c>
      <c r="O5188" s="15">
        <f t="shared" si="446"/>
        <v>102051</v>
      </c>
      <c r="P5188" s="15">
        <f t="shared" si="447"/>
        <v>10.999956884471944</v>
      </c>
      <c r="Q5188" s="14">
        <v>5000</v>
      </c>
      <c r="R5188" s="12">
        <v>100</v>
      </c>
      <c r="S5188" s="12" t="s">
        <v>6269</v>
      </c>
      <c r="T5188" s="22">
        <f t="shared" si="443"/>
        <v>8</v>
      </c>
      <c r="U5188" s="22">
        <f t="shared" si="444"/>
        <v>2022</v>
      </c>
      <c r="V5188" s="22" t="str">
        <f t="shared" si="445"/>
        <v>METROPOLITANA</v>
      </c>
    </row>
    <row r="5189" spans="1:22" x14ac:dyDescent="0.2">
      <c r="A5189" s="11" t="s">
        <v>6264</v>
      </c>
      <c r="B5189" s="12" t="s">
        <v>33</v>
      </c>
      <c r="C5189" s="12" t="s">
        <v>44</v>
      </c>
      <c r="D5189" s="12" t="s">
        <v>47</v>
      </c>
      <c r="E5189" s="13" t="s">
        <v>49</v>
      </c>
      <c r="F5189" s="12" t="s">
        <v>48</v>
      </c>
      <c r="G5189" s="14">
        <f>4401.02+1501+416+988</f>
        <v>7306.02</v>
      </c>
      <c r="H5189" s="12" t="s">
        <v>22</v>
      </c>
      <c r="I5189" s="12">
        <v>0</v>
      </c>
      <c r="J5189" s="12" t="s">
        <v>48</v>
      </c>
      <c r="K5189" s="12" t="s">
        <v>23</v>
      </c>
      <c r="L5189" s="12">
        <v>1</v>
      </c>
      <c r="M5189" s="15">
        <v>55000</v>
      </c>
      <c r="N5189" s="15">
        <v>0</v>
      </c>
      <c r="O5189" s="15">
        <f t="shared" si="446"/>
        <v>55000</v>
      </c>
      <c r="P5189" s="15">
        <f t="shared" si="447"/>
        <v>7.5280385216574821</v>
      </c>
      <c r="Q5189" s="14">
        <v>5000</v>
      </c>
      <c r="R5189" s="12">
        <v>88</v>
      </c>
      <c r="S5189" s="12" t="s">
        <v>6270</v>
      </c>
      <c r="T5189" s="22">
        <f t="shared" si="443"/>
        <v>8</v>
      </c>
      <c r="U5189" s="22">
        <f t="shared" si="444"/>
        <v>2022</v>
      </c>
      <c r="V5189" s="22" t="str">
        <f t="shared" si="445"/>
        <v>METROPOLITANA</v>
      </c>
    </row>
    <row r="5190" spans="1:22" x14ac:dyDescent="0.2">
      <c r="A5190" s="23" t="s">
        <v>6272</v>
      </c>
      <c r="B5190" s="22" t="s">
        <v>18</v>
      </c>
      <c r="C5190" s="22" t="s">
        <v>4252</v>
      </c>
      <c r="D5190" s="22" t="s">
        <v>786</v>
      </c>
      <c r="E5190" s="24" t="s">
        <v>787</v>
      </c>
      <c r="F5190" s="22" t="s">
        <v>6258</v>
      </c>
      <c r="G5190" s="25">
        <v>25204.740000000009</v>
      </c>
      <c r="H5190" s="22" t="s">
        <v>788</v>
      </c>
      <c r="I5190" s="22">
        <v>1</v>
      </c>
      <c r="J5190" s="22" t="s">
        <v>6258</v>
      </c>
      <c r="K5190" s="22" t="s">
        <v>437</v>
      </c>
      <c r="L5190" s="22">
        <v>0</v>
      </c>
      <c r="M5190" s="26">
        <v>1500000</v>
      </c>
      <c r="N5190" s="26">
        <v>0</v>
      </c>
      <c r="O5190" s="15">
        <f t="shared" si="446"/>
        <v>1500000</v>
      </c>
      <c r="P5190" s="15">
        <f t="shared" si="447"/>
        <v>59.512615484230324</v>
      </c>
      <c r="Q5190" s="25">
        <v>20000</v>
      </c>
      <c r="R5190" s="22">
        <v>100</v>
      </c>
      <c r="S5190" s="22" t="s">
        <v>6273</v>
      </c>
      <c r="T5190" s="22">
        <f t="shared" si="443"/>
        <v>8</v>
      </c>
      <c r="U5190" s="22">
        <f t="shared" si="444"/>
        <v>2022</v>
      </c>
      <c r="V5190" s="22" t="str">
        <f t="shared" si="445"/>
        <v>REGIONES</v>
      </c>
    </row>
    <row r="5191" spans="1:22" x14ac:dyDescent="0.2">
      <c r="A5191" s="23" t="s">
        <v>6272</v>
      </c>
      <c r="B5191" s="22" t="s">
        <v>18</v>
      </c>
      <c r="C5191" s="22" t="s">
        <v>19</v>
      </c>
      <c r="D5191" s="22" t="s">
        <v>37</v>
      </c>
      <c r="E5191" s="24" t="s">
        <v>40</v>
      </c>
      <c r="F5191" s="22" t="s">
        <v>727</v>
      </c>
      <c r="G5191" s="25">
        <v>9589.0300000000007</v>
      </c>
      <c r="H5191" s="22" t="s">
        <v>22</v>
      </c>
      <c r="I5191" s="22">
        <v>0</v>
      </c>
      <c r="J5191" s="22" t="s">
        <v>727</v>
      </c>
      <c r="K5191" s="22" t="s">
        <v>23</v>
      </c>
      <c r="L5191" s="22">
        <v>2</v>
      </c>
      <c r="M5191" s="26">
        <v>105479</v>
      </c>
      <c r="N5191" s="26">
        <v>0</v>
      </c>
      <c r="O5191" s="15">
        <f t="shared" si="446"/>
        <v>105479</v>
      </c>
      <c r="P5191" s="15">
        <f t="shared" si="447"/>
        <v>10.999965585674463</v>
      </c>
      <c r="Q5191" s="25">
        <v>5000</v>
      </c>
      <c r="R5191" s="22">
        <v>100</v>
      </c>
      <c r="S5191" s="22" t="s">
        <v>6274</v>
      </c>
      <c r="T5191" s="22">
        <f t="shared" ref="T5191:T5254" si="448">MONTH(A5191)</f>
        <v>8</v>
      </c>
      <c r="U5191" s="22">
        <f t="shared" ref="U5191:U5254" si="449">YEAR(A5191)</f>
        <v>2022</v>
      </c>
      <c r="V5191" s="22" t="str">
        <f t="shared" ref="V5191:V5254" si="450">IF(K5191="METROPOLITANA DE SANTIAGO","METROPOLITANA","REGIONES")</f>
        <v>METROPOLITANA</v>
      </c>
    </row>
    <row r="5192" spans="1:22" x14ac:dyDescent="0.2">
      <c r="A5192" s="23" t="s">
        <v>6272</v>
      </c>
      <c r="B5192" s="22" t="s">
        <v>18</v>
      </c>
      <c r="C5192" s="22" t="s">
        <v>19</v>
      </c>
      <c r="D5192" s="22" t="s">
        <v>63</v>
      </c>
      <c r="E5192" s="24" t="s">
        <v>64</v>
      </c>
      <c r="F5192" s="22" t="s">
        <v>727</v>
      </c>
      <c r="G5192" s="25">
        <v>9910.94</v>
      </c>
      <c r="H5192" s="22" t="s">
        <v>65</v>
      </c>
      <c r="I5192" s="22">
        <v>0</v>
      </c>
      <c r="J5192" s="22" t="s">
        <v>727</v>
      </c>
      <c r="K5192" s="22" t="s">
        <v>23</v>
      </c>
      <c r="L5192" s="22">
        <v>2</v>
      </c>
      <c r="M5192" s="26">
        <v>109020</v>
      </c>
      <c r="N5192" s="26">
        <v>0</v>
      </c>
      <c r="O5192" s="15">
        <f t="shared" si="446"/>
        <v>109020</v>
      </c>
      <c r="P5192" s="15">
        <f t="shared" si="447"/>
        <v>10.999965694474994</v>
      </c>
      <c r="Q5192" s="25">
        <v>5000</v>
      </c>
      <c r="R5192" s="22">
        <v>100</v>
      </c>
      <c r="S5192" s="22" t="s">
        <v>6275</v>
      </c>
      <c r="T5192" s="22">
        <f t="shared" si="448"/>
        <v>8</v>
      </c>
      <c r="U5192" s="22">
        <f t="shared" si="449"/>
        <v>2022</v>
      </c>
      <c r="V5192" s="22" t="str">
        <f t="shared" si="450"/>
        <v>METROPOLITANA</v>
      </c>
    </row>
    <row r="5193" spans="1:22" x14ac:dyDescent="0.2">
      <c r="A5193" s="23" t="s">
        <v>6272</v>
      </c>
      <c r="B5193" s="22" t="s">
        <v>18</v>
      </c>
      <c r="C5193" s="22" t="s">
        <v>29</v>
      </c>
      <c r="D5193" s="22" t="s">
        <v>164</v>
      </c>
      <c r="E5193" s="24" t="s">
        <v>1576</v>
      </c>
      <c r="F5193" s="22" t="s">
        <v>39</v>
      </c>
      <c r="G5193" s="25">
        <v>12054.24</v>
      </c>
      <c r="H5193" s="22" t="s">
        <v>22</v>
      </c>
      <c r="I5193" s="22">
        <v>1</v>
      </c>
      <c r="J5193" s="22" t="s">
        <v>39</v>
      </c>
      <c r="K5193" s="22" t="s">
        <v>23</v>
      </c>
      <c r="L5193" s="22">
        <v>1</v>
      </c>
      <c r="M5193" s="26">
        <v>132597</v>
      </c>
      <c r="N5193" s="26">
        <v>0</v>
      </c>
      <c r="O5193" s="15">
        <f t="shared" si="446"/>
        <v>132597</v>
      </c>
      <c r="P5193" s="15">
        <f t="shared" si="447"/>
        <v>11.000029865010154</v>
      </c>
      <c r="Q5193" s="25">
        <v>5000</v>
      </c>
      <c r="R5193" s="22">
        <v>100</v>
      </c>
      <c r="S5193" s="22" t="s">
        <v>6276</v>
      </c>
      <c r="T5193" s="22">
        <f t="shared" si="448"/>
        <v>8</v>
      </c>
      <c r="U5193" s="22">
        <f t="shared" si="449"/>
        <v>2022</v>
      </c>
      <c r="V5193" s="22" t="str">
        <f t="shared" si="450"/>
        <v>METROPOLITANA</v>
      </c>
    </row>
    <row r="5194" spans="1:22" x14ac:dyDescent="0.2">
      <c r="A5194" s="23" t="s">
        <v>6272</v>
      </c>
      <c r="B5194" s="22" t="s">
        <v>33</v>
      </c>
      <c r="C5194" s="22" t="s">
        <v>36</v>
      </c>
      <c r="D5194" s="22" t="s">
        <v>47</v>
      </c>
      <c r="E5194" s="24" t="s">
        <v>49</v>
      </c>
      <c r="F5194" s="22" t="s">
        <v>127</v>
      </c>
      <c r="G5194" s="25">
        <f>1526.46+2575</f>
        <v>4101.46</v>
      </c>
      <c r="H5194" s="22" t="s">
        <v>22</v>
      </c>
      <c r="I5194" s="22">
        <v>0</v>
      </c>
      <c r="J5194" s="22" t="s">
        <v>127</v>
      </c>
      <c r="K5194" s="22" t="s">
        <v>78</v>
      </c>
      <c r="L5194" s="22">
        <v>0</v>
      </c>
      <c r="M5194" s="26">
        <v>203000</v>
      </c>
      <c r="N5194" s="26">
        <v>0</v>
      </c>
      <c r="O5194" s="15">
        <f t="shared" si="446"/>
        <v>203000</v>
      </c>
      <c r="P5194" s="15">
        <f t="shared" si="447"/>
        <v>49.494570226212126</v>
      </c>
      <c r="Q5194" s="25">
        <v>20000</v>
      </c>
      <c r="R5194" s="22">
        <v>55</v>
      </c>
      <c r="S5194" s="22" t="s">
        <v>6278</v>
      </c>
      <c r="T5194" s="22">
        <f t="shared" si="448"/>
        <v>8</v>
      </c>
      <c r="U5194" s="22">
        <f t="shared" si="449"/>
        <v>2022</v>
      </c>
      <c r="V5194" s="22" t="str">
        <f t="shared" si="450"/>
        <v>REGIONES</v>
      </c>
    </row>
    <row r="5195" spans="1:22" x14ac:dyDescent="0.2">
      <c r="A5195" s="23" t="s">
        <v>6272</v>
      </c>
      <c r="B5195" s="22" t="s">
        <v>33</v>
      </c>
      <c r="C5195" s="22" t="s">
        <v>29</v>
      </c>
      <c r="D5195" s="22" t="s">
        <v>164</v>
      </c>
      <c r="E5195" s="24" t="s">
        <v>1576</v>
      </c>
      <c r="F5195" s="22" t="s">
        <v>39</v>
      </c>
      <c r="G5195" s="25">
        <v>6775.0499999999984</v>
      </c>
      <c r="H5195" s="22" t="s">
        <v>22</v>
      </c>
      <c r="I5195" s="22">
        <v>1</v>
      </c>
      <c r="J5195" s="22" t="s">
        <v>39</v>
      </c>
      <c r="K5195" s="22" t="s">
        <v>23</v>
      </c>
      <c r="L5195" s="22">
        <v>1</v>
      </c>
      <c r="M5195" s="26">
        <v>74526</v>
      </c>
      <c r="N5195" s="26">
        <v>0</v>
      </c>
      <c r="O5195" s="15">
        <f t="shared" si="446"/>
        <v>74526</v>
      </c>
      <c r="P5195" s="15">
        <f t="shared" si="447"/>
        <v>11.000066420174024</v>
      </c>
      <c r="Q5195" s="25">
        <v>5000</v>
      </c>
      <c r="R5195" s="22">
        <v>100</v>
      </c>
      <c r="S5195" s="22" t="s">
        <v>6277</v>
      </c>
      <c r="T5195" s="22">
        <f t="shared" si="448"/>
        <v>8</v>
      </c>
      <c r="U5195" s="22">
        <f t="shared" si="449"/>
        <v>2022</v>
      </c>
      <c r="V5195" s="22" t="str">
        <f t="shared" si="450"/>
        <v>METROPOLITANA</v>
      </c>
    </row>
    <row r="5196" spans="1:22" x14ac:dyDescent="0.2">
      <c r="A5196" s="11" t="s">
        <v>6279</v>
      </c>
      <c r="B5196" s="12" t="s">
        <v>18</v>
      </c>
      <c r="C5196" s="12" t="s">
        <v>4252</v>
      </c>
      <c r="D5196" s="12" t="s">
        <v>1170</v>
      </c>
      <c r="E5196" s="13" t="s">
        <v>81</v>
      </c>
      <c r="F5196" s="12" t="s">
        <v>6258</v>
      </c>
      <c r="G5196" s="14">
        <v>25464.98000000001</v>
      </c>
      <c r="H5196" s="12" t="s">
        <v>24</v>
      </c>
      <c r="I5196" s="12">
        <v>1</v>
      </c>
      <c r="J5196" s="12" t="s">
        <v>6258</v>
      </c>
      <c r="K5196" s="12" t="s">
        <v>437</v>
      </c>
      <c r="L5196" s="12">
        <v>0</v>
      </c>
      <c r="M5196" s="15">
        <v>1500000</v>
      </c>
      <c r="N5196" s="15">
        <v>0</v>
      </c>
      <c r="O5196" s="15">
        <f t="shared" si="446"/>
        <v>1500000</v>
      </c>
      <c r="P5196" s="15">
        <f t="shared" si="447"/>
        <v>58.904424821853361</v>
      </c>
      <c r="Q5196" s="14">
        <v>20000</v>
      </c>
      <c r="R5196" s="12">
        <v>100</v>
      </c>
      <c r="S5196" s="12" t="s">
        <v>6280</v>
      </c>
      <c r="T5196" s="22">
        <f t="shared" si="448"/>
        <v>8</v>
      </c>
      <c r="U5196" s="22">
        <f t="shared" si="449"/>
        <v>2022</v>
      </c>
      <c r="V5196" s="22" t="str">
        <f t="shared" si="450"/>
        <v>REGIONES</v>
      </c>
    </row>
    <row r="5197" spans="1:22" x14ac:dyDescent="0.2">
      <c r="A5197" s="11" t="s">
        <v>6279</v>
      </c>
      <c r="B5197" s="12" t="s">
        <v>18</v>
      </c>
      <c r="C5197" s="12" t="s">
        <v>19</v>
      </c>
      <c r="D5197" s="12" t="s">
        <v>37</v>
      </c>
      <c r="E5197" s="13" t="s">
        <v>40</v>
      </c>
      <c r="F5197" s="12" t="s">
        <v>727</v>
      </c>
      <c r="G5197" s="14">
        <v>6843.6100000000006</v>
      </c>
      <c r="H5197" s="12" t="s">
        <v>22</v>
      </c>
      <c r="I5197" s="12">
        <v>0</v>
      </c>
      <c r="J5197" s="12" t="s">
        <v>727</v>
      </c>
      <c r="K5197" s="12" t="s">
        <v>23</v>
      </c>
      <c r="L5197" s="12">
        <v>2</v>
      </c>
      <c r="M5197" s="15">
        <v>75280</v>
      </c>
      <c r="N5197" s="15">
        <v>0</v>
      </c>
      <c r="O5197" s="15">
        <f t="shared" si="446"/>
        <v>75280</v>
      </c>
      <c r="P5197" s="15">
        <f t="shared" si="447"/>
        <v>11.000042375296077</v>
      </c>
      <c r="Q5197" s="14">
        <v>5000</v>
      </c>
      <c r="R5197" s="12">
        <v>100</v>
      </c>
      <c r="S5197" s="12" t="s">
        <v>6281</v>
      </c>
      <c r="T5197" s="22">
        <f t="shared" si="448"/>
        <v>8</v>
      </c>
      <c r="U5197" s="22">
        <f t="shared" si="449"/>
        <v>2022</v>
      </c>
      <c r="V5197" s="22" t="str">
        <f t="shared" si="450"/>
        <v>METROPOLITANA</v>
      </c>
    </row>
    <row r="5198" spans="1:22" x14ac:dyDescent="0.2">
      <c r="A5198" s="11" t="s">
        <v>6279</v>
      </c>
      <c r="B5198" s="12" t="s">
        <v>33</v>
      </c>
      <c r="C5198" s="12" t="s">
        <v>29</v>
      </c>
      <c r="D5198" s="12" t="s">
        <v>38</v>
      </c>
      <c r="E5198" s="13" t="s">
        <v>42</v>
      </c>
      <c r="F5198" s="12" t="s">
        <v>129</v>
      </c>
      <c r="G5198" s="14">
        <v>6050.4599999999991</v>
      </c>
      <c r="H5198" s="12" t="s">
        <v>43</v>
      </c>
      <c r="I5198" s="12">
        <v>0</v>
      </c>
      <c r="J5198" s="12" t="s">
        <v>129</v>
      </c>
      <c r="K5198" s="12" t="s">
        <v>23</v>
      </c>
      <c r="L5198" s="12">
        <v>1</v>
      </c>
      <c r="M5198" s="15">
        <v>66555</v>
      </c>
      <c r="N5198" s="15">
        <v>0</v>
      </c>
      <c r="O5198" s="15">
        <f t="shared" si="446"/>
        <v>66555</v>
      </c>
      <c r="P5198" s="15">
        <f t="shared" si="447"/>
        <v>10.99999008339862</v>
      </c>
      <c r="Q5198" s="14">
        <v>5000</v>
      </c>
      <c r="R5198" s="12">
        <v>100</v>
      </c>
      <c r="S5198" s="12" t="s">
        <v>6282</v>
      </c>
      <c r="T5198" s="22">
        <f t="shared" si="448"/>
        <v>8</v>
      </c>
      <c r="U5198" s="22">
        <f t="shared" si="449"/>
        <v>2022</v>
      </c>
      <c r="V5198" s="22" t="str">
        <f t="shared" si="450"/>
        <v>METROPOLITANA</v>
      </c>
    </row>
    <row r="5199" spans="1:22" x14ac:dyDescent="0.2">
      <c r="A5199" s="11" t="s">
        <v>6279</v>
      </c>
      <c r="B5199" s="12" t="s">
        <v>33</v>
      </c>
      <c r="C5199" s="12" t="s">
        <v>29</v>
      </c>
      <c r="D5199" s="12" t="s">
        <v>164</v>
      </c>
      <c r="E5199" s="13" t="s">
        <v>1576</v>
      </c>
      <c r="F5199" s="12" t="s">
        <v>39</v>
      </c>
      <c r="G5199" s="14">
        <v>26279.549999999988</v>
      </c>
      <c r="H5199" s="12" t="s">
        <v>22</v>
      </c>
      <c r="I5199" s="12">
        <v>1</v>
      </c>
      <c r="J5199" s="12" t="s">
        <v>39</v>
      </c>
      <c r="K5199" s="12" t="s">
        <v>23</v>
      </c>
      <c r="L5199" s="12">
        <v>1</v>
      </c>
      <c r="M5199" s="15">
        <v>289075</v>
      </c>
      <c r="N5199" s="15">
        <v>0</v>
      </c>
      <c r="O5199" s="15">
        <f t="shared" si="446"/>
        <v>289075</v>
      </c>
      <c r="P5199" s="15">
        <f t="shared" si="447"/>
        <v>10.999998097379907</v>
      </c>
      <c r="Q5199" s="14">
        <v>5000</v>
      </c>
      <c r="R5199" s="12">
        <v>100</v>
      </c>
      <c r="S5199" s="12" t="s">
        <v>6283</v>
      </c>
      <c r="T5199" s="22">
        <f t="shared" si="448"/>
        <v>8</v>
      </c>
      <c r="U5199" s="22">
        <f t="shared" si="449"/>
        <v>2022</v>
      </c>
      <c r="V5199" s="22" t="str">
        <f t="shared" si="450"/>
        <v>METROPOLITANA</v>
      </c>
    </row>
    <row r="5200" spans="1:22" x14ac:dyDescent="0.2">
      <c r="A5200" s="11" t="s">
        <v>6279</v>
      </c>
      <c r="B5200" s="12" t="s">
        <v>33</v>
      </c>
      <c r="C5200" s="12" t="s">
        <v>44</v>
      </c>
      <c r="D5200" s="12" t="s">
        <v>191</v>
      </c>
      <c r="E5200" s="13" t="s">
        <v>192</v>
      </c>
      <c r="F5200" s="12" t="s">
        <v>132</v>
      </c>
      <c r="G5200" s="14">
        <f>7862.23+4840</f>
        <v>12702.23</v>
      </c>
      <c r="H5200" s="12" t="s">
        <v>85</v>
      </c>
      <c r="I5200" s="12">
        <v>1</v>
      </c>
      <c r="J5200" s="12" t="s">
        <v>132</v>
      </c>
      <c r="K5200" s="12" t="s">
        <v>124</v>
      </c>
      <c r="L5200" s="12">
        <v>0</v>
      </c>
      <c r="M5200" s="15">
        <v>400000</v>
      </c>
      <c r="N5200" s="15">
        <v>0</v>
      </c>
      <c r="O5200" s="15">
        <f t="shared" si="446"/>
        <v>400000</v>
      </c>
      <c r="P5200" s="15">
        <f t="shared" si="447"/>
        <v>31.490533551982605</v>
      </c>
      <c r="Q5200" s="14">
        <v>20000</v>
      </c>
      <c r="R5200" s="12">
        <v>68</v>
      </c>
      <c r="S5200" s="12" t="s">
        <v>6287</v>
      </c>
      <c r="T5200" s="22">
        <f t="shared" si="448"/>
        <v>8</v>
      </c>
      <c r="U5200" s="22">
        <f t="shared" si="449"/>
        <v>2022</v>
      </c>
      <c r="V5200" s="22" t="str">
        <f t="shared" si="450"/>
        <v>REGIONES</v>
      </c>
    </row>
    <row r="5201" spans="1:22" x14ac:dyDescent="0.2">
      <c r="A5201" s="11" t="s">
        <v>6279</v>
      </c>
      <c r="B5201" s="12" t="s">
        <v>33</v>
      </c>
      <c r="C5201" s="12" t="s">
        <v>44</v>
      </c>
      <c r="D5201" s="12" t="s">
        <v>37</v>
      </c>
      <c r="E5201" s="13" t="s">
        <v>40</v>
      </c>
      <c r="F5201" s="12" t="s">
        <v>48</v>
      </c>
      <c r="G5201" s="14">
        <f>6709.6+1058</f>
        <v>7767.6</v>
      </c>
      <c r="H5201" s="12" t="s">
        <v>22</v>
      </c>
      <c r="I5201" s="12">
        <v>0</v>
      </c>
      <c r="J5201" s="12" t="s">
        <v>48</v>
      </c>
      <c r="K5201" s="12" t="s">
        <v>23</v>
      </c>
      <c r="L5201" s="12">
        <v>1</v>
      </c>
      <c r="M5201" s="15">
        <v>73806</v>
      </c>
      <c r="N5201" s="15">
        <v>0</v>
      </c>
      <c r="O5201" s="15">
        <f t="shared" si="446"/>
        <v>73806</v>
      </c>
      <c r="P5201" s="15">
        <f t="shared" si="447"/>
        <v>9.5017766105360728</v>
      </c>
      <c r="Q5201" s="14">
        <v>5000</v>
      </c>
      <c r="R5201" s="12">
        <v>100</v>
      </c>
      <c r="S5201" s="12" t="s">
        <v>6288</v>
      </c>
      <c r="T5201" s="22">
        <f t="shared" si="448"/>
        <v>8</v>
      </c>
      <c r="U5201" s="22">
        <f t="shared" si="449"/>
        <v>2022</v>
      </c>
      <c r="V5201" s="22" t="str">
        <f t="shared" si="450"/>
        <v>METROPOLITANA</v>
      </c>
    </row>
    <row r="5202" spans="1:22" x14ac:dyDescent="0.2">
      <c r="A5202" s="11" t="s">
        <v>6279</v>
      </c>
      <c r="B5202" s="12" t="s">
        <v>33</v>
      </c>
      <c r="C5202" s="12" t="s">
        <v>44</v>
      </c>
      <c r="D5202" s="12" t="s">
        <v>63</v>
      </c>
      <c r="E5202" s="13" t="s">
        <v>64</v>
      </c>
      <c r="F5202" s="12" t="s">
        <v>53</v>
      </c>
      <c r="G5202" s="14">
        <v>5739.6099999999988</v>
      </c>
      <c r="H5202" s="12" t="s">
        <v>65</v>
      </c>
      <c r="I5202" s="12">
        <v>0</v>
      </c>
      <c r="J5202" s="12" t="s">
        <v>53</v>
      </c>
      <c r="K5202" s="12" t="s">
        <v>23</v>
      </c>
      <c r="L5202" s="12">
        <v>3</v>
      </c>
      <c r="M5202" s="15">
        <v>63136</v>
      </c>
      <c r="N5202" s="15">
        <v>0</v>
      </c>
      <c r="O5202" s="15">
        <f t="shared" si="446"/>
        <v>63136</v>
      </c>
      <c r="P5202" s="15">
        <f t="shared" si="447"/>
        <v>11.000050526081044</v>
      </c>
      <c r="Q5202" s="14">
        <v>5000</v>
      </c>
      <c r="R5202" s="12">
        <v>100</v>
      </c>
      <c r="S5202" s="12" t="s">
        <v>6284</v>
      </c>
      <c r="T5202" s="22">
        <f t="shared" si="448"/>
        <v>8</v>
      </c>
      <c r="U5202" s="22">
        <f t="shared" si="449"/>
        <v>2022</v>
      </c>
      <c r="V5202" s="22" t="str">
        <f t="shared" si="450"/>
        <v>METROPOLITANA</v>
      </c>
    </row>
    <row r="5203" spans="1:22" x14ac:dyDescent="0.2">
      <c r="A5203" s="11" t="s">
        <v>6279</v>
      </c>
      <c r="B5203" s="12" t="s">
        <v>33</v>
      </c>
      <c r="C5203" s="12" t="s">
        <v>44</v>
      </c>
      <c r="D5203" s="12" t="s">
        <v>47</v>
      </c>
      <c r="E5203" s="13" t="s">
        <v>49</v>
      </c>
      <c r="F5203" s="12" t="s">
        <v>26</v>
      </c>
      <c r="G5203" s="14">
        <v>4079.94</v>
      </c>
      <c r="H5203" s="12" t="s">
        <v>22</v>
      </c>
      <c r="I5203" s="12">
        <v>0</v>
      </c>
      <c r="J5203" s="12" t="s">
        <v>26</v>
      </c>
      <c r="K5203" s="12" t="s">
        <v>23</v>
      </c>
      <c r="L5203" s="12">
        <v>4</v>
      </c>
      <c r="M5203" s="15">
        <v>55000</v>
      </c>
      <c r="N5203" s="15">
        <v>0</v>
      </c>
      <c r="O5203" s="15">
        <f t="shared" si="446"/>
        <v>55000</v>
      </c>
      <c r="P5203" s="15">
        <f t="shared" si="447"/>
        <v>13.480590400839228</v>
      </c>
      <c r="Q5203" s="14">
        <v>5000</v>
      </c>
      <c r="R5203" s="12">
        <v>82</v>
      </c>
      <c r="S5203" s="12" t="s">
        <v>6285</v>
      </c>
      <c r="T5203" s="22">
        <f t="shared" si="448"/>
        <v>8</v>
      </c>
      <c r="U5203" s="22">
        <f t="shared" si="449"/>
        <v>2022</v>
      </c>
      <c r="V5203" s="22" t="str">
        <f t="shared" si="450"/>
        <v>METROPOLITANA</v>
      </c>
    </row>
    <row r="5204" spans="1:22" x14ac:dyDescent="0.2">
      <c r="A5204" s="11" t="s">
        <v>6279</v>
      </c>
      <c r="B5204" s="12" t="s">
        <v>33</v>
      </c>
      <c r="C5204" s="12" t="s">
        <v>44</v>
      </c>
      <c r="D5204" s="12" t="s">
        <v>20</v>
      </c>
      <c r="E5204" s="13" t="s">
        <v>21</v>
      </c>
      <c r="F5204" s="12" t="s">
        <v>51</v>
      </c>
      <c r="G5204" s="14">
        <v>3622.400000000001</v>
      </c>
      <c r="H5204" s="12" t="s">
        <v>22</v>
      </c>
      <c r="I5204" s="12">
        <v>0</v>
      </c>
      <c r="J5204" s="12" t="s">
        <v>51</v>
      </c>
      <c r="K5204" s="12" t="s">
        <v>23</v>
      </c>
      <c r="L5204" s="12">
        <v>4</v>
      </c>
      <c r="M5204" s="15">
        <v>55000</v>
      </c>
      <c r="N5204" s="15">
        <v>0</v>
      </c>
      <c r="O5204" s="15">
        <f t="shared" si="446"/>
        <v>55000</v>
      </c>
      <c r="P5204" s="15">
        <f t="shared" si="447"/>
        <v>15.18330388692579</v>
      </c>
      <c r="Q5204" s="14">
        <v>5000</v>
      </c>
      <c r="R5204" s="12">
        <v>72</v>
      </c>
      <c r="S5204" s="12" t="s">
        <v>6286</v>
      </c>
      <c r="T5204" s="22">
        <f t="shared" si="448"/>
        <v>8</v>
      </c>
      <c r="U5204" s="22">
        <f t="shared" si="449"/>
        <v>2022</v>
      </c>
      <c r="V5204" s="22" t="str">
        <f t="shared" si="450"/>
        <v>METROPOLITANA</v>
      </c>
    </row>
    <row r="5205" spans="1:22" x14ac:dyDescent="0.2">
      <c r="A5205" s="23" t="s">
        <v>6289</v>
      </c>
      <c r="B5205" s="22" t="s">
        <v>33</v>
      </c>
      <c r="C5205" s="22" t="s">
        <v>128</v>
      </c>
      <c r="D5205" s="22" t="s">
        <v>2955</v>
      </c>
      <c r="E5205" s="24">
        <v>65941082</v>
      </c>
      <c r="F5205" s="22" t="s">
        <v>129</v>
      </c>
      <c r="G5205" s="25">
        <v>11580.38</v>
      </c>
      <c r="H5205" s="22" t="s">
        <v>24</v>
      </c>
      <c r="I5205" s="22">
        <v>1</v>
      </c>
      <c r="J5205" s="22" t="s">
        <v>129</v>
      </c>
      <c r="K5205" s="22" t="s">
        <v>23</v>
      </c>
      <c r="L5205" s="22">
        <v>1</v>
      </c>
      <c r="M5205" s="26">
        <v>127384</v>
      </c>
      <c r="N5205" s="26">
        <v>0</v>
      </c>
      <c r="O5205" s="15">
        <f t="shared" ref="O5205:O5268" si="451">SUM(M5205:N5205)</f>
        <v>127384</v>
      </c>
      <c r="P5205" s="15">
        <f t="shared" si="447"/>
        <v>10.999984456468614</v>
      </c>
      <c r="Q5205" s="25">
        <v>5000</v>
      </c>
      <c r="R5205" s="22">
        <v>100</v>
      </c>
      <c r="S5205" s="22" t="s">
        <v>6290</v>
      </c>
      <c r="T5205" s="22">
        <f t="shared" si="448"/>
        <v>8</v>
      </c>
      <c r="U5205" s="22">
        <f t="shared" si="449"/>
        <v>2022</v>
      </c>
      <c r="V5205" s="22" t="str">
        <f t="shared" si="450"/>
        <v>METROPOLITANA</v>
      </c>
    </row>
    <row r="5206" spans="1:22" x14ac:dyDescent="0.2">
      <c r="A5206" s="23" t="s">
        <v>6289</v>
      </c>
      <c r="B5206" s="22" t="s">
        <v>33</v>
      </c>
      <c r="C5206" s="22" t="s">
        <v>5851</v>
      </c>
      <c r="D5206" s="22" t="s">
        <v>2955</v>
      </c>
      <c r="E5206" s="24">
        <v>65941082</v>
      </c>
      <c r="F5206" s="22" t="s">
        <v>274</v>
      </c>
      <c r="G5206" s="25">
        <v>13877.19999999999</v>
      </c>
      <c r="H5206" s="22" t="s">
        <v>24</v>
      </c>
      <c r="I5206" s="22">
        <v>1</v>
      </c>
      <c r="J5206" s="22" t="s">
        <v>274</v>
      </c>
      <c r="K5206" s="22" t="s">
        <v>78</v>
      </c>
      <c r="L5206" s="22">
        <v>0</v>
      </c>
      <c r="M5206" s="26">
        <v>275000</v>
      </c>
      <c r="N5206" s="26">
        <v>0</v>
      </c>
      <c r="O5206" s="15">
        <f t="shared" si="451"/>
        <v>275000</v>
      </c>
      <c r="P5206" s="15">
        <f t="shared" si="447"/>
        <v>19.816677715965771</v>
      </c>
      <c r="Q5206" s="25">
        <v>20000</v>
      </c>
      <c r="R5206" s="22">
        <v>69</v>
      </c>
      <c r="S5206" s="22" t="s">
        <v>6291</v>
      </c>
      <c r="T5206" s="22">
        <f t="shared" si="448"/>
        <v>8</v>
      </c>
      <c r="U5206" s="22">
        <f t="shared" si="449"/>
        <v>2022</v>
      </c>
      <c r="V5206" s="22" t="str">
        <f t="shared" si="450"/>
        <v>REGIONES</v>
      </c>
    </row>
    <row r="5207" spans="1:22" x14ac:dyDescent="0.2">
      <c r="A5207" s="23" t="s">
        <v>6289</v>
      </c>
      <c r="B5207" s="22" t="s">
        <v>33</v>
      </c>
      <c r="C5207" s="22" t="s">
        <v>36</v>
      </c>
      <c r="D5207" s="22" t="s">
        <v>41</v>
      </c>
      <c r="E5207" s="24">
        <v>125108660</v>
      </c>
      <c r="F5207" s="22" t="s">
        <v>89</v>
      </c>
      <c r="G5207" s="25">
        <v>2148.9</v>
      </c>
      <c r="H5207" s="22" t="s">
        <v>43</v>
      </c>
      <c r="I5207" s="22">
        <v>0</v>
      </c>
      <c r="J5207" s="22" t="s">
        <v>89</v>
      </c>
      <c r="K5207" s="22" t="s">
        <v>23</v>
      </c>
      <c r="L5207" s="22">
        <v>5</v>
      </c>
      <c r="M5207" s="26">
        <v>90000</v>
      </c>
      <c r="N5207" s="26">
        <v>0</v>
      </c>
      <c r="O5207" s="15">
        <f t="shared" si="451"/>
        <v>90000</v>
      </c>
      <c r="P5207" s="15">
        <f t="shared" si="447"/>
        <v>41.88189306156638</v>
      </c>
      <c r="Q5207" s="25">
        <v>10000</v>
      </c>
      <c r="R5207" s="22">
        <v>21</v>
      </c>
      <c r="S5207" s="22" t="s">
        <v>6292</v>
      </c>
      <c r="T5207" s="22">
        <f t="shared" si="448"/>
        <v>8</v>
      </c>
      <c r="U5207" s="22">
        <f t="shared" si="449"/>
        <v>2022</v>
      </c>
      <c r="V5207" s="22" t="str">
        <f t="shared" si="450"/>
        <v>METROPOLITANA</v>
      </c>
    </row>
    <row r="5208" spans="1:22" x14ac:dyDescent="0.2">
      <c r="A5208" s="23" t="s">
        <v>6289</v>
      </c>
      <c r="B5208" s="22" t="s">
        <v>33</v>
      </c>
      <c r="C5208" s="22" t="s">
        <v>29</v>
      </c>
      <c r="D5208" s="22" t="s">
        <v>38</v>
      </c>
      <c r="E5208" s="24">
        <v>53173292</v>
      </c>
      <c r="F5208" s="22" t="s">
        <v>39</v>
      </c>
      <c r="G5208" s="25">
        <v>7776</v>
      </c>
      <c r="H5208" s="22" t="s">
        <v>43</v>
      </c>
      <c r="I5208" s="22">
        <v>0</v>
      </c>
      <c r="J5208" s="22" t="s">
        <v>39</v>
      </c>
      <c r="K5208" s="22" t="s">
        <v>23</v>
      </c>
      <c r="L5208" s="22">
        <v>1</v>
      </c>
      <c r="M5208" s="26">
        <v>85536</v>
      </c>
      <c r="N5208" s="26">
        <v>0</v>
      </c>
      <c r="O5208" s="15">
        <f t="shared" si="451"/>
        <v>85536</v>
      </c>
      <c r="P5208" s="15">
        <f t="shared" si="447"/>
        <v>11</v>
      </c>
      <c r="Q5208" s="25">
        <v>5000</v>
      </c>
      <c r="R5208" s="22">
        <v>100</v>
      </c>
      <c r="S5208" s="22" t="s">
        <v>6293</v>
      </c>
      <c r="T5208" s="22">
        <f t="shared" si="448"/>
        <v>8</v>
      </c>
      <c r="U5208" s="22">
        <f t="shared" si="449"/>
        <v>2022</v>
      </c>
      <c r="V5208" s="22" t="str">
        <f t="shared" si="450"/>
        <v>METROPOLITANA</v>
      </c>
    </row>
    <row r="5209" spans="1:22" x14ac:dyDescent="0.2">
      <c r="A5209" s="23" t="s">
        <v>6289</v>
      </c>
      <c r="B5209" s="22" t="s">
        <v>33</v>
      </c>
      <c r="C5209" s="22" t="s">
        <v>29</v>
      </c>
      <c r="D5209" s="22" t="s">
        <v>164</v>
      </c>
      <c r="E5209" s="24">
        <v>154837728</v>
      </c>
      <c r="F5209" s="22" t="s">
        <v>39</v>
      </c>
      <c r="G5209" s="25">
        <v>12351.259999999989</v>
      </c>
      <c r="H5209" s="22" t="s">
        <v>22</v>
      </c>
      <c r="I5209" s="22">
        <v>1</v>
      </c>
      <c r="J5209" s="22" t="s">
        <v>39</v>
      </c>
      <c r="K5209" s="22" t="s">
        <v>23</v>
      </c>
      <c r="L5209" s="22">
        <v>1</v>
      </c>
      <c r="M5209" s="26">
        <v>135864</v>
      </c>
      <c r="N5209" s="26">
        <v>0</v>
      </c>
      <c r="O5209" s="15">
        <f t="shared" si="451"/>
        <v>135864</v>
      </c>
      <c r="P5209" s="15">
        <f t="shared" si="447"/>
        <v>11.000011334875966</v>
      </c>
      <c r="Q5209" s="25">
        <v>5000</v>
      </c>
      <c r="R5209" s="22">
        <v>100</v>
      </c>
      <c r="S5209" s="22" t="s">
        <v>6294</v>
      </c>
      <c r="T5209" s="22">
        <f t="shared" si="448"/>
        <v>8</v>
      </c>
      <c r="U5209" s="22">
        <f t="shared" si="449"/>
        <v>2022</v>
      </c>
      <c r="V5209" s="22" t="str">
        <f t="shared" si="450"/>
        <v>METROPOLITANA</v>
      </c>
    </row>
    <row r="5210" spans="1:22" x14ac:dyDescent="0.2">
      <c r="A5210" s="23" t="s">
        <v>6289</v>
      </c>
      <c r="B5210" s="22" t="s">
        <v>33</v>
      </c>
      <c r="C5210" s="22" t="s">
        <v>44</v>
      </c>
      <c r="D5210" s="22" t="s">
        <v>4569</v>
      </c>
      <c r="E5210" s="24">
        <v>98494073</v>
      </c>
      <c r="F5210" s="22" t="s">
        <v>92</v>
      </c>
      <c r="G5210" s="25">
        <f>5534.37+4331</f>
        <v>9865.369999999999</v>
      </c>
      <c r="H5210" s="22" t="s">
        <v>24</v>
      </c>
      <c r="I5210" s="22">
        <v>1</v>
      </c>
      <c r="J5210" s="22" t="s">
        <v>92</v>
      </c>
      <c r="K5210" s="22" t="s">
        <v>93</v>
      </c>
      <c r="L5210" s="22">
        <v>0</v>
      </c>
      <c r="M5210" s="26">
        <v>700000</v>
      </c>
      <c r="N5210" s="26">
        <v>0</v>
      </c>
      <c r="O5210" s="15">
        <f t="shared" si="451"/>
        <v>700000</v>
      </c>
      <c r="P5210" s="15">
        <f t="shared" si="447"/>
        <v>70.95527081092753</v>
      </c>
      <c r="Q5210" s="25">
        <v>20000</v>
      </c>
      <c r="R5210" s="22">
        <v>58</v>
      </c>
      <c r="S5210" s="22" t="s">
        <v>6296</v>
      </c>
      <c r="T5210" s="22">
        <f t="shared" si="448"/>
        <v>8</v>
      </c>
      <c r="U5210" s="22">
        <f t="shared" si="449"/>
        <v>2022</v>
      </c>
      <c r="V5210" s="22" t="str">
        <f t="shared" si="450"/>
        <v>REGIONES</v>
      </c>
    </row>
    <row r="5211" spans="1:22" x14ac:dyDescent="0.2">
      <c r="A5211" s="23" t="s">
        <v>6289</v>
      </c>
      <c r="B5211" s="22" t="s">
        <v>33</v>
      </c>
      <c r="C5211" s="22" t="s">
        <v>44</v>
      </c>
      <c r="D5211" s="22" t="s">
        <v>47</v>
      </c>
      <c r="E5211" s="24">
        <v>107643206</v>
      </c>
      <c r="F5211" s="22" t="s">
        <v>94</v>
      </c>
      <c r="G5211" s="25">
        <v>5148.3799999999992</v>
      </c>
      <c r="H5211" s="22" t="s">
        <v>22</v>
      </c>
      <c r="I5211" s="22">
        <v>0</v>
      </c>
      <c r="J5211" s="22" t="s">
        <v>59</v>
      </c>
      <c r="K5211" s="22" t="s">
        <v>78</v>
      </c>
      <c r="L5211" s="22">
        <v>0</v>
      </c>
      <c r="M5211" s="26">
        <v>203000</v>
      </c>
      <c r="N5211" s="26">
        <v>0</v>
      </c>
      <c r="O5211" s="15">
        <f t="shared" si="451"/>
        <v>203000</v>
      </c>
      <c r="P5211" s="15">
        <f t="shared" si="447"/>
        <v>39.429878913366927</v>
      </c>
      <c r="Q5211" s="25">
        <v>20000</v>
      </c>
      <c r="R5211" s="22">
        <v>26</v>
      </c>
      <c r="S5211" s="22" t="s">
        <v>6295</v>
      </c>
      <c r="T5211" s="22">
        <f t="shared" si="448"/>
        <v>8</v>
      </c>
      <c r="U5211" s="22">
        <f t="shared" si="449"/>
        <v>2022</v>
      </c>
      <c r="V5211" s="22" t="str">
        <f t="shared" si="450"/>
        <v>REGIONES</v>
      </c>
    </row>
    <row r="5212" spans="1:22" x14ac:dyDescent="0.2">
      <c r="A5212" s="11" t="s">
        <v>6297</v>
      </c>
      <c r="B5212" s="12" t="s">
        <v>18</v>
      </c>
      <c r="C5212" s="12" t="s">
        <v>36</v>
      </c>
      <c r="D5212" s="12" t="s">
        <v>38</v>
      </c>
      <c r="E5212" s="13" t="s">
        <v>42</v>
      </c>
      <c r="F5212" s="12" t="s">
        <v>129</v>
      </c>
      <c r="G5212" s="14">
        <v>4359.9399999999996</v>
      </c>
      <c r="H5212" s="12" t="s">
        <v>43</v>
      </c>
      <c r="I5212" s="12">
        <v>0</v>
      </c>
      <c r="J5212" s="12" t="s">
        <v>129</v>
      </c>
      <c r="K5212" s="12" t="s">
        <v>23</v>
      </c>
      <c r="L5212" s="12">
        <v>1</v>
      </c>
      <c r="M5212" s="15">
        <v>55000</v>
      </c>
      <c r="N5212" s="15">
        <v>0</v>
      </c>
      <c r="O5212" s="15">
        <f t="shared" si="451"/>
        <v>55000</v>
      </c>
      <c r="P5212" s="15">
        <f t="shared" si="447"/>
        <v>12.614852497970157</v>
      </c>
      <c r="Q5212" s="14">
        <v>5000</v>
      </c>
      <c r="R5212" s="12">
        <v>87</v>
      </c>
      <c r="S5212" s="12" t="s">
        <v>6298</v>
      </c>
      <c r="T5212" s="22">
        <f t="shared" si="448"/>
        <v>8</v>
      </c>
      <c r="U5212" s="22">
        <f t="shared" si="449"/>
        <v>2022</v>
      </c>
      <c r="V5212" s="22" t="str">
        <f t="shared" si="450"/>
        <v>METROPOLITANA</v>
      </c>
    </row>
    <row r="5213" spans="1:22" x14ac:dyDescent="0.2">
      <c r="A5213" s="11" t="s">
        <v>6297</v>
      </c>
      <c r="B5213" s="12" t="s">
        <v>33</v>
      </c>
      <c r="C5213" s="12" t="s">
        <v>270</v>
      </c>
      <c r="D5213" s="12" t="s">
        <v>20</v>
      </c>
      <c r="E5213" s="13" t="s">
        <v>21</v>
      </c>
      <c r="F5213" s="12" t="s">
        <v>120</v>
      </c>
      <c r="G5213" s="14">
        <v>7963.5000000000027</v>
      </c>
      <c r="H5213" s="12" t="s">
        <v>22</v>
      </c>
      <c r="I5213" s="12">
        <v>0</v>
      </c>
      <c r="J5213" s="12" t="s">
        <v>120</v>
      </c>
      <c r="K5213" s="12" t="s">
        <v>23</v>
      </c>
      <c r="L5213" s="12">
        <v>5</v>
      </c>
      <c r="M5213" s="15">
        <v>70000</v>
      </c>
      <c r="N5213" s="15">
        <v>0</v>
      </c>
      <c r="O5213" s="15">
        <f t="shared" si="451"/>
        <v>70000</v>
      </c>
      <c r="P5213" s="15">
        <f t="shared" si="447"/>
        <v>8.7901048533936059</v>
      </c>
      <c r="Q5213" s="14">
        <v>10000</v>
      </c>
      <c r="R5213" s="12">
        <v>80</v>
      </c>
      <c r="S5213" s="12" t="s">
        <v>6299</v>
      </c>
      <c r="T5213" s="22">
        <f t="shared" si="448"/>
        <v>8</v>
      </c>
      <c r="U5213" s="22">
        <f t="shared" si="449"/>
        <v>2022</v>
      </c>
      <c r="V5213" s="22" t="str">
        <f t="shared" si="450"/>
        <v>METROPOLITANA</v>
      </c>
    </row>
    <row r="5214" spans="1:22" x14ac:dyDescent="0.2">
      <c r="A5214" s="11" t="s">
        <v>6297</v>
      </c>
      <c r="B5214" s="12" t="s">
        <v>33</v>
      </c>
      <c r="C5214" s="12" t="s">
        <v>3334</v>
      </c>
      <c r="D5214" s="12" t="s">
        <v>41</v>
      </c>
      <c r="E5214" s="13" t="s">
        <v>25</v>
      </c>
      <c r="F5214" s="12" t="s">
        <v>129</v>
      </c>
      <c r="G5214" s="14">
        <v>2834</v>
      </c>
      <c r="H5214" s="12" t="s">
        <v>43</v>
      </c>
      <c r="I5214" s="12">
        <v>0</v>
      </c>
      <c r="J5214" s="12" t="s">
        <v>129</v>
      </c>
      <c r="K5214" s="12" t="s">
        <v>23</v>
      </c>
      <c r="L5214" s="12">
        <v>1</v>
      </c>
      <c r="M5214" s="15">
        <v>55000</v>
      </c>
      <c r="N5214" s="15">
        <v>0</v>
      </c>
      <c r="O5214" s="15">
        <f t="shared" si="451"/>
        <v>55000</v>
      </c>
      <c r="P5214" s="15">
        <f t="shared" si="447"/>
        <v>19.407198306280875</v>
      </c>
      <c r="Q5214" s="14">
        <v>5000</v>
      </c>
      <c r="R5214" s="12">
        <v>57</v>
      </c>
      <c r="S5214" s="12" t="s">
        <v>6300</v>
      </c>
      <c r="T5214" s="22">
        <f t="shared" si="448"/>
        <v>8</v>
      </c>
      <c r="U5214" s="22">
        <f t="shared" si="449"/>
        <v>2022</v>
      </c>
      <c r="V5214" s="22" t="str">
        <f t="shared" si="450"/>
        <v>METROPOLITANA</v>
      </c>
    </row>
    <row r="5215" spans="1:22" x14ac:dyDescent="0.2">
      <c r="A5215" s="11" t="s">
        <v>6297</v>
      </c>
      <c r="B5215" s="12" t="s">
        <v>33</v>
      </c>
      <c r="C5215" s="12" t="s">
        <v>29</v>
      </c>
      <c r="D5215" s="12" t="s">
        <v>37</v>
      </c>
      <c r="E5215" s="13" t="s">
        <v>40</v>
      </c>
      <c r="F5215" s="12" t="s">
        <v>134</v>
      </c>
      <c r="G5215" s="14">
        <v>15007.999999999991</v>
      </c>
      <c r="H5215" s="12" t="s">
        <v>22</v>
      </c>
      <c r="I5215" s="12">
        <v>0</v>
      </c>
      <c r="J5215" s="12" t="s">
        <v>134</v>
      </c>
      <c r="K5215" s="12" t="s">
        <v>23</v>
      </c>
      <c r="L5215" s="12">
        <v>2</v>
      </c>
      <c r="M5215" s="15">
        <v>165088</v>
      </c>
      <c r="N5215" s="15">
        <v>0</v>
      </c>
      <c r="O5215" s="15">
        <f t="shared" si="451"/>
        <v>165088</v>
      </c>
      <c r="P5215" s="15">
        <f t="shared" si="447"/>
        <v>11.000000000000007</v>
      </c>
      <c r="Q5215" s="14">
        <v>5000</v>
      </c>
      <c r="R5215" s="12">
        <v>100</v>
      </c>
      <c r="S5215" s="12" t="s">
        <v>6301</v>
      </c>
      <c r="T5215" s="22">
        <f t="shared" si="448"/>
        <v>8</v>
      </c>
      <c r="U5215" s="22">
        <f t="shared" si="449"/>
        <v>2022</v>
      </c>
      <c r="V5215" s="22" t="str">
        <f t="shared" si="450"/>
        <v>METROPOLITANA</v>
      </c>
    </row>
    <row r="5216" spans="1:22" x14ac:dyDescent="0.2">
      <c r="A5216" s="11" t="s">
        <v>6297</v>
      </c>
      <c r="B5216" s="12" t="s">
        <v>33</v>
      </c>
      <c r="C5216" s="12" t="s">
        <v>44</v>
      </c>
      <c r="D5216" s="12" t="s">
        <v>45</v>
      </c>
      <c r="E5216" s="13" t="s">
        <v>1576</v>
      </c>
      <c r="F5216" s="12" t="s">
        <v>95</v>
      </c>
      <c r="G5216" s="14">
        <v>3168.8</v>
      </c>
      <c r="H5216" s="12" t="s">
        <v>22</v>
      </c>
      <c r="I5216" s="12">
        <v>0</v>
      </c>
      <c r="J5216" s="12" t="s">
        <v>95</v>
      </c>
      <c r="K5216" s="12" t="s">
        <v>23</v>
      </c>
      <c r="L5216" s="12">
        <v>4</v>
      </c>
      <c r="M5216" s="15">
        <v>55000</v>
      </c>
      <c r="N5216" s="15">
        <v>0</v>
      </c>
      <c r="O5216" s="15">
        <f t="shared" si="451"/>
        <v>55000</v>
      </c>
      <c r="P5216" s="15">
        <f t="shared" si="447"/>
        <v>17.356728098964908</v>
      </c>
      <c r="Q5216" s="14">
        <v>5000</v>
      </c>
      <c r="R5216" s="12">
        <v>63</v>
      </c>
      <c r="S5216" s="12" t="s">
        <v>6302</v>
      </c>
      <c r="T5216" s="22">
        <f t="shared" si="448"/>
        <v>8</v>
      </c>
      <c r="U5216" s="22">
        <f t="shared" si="449"/>
        <v>2022</v>
      </c>
      <c r="V5216" s="22" t="str">
        <f t="shared" si="450"/>
        <v>METROPOLITANA</v>
      </c>
    </row>
    <row r="5217" spans="1:22" x14ac:dyDescent="0.2">
      <c r="A5217" s="11" t="s">
        <v>6297</v>
      </c>
      <c r="B5217" s="12" t="s">
        <v>33</v>
      </c>
      <c r="C5217" s="12" t="s">
        <v>44</v>
      </c>
      <c r="D5217" s="12" t="s">
        <v>47</v>
      </c>
      <c r="E5217" s="13" t="s">
        <v>49</v>
      </c>
      <c r="F5217" s="12" t="s">
        <v>46</v>
      </c>
      <c r="G5217" s="14">
        <v>4413.4000000000005</v>
      </c>
      <c r="H5217" s="12" t="s">
        <v>22</v>
      </c>
      <c r="I5217" s="12">
        <v>0</v>
      </c>
      <c r="J5217" s="12" t="s">
        <v>46</v>
      </c>
      <c r="K5217" s="12" t="s">
        <v>23</v>
      </c>
      <c r="L5217" s="12">
        <v>2</v>
      </c>
      <c r="M5217" s="15">
        <v>55000</v>
      </c>
      <c r="N5217" s="15">
        <v>0</v>
      </c>
      <c r="O5217" s="15">
        <f t="shared" si="451"/>
        <v>55000</v>
      </c>
      <c r="P5217" s="15">
        <f t="shared" ref="P5217:P5280" si="452">O5217/G5217</f>
        <v>12.462047401096658</v>
      </c>
      <c r="Q5217" s="14">
        <v>5000</v>
      </c>
      <c r="R5217" s="12">
        <v>88</v>
      </c>
      <c r="S5217" s="12" t="s">
        <v>6303</v>
      </c>
      <c r="T5217" s="22">
        <f t="shared" si="448"/>
        <v>8</v>
      </c>
      <c r="U5217" s="22">
        <f t="shared" si="449"/>
        <v>2022</v>
      </c>
      <c r="V5217" s="22" t="str">
        <f t="shared" si="450"/>
        <v>METROPOLITANA</v>
      </c>
    </row>
    <row r="5218" spans="1:22" x14ac:dyDescent="0.2">
      <c r="A5218" s="23" t="s">
        <v>6304</v>
      </c>
      <c r="B5218" s="22" t="s">
        <v>18</v>
      </c>
      <c r="C5218" s="22" t="s">
        <v>19</v>
      </c>
      <c r="D5218" s="22" t="s">
        <v>5128</v>
      </c>
      <c r="E5218" s="24">
        <v>78778555</v>
      </c>
      <c r="F5218" s="22" t="s">
        <v>407</v>
      </c>
      <c r="G5218" s="25">
        <v>21081.100000000009</v>
      </c>
      <c r="H5218" s="22" t="s">
        <v>24</v>
      </c>
      <c r="I5218" s="22">
        <v>1</v>
      </c>
      <c r="J5218" s="22" t="s">
        <v>407</v>
      </c>
      <c r="K5218" s="22" t="s">
        <v>408</v>
      </c>
      <c r="L5218" s="22">
        <v>0</v>
      </c>
      <c r="M5218" s="26">
        <v>400000</v>
      </c>
      <c r="N5218" s="26">
        <v>0</v>
      </c>
      <c r="O5218" s="15">
        <f t="shared" si="451"/>
        <v>400000</v>
      </c>
      <c r="P5218" s="15">
        <f t="shared" si="452"/>
        <v>18.974341946103372</v>
      </c>
      <c r="Q5218" s="25">
        <v>20000</v>
      </c>
      <c r="R5218" s="22">
        <v>100</v>
      </c>
      <c r="S5218" s="22" t="s">
        <v>6305</v>
      </c>
      <c r="T5218" s="22">
        <f t="shared" si="448"/>
        <v>8</v>
      </c>
      <c r="U5218" s="22">
        <f t="shared" si="449"/>
        <v>2022</v>
      </c>
      <c r="V5218" s="22" t="str">
        <f t="shared" si="450"/>
        <v>REGIONES</v>
      </c>
    </row>
    <row r="5219" spans="1:22" x14ac:dyDescent="0.2">
      <c r="A5219" s="23" t="s">
        <v>6304</v>
      </c>
      <c r="B5219" s="22" t="s">
        <v>33</v>
      </c>
      <c r="C5219" s="22" t="s">
        <v>57</v>
      </c>
      <c r="D5219" s="22" t="s">
        <v>38</v>
      </c>
      <c r="E5219" s="24">
        <v>53173294</v>
      </c>
      <c r="F5219" s="22" t="s">
        <v>58</v>
      </c>
      <c r="G5219" s="25">
        <v>6480</v>
      </c>
      <c r="H5219" s="22" t="s">
        <v>43</v>
      </c>
      <c r="I5219" s="22">
        <v>0</v>
      </c>
      <c r="J5219" s="22" t="s">
        <v>58</v>
      </c>
      <c r="K5219" s="22" t="s">
        <v>23</v>
      </c>
      <c r="L5219" s="22">
        <v>5</v>
      </c>
      <c r="M5219" s="26">
        <v>70000</v>
      </c>
      <c r="N5219" s="26">
        <v>0</v>
      </c>
      <c r="O5219" s="15">
        <f t="shared" si="451"/>
        <v>70000</v>
      </c>
      <c r="P5219" s="15">
        <f t="shared" si="452"/>
        <v>10.802469135802468</v>
      </c>
      <c r="Q5219" s="25">
        <v>10000</v>
      </c>
      <c r="R5219" s="22">
        <v>65</v>
      </c>
      <c r="S5219" s="22" t="s">
        <v>6306</v>
      </c>
      <c r="T5219" s="22">
        <f t="shared" si="448"/>
        <v>8</v>
      </c>
      <c r="U5219" s="22">
        <f t="shared" si="449"/>
        <v>2022</v>
      </c>
      <c r="V5219" s="22" t="str">
        <f t="shared" si="450"/>
        <v>METROPOLITANA</v>
      </c>
    </row>
    <row r="5220" spans="1:22" x14ac:dyDescent="0.2">
      <c r="A5220" s="23" t="s">
        <v>6304</v>
      </c>
      <c r="B5220" s="22" t="s">
        <v>33</v>
      </c>
      <c r="C5220" s="22" t="s">
        <v>36</v>
      </c>
      <c r="D5220" s="22" t="s">
        <v>5718</v>
      </c>
      <c r="E5220" s="24">
        <v>172861164</v>
      </c>
      <c r="F5220" s="22" t="s">
        <v>170</v>
      </c>
      <c r="G5220" s="25">
        <f>2725.2+2484</f>
        <v>5209.2</v>
      </c>
      <c r="H5220" s="22" t="s">
        <v>24</v>
      </c>
      <c r="I5220" s="22">
        <v>1</v>
      </c>
      <c r="J5220" s="22" t="s">
        <v>170</v>
      </c>
      <c r="K5220" s="22" t="s">
        <v>171</v>
      </c>
      <c r="L5220" s="22">
        <v>0</v>
      </c>
      <c r="M5220" s="26">
        <v>250000</v>
      </c>
      <c r="N5220" s="26">
        <v>0</v>
      </c>
      <c r="O5220" s="15">
        <f t="shared" si="451"/>
        <v>250000</v>
      </c>
      <c r="P5220" s="15">
        <f t="shared" si="452"/>
        <v>47.992014128848965</v>
      </c>
      <c r="Q5220" s="25">
        <v>20000</v>
      </c>
      <c r="R5220" s="22">
        <v>55</v>
      </c>
      <c r="S5220" s="22" t="s">
        <v>6310</v>
      </c>
      <c r="T5220" s="22">
        <f t="shared" si="448"/>
        <v>8</v>
      </c>
      <c r="U5220" s="22">
        <f t="shared" si="449"/>
        <v>2022</v>
      </c>
      <c r="V5220" s="22" t="str">
        <f t="shared" si="450"/>
        <v>REGIONES</v>
      </c>
    </row>
    <row r="5221" spans="1:22" x14ac:dyDescent="0.2">
      <c r="A5221" s="23" t="s">
        <v>6304</v>
      </c>
      <c r="B5221" s="22" t="s">
        <v>33</v>
      </c>
      <c r="C5221" s="22" t="s">
        <v>29</v>
      </c>
      <c r="D5221" s="22" t="s">
        <v>47</v>
      </c>
      <c r="E5221" s="24">
        <v>107643206</v>
      </c>
      <c r="F5221" s="22" t="s">
        <v>134</v>
      </c>
      <c r="G5221" s="25">
        <v>4502.3999999999996</v>
      </c>
      <c r="H5221" s="22" t="s">
        <v>22</v>
      </c>
      <c r="I5221" s="22">
        <v>0</v>
      </c>
      <c r="J5221" s="22" t="s">
        <v>134</v>
      </c>
      <c r="K5221" s="22" t="s">
        <v>23</v>
      </c>
      <c r="L5221" s="22">
        <v>2</v>
      </c>
      <c r="M5221" s="26">
        <v>55000</v>
      </c>
      <c r="N5221" s="26">
        <v>0</v>
      </c>
      <c r="O5221" s="15">
        <f t="shared" si="451"/>
        <v>55000</v>
      </c>
      <c r="P5221" s="15">
        <f t="shared" si="452"/>
        <v>12.215707178393746</v>
      </c>
      <c r="Q5221" s="25">
        <v>5000</v>
      </c>
      <c r="R5221" s="22">
        <v>90</v>
      </c>
      <c r="S5221" s="22" t="s">
        <v>6307</v>
      </c>
      <c r="T5221" s="22">
        <f t="shared" si="448"/>
        <v>8</v>
      </c>
      <c r="U5221" s="22">
        <f t="shared" si="449"/>
        <v>2022</v>
      </c>
      <c r="V5221" s="22" t="str">
        <f t="shared" si="450"/>
        <v>METROPOLITANA</v>
      </c>
    </row>
    <row r="5222" spans="1:22" x14ac:dyDescent="0.2">
      <c r="A5222" s="23" t="s">
        <v>6304</v>
      </c>
      <c r="B5222" s="22" t="s">
        <v>33</v>
      </c>
      <c r="C5222" s="22" t="s">
        <v>29</v>
      </c>
      <c r="D5222" s="22" t="s">
        <v>164</v>
      </c>
      <c r="E5222" s="24">
        <v>154837728</v>
      </c>
      <c r="F5222" s="22" t="s">
        <v>39</v>
      </c>
      <c r="G5222" s="25">
        <v>15066.599999999989</v>
      </c>
      <c r="H5222" s="22" t="s">
        <v>22</v>
      </c>
      <c r="I5222" s="22">
        <v>1</v>
      </c>
      <c r="J5222" s="22" t="s">
        <v>39</v>
      </c>
      <c r="K5222" s="22" t="s">
        <v>23</v>
      </c>
      <c r="L5222" s="22">
        <v>1</v>
      </c>
      <c r="M5222" s="26">
        <v>165733</v>
      </c>
      <c r="N5222" s="26">
        <v>0</v>
      </c>
      <c r="O5222" s="15">
        <f t="shared" si="451"/>
        <v>165733</v>
      </c>
      <c r="P5222" s="15">
        <f t="shared" si="452"/>
        <v>11.000026548790046</v>
      </c>
      <c r="Q5222" s="25">
        <v>5000</v>
      </c>
      <c r="R5222" s="22">
        <v>100</v>
      </c>
      <c r="S5222" s="22" t="s">
        <v>6308</v>
      </c>
      <c r="T5222" s="22">
        <f t="shared" si="448"/>
        <v>8</v>
      </c>
      <c r="U5222" s="22">
        <f t="shared" si="449"/>
        <v>2022</v>
      </c>
      <c r="V5222" s="22" t="str">
        <f t="shared" si="450"/>
        <v>METROPOLITANA</v>
      </c>
    </row>
    <row r="5223" spans="1:22" x14ac:dyDescent="0.2">
      <c r="A5223" s="23" t="s">
        <v>6304</v>
      </c>
      <c r="B5223" s="22" t="s">
        <v>33</v>
      </c>
      <c r="C5223" s="22" t="s">
        <v>44</v>
      </c>
      <c r="D5223" s="22" t="s">
        <v>2825</v>
      </c>
      <c r="E5223" s="24">
        <v>113693568</v>
      </c>
      <c r="F5223" s="22" t="s">
        <v>1105</v>
      </c>
      <c r="G5223" s="25">
        <f>5241.98+2998</f>
        <v>8239.98</v>
      </c>
      <c r="H5223" s="22" t="s">
        <v>24</v>
      </c>
      <c r="I5223" s="22">
        <v>1</v>
      </c>
      <c r="J5223" s="22" t="s">
        <v>1105</v>
      </c>
      <c r="K5223" s="22" t="s">
        <v>873</v>
      </c>
      <c r="L5223" s="22">
        <v>0</v>
      </c>
      <c r="M5223" s="26">
        <v>950000</v>
      </c>
      <c r="N5223" s="26">
        <v>0</v>
      </c>
      <c r="O5223" s="15">
        <f t="shared" si="451"/>
        <v>950000</v>
      </c>
      <c r="P5223" s="15">
        <f t="shared" si="452"/>
        <v>115.29154196976206</v>
      </c>
      <c r="Q5223" s="25">
        <v>20000</v>
      </c>
      <c r="R5223" s="22">
        <v>55</v>
      </c>
      <c r="S5223" s="22" t="s">
        <v>6311</v>
      </c>
      <c r="T5223" s="22">
        <f t="shared" si="448"/>
        <v>8</v>
      </c>
      <c r="U5223" s="22">
        <f t="shared" si="449"/>
        <v>2022</v>
      </c>
      <c r="V5223" s="22" t="str">
        <f t="shared" si="450"/>
        <v>REGIONES</v>
      </c>
    </row>
    <row r="5224" spans="1:22" x14ac:dyDescent="0.2">
      <c r="A5224" s="23" t="s">
        <v>6304</v>
      </c>
      <c r="B5224" s="22" t="s">
        <v>33</v>
      </c>
      <c r="C5224" s="22" t="s">
        <v>44</v>
      </c>
      <c r="D5224" s="22" t="s">
        <v>311</v>
      </c>
      <c r="E5224" s="24">
        <v>92028607</v>
      </c>
      <c r="F5224" s="22" t="s">
        <v>84</v>
      </c>
      <c r="G5224" s="25">
        <v>8722.0800000000017</v>
      </c>
      <c r="H5224" s="22" t="s">
        <v>85</v>
      </c>
      <c r="I5224" s="22">
        <v>1</v>
      </c>
      <c r="J5224" s="22" t="s">
        <v>84</v>
      </c>
      <c r="K5224" s="22" t="s">
        <v>86</v>
      </c>
      <c r="L5224" s="22">
        <v>0</v>
      </c>
      <c r="M5224" s="26">
        <v>360000</v>
      </c>
      <c r="N5224" s="26">
        <v>0</v>
      </c>
      <c r="O5224" s="15">
        <f t="shared" si="451"/>
        <v>360000</v>
      </c>
      <c r="P5224" s="15">
        <f t="shared" si="452"/>
        <v>41.274558362225513</v>
      </c>
      <c r="Q5224" s="25">
        <v>20000</v>
      </c>
      <c r="R5224" s="22">
        <v>44</v>
      </c>
      <c r="S5224" s="22" t="s">
        <v>6309</v>
      </c>
      <c r="T5224" s="22">
        <f t="shared" si="448"/>
        <v>8</v>
      </c>
      <c r="U5224" s="22">
        <f t="shared" si="449"/>
        <v>2022</v>
      </c>
      <c r="V5224" s="22" t="str">
        <f t="shared" si="450"/>
        <v>REGIONES</v>
      </c>
    </row>
    <row r="5225" spans="1:22" x14ac:dyDescent="0.2">
      <c r="A5225" s="11" t="s">
        <v>6312</v>
      </c>
      <c r="B5225" s="12" t="s">
        <v>18</v>
      </c>
      <c r="C5225" s="12" t="s">
        <v>475</v>
      </c>
      <c r="D5225" s="12" t="s">
        <v>191</v>
      </c>
      <c r="E5225" s="13" t="s">
        <v>192</v>
      </c>
      <c r="F5225" s="12" t="s">
        <v>2639</v>
      </c>
      <c r="G5225" s="14">
        <v>16371.44</v>
      </c>
      <c r="H5225" s="12" t="s">
        <v>85</v>
      </c>
      <c r="I5225" s="12">
        <v>1</v>
      </c>
      <c r="J5225" s="12" t="s">
        <v>2639</v>
      </c>
      <c r="K5225" s="12" t="s">
        <v>75</v>
      </c>
      <c r="L5225" s="12">
        <v>0</v>
      </c>
      <c r="M5225" s="15">
        <v>460000</v>
      </c>
      <c r="N5225" s="15">
        <v>0</v>
      </c>
      <c r="O5225" s="15">
        <f t="shared" si="451"/>
        <v>460000</v>
      </c>
      <c r="P5225" s="15">
        <f t="shared" si="452"/>
        <v>28.097711624634119</v>
      </c>
      <c r="Q5225" s="14">
        <v>20000</v>
      </c>
      <c r="R5225" s="12">
        <v>82</v>
      </c>
      <c r="S5225" s="12" t="s">
        <v>6313</v>
      </c>
      <c r="T5225" s="22">
        <f t="shared" si="448"/>
        <v>8</v>
      </c>
      <c r="U5225" s="22">
        <f t="shared" si="449"/>
        <v>2022</v>
      </c>
      <c r="V5225" s="22" t="str">
        <f t="shared" si="450"/>
        <v>REGIONES</v>
      </c>
    </row>
    <row r="5226" spans="1:22" x14ac:dyDescent="0.2">
      <c r="A5226" s="11" t="s">
        <v>6312</v>
      </c>
      <c r="B5226" s="12" t="s">
        <v>18</v>
      </c>
      <c r="C5226" s="12" t="s">
        <v>19</v>
      </c>
      <c r="D5226" s="12" t="s">
        <v>786</v>
      </c>
      <c r="E5226" s="13" t="s">
        <v>787</v>
      </c>
      <c r="F5226" s="12" t="s">
        <v>407</v>
      </c>
      <c r="G5226" s="14">
        <v>19124.840000000011</v>
      </c>
      <c r="H5226" s="12" t="s">
        <v>788</v>
      </c>
      <c r="I5226" s="12">
        <v>1</v>
      </c>
      <c r="J5226" s="12" t="s">
        <v>407</v>
      </c>
      <c r="K5226" s="12" t="s">
        <v>408</v>
      </c>
      <c r="L5226" s="12">
        <v>0</v>
      </c>
      <c r="M5226" s="15">
        <v>400000</v>
      </c>
      <c r="N5226" s="15">
        <v>0</v>
      </c>
      <c r="O5226" s="15">
        <f t="shared" si="451"/>
        <v>400000</v>
      </c>
      <c r="P5226" s="15">
        <f t="shared" si="452"/>
        <v>20.915207656639208</v>
      </c>
      <c r="Q5226" s="14">
        <v>20000</v>
      </c>
      <c r="R5226" s="12">
        <v>96</v>
      </c>
      <c r="S5226" s="12" t="s">
        <v>6314</v>
      </c>
      <c r="T5226" s="22">
        <f t="shared" si="448"/>
        <v>8</v>
      </c>
      <c r="U5226" s="22">
        <f t="shared" si="449"/>
        <v>2022</v>
      </c>
      <c r="V5226" s="22" t="str">
        <f t="shared" si="450"/>
        <v>REGIONES</v>
      </c>
    </row>
    <row r="5227" spans="1:22" x14ac:dyDescent="0.2">
      <c r="A5227" s="11" t="s">
        <v>6312</v>
      </c>
      <c r="B5227" s="12" t="s">
        <v>18</v>
      </c>
      <c r="C5227" s="12" t="s">
        <v>29</v>
      </c>
      <c r="D5227" s="12" t="s">
        <v>37</v>
      </c>
      <c r="E5227" s="13" t="s">
        <v>40</v>
      </c>
      <c r="F5227" s="12" t="s">
        <v>39</v>
      </c>
      <c r="G5227" s="14">
        <f>12054.24+2314</f>
        <v>14368.24</v>
      </c>
      <c r="H5227" s="12" t="s">
        <v>22</v>
      </c>
      <c r="I5227" s="12">
        <v>0</v>
      </c>
      <c r="J5227" s="12" t="s">
        <v>39</v>
      </c>
      <c r="K5227" s="12" t="s">
        <v>23</v>
      </c>
      <c r="L5227" s="12">
        <v>1</v>
      </c>
      <c r="M5227" s="15">
        <v>132597</v>
      </c>
      <c r="N5227" s="15">
        <v>0</v>
      </c>
      <c r="O5227" s="15">
        <f t="shared" si="451"/>
        <v>132597</v>
      </c>
      <c r="P5227" s="15">
        <f t="shared" si="452"/>
        <v>9.2284789229578568</v>
      </c>
      <c r="Q5227" s="14">
        <v>5000</v>
      </c>
      <c r="R5227" s="12">
        <v>100</v>
      </c>
      <c r="S5227" s="12" t="s">
        <v>6323</v>
      </c>
      <c r="T5227" s="22">
        <f t="shared" si="448"/>
        <v>8</v>
      </c>
      <c r="U5227" s="22">
        <f t="shared" si="449"/>
        <v>2022</v>
      </c>
      <c r="V5227" s="22" t="str">
        <f t="shared" si="450"/>
        <v>METROPOLITANA</v>
      </c>
    </row>
    <row r="5228" spans="1:22" x14ac:dyDescent="0.2">
      <c r="A5228" s="11" t="s">
        <v>6312</v>
      </c>
      <c r="B5228" s="12" t="s">
        <v>18</v>
      </c>
      <c r="C5228" s="12" t="s">
        <v>29</v>
      </c>
      <c r="D5228" s="12" t="s">
        <v>6315</v>
      </c>
      <c r="E5228" s="13" t="s">
        <v>25</v>
      </c>
      <c r="F5228" s="12" t="s">
        <v>182</v>
      </c>
      <c r="G5228" s="14">
        <v>3654</v>
      </c>
      <c r="H5228" s="12" t="s">
        <v>24</v>
      </c>
      <c r="I5228" s="12">
        <v>1</v>
      </c>
      <c r="J5228" s="12" t="s">
        <v>182</v>
      </c>
      <c r="K5228" s="12" t="s">
        <v>23</v>
      </c>
      <c r="L5228" s="12">
        <v>4</v>
      </c>
      <c r="M5228" s="15">
        <v>55000</v>
      </c>
      <c r="N5228" s="15">
        <v>0</v>
      </c>
      <c r="O5228" s="15">
        <f t="shared" si="451"/>
        <v>55000</v>
      </c>
      <c r="P5228" s="15">
        <f t="shared" si="452"/>
        <v>15.0519978106185</v>
      </c>
      <c r="Q5228" s="14">
        <v>5000</v>
      </c>
      <c r="R5228" s="12">
        <v>73</v>
      </c>
      <c r="S5228" s="12" t="s">
        <v>6316</v>
      </c>
      <c r="T5228" s="22">
        <f t="shared" si="448"/>
        <v>8</v>
      </c>
      <c r="U5228" s="22">
        <f t="shared" si="449"/>
        <v>2022</v>
      </c>
      <c r="V5228" s="22" t="str">
        <f t="shared" si="450"/>
        <v>METROPOLITANA</v>
      </c>
    </row>
    <row r="5229" spans="1:22" x14ac:dyDescent="0.2">
      <c r="A5229" s="11" t="s">
        <v>6312</v>
      </c>
      <c r="B5229" s="12" t="s">
        <v>33</v>
      </c>
      <c r="C5229" s="12" t="s">
        <v>1233</v>
      </c>
      <c r="D5229" s="12" t="s">
        <v>38</v>
      </c>
      <c r="E5229" s="13" t="s">
        <v>1124</v>
      </c>
      <c r="F5229" s="12" t="s">
        <v>1234</v>
      </c>
      <c r="G5229" s="14">
        <f>2411.4+2559</f>
        <v>4970.3999999999996</v>
      </c>
      <c r="H5229" s="12" t="s">
        <v>43</v>
      </c>
      <c r="I5229" s="12">
        <v>0</v>
      </c>
      <c r="J5229" s="12" t="s">
        <v>1234</v>
      </c>
      <c r="K5229" s="12" t="s">
        <v>23</v>
      </c>
      <c r="L5229" s="12">
        <v>3</v>
      </c>
      <c r="M5229" s="15">
        <v>55000</v>
      </c>
      <c r="N5229" s="15">
        <v>0</v>
      </c>
      <c r="O5229" s="15">
        <f t="shared" si="451"/>
        <v>55000</v>
      </c>
      <c r="P5229" s="15">
        <f t="shared" si="452"/>
        <v>11.06550780621278</v>
      </c>
      <c r="Q5229" s="14">
        <v>5000</v>
      </c>
      <c r="R5229" s="12">
        <v>100</v>
      </c>
      <c r="S5229" s="12" t="s">
        <v>6321</v>
      </c>
      <c r="T5229" s="22">
        <f t="shared" si="448"/>
        <v>8</v>
      </c>
      <c r="U5229" s="22">
        <f t="shared" si="449"/>
        <v>2022</v>
      </c>
      <c r="V5229" s="22" t="str">
        <f t="shared" si="450"/>
        <v>METROPOLITANA</v>
      </c>
    </row>
    <row r="5230" spans="1:22" x14ac:dyDescent="0.2">
      <c r="A5230" s="11" t="s">
        <v>6312</v>
      </c>
      <c r="B5230" s="12" t="s">
        <v>33</v>
      </c>
      <c r="C5230" s="12" t="s">
        <v>29</v>
      </c>
      <c r="D5230" s="12" t="s">
        <v>164</v>
      </c>
      <c r="E5230" s="13" t="s">
        <v>1576</v>
      </c>
      <c r="F5230" s="12" t="s">
        <v>39</v>
      </c>
      <c r="G5230" s="14">
        <v>13891.86</v>
      </c>
      <c r="H5230" s="12" t="s">
        <v>22</v>
      </c>
      <c r="I5230" s="12">
        <v>1</v>
      </c>
      <c r="J5230" s="12" t="s">
        <v>39</v>
      </c>
      <c r="K5230" s="12" t="s">
        <v>23</v>
      </c>
      <c r="L5230" s="12">
        <v>1</v>
      </c>
      <c r="M5230" s="15">
        <v>152810</v>
      </c>
      <c r="N5230" s="15">
        <v>0</v>
      </c>
      <c r="O5230" s="15">
        <f t="shared" si="451"/>
        <v>152810</v>
      </c>
      <c r="P5230" s="15">
        <f t="shared" si="452"/>
        <v>10.999966887083515</v>
      </c>
      <c r="Q5230" s="14">
        <v>5000</v>
      </c>
      <c r="R5230" s="12">
        <v>100</v>
      </c>
      <c r="S5230" s="12" t="s">
        <v>6317</v>
      </c>
      <c r="T5230" s="22">
        <f t="shared" si="448"/>
        <v>8</v>
      </c>
      <c r="U5230" s="22">
        <f t="shared" si="449"/>
        <v>2022</v>
      </c>
      <c r="V5230" s="22" t="str">
        <f t="shared" si="450"/>
        <v>METROPOLITANA</v>
      </c>
    </row>
    <row r="5231" spans="1:22" x14ac:dyDescent="0.2">
      <c r="A5231" s="11" t="s">
        <v>6312</v>
      </c>
      <c r="B5231" s="12" t="s">
        <v>33</v>
      </c>
      <c r="C5231" s="12" t="s">
        <v>29</v>
      </c>
      <c r="D5231" s="12" t="s">
        <v>20</v>
      </c>
      <c r="E5231" s="13" t="s">
        <v>21</v>
      </c>
      <c r="F5231" s="12" t="s">
        <v>173</v>
      </c>
      <c r="G5231" s="14">
        <f>4564.8+265</f>
        <v>4829.8</v>
      </c>
      <c r="H5231" s="12" t="s">
        <v>22</v>
      </c>
      <c r="I5231" s="12">
        <v>0</v>
      </c>
      <c r="J5231" s="12" t="s">
        <v>173</v>
      </c>
      <c r="K5231" s="12" t="s">
        <v>23</v>
      </c>
      <c r="L5231" s="12">
        <v>5</v>
      </c>
      <c r="M5231" s="15">
        <v>90000</v>
      </c>
      <c r="N5231" s="15">
        <v>0</v>
      </c>
      <c r="O5231" s="15">
        <f t="shared" si="451"/>
        <v>90000</v>
      </c>
      <c r="P5231" s="15">
        <f t="shared" si="452"/>
        <v>18.634311979792123</v>
      </c>
      <c r="Q5231" s="14">
        <v>10000</v>
      </c>
      <c r="R5231" s="12">
        <v>55</v>
      </c>
      <c r="S5231" s="12" t="s">
        <v>6322</v>
      </c>
      <c r="T5231" s="22">
        <f t="shared" si="448"/>
        <v>8</v>
      </c>
      <c r="U5231" s="22">
        <f t="shared" si="449"/>
        <v>2022</v>
      </c>
      <c r="V5231" s="22" t="str">
        <f t="shared" si="450"/>
        <v>METROPOLITANA</v>
      </c>
    </row>
    <row r="5232" spans="1:22" x14ac:dyDescent="0.2">
      <c r="A5232" s="11" t="s">
        <v>6312</v>
      </c>
      <c r="B5232" s="12" t="s">
        <v>33</v>
      </c>
      <c r="C5232" s="12" t="s">
        <v>44</v>
      </c>
      <c r="D5232" s="12" t="s">
        <v>45</v>
      </c>
      <c r="E5232" s="13" t="s">
        <v>52</v>
      </c>
      <c r="F5232" s="12" t="s">
        <v>137</v>
      </c>
      <c r="G5232" s="14">
        <v>4379.7199999999984</v>
      </c>
      <c r="H5232" s="12" t="s">
        <v>22</v>
      </c>
      <c r="I5232" s="12">
        <v>0</v>
      </c>
      <c r="J5232" s="12" t="s">
        <v>137</v>
      </c>
      <c r="K5232" s="12" t="s">
        <v>23</v>
      </c>
      <c r="L5232" s="12">
        <v>1</v>
      </c>
      <c r="M5232" s="15">
        <v>55000</v>
      </c>
      <c r="N5232" s="15">
        <v>0</v>
      </c>
      <c r="O5232" s="15">
        <f t="shared" si="451"/>
        <v>55000</v>
      </c>
      <c r="P5232" s="15">
        <f t="shared" si="452"/>
        <v>12.557880412446462</v>
      </c>
      <c r="Q5232" s="14">
        <v>5000</v>
      </c>
      <c r="R5232" s="12">
        <v>88</v>
      </c>
      <c r="S5232" s="12" t="s">
        <v>6318</v>
      </c>
      <c r="T5232" s="22">
        <f t="shared" si="448"/>
        <v>8</v>
      </c>
      <c r="U5232" s="22">
        <f t="shared" si="449"/>
        <v>2022</v>
      </c>
      <c r="V5232" s="22" t="str">
        <f t="shared" si="450"/>
        <v>METROPOLITANA</v>
      </c>
    </row>
    <row r="5233" spans="1:22" x14ac:dyDescent="0.2">
      <c r="A5233" s="11" t="s">
        <v>6312</v>
      </c>
      <c r="B5233" s="12" t="s">
        <v>33</v>
      </c>
      <c r="C5233" s="12" t="s">
        <v>44</v>
      </c>
      <c r="D5233" s="12" t="s">
        <v>47</v>
      </c>
      <c r="E5233" s="13" t="s">
        <v>49</v>
      </c>
      <c r="F5233" s="12" t="s">
        <v>48</v>
      </c>
      <c r="G5233" s="14">
        <v>8112.119999999999</v>
      </c>
      <c r="H5233" s="12" t="s">
        <v>22</v>
      </c>
      <c r="I5233" s="12">
        <v>0</v>
      </c>
      <c r="J5233" s="12" t="s">
        <v>48</v>
      </c>
      <c r="K5233" s="12" t="s">
        <v>23</v>
      </c>
      <c r="L5233" s="12">
        <v>1</v>
      </c>
      <c r="M5233" s="15">
        <v>89233</v>
      </c>
      <c r="N5233" s="15">
        <v>0</v>
      </c>
      <c r="O5233" s="15">
        <f t="shared" si="451"/>
        <v>89233</v>
      </c>
      <c r="P5233" s="15">
        <f t="shared" si="452"/>
        <v>10.999960552851784</v>
      </c>
      <c r="Q5233" s="14">
        <v>5000</v>
      </c>
      <c r="R5233" s="12">
        <v>100</v>
      </c>
      <c r="S5233" s="12" t="s">
        <v>6319</v>
      </c>
      <c r="T5233" s="22">
        <f t="shared" si="448"/>
        <v>8</v>
      </c>
      <c r="U5233" s="22">
        <f t="shared" si="449"/>
        <v>2022</v>
      </c>
      <c r="V5233" s="22" t="str">
        <f t="shared" si="450"/>
        <v>METROPOLITANA</v>
      </c>
    </row>
    <row r="5234" spans="1:22" x14ac:dyDescent="0.2">
      <c r="A5234" s="11" t="s">
        <v>6312</v>
      </c>
      <c r="B5234" s="12" t="s">
        <v>33</v>
      </c>
      <c r="C5234" s="12" t="s">
        <v>44</v>
      </c>
      <c r="D5234" s="12" t="s">
        <v>20</v>
      </c>
      <c r="E5234" s="13" t="s">
        <v>21</v>
      </c>
      <c r="F5234" s="12" t="s">
        <v>95</v>
      </c>
      <c r="G5234" s="14">
        <v>5009.5999999999995</v>
      </c>
      <c r="H5234" s="12" t="s">
        <v>22</v>
      </c>
      <c r="I5234" s="12">
        <v>0</v>
      </c>
      <c r="J5234" s="12" t="s">
        <v>95</v>
      </c>
      <c r="K5234" s="12" t="s">
        <v>23</v>
      </c>
      <c r="L5234" s="12">
        <v>4</v>
      </c>
      <c r="M5234" s="15">
        <v>55106</v>
      </c>
      <c r="N5234" s="15">
        <v>0</v>
      </c>
      <c r="O5234" s="15">
        <f t="shared" si="451"/>
        <v>55106</v>
      </c>
      <c r="P5234" s="15">
        <f t="shared" si="452"/>
        <v>11.000079846694348</v>
      </c>
      <c r="Q5234" s="14">
        <v>5000</v>
      </c>
      <c r="R5234" s="12">
        <v>100</v>
      </c>
      <c r="S5234" s="12" t="s">
        <v>6320</v>
      </c>
      <c r="T5234" s="22">
        <f t="shared" si="448"/>
        <v>8</v>
      </c>
      <c r="U5234" s="22">
        <f t="shared" si="449"/>
        <v>2022</v>
      </c>
      <c r="V5234" s="22" t="str">
        <f t="shared" si="450"/>
        <v>METROPOLITANA</v>
      </c>
    </row>
    <row r="5235" spans="1:22" x14ac:dyDescent="0.2">
      <c r="A5235" s="23" t="s">
        <v>6324</v>
      </c>
      <c r="B5235" s="22" t="s">
        <v>18</v>
      </c>
      <c r="C5235" s="22" t="s">
        <v>57</v>
      </c>
      <c r="D5235" s="22" t="s">
        <v>30</v>
      </c>
      <c r="E5235" s="24" t="s">
        <v>4655</v>
      </c>
      <c r="F5235" s="22" t="s">
        <v>89</v>
      </c>
      <c r="G5235" s="25">
        <v>5209.1499999999996</v>
      </c>
      <c r="H5235" s="22" t="s">
        <v>32</v>
      </c>
      <c r="I5235" s="22">
        <v>0</v>
      </c>
      <c r="J5235" s="22" t="s">
        <v>89</v>
      </c>
      <c r="K5235" s="22" t="s">
        <v>23</v>
      </c>
      <c r="L5235" s="22">
        <v>5</v>
      </c>
      <c r="M5235" s="26">
        <v>90000</v>
      </c>
      <c r="N5235" s="26">
        <v>0</v>
      </c>
      <c r="O5235" s="15">
        <f t="shared" si="451"/>
        <v>90000</v>
      </c>
      <c r="P5235" s="15">
        <f t="shared" si="452"/>
        <v>17.277290920783621</v>
      </c>
      <c r="Q5235" s="25">
        <v>10000</v>
      </c>
      <c r="R5235" s="22">
        <v>52</v>
      </c>
      <c r="S5235" s="22" t="s">
        <v>6325</v>
      </c>
      <c r="T5235" s="22">
        <f t="shared" si="448"/>
        <v>8</v>
      </c>
      <c r="U5235" s="22">
        <f t="shared" si="449"/>
        <v>2022</v>
      </c>
      <c r="V5235" s="22" t="str">
        <f t="shared" si="450"/>
        <v>METROPOLITANA</v>
      </c>
    </row>
    <row r="5236" spans="1:22" x14ac:dyDescent="0.2">
      <c r="A5236" s="23" t="s">
        <v>6324</v>
      </c>
      <c r="B5236" s="22" t="s">
        <v>33</v>
      </c>
      <c r="C5236" s="22" t="s">
        <v>6326</v>
      </c>
      <c r="D5236" s="22" t="s">
        <v>37</v>
      </c>
      <c r="E5236" s="24" t="s">
        <v>40</v>
      </c>
      <c r="F5236" s="22" t="s">
        <v>129</v>
      </c>
      <c r="G5236" s="25">
        <v>6244.8000000000011</v>
      </c>
      <c r="H5236" s="22" t="s">
        <v>22</v>
      </c>
      <c r="I5236" s="22">
        <v>0</v>
      </c>
      <c r="J5236" s="22" t="s">
        <v>129</v>
      </c>
      <c r="K5236" s="22" t="s">
        <v>23</v>
      </c>
      <c r="L5236" s="22">
        <v>1</v>
      </c>
      <c r="M5236" s="26">
        <v>68693</v>
      </c>
      <c r="N5236" s="26">
        <v>0</v>
      </c>
      <c r="O5236" s="15">
        <f t="shared" si="451"/>
        <v>68693</v>
      </c>
      <c r="P5236" s="15">
        <f t="shared" si="452"/>
        <v>11.000032026646167</v>
      </c>
      <c r="Q5236" s="25">
        <v>5000</v>
      </c>
      <c r="R5236" s="22">
        <v>100</v>
      </c>
      <c r="S5236" s="22" t="s">
        <v>6327</v>
      </c>
      <c r="T5236" s="22">
        <f t="shared" si="448"/>
        <v>8</v>
      </c>
      <c r="U5236" s="22">
        <f t="shared" si="449"/>
        <v>2022</v>
      </c>
      <c r="V5236" s="22" t="str">
        <f t="shared" si="450"/>
        <v>METROPOLITANA</v>
      </c>
    </row>
    <row r="5237" spans="1:22" x14ac:dyDescent="0.2">
      <c r="A5237" s="23" t="s">
        <v>6324</v>
      </c>
      <c r="B5237" s="22" t="s">
        <v>33</v>
      </c>
      <c r="C5237" s="22" t="s">
        <v>128</v>
      </c>
      <c r="D5237" s="22" t="s">
        <v>47</v>
      </c>
      <c r="E5237" s="24" t="s">
        <v>49</v>
      </c>
      <c r="F5237" s="22" t="s">
        <v>34</v>
      </c>
      <c r="G5237" s="25">
        <f>8389.65+238</f>
        <v>8627.65</v>
      </c>
      <c r="H5237" s="22" t="s">
        <v>22</v>
      </c>
      <c r="I5237" s="22">
        <v>0</v>
      </c>
      <c r="J5237" s="22" t="s">
        <v>34</v>
      </c>
      <c r="K5237" s="22" t="s">
        <v>23</v>
      </c>
      <c r="L5237" s="22">
        <v>1</v>
      </c>
      <c r="M5237" s="26">
        <v>92286</v>
      </c>
      <c r="N5237" s="26">
        <v>0</v>
      </c>
      <c r="O5237" s="15">
        <f t="shared" si="451"/>
        <v>92286</v>
      </c>
      <c r="P5237" s="15">
        <f t="shared" si="452"/>
        <v>10.696539613915725</v>
      </c>
      <c r="Q5237" s="25">
        <v>5000</v>
      </c>
      <c r="R5237" s="22">
        <v>100</v>
      </c>
      <c r="S5237" s="22" t="s">
        <v>6330</v>
      </c>
      <c r="T5237" s="22">
        <f t="shared" si="448"/>
        <v>8</v>
      </c>
      <c r="U5237" s="22">
        <f t="shared" si="449"/>
        <v>2022</v>
      </c>
      <c r="V5237" s="22" t="str">
        <f t="shared" si="450"/>
        <v>METROPOLITANA</v>
      </c>
    </row>
    <row r="5238" spans="1:22" x14ac:dyDescent="0.2">
      <c r="A5238" s="23" t="s">
        <v>6324</v>
      </c>
      <c r="B5238" s="22" t="s">
        <v>33</v>
      </c>
      <c r="C5238" s="22" t="s">
        <v>223</v>
      </c>
      <c r="D5238" s="22" t="s">
        <v>20</v>
      </c>
      <c r="E5238" s="24" t="s">
        <v>21</v>
      </c>
      <c r="F5238" s="22" t="s">
        <v>51</v>
      </c>
      <c r="G5238" s="25">
        <v>7800</v>
      </c>
      <c r="H5238" s="22" t="s">
        <v>22</v>
      </c>
      <c r="I5238" s="22">
        <v>0</v>
      </c>
      <c r="J5238" s="22" t="s">
        <v>51</v>
      </c>
      <c r="K5238" s="22" t="s">
        <v>23</v>
      </c>
      <c r="L5238" s="22">
        <v>4</v>
      </c>
      <c r="M5238" s="26">
        <v>85800</v>
      </c>
      <c r="N5238" s="26">
        <v>0</v>
      </c>
      <c r="O5238" s="15">
        <f t="shared" si="451"/>
        <v>85800</v>
      </c>
      <c r="P5238" s="15">
        <f t="shared" si="452"/>
        <v>11</v>
      </c>
      <c r="Q5238" s="25">
        <v>5000</v>
      </c>
      <c r="R5238" s="22">
        <v>100</v>
      </c>
      <c r="S5238" s="22" t="s">
        <v>6328</v>
      </c>
      <c r="T5238" s="22">
        <f t="shared" si="448"/>
        <v>8</v>
      </c>
      <c r="U5238" s="22">
        <f t="shared" si="449"/>
        <v>2022</v>
      </c>
      <c r="V5238" s="22" t="str">
        <f t="shared" si="450"/>
        <v>METROPOLITANA</v>
      </c>
    </row>
    <row r="5239" spans="1:22" x14ac:dyDescent="0.2">
      <c r="A5239" s="23" t="s">
        <v>6324</v>
      </c>
      <c r="B5239" s="22" t="s">
        <v>33</v>
      </c>
      <c r="C5239" s="22" t="s">
        <v>29</v>
      </c>
      <c r="D5239" s="22" t="s">
        <v>41</v>
      </c>
      <c r="E5239" s="24" t="s">
        <v>25</v>
      </c>
      <c r="F5239" s="22" t="s">
        <v>39</v>
      </c>
      <c r="G5239" s="25">
        <v>7451.9999999999991</v>
      </c>
      <c r="H5239" s="22" t="s">
        <v>43</v>
      </c>
      <c r="I5239" s="22">
        <v>0</v>
      </c>
      <c r="J5239" s="22" t="s">
        <v>39</v>
      </c>
      <c r="K5239" s="22" t="s">
        <v>23</v>
      </c>
      <c r="L5239" s="22">
        <v>1</v>
      </c>
      <c r="M5239" s="26">
        <v>81972</v>
      </c>
      <c r="N5239" s="26">
        <v>0</v>
      </c>
      <c r="O5239" s="15">
        <f t="shared" si="451"/>
        <v>81972</v>
      </c>
      <c r="P5239" s="15">
        <f t="shared" si="452"/>
        <v>11.000000000000002</v>
      </c>
      <c r="Q5239" s="25">
        <v>5000</v>
      </c>
      <c r="R5239" s="22">
        <v>100</v>
      </c>
      <c r="S5239" s="22" t="s">
        <v>6329</v>
      </c>
      <c r="T5239" s="22">
        <f t="shared" si="448"/>
        <v>8</v>
      </c>
      <c r="U5239" s="22">
        <f t="shared" si="449"/>
        <v>2022</v>
      </c>
      <c r="V5239" s="22" t="str">
        <f t="shared" si="450"/>
        <v>METROPOLITANA</v>
      </c>
    </row>
    <row r="5240" spans="1:22" x14ac:dyDescent="0.2">
      <c r="A5240" s="11" t="s">
        <v>6331</v>
      </c>
      <c r="B5240" s="12" t="s">
        <v>18</v>
      </c>
      <c r="C5240" s="12" t="s">
        <v>57</v>
      </c>
      <c r="D5240" s="12" t="s">
        <v>30</v>
      </c>
      <c r="E5240" s="13">
        <v>72564391</v>
      </c>
      <c r="F5240" s="12" t="s">
        <v>89</v>
      </c>
      <c r="G5240" s="14">
        <v>3149.28</v>
      </c>
      <c r="H5240" s="12" t="s">
        <v>32</v>
      </c>
      <c r="I5240" s="12">
        <v>0</v>
      </c>
      <c r="J5240" s="12" t="s">
        <v>89</v>
      </c>
      <c r="K5240" s="12" t="s">
        <v>23</v>
      </c>
      <c r="L5240" s="12">
        <v>5</v>
      </c>
      <c r="M5240" s="15">
        <v>90000</v>
      </c>
      <c r="N5240" s="15">
        <v>0</v>
      </c>
      <c r="O5240" s="15">
        <f t="shared" si="451"/>
        <v>90000</v>
      </c>
      <c r="P5240" s="15">
        <f t="shared" si="452"/>
        <v>28.577960676726107</v>
      </c>
      <c r="Q5240" s="14">
        <v>10000</v>
      </c>
      <c r="R5240" s="12">
        <v>31</v>
      </c>
      <c r="S5240" s="12" t="s">
        <v>6332</v>
      </c>
      <c r="T5240" s="22">
        <f t="shared" si="448"/>
        <v>8</v>
      </c>
      <c r="U5240" s="22">
        <f t="shared" si="449"/>
        <v>2022</v>
      </c>
      <c r="V5240" s="22" t="str">
        <f t="shared" si="450"/>
        <v>METROPOLITANA</v>
      </c>
    </row>
    <row r="5241" spans="1:22" x14ac:dyDescent="0.2">
      <c r="A5241" s="11" t="s">
        <v>6331</v>
      </c>
      <c r="B5241" s="12" t="s">
        <v>33</v>
      </c>
      <c r="C5241" s="12" t="s">
        <v>36</v>
      </c>
      <c r="D5241" s="12" t="s">
        <v>5478</v>
      </c>
      <c r="E5241" s="13">
        <v>122975819</v>
      </c>
      <c r="F5241" s="12" t="s">
        <v>1026</v>
      </c>
      <c r="G5241" s="14">
        <v>9530.26</v>
      </c>
      <c r="H5241" s="12" t="s">
        <v>24</v>
      </c>
      <c r="I5241" s="12">
        <v>1</v>
      </c>
      <c r="J5241" s="12" t="s">
        <v>1026</v>
      </c>
      <c r="K5241" s="12" t="s">
        <v>408</v>
      </c>
      <c r="L5241" s="12">
        <v>0</v>
      </c>
      <c r="M5241" s="15">
        <v>650000</v>
      </c>
      <c r="N5241" s="15">
        <v>0</v>
      </c>
      <c r="O5241" s="15">
        <f t="shared" si="451"/>
        <v>650000</v>
      </c>
      <c r="P5241" s="15">
        <f t="shared" si="452"/>
        <v>68.203805562492519</v>
      </c>
      <c r="Q5241" s="14">
        <v>20000</v>
      </c>
      <c r="R5241" s="12">
        <v>48</v>
      </c>
      <c r="S5241" s="12" t="s">
        <v>6333</v>
      </c>
      <c r="T5241" s="22">
        <f t="shared" si="448"/>
        <v>8</v>
      </c>
      <c r="U5241" s="22">
        <f t="shared" si="449"/>
        <v>2022</v>
      </c>
      <c r="V5241" s="22" t="str">
        <f t="shared" si="450"/>
        <v>REGIONES</v>
      </c>
    </row>
    <row r="5242" spans="1:22" x14ac:dyDescent="0.2">
      <c r="A5242" s="11" t="s">
        <v>6331</v>
      </c>
      <c r="B5242" s="12" t="s">
        <v>33</v>
      </c>
      <c r="C5242" s="12" t="s">
        <v>44</v>
      </c>
      <c r="D5242" s="12" t="s">
        <v>45</v>
      </c>
      <c r="E5242" s="13">
        <v>99626232</v>
      </c>
      <c r="F5242" s="12" t="s">
        <v>182</v>
      </c>
      <c r="G5242" s="14">
        <v>3765.22</v>
      </c>
      <c r="H5242" s="12" t="s">
        <v>22</v>
      </c>
      <c r="I5242" s="12">
        <v>0</v>
      </c>
      <c r="J5242" s="12" t="s">
        <v>182</v>
      </c>
      <c r="K5242" s="12" t="s">
        <v>23</v>
      </c>
      <c r="L5242" s="12">
        <v>4</v>
      </c>
      <c r="M5242" s="15">
        <v>55000</v>
      </c>
      <c r="N5242" s="15">
        <v>0</v>
      </c>
      <c r="O5242" s="15">
        <f t="shared" si="451"/>
        <v>55000</v>
      </c>
      <c r="P5242" s="15">
        <f t="shared" si="452"/>
        <v>14.607380179644219</v>
      </c>
      <c r="Q5242" s="14">
        <v>5000</v>
      </c>
      <c r="R5242" s="12">
        <v>75</v>
      </c>
      <c r="S5242" s="12" t="s">
        <v>6334</v>
      </c>
      <c r="T5242" s="22">
        <f t="shared" si="448"/>
        <v>8</v>
      </c>
      <c r="U5242" s="22">
        <f t="shared" si="449"/>
        <v>2022</v>
      </c>
      <c r="V5242" s="22" t="str">
        <f t="shared" si="450"/>
        <v>METROPOLITANA</v>
      </c>
    </row>
    <row r="5243" spans="1:22" x14ac:dyDescent="0.2">
      <c r="A5243" s="23" t="s">
        <v>6335</v>
      </c>
      <c r="B5243" s="22" t="s">
        <v>33</v>
      </c>
      <c r="C5243" s="22" t="s">
        <v>128</v>
      </c>
      <c r="D5243" s="22" t="s">
        <v>2955</v>
      </c>
      <c r="E5243" s="24" t="s">
        <v>2956</v>
      </c>
      <c r="F5243" s="22" t="s">
        <v>129</v>
      </c>
      <c r="G5243" s="25">
        <v>13512.599999999989</v>
      </c>
      <c r="H5243" s="22" t="s">
        <v>24</v>
      </c>
      <c r="I5243" s="22">
        <v>1</v>
      </c>
      <c r="J5243" s="22" t="s">
        <v>129</v>
      </c>
      <c r="K5243" s="22" t="s">
        <v>23</v>
      </c>
      <c r="L5243" s="22">
        <v>1</v>
      </c>
      <c r="M5243" s="26">
        <v>148639</v>
      </c>
      <c r="N5243" s="26">
        <v>0</v>
      </c>
      <c r="O5243" s="15">
        <f t="shared" si="451"/>
        <v>148639</v>
      </c>
      <c r="P5243" s="15">
        <f t="shared" si="452"/>
        <v>11.000029602001105</v>
      </c>
      <c r="Q5243" s="25">
        <v>5000</v>
      </c>
      <c r="R5243" s="22">
        <v>100</v>
      </c>
      <c r="S5243" s="22" t="s">
        <v>6336</v>
      </c>
      <c r="T5243" s="22">
        <f t="shared" si="448"/>
        <v>8</v>
      </c>
      <c r="U5243" s="22">
        <f t="shared" si="449"/>
        <v>2022</v>
      </c>
      <c r="V5243" s="22" t="str">
        <f t="shared" si="450"/>
        <v>METROPOLITANA</v>
      </c>
    </row>
    <row r="5244" spans="1:22" x14ac:dyDescent="0.2">
      <c r="A5244" s="23" t="s">
        <v>6335</v>
      </c>
      <c r="B5244" s="22" t="s">
        <v>33</v>
      </c>
      <c r="C5244" s="22" t="s">
        <v>36</v>
      </c>
      <c r="D5244" s="22" t="s">
        <v>38</v>
      </c>
      <c r="E5244" s="24" t="s">
        <v>42</v>
      </c>
      <c r="F5244" s="22" t="s">
        <v>376</v>
      </c>
      <c r="G5244" s="25">
        <v>3316.639999999999</v>
      </c>
      <c r="H5244" s="22" t="s">
        <v>43</v>
      </c>
      <c r="I5244" s="22">
        <v>0</v>
      </c>
      <c r="J5244" s="22" t="s">
        <v>377</v>
      </c>
      <c r="K5244" s="22" t="s">
        <v>23</v>
      </c>
      <c r="L5244" s="22">
        <v>4</v>
      </c>
      <c r="M5244" s="26">
        <v>55000</v>
      </c>
      <c r="N5244" s="26">
        <v>0</v>
      </c>
      <c r="O5244" s="15">
        <f t="shared" si="451"/>
        <v>55000</v>
      </c>
      <c r="P5244" s="15">
        <f t="shared" si="452"/>
        <v>16.583047903902749</v>
      </c>
      <c r="Q5244" s="25">
        <v>5000</v>
      </c>
      <c r="R5244" s="22">
        <v>66</v>
      </c>
      <c r="S5244" s="22" t="s">
        <v>6337</v>
      </c>
      <c r="T5244" s="22">
        <f t="shared" si="448"/>
        <v>8</v>
      </c>
      <c r="U5244" s="22">
        <f t="shared" si="449"/>
        <v>2022</v>
      </c>
      <c r="V5244" s="22" t="str">
        <f t="shared" si="450"/>
        <v>METROPOLITANA</v>
      </c>
    </row>
    <row r="5245" spans="1:22" x14ac:dyDescent="0.2">
      <c r="A5245" s="23" t="s">
        <v>6335</v>
      </c>
      <c r="B5245" s="22" t="s">
        <v>33</v>
      </c>
      <c r="C5245" s="22" t="s">
        <v>36</v>
      </c>
      <c r="D5245" s="22" t="s">
        <v>45</v>
      </c>
      <c r="E5245" s="24" t="s">
        <v>52</v>
      </c>
      <c r="F5245" s="22" t="s">
        <v>46</v>
      </c>
      <c r="G5245" s="25">
        <v>3951.6</v>
      </c>
      <c r="H5245" s="22" t="s">
        <v>22</v>
      </c>
      <c r="I5245" s="22">
        <v>0</v>
      </c>
      <c r="J5245" s="22" t="s">
        <v>46</v>
      </c>
      <c r="K5245" s="22" t="s">
        <v>23</v>
      </c>
      <c r="L5245" s="22">
        <v>2</v>
      </c>
      <c r="M5245" s="26">
        <v>55000</v>
      </c>
      <c r="N5245" s="26">
        <v>0</v>
      </c>
      <c r="O5245" s="15">
        <f t="shared" si="451"/>
        <v>55000</v>
      </c>
      <c r="P5245" s="15">
        <f t="shared" si="452"/>
        <v>13.918412794817289</v>
      </c>
      <c r="Q5245" s="25">
        <v>5000</v>
      </c>
      <c r="R5245" s="22">
        <v>79</v>
      </c>
      <c r="S5245" s="22" t="s">
        <v>6338</v>
      </c>
      <c r="T5245" s="22">
        <f t="shared" si="448"/>
        <v>8</v>
      </c>
      <c r="U5245" s="22">
        <f t="shared" si="449"/>
        <v>2022</v>
      </c>
      <c r="V5245" s="22" t="str">
        <f t="shared" si="450"/>
        <v>METROPOLITANA</v>
      </c>
    </row>
    <row r="5246" spans="1:22" x14ac:dyDescent="0.2">
      <c r="A5246" s="23" t="s">
        <v>6335</v>
      </c>
      <c r="B5246" s="22" t="s">
        <v>33</v>
      </c>
      <c r="C5246" s="22" t="s">
        <v>36</v>
      </c>
      <c r="D5246" s="22" t="s">
        <v>47</v>
      </c>
      <c r="E5246" s="24" t="s">
        <v>49</v>
      </c>
      <c r="F5246" s="22" t="s">
        <v>182</v>
      </c>
      <c r="G5246" s="25">
        <f>2175.6+1226</f>
        <v>3401.6</v>
      </c>
      <c r="H5246" s="22" t="s">
        <v>22</v>
      </c>
      <c r="I5246" s="22">
        <v>0</v>
      </c>
      <c r="J5246" s="22" t="s">
        <v>182</v>
      </c>
      <c r="K5246" s="22" t="s">
        <v>23</v>
      </c>
      <c r="L5246" s="22">
        <v>4</v>
      </c>
      <c r="M5246" s="26">
        <v>55000</v>
      </c>
      <c r="N5246" s="26">
        <v>0</v>
      </c>
      <c r="O5246" s="15">
        <f t="shared" si="451"/>
        <v>55000</v>
      </c>
      <c r="P5246" s="15">
        <f t="shared" si="452"/>
        <v>16.168861712135467</v>
      </c>
      <c r="Q5246" s="25">
        <v>5000</v>
      </c>
      <c r="R5246" s="22">
        <v>68</v>
      </c>
      <c r="S5246" s="22" t="s">
        <v>6345</v>
      </c>
      <c r="T5246" s="22">
        <f t="shared" si="448"/>
        <v>8</v>
      </c>
      <c r="U5246" s="22">
        <f t="shared" si="449"/>
        <v>2022</v>
      </c>
      <c r="V5246" s="22" t="str">
        <f t="shared" si="450"/>
        <v>METROPOLITANA</v>
      </c>
    </row>
    <row r="5247" spans="1:22" x14ac:dyDescent="0.2">
      <c r="A5247" s="23" t="s">
        <v>6335</v>
      </c>
      <c r="B5247" s="22" t="s">
        <v>33</v>
      </c>
      <c r="C5247" s="22" t="s">
        <v>36</v>
      </c>
      <c r="D5247" s="22" t="s">
        <v>20</v>
      </c>
      <c r="E5247" s="24" t="s">
        <v>21</v>
      </c>
      <c r="F5247" s="22" t="s">
        <v>225</v>
      </c>
      <c r="G5247" s="25">
        <v>4066.8200000000011</v>
      </c>
      <c r="H5247" s="22" t="s">
        <v>22</v>
      </c>
      <c r="I5247" s="22">
        <v>0</v>
      </c>
      <c r="J5247" s="22" t="s">
        <v>225</v>
      </c>
      <c r="K5247" s="22" t="s">
        <v>23</v>
      </c>
      <c r="L5247" s="22">
        <v>3</v>
      </c>
      <c r="M5247" s="26">
        <v>55000</v>
      </c>
      <c r="N5247" s="26">
        <v>0</v>
      </c>
      <c r="O5247" s="15">
        <f t="shared" si="451"/>
        <v>55000</v>
      </c>
      <c r="P5247" s="15">
        <f t="shared" si="452"/>
        <v>13.52408023959752</v>
      </c>
      <c r="Q5247" s="25">
        <v>5000</v>
      </c>
      <c r="R5247" s="22">
        <v>81</v>
      </c>
      <c r="S5247" s="22" t="s">
        <v>6339</v>
      </c>
      <c r="T5247" s="22">
        <f t="shared" si="448"/>
        <v>8</v>
      </c>
      <c r="U5247" s="22">
        <f t="shared" si="449"/>
        <v>2022</v>
      </c>
      <c r="V5247" s="22" t="str">
        <f t="shared" si="450"/>
        <v>METROPOLITANA</v>
      </c>
    </row>
    <row r="5248" spans="1:22" x14ac:dyDescent="0.2">
      <c r="A5248" s="23" t="s">
        <v>6335</v>
      </c>
      <c r="B5248" s="22" t="s">
        <v>33</v>
      </c>
      <c r="C5248" s="22" t="s">
        <v>2862</v>
      </c>
      <c r="D5248" s="22" t="s">
        <v>30</v>
      </c>
      <c r="E5248" s="24" t="s">
        <v>31</v>
      </c>
      <c r="F5248" s="22" t="s">
        <v>251</v>
      </c>
      <c r="G5248" s="25">
        <v>9933.600000000004</v>
      </c>
      <c r="H5248" s="22" t="s">
        <v>32</v>
      </c>
      <c r="I5248" s="22">
        <v>0</v>
      </c>
      <c r="J5248" s="22" t="s">
        <v>251</v>
      </c>
      <c r="K5248" s="22" t="s">
        <v>78</v>
      </c>
      <c r="L5248" s="22">
        <v>0</v>
      </c>
      <c r="M5248" s="26">
        <v>203000</v>
      </c>
      <c r="N5248" s="26">
        <v>0</v>
      </c>
      <c r="O5248" s="15">
        <f t="shared" si="451"/>
        <v>203000</v>
      </c>
      <c r="P5248" s="15">
        <f t="shared" si="452"/>
        <v>20.435693001530151</v>
      </c>
      <c r="Q5248" s="25">
        <v>20000</v>
      </c>
      <c r="R5248" s="22">
        <v>50</v>
      </c>
      <c r="S5248" s="22" t="s">
        <v>6340</v>
      </c>
      <c r="T5248" s="22">
        <f t="shared" si="448"/>
        <v>8</v>
      </c>
      <c r="U5248" s="22">
        <f t="shared" si="449"/>
        <v>2022</v>
      </c>
      <c r="V5248" s="22" t="str">
        <f t="shared" si="450"/>
        <v>REGIONES</v>
      </c>
    </row>
    <row r="5249" spans="1:22" x14ac:dyDescent="0.2">
      <c r="A5249" s="23" t="s">
        <v>6335</v>
      </c>
      <c r="B5249" s="22" t="s">
        <v>33</v>
      </c>
      <c r="C5249" s="22" t="s">
        <v>29</v>
      </c>
      <c r="D5249" s="22" t="s">
        <v>41</v>
      </c>
      <c r="E5249" s="24" t="s">
        <v>25</v>
      </c>
      <c r="F5249" s="22" t="s">
        <v>39</v>
      </c>
      <c r="G5249" s="25">
        <v>12336.4</v>
      </c>
      <c r="H5249" s="22" t="s">
        <v>43</v>
      </c>
      <c r="I5249" s="22">
        <v>0</v>
      </c>
      <c r="J5249" s="22" t="s">
        <v>39</v>
      </c>
      <c r="K5249" s="22" t="s">
        <v>23</v>
      </c>
      <c r="L5249" s="22">
        <v>1</v>
      </c>
      <c r="M5249" s="26">
        <v>135700</v>
      </c>
      <c r="N5249" s="26">
        <v>0</v>
      </c>
      <c r="O5249" s="15">
        <f t="shared" si="451"/>
        <v>135700</v>
      </c>
      <c r="P5249" s="15">
        <f t="shared" si="452"/>
        <v>10.999967575629844</v>
      </c>
      <c r="Q5249" s="25">
        <v>5000</v>
      </c>
      <c r="R5249" s="22">
        <v>100</v>
      </c>
      <c r="S5249" s="22" t="s">
        <v>6341</v>
      </c>
      <c r="T5249" s="22">
        <f t="shared" si="448"/>
        <v>8</v>
      </c>
      <c r="U5249" s="22">
        <f t="shared" si="449"/>
        <v>2022</v>
      </c>
      <c r="V5249" s="22" t="str">
        <f t="shared" si="450"/>
        <v>METROPOLITANA</v>
      </c>
    </row>
    <row r="5250" spans="1:22" x14ac:dyDescent="0.2">
      <c r="A5250" s="23" t="s">
        <v>6335</v>
      </c>
      <c r="B5250" s="22" t="s">
        <v>33</v>
      </c>
      <c r="C5250" s="22" t="s">
        <v>29</v>
      </c>
      <c r="D5250" s="22" t="s">
        <v>164</v>
      </c>
      <c r="E5250" s="24" t="s">
        <v>1576</v>
      </c>
      <c r="F5250" s="22" t="s">
        <v>39</v>
      </c>
      <c r="G5250" s="25">
        <v>18167.18</v>
      </c>
      <c r="H5250" s="22" t="s">
        <v>22</v>
      </c>
      <c r="I5250" s="22">
        <v>1</v>
      </c>
      <c r="J5250" s="22" t="s">
        <v>39</v>
      </c>
      <c r="K5250" s="22" t="s">
        <v>23</v>
      </c>
      <c r="L5250" s="22">
        <v>1</v>
      </c>
      <c r="M5250" s="26">
        <v>199839</v>
      </c>
      <c r="N5250" s="26">
        <v>0</v>
      </c>
      <c r="O5250" s="15">
        <f t="shared" si="451"/>
        <v>199839</v>
      </c>
      <c r="P5250" s="15">
        <f t="shared" si="452"/>
        <v>11.000001100886323</v>
      </c>
      <c r="Q5250" s="25">
        <v>5000</v>
      </c>
      <c r="R5250" s="22">
        <v>100</v>
      </c>
      <c r="S5250" s="22" t="s">
        <v>6342</v>
      </c>
      <c r="T5250" s="22">
        <f t="shared" si="448"/>
        <v>8</v>
      </c>
      <c r="U5250" s="22">
        <f t="shared" si="449"/>
        <v>2022</v>
      </c>
      <c r="V5250" s="22" t="str">
        <f t="shared" si="450"/>
        <v>METROPOLITANA</v>
      </c>
    </row>
    <row r="5251" spans="1:22" x14ac:dyDescent="0.2">
      <c r="A5251" s="23" t="s">
        <v>6335</v>
      </c>
      <c r="B5251" s="22" t="s">
        <v>33</v>
      </c>
      <c r="C5251" s="22" t="s">
        <v>44</v>
      </c>
      <c r="D5251" s="22" t="s">
        <v>37</v>
      </c>
      <c r="E5251" s="24" t="s">
        <v>40</v>
      </c>
      <c r="F5251" s="22" t="s">
        <v>48</v>
      </c>
      <c r="G5251" s="25">
        <v>8793.8100000000013</v>
      </c>
      <c r="H5251" s="22" t="s">
        <v>22</v>
      </c>
      <c r="I5251" s="22">
        <v>0</v>
      </c>
      <c r="J5251" s="22" t="s">
        <v>48</v>
      </c>
      <c r="K5251" s="22" t="s">
        <v>23</v>
      </c>
      <c r="L5251" s="22">
        <v>1</v>
      </c>
      <c r="M5251" s="26">
        <v>96732</v>
      </c>
      <c r="N5251" s="26">
        <v>0</v>
      </c>
      <c r="O5251" s="15">
        <f t="shared" si="451"/>
        <v>96732</v>
      </c>
      <c r="P5251" s="15">
        <f t="shared" si="452"/>
        <v>11.000010234471747</v>
      </c>
      <c r="Q5251" s="25">
        <v>5000</v>
      </c>
      <c r="R5251" s="22">
        <v>100</v>
      </c>
      <c r="S5251" s="22" t="s">
        <v>6343</v>
      </c>
      <c r="T5251" s="22">
        <f t="shared" si="448"/>
        <v>8</v>
      </c>
      <c r="U5251" s="22">
        <f t="shared" si="449"/>
        <v>2022</v>
      </c>
      <c r="V5251" s="22" t="str">
        <f t="shared" si="450"/>
        <v>METROPOLITANA</v>
      </c>
    </row>
    <row r="5252" spans="1:22" x14ac:dyDescent="0.2">
      <c r="A5252" s="23" t="s">
        <v>6335</v>
      </c>
      <c r="B5252" s="22" t="s">
        <v>33</v>
      </c>
      <c r="C5252" s="22" t="s">
        <v>44</v>
      </c>
      <c r="D5252" s="22" t="s">
        <v>1170</v>
      </c>
      <c r="E5252" s="24" t="s">
        <v>81</v>
      </c>
      <c r="F5252" s="22" t="s">
        <v>66</v>
      </c>
      <c r="G5252" s="25">
        <f>6880.96+4063</f>
        <v>10943.96</v>
      </c>
      <c r="H5252" s="22" t="s">
        <v>24</v>
      </c>
      <c r="I5252" s="22">
        <v>1</v>
      </c>
      <c r="J5252" s="22" t="s">
        <v>66</v>
      </c>
      <c r="K5252" s="22" t="s">
        <v>75</v>
      </c>
      <c r="L5252" s="22">
        <v>0</v>
      </c>
      <c r="M5252" s="26">
        <v>430000</v>
      </c>
      <c r="N5252" s="26">
        <v>0</v>
      </c>
      <c r="O5252" s="15">
        <f t="shared" si="451"/>
        <v>430000</v>
      </c>
      <c r="P5252" s="15">
        <f t="shared" si="452"/>
        <v>39.291079280260533</v>
      </c>
      <c r="Q5252" s="25">
        <v>20000</v>
      </c>
      <c r="R5252" s="22">
        <v>65</v>
      </c>
      <c r="S5252" s="22" t="s">
        <v>6346</v>
      </c>
      <c r="T5252" s="22">
        <f t="shared" si="448"/>
        <v>8</v>
      </c>
      <c r="U5252" s="22">
        <f t="shared" si="449"/>
        <v>2022</v>
      </c>
      <c r="V5252" s="22" t="str">
        <f t="shared" si="450"/>
        <v>REGIONES</v>
      </c>
    </row>
    <row r="5253" spans="1:22" x14ac:dyDescent="0.2">
      <c r="A5253" s="23" t="s">
        <v>6335</v>
      </c>
      <c r="B5253" s="22" t="s">
        <v>33</v>
      </c>
      <c r="C5253" s="22" t="s">
        <v>44</v>
      </c>
      <c r="D5253" s="22" t="s">
        <v>45</v>
      </c>
      <c r="E5253" s="24" t="s">
        <v>52</v>
      </c>
      <c r="F5253" s="22" t="s">
        <v>26</v>
      </c>
      <c r="G5253" s="25">
        <v>4748.54</v>
      </c>
      <c r="H5253" s="22" t="s">
        <v>22</v>
      </c>
      <c r="I5253" s="22">
        <v>0</v>
      </c>
      <c r="J5253" s="22" t="s">
        <v>26</v>
      </c>
      <c r="K5253" s="22" t="s">
        <v>23</v>
      </c>
      <c r="L5253" s="22">
        <v>4</v>
      </c>
      <c r="M5253" s="26">
        <v>55000</v>
      </c>
      <c r="N5253" s="26">
        <v>0</v>
      </c>
      <c r="O5253" s="15">
        <f t="shared" si="451"/>
        <v>55000</v>
      </c>
      <c r="P5253" s="15">
        <f t="shared" si="452"/>
        <v>11.582507465452538</v>
      </c>
      <c r="Q5253" s="25">
        <v>5000</v>
      </c>
      <c r="R5253" s="22">
        <v>95</v>
      </c>
      <c r="S5253" s="22" t="s">
        <v>6344</v>
      </c>
      <c r="T5253" s="22">
        <f t="shared" si="448"/>
        <v>8</v>
      </c>
      <c r="U5253" s="22">
        <f t="shared" si="449"/>
        <v>2022</v>
      </c>
      <c r="V5253" s="22" t="str">
        <f t="shared" si="450"/>
        <v>METROPOLITANA</v>
      </c>
    </row>
    <row r="5254" spans="1:22" x14ac:dyDescent="0.2">
      <c r="A5254" s="11" t="s">
        <v>6347</v>
      </c>
      <c r="B5254" s="12" t="s">
        <v>18</v>
      </c>
      <c r="C5254" s="12" t="s">
        <v>508</v>
      </c>
      <c r="D5254" s="12" t="s">
        <v>37</v>
      </c>
      <c r="E5254" s="13" t="s">
        <v>40</v>
      </c>
      <c r="F5254" s="12" t="s">
        <v>51</v>
      </c>
      <c r="G5254" s="14">
        <v>6635.7999999999984</v>
      </c>
      <c r="H5254" s="12" t="s">
        <v>22</v>
      </c>
      <c r="I5254" s="12">
        <v>0</v>
      </c>
      <c r="J5254" s="12" t="s">
        <v>51</v>
      </c>
      <c r="K5254" s="12" t="s">
        <v>23</v>
      </c>
      <c r="L5254" s="12">
        <v>4</v>
      </c>
      <c r="M5254" s="15">
        <v>72994</v>
      </c>
      <c r="N5254" s="15">
        <v>0</v>
      </c>
      <c r="O5254" s="15">
        <f t="shared" si="451"/>
        <v>72994</v>
      </c>
      <c r="P5254" s="15">
        <f t="shared" si="452"/>
        <v>11.000030139546102</v>
      </c>
      <c r="Q5254" s="14">
        <v>5000</v>
      </c>
      <c r="R5254" s="12">
        <v>100</v>
      </c>
      <c r="S5254" s="12" t="s">
        <v>6348</v>
      </c>
      <c r="T5254" s="22">
        <f t="shared" si="448"/>
        <v>8</v>
      </c>
      <c r="U5254" s="22">
        <f t="shared" si="449"/>
        <v>2022</v>
      </c>
      <c r="V5254" s="22" t="str">
        <f t="shared" si="450"/>
        <v>METROPOLITANA</v>
      </c>
    </row>
    <row r="5255" spans="1:22" x14ac:dyDescent="0.2">
      <c r="A5255" s="11" t="s">
        <v>6347</v>
      </c>
      <c r="B5255" s="12" t="s">
        <v>33</v>
      </c>
      <c r="C5255" s="12" t="s">
        <v>36</v>
      </c>
      <c r="D5255" s="12" t="s">
        <v>5478</v>
      </c>
      <c r="E5255" s="13" t="s">
        <v>83</v>
      </c>
      <c r="F5255" s="12" t="s">
        <v>84</v>
      </c>
      <c r="G5255" s="14">
        <f>3911.4+2372+550</f>
        <v>6833.4</v>
      </c>
      <c r="H5255" s="12" t="s">
        <v>24</v>
      </c>
      <c r="I5255" s="12">
        <v>1</v>
      </c>
      <c r="J5255" s="12" t="s">
        <v>84</v>
      </c>
      <c r="K5255" s="12" t="s">
        <v>86</v>
      </c>
      <c r="L5255" s="12">
        <v>0</v>
      </c>
      <c r="M5255" s="15">
        <v>360000</v>
      </c>
      <c r="N5255" s="15">
        <v>0</v>
      </c>
      <c r="O5255" s="15">
        <f t="shared" si="451"/>
        <v>360000</v>
      </c>
      <c r="P5255" s="15">
        <f t="shared" si="452"/>
        <v>52.68241285450874</v>
      </c>
      <c r="Q5255" s="14">
        <v>20000</v>
      </c>
      <c r="R5255" s="12">
        <v>78</v>
      </c>
      <c r="S5255" s="12" t="s">
        <v>6358</v>
      </c>
      <c r="T5255" s="22">
        <f t="shared" ref="T5255:T5318" si="453">MONTH(A5255)</f>
        <v>8</v>
      </c>
      <c r="U5255" s="22">
        <f t="shared" ref="U5255:U5318" si="454">YEAR(A5255)</f>
        <v>2022</v>
      </c>
      <c r="V5255" s="22" t="str">
        <f t="shared" ref="V5255:V5318" si="455">IF(K5255="METROPOLITANA DE SANTIAGO","METROPOLITANA","REGIONES")</f>
        <v>REGIONES</v>
      </c>
    </row>
    <row r="5256" spans="1:22" x14ac:dyDescent="0.2">
      <c r="A5256" s="11" t="s">
        <v>6347</v>
      </c>
      <c r="B5256" s="12" t="s">
        <v>33</v>
      </c>
      <c r="C5256" s="12" t="s">
        <v>36</v>
      </c>
      <c r="D5256" s="12" t="s">
        <v>6349</v>
      </c>
      <c r="E5256" s="13" t="s">
        <v>6350</v>
      </c>
      <c r="F5256" s="12" t="s">
        <v>893</v>
      </c>
      <c r="G5256" s="14">
        <v>10367.32</v>
      </c>
      <c r="H5256" s="12" t="s">
        <v>24</v>
      </c>
      <c r="I5256" s="12">
        <v>1</v>
      </c>
      <c r="J5256" s="12" t="s">
        <v>893</v>
      </c>
      <c r="K5256" s="12" t="s">
        <v>437</v>
      </c>
      <c r="L5256" s="12">
        <v>0</v>
      </c>
      <c r="M5256" s="15">
        <v>1000000</v>
      </c>
      <c r="N5256" s="15">
        <v>0</v>
      </c>
      <c r="O5256" s="15">
        <f t="shared" si="451"/>
        <v>1000000</v>
      </c>
      <c r="P5256" s="15">
        <f t="shared" si="452"/>
        <v>96.456943549538366</v>
      </c>
      <c r="Q5256" s="14">
        <v>20000</v>
      </c>
      <c r="R5256" s="12">
        <v>52</v>
      </c>
      <c r="S5256" s="12" t="s">
        <v>6351</v>
      </c>
      <c r="T5256" s="22">
        <f t="shared" si="453"/>
        <v>8</v>
      </c>
      <c r="U5256" s="22">
        <f t="shared" si="454"/>
        <v>2022</v>
      </c>
      <c r="V5256" s="22" t="str">
        <f t="shared" si="455"/>
        <v>REGIONES</v>
      </c>
    </row>
    <row r="5257" spans="1:22" x14ac:dyDescent="0.2">
      <c r="A5257" s="11" t="s">
        <v>6347</v>
      </c>
      <c r="B5257" s="12" t="s">
        <v>33</v>
      </c>
      <c r="C5257" s="12" t="s">
        <v>36</v>
      </c>
      <c r="D5257" s="12" t="s">
        <v>30</v>
      </c>
      <c r="E5257" s="13" t="s">
        <v>31</v>
      </c>
      <c r="F5257" s="12" t="s">
        <v>308</v>
      </c>
      <c r="G5257" s="14">
        <v>5414.48</v>
      </c>
      <c r="H5257" s="12" t="s">
        <v>32</v>
      </c>
      <c r="I5257" s="12">
        <v>0</v>
      </c>
      <c r="J5257" s="12" t="s">
        <v>308</v>
      </c>
      <c r="K5257" s="12" t="s">
        <v>78</v>
      </c>
      <c r="L5257" s="12">
        <v>0</v>
      </c>
      <c r="M5257" s="15">
        <v>203000</v>
      </c>
      <c r="N5257" s="15">
        <v>0</v>
      </c>
      <c r="O5257" s="15">
        <f t="shared" si="451"/>
        <v>203000</v>
      </c>
      <c r="P5257" s="15">
        <f t="shared" si="452"/>
        <v>37.492058332471451</v>
      </c>
      <c r="Q5257" s="14">
        <v>20000</v>
      </c>
      <c r="R5257" s="12">
        <v>27</v>
      </c>
      <c r="S5257" s="12" t="s">
        <v>6352</v>
      </c>
      <c r="T5257" s="22">
        <f t="shared" si="453"/>
        <v>8</v>
      </c>
      <c r="U5257" s="22">
        <f t="shared" si="454"/>
        <v>2022</v>
      </c>
      <c r="V5257" s="22" t="str">
        <f t="shared" si="455"/>
        <v>REGIONES</v>
      </c>
    </row>
    <row r="5258" spans="1:22" x14ac:dyDescent="0.2">
      <c r="A5258" s="11" t="s">
        <v>6347</v>
      </c>
      <c r="B5258" s="12" t="s">
        <v>33</v>
      </c>
      <c r="C5258" s="12" t="s">
        <v>36</v>
      </c>
      <c r="D5258" s="12" t="s">
        <v>6096</v>
      </c>
      <c r="E5258" s="13" t="s">
        <v>6353</v>
      </c>
      <c r="F5258" s="12" t="s">
        <v>92</v>
      </c>
      <c r="G5258" s="14">
        <f>4202.5+1649</f>
        <v>5851.5</v>
      </c>
      <c r="H5258" s="12" t="s">
        <v>24</v>
      </c>
      <c r="I5258" s="12">
        <v>1</v>
      </c>
      <c r="J5258" s="12" t="s">
        <v>92</v>
      </c>
      <c r="K5258" s="12" t="s">
        <v>93</v>
      </c>
      <c r="L5258" s="12">
        <v>0</v>
      </c>
      <c r="M5258" s="15">
        <v>700000</v>
      </c>
      <c r="N5258" s="15">
        <v>0</v>
      </c>
      <c r="O5258" s="15">
        <f t="shared" si="451"/>
        <v>700000</v>
      </c>
      <c r="P5258" s="15">
        <f t="shared" si="452"/>
        <v>119.62744595402889</v>
      </c>
      <c r="Q5258" s="14">
        <v>20000</v>
      </c>
      <c r="R5258" s="12">
        <v>55</v>
      </c>
      <c r="S5258" s="12" t="s">
        <v>6359</v>
      </c>
      <c r="T5258" s="22">
        <f t="shared" si="453"/>
        <v>8</v>
      </c>
      <c r="U5258" s="22">
        <f t="shared" si="454"/>
        <v>2022</v>
      </c>
      <c r="V5258" s="22" t="str">
        <f t="shared" si="455"/>
        <v>REGIONES</v>
      </c>
    </row>
    <row r="5259" spans="1:22" x14ac:dyDescent="0.2">
      <c r="A5259" s="11" t="s">
        <v>6347</v>
      </c>
      <c r="B5259" s="12" t="s">
        <v>33</v>
      </c>
      <c r="C5259" s="12" t="s">
        <v>29</v>
      </c>
      <c r="D5259" s="12" t="s">
        <v>41</v>
      </c>
      <c r="E5259" s="13" t="s">
        <v>25</v>
      </c>
      <c r="F5259" s="12" t="s">
        <v>39</v>
      </c>
      <c r="G5259" s="14">
        <v>7692.800000000002</v>
      </c>
      <c r="H5259" s="12" t="s">
        <v>43</v>
      </c>
      <c r="I5259" s="12">
        <v>0</v>
      </c>
      <c r="J5259" s="12" t="s">
        <v>39</v>
      </c>
      <c r="K5259" s="12" t="s">
        <v>23</v>
      </c>
      <c r="L5259" s="12">
        <v>1</v>
      </c>
      <c r="M5259" s="15">
        <v>84621</v>
      </c>
      <c r="N5259" s="15">
        <v>0</v>
      </c>
      <c r="O5259" s="15">
        <f t="shared" si="451"/>
        <v>84621</v>
      </c>
      <c r="P5259" s="15">
        <f t="shared" si="452"/>
        <v>11.000025998336104</v>
      </c>
      <c r="Q5259" s="14">
        <v>5000</v>
      </c>
      <c r="R5259" s="12">
        <v>100</v>
      </c>
      <c r="S5259" s="12" t="s">
        <v>6354</v>
      </c>
      <c r="T5259" s="22">
        <f t="shared" si="453"/>
        <v>8</v>
      </c>
      <c r="U5259" s="22">
        <f t="shared" si="454"/>
        <v>2022</v>
      </c>
      <c r="V5259" s="22" t="str">
        <f t="shared" si="455"/>
        <v>METROPOLITANA</v>
      </c>
    </row>
    <row r="5260" spans="1:22" x14ac:dyDescent="0.2">
      <c r="A5260" s="11" t="s">
        <v>6347</v>
      </c>
      <c r="B5260" s="12" t="s">
        <v>33</v>
      </c>
      <c r="C5260" s="12" t="s">
        <v>29</v>
      </c>
      <c r="D5260" s="12" t="s">
        <v>164</v>
      </c>
      <c r="E5260" s="13" t="s">
        <v>1576</v>
      </c>
      <c r="F5260" s="12" t="s">
        <v>39</v>
      </c>
      <c r="G5260" s="14">
        <v>14270.12</v>
      </c>
      <c r="H5260" s="12" t="s">
        <v>22</v>
      </c>
      <c r="I5260" s="12">
        <v>1</v>
      </c>
      <c r="J5260" s="12" t="s">
        <v>39</v>
      </c>
      <c r="K5260" s="12" t="s">
        <v>23</v>
      </c>
      <c r="L5260" s="12">
        <v>1</v>
      </c>
      <c r="M5260" s="15">
        <v>156971</v>
      </c>
      <c r="N5260" s="15">
        <v>0</v>
      </c>
      <c r="O5260" s="15">
        <f t="shared" si="451"/>
        <v>156971</v>
      </c>
      <c r="P5260" s="15">
        <f t="shared" si="452"/>
        <v>10.999977575521438</v>
      </c>
      <c r="Q5260" s="14">
        <v>5000</v>
      </c>
      <c r="R5260" s="12">
        <v>100</v>
      </c>
      <c r="S5260" s="12" t="s">
        <v>6355</v>
      </c>
      <c r="T5260" s="22">
        <f t="shared" si="453"/>
        <v>8</v>
      </c>
      <c r="U5260" s="22">
        <f t="shared" si="454"/>
        <v>2022</v>
      </c>
      <c r="V5260" s="22" t="str">
        <f t="shared" si="455"/>
        <v>METROPOLITANA</v>
      </c>
    </row>
    <row r="5261" spans="1:22" x14ac:dyDescent="0.2">
      <c r="A5261" s="11" t="s">
        <v>6347</v>
      </c>
      <c r="B5261" s="12" t="s">
        <v>33</v>
      </c>
      <c r="C5261" s="12" t="s">
        <v>29</v>
      </c>
      <c r="D5261" s="12" t="s">
        <v>20</v>
      </c>
      <c r="E5261" s="13" t="s">
        <v>21</v>
      </c>
      <c r="F5261" s="12" t="s">
        <v>39</v>
      </c>
      <c r="G5261" s="14">
        <v>7577.9999999999991</v>
      </c>
      <c r="H5261" s="12" t="s">
        <v>22</v>
      </c>
      <c r="I5261" s="12">
        <v>0</v>
      </c>
      <c r="J5261" s="12" t="s">
        <v>39</v>
      </c>
      <c r="K5261" s="12" t="s">
        <v>23</v>
      </c>
      <c r="L5261" s="12">
        <v>1</v>
      </c>
      <c r="M5261" s="15">
        <v>83358</v>
      </c>
      <c r="N5261" s="15">
        <v>0</v>
      </c>
      <c r="O5261" s="15">
        <f t="shared" si="451"/>
        <v>83358</v>
      </c>
      <c r="P5261" s="15">
        <f t="shared" si="452"/>
        <v>11.000000000000002</v>
      </c>
      <c r="Q5261" s="14">
        <v>5000</v>
      </c>
      <c r="R5261" s="12">
        <v>100</v>
      </c>
      <c r="S5261" s="12" t="s">
        <v>6356</v>
      </c>
      <c r="T5261" s="22">
        <f t="shared" si="453"/>
        <v>8</v>
      </c>
      <c r="U5261" s="22">
        <f t="shared" si="454"/>
        <v>2022</v>
      </c>
      <c r="V5261" s="22" t="str">
        <f t="shared" si="455"/>
        <v>METROPOLITANA</v>
      </c>
    </row>
    <row r="5262" spans="1:22" x14ac:dyDescent="0.2">
      <c r="A5262" s="11" t="s">
        <v>6347</v>
      </c>
      <c r="B5262" s="12" t="s">
        <v>33</v>
      </c>
      <c r="C5262" s="12" t="s">
        <v>44</v>
      </c>
      <c r="D5262" s="12" t="s">
        <v>47</v>
      </c>
      <c r="E5262" s="13" t="s">
        <v>49</v>
      </c>
      <c r="F5262" s="12" t="s">
        <v>134</v>
      </c>
      <c r="G5262" s="14">
        <v>4206.0200000000004</v>
      </c>
      <c r="H5262" s="12" t="s">
        <v>22</v>
      </c>
      <c r="I5262" s="12">
        <v>0</v>
      </c>
      <c r="J5262" s="12" t="s">
        <v>134</v>
      </c>
      <c r="K5262" s="12" t="s">
        <v>23</v>
      </c>
      <c r="L5262" s="12">
        <v>2</v>
      </c>
      <c r="M5262" s="15">
        <v>55000</v>
      </c>
      <c r="N5262" s="15">
        <v>0</v>
      </c>
      <c r="O5262" s="15">
        <f t="shared" si="451"/>
        <v>55000</v>
      </c>
      <c r="P5262" s="15">
        <f t="shared" si="452"/>
        <v>13.076495118901002</v>
      </c>
      <c r="Q5262" s="14">
        <v>5000</v>
      </c>
      <c r="R5262" s="12">
        <v>84</v>
      </c>
      <c r="S5262" s="12" t="s">
        <v>6357</v>
      </c>
      <c r="T5262" s="22">
        <f t="shared" si="453"/>
        <v>8</v>
      </c>
      <c r="U5262" s="22">
        <f t="shared" si="454"/>
        <v>2022</v>
      </c>
      <c r="V5262" s="22" t="str">
        <f t="shared" si="455"/>
        <v>METROPOLITANA</v>
      </c>
    </row>
    <row r="5263" spans="1:22" x14ac:dyDescent="0.2">
      <c r="A5263" s="23" t="s">
        <v>6360</v>
      </c>
      <c r="B5263" s="22" t="s">
        <v>18</v>
      </c>
      <c r="C5263" s="22" t="s">
        <v>475</v>
      </c>
      <c r="D5263" s="22" t="s">
        <v>191</v>
      </c>
      <c r="E5263" s="24" t="s">
        <v>192</v>
      </c>
      <c r="F5263" s="22" t="s">
        <v>2639</v>
      </c>
      <c r="G5263" s="25">
        <v>11473.52</v>
      </c>
      <c r="H5263" s="22" t="s">
        <v>85</v>
      </c>
      <c r="I5263" s="22">
        <v>1</v>
      </c>
      <c r="J5263" s="22" t="s">
        <v>2639</v>
      </c>
      <c r="K5263" s="22" t="s">
        <v>75</v>
      </c>
      <c r="L5263" s="22">
        <v>0</v>
      </c>
      <c r="M5263" s="26">
        <v>460000</v>
      </c>
      <c r="N5263" s="26">
        <v>0</v>
      </c>
      <c r="O5263" s="15">
        <f t="shared" si="451"/>
        <v>460000</v>
      </c>
      <c r="P5263" s="15">
        <f t="shared" si="452"/>
        <v>40.092316917563224</v>
      </c>
      <c r="Q5263" s="25">
        <v>20000</v>
      </c>
      <c r="R5263" s="22">
        <v>57</v>
      </c>
      <c r="S5263" s="22" t="s">
        <v>6361</v>
      </c>
      <c r="T5263" s="22">
        <f t="shared" si="453"/>
        <v>8</v>
      </c>
      <c r="U5263" s="22">
        <f t="shared" si="454"/>
        <v>2022</v>
      </c>
      <c r="V5263" s="22" t="str">
        <f t="shared" si="455"/>
        <v>REGIONES</v>
      </c>
    </row>
    <row r="5264" spans="1:22" x14ac:dyDescent="0.2">
      <c r="A5264" s="23" t="s">
        <v>6360</v>
      </c>
      <c r="B5264" s="22" t="s">
        <v>18</v>
      </c>
      <c r="C5264" s="22" t="s">
        <v>508</v>
      </c>
      <c r="D5264" s="22" t="s">
        <v>38</v>
      </c>
      <c r="E5264" s="24" t="s">
        <v>42</v>
      </c>
      <c r="F5264" s="22" t="s">
        <v>51</v>
      </c>
      <c r="G5264" s="25">
        <v>5726.76</v>
      </c>
      <c r="H5264" s="22" t="s">
        <v>43</v>
      </c>
      <c r="I5264" s="22">
        <v>0</v>
      </c>
      <c r="J5264" s="22" t="s">
        <v>51</v>
      </c>
      <c r="K5264" s="22" t="s">
        <v>23</v>
      </c>
      <c r="L5264" s="22">
        <v>4</v>
      </c>
      <c r="M5264" s="26">
        <v>62994</v>
      </c>
      <c r="N5264" s="26">
        <v>0</v>
      </c>
      <c r="O5264" s="15">
        <f t="shared" si="451"/>
        <v>62994</v>
      </c>
      <c r="P5264" s="15">
        <f t="shared" si="452"/>
        <v>10.999937137229427</v>
      </c>
      <c r="Q5264" s="25">
        <v>5000</v>
      </c>
      <c r="R5264" s="22">
        <v>100</v>
      </c>
      <c r="S5264" s="22" t="s">
        <v>6362</v>
      </c>
      <c r="T5264" s="22">
        <f t="shared" si="453"/>
        <v>8</v>
      </c>
      <c r="U5264" s="22">
        <f t="shared" si="454"/>
        <v>2022</v>
      </c>
      <c r="V5264" s="22" t="str">
        <f t="shared" si="455"/>
        <v>METROPOLITANA</v>
      </c>
    </row>
    <row r="5265" spans="1:22" x14ac:dyDescent="0.2">
      <c r="A5265" s="23" t="s">
        <v>6360</v>
      </c>
      <c r="B5265" s="22" t="s">
        <v>33</v>
      </c>
      <c r="C5265" s="22" t="s">
        <v>60</v>
      </c>
      <c r="D5265" s="22" t="s">
        <v>20</v>
      </c>
      <c r="E5265" s="24" t="s">
        <v>21</v>
      </c>
      <c r="F5265" s="22" t="s">
        <v>51</v>
      </c>
      <c r="G5265" s="25">
        <f>3240+1501</f>
        <v>4741</v>
      </c>
      <c r="H5265" s="22" t="s">
        <v>22</v>
      </c>
      <c r="I5265" s="22">
        <v>0</v>
      </c>
      <c r="J5265" s="22" t="s">
        <v>51</v>
      </c>
      <c r="K5265" s="22" t="s">
        <v>23</v>
      </c>
      <c r="L5265" s="22">
        <v>4</v>
      </c>
      <c r="M5265" s="26">
        <v>55000</v>
      </c>
      <c r="N5265" s="26">
        <v>0</v>
      </c>
      <c r="O5265" s="15">
        <f t="shared" si="451"/>
        <v>55000</v>
      </c>
      <c r="P5265" s="15">
        <f t="shared" si="452"/>
        <v>11.600928074245939</v>
      </c>
      <c r="Q5265" s="25">
        <v>5000</v>
      </c>
      <c r="R5265" s="22">
        <v>85</v>
      </c>
      <c r="S5265" s="22" t="s">
        <v>6372</v>
      </c>
      <c r="T5265" s="22">
        <f t="shared" si="453"/>
        <v>8</v>
      </c>
      <c r="U5265" s="22">
        <f t="shared" si="454"/>
        <v>2022</v>
      </c>
      <c r="V5265" s="22" t="str">
        <f t="shared" si="455"/>
        <v>METROPOLITANA</v>
      </c>
    </row>
    <row r="5266" spans="1:22" x14ac:dyDescent="0.2">
      <c r="A5266" s="23" t="s">
        <v>6360</v>
      </c>
      <c r="B5266" s="22" t="s">
        <v>33</v>
      </c>
      <c r="C5266" s="22" t="s">
        <v>36</v>
      </c>
      <c r="D5266" s="22" t="s">
        <v>191</v>
      </c>
      <c r="E5266" s="24" t="s">
        <v>192</v>
      </c>
      <c r="F5266" s="22" t="s">
        <v>2744</v>
      </c>
      <c r="G5266" s="25">
        <v>4468.8599999999997</v>
      </c>
      <c r="H5266" s="22" t="s">
        <v>85</v>
      </c>
      <c r="I5266" s="22">
        <v>1</v>
      </c>
      <c r="J5266" s="22" t="s">
        <v>2744</v>
      </c>
      <c r="K5266" s="22" t="s">
        <v>75</v>
      </c>
      <c r="L5266" s="22">
        <v>0</v>
      </c>
      <c r="M5266" s="26">
        <v>420000</v>
      </c>
      <c r="N5266" s="26">
        <v>0</v>
      </c>
      <c r="O5266" s="15">
        <f t="shared" si="451"/>
        <v>420000</v>
      </c>
      <c r="P5266" s="15">
        <f t="shared" si="452"/>
        <v>93.983700541077596</v>
      </c>
      <c r="Q5266" s="25">
        <v>20000</v>
      </c>
      <c r="R5266" s="22">
        <v>22</v>
      </c>
      <c r="S5266" s="22" t="s">
        <v>6363</v>
      </c>
      <c r="T5266" s="22">
        <f t="shared" si="453"/>
        <v>8</v>
      </c>
      <c r="U5266" s="22">
        <f t="shared" si="454"/>
        <v>2022</v>
      </c>
      <c r="V5266" s="22" t="str">
        <f t="shared" si="455"/>
        <v>REGIONES</v>
      </c>
    </row>
    <row r="5267" spans="1:22" x14ac:dyDescent="0.2">
      <c r="A5267" s="23" t="s">
        <v>6360</v>
      </c>
      <c r="B5267" s="22" t="s">
        <v>33</v>
      </c>
      <c r="C5267" s="22" t="s">
        <v>36</v>
      </c>
      <c r="D5267" s="22" t="s">
        <v>3641</v>
      </c>
      <c r="E5267" s="24" t="s">
        <v>5124</v>
      </c>
      <c r="F5267" s="22" t="s">
        <v>132</v>
      </c>
      <c r="G5267" s="25">
        <v>5003.3200000000024</v>
      </c>
      <c r="H5267" s="22" t="s">
        <v>24</v>
      </c>
      <c r="I5267" s="22">
        <v>1</v>
      </c>
      <c r="J5267" s="22" t="s">
        <v>132</v>
      </c>
      <c r="K5267" s="22" t="s">
        <v>124</v>
      </c>
      <c r="L5267" s="22">
        <v>0</v>
      </c>
      <c r="M5267" s="26">
        <v>400000</v>
      </c>
      <c r="N5267" s="26">
        <v>0</v>
      </c>
      <c r="O5267" s="15">
        <f t="shared" si="451"/>
        <v>400000</v>
      </c>
      <c r="P5267" s="15">
        <f t="shared" si="452"/>
        <v>79.946915248275104</v>
      </c>
      <c r="Q5267" s="25">
        <v>20000</v>
      </c>
      <c r="R5267" s="22">
        <v>25</v>
      </c>
      <c r="S5267" s="22" t="s">
        <v>6364</v>
      </c>
      <c r="T5267" s="22">
        <f t="shared" si="453"/>
        <v>8</v>
      </c>
      <c r="U5267" s="22">
        <f t="shared" si="454"/>
        <v>2022</v>
      </c>
      <c r="V5267" s="22" t="str">
        <f t="shared" si="455"/>
        <v>REGIONES</v>
      </c>
    </row>
    <row r="5268" spans="1:22" x14ac:dyDescent="0.2">
      <c r="A5268" s="23" t="s">
        <v>6360</v>
      </c>
      <c r="B5268" s="22" t="s">
        <v>33</v>
      </c>
      <c r="C5268" s="22" t="s">
        <v>29</v>
      </c>
      <c r="D5268" s="22" t="s">
        <v>47</v>
      </c>
      <c r="E5268" s="24" t="s">
        <v>49</v>
      </c>
      <c r="F5268" s="22" t="s">
        <v>134</v>
      </c>
      <c r="G5268" s="25">
        <v>8880.9</v>
      </c>
      <c r="H5268" s="22" t="s">
        <v>22</v>
      </c>
      <c r="I5268" s="22">
        <v>0</v>
      </c>
      <c r="J5268" s="22" t="s">
        <v>134</v>
      </c>
      <c r="K5268" s="22" t="s">
        <v>23</v>
      </c>
      <c r="L5268" s="22">
        <v>2</v>
      </c>
      <c r="M5268" s="26">
        <v>97690</v>
      </c>
      <c r="N5268" s="26">
        <v>0</v>
      </c>
      <c r="O5268" s="15">
        <f t="shared" si="451"/>
        <v>97690</v>
      </c>
      <c r="P5268" s="15">
        <f t="shared" si="452"/>
        <v>11.000011260120033</v>
      </c>
      <c r="Q5268" s="25">
        <v>5000</v>
      </c>
      <c r="R5268" s="22">
        <v>100</v>
      </c>
      <c r="S5268" s="22" t="s">
        <v>6365</v>
      </c>
      <c r="T5268" s="22">
        <f t="shared" si="453"/>
        <v>8</v>
      </c>
      <c r="U5268" s="22">
        <f t="shared" si="454"/>
        <v>2022</v>
      </c>
      <c r="V5268" s="22" t="str">
        <f t="shared" si="455"/>
        <v>METROPOLITANA</v>
      </c>
    </row>
    <row r="5269" spans="1:22" x14ac:dyDescent="0.2">
      <c r="A5269" s="23" t="s">
        <v>6360</v>
      </c>
      <c r="B5269" s="22" t="s">
        <v>33</v>
      </c>
      <c r="C5269" s="22" t="s">
        <v>29</v>
      </c>
      <c r="D5269" s="22" t="s">
        <v>164</v>
      </c>
      <c r="E5269" s="24" t="s">
        <v>6366</v>
      </c>
      <c r="F5269" s="22" t="s">
        <v>134</v>
      </c>
      <c r="G5269" s="25">
        <v>23466.80000000001</v>
      </c>
      <c r="H5269" s="22" t="s">
        <v>22</v>
      </c>
      <c r="I5269" s="22">
        <v>1</v>
      </c>
      <c r="J5269" s="22" t="s">
        <v>134</v>
      </c>
      <c r="K5269" s="22" t="s">
        <v>23</v>
      </c>
      <c r="L5269" s="22">
        <v>2</v>
      </c>
      <c r="M5269" s="26">
        <v>258135</v>
      </c>
      <c r="N5269" s="26">
        <v>0</v>
      </c>
      <c r="O5269" s="15">
        <f t="shared" ref="O5269:O5332" si="456">SUM(M5269:N5269)</f>
        <v>258135</v>
      </c>
      <c r="P5269" s="15">
        <f t="shared" si="452"/>
        <v>11.000008522678844</v>
      </c>
      <c r="Q5269" s="25">
        <v>5000</v>
      </c>
      <c r="R5269" s="22">
        <v>100</v>
      </c>
      <c r="S5269" s="22" t="s">
        <v>6367</v>
      </c>
      <c r="T5269" s="22">
        <f t="shared" si="453"/>
        <v>8</v>
      </c>
      <c r="U5269" s="22">
        <f t="shared" si="454"/>
        <v>2022</v>
      </c>
      <c r="V5269" s="22" t="str">
        <f t="shared" si="455"/>
        <v>METROPOLITANA</v>
      </c>
    </row>
    <row r="5270" spans="1:22" x14ac:dyDescent="0.2">
      <c r="A5270" s="23" t="s">
        <v>6360</v>
      </c>
      <c r="B5270" s="22" t="s">
        <v>33</v>
      </c>
      <c r="C5270" s="22" t="s">
        <v>44</v>
      </c>
      <c r="D5270" s="22" t="s">
        <v>45</v>
      </c>
      <c r="E5270" s="24" t="s">
        <v>52</v>
      </c>
      <c r="F5270" s="22" t="s">
        <v>48</v>
      </c>
      <c r="G5270" s="25">
        <v>3323.0500000000011</v>
      </c>
      <c r="H5270" s="22" t="s">
        <v>22</v>
      </c>
      <c r="I5270" s="22">
        <v>0</v>
      </c>
      <c r="J5270" s="22" t="s">
        <v>48</v>
      </c>
      <c r="K5270" s="22" t="s">
        <v>23</v>
      </c>
      <c r="L5270" s="22">
        <v>1</v>
      </c>
      <c r="M5270" s="26">
        <v>55000</v>
      </c>
      <c r="N5270" s="26">
        <v>0</v>
      </c>
      <c r="O5270" s="15">
        <f t="shared" si="456"/>
        <v>55000</v>
      </c>
      <c r="P5270" s="15">
        <f t="shared" si="452"/>
        <v>16.551060020162193</v>
      </c>
      <c r="Q5270" s="25">
        <v>5000</v>
      </c>
      <c r="R5270" s="22">
        <v>66</v>
      </c>
      <c r="S5270" s="22" t="s">
        <v>6368</v>
      </c>
      <c r="T5270" s="22">
        <f t="shared" si="453"/>
        <v>8</v>
      </c>
      <c r="U5270" s="22">
        <f t="shared" si="454"/>
        <v>2022</v>
      </c>
      <c r="V5270" s="22" t="str">
        <f t="shared" si="455"/>
        <v>METROPOLITANA</v>
      </c>
    </row>
    <row r="5271" spans="1:22" x14ac:dyDescent="0.2">
      <c r="A5271" s="23" t="s">
        <v>6360</v>
      </c>
      <c r="B5271" s="22" t="s">
        <v>33</v>
      </c>
      <c r="C5271" s="22" t="s">
        <v>44</v>
      </c>
      <c r="D5271" s="22" t="s">
        <v>47</v>
      </c>
      <c r="E5271" s="24" t="s">
        <v>49</v>
      </c>
      <c r="F5271" s="22" t="s">
        <v>51</v>
      </c>
      <c r="G5271" s="25">
        <v>3878.24</v>
      </c>
      <c r="H5271" s="22" t="s">
        <v>22</v>
      </c>
      <c r="I5271" s="22">
        <v>0</v>
      </c>
      <c r="J5271" s="22" t="s">
        <v>51</v>
      </c>
      <c r="K5271" s="22" t="s">
        <v>23</v>
      </c>
      <c r="L5271" s="22">
        <v>4</v>
      </c>
      <c r="M5271" s="26">
        <v>55000</v>
      </c>
      <c r="N5271" s="26">
        <v>0</v>
      </c>
      <c r="O5271" s="15">
        <f t="shared" si="456"/>
        <v>55000</v>
      </c>
      <c r="P5271" s="15">
        <f t="shared" si="452"/>
        <v>14.181690663806263</v>
      </c>
      <c r="Q5271" s="25">
        <v>5000</v>
      </c>
      <c r="R5271" s="22">
        <v>78</v>
      </c>
      <c r="S5271" s="22" t="s">
        <v>6369</v>
      </c>
      <c r="T5271" s="22">
        <f t="shared" si="453"/>
        <v>8</v>
      </c>
      <c r="U5271" s="22">
        <f t="shared" si="454"/>
        <v>2022</v>
      </c>
      <c r="V5271" s="22" t="str">
        <f t="shared" si="455"/>
        <v>METROPOLITANA</v>
      </c>
    </row>
    <row r="5272" spans="1:22" x14ac:dyDescent="0.2">
      <c r="A5272" s="23" t="s">
        <v>6360</v>
      </c>
      <c r="B5272" s="22" t="s">
        <v>33</v>
      </c>
      <c r="C5272" s="22" t="s">
        <v>4802</v>
      </c>
      <c r="D5272" s="22" t="s">
        <v>2612</v>
      </c>
      <c r="E5272" s="24" t="s">
        <v>6370</v>
      </c>
      <c r="F5272" s="22" t="s">
        <v>815</v>
      </c>
      <c r="G5272" s="25">
        <v>13757.400000000011</v>
      </c>
      <c r="H5272" s="22" t="s">
        <v>24</v>
      </c>
      <c r="I5272" s="22">
        <v>1</v>
      </c>
      <c r="J5272" s="22" t="s">
        <v>815</v>
      </c>
      <c r="K5272" s="22" t="s">
        <v>75</v>
      </c>
      <c r="L5272" s="22">
        <v>0</v>
      </c>
      <c r="M5272" s="26">
        <v>460000</v>
      </c>
      <c r="N5272" s="26">
        <v>0</v>
      </c>
      <c r="O5272" s="15">
        <f t="shared" si="456"/>
        <v>460000</v>
      </c>
      <c r="P5272" s="15">
        <f t="shared" si="452"/>
        <v>33.436550510997691</v>
      </c>
      <c r="Q5272" s="25">
        <v>20000</v>
      </c>
      <c r="R5272" s="22">
        <v>69</v>
      </c>
      <c r="S5272" s="22" t="s">
        <v>6371</v>
      </c>
      <c r="T5272" s="22">
        <f t="shared" si="453"/>
        <v>8</v>
      </c>
      <c r="U5272" s="22">
        <f t="shared" si="454"/>
        <v>2022</v>
      </c>
      <c r="V5272" s="22" t="str">
        <f t="shared" si="455"/>
        <v>REGIONES</v>
      </c>
    </row>
    <row r="5273" spans="1:22" x14ac:dyDescent="0.2">
      <c r="A5273" s="11" t="s">
        <v>6373</v>
      </c>
      <c r="B5273" s="12" t="s">
        <v>18</v>
      </c>
      <c r="C5273" s="12" t="s">
        <v>500</v>
      </c>
      <c r="D5273" s="12" t="s">
        <v>37</v>
      </c>
      <c r="E5273" s="13" t="s">
        <v>40</v>
      </c>
      <c r="F5273" s="12" t="s">
        <v>120</v>
      </c>
      <c r="G5273" s="14">
        <v>18064.240000000002</v>
      </c>
      <c r="H5273" s="12" t="s">
        <v>22</v>
      </c>
      <c r="I5273" s="12">
        <v>0</v>
      </c>
      <c r="J5273" s="12" t="s">
        <v>120</v>
      </c>
      <c r="K5273" s="12" t="s">
        <v>23</v>
      </c>
      <c r="L5273" s="12">
        <v>5</v>
      </c>
      <c r="M5273" s="15">
        <v>70000</v>
      </c>
      <c r="N5273" s="15">
        <v>0</v>
      </c>
      <c r="O5273" s="15">
        <f t="shared" si="456"/>
        <v>70000</v>
      </c>
      <c r="P5273" s="15">
        <f t="shared" si="452"/>
        <v>3.875059233048276</v>
      </c>
      <c r="Q5273" s="14">
        <v>10000</v>
      </c>
      <c r="R5273" s="12">
        <v>100</v>
      </c>
      <c r="S5273" s="12" t="s">
        <v>6374</v>
      </c>
      <c r="T5273" s="22">
        <f t="shared" si="453"/>
        <v>8</v>
      </c>
      <c r="U5273" s="22">
        <f t="shared" si="454"/>
        <v>2022</v>
      </c>
      <c r="V5273" s="22" t="str">
        <f t="shared" si="455"/>
        <v>METROPOLITANA</v>
      </c>
    </row>
    <row r="5274" spans="1:22" x14ac:dyDescent="0.2">
      <c r="A5274" s="11" t="s">
        <v>6373</v>
      </c>
      <c r="B5274" s="12" t="s">
        <v>18</v>
      </c>
      <c r="C5274" s="12" t="s">
        <v>3060</v>
      </c>
      <c r="D5274" s="12" t="s">
        <v>47</v>
      </c>
      <c r="E5274" s="13" t="s">
        <v>49</v>
      </c>
      <c r="F5274" s="12" t="s">
        <v>58</v>
      </c>
      <c r="G5274" s="14">
        <v>2310.12</v>
      </c>
      <c r="H5274" s="12" t="s">
        <v>22</v>
      </c>
      <c r="I5274" s="12">
        <v>0</v>
      </c>
      <c r="J5274" s="12" t="s">
        <v>58</v>
      </c>
      <c r="K5274" s="12" t="s">
        <v>23</v>
      </c>
      <c r="L5274" s="12">
        <v>5</v>
      </c>
      <c r="M5274" s="15">
        <v>70000</v>
      </c>
      <c r="N5274" s="15">
        <v>0</v>
      </c>
      <c r="O5274" s="15">
        <f t="shared" si="456"/>
        <v>70000</v>
      </c>
      <c r="P5274" s="15">
        <f t="shared" si="452"/>
        <v>30.301456201409451</v>
      </c>
      <c r="Q5274" s="14">
        <v>10000</v>
      </c>
      <c r="R5274" s="12">
        <v>23</v>
      </c>
      <c r="S5274" s="12" t="s">
        <v>6375</v>
      </c>
      <c r="T5274" s="22">
        <f t="shared" si="453"/>
        <v>8</v>
      </c>
      <c r="U5274" s="22">
        <f t="shared" si="454"/>
        <v>2022</v>
      </c>
      <c r="V5274" s="22" t="str">
        <f t="shared" si="455"/>
        <v>METROPOLITANA</v>
      </c>
    </row>
    <row r="5275" spans="1:22" x14ac:dyDescent="0.2">
      <c r="A5275" s="11" t="s">
        <v>6373</v>
      </c>
      <c r="B5275" s="12" t="s">
        <v>33</v>
      </c>
      <c r="C5275" s="12" t="s">
        <v>500</v>
      </c>
      <c r="D5275" s="12" t="s">
        <v>38</v>
      </c>
      <c r="E5275" s="13" t="s">
        <v>1124</v>
      </c>
      <c r="F5275" s="12" t="s">
        <v>120</v>
      </c>
      <c r="G5275" s="14">
        <v>4702.75</v>
      </c>
      <c r="H5275" s="12" t="s">
        <v>43</v>
      </c>
      <c r="I5275" s="12">
        <v>0</v>
      </c>
      <c r="J5275" s="12" t="s">
        <v>120</v>
      </c>
      <c r="K5275" s="12" t="s">
        <v>23</v>
      </c>
      <c r="L5275" s="12">
        <v>5</v>
      </c>
      <c r="M5275" s="15">
        <v>70000</v>
      </c>
      <c r="N5275" s="15">
        <v>0</v>
      </c>
      <c r="O5275" s="15">
        <f t="shared" si="456"/>
        <v>70000</v>
      </c>
      <c r="P5275" s="15">
        <f t="shared" si="452"/>
        <v>14.884907766732232</v>
      </c>
      <c r="Q5275" s="14">
        <v>10000</v>
      </c>
      <c r="R5275" s="12">
        <v>47</v>
      </c>
      <c r="S5275" s="12" t="s">
        <v>6376</v>
      </c>
      <c r="T5275" s="22">
        <f t="shared" si="453"/>
        <v>8</v>
      </c>
      <c r="U5275" s="22">
        <f t="shared" si="454"/>
        <v>2022</v>
      </c>
      <c r="V5275" s="22" t="str">
        <f t="shared" si="455"/>
        <v>METROPOLITANA</v>
      </c>
    </row>
    <row r="5276" spans="1:22" x14ac:dyDescent="0.2">
      <c r="A5276" s="11" t="s">
        <v>6373</v>
      </c>
      <c r="B5276" s="12" t="s">
        <v>33</v>
      </c>
      <c r="C5276" s="12" t="s">
        <v>128</v>
      </c>
      <c r="D5276" s="12" t="s">
        <v>786</v>
      </c>
      <c r="E5276" s="13" t="s">
        <v>787</v>
      </c>
      <c r="F5276" s="12" t="s">
        <v>34</v>
      </c>
      <c r="G5276" s="14">
        <v>11554.14</v>
      </c>
      <c r="H5276" s="12" t="s">
        <v>788</v>
      </c>
      <c r="I5276" s="12">
        <v>1</v>
      </c>
      <c r="J5276" s="12" t="s">
        <v>34</v>
      </c>
      <c r="K5276" s="12" t="s">
        <v>23</v>
      </c>
      <c r="L5276" s="12">
        <v>1</v>
      </c>
      <c r="M5276" s="15">
        <v>127096</v>
      </c>
      <c r="N5276" s="15">
        <v>0</v>
      </c>
      <c r="O5276" s="15">
        <f t="shared" si="456"/>
        <v>127096</v>
      </c>
      <c r="P5276" s="15">
        <f t="shared" si="452"/>
        <v>11.000039812569348</v>
      </c>
      <c r="Q5276" s="14">
        <v>5000</v>
      </c>
      <c r="R5276" s="12">
        <v>100</v>
      </c>
      <c r="S5276" s="12" t="s">
        <v>6377</v>
      </c>
      <c r="T5276" s="22">
        <f t="shared" si="453"/>
        <v>8</v>
      </c>
      <c r="U5276" s="22">
        <f t="shared" si="454"/>
        <v>2022</v>
      </c>
      <c r="V5276" s="22" t="str">
        <f t="shared" si="455"/>
        <v>METROPOLITANA</v>
      </c>
    </row>
    <row r="5277" spans="1:22" x14ac:dyDescent="0.2">
      <c r="A5277" s="11" t="s">
        <v>6373</v>
      </c>
      <c r="B5277" s="12" t="s">
        <v>33</v>
      </c>
      <c r="C5277" s="12" t="s">
        <v>128</v>
      </c>
      <c r="D5277" s="12" t="s">
        <v>41</v>
      </c>
      <c r="E5277" s="13" t="s">
        <v>25</v>
      </c>
      <c r="F5277" s="12" t="s">
        <v>34</v>
      </c>
      <c r="G5277" s="14">
        <v>5731.6399999999994</v>
      </c>
      <c r="H5277" s="12" t="s">
        <v>43</v>
      </c>
      <c r="I5277" s="12">
        <v>0</v>
      </c>
      <c r="J5277" s="12" t="s">
        <v>34</v>
      </c>
      <c r="K5277" s="12" t="s">
        <v>23</v>
      </c>
      <c r="L5277" s="12">
        <v>1</v>
      </c>
      <c r="M5277" s="15">
        <v>63048</v>
      </c>
      <c r="N5277" s="15">
        <v>0</v>
      </c>
      <c r="O5277" s="15">
        <f t="shared" si="456"/>
        <v>63048</v>
      </c>
      <c r="P5277" s="15">
        <f t="shared" si="452"/>
        <v>10.999993021194634</v>
      </c>
      <c r="Q5277" s="14">
        <v>5000</v>
      </c>
      <c r="R5277" s="12">
        <v>100</v>
      </c>
      <c r="S5277" s="12" t="s">
        <v>6378</v>
      </c>
      <c r="T5277" s="22">
        <f t="shared" si="453"/>
        <v>8</v>
      </c>
      <c r="U5277" s="22">
        <f t="shared" si="454"/>
        <v>2022</v>
      </c>
      <c r="V5277" s="22" t="str">
        <f t="shared" si="455"/>
        <v>METROPOLITANA</v>
      </c>
    </row>
    <row r="5278" spans="1:22" x14ac:dyDescent="0.2">
      <c r="A5278" s="11" t="s">
        <v>6373</v>
      </c>
      <c r="B5278" s="12" t="s">
        <v>33</v>
      </c>
      <c r="C5278" s="12" t="s">
        <v>36</v>
      </c>
      <c r="D5278" s="12" t="s">
        <v>30</v>
      </c>
      <c r="E5278" s="13" t="s">
        <v>31</v>
      </c>
      <c r="F5278" s="12" t="s">
        <v>127</v>
      </c>
      <c r="G5278" s="14">
        <f>2413.2+1970</f>
        <v>4383.2</v>
      </c>
      <c r="H5278" s="12" t="s">
        <v>32</v>
      </c>
      <c r="I5278" s="12">
        <v>0</v>
      </c>
      <c r="J5278" s="12" t="s">
        <v>127</v>
      </c>
      <c r="K5278" s="12" t="s">
        <v>78</v>
      </c>
      <c r="L5278" s="12">
        <v>0</v>
      </c>
      <c r="M5278" s="15">
        <v>203000</v>
      </c>
      <c r="N5278" s="15">
        <v>0</v>
      </c>
      <c r="O5278" s="15">
        <f t="shared" si="456"/>
        <v>203000</v>
      </c>
      <c r="P5278" s="15">
        <f t="shared" si="452"/>
        <v>46.313195838656689</v>
      </c>
      <c r="Q5278" s="14">
        <v>20000</v>
      </c>
      <c r="R5278" s="12">
        <v>55</v>
      </c>
      <c r="S5278" s="12" t="s">
        <v>6385</v>
      </c>
      <c r="T5278" s="22">
        <f t="shared" si="453"/>
        <v>8</v>
      </c>
      <c r="U5278" s="22">
        <f t="shared" si="454"/>
        <v>2022</v>
      </c>
      <c r="V5278" s="22" t="str">
        <f t="shared" si="455"/>
        <v>REGIONES</v>
      </c>
    </row>
    <row r="5279" spans="1:22" x14ac:dyDescent="0.2">
      <c r="A5279" s="11" t="s">
        <v>6373</v>
      </c>
      <c r="B5279" s="12" t="s">
        <v>33</v>
      </c>
      <c r="C5279" s="12" t="s">
        <v>29</v>
      </c>
      <c r="D5279" s="12" t="s">
        <v>30</v>
      </c>
      <c r="E5279" s="13" t="s">
        <v>31</v>
      </c>
      <c r="F5279" s="12" t="s">
        <v>39</v>
      </c>
      <c r="G5279" s="14">
        <v>10349.6</v>
      </c>
      <c r="H5279" s="12" t="s">
        <v>32</v>
      </c>
      <c r="I5279" s="12">
        <v>0</v>
      </c>
      <c r="J5279" s="12" t="s">
        <v>39</v>
      </c>
      <c r="K5279" s="12" t="s">
        <v>23</v>
      </c>
      <c r="L5279" s="12">
        <v>1</v>
      </c>
      <c r="M5279" s="15">
        <v>113846</v>
      </c>
      <c r="N5279" s="15">
        <v>0</v>
      </c>
      <c r="O5279" s="15">
        <f t="shared" si="456"/>
        <v>113846</v>
      </c>
      <c r="P5279" s="15">
        <f t="shared" si="452"/>
        <v>11.00003864883667</v>
      </c>
      <c r="Q5279" s="14">
        <v>5000</v>
      </c>
      <c r="R5279" s="12">
        <v>100</v>
      </c>
      <c r="S5279" s="12" t="s">
        <v>6379</v>
      </c>
      <c r="T5279" s="22">
        <f t="shared" si="453"/>
        <v>8</v>
      </c>
      <c r="U5279" s="22">
        <f t="shared" si="454"/>
        <v>2022</v>
      </c>
      <c r="V5279" s="22" t="str">
        <f t="shared" si="455"/>
        <v>METROPOLITANA</v>
      </c>
    </row>
    <row r="5280" spans="1:22" x14ac:dyDescent="0.2">
      <c r="A5280" s="11" t="s">
        <v>6373</v>
      </c>
      <c r="B5280" s="12" t="s">
        <v>33</v>
      </c>
      <c r="C5280" s="12" t="s">
        <v>29</v>
      </c>
      <c r="D5280" s="12" t="s">
        <v>164</v>
      </c>
      <c r="E5280" s="13" t="s">
        <v>1576</v>
      </c>
      <c r="F5280" s="12" t="s">
        <v>39</v>
      </c>
      <c r="G5280" s="14">
        <v>15988.54</v>
      </c>
      <c r="H5280" s="12" t="s">
        <v>22</v>
      </c>
      <c r="I5280" s="12">
        <v>1</v>
      </c>
      <c r="J5280" s="12" t="s">
        <v>39</v>
      </c>
      <c r="K5280" s="12" t="s">
        <v>23</v>
      </c>
      <c r="L5280" s="12">
        <v>1</v>
      </c>
      <c r="M5280" s="15">
        <v>175874</v>
      </c>
      <c r="N5280" s="15">
        <v>0</v>
      </c>
      <c r="O5280" s="15">
        <f t="shared" si="456"/>
        <v>175874</v>
      </c>
      <c r="P5280" s="15">
        <f t="shared" si="452"/>
        <v>11.000003752687862</v>
      </c>
      <c r="Q5280" s="14">
        <v>5000</v>
      </c>
      <c r="R5280" s="12">
        <v>100</v>
      </c>
      <c r="S5280" s="12" t="s">
        <v>6380</v>
      </c>
      <c r="T5280" s="22">
        <f t="shared" si="453"/>
        <v>8</v>
      </c>
      <c r="U5280" s="22">
        <f t="shared" si="454"/>
        <v>2022</v>
      </c>
      <c r="V5280" s="22" t="str">
        <f t="shared" si="455"/>
        <v>METROPOLITANA</v>
      </c>
    </row>
    <row r="5281" spans="1:22" x14ac:dyDescent="0.2">
      <c r="A5281" s="11" t="s">
        <v>6373</v>
      </c>
      <c r="B5281" s="12" t="s">
        <v>33</v>
      </c>
      <c r="C5281" s="12" t="s">
        <v>29</v>
      </c>
      <c r="D5281" s="12" t="s">
        <v>6381</v>
      </c>
      <c r="E5281" s="13" t="s">
        <v>21</v>
      </c>
      <c r="F5281" s="12" t="s">
        <v>134</v>
      </c>
      <c r="G5281" s="14">
        <v>10353</v>
      </c>
      <c r="H5281" s="12" t="s">
        <v>24</v>
      </c>
      <c r="I5281" s="12">
        <v>1</v>
      </c>
      <c r="J5281" s="12" t="s">
        <v>134</v>
      </c>
      <c r="K5281" s="12" t="s">
        <v>23</v>
      </c>
      <c r="L5281" s="12">
        <v>2</v>
      </c>
      <c r="M5281" s="15">
        <v>113883</v>
      </c>
      <c r="N5281" s="15">
        <v>0</v>
      </c>
      <c r="O5281" s="15">
        <f t="shared" si="456"/>
        <v>113883</v>
      </c>
      <c r="P5281" s="15">
        <f t="shared" ref="P5281:P5344" si="457">O5281/G5281</f>
        <v>11</v>
      </c>
      <c r="Q5281" s="14">
        <v>5000</v>
      </c>
      <c r="R5281" s="12">
        <v>100</v>
      </c>
      <c r="S5281" s="12" t="s">
        <v>6382</v>
      </c>
      <c r="T5281" s="22">
        <f t="shared" si="453"/>
        <v>8</v>
      </c>
      <c r="U5281" s="22">
        <f t="shared" si="454"/>
        <v>2022</v>
      </c>
      <c r="V5281" s="22" t="str">
        <f t="shared" si="455"/>
        <v>METROPOLITANA</v>
      </c>
    </row>
    <row r="5282" spans="1:22" x14ac:dyDescent="0.2">
      <c r="A5282" s="11" t="s">
        <v>6373</v>
      </c>
      <c r="B5282" s="12" t="s">
        <v>33</v>
      </c>
      <c r="C5282" s="12" t="s">
        <v>29</v>
      </c>
      <c r="D5282" s="12" t="s">
        <v>20</v>
      </c>
      <c r="E5282" s="13" t="s">
        <v>21</v>
      </c>
      <c r="F5282" s="12" t="s">
        <v>39</v>
      </c>
      <c r="G5282" s="14">
        <v>10011.35</v>
      </c>
      <c r="H5282" s="12" t="s">
        <v>22</v>
      </c>
      <c r="I5282" s="12">
        <v>0</v>
      </c>
      <c r="J5282" s="12" t="s">
        <v>39</v>
      </c>
      <c r="K5282" s="12" t="s">
        <v>23</v>
      </c>
      <c r="L5282" s="12">
        <v>1</v>
      </c>
      <c r="M5282" s="15">
        <v>110125</v>
      </c>
      <c r="N5282" s="15">
        <v>0</v>
      </c>
      <c r="O5282" s="15">
        <f t="shared" si="456"/>
        <v>110125</v>
      </c>
      <c r="P5282" s="15">
        <f t="shared" si="457"/>
        <v>11.000014982994301</v>
      </c>
      <c r="Q5282" s="14">
        <v>5000</v>
      </c>
      <c r="R5282" s="12">
        <v>100</v>
      </c>
      <c r="S5282" s="12" t="s">
        <v>6383</v>
      </c>
      <c r="T5282" s="22">
        <f t="shared" si="453"/>
        <v>8</v>
      </c>
      <c r="U5282" s="22">
        <f t="shared" si="454"/>
        <v>2022</v>
      </c>
      <c r="V5282" s="22" t="str">
        <f t="shared" si="455"/>
        <v>METROPOLITANA</v>
      </c>
    </row>
    <row r="5283" spans="1:22" x14ac:dyDescent="0.2">
      <c r="A5283" s="11" t="s">
        <v>6373</v>
      </c>
      <c r="B5283" s="12" t="s">
        <v>33</v>
      </c>
      <c r="C5283" s="12" t="s">
        <v>44</v>
      </c>
      <c r="D5283" s="12" t="s">
        <v>37</v>
      </c>
      <c r="E5283" s="13" t="s">
        <v>40</v>
      </c>
      <c r="F5283" s="12" t="s">
        <v>48</v>
      </c>
      <c r="G5283" s="14">
        <v>7710.44</v>
      </c>
      <c r="H5283" s="12" t="s">
        <v>22</v>
      </c>
      <c r="I5283" s="12">
        <v>0</v>
      </c>
      <c r="J5283" s="12" t="s">
        <v>48</v>
      </c>
      <c r="K5283" s="12" t="s">
        <v>23</v>
      </c>
      <c r="L5283" s="12">
        <v>1</v>
      </c>
      <c r="M5283" s="15">
        <v>84815</v>
      </c>
      <c r="N5283" s="15">
        <v>0</v>
      </c>
      <c r="O5283" s="15">
        <f t="shared" si="456"/>
        <v>84815</v>
      </c>
      <c r="P5283" s="15">
        <f t="shared" si="457"/>
        <v>11.000020751085541</v>
      </c>
      <c r="Q5283" s="14">
        <v>5000</v>
      </c>
      <c r="R5283" s="12">
        <v>100</v>
      </c>
      <c r="S5283" s="12" t="s">
        <v>6384</v>
      </c>
      <c r="T5283" s="22">
        <f t="shared" si="453"/>
        <v>8</v>
      </c>
      <c r="U5283" s="22">
        <f t="shared" si="454"/>
        <v>2022</v>
      </c>
      <c r="V5283" s="22" t="str">
        <f t="shared" si="455"/>
        <v>METROPOLITANA</v>
      </c>
    </row>
    <row r="5284" spans="1:22" x14ac:dyDescent="0.2">
      <c r="A5284" s="23" t="s">
        <v>6386</v>
      </c>
      <c r="B5284" s="22" t="s">
        <v>18</v>
      </c>
      <c r="C5284" s="22" t="s">
        <v>4252</v>
      </c>
      <c r="D5284" s="22" t="s">
        <v>786</v>
      </c>
      <c r="E5284" s="24" t="s">
        <v>787</v>
      </c>
      <c r="F5284" s="22" t="s">
        <v>6258</v>
      </c>
      <c r="G5284" s="25">
        <v>21762.099999999991</v>
      </c>
      <c r="H5284" s="22" t="s">
        <v>788</v>
      </c>
      <c r="I5284" s="22">
        <v>1</v>
      </c>
      <c r="J5284" s="22" t="s">
        <v>6258</v>
      </c>
      <c r="K5284" s="22" t="s">
        <v>437</v>
      </c>
      <c r="L5284" s="22">
        <v>0</v>
      </c>
      <c r="M5284" s="26">
        <v>1500000</v>
      </c>
      <c r="N5284" s="26">
        <v>0</v>
      </c>
      <c r="O5284" s="15">
        <f t="shared" si="456"/>
        <v>1500000</v>
      </c>
      <c r="P5284" s="15">
        <f t="shared" si="457"/>
        <v>68.927171550539725</v>
      </c>
      <c r="Q5284" s="25">
        <v>20000</v>
      </c>
      <c r="R5284" s="22">
        <v>100</v>
      </c>
      <c r="S5284" s="22" t="s">
        <v>6387</v>
      </c>
      <c r="T5284" s="22">
        <f t="shared" si="453"/>
        <v>8</v>
      </c>
      <c r="U5284" s="22">
        <f t="shared" si="454"/>
        <v>2022</v>
      </c>
      <c r="V5284" s="22" t="str">
        <f t="shared" si="455"/>
        <v>REGIONES</v>
      </c>
    </row>
    <row r="5285" spans="1:22" x14ac:dyDescent="0.2">
      <c r="A5285" s="23" t="s">
        <v>6386</v>
      </c>
      <c r="B5285" s="22" t="s">
        <v>18</v>
      </c>
      <c r="C5285" s="22" t="s">
        <v>500</v>
      </c>
      <c r="D5285" s="22" t="s">
        <v>37</v>
      </c>
      <c r="E5285" s="24" t="s">
        <v>40</v>
      </c>
      <c r="F5285" s="22" t="s">
        <v>120</v>
      </c>
      <c r="G5285" s="25">
        <v>8391.5999999999985</v>
      </c>
      <c r="H5285" s="22" t="s">
        <v>22</v>
      </c>
      <c r="I5285" s="22">
        <v>0</v>
      </c>
      <c r="J5285" s="22" t="s">
        <v>120</v>
      </c>
      <c r="K5285" s="22" t="s">
        <v>23</v>
      </c>
      <c r="L5285" s="22">
        <v>5</v>
      </c>
      <c r="M5285" s="26">
        <v>70000</v>
      </c>
      <c r="N5285" s="26">
        <v>0</v>
      </c>
      <c r="O5285" s="15">
        <f t="shared" si="456"/>
        <v>70000</v>
      </c>
      <c r="P5285" s="15">
        <f t="shared" si="457"/>
        <v>8.3416750083416762</v>
      </c>
      <c r="Q5285" s="25">
        <v>10000</v>
      </c>
      <c r="R5285" s="22">
        <v>84</v>
      </c>
      <c r="S5285" s="22" t="s">
        <v>6388</v>
      </c>
      <c r="T5285" s="22">
        <f t="shared" si="453"/>
        <v>8</v>
      </c>
      <c r="U5285" s="22">
        <f t="shared" si="454"/>
        <v>2022</v>
      </c>
      <c r="V5285" s="22" t="str">
        <f t="shared" si="455"/>
        <v>METROPOLITANA</v>
      </c>
    </row>
    <row r="5286" spans="1:22" x14ac:dyDescent="0.2">
      <c r="A5286" s="23" t="s">
        <v>6386</v>
      </c>
      <c r="B5286" s="22" t="s">
        <v>18</v>
      </c>
      <c r="C5286" s="22" t="s">
        <v>500</v>
      </c>
      <c r="D5286" s="22" t="s">
        <v>63</v>
      </c>
      <c r="E5286" s="24" t="s">
        <v>64</v>
      </c>
      <c r="F5286" s="22" t="s">
        <v>120</v>
      </c>
      <c r="G5286" s="25">
        <v>7973.68</v>
      </c>
      <c r="H5286" s="22" t="s">
        <v>65</v>
      </c>
      <c r="I5286" s="22">
        <v>0</v>
      </c>
      <c r="J5286" s="22" t="s">
        <v>120</v>
      </c>
      <c r="K5286" s="22" t="s">
        <v>23</v>
      </c>
      <c r="L5286" s="22">
        <v>5</v>
      </c>
      <c r="M5286" s="26">
        <v>70000</v>
      </c>
      <c r="N5286" s="26">
        <v>0</v>
      </c>
      <c r="O5286" s="15">
        <f t="shared" si="456"/>
        <v>70000</v>
      </c>
      <c r="P5286" s="15">
        <f t="shared" si="457"/>
        <v>8.7788825235023218</v>
      </c>
      <c r="Q5286" s="25">
        <v>10000</v>
      </c>
      <c r="R5286" s="22">
        <v>80</v>
      </c>
      <c r="S5286" s="22" t="s">
        <v>6389</v>
      </c>
      <c r="T5286" s="22">
        <f t="shared" si="453"/>
        <v>8</v>
      </c>
      <c r="U5286" s="22">
        <f t="shared" si="454"/>
        <v>2022</v>
      </c>
      <c r="V5286" s="22" t="str">
        <f t="shared" si="455"/>
        <v>METROPOLITANA</v>
      </c>
    </row>
    <row r="5287" spans="1:22" x14ac:dyDescent="0.2">
      <c r="A5287" s="23" t="s">
        <v>6386</v>
      </c>
      <c r="B5287" s="22" t="s">
        <v>18</v>
      </c>
      <c r="C5287" s="22" t="s">
        <v>19</v>
      </c>
      <c r="D5287" s="22" t="s">
        <v>164</v>
      </c>
      <c r="E5287" s="24" t="s">
        <v>1576</v>
      </c>
      <c r="F5287" s="22" t="s">
        <v>51</v>
      </c>
      <c r="G5287" s="25">
        <v>23152.37999999999</v>
      </c>
      <c r="H5287" s="22" t="s">
        <v>22</v>
      </c>
      <c r="I5287" s="22">
        <v>1</v>
      </c>
      <c r="J5287" s="22" t="s">
        <v>51</v>
      </c>
      <c r="K5287" s="22" t="s">
        <v>23</v>
      </c>
      <c r="L5287" s="22">
        <v>4</v>
      </c>
      <c r="M5287" s="26">
        <v>254676</v>
      </c>
      <c r="N5287" s="26">
        <v>0</v>
      </c>
      <c r="O5287" s="15">
        <f t="shared" si="456"/>
        <v>254676</v>
      </c>
      <c r="P5287" s="15">
        <f t="shared" si="457"/>
        <v>10.999992225421321</v>
      </c>
      <c r="Q5287" s="25">
        <v>5000</v>
      </c>
      <c r="R5287" s="22">
        <v>100</v>
      </c>
      <c r="S5287" s="22" t="s">
        <v>6390</v>
      </c>
      <c r="T5287" s="22">
        <f t="shared" si="453"/>
        <v>8</v>
      </c>
      <c r="U5287" s="22">
        <f t="shared" si="454"/>
        <v>2022</v>
      </c>
      <c r="V5287" s="22" t="str">
        <f t="shared" si="455"/>
        <v>METROPOLITANA</v>
      </c>
    </row>
    <row r="5288" spans="1:22" x14ac:dyDescent="0.2">
      <c r="A5288" s="23" t="s">
        <v>6386</v>
      </c>
      <c r="B5288" s="22" t="s">
        <v>33</v>
      </c>
      <c r="C5288" s="22" t="s">
        <v>29</v>
      </c>
      <c r="D5288" s="22" t="s">
        <v>38</v>
      </c>
      <c r="E5288" s="24" t="s">
        <v>1124</v>
      </c>
      <c r="F5288" s="22" t="s">
        <v>39</v>
      </c>
      <c r="G5288" s="25">
        <f>5298.06+750</f>
        <v>6048.06</v>
      </c>
      <c r="H5288" s="22" t="s">
        <v>43</v>
      </c>
      <c r="I5288" s="22">
        <v>0</v>
      </c>
      <c r="J5288" s="22" t="s">
        <v>39</v>
      </c>
      <c r="K5288" s="22" t="s">
        <v>23</v>
      </c>
      <c r="L5288" s="22">
        <v>1</v>
      </c>
      <c r="M5288" s="26">
        <v>58279</v>
      </c>
      <c r="N5288" s="26">
        <v>0</v>
      </c>
      <c r="O5288" s="15">
        <f t="shared" si="456"/>
        <v>58279</v>
      </c>
      <c r="P5288" s="15">
        <f t="shared" si="457"/>
        <v>9.6359824472640803</v>
      </c>
      <c r="Q5288" s="25">
        <v>5000</v>
      </c>
      <c r="R5288" s="22">
        <v>100</v>
      </c>
      <c r="S5288" s="22" t="s">
        <v>6394</v>
      </c>
      <c r="T5288" s="22">
        <f t="shared" si="453"/>
        <v>8</v>
      </c>
      <c r="U5288" s="22">
        <f t="shared" si="454"/>
        <v>2022</v>
      </c>
      <c r="V5288" s="22" t="str">
        <f t="shared" si="455"/>
        <v>METROPOLITANA</v>
      </c>
    </row>
    <row r="5289" spans="1:22" x14ac:dyDescent="0.2">
      <c r="A5289" s="23" t="s">
        <v>6386</v>
      </c>
      <c r="B5289" s="22" t="s">
        <v>33</v>
      </c>
      <c r="C5289" s="22" t="s">
        <v>29</v>
      </c>
      <c r="D5289" s="22" t="s">
        <v>47</v>
      </c>
      <c r="E5289" s="24" t="s">
        <v>49</v>
      </c>
      <c r="F5289" s="22" t="s">
        <v>134</v>
      </c>
      <c r="G5289" s="25">
        <v>7541.9999999999991</v>
      </c>
      <c r="H5289" s="22" t="s">
        <v>22</v>
      </c>
      <c r="I5289" s="22">
        <v>0</v>
      </c>
      <c r="J5289" s="22" t="s">
        <v>134</v>
      </c>
      <c r="K5289" s="22" t="s">
        <v>23</v>
      </c>
      <c r="L5289" s="22">
        <v>2</v>
      </c>
      <c r="M5289" s="26">
        <v>82962</v>
      </c>
      <c r="N5289" s="26">
        <v>0</v>
      </c>
      <c r="O5289" s="15">
        <f t="shared" si="456"/>
        <v>82962</v>
      </c>
      <c r="P5289" s="15">
        <f t="shared" si="457"/>
        <v>11.000000000000002</v>
      </c>
      <c r="Q5289" s="25">
        <v>5000</v>
      </c>
      <c r="R5289" s="22">
        <v>100</v>
      </c>
      <c r="S5289" s="22" t="s">
        <v>6391</v>
      </c>
      <c r="T5289" s="22">
        <f t="shared" si="453"/>
        <v>8</v>
      </c>
      <c r="U5289" s="22">
        <f t="shared" si="454"/>
        <v>2022</v>
      </c>
      <c r="V5289" s="22" t="str">
        <f t="shared" si="455"/>
        <v>METROPOLITANA</v>
      </c>
    </row>
    <row r="5290" spans="1:22" x14ac:dyDescent="0.2">
      <c r="A5290" s="23" t="s">
        <v>6386</v>
      </c>
      <c r="B5290" s="22" t="s">
        <v>33</v>
      </c>
      <c r="C5290" s="22" t="s">
        <v>29</v>
      </c>
      <c r="D5290" s="22" t="s">
        <v>20</v>
      </c>
      <c r="E5290" s="24" t="s">
        <v>21</v>
      </c>
      <c r="F5290" s="22" t="s">
        <v>39</v>
      </c>
      <c r="G5290" s="25">
        <v>5546.55</v>
      </c>
      <c r="H5290" s="22" t="s">
        <v>22</v>
      </c>
      <c r="I5290" s="22">
        <v>0</v>
      </c>
      <c r="J5290" s="22" t="s">
        <v>39</v>
      </c>
      <c r="K5290" s="22" t="s">
        <v>23</v>
      </c>
      <c r="L5290" s="22">
        <v>1</v>
      </c>
      <c r="M5290" s="26">
        <v>61012</v>
      </c>
      <c r="N5290" s="26">
        <v>0</v>
      </c>
      <c r="O5290" s="15">
        <f t="shared" si="456"/>
        <v>61012</v>
      </c>
      <c r="P5290" s="15">
        <f t="shared" si="457"/>
        <v>10.999990985387312</v>
      </c>
      <c r="Q5290" s="25">
        <v>5000</v>
      </c>
      <c r="R5290" s="22">
        <v>100</v>
      </c>
      <c r="S5290" s="22" t="s">
        <v>6392</v>
      </c>
      <c r="T5290" s="22">
        <f t="shared" si="453"/>
        <v>8</v>
      </c>
      <c r="U5290" s="22">
        <f t="shared" si="454"/>
        <v>2022</v>
      </c>
      <c r="V5290" s="22" t="str">
        <f t="shared" si="455"/>
        <v>METROPOLITANA</v>
      </c>
    </row>
    <row r="5291" spans="1:22" x14ac:dyDescent="0.2">
      <c r="A5291" s="23" t="s">
        <v>6386</v>
      </c>
      <c r="B5291" s="22" t="s">
        <v>33</v>
      </c>
      <c r="C5291" s="22" t="s">
        <v>44</v>
      </c>
      <c r="D5291" s="22" t="s">
        <v>45</v>
      </c>
      <c r="E5291" s="24" t="s">
        <v>52</v>
      </c>
      <c r="F5291" s="22" t="s">
        <v>53</v>
      </c>
      <c r="G5291" s="25">
        <v>3440.6</v>
      </c>
      <c r="H5291" s="22" t="s">
        <v>22</v>
      </c>
      <c r="I5291" s="22">
        <v>0</v>
      </c>
      <c r="J5291" s="22" t="s">
        <v>53</v>
      </c>
      <c r="K5291" s="22" t="s">
        <v>23</v>
      </c>
      <c r="L5291" s="22">
        <v>3</v>
      </c>
      <c r="M5291" s="26">
        <v>55000</v>
      </c>
      <c r="N5291" s="26">
        <v>0</v>
      </c>
      <c r="O5291" s="15">
        <f t="shared" si="456"/>
        <v>55000</v>
      </c>
      <c r="P5291" s="15">
        <f t="shared" si="457"/>
        <v>15.985583909783177</v>
      </c>
      <c r="Q5291" s="25">
        <v>5000</v>
      </c>
      <c r="R5291" s="22">
        <v>69</v>
      </c>
      <c r="S5291" s="22" t="s">
        <v>6393</v>
      </c>
      <c r="T5291" s="22">
        <f t="shared" si="453"/>
        <v>8</v>
      </c>
      <c r="U5291" s="22">
        <f t="shared" si="454"/>
        <v>2022</v>
      </c>
      <c r="V5291" s="22" t="str">
        <f t="shared" si="455"/>
        <v>METROPOLITANA</v>
      </c>
    </row>
    <row r="5292" spans="1:22" x14ac:dyDescent="0.2">
      <c r="A5292" s="11" t="s">
        <v>6395</v>
      </c>
      <c r="B5292" s="12" t="s">
        <v>18</v>
      </c>
      <c r="C5292" s="12" t="s">
        <v>500</v>
      </c>
      <c r="D5292" s="12" t="s">
        <v>6396</v>
      </c>
      <c r="E5292" s="13" t="s">
        <v>25</v>
      </c>
      <c r="F5292" s="12" t="s">
        <v>120</v>
      </c>
      <c r="G5292" s="14">
        <v>12359.09</v>
      </c>
      <c r="H5292" s="12" t="s">
        <v>24</v>
      </c>
      <c r="I5292" s="12">
        <v>1</v>
      </c>
      <c r="J5292" s="12" t="s">
        <v>120</v>
      </c>
      <c r="K5292" s="12" t="s">
        <v>23</v>
      </c>
      <c r="L5292" s="12">
        <v>5</v>
      </c>
      <c r="M5292" s="15">
        <v>120000</v>
      </c>
      <c r="N5292" s="15">
        <v>0</v>
      </c>
      <c r="O5292" s="15">
        <f t="shared" si="456"/>
        <v>120000</v>
      </c>
      <c r="P5292" s="15">
        <f t="shared" si="457"/>
        <v>9.7094527186063058</v>
      </c>
      <c r="Q5292" s="14">
        <v>10000</v>
      </c>
      <c r="R5292" s="12">
        <v>100</v>
      </c>
      <c r="S5292" s="12" t="s">
        <v>6397</v>
      </c>
      <c r="T5292" s="22">
        <f t="shared" si="453"/>
        <v>8</v>
      </c>
      <c r="U5292" s="22">
        <f t="shared" si="454"/>
        <v>2022</v>
      </c>
      <c r="V5292" s="22" t="str">
        <f t="shared" si="455"/>
        <v>METROPOLITANA</v>
      </c>
    </row>
    <row r="5293" spans="1:22" x14ac:dyDescent="0.2">
      <c r="A5293" s="11" t="s">
        <v>6395</v>
      </c>
      <c r="B5293" s="12" t="s">
        <v>18</v>
      </c>
      <c r="C5293" s="12" t="s">
        <v>29</v>
      </c>
      <c r="D5293" s="12" t="s">
        <v>5128</v>
      </c>
      <c r="E5293" s="13" t="s">
        <v>304</v>
      </c>
      <c r="F5293" s="12" t="s">
        <v>39</v>
      </c>
      <c r="G5293" s="14">
        <v>26057.600000000009</v>
      </c>
      <c r="H5293" s="12" t="s">
        <v>24</v>
      </c>
      <c r="I5293" s="12">
        <v>1</v>
      </c>
      <c r="J5293" s="12" t="s">
        <v>39</v>
      </c>
      <c r="K5293" s="12" t="s">
        <v>23</v>
      </c>
      <c r="L5293" s="12">
        <v>1</v>
      </c>
      <c r="M5293" s="15">
        <v>286634</v>
      </c>
      <c r="N5293" s="15">
        <v>0</v>
      </c>
      <c r="O5293" s="15">
        <f t="shared" si="456"/>
        <v>286634</v>
      </c>
      <c r="P5293" s="15">
        <f t="shared" si="457"/>
        <v>11.00001535060788</v>
      </c>
      <c r="Q5293" s="14">
        <v>5000</v>
      </c>
      <c r="R5293" s="12">
        <v>100</v>
      </c>
      <c r="S5293" s="12" t="s">
        <v>6398</v>
      </c>
      <c r="T5293" s="22">
        <f t="shared" si="453"/>
        <v>8</v>
      </c>
      <c r="U5293" s="22">
        <f t="shared" si="454"/>
        <v>2022</v>
      </c>
      <c r="V5293" s="22" t="str">
        <f t="shared" si="455"/>
        <v>METROPOLITANA</v>
      </c>
    </row>
    <row r="5294" spans="1:22" x14ac:dyDescent="0.2">
      <c r="A5294" s="11" t="s">
        <v>6395</v>
      </c>
      <c r="B5294" s="12" t="s">
        <v>18</v>
      </c>
      <c r="C5294" s="12" t="s">
        <v>29</v>
      </c>
      <c r="D5294" s="12" t="s">
        <v>311</v>
      </c>
      <c r="E5294" s="13" t="s">
        <v>312</v>
      </c>
      <c r="F5294" s="12" t="s">
        <v>39</v>
      </c>
      <c r="G5294" s="14">
        <v>25894.740000000009</v>
      </c>
      <c r="H5294" s="12" t="s">
        <v>85</v>
      </c>
      <c r="I5294" s="12">
        <v>1</v>
      </c>
      <c r="J5294" s="12" t="s">
        <v>39</v>
      </c>
      <c r="K5294" s="12" t="s">
        <v>23</v>
      </c>
      <c r="L5294" s="12">
        <v>1</v>
      </c>
      <c r="M5294" s="15">
        <v>284842</v>
      </c>
      <c r="N5294" s="15">
        <v>0</v>
      </c>
      <c r="O5294" s="15">
        <f t="shared" si="456"/>
        <v>284842</v>
      </c>
      <c r="P5294" s="15">
        <f t="shared" si="457"/>
        <v>10.99999459349659</v>
      </c>
      <c r="Q5294" s="14">
        <v>5000</v>
      </c>
      <c r="R5294" s="12">
        <v>100</v>
      </c>
      <c r="S5294" s="12" t="s">
        <v>6399</v>
      </c>
      <c r="T5294" s="22">
        <f t="shared" si="453"/>
        <v>8</v>
      </c>
      <c r="U5294" s="22">
        <f t="shared" si="454"/>
        <v>2022</v>
      </c>
      <c r="V5294" s="22" t="str">
        <f t="shared" si="455"/>
        <v>METROPOLITANA</v>
      </c>
    </row>
    <row r="5295" spans="1:22" x14ac:dyDescent="0.2">
      <c r="A5295" s="11" t="s">
        <v>6395</v>
      </c>
      <c r="B5295" s="12" t="s">
        <v>33</v>
      </c>
      <c r="C5295" s="12" t="s">
        <v>128</v>
      </c>
      <c r="D5295" s="12" t="s">
        <v>47</v>
      </c>
      <c r="E5295" s="13" t="s">
        <v>49</v>
      </c>
      <c r="F5295" s="12" t="s">
        <v>377</v>
      </c>
      <c r="G5295" s="14">
        <v>1876</v>
      </c>
      <c r="H5295" s="12" t="s">
        <v>22</v>
      </c>
      <c r="I5295" s="12">
        <v>0</v>
      </c>
      <c r="J5295" s="12" t="s">
        <v>377</v>
      </c>
      <c r="K5295" s="12" t="s">
        <v>23</v>
      </c>
      <c r="L5295" s="12">
        <v>4</v>
      </c>
      <c r="M5295" s="15">
        <v>55000</v>
      </c>
      <c r="N5295" s="15">
        <v>0</v>
      </c>
      <c r="O5295" s="15">
        <f t="shared" si="456"/>
        <v>55000</v>
      </c>
      <c r="P5295" s="15">
        <f t="shared" si="457"/>
        <v>29.31769722814499</v>
      </c>
      <c r="Q5295" s="14">
        <v>5000</v>
      </c>
      <c r="R5295" s="12">
        <v>38</v>
      </c>
      <c r="S5295" s="12" t="s">
        <v>6400</v>
      </c>
      <c r="T5295" s="22">
        <f t="shared" si="453"/>
        <v>8</v>
      </c>
      <c r="U5295" s="22">
        <f t="shared" si="454"/>
        <v>2022</v>
      </c>
      <c r="V5295" s="22" t="str">
        <f t="shared" si="455"/>
        <v>METROPOLITANA</v>
      </c>
    </row>
    <row r="5296" spans="1:22" x14ac:dyDescent="0.2">
      <c r="A5296" s="11" t="s">
        <v>6395</v>
      </c>
      <c r="B5296" s="12" t="s">
        <v>33</v>
      </c>
      <c r="C5296" s="12" t="s">
        <v>29</v>
      </c>
      <c r="D5296" s="12" t="s">
        <v>41</v>
      </c>
      <c r="E5296" s="13" t="s">
        <v>25</v>
      </c>
      <c r="F5296" s="12" t="s">
        <v>39</v>
      </c>
      <c r="G5296" s="14">
        <v>14269.500000000009</v>
      </c>
      <c r="H5296" s="12" t="s">
        <v>43</v>
      </c>
      <c r="I5296" s="12">
        <v>0</v>
      </c>
      <c r="J5296" s="12" t="s">
        <v>39</v>
      </c>
      <c r="K5296" s="12" t="s">
        <v>23</v>
      </c>
      <c r="L5296" s="12">
        <v>1</v>
      </c>
      <c r="M5296" s="15">
        <v>156965</v>
      </c>
      <c r="N5296" s="15">
        <v>0</v>
      </c>
      <c r="O5296" s="15">
        <f t="shared" si="456"/>
        <v>156965</v>
      </c>
      <c r="P5296" s="15">
        <f t="shared" si="457"/>
        <v>11.000035039770133</v>
      </c>
      <c r="Q5296" s="14">
        <v>5000</v>
      </c>
      <c r="R5296" s="12">
        <v>100</v>
      </c>
      <c r="S5296" s="12" t="s">
        <v>6401</v>
      </c>
      <c r="T5296" s="22">
        <f t="shared" si="453"/>
        <v>8</v>
      </c>
      <c r="U5296" s="22">
        <f t="shared" si="454"/>
        <v>2022</v>
      </c>
      <c r="V5296" s="22" t="str">
        <f t="shared" si="455"/>
        <v>METROPOLITANA</v>
      </c>
    </row>
    <row r="5297" spans="1:22" x14ac:dyDescent="0.2">
      <c r="A5297" s="11" t="s">
        <v>6395</v>
      </c>
      <c r="B5297" s="12" t="s">
        <v>33</v>
      </c>
      <c r="C5297" s="12" t="s">
        <v>29</v>
      </c>
      <c r="D5297" s="12" t="s">
        <v>164</v>
      </c>
      <c r="E5297" s="13" t="s">
        <v>1576</v>
      </c>
      <c r="F5297" s="12" t="s">
        <v>39</v>
      </c>
      <c r="G5297" s="14">
        <v>15832.8</v>
      </c>
      <c r="H5297" s="12" t="s">
        <v>22</v>
      </c>
      <c r="I5297" s="12">
        <v>1</v>
      </c>
      <c r="J5297" s="12" t="s">
        <v>39</v>
      </c>
      <c r="K5297" s="12" t="s">
        <v>23</v>
      </c>
      <c r="L5297" s="12">
        <v>1</v>
      </c>
      <c r="M5297" s="15">
        <v>174161</v>
      </c>
      <c r="N5297" s="15">
        <v>0</v>
      </c>
      <c r="O5297" s="15">
        <f t="shared" si="456"/>
        <v>174161</v>
      </c>
      <c r="P5297" s="15">
        <f t="shared" si="457"/>
        <v>11.000012632004447</v>
      </c>
      <c r="Q5297" s="14">
        <v>5000</v>
      </c>
      <c r="R5297" s="12">
        <v>100</v>
      </c>
      <c r="S5297" s="12" t="s">
        <v>6402</v>
      </c>
      <c r="T5297" s="22">
        <f t="shared" si="453"/>
        <v>8</v>
      </c>
      <c r="U5297" s="22">
        <f t="shared" si="454"/>
        <v>2022</v>
      </c>
      <c r="V5297" s="22" t="str">
        <f t="shared" si="455"/>
        <v>METROPOLITANA</v>
      </c>
    </row>
    <row r="5298" spans="1:22" x14ac:dyDescent="0.2">
      <c r="A5298" s="11" t="s">
        <v>6395</v>
      </c>
      <c r="B5298" s="12" t="s">
        <v>33</v>
      </c>
      <c r="C5298" s="12" t="s">
        <v>44</v>
      </c>
      <c r="D5298" s="12" t="s">
        <v>37</v>
      </c>
      <c r="E5298" s="13" t="s">
        <v>40</v>
      </c>
      <c r="F5298" s="12" t="s">
        <v>48</v>
      </c>
      <c r="G5298" s="14">
        <f>4731.3+298</f>
        <v>5029.3</v>
      </c>
      <c r="H5298" s="12" t="s">
        <v>22</v>
      </c>
      <c r="I5298" s="12">
        <v>0</v>
      </c>
      <c r="J5298" s="12" t="s">
        <v>48</v>
      </c>
      <c r="K5298" s="12" t="s">
        <v>23</v>
      </c>
      <c r="L5298" s="12">
        <v>1</v>
      </c>
      <c r="M5298" s="15">
        <v>55000</v>
      </c>
      <c r="N5298" s="15">
        <v>0</v>
      </c>
      <c r="O5298" s="15">
        <f t="shared" si="456"/>
        <v>55000</v>
      </c>
      <c r="P5298" s="15">
        <f t="shared" si="457"/>
        <v>10.935915534965105</v>
      </c>
      <c r="Q5298" s="14">
        <v>5000</v>
      </c>
      <c r="R5298" s="12">
        <v>95</v>
      </c>
      <c r="S5298" s="12" t="s">
        <v>6405</v>
      </c>
      <c r="T5298" s="22">
        <f t="shared" si="453"/>
        <v>8</v>
      </c>
      <c r="U5298" s="22">
        <f t="shared" si="454"/>
        <v>2022</v>
      </c>
      <c r="V5298" s="22" t="str">
        <f t="shared" si="455"/>
        <v>METROPOLITANA</v>
      </c>
    </row>
    <row r="5299" spans="1:22" x14ac:dyDescent="0.2">
      <c r="A5299" s="11" t="s">
        <v>6395</v>
      </c>
      <c r="B5299" s="12" t="s">
        <v>33</v>
      </c>
      <c r="C5299" s="12" t="s">
        <v>44</v>
      </c>
      <c r="D5299" s="12" t="s">
        <v>45</v>
      </c>
      <c r="E5299" s="13" t="s">
        <v>52</v>
      </c>
      <c r="F5299" s="12" t="s">
        <v>26</v>
      </c>
      <c r="G5299" s="14">
        <v>4140.5399999999991</v>
      </c>
      <c r="H5299" s="12" t="s">
        <v>22</v>
      </c>
      <c r="I5299" s="12">
        <v>0</v>
      </c>
      <c r="J5299" s="12" t="s">
        <v>26</v>
      </c>
      <c r="K5299" s="12" t="s">
        <v>23</v>
      </c>
      <c r="L5299" s="12">
        <v>4</v>
      </c>
      <c r="M5299" s="15">
        <v>55000</v>
      </c>
      <c r="N5299" s="15">
        <v>0</v>
      </c>
      <c r="O5299" s="15">
        <f t="shared" si="456"/>
        <v>55000</v>
      </c>
      <c r="P5299" s="15">
        <f t="shared" si="457"/>
        <v>13.283291551343547</v>
      </c>
      <c r="Q5299" s="14">
        <v>5000</v>
      </c>
      <c r="R5299" s="12">
        <v>83</v>
      </c>
      <c r="S5299" s="12" t="s">
        <v>6403</v>
      </c>
      <c r="T5299" s="22">
        <f t="shared" si="453"/>
        <v>8</v>
      </c>
      <c r="U5299" s="22">
        <f t="shared" si="454"/>
        <v>2022</v>
      </c>
      <c r="V5299" s="22" t="str">
        <f t="shared" si="455"/>
        <v>METROPOLITANA</v>
      </c>
    </row>
    <row r="5300" spans="1:22" x14ac:dyDescent="0.2">
      <c r="A5300" s="11" t="s">
        <v>6395</v>
      </c>
      <c r="B5300" s="12" t="s">
        <v>33</v>
      </c>
      <c r="C5300" s="12" t="s">
        <v>44</v>
      </c>
      <c r="D5300" s="12" t="s">
        <v>47</v>
      </c>
      <c r="E5300" s="13" t="s">
        <v>49</v>
      </c>
      <c r="F5300" s="12" t="s">
        <v>94</v>
      </c>
      <c r="G5300" s="14">
        <v>6743.1399999999994</v>
      </c>
      <c r="H5300" s="12" t="s">
        <v>22</v>
      </c>
      <c r="I5300" s="12">
        <v>0</v>
      </c>
      <c r="J5300" s="12" t="s">
        <v>59</v>
      </c>
      <c r="K5300" s="12" t="s">
        <v>78</v>
      </c>
      <c r="L5300" s="12">
        <v>0</v>
      </c>
      <c r="M5300" s="15">
        <v>203000</v>
      </c>
      <c r="N5300" s="15">
        <v>0</v>
      </c>
      <c r="O5300" s="15">
        <f t="shared" si="456"/>
        <v>203000</v>
      </c>
      <c r="P5300" s="15">
        <f t="shared" si="457"/>
        <v>30.104669338023534</v>
      </c>
      <c r="Q5300" s="14">
        <v>20000</v>
      </c>
      <c r="R5300" s="12">
        <v>34</v>
      </c>
      <c r="S5300" s="12" t="s">
        <v>6404</v>
      </c>
      <c r="T5300" s="22">
        <f t="shared" si="453"/>
        <v>8</v>
      </c>
      <c r="U5300" s="22">
        <f t="shared" si="454"/>
        <v>2022</v>
      </c>
      <c r="V5300" s="22" t="str">
        <f t="shared" si="455"/>
        <v>REGIONES</v>
      </c>
    </row>
    <row r="5301" spans="1:22" x14ac:dyDescent="0.2">
      <c r="A5301" s="23" t="s">
        <v>6406</v>
      </c>
      <c r="B5301" s="22" t="s">
        <v>18</v>
      </c>
      <c r="C5301" s="22" t="s">
        <v>4252</v>
      </c>
      <c r="D5301" s="22" t="s">
        <v>786</v>
      </c>
      <c r="E5301" s="24" t="s">
        <v>787</v>
      </c>
      <c r="F5301" s="22" t="s">
        <v>6258</v>
      </c>
      <c r="G5301" s="25">
        <v>20042.11</v>
      </c>
      <c r="H5301" s="22" t="s">
        <v>788</v>
      </c>
      <c r="I5301" s="22">
        <v>1</v>
      </c>
      <c r="J5301" s="22" t="s">
        <v>6258</v>
      </c>
      <c r="K5301" s="22" t="s">
        <v>437</v>
      </c>
      <c r="L5301" s="22">
        <v>0</v>
      </c>
      <c r="M5301" s="26">
        <v>1500000</v>
      </c>
      <c r="N5301" s="26">
        <v>0</v>
      </c>
      <c r="O5301" s="15">
        <f t="shared" si="456"/>
        <v>1500000</v>
      </c>
      <c r="P5301" s="15">
        <f t="shared" si="457"/>
        <v>74.842419286192921</v>
      </c>
      <c r="Q5301" s="25">
        <v>20000</v>
      </c>
      <c r="R5301" s="22">
        <v>100</v>
      </c>
      <c r="S5301" s="22" t="s">
        <v>6407</v>
      </c>
      <c r="T5301" s="22">
        <f t="shared" si="453"/>
        <v>8</v>
      </c>
      <c r="U5301" s="22">
        <f t="shared" si="454"/>
        <v>2022</v>
      </c>
      <c r="V5301" s="22" t="str">
        <f t="shared" si="455"/>
        <v>REGIONES</v>
      </c>
    </row>
    <row r="5302" spans="1:22" x14ac:dyDescent="0.2">
      <c r="A5302" s="23" t="s">
        <v>6406</v>
      </c>
      <c r="B5302" s="22" t="s">
        <v>18</v>
      </c>
      <c r="C5302" s="22" t="s">
        <v>500</v>
      </c>
      <c r="D5302" s="22" t="s">
        <v>37</v>
      </c>
      <c r="E5302" s="24" t="s">
        <v>40</v>
      </c>
      <c r="F5302" s="22" t="s">
        <v>120</v>
      </c>
      <c r="G5302" s="25">
        <v>11118.52</v>
      </c>
      <c r="H5302" s="22" t="s">
        <v>22</v>
      </c>
      <c r="I5302" s="22">
        <v>0</v>
      </c>
      <c r="J5302" s="22" t="s">
        <v>120</v>
      </c>
      <c r="K5302" s="22" t="s">
        <v>23</v>
      </c>
      <c r="L5302" s="22">
        <v>5</v>
      </c>
      <c r="M5302" s="26">
        <v>70000</v>
      </c>
      <c r="N5302" s="26">
        <v>0</v>
      </c>
      <c r="O5302" s="15">
        <f t="shared" si="456"/>
        <v>70000</v>
      </c>
      <c r="P5302" s="15">
        <f t="shared" si="457"/>
        <v>6.2958019592535699</v>
      </c>
      <c r="Q5302" s="25">
        <v>10000</v>
      </c>
      <c r="R5302" s="22">
        <v>100</v>
      </c>
      <c r="S5302" s="22" t="s">
        <v>6408</v>
      </c>
      <c r="T5302" s="22">
        <f t="shared" si="453"/>
        <v>8</v>
      </c>
      <c r="U5302" s="22">
        <f t="shared" si="454"/>
        <v>2022</v>
      </c>
      <c r="V5302" s="22" t="str">
        <f t="shared" si="455"/>
        <v>METROPOLITANA</v>
      </c>
    </row>
    <row r="5303" spans="1:22" x14ac:dyDescent="0.2">
      <c r="A5303" s="23" t="s">
        <v>6406</v>
      </c>
      <c r="B5303" s="22" t="s">
        <v>18</v>
      </c>
      <c r="C5303" s="22" t="s">
        <v>500</v>
      </c>
      <c r="D5303" s="22" t="s">
        <v>30</v>
      </c>
      <c r="E5303" s="24" t="s">
        <v>31</v>
      </c>
      <c r="F5303" s="22" t="s">
        <v>120</v>
      </c>
      <c r="G5303" s="25">
        <v>8187.88</v>
      </c>
      <c r="H5303" s="22" t="s">
        <v>32</v>
      </c>
      <c r="I5303" s="22">
        <v>0</v>
      </c>
      <c r="J5303" s="22" t="s">
        <v>120</v>
      </c>
      <c r="K5303" s="22" t="s">
        <v>23</v>
      </c>
      <c r="L5303" s="22">
        <v>5</v>
      </c>
      <c r="M5303" s="26">
        <v>70000</v>
      </c>
      <c r="N5303" s="26">
        <v>0</v>
      </c>
      <c r="O5303" s="15">
        <f t="shared" si="456"/>
        <v>70000</v>
      </c>
      <c r="P5303" s="15">
        <f t="shared" si="457"/>
        <v>8.5492215323136147</v>
      </c>
      <c r="Q5303" s="25">
        <v>10000</v>
      </c>
      <c r="R5303" s="22">
        <v>82</v>
      </c>
      <c r="S5303" s="22" t="s">
        <v>6409</v>
      </c>
      <c r="T5303" s="22">
        <f t="shared" si="453"/>
        <v>8</v>
      </c>
      <c r="U5303" s="22">
        <f t="shared" si="454"/>
        <v>2022</v>
      </c>
      <c r="V5303" s="22" t="str">
        <f t="shared" si="455"/>
        <v>METROPOLITANA</v>
      </c>
    </row>
    <row r="5304" spans="1:22" x14ac:dyDescent="0.2">
      <c r="A5304" s="23" t="s">
        <v>6406</v>
      </c>
      <c r="B5304" s="22" t="s">
        <v>18</v>
      </c>
      <c r="C5304" s="22" t="s">
        <v>500</v>
      </c>
      <c r="D5304" s="22" t="s">
        <v>20</v>
      </c>
      <c r="E5304" s="24" t="s">
        <v>21</v>
      </c>
      <c r="F5304" s="22" t="s">
        <v>120</v>
      </c>
      <c r="G5304" s="25">
        <v>8663.9</v>
      </c>
      <c r="H5304" s="22" t="s">
        <v>22</v>
      </c>
      <c r="I5304" s="22">
        <v>0</v>
      </c>
      <c r="J5304" s="22" t="s">
        <v>120</v>
      </c>
      <c r="K5304" s="22" t="s">
        <v>23</v>
      </c>
      <c r="L5304" s="22">
        <v>5</v>
      </c>
      <c r="M5304" s="26">
        <v>70000</v>
      </c>
      <c r="N5304" s="26">
        <v>0</v>
      </c>
      <c r="O5304" s="15">
        <f t="shared" si="456"/>
        <v>70000</v>
      </c>
      <c r="P5304" s="15">
        <f t="shared" si="457"/>
        <v>8.0795023026581561</v>
      </c>
      <c r="Q5304" s="25">
        <v>10000</v>
      </c>
      <c r="R5304" s="22">
        <v>87</v>
      </c>
      <c r="S5304" s="22" t="s">
        <v>6410</v>
      </c>
      <c r="T5304" s="22">
        <f t="shared" si="453"/>
        <v>8</v>
      </c>
      <c r="U5304" s="22">
        <f t="shared" si="454"/>
        <v>2022</v>
      </c>
      <c r="V5304" s="22" t="str">
        <f t="shared" si="455"/>
        <v>METROPOLITANA</v>
      </c>
    </row>
    <row r="5305" spans="1:22" x14ac:dyDescent="0.2">
      <c r="A5305" s="23" t="s">
        <v>6406</v>
      </c>
      <c r="B5305" s="22" t="s">
        <v>18</v>
      </c>
      <c r="C5305" s="22" t="s">
        <v>19</v>
      </c>
      <c r="D5305" s="22" t="s">
        <v>27</v>
      </c>
      <c r="E5305" s="24" t="s">
        <v>28</v>
      </c>
      <c r="F5305" s="22" t="s">
        <v>51</v>
      </c>
      <c r="G5305" s="25">
        <v>20774.759999999991</v>
      </c>
      <c r="H5305" s="22" t="s">
        <v>22</v>
      </c>
      <c r="I5305" s="22">
        <v>1</v>
      </c>
      <c r="J5305" s="22" t="s">
        <v>51</v>
      </c>
      <c r="K5305" s="22" t="s">
        <v>23</v>
      </c>
      <c r="L5305" s="22">
        <v>4</v>
      </c>
      <c r="M5305" s="26">
        <v>228522</v>
      </c>
      <c r="N5305" s="26">
        <v>0</v>
      </c>
      <c r="O5305" s="15">
        <f t="shared" si="456"/>
        <v>228522</v>
      </c>
      <c r="P5305" s="15">
        <f t="shared" si="457"/>
        <v>10.999982671279962</v>
      </c>
      <c r="Q5305" s="25">
        <v>5000</v>
      </c>
      <c r="R5305" s="22">
        <v>100</v>
      </c>
      <c r="S5305" s="22" t="s">
        <v>6411</v>
      </c>
      <c r="T5305" s="22">
        <f t="shared" si="453"/>
        <v>8</v>
      </c>
      <c r="U5305" s="22">
        <f t="shared" si="454"/>
        <v>2022</v>
      </c>
      <c r="V5305" s="22" t="str">
        <f t="shared" si="455"/>
        <v>METROPOLITANA</v>
      </c>
    </row>
    <row r="5306" spans="1:22" x14ac:dyDescent="0.2">
      <c r="A5306" s="23" t="s">
        <v>6406</v>
      </c>
      <c r="B5306" s="22" t="s">
        <v>33</v>
      </c>
      <c r="C5306" s="22" t="s">
        <v>1233</v>
      </c>
      <c r="D5306" s="22" t="s">
        <v>38</v>
      </c>
      <c r="E5306" s="24" t="s">
        <v>1124</v>
      </c>
      <c r="F5306" s="22" t="s">
        <v>1234</v>
      </c>
      <c r="G5306" s="25">
        <v>2481</v>
      </c>
      <c r="H5306" s="22" t="s">
        <v>43</v>
      </c>
      <c r="I5306" s="22">
        <v>0</v>
      </c>
      <c r="J5306" s="22" t="s">
        <v>1234</v>
      </c>
      <c r="K5306" s="22" t="s">
        <v>23</v>
      </c>
      <c r="L5306" s="22">
        <v>3</v>
      </c>
      <c r="M5306" s="26">
        <v>55000</v>
      </c>
      <c r="N5306" s="26">
        <v>0</v>
      </c>
      <c r="O5306" s="15">
        <f t="shared" si="456"/>
        <v>55000</v>
      </c>
      <c r="P5306" s="15">
        <f t="shared" si="457"/>
        <v>22.168480451430874</v>
      </c>
      <c r="Q5306" s="25">
        <v>5000</v>
      </c>
      <c r="R5306" s="22">
        <v>50</v>
      </c>
      <c r="S5306" s="22" t="s">
        <v>6412</v>
      </c>
      <c r="T5306" s="22">
        <f t="shared" si="453"/>
        <v>8</v>
      </c>
      <c r="U5306" s="22">
        <f t="shared" si="454"/>
        <v>2022</v>
      </c>
      <c r="V5306" s="22" t="str">
        <f t="shared" si="455"/>
        <v>METROPOLITANA</v>
      </c>
    </row>
    <row r="5307" spans="1:22" x14ac:dyDescent="0.2">
      <c r="A5307" s="23" t="s">
        <v>6406</v>
      </c>
      <c r="B5307" s="22" t="s">
        <v>33</v>
      </c>
      <c r="C5307" s="22" t="s">
        <v>2862</v>
      </c>
      <c r="D5307" s="22" t="s">
        <v>47</v>
      </c>
      <c r="E5307" s="24" t="s">
        <v>49</v>
      </c>
      <c r="F5307" s="22" t="s">
        <v>251</v>
      </c>
      <c r="G5307" s="25">
        <v>5097.5999999999995</v>
      </c>
      <c r="H5307" s="22" t="s">
        <v>22</v>
      </c>
      <c r="I5307" s="22">
        <v>0</v>
      </c>
      <c r="J5307" s="22" t="s">
        <v>251</v>
      </c>
      <c r="K5307" s="22" t="s">
        <v>78</v>
      </c>
      <c r="L5307" s="22">
        <v>0</v>
      </c>
      <c r="M5307" s="26">
        <v>203000</v>
      </c>
      <c r="N5307" s="26">
        <v>0</v>
      </c>
      <c r="O5307" s="15">
        <f t="shared" si="456"/>
        <v>203000</v>
      </c>
      <c r="P5307" s="15">
        <f t="shared" si="457"/>
        <v>39.82266164469555</v>
      </c>
      <c r="Q5307" s="25">
        <v>20000</v>
      </c>
      <c r="R5307" s="22">
        <v>25</v>
      </c>
      <c r="S5307" s="22" t="s">
        <v>6413</v>
      </c>
      <c r="T5307" s="22">
        <f t="shared" si="453"/>
        <v>8</v>
      </c>
      <c r="U5307" s="22">
        <f t="shared" si="454"/>
        <v>2022</v>
      </c>
      <c r="V5307" s="22" t="str">
        <f t="shared" si="455"/>
        <v>REGIONES</v>
      </c>
    </row>
    <row r="5308" spans="1:22" x14ac:dyDescent="0.2">
      <c r="A5308" s="23" t="s">
        <v>6406</v>
      </c>
      <c r="B5308" s="22" t="s">
        <v>33</v>
      </c>
      <c r="C5308" s="22" t="s">
        <v>29</v>
      </c>
      <c r="D5308" s="22" t="s">
        <v>164</v>
      </c>
      <c r="E5308" s="24" t="s">
        <v>1576</v>
      </c>
      <c r="F5308" s="22" t="s">
        <v>39</v>
      </c>
      <c r="G5308" s="25">
        <v>16960.60999999999</v>
      </c>
      <c r="H5308" s="22" t="s">
        <v>22</v>
      </c>
      <c r="I5308" s="22">
        <v>1</v>
      </c>
      <c r="J5308" s="22" t="s">
        <v>39</v>
      </c>
      <c r="K5308" s="22" t="s">
        <v>23</v>
      </c>
      <c r="L5308" s="22">
        <v>1</v>
      </c>
      <c r="M5308" s="26">
        <v>186567</v>
      </c>
      <c r="N5308" s="26">
        <v>0</v>
      </c>
      <c r="O5308" s="15">
        <f t="shared" si="456"/>
        <v>186567</v>
      </c>
      <c r="P5308" s="15">
        <f t="shared" si="457"/>
        <v>11.000017098441631</v>
      </c>
      <c r="Q5308" s="25">
        <v>5000</v>
      </c>
      <c r="R5308" s="22">
        <v>100</v>
      </c>
      <c r="S5308" s="22" t="s">
        <v>6414</v>
      </c>
      <c r="T5308" s="22">
        <f t="shared" si="453"/>
        <v>8</v>
      </c>
      <c r="U5308" s="22">
        <f t="shared" si="454"/>
        <v>2022</v>
      </c>
      <c r="V5308" s="22" t="str">
        <f t="shared" si="455"/>
        <v>METROPOLITANA</v>
      </c>
    </row>
    <row r="5309" spans="1:22" x14ac:dyDescent="0.2">
      <c r="A5309" s="11" t="s">
        <v>6415</v>
      </c>
      <c r="B5309" s="12" t="s">
        <v>18</v>
      </c>
      <c r="C5309" s="12" t="s">
        <v>19</v>
      </c>
      <c r="D5309" s="12" t="s">
        <v>27</v>
      </c>
      <c r="E5309" s="13">
        <v>81417709</v>
      </c>
      <c r="F5309" s="12" t="s">
        <v>51</v>
      </c>
      <c r="G5309" s="14">
        <v>24456.04</v>
      </c>
      <c r="H5309" s="12" t="s">
        <v>22</v>
      </c>
      <c r="I5309" s="12">
        <v>1</v>
      </c>
      <c r="J5309" s="12" t="s">
        <v>51</v>
      </c>
      <c r="K5309" s="12" t="s">
        <v>23</v>
      </c>
      <c r="L5309" s="12">
        <v>4</v>
      </c>
      <c r="M5309" s="15">
        <v>269016</v>
      </c>
      <c r="N5309" s="15">
        <v>0</v>
      </c>
      <c r="O5309" s="15">
        <f t="shared" si="456"/>
        <v>269016</v>
      </c>
      <c r="P5309" s="15">
        <f t="shared" si="457"/>
        <v>10.999982008534497</v>
      </c>
      <c r="Q5309" s="14">
        <v>5000</v>
      </c>
      <c r="R5309" s="12">
        <v>100</v>
      </c>
      <c r="S5309" s="12" t="s">
        <v>6416</v>
      </c>
      <c r="T5309" s="22">
        <f t="shared" si="453"/>
        <v>8</v>
      </c>
      <c r="U5309" s="22">
        <f t="shared" si="454"/>
        <v>2022</v>
      </c>
      <c r="V5309" s="22" t="str">
        <f t="shared" si="455"/>
        <v>METROPOLITANA</v>
      </c>
    </row>
    <row r="5310" spans="1:22" x14ac:dyDescent="0.2">
      <c r="A5310" s="11" t="s">
        <v>6415</v>
      </c>
      <c r="B5310" s="12" t="s">
        <v>33</v>
      </c>
      <c r="C5310" s="12" t="s">
        <v>2431</v>
      </c>
      <c r="D5310" s="12" t="s">
        <v>2955</v>
      </c>
      <c r="E5310" s="13">
        <v>65941082</v>
      </c>
      <c r="F5310" s="12" t="s">
        <v>67</v>
      </c>
      <c r="G5310" s="14">
        <v>15964</v>
      </c>
      <c r="H5310" s="12" t="s">
        <v>24</v>
      </c>
      <c r="I5310" s="12">
        <v>1</v>
      </c>
      <c r="J5310" s="12" t="s">
        <v>67</v>
      </c>
      <c r="K5310" s="12" t="s">
        <v>23</v>
      </c>
      <c r="L5310" s="12">
        <v>2</v>
      </c>
      <c r="M5310" s="15">
        <v>175604</v>
      </c>
      <c r="N5310" s="15">
        <v>0</v>
      </c>
      <c r="O5310" s="15">
        <f t="shared" si="456"/>
        <v>175604</v>
      </c>
      <c r="P5310" s="15">
        <f t="shared" si="457"/>
        <v>11</v>
      </c>
      <c r="Q5310" s="14">
        <v>5000</v>
      </c>
      <c r="R5310" s="12">
        <v>100</v>
      </c>
      <c r="S5310" s="12" t="s">
        <v>6417</v>
      </c>
      <c r="T5310" s="22">
        <f t="shared" si="453"/>
        <v>8</v>
      </c>
      <c r="U5310" s="22">
        <f t="shared" si="454"/>
        <v>2022</v>
      </c>
      <c r="V5310" s="22" t="str">
        <f t="shared" si="455"/>
        <v>METROPOLITANA</v>
      </c>
    </row>
    <row r="5311" spans="1:22" x14ac:dyDescent="0.2">
      <c r="A5311" s="11" t="s">
        <v>6415</v>
      </c>
      <c r="B5311" s="12" t="s">
        <v>33</v>
      </c>
      <c r="C5311" s="12" t="s">
        <v>128</v>
      </c>
      <c r="D5311" s="12" t="s">
        <v>38</v>
      </c>
      <c r="E5311" s="13">
        <v>53173292</v>
      </c>
      <c r="F5311" s="12" t="s">
        <v>34</v>
      </c>
      <c r="G5311" s="14">
        <v>5693.0000000000009</v>
      </c>
      <c r="H5311" s="12" t="s">
        <v>43</v>
      </c>
      <c r="I5311" s="12">
        <v>0</v>
      </c>
      <c r="J5311" s="12" t="s">
        <v>34</v>
      </c>
      <c r="K5311" s="12" t="s">
        <v>23</v>
      </c>
      <c r="L5311" s="12">
        <v>1</v>
      </c>
      <c r="M5311" s="15">
        <v>62623</v>
      </c>
      <c r="N5311" s="15">
        <v>0</v>
      </c>
      <c r="O5311" s="15">
        <f t="shared" si="456"/>
        <v>62623</v>
      </c>
      <c r="P5311" s="15">
        <f t="shared" si="457"/>
        <v>10.999999999999998</v>
      </c>
      <c r="Q5311" s="14">
        <v>5000</v>
      </c>
      <c r="R5311" s="12">
        <v>100</v>
      </c>
      <c r="S5311" s="12" t="s">
        <v>6418</v>
      </c>
      <c r="T5311" s="22">
        <f t="shared" si="453"/>
        <v>8</v>
      </c>
      <c r="U5311" s="22">
        <f t="shared" si="454"/>
        <v>2022</v>
      </c>
      <c r="V5311" s="22" t="str">
        <f t="shared" si="455"/>
        <v>METROPOLITANA</v>
      </c>
    </row>
    <row r="5312" spans="1:22" x14ac:dyDescent="0.2">
      <c r="A5312" s="11" t="s">
        <v>6415</v>
      </c>
      <c r="B5312" s="12" t="s">
        <v>33</v>
      </c>
      <c r="C5312" s="12" t="s">
        <v>128</v>
      </c>
      <c r="D5312" s="12" t="s">
        <v>47</v>
      </c>
      <c r="E5312" s="13">
        <v>107643206</v>
      </c>
      <c r="F5312" s="12" t="s">
        <v>129</v>
      </c>
      <c r="G5312" s="14">
        <v>3437.6</v>
      </c>
      <c r="H5312" s="12" t="s">
        <v>22</v>
      </c>
      <c r="I5312" s="12">
        <v>0</v>
      </c>
      <c r="J5312" s="12" t="s">
        <v>129</v>
      </c>
      <c r="K5312" s="12" t="s">
        <v>23</v>
      </c>
      <c r="L5312" s="12">
        <v>1</v>
      </c>
      <c r="M5312" s="15">
        <v>55000</v>
      </c>
      <c r="N5312" s="15">
        <v>0</v>
      </c>
      <c r="O5312" s="15">
        <f t="shared" si="456"/>
        <v>55000</v>
      </c>
      <c r="P5312" s="15">
        <f t="shared" si="457"/>
        <v>15.999534558994648</v>
      </c>
      <c r="Q5312" s="14">
        <v>5000</v>
      </c>
      <c r="R5312" s="12">
        <v>69</v>
      </c>
      <c r="S5312" s="12" t="s">
        <v>6419</v>
      </c>
      <c r="T5312" s="22">
        <f t="shared" si="453"/>
        <v>8</v>
      </c>
      <c r="U5312" s="22">
        <f t="shared" si="454"/>
        <v>2022</v>
      </c>
      <c r="V5312" s="22" t="str">
        <f t="shared" si="455"/>
        <v>METROPOLITANA</v>
      </c>
    </row>
    <row r="5313" spans="1:22" x14ac:dyDescent="0.2">
      <c r="A5313" s="11" t="s">
        <v>6415</v>
      </c>
      <c r="B5313" s="12" t="s">
        <v>33</v>
      </c>
      <c r="C5313" s="12" t="s">
        <v>128</v>
      </c>
      <c r="D5313" s="12" t="s">
        <v>41</v>
      </c>
      <c r="E5313" s="13">
        <v>125108660</v>
      </c>
      <c r="F5313" s="12" t="s">
        <v>34</v>
      </c>
      <c r="G5313" s="14">
        <v>5738.8</v>
      </c>
      <c r="H5313" s="12" t="s">
        <v>43</v>
      </c>
      <c r="I5313" s="12">
        <v>0</v>
      </c>
      <c r="J5313" s="12" t="s">
        <v>34</v>
      </c>
      <c r="K5313" s="12" t="s">
        <v>23</v>
      </c>
      <c r="L5313" s="12">
        <v>1</v>
      </c>
      <c r="M5313" s="15">
        <v>63127</v>
      </c>
      <c r="N5313" s="15">
        <v>0</v>
      </c>
      <c r="O5313" s="15">
        <f t="shared" si="456"/>
        <v>63127</v>
      </c>
      <c r="P5313" s="15">
        <f t="shared" si="457"/>
        <v>11.000034850491392</v>
      </c>
      <c r="Q5313" s="14">
        <v>5000</v>
      </c>
      <c r="R5313" s="12">
        <v>100</v>
      </c>
      <c r="S5313" s="12" t="s">
        <v>6420</v>
      </c>
      <c r="T5313" s="22">
        <f t="shared" si="453"/>
        <v>8</v>
      </c>
      <c r="U5313" s="22">
        <f t="shared" si="454"/>
        <v>2022</v>
      </c>
      <c r="V5313" s="22" t="str">
        <f t="shared" si="455"/>
        <v>METROPOLITANA</v>
      </c>
    </row>
    <row r="5314" spans="1:22" x14ac:dyDescent="0.2">
      <c r="A5314" s="11" t="s">
        <v>6415</v>
      </c>
      <c r="B5314" s="12" t="s">
        <v>33</v>
      </c>
      <c r="C5314" s="12" t="s">
        <v>29</v>
      </c>
      <c r="D5314" s="12" t="s">
        <v>164</v>
      </c>
      <c r="E5314" s="13">
        <v>154837728</v>
      </c>
      <c r="F5314" s="12" t="s">
        <v>39</v>
      </c>
      <c r="G5314" s="14">
        <v>14550.85</v>
      </c>
      <c r="H5314" s="12" t="s">
        <v>22</v>
      </c>
      <c r="I5314" s="12">
        <v>1</v>
      </c>
      <c r="J5314" s="12" t="s">
        <v>39</v>
      </c>
      <c r="K5314" s="12" t="s">
        <v>23</v>
      </c>
      <c r="L5314" s="12">
        <v>1</v>
      </c>
      <c r="M5314" s="15">
        <v>160059</v>
      </c>
      <c r="N5314" s="15">
        <v>0</v>
      </c>
      <c r="O5314" s="15">
        <f t="shared" si="456"/>
        <v>160059</v>
      </c>
      <c r="P5314" s="15">
        <f t="shared" si="457"/>
        <v>10.999975946422374</v>
      </c>
      <c r="Q5314" s="14">
        <v>5000</v>
      </c>
      <c r="R5314" s="12">
        <v>100</v>
      </c>
      <c r="S5314" s="12" t="s">
        <v>6421</v>
      </c>
      <c r="T5314" s="22">
        <f t="shared" si="453"/>
        <v>8</v>
      </c>
      <c r="U5314" s="22">
        <f t="shared" si="454"/>
        <v>2022</v>
      </c>
      <c r="V5314" s="22" t="str">
        <f t="shared" si="455"/>
        <v>METROPOLITANA</v>
      </c>
    </row>
    <row r="5315" spans="1:22" x14ac:dyDescent="0.2">
      <c r="A5315" s="11" t="s">
        <v>6415</v>
      </c>
      <c r="B5315" s="12" t="s">
        <v>33</v>
      </c>
      <c r="C5315" s="12" t="s">
        <v>44</v>
      </c>
      <c r="D5315" s="12" t="s">
        <v>191</v>
      </c>
      <c r="E5315" s="13">
        <v>78551976</v>
      </c>
      <c r="F5315" s="12" t="s">
        <v>2308</v>
      </c>
      <c r="G5315" s="14">
        <f>4549.24+4446</f>
        <v>8995.24</v>
      </c>
      <c r="H5315" s="12" t="s">
        <v>85</v>
      </c>
      <c r="I5315" s="12">
        <v>1</v>
      </c>
      <c r="J5315" s="12" t="s">
        <v>2308</v>
      </c>
      <c r="K5315" s="12" t="s">
        <v>2309</v>
      </c>
      <c r="L5315" s="12">
        <v>0</v>
      </c>
      <c r="M5315" s="15">
        <v>900000</v>
      </c>
      <c r="N5315" s="15">
        <v>0</v>
      </c>
      <c r="O5315" s="15">
        <f t="shared" si="456"/>
        <v>900000</v>
      </c>
      <c r="P5315" s="15">
        <f t="shared" si="457"/>
        <v>100.05291687603666</v>
      </c>
      <c r="Q5315" s="14">
        <v>20000</v>
      </c>
      <c r="R5315" s="12">
        <v>55</v>
      </c>
      <c r="S5315" s="12" t="s">
        <v>6427</v>
      </c>
      <c r="T5315" s="22">
        <f t="shared" si="453"/>
        <v>8</v>
      </c>
      <c r="U5315" s="22">
        <f t="shared" si="454"/>
        <v>2022</v>
      </c>
      <c r="V5315" s="22" t="str">
        <f t="shared" si="455"/>
        <v>REGIONES</v>
      </c>
    </row>
    <row r="5316" spans="1:22" x14ac:dyDescent="0.2">
      <c r="A5316" s="11" t="s">
        <v>6415</v>
      </c>
      <c r="B5316" s="12" t="s">
        <v>33</v>
      </c>
      <c r="C5316" s="12" t="s">
        <v>44</v>
      </c>
      <c r="D5316" s="12" t="s">
        <v>130</v>
      </c>
      <c r="E5316" s="13">
        <v>167832741</v>
      </c>
      <c r="F5316" s="12" t="s">
        <v>815</v>
      </c>
      <c r="G5316" s="14">
        <v>4825.0200000000004</v>
      </c>
      <c r="H5316" s="12" t="s">
        <v>85</v>
      </c>
      <c r="I5316" s="12">
        <v>1</v>
      </c>
      <c r="J5316" s="12" t="s">
        <v>815</v>
      </c>
      <c r="K5316" s="12" t="s">
        <v>75</v>
      </c>
      <c r="L5316" s="12">
        <v>0</v>
      </c>
      <c r="M5316" s="15">
        <v>460000</v>
      </c>
      <c r="N5316" s="15">
        <v>0</v>
      </c>
      <c r="O5316" s="15">
        <f t="shared" si="456"/>
        <v>460000</v>
      </c>
      <c r="P5316" s="15">
        <f t="shared" si="457"/>
        <v>95.336392388010822</v>
      </c>
      <c r="Q5316" s="14">
        <v>20000</v>
      </c>
      <c r="R5316" s="12">
        <v>24</v>
      </c>
      <c r="S5316" s="12" t="s">
        <v>6422</v>
      </c>
      <c r="T5316" s="22">
        <f t="shared" si="453"/>
        <v>8</v>
      </c>
      <c r="U5316" s="22">
        <f t="shared" si="454"/>
        <v>2022</v>
      </c>
      <c r="V5316" s="22" t="str">
        <f t="shared" si="455"/>
        <v>REGIONES</v>
      </c>
    </row>
    <row r="5317" spans="1:22" x14ac:dyDescent="0.2">
      <c r="A5317" s="11" t="s">
        <v>6415</v>
      </c>
      <c r="B5317" s="12" t="s">
        <v>33</v>
      </c>
      <c r="C5317" s="12" t="s">
        <v>44</v>
      </c>
      <c r="D5317" s="12" t="s">
        <v>2612</v>
      </c>
      <c r="E5317" s="13">
        <v>103576032</v>
      </c>
      <c r="F5317" s="12" t="s">
        <v>3438</v>
      </c>
      <c r="G5317" s="14">
        <v>8272.8000000000011</v>
      </c>
      <c r="H5317" s="12" t="s">
        <v>24</v>
      </c>
      <c r="I5317" s="12">
        <v>1</v>
      </c>
      <c r="J5317" s="12" t="s">
        <v>3438</v>
      </c>
      <c r="K5317" s="12" t="s">
        <v>93</v>
      </c>
      <c r="L5317" s="12">
        <v>0</v>
      </c>
      <c r="M5317" s="15">
        <v>800000</v>
      </c>
      <c r="N5317" s="15">
        <v>0</v>
      </c>
      <c r="O5317" s="15">
        <f t="shared" si="456"/>
        <v>800000</v>
      </c>
      <c r="P5317" s="15">
        <f t="shared" si="457"/>
        <v>96.70244657189825</v>
      </c>
      <c r="Q5317" s="14">
        <v>20000</v>
      </c>
      <c r="R5317" s="12">
        <v>41</v>
      </c>
      <c r="S5317" s="12" t="s">
        <v>6423</v>
      </c>
      <c r="T5317" s="22">
        <f t="shared" si="453"/>
        <v>8</v>
      </c>
      <c r="U5317" s="22">
        <f t="shared" si="454"/>
        <v>2022</v>
      </c>
      <c r="V5317" s="22" t="str">
        <f t="shared" si="455"/>
        <v>REGIONES</v>
      </c>
    </row>
    <row r="5318" spans="1:22" x14ac:dyDescent="0.2">
      <c r="A5318" s="11" t="s">
        <v>6415</v>
      </c>
      <c r="B5318" s="12" t="s">
        <v>33</v>
      </c>
      <c r="C5318" s="12" t="s">
        <v>44</v>
      </c>
      <c r="D5318" s="12" t="s">
        <v>3641</v>
      </c>
      <c r="E5318" s="13">
        <v>100822326</v>
      </c>
      <c r="F5318" s="12" t="s">
        <v>876</v>
      </c>
      <c r="G5318" s="14">
        <v>7032.6799999999976</v>
      </c>
      <c r="H5318" s="12" t="s">
        <v>24</v>
      </c>
      <c r="I5318" s="12">
        <v>1</v>
      </c>
      <c r="J5318" s="12" t="s">
        <v>876</v>
      </c>
      <c r="K5318" s="12" t="s">
        <v>86</v>
      </c>
      <c r="L5318" s="12">
        <v>0</v>
      </c>
      <c r="M5318" s="15">
        <v>350000</v>
      </c>
      <c r="N5318" s="15">
        <v>0</v>
      </c>
      <c r="O5318" s="15">
        <f t="shared" si="456"/>
        <v>350000</v>
      </c>
      <c r="P5318" s="15">
        <f t="shared" si="457"/>
        <v>49.767656142466329</v>
      </c>
      <c r="Q5318" s="14">
        <v>20000</v>
      </c>
      <c r="R5318" s="12">
        <v>35</v>
      </c>
      <c r="S5318" s="12" t="s">
        <v>6424</v>
      </c>
      <c r="T5318" s="22">
        <f t="shared" si="453"/>
        <v>8</v>
      </c>
      <c r="U5318" s="22">
        <f t="shared" si="454"/>
        <v>2022</v>
      </c>
      <c r="V5318" s="22" t="str">
        <f t="shared" si="455"/>
        <v>REGIONES</v>
      </c>
    </row>
    <row r="5319" spans="1:22" x14ac:dyDescent="0.2">
      <c r="A5319" s="11" t="s">
        <v>6415</v>
      </c>
      <c r="B5319" s="12" t="s">
        <v>33</v>
      </c>
      <c r="C5319" s="12" t="s">
        <v>44</v>
      </c>
      <c r="D5319" s="12" t="s">
        <v>6425</v>
      </c>
      <c r="E5319" s="13">
        <v>105791178</v>
      </c>
      <c r="F5319" s="12" t="s">
        <v>691</v>
      </c>
      <c r="G5319" s="14">
        <v>17093.19999999999</v>
      </c>
      <c r="H5319" s="12" t="s">
        <v>24</v>
      </c>
      <c r="I5319" s="12">
        <v>1</v>
      </c>
      <c r="J5319" s="12" t="s">
        <v>691</v>
      </c>
      <c r="K5319" s="12" t="s">
        <v>873</v>
      </c>
      <c r="L5319" s="12">
        <v>0</v>
      </c>
      <c r="M5319" s="15">
        <v>1100000</v>
      </c>
      <c r="N5319" s="15">
        <v>0</v>
      </c>
      <c r="O5319" s="15">
        <f t="shared" si="456"/>
        <v>1100000</v>
      </c>
      <c r="P5319" s="15">
        <f t="shared" si="457"/>
        <v>64.353076077036519</v>
      </c>
      <c r="Q5319" s="14">
        <v>20000</v>
      </c>
      <c r="R5319" s="12">
        <v>85</v>
      </c>
      <c r="S5319" s="12" t="s">
        <v>6426</v>
      </c>
      <c r="T5319" s="22">
        <f t="shared" ref="T5319:T5382" si="458">MONTH(A5319)</f>
        <v>8</v>
      </c>
      <c r="U5319" s="22">
        <f t="shared" ref="U5319:U5382" si="459">YEAR(A5319)</f>
        <v>2022</v>
      </c>
      <c r="V5319" s="22" t="str">
        <f t="shared" ref="V5319:V5382" si="460">IF(K5319="METROPOLITANA DE SANTIAGO","METROPOLITANA","REGIONES")</f>
        <v>REGIONES</v>
      </c>
    </row>
    <row r="5320" spans="1:22" x14ac:dyDescent="0.2">
      <c r="A5320" s="23" t="s">
        <v>6428</v>
      </c>
      <c r="B5320" s="22" t="s">
        <v>33</v>
      </c>
      <c r="C5320" s="22" t="s">
        <v>540</v>
      </c>
      <c r="D5320" s="22" t="s">
        <v>20</v>
      </c>
      <c r="E5320" s="24">
        <v>78907355</v>
      </c>
      <c r="F5320" s="22" t="s">
        <v>995</v>
      </c>
      <c r="G5320" s="25">
        <f>4004+2365</f>
        <v>6369</v>
      </c>
      <c r="H5320" s="22" t="s">
        <v>22</v>
      </c>
      <c r="I5320" s="22">
        <v>0</v>
      </c>
      <c r="J5320" s="22" t="s">
        <v>995</v>
      </c>
      <c r="K5320" s="22" t="s">
        <v>23</v>
      </c>
      <c r="L5320" s="22">
        <v>1</v>
      </c>
      <c r="M5320" s="26">
        <v>55000</v>
      </c>
      <c r="N5320" s="26">
        <v>0</v>
      </c>
      <c r="O5320" s="15">
        <f t="shared" si="456"/>
        <v>55000</v>
      </c>
      <c r="P5320" s="15">
        <f t="shared" si="457"/>
        <v>8.6355785837651116</v>
      </c>
      <c r="Q5320" s="25">
        <v>5000</v>
      </c>
      <c r="R5320" s="22">
        <v>100</v>
      </c>
      <c r="S5320" s="22" t="s">
        <v>6433</v>
      </c>
      <c r="T5320" s="22">
        <f t="shared" si="458"/>
        <v>9</v>
      </c>
      <c r="U5320" s="22">
        <f t="shared" si="459"/>
        <v>2022</v>
      </c>
      <c r="V5320" s="22" t="str">
        <f t="shared" si="460"/>
        <v>METROPOLITANA</v>
      </c>
    </row>
    <row r="5321" spans="1:22" x14ac:dyDescent="0.2">
      <c r="A5321" s="23" t="s">
        <v>6428</v>
      </c>
      <c r="B5321" s="22" t="s">
        <v>33</v>
      </c>
      <c r="C5321" s="22" t="s">
        <v>6429</v>
      </c>
      <c r="D5321" s="22" t="s">
        <v>786</v>
      </c>
      <c r="E5321" s="24">
        <v>95707734</v>
      </c>
      <c r="F5321" s="22" t="s">
        <v>129</v>
      </c>
      <c r="G5321" s="25">
        <v>3185.4</v>
      </c>
      <c r="H5321" s="22" t="s">
        <v>788</v>
      </c>
      <c r="I5321" s="22">
        <v>1</v>
      </c>
      <c r="J5321" s="22" t="s">
        <v>129</v>
      </c>
      <c r="K5321" s="22" t="s">
        <v>23</v>
      </c>
      <c r="L5321" s="22">
        <v>1</v>
      </c>
      <c r="M5321" s="26">
        <v>55000</v>
      </c>
      <c r="N5321" s="26">
        <v>0</v>
      </c>
      <c r="O5321" s="15">
        <f t="shared" si="456"/>
        <v>55000</v>
      </c>
      <c r="P5321" s="15">
        <f t="shared" si="457"/>
        <v>17.266277390594588</v>
      </c>
      <c r="Q5321" s="25">
        <v>5000</v>
      </c>
      <c r="R5321" s="22">
        <v>64</v>
      </c>
      <c r="S5321" s="22" t="s">
        <v>6430</v>
      </c>
      <c r="T5321" s="22">
        <f t="shared" si="458"/>
        <v>9</v>
      </c>
      <c r="U5321" s="22">
        <f t="shared" si="459"/>
        <v>2022</v>
      </c>
      <c r="V5321" s="22" t="str">
        <f t="shared" si="460"/>
        <v>METROPOLITANA</v>
      </c>
    </row>
    <row r="5322" spans="1:22" x14ac:dyDescent="0.2">
      <c r="A5322" s="23" t="s">
        <v>6428</v>
      </c>
      <c r="B5322" s="22" t="s">
        <v>33</v>
      </c>
      <c r="C5322" s="22" t="s">
        <v>29</v>
      </c>
      <c r="D5322" s="22" t="s">
        <v>27</v>
      </c>
      <c r="E5322" s="24">
        <v>81417709</v>
      </c>
      <c r="F5322" s="22" t="s">
        <v>39</v>
      </c>
      <c r="G5322" s="25">
        <v>13021.44</v>
      </c>
      <c r="H5322" s="22" t="s">
        <v>22</v>
      </c>
      <c r="I5322" s="22">
        <v>1</v>
      </c>
      <c r="J5322" s="22" t="s">
        <v>39</v>
      </c>
      <c r="K5322" s="22" t="s">
        <v>23</v>
      </c>
      <c r="L5322" s="22">
        <v>1</v>
      </c>
      <c r="M5322" s="26">
        <v>143236</v>
      </c>
      <c r="N5322" s="26">
        <v>0</v>
      </c>
      <c r="O5322" s="15">
        <f t="shared" si="456"/>
        <v>143236</v>
      </c>
      <c r="P5322" s="15">
        <f t="shared" si="457"/>
        <v>11.000012287427504</v>
      </c>
      <c r="Q5322" s="25">
        <v>5000</v>
      </c>
      <c r="R5322" s="22">
        <v>100</v>
      </c>
      <c r="S5322" s="22" t="s">
        <v>6431</v>
      </c>
      <c r="T5322" s="22">
        <f t="shared" si="458"/>
        <v>9</v>
      </c>
      <c r="U5322" s="22">
        <f t="shared" si="459"/>
        <v>2022</v>
      </c>
      <c r="V5322" s="22" t="str">
        <f t="shared" si="460"/>
        <v>METROPOLITANA</v>
      </c>
    </row>
    <row r="5323" spans="1:22" x14ac:dyDescent="0.2">
      <c r="A5323" s="23" t="s">
        <v>6428</v>
      </c>
      <c r="B5323" s="22" t="s">
        <v>33</v>
      </c>
      <c r="C5323" s="22" t="s">
        <v>3672</v>
      </c>
      <c r="D5323" s="22" t="s">
        <v>20</v>
      </c>
      <c r="E5323" s="24">
        <v>154837728</v>
      </c>
      <c r="F5323" s="22" t="s">
        <v>129</v>
      </c>
      <c r="G5323" s="25">
        <v>3482.86</v>
      </c>
      <c r="H5323" s="22" t="s">
        <v>22</v>
      </c>
      <c r="I5323" s="22">
        <v>0</v>
      </c>
      <c r="J5323" s="22" t="s">
        <v>129</v>
      </c>
      <c r="K5323" s="22" t="s">
        <v>23</v>
      </c>
      <c r="L5323" s="22">
        <v>1</v>
      </c>
      <c r="M5323" s="26">
        <v>55000</v>
      </c>
      <c r="N5323" s="26">
        <v>0</v>
      </c>
      <c r="O5323" s="15">
        <f t="shared" si="456"/>
        <v>55000</v>
      </c>
      <c r="P5323" s="15">
        <f t="shared" si="457"/>
        <v>15.791619531075035</v>
      </c>
      <c r="Q5323" s="25">
        <v>5000</v>
      </c>
      <c r="R5323" s="22">
        <v>70</v>
      </c>
      <c r="S5323" s="22" t="s">
        <v>6432</v>
      </c>
      <c r="T5323" s="22">
        <f t="shared" si="458"/>
        <v>9</v>
      </c>
      <c r="U5323" s="22">
        <f t="shared" si="459"/>
        <v>2022</v>
      </c>
      <c r="V5323" s="22" t="str">
        <f t="shared" si="460"/>
        <v>METROPOLITANA</v>
      </c>
    </row>
    <row r="5324" spans="1:22" x14ac:dyDescent="0.2">
      <c r="A5324" s="11" t="s">
        <v>6434</v>
      </c>
      <c r="B5324" s="12" t="s">
        <v>33</v>
      </c>
      <c r="C5324" s="12" t="s">
        <v>5810</v>
      </c>
      <c r="D5324" s="12" t="s">
        <v>30</v>
      </c>
      <c r="E5324" s="13" t="s">
        <v>31</v>
      </c>
      <c r="F5324" s="12" t="s">
        <v>129</v>
      </c>
      <c r="G5324" s="14">
        <v>5412.94</v>
      </c>
      <c r="H5324" s="12" t="s">
        <v>32</v>
      </c>
      <c r="I5324" s="12">
        <v>0</v>
      </c>
      <c r="J5324" s="12" t="s">
        <v>129</v>
      </c>
      <c r="K5324" s="12" t="s">
        <v>23</v>
      </c>
      <c r="L5324" s="12">
        <v>1</v>
      </c>
      <c r="M5324" s="15">
        <v>59542</v>
      </c>
      <c r="N5324" s="15">
        <v>0</v>
      </c>
      <c r="O5324" s="15">
        <f t="shared" si="456"/>
        <v>59542</v>
      </c>
      <c r="P5324" s="15">
        <f t="shared" si="457"/>
        <v>10.999937187554268</v>
      </c>
      <c r="Q5324" s="14">
        <v>5000</v>
      </c>
      <c r="R5324" s="12">
        <v>100</v>
      </c>
      <c r="S5324" s="12" t="s">
        <v>6435</v>
      </c>
      <c r="T5324" s="22">
        <f t="shared" si="458"/>
        <v>9</v>
      </c>
      <c r="U5324" s="22">
        <f t="shared" si="459"/>
        <v>2022</v>
      </c>
      <c r="V5324" s="22" t="str">
        <f t="shared" si="460"/>
        <v>METROPOLITANA</v>
      </c>
    </row>
    <row r="5325" spans="1:22" x14ac:dyDescent="0.2">
      <c r="A5325" s="11" t="s">
        <v>6434</v>
      </c>
      <c r="B5325" s="12" t="s">
        <v>33</v>
      </c>
      <c r="C5325" s="12" t="s">
        <v>2862</v>
      </c>
      <c r="D5325" s="12" t="s">
        <v>2955</v>
      </c>
      <c r="E5325" s="13" t="s">
        <v>2956</v>
      </c>
      <c r="F5325" s="12" t="s">
        <v>274</v>
      </c>
      <c r="G5325" s="14">
        <v>12231.52</v>
      </c>
      <c r="H5325" s="12" t="s">
        <v>24</v>
      </c>
      <c r="I5325" s="12">
        <v>1</v>
      </c>
      <c r="J5325" s="12" t="s">
        <v>274</v>
      </c>
      <c r="K5325" s="12" t="s">
        <v>78</v>
      </c>
      <c r="L5325" s="12">
        <v>0</v>
      </c>
      <c r="M5325" s="15">
        <v>275000</v>
      </c>
      <c r="N5325" s="15">
        <v>0</v>
      </c>
      <c r="O5325" s="15">
        <f t="shared" si="456"/>
        <v>275000</v>
      </c>
      <c r="P5325" s="15">
        <f t="shared" si="457"/>
        <v>22.482896647350451</v>
      </c>
      <c r="Q5325" s="14">
        <v>20000</v>
      </c>
      <c r="R5325" s="12">
        <v>61</v>
      </c>
      <c r="S5325" s="12" t="s">
        <v>6436</v>
      </c>
      <c r="T5325" s="22">
        <f t="shared" si="458"/>
        <v>9</v>
      </c>
      <c r="U5325" s="22">
        <f t="shared" si="459"/>
        <v>2022</v>
      </c>
      <c r="V5325" s="22" t="str">
        <f t="shared" si="460"/>
        <v>REGIONES</v>
      </c>
    </row>
    <row r="5326" spans="1:22" x14ac:dyDescent="0.2">
      <c r="A5326" s="11" t="s">
        <v>6434</v>
      </c>
      <c r="B5326" s="12" t="s">
        <v>33</v>
      </c>
      <c r="C5326" s="12" t="s">
        <v>29</v>
      </c>
      <c r="D5326" s="12" t="s">
        <v>37</v>
      </c>
      <c r="E5326" s="13" t="s">
        <v>40</v>
      </c>
      <c r="F5326" s="12" t="s">
        <v>39</v>
      </c>
      <c r="G5326" s="14">
        <v>9651.2000000000007</v>
      </c>
      <c r="H5326" s="12" t="s">
        <v>22</v>
      </c>
      <c r="I5326" s="12">
        <v>0</v>
      </c>
      <c r="J5326" s="12" t="s">
        <v>39</v>
      </c>
      <c r="K5326" s="12" t="s">
        <v>23</v>
      </c>
      <c r="L5326" s="12">
        <v>1</v>
      </c>
      <c r="M5326" s="15">
        <v>106163</v>
      </c>
      <c r="N5326" s="15">
        <v>0</v>
      </c>
      <c r="O5326" s="15">
        <f t="shared" si="456"/>
        <v>106163</v>
      </c>
      <c r="P5326" s="15">
        <f t="shared" si="457"/>
        <v>10.999979277188329</v>
      </c>
      <c r="Q5326" s="14">
        <v>5000</v>
      </c>
      <c r="R5326" s="12">
        <v>100</v>
      </c>
      <c r="S5326" s="12" t="s">
        <v>6437</v>
      </c>
      <c r="T5326" s="22">
        <f t="shared" si="458"/>
        <v>9</v>
      </c>
      <c r="U5326" s="22">
        <f t="shared" si="459"/>
        <v>2022</v>
      </c>
      <c r="V5326" s="22" t="str">
        <f t="shared" si="460"/>
        <v>METROPOLITANA</v>
      </c>
    </row>
    <row r="5327" spans="1:22" x14ac:dyDescent="0.2">
      <c r="A5327" s="11" t="s">
        <v>6434</v>
      </c>
      <c r="B5327" s="12" t="s">
        <v>33</v>
      </c>
      <c r="C5327" s="12" t="s">
        <v>29</v>
      </c>
      <c r="D5327" s="12" t="s">
        <v>27</v>
      </c>
      <c r="E5327" s="13" t="s">
        <v>28</v>
      </c>
      <c r="F5327" s="12" t="s">
        <v>39</v>
      </c>
      <c r="G5327" s="14">
        <f>10285.1+1700</f>
        <v>11985.1</v>
      </c>
      <c r="H5327" s="12" t="s">
        <v>22</v>
      </c>
      <c r="I5327" s="12">
        <v>1</v>
      </c>
      <c r="J5327" s="12" t="s">
        <v>39</v>
      </c>
      <c r="K5327" s="12" t="s">
        <v>23</v>
      </c>
      <c r="L5327" s="12">
        <v>1</v>
      </c>
      <c r="M5327" s="15">
        <v>113136</v>
      </c>
      <c r="N5327" s="15">
        <v>0</v>
      </c>
      <c r="O5327" s="15">
        <f t="shared" si="456"/>
        <v>113136</v>
      </c>
      <c r="P5327" s="15">
        <f t="shared" si="457"/>
        <v>9.4397209868920573</v>
      </c>
      <c r="Q5327" s="14">
        <v>5000</v>
      </c>
      <c r="R5327" s="12">
        <v>100</v>
      </c>
      <c r="S5327" s="12" t="s">
        <v>6440</v>
      </c>
      <c r="T5327" s="22">
        <f t="shared" si="458"/>
        <v>9</v>
      </c>
      <c r="U5327" s="22">
        <f t="shared" si="459"/>
        <v>2022</v>
      </c>
      <c r="V5327" s="22" t="str">
        <f t="shared" si="460"/>
        <v>METROPOLITANA</v>
      </c>
    </row>
    <row r="5328" spans="1:22" x14ac:dyDescent="0.2">
      <c r="A5328" s="11" t="s">
        <v>6434</v>
      </c>
      <c r="B5328" s="12" t="s">
        <v>33</v>
      </c>
      <c r="C5328" s="12" t="s">
        <v>44</v>
      </c>
      <c r="D5328" s="12" t="s">
        <v>1869</v>
      </c>
      <c r="E5328" s="13" t="s">
        <v>1870</v>
      </c>
      <c r="F5328" s="12" t="s">
        <v>66</v>
      </c>
      <c r="G5328" s="14">
        <f>6002.32+3405</f>
        <v>9407.32</v>
      </c>
      <c r="H5328" s="12" t="s">
        <v>24</v>
      </c>
      <c r="I5328" s="12">
        <v>1</v>
      </c>
      <c r="J5328" s="12" t="s">
        <v>66</v>
      </c>
      <c r="K5328" s="12" t="s">
        <v>75</v>
      </c>
      <c r="L5328" s="12">
        <v>0</v>
      </c>
      <c r="M5328" s="15">
        <v>430000</v>
      </c>
      <c r="N5328" s="15">
        <v>0</v>
      </c>
      <c r="O5328" s="15">
        <f t="shared" si="456"/>
        <v>430000</v>
      </c>
      <c r="P5328" s="15">
        <f t="shared" si="457"/>
        <v>45.709086115918247</v>
      </c>
      <c r="Q5328" s="14">
        <v>20000</v>
      </c>
      <c r="R5328" s="12">
        <v>55</v>
      </c>
      <c r="S5328" s="12" t="s">
        <v>6441</v>
      </c>
      <c r="T5328" s="22">
        <f t="shared" si="458"/>
        <v>9</v>
      </c>
      <c r="U5328" s="22">
        <f t="shared" si="459"/>
        <v>2022</v>
      </c>
      <c r="V5328" s="22" t="str">
        <f t="shared" si="460"/>
        <v>REGIONES</v>
      </c>
    </row>
    <row r="5329" spans="1:22" x14ac:dyDescent="0.2">
      <c r="A5329" s="11" t="s">
        <v>6434</v>
      </c>
      <c r="B5329" s="12" t="s">
        <v>33</v>
      </c>
      <c r="C5329" s="12" t="s">
        <v>44</v>
      </c>
      <c r="D5329" s="12" t="s">
        <v>5478</v>
      </c>
      <c r="E5329" s="13" t="s">
        <v>83</v>
      </c>
      <c r="F5329" s="12" t="s">
        <v>84</v>
      </c>
      <c r="G5329" s="14">
        <v>5520.27</v>
      </c>
      <c r="H5329" s="12" t="s">
        <v>24</v>
      </c>
      <c r="I5329" s="12">
        <v>1</v>
      </c>
      <c r="J5329" s="12" t="s">
        <v>84</v>
      </c>
      <c r="K5329" s="12" t="s">
        <v>86</v>
      </c>
      <c r="L5329" s="12">
        <v>0</v>
      </c>
      <c r="M5329" s="15">
        <v>360000</v>
      </c>
      <c r="N5329" s="15">
        <v>0</v>
      </c>
      <c r="O5329" s="15">
        <f t="shared" si="456"/>
        <v>360000</v>
      </c>
      <c r="P5329" s="15">
        <f t="shared" si="457"/>
        <v>65.214201479275459</v>
      </c>
      <c r="Q5329" s="14">
        <v>20000</v>
      </c>
      <c r="R5329" s="12">
        <v>28</v>
      </c>
      <c r="S5329" s="12" t="s">
        <v>6438</v>
      </c>
      <c r="T5329" s="22">
        <f t="shared" si="458"/>
        <v>9</v>
      </c>
      <c r="U5329" s="22">
        <f t="shared" si="459"/>
        <v>2022</v>
      </c>
      <c r="V5329" s="22" t="str">
        <f t="shared" si="460"/>
        <v>REGIONES</v>
      </c>
    </row>
    <row r="5330" spans="1:22" x14ac:dyDescent="0.2">
      <c r="A5330" s="11" t="s">
        <v>6434</v>
      </c>
      <c r="B5330" s="12" t="s">
        <v>33</v>
      </c>
      <c r="C5330" s="12" t="s">
        <v>44</v>
      </c>
      <c r="D5330" s="12" t="s">
        <v>45</v>
      </c>
      <c r="E5330" s="13" t="s">
        <v>52</v>
      </c>
      <c r="F5330" s="12" t="s">
        <v>46</v>
      </c>
      <c r="G5330" s="14">
        <v>4085.61</v>
      </c>
      <c r="H5330" s="12" t="s">
        <v>22</v>
      </c>
      <c r="I5330" s="12">
        <v>0</v>
      </c>
      <c r="J5330" s="12" t="s">
        <v>46</v>
      </c>
      <c r="K5330" s="12" t="s">
        <v>23</v>
      </c>
      <c r="L5330" s="12">
        <v>2</v>
      </c>
      <c r="M5330" s="15">
        <v>55000</v>
      </c>
      <c r="N5330" s="15">
        <v>0</v>
      </c>
      <c r="O5330" s="15">
        <f t="shared" si="456"/>
        <v>55000</v>
      </c>
      <c r="P5330" s="15">
        <f t="shared" si="457"/>
        <v>13.461882069017845</v>
      </c>
      <c r="Q5330" s="14">
        <v>5000</v>
      </c>
      <c r="R5330" s="12">
        <v>82</v>
      </c>
      <c r="S5330" s="12" t="s">
        <v>6439</v>
      </c>
      <c r="T5330" s="22">
        <f t="shared" si="458"/>
        <v>9</v>
      </c>
      <c r="U5330" s="22">
        <f t="shared" si="459"/>
        <v>2022</v>
      </c>
      <c r="V5330" s="22" t="str">
        <f t="shared" si="460"/>
        <v>METROPOLITANA</v>
      </c>
    </row>
    <row r="5331" spans="1:22" x14ac:dyDescent="0.2">
      <c r="A5331" s="23" t="s">
        <v>6442</v>
      </c>
      <c r="B5331" s="22" t="s">
        <v>33</v>
      </c>
      <c r="C5331" s="22" t="s">
        <v>223</v>
      </c>
      <c r="D5331" s="22" t="s">
        <v>38</v>
      </c>
      <c r="E5331" s="24">
        <v>53173292</v>
      </c>
      <c r="F5331" s="22" t="s">
        <v>2639</v>
      </c>
      <c r="G5331" s="25">
        <v>6003.1999999999989</v>
      </c>
      <c r="H5331" s="22" t="s">
        <v>43</v>
      </c>
      <c r="I5331" s="22">
        <v>0</v>
      </c>
      <c r="J5331" s="22" t="s">
        <v>2639</v>
      </c>
      <c r="K5331" s="22" t="s">
        <v>75</v>
      </c>
      <c r="L5331" s="22">
        <v>0</v>
      </c>
      <c r="M5331" s="26">
        <v>250000</v>
      </c>
      <c r="N5331" s="26">
        <v>0</v>
      </c>
      <c r="O5331" s="15">
        <f t="shared" si="456"/>
        <v>250000</v>
      </c>
      <c r="P5331" s="15">
        <f t="shared" si="457"/>
        <v>41.644456289978685</v>
      </c>
      <c r="Q5331" s="25">
        <v>20000</v>
      </c>
      <c r="R5331" s="22">
        <v>30</v>
      </c>
      <c r="S5331" s="22" t="s">
        <v>6443</v>
      </c>
      <c r="T5331" s="22">
        <f t="shared" si="458"/>
        <v>9</v>
      </c>
      <c r="U5331" s="22">
        <f t="shared" si="459"/>
        <v>2022</v>
      </c>
      <c r="V5331" s="22" t="str">
        <f t="shared" si="460"/>
        <v>REGIONES</v>
      </c>
    </row>
    <row r="5332" spans="1:22" x14ac:dyDescent="0.2">
      <c r="A5332" s="23" t="s">
        <v>6442</v>
      </c>
      <c r="B5332" s="22" t="s">
        <v>33</v>
      </c>
      <c r="C5332" s="22" t="s">
        <v>223</v>
      </c>
      <c r="D5332" s="22" t="s">
        <v>41</v>
      </c>
      <c r="E5332" s="24">
        <v>125108660</v>
      </c>
      <c r="F5332" s="22" t="s">
        <v>2639</v>
      </c>
      <c r="G5332" s="25">
        <v>7953.1999999999989</v>
      </c>
      <c r="H5332" s="22" t="s">
        <v>43</v>
      </c>
      <c r="I5332" s="22">
        <v>0</v>
      </c>
      <c r="J5332" s="22" t="s">
        <v>2639</v>
      </c>
      <c r="K5332" s="22" t="s">
        <v>75</v>
      </c>
      <c r="L5332" s="22">
        <v>0</v>
      </c>
      <c r="M5332" s="26">
        <v>250000</v>
      </c>
      <c r="N5332" s="26">
        <v>0</v>
      </c>
      <c r="O5332" s="15">
        <f t="shared" si="456"/>
        <v>250000</v>
      </c>
      <c r="P5332" s="15">
        <f t="shared" si="457"/>
        <v>31.43388824624051</v>
      </c>
      <c r="Q5332" s="25">
        <v>20000</v>
      </c>
      <c r="R5332" s="22">
        <v>40</v>
      </c>
      <c r="S5332" s="22" t="s">
        <v>6444</v>
      </c>
      <c r="T5332" s="22">
        <f t="shared" si="458"/>
        <v>9</v>
      </c>
      <c r="U5332" s="22">
        <f t="shared" si="459"/>
        <v>2022</v>
      </c>
      <c r="V5332" s="22" t="str">
        <f t="shared" si="460"/>
        <v>REGIONES</v>
      </c>
    </row>
    <row r="5333" spans="1:22" x14ac:dyDescent="0.2">
      <c r="A5333" s="23" t="s">
        <v>6442</v>
      </c>
      <c r="B5333" s="22" t="s">
        <v>33</v>
      </c>
      <c r="C5333" s="22" t="s">
        <v>3961</v>
      </c>
      <c r="D5333" s="22" t="s">
        <v>786</v>
      </c>
      <c r="E5333" s="24">
        <v>95707734</v>
      </c>
      <c r="F5333" s="22" t="s">
        <v>129</v>
      </c>
      <c r="G5333" s="25">
        <v>2514.2000000000012</v>
      </c>
      <c r="H5333" s="22" t="s">
        <v>788</v>
      </c>
      <c r="I5333" s="22">
        <v>1</v>
      </c>
      <c r="J5333" s="22" t="s">
        <v>129</v>
      </c>
      <c r="K5333" s="22" t="s">
        <v>23</v>
      </c>
      <c r="L5333" s="22">
        <v>1</v>
      </c>
      <c r="M5333" s="26">
        <v>55000</v>
      </c>
      <c r="N5333" s="26">
        <v>0</v>
      </c>
      <c r="O5333" s="15">
        <f t="shared" ref="O5333:O5396" si="461">SUM(M5333:N5333)</f>
        <v>55000</v>
      </c>
      <c r="P5333" s="15">
        <f t="shared" si="457"/>
        <v>21.875745764060127</v>
      </c>
      <c r="Q5333" s="25">
        <v>5000</v>
      </c>
      <c r="R5333" s="22">
        <v>50</v>
      </c>
      <c r="S5333" s="22" t="s">
        <v>6445</v>
      </c>
      <c r="T5333" s="22">
        <f t="shared" si="458"/>
        <v>9</v>
      </c>
      <c r="U5333" s="22">
        <f t="shared" si="459"/>
        <v>2022</v>
      </c>
      <c r="V5333" s="22" t="str">
        <f t="shared" si="460"/>
        <v>METROPOLITANA</v>
      </c>
    </row>
    <row r="5334" spans="1:22" x14ac:dyDescent="0.2">
      <c r="A5334" s="23" t="s">
        <v>6442</v>
      </c>
      <c r="B5334" s="22" t="s">
        <v>33</v>
      </c>
      <c r="C5334" s="22" t="s">
        <v>3961</v>
      </c>
      <c r="D5334" s="22" t="s">
        <v>786</v>
      </c>
      <c r="E5334" s="24">
        <v>95707734</v>
      </c>
      <c r="F5334" s="22" t="s">
        <v>1783</v>
      </c>
      <c r="G5334" s="25">
        <v>24878.400000000009</v>
      </c>
      <c r="H5334" s="22" t="s">
        <v>788</v>
      </c>
      <c r="I5334" s="22">
        <v>1</v>
      </c>
      <c r="J5334" s="22" t="s">
        <v>1784</v>
      </c>
      <c r="K5334" s="22" t="s">
        <v>23</v>
      </c>
      <c r="L5334" s="22">
        <v>5</v>
      </c>
      <c r="M5334" s="26">
        <v>120000</v>
      </c>
      <c r="N5334" s="26">
        <v>0</v>
      </c>
      <c r="O5334" s="15">
        <f t="shared" si="461"/>
        <v>120000</v>
      </c>
      <c r="P5334" s="15">
        <f t="shared" si="457"/>
        <v>4.8234613158402455</v>
      </c>
      <c r="Q5334" s="25">
        <v>10000</v>
      </c>
      <c r="R5334" s="22">
        <v>100</v>
      </c>
      <c r="S5334" s="22" t="s">
        <v>6446</v>
      </c>
      <c r="T5334" s="22">
        <f t="shared" si="458"/>
        <v>9</v>
      </c>
      <c r="U5334" s="22">
        <f t="shared" si="459"/>
        <v>2022</v>
      </c>
      <c r="V5334" s="22" t="str">
        <f t="shared" si="460"/>
        <v>METROPOLITANA</v>
      </c>
    </row>
    <row r="5335" spans="1:22" x14ac:dyDescent="0.2">
      <c r="A5335" s="23" t="s">
        <v>6442</v>
      </c>
      <c r="B5335" s="22" t="s">
        <v>33</v>
      </c>
      <c r="C5335" s="22" t="s">
        <v>3961</v>
      </c>
      <c r="D5335" s="22" t="s">
        <v>2955</v>
      </c>
      <c r="E5335" s="24">
        <v>65941082</v>
      </c>
      <c r="F5335" s="22" t="s">
        <v>1783</v>
      </c>
      <c r="G5335" s="25">
        <v>17004.000000000011</v>
      </c>
      <c r="H5335" s="22" t="s">
        <v>24</v>
      </c>
      <c r="I5335" s="22">
        <v>1</v>
      </c>
      <c r="J5335" s="22" t="s">
        <v>1784</v>
      </c>
      <c r="K5335" s="22" t="s">
        <v>23</v>
      </c>
      <c r="L5335" s="22">
        <v>5</v>
      </c>
      <c r="M5335" s="26">
        <v>120000</v>
      </c>
      <c r="N5335" s="26">
        <v>0</v>
      </c>
      <c r="O5335" s="15">
        <f t="shared" si="461"/>
        <v>120000</v>
      </c>
      <c r="P5335" s="15">
        <f t="shared" si="457"/>
        <v>7.0571630204657678</v>
      </c>
      <c r="Q5335" s="25">
        <v>10000</v>
      </c>
      <c r="R5335" s="22">
        <v>100</v>
      </c>
      <c r="S5335" s="22" t="s">
        <v>6447</v>
      </c>
      <c r="T5335" s="22">
        <f t="shared" si="458"/>
        <v>9</v>
      </c>
      <c r="U5335" s="22">
        <f t="shared" si="459"/>
        <v>2022</v>
      </c>
      <c r="V5335" s="22" t="str">
        <f t="shared" si="460"/>
        <v>METROPOLITANA</v>
      </c>
    </row>
    <row r="5336" spans="1:22" x14ac:dyDescent="0.2">
      <c r="A5336" s="23" t="s">
        <v>6442</v>
      </c>
      <c r="B5336" s="22" t="s">
        <v>33</v>
      </c>
      <c r="C5336" s="22" t="s">
        <v>29</v>
      </c>
      <c r="D5336" s="22" t="s">
        <v>164</v>
      </c>
      <c r="E5336" s="24">
        <v>154837728</v>
      </c>
      <c r="F5336" s="22" t="s">
        <v>39</v>
      </c>
      <c r="G5336" s="25">
        <v>8450.100000000004</v>
      </c>
      <c r="H5336" s="22" t="s">
        <v>22</v>
      </c>
      <c r="I5336" s="22">
        <v>1</v>
      </c>
      <c r="J5336" s="22" t="s">
        <v>39</v>
      </c>
      <c r="K5336" s="22" t="s">
        <v>23</v>
      </c>
      <c r="L5336" s="22">
        <v>1</v>
      </c>
      <c r="M5336" s="26">
        <v>92951</v>
      </c>
      <c r="N5336" s="26">
        <v>0</v>
      </c>
      <c r="O5336" s="15">
        <f t="shared" si="461"/>
        <v>92951</v>
      </c>
      <c r="P5336" s="15">
        <f t="shared" si="457"/>
        <v>10.999988165820518</v>
      </c>
      <c r="Q5336" s="25">
        <v>5000</v>
      </c>
      <c r="R5336" s="22">
        <v>100</v>
      </c>
      <c r="S5336" s="22" t="s">
        <v>6448</v>
      </c>
      <c r="T5336" s="22">
        <f t="shared" si="458"/>
        <v>9</v>
      </c>
      <c r="U5336" s="22">
        <f t="shared" si="459"/>
        <v>2022</v>
      </c>
      <c r="V5336" s="22" t="str">
        <f t="shared" si="460"/>
        <v>METROPOLITANA</v>
      </c>
    </row>
    <row r="5337" spans="1:22" x14ac:dyDescent="0.2">
      <c r="A5337" s="23" t="s">
        <v>6442</v>
      </c>
      <c r="B5337" s="22" t="s">
        <v>33</v>
      </c>
      <c r="C5337" s="22" t="s">
        <v>29</v>
      </c>
      <c r="D5337" s="22" t="s">
        <v>20</v>
      </c>
      <c r="E5337" s="24">
        <v>78907355</v>
      </c>
      <c r="F5337" s="22" t="s">
        <v>39</v>
      </c>
      <c r="G5337" s="25">
        <v>5306.8999999999987</v>
      </c>
      <c r="H5337" s="22" t="s">
        <v>22</v>
      </c>
      <c r="I5337" s="22">
        <v>0</v>
      </c>
      <c r="J5337" s="22" t="s">
        <v>39</v>
      </c>
      <c r="K5337" s="22" t="s">
        <v>23</v>
      </c>
      <c r="L5337" s="22">
        <v>1</v>
      </c>
      <c r="M5337" s="26">
        <v>58376</v>
      </c>
      <c r="N5337" s="26">
        <v>0</v>
      </c>
      <c r="O5337" s="15">
        <f t="shared" si="461"/>
        <v>58376</v>
      </c>
      <c r="P5337" s="15">
        <f t="shared" si="457"/>
        <v>11.000018843392567</v>
      </c>
      <c r="Q5337" s="25">
        <v>5000</v>
      </c>
      <c r="R5337" s="22">
        <v>100</v>
      </c>
      <c r="S5337" s="22" t="s">
        <v>6449</v>
      </c>
      <c r="T5337" s="22">
        <f t="shared" si="458"/>
        <v>9</v>
      </c>
      <c r="U5337" s="22">
        <f t="shared" si="459"/>
        <v>2022</v>
      </c>
      <c r="V5337" s="22" t="str">
        <f t="shared" si="460"/>
        <v>METROPOLITANA</v>
      </c>
    </row>
    <row r="5338" spans="1:22" x14ac:dyDescent="0.2">
      <c r="A5338" s="23" t="s">
        <v>6442</v>
      </c>
      <c r="B5338" s="22" t="s">
        <v>33</v>
      </c>
      <c r="C5338" s="22" t="s">
        <v>44</v>
      </c>
      <c r="D5338" s="22" t="s">
        <v>30</v>
      </c>
      <c r="E5338" s="24">
        <v>72564391</v>
      </c>
      <c r="F5338" s="22" t="s">
        <v>225</v>
      </c>
      <c r="G5338" s="25">
        <v>3649.6</v>
      </c>
      <c r="H5338" s="22" t="s">
        <v>32</v>
      </c>
      <c r="I5338" s="22">
        <v>0</v>
      </c>
      <c r="J5338" s="22" t="s">
        <v>225</v>
      </c>
      <c r="K5338" s="22" t="s">
        <v>23</v>
      </c>
      <c r="L5338" s="22">
        <v>3</v>
      </c>
      <c r="M5338" s="26">
        <v>55000</v>
      </c>
      <c r="N5338" s="26">
        <v>0</v>
      </c>
      <c r="O5338" s="15">
        <f t="shared" si="461"/>
        <v>55000</v>
      </c>
      <c r="P5338" s="15">
        <f t="shared" si="457"/>
        <v>15.070144673388866</v>
      </c>
      <c r="Q5338" s="25">
        <v>5000</v>
      </c>
      <c r="R5338" s="22">
        <v>73</v>
      </c>
      <c r="S5338" s="22" t="s">
        <v>6450</v>
      </c>
      <c r="T5338" s="22">
        <f t="shared" si="458"/>
        <v>9</v>
      </c>
      <c r="U5338" s="22">
        <f t="shared" si="459"/>
        <v>2022</v>
      </c>
      <c r="V5338" s="22" t="str">
        <f t="shared" si="460"/>
        <v>METROPOLITANA</v>
      </c>
    </row>
    <row r="5339" spans="1:22" x14ac:dyDescent="0.2">
      <c r="A5339" s="23" t="s">
        <v>6442</v>
      </c>
      <c r="B5339" s="22" t="s">
        <v>33</v>
      </c>
      <c r="C5339" s="22" t="s">
        <v>44</v>
      </c>
      <c r="D5339" s="22" t="s">
        <v>45</v>
      </c>
      <c r="E5339" s="24">
        <v>99626232</v>
      </c>
      <c r="F5339" s="22" t="s">
        <v>229</v>
      </c>
      <c r="G5339" s="25">
        <v>3180.8</v>
      </c>
      <c r="H5339" s="22" t="s">
        <v>22</v>
      </c>
      <c r="I5339" s="22">
        <v>0</v>
      </c>
      <c r="J5339" s="22" t="s">
        <v>230</v>
      </c>
      <c r="K5339" s="22" t="s">
        <v>23</v>
      </c>
      <c r="L5339" s="22">
        <v>4</v>
      </c>
      <c r="M5339" s="26">
        <v>55000</v>
      </c>
      <c r="N5339" s="26">
        <v>0</v>
      </c>
      <c r="O5339" s="15">
        <f t="shared" si="461"/>
        <v>55000</v>
      </c>
      <c r="P5339" s="15">
        <f t="shared" si="457"/>
        <v>17.291247484909455</v>
      </c>
      <c r="Q5339" s="25">
        <v>5000</v>
      </c>
      <c r="R5339" s="22">
        <v>64</v>
      </c>
      <c r="S5339" s="22" t="s">
        <v>6451</v>
      </c>
      <c r="T5339" s="22">
        <f t="shared" si="458"/>
        <v>9</v>
      </c>
      <c r="U5339" s="22">
        <f t="shared" si="459"/>
        <v>2022</v>
      </c>
      <c r="V5339" s="22" t="str">
        <f t="shared" si="460"/>
        <v>METROPOLITANA</v>
      </c>
    </row>
    <row r="5340" spans="1:22" x14ac:dyDescent="0.2">
      <c r="A5340" s="11" t="s">
        <v>6452</v>
      </c>
      <c r="B5340" s="12" t="s">
        <v>18</v>
      </c>
      <c r="C5340" s="12" t="s">
        <v>19</v>
      </c>
      <c r="D5340" s="12" t="s">
        <v>30</v>
      </c>
      <c r="E5340" s="13" t="s">
        <v>31</v>
      </c>
      <c r="F5340" s="12" t="s">
        <v>407</v>
      </c>
      <c r="G5340" s="14">
        <v>6427.5399999999991</v>
      </c>
      <c r="H5340" s="12" t="s">
        <v>32</v>
      </c>
      <c r="I5340" s="12">
        <v>0</v>
      </c>
      <c r="J5340" s="12" t="s">
        <v>407</v>
      </c>
      <c r="K5340" s="12" t="s">
        <v>408</v>
      </c>
      <c r="L5340" s="12">
        <v>0</v>
      </c>
      <c r="M5340" s="15">
        <v>450000</v>
      </c>
      <c r="N5340" s="15">
        <v>0</v>
      </c>
      <c r="O5340" s="15">
        <f t="shared" si="461"/>
        <v>450000</v>
      </c>
      <c r="P5340" s="15">
        <f t="shared" si="457"/>
        <v>70.011232913369668</v>
      </c>
      <c r="Q5340" s="14">
        <v>20000</v>
      </c>
      <c r="R5340" s="12">
        <v>32</v>
      </c>
      <c r="S5340" s="12" t="s">
        <v>6453</v>
      </c>
      <c r="T5340" s="22">
        <f t="shared" si="458"/>
        <v>9</v>
      </c>
      <c r="U5340" s="22">
        <f t="shared" si="459"/>
        <v>2022</v>
      </c>
      <c r="V5340" s="22" t="str">
        <f t="shared" si="460"/>
        <v>REGIONES</v>
      </c>
    </row>
    <row r="5341" spans="1:22" x14ac:dyDescent="0.2">
      <c r="A5341" s="11" t="s">
        <v>6452</v>
      </c>
      <c r="B5341" s="12" t="s">
        <v>18</v>
      </c>
      <c r="C5341" s="12" t="s">
        <v>29</v>
      </c>
      <c r="D5341" s="12" t="s">
        <v>6218</v>
      </c>
      <c r="E5341" s="13" t="s">
        <v>6219</v>
      </c>
      <c r="F5341" s="12" t="s">
        <v>39</v>
      </c>
      <c r="G5341" s="14">
        <v>26057.600000000009</v>
      </c>
      <c r="H5341" s="12" t="s">
        <v>24</v>
      </c>
      <c r="I5341" s="12">
        <v>1</v>
      </c>
      <c r="J5341" s="12" t="s">
        <v>39</v>
      </c>
      <c r="K5341" s="12" t="s">
        <v>23</v>
      </c>
      <c r="L5341" s="12">
        <v>1</v>
      </c>
      <c r="M5341" s="15">
        <v>286634</v>
      </c>
      <c r="N5341" s="15">
        <v>0</v>
      </c>
      <c r="O5341" s="15">
        <f t="shared" si="461"/>
        <v>286634</v>
      </c>
      <c r="P5341" s="15">
        <f t="shared" si="457"/>
        <v>11.00001535060788</v>
      </c>
      <c r="Q5341" s="14">
        <v>5000</v>
      </c>
      <c r="R5341" s="12">
        <v>100</v>
      </c>
      <c r="S5341" s="12" t="s">
        <v>6454</v>
      </c>
      <c r="T5341" s="22">
        <f t="shared" si="458"/>
        <v>9</v>
      </c>
      <c r="U5341" s="22">
        <f t="shared" si="459"/>
        <v>2022</v>
      </c>
      <c r="V5341" s="22" t="str">
        <f t="shared" si="460"/>
        <v>METROPOLITANA</v>
      </c>
    </row>
    <row r="5342" spans="1:22" x14ac:dyDescent="0.2">
      <c r="A5342" s="11" t="s">
        <v>6452</v>
      </c>
      <c r="B5342" s="12" t="s">
        <v>18</v>
      </c>
      <c r="C5342" s="12" t="s">
        <v>29</v>
      </c>
      <c r="D5342" s="12" t="s">
        <v>6455</v>
      </c>
      <c r="E5342" s="13" t="s">
        <v>6456</v>
      </c>
      <c r="F5342" s="12" t="s">
        <v>39</v>
      </c>
      <c r="G5342" s="14">
        <v>26220.46000000001</v>
      </c>
      <c r="H5342" s="12" t="s">
        <v>24</v>
      </c>
      <c r="I5342" s="12">
        <v>1</v>
      </c>
      <c r="J5342" s="12" t="s">
        <v>39</v>
      </c>
      <c r="K5342" s="12" t="s">
        <v>23</v>
      </c>
      <c r="L5342" s="12">
        <v>1</v>
      </c>
      <c r="M5342" s="15">
        <v>288425</v>
      </c>
      <c r="N5342" s="15">
        <v>0</v>
      </c>
      <c r="O5342" s="15">
        <f t="shared" si="461"/>
        <v>288425</v>
      </c>
      <c r="P5342" s="15">
        <f t="shared" si="457"/>
        <v>10.999997711710622</v>
      </c>
      <c r="Q5342" s="14">
        <v>5000</v>
      </c>
      <c r="R5342" s="12">
        <v>100</v>
      </c>
      <c r="S5342" s="12" t="s">
        <v>6457</v>
      </c>
      <c r="T5342" s="22">
        <f t="shared" si="458"/>
        <v>9</v>
      </c>
      <c r="U5342" s="22">
        <f t="shared" si="459"/>
        <v>2022</v>
      </c>
      <c r="V5342" s="22" t="str">
        <f t="shared" si="460"/>
        <v>METROPOLITANA</v>
      </c>
    </row>
    <row r="5343" spans="1:22" x14ac:dyDescent="0.2">
      <c r="A5343" s="11" t="s">
        <v>6452</v>
      </c>
      <c r="B5343" s="12" t="s">
        <v>33</v>
      </c>
      <c r="C5343" s="12" t="s">
        <v>223</v>
      </c>
      <c r="D5343" s="12" t="s">
        <v>38</v>
      </c>
      <c r="E5343" s="13" t="s">
        <v>6458</v>
      </c>
      <c r="F5343" s="12" t="s">
        <v>51</v>
      </c>
      <c r="G5343" s="14">
        <v>6003.1999999999989</v>
      </c>
      <c r="H5343" s="12" t="s">
        <v>43</v>
      </c>
      <c r="I5343" s="12">
        <v>0</v>
      </c>
      <c r="J5343" s="12" t="s">
        <v>51</v>
      </c>
      <c r="K5343" s="12" t="s">
        <v>23</v>
      </c>
      <c r="L5343" s="12">
        <v>4</v>
      </c>
      <c r="M5343" s="15">
        <v>66035</v>
      </c>
      <c r="N5343" s="15">
        <v>0</v>
      </c>
      <c r="O5343" s="15">
        <f t="shared" si="461"/>
        <v>66035</v>
      </c>
      <c r="P5343" s="15">
        <f t="shared" si="457"/>
        <v>10.99996668443497</v>
      </c>
      <c r="Q5343" s="14">
        <v>5000</v>
      </c>
      <c r="R5343" s="12">
        <v>100</v>
      </c>
      <c r="S5343" s="12" t="s">
        <v>6459</v>
      </c>
      <c r="T5343" s="22">
        <f t="shared" si="458"/>
        <v>9</v>
      </c>
      <c r="U5343" s="22">
        <f t="shared" si="459"/>
        <v>2022</v>
      </c>
      <c r="V5343" s="22" t="str">
        <f t="shared" si="460"/>
        <v>METROPOLITANA</v>
      </c>
    </row>
    <row r="5344" spans="1:22" x14ac:dyDescent="0.2">
      <c r="A5344" s="11" t="s">
        <v>6452</v>
      </c>
      <c r="B5344" s="12" t="s">
        <v>33</v>
      </c>
      <c r="C5344" s="12" t="s">
        <v>223</v>
      </c>
      <c r="D5344" s="12" t="s">
        <v>38</v>
      </c>
      <c r="E5344" s="13" t="s">
        <v>42</v>
      </c>
      <c r="F5344" s="12" t="s">
        <v>51</v>
      </c>
      <c r="G5344" s="14">
        <v>1374</v>
      </c>
      <c r="H5344" s="12" t="s">
        <v>43</v>
      </c>
      <c r="I5344" s="12">
        <v>0</v>
      </c>
      <c r="J5344" s="12" t="s">
        <v>51</v>
      </c>
      <c r="K5344" s="12" t="s">
        <v>23</v>
      </c>
      <c r="L5344" s="12">
        <v>4</v>
      </c>
      <c r="M5344" s="15">
        <v>55000</v>
      </c>
      <c r="N5344" s="15">
        <v>0</v>
      </c>
      <c r="O5344" s="15">
        <f t="shared" si="461"/>
        <v>55000</v>
      </c>
      <c r="P5344" s="15">
        <f t="shared" si="457"/>
        <v>40.02911208151383</v>
      </c>
      <c r="Q5344" s="14">
        <v>5000</v>
      </c>
      <c r="R5344" s="12">
        <v>27</v>
      </c>
      <c r="S5344" s="12" t="s">
        <v>6460</v>
      </c>
      <c r="T5344" s="22">
        <f t="shared" si="458"/>
        <v>9</v>
      </c>
      <c r="U5344" s="22">
        <f t="shared" si="459"/>
        <v>2022</v>
      </c>
      <c r="V5344" s="22" t="str">
        <f t="shared" si="460"/>
        <v>METROPOLITANA</v>
      </c>
    </row>
    <row r="5345" spans="1:22" x14ac:dyDescent="0.2">
      <c r="A5345" s="11" t="s">
        <v>6452</v>
      </c>
      <c r="B5345" s="12" t="s">
        <v>33</v>
      </c>
      <c r="C5345" s="12" t="s">
        <v>223</v>
      </c>
      <c r="D5345" s="12" t="s">
        <v>41</v>
      </c>
      <c r="E5345" s="13" t="s">
        <v>25</v>
      </c>
      <c r="F5345" s="12" t="s">
        <v>51</v>
      </c>
      <c r="G5345" s="14">
        <v>7377.2</v>
      </c>
      <c r="H5345" s="12" t="s">
        <v>43</v>
      </c>
      <c r="I5345" s="12">
        <v>0</v>
      </c>
      <c r="J5345" s="12" t="s">
        <v>51</v>
      </c>
      <c r="K5345" s="12" t="s">
        <v>23</v>
      </c>
      <c r="L5345" s="12">
        <v>4</v>
      </c>
      <c r="M5345" s="15">
        <v>81149</v>
      </c>
      <c r="N5345" s="15">
        <v>0</v>
      </c>
      <c r="O5345" s="15">
        <f t="shared" si="461"/>
        <v>81149</v>
      </c>
      <c r="P5345" s="15">
        <f t="shared" ref="P5345:P5408" si="462">O5345/G5345</f>
        <v>10.99997288944315</v>
      </c>
      <c r="Q5345" s="14">
        <v>5000</v>
      </c>
      <c r="R5345" s="12">
        <v>100</v>
      </c>
      <c r="S5345" s="12" t="s">
        <v>6461</v>
      </c>
      <c r="T5345" s="22">
        <f t="shared" si="458"/>
        <v>9</v>
      </c>
      <c r="U5345" s="22">
        <f t="shared" si="459"/>
        <v>2022</v>
      </c>
      <c r="V5345" s="22" t="str">
        <f t="shared" si="460"/>
        <v>METROPOLITANA</v>
      </c>
    </row>
    <row r="5346" spans="1:22" x14ac:dyDescent="0.2">
      <c r="A5346" s="11" t="s">
        <v>6452</v>
      </c>
      <c r="B5346" s="12" t="s">
        <v>33</v>
      </c>
      <c r="C5346" s="12" t="s">
        <v>29</v>
      </c>
      <c r="D5346" s="12" t="s">
        <v>37</v>
      </c>
      <c r="E5346" s="13" t="s">
        <v>40</v>
      </c>
      <c r="F5346" s="12" t="s">
        <v>39</v>
      </c>
      <c r="G5346" s="14">
        <v>11351.920000000009</v>
      </c>
      <c r="H5346" s="12" t="s">
        <v>22</v>
      </c>
      <c r="I5346" s="12">
        <v>0</v>
      </c>
      <c r="J5346" s="12" t="s">
        <v>39</v>
      </c>
      <c r="K5346" s="12" t="s">
        <v>23</v>
      </c>
      <c r="L5346" s="12">
        <v>1</v>
      </c>
      <c r="M5346" s="15">
        <v>124871</v>
      </c>
      <c r="N5346" s="15">
        <v>0</v>
      </c>
      <c r="O5346" s="15">
        <f t="shared" si="461"/>
        <v>124871</v>
      </c>
      <c r="P5346" s="15">
        <f t="shared" si="462"/>
        <v>10.999989429100971</v>
      </c>
      <c r="Q5346" s="14">
        <v>5000</v>
      </c>
      <c r="R5346" s="12">
        <v>100</v>
      </c>
      <c r="S5346" s="12" t="s">
        <v>6462</v>
      </c>
      <c r="T5346" s="22">
        <f t="shared" si="458"/>
        <v>9</v>
      </c>
      <c r="U5346" s="22">
        <f t="shared" si="459"/>
        <v>2022</v>
      </c>
      <c r="V5346" s="22" t="str">
        <f t="shared" si="460"/>
        <v>METROPOLITANA</v>
      </c>
    </row>
    <row r="5347" spans="1:22" x14ac:dyDescent="0.2">
      <c r="A5347" s="11" t="s">
        <v>6452</v>
      </c>
      <c r="B5347" s="12" t="s">
        <v>33</v>
      </c>
      <c r="C5347" s="12" t="s">
        <v>29</v>
      </c>
      <c r="D5347" s="12" t="s">
        <v>20</v>
      </c>
      <c r="E5347" s="13" t="s">
        <v>21</v>
      </c>
      <c r="F5347" s="12" t="s">
        <v>39</v>
      </c>
      <c r="G5347" s="14">
        <v>10433.64</v>
      </c>
      <c r="H5347" s="12" t="s">
        <v>22</v>
      </c>
      <c r="I5347" s="12">
        <v>0</v>
      </c>
      <c r="J5347" s="12" t="s">
        <v>39</v>
      </c>
      <c r="K5347" s="12" t="s">
        <v>23</v>
      </c>
      <c r="L5347" s="12">
        <v>1</v>
      </c>
      <c r="M5347" s="15">
        <v>114770</v>
      </c>
      <c r="N5347" s="15">
        <v>0</v>
      </c>
      <c r="O5347" s="15">
        <f t="shared" si="461"/>
        <v>114770</v>
      </c>
      <c r="P5347" s="15">
        <f t="shared" si="462"/>
        <v>10.999996166246872</v>
      </c>
      <c r="Q5347" s="14">
        <v>5000</v>
      </c>
      <c r="R5347" s="12">
        <v>100</v>
      </c>
      <c r="S5347" s="12" t="s">
        <v>6463</v>
      </c>
      <c r="T5347" s="22">
        <f t="shared" si="458"/>
        <v>9</v>
      </c>
      <c r="U5347" s="22">
        <f t="shared" si="459"/>
        <v>2022</v>
      </c>
      <c r="V5347" s="22" t="str">
        <f t="shared" si="460"/>
        <v>METROPOLITANA</v>
      </c>
    </row>
    <row r="5348" spans="1:22" x14ac:dyDescent="0.2">
      <c r="A5348" s="11" t="s">
        <v>6452</v>
      </c>
      <c r="B5348" s="12" t="s">
        <v>33</v>
      </c>
      <c r="C5348" s="12" t="s">
        <v>44</v>
      </c>
      <c r="D5348" s="12" t="s">
        <v>45</v>
      </c>
      <c r="E5348" s="13" t="s">
        <v>52</v>
      </c>
      <c r="F5348" s="12" t="s">
        <v>95</v>
      </c>
      <c r="G5348" s="14">
        <v>4586.9999999999991</v>
      </c>
      <c r="H5348" s="12" t="s">
        <v>22</v>
      </c>
      <c r="I5348" s="12">
        <v>0</v>
      </c>
      <c r="J5348" s="12" t="s">
        <v>95</v>
      </c>
      <c r="K5348" s="12" t="s">
        <v>23</v>
      </c>
      <c r="L5348" s="12">
        <v>4</v>
      </c>
      <c r="M5348" s="15">
        <v>55000</v>
      </c>
      <c r="N5348" s="15">
        <v>0</v>
      </c>
      <c r="O5348" s="15">
        <f t="shared" si="461"/>
        <v>55000</v>
      </c>
      <c r="P5348" s="15">
        <f t="shared" si="462"/>
        <v>11.990407673860913</v>
      </c>
      <c r="Q5348" s="14">
        <v>5000</v>
      </c>
      <c r="R5348" s="12">
        <v>92</v>
      </c>
      <c r="S5348" s="12" t="s">
        <v>6464</v>
      </c>
      <c r="T5348" s="22">
        <f t="shared" si="458"/>
        <v>9</v>
      </c>
      <c r="U5348" s="22">
        <f t="shared" si="459"/>
        <v>2022</v>
      </c>
      <c r="V5348" s="22" t="str">
        <f t="shared" si="460"/>
        <v>METROPOLITANA</v>
      </c>
    </row>
    <row r="5349" spans="1:22" x14ac:dyDescent="0.2">
      <c r="A5349" s="11" t="s">
        <v>6452</v>
      </c>
      <c r="B5349" s="12" t="s">
        <v>33</v>
      </c>
      <c r="C5349" s="12" t="s">
        <v>44</v>
      </c>
      <c r="D5349" s="12" t="s">
        <v>47</v>
      </c>
      <c r="E5349" s="13" t="s">
        <v>49</v>
      </c>
      <c r="F5349" s="12" t="s">
        <v>48</v>
      </c>
      <c r="G5349" s="14">
        <v>9427.9100000000017</v>
      </c>
      <c r="H5349" s="12" t="s">
        <v>22</v>
      </c>
      <c r="I5349" s="12">
        <v>0</v>
      </c>
      <c r="J5349" s="12" t="s">
        <v>48</v>
      </c>
      <c r="K5349" s="12" t="s">
        <v>23</v>
      </c>
      <c r="L5349" s="12">
        <v>1</v>
      </c>
      <c r="M5349" s="15">
        <v>103707</v>
      </c>
      <c r="N5349" s="15">
        <v>0</v>
      </c>
      <c r="O5349" s="15">
        <f t="shared" si="461"/>
        <v>103707</v>
      </c>
      <c r="P5349" s="15">
        <f t="shared" si="462"/>
        <v>10.999998939319529</v>
      </c>
      <c r="Q5349" s="14">
        <v>5000</v>
      </c>
      <c r="R5349" s="12">
        <v>100</v>
      </c>
      <c r="S5349" s="12" t="s">
        <v>6465</v>
      </c>
      <c r="T5349" s="22">
        <f t="shared" si="458"/>
        <v>9</v>
      </c>
      <c r="U5349" s="22">
        <f t="shared" si="459"/>
        <v>2022</v>
      </c>
      <c r="V5349" s="22" t="str">
        <f t="shared" si="460"/>
        <v>METROPOLITANA</v>
      </c>
    </row>
    <row r="5350" spans="1:22" x14ac:dyDescent="0.2">
      <c r="A5350" s="23" t="s">
        <v>6466</v>
      </c>
      <c r="B5350" s="22" t="s">
        <v>18</v>
      </c>
      <c r="C5350" s="22" t="s">
        <v>29</v>
      </c>
      <c r="D5350" s="22" t="s">
        <v>27</v>
      </c>
      <c r="E5350" s="24" t="s">
        <v>28</v>
      </c>
      <c r="F5350" s="22" t="s">
        <v>39</v>
      </c>
      <c r="G5350" s="25">
        <v>15067.8</v>
      </c>
      <c r="H5350" s="22" t="s">
        <v>22</v>
      </c>
      <c r="I5350" s="22">
        <v>1</v>
      </c>
      <c r="J5350" s="22" t="s">
        <v>39</v>
      </c>
      <c r="K5350" s="22" t="s">
        <v>23</v>
      </c>
      <c r="L5350" s="22">
        <v>1</v>
      </c>
      <c r="M5350" s="26">
        <v>165746</v>
      </c>
      <c r="N5350" s="26">
        <v>0</v>
      </c>
      <c r="O5350" s="15">
        <f t="shared" si="461"/>
        <v>165746</v>
      </c>
      <c r="P5350" s="15">
        <f t="shared" si="462"/>
        <v>11.000013273337848</v>
      </c>
      <c r="Q5350" s="25">
        <v>5000</v>
      </c>
      <c r="R5350" s="22">
        <v>100</v>
      </c>
      <c r="S5350" s="22" t="s">
        <v>6467</v>
      </c>
      <c r="T5350" s="22">
        <f t="shared" si="458"/>
        <v>9</v>
      </c>
      <c r="U5350" s="22">
        <f t="shared" si="459"/>
        <v>2022</v>
      </c>
      <c r="V5350" s="22" t="str">
        <f t="shared" si="460"/>
        <v>METROPOLITANA</v>
      </c>
    </row>
    <row r="5351" spans="1:22" x14ac:dyDescent="0.2">
      <c r="A5351" s="23" t="s">
        <v>6466</v>
      </c>
      <c r="B5351" s="22" t="s">
        <v>33</v>
      </c>
      <c r="C5351" s="22" t="s">
        <v>128</v>
      </c>
      <c r="D5351" s="22" t="s">
        <v>37</v>
      </c>
      <c r="E5351" s="24" t="s">
        <v>40</v>
      </c>
      <c r="F5351" s="22" t="s">
        <v>34</v>
      </c>
      <c r="G5351" s="25">
        <v>4411.2000000000016</v>
      </c>
      <c r="H5351" s="22" t="s">
        <v>22</v>
      </c>
      <c r="I5351" s="22">
        <v>0</v>
      </c>
      <c r="J5351" s="22" t="s">
        <v>34</v>
      </c>
      <c r="K5351" s="22" t="s">
        <v>23</v>
      </c>
      <c r="L5351" s="22">
        <v>1</v>
      </c>
      <c r="M5351" s="26">
        <v>55000</v>
      </c>
      <c r="N5351" s="26">
        <v>0</v>
      </c>
      <c r="O5351" s="15">
        <f t="shared" si="461"/>
        <v>55000</v>
      </c>
      <c r="P5351" s="15">
        <f t="shared" si="462"/>
        <v>12.46826260428001</v>
      </c>
      <c r="Q5351" s="25">
        <v>5000</v>
      </c>
      <c r="R5351" s="22">
        <v>88</v>
      </c>
      <c r="S5351" s="22" t="s">
        <v>6468</v>
      </c>
      <c r="T5351" s="22">
        <f t="shared" si="458"/>
        <v>9</v>
      </c>
      <c r="U5351" s="22">
        <f t="shared" si="459"/>
        <v>2022</v>
      </c>
      <c r="V5351" s="22" t="str">
        <f t="shared" si="460"/>
        <v>METROPOLITANA</v>
      </c>
    </row>
    <row r="5352" spans="1:22" x14ac:dyDescent="0.2">
      <c r="A5352" s="23" t="s">
        <v>6466</v>
      </c>
      <c r="B5352" s="22" t="s">
        <v>33</v>
      </c>
      <c r="C5352" s="22" t="s">
        <v>417</v>
      </c>
      <c r="D5352" s="22" t="s">
        <v>786</v>
      </c>
      <c r="E5352" s="24" t="s">
        <v>787</v>
      </c>
      <c r="F5352" s="22" t="s">
        <v>418</v>
      </c>
      <c r="G5352" s="25">
        <v>15098.8</v>
      </c>
      <c r="H5352" s="22" t="s">
        <v>788</v>
      </c>
      <c r="I5352" s="22">
        <v>1</v>
      </c>
      <c r="J5352" s="22" t="s">
        <v>418</v>
      </c>
      <c r="K5352" s="22" t="s">
        <v>171</v>
      </c>
      <c r="L5352" s="22">
        <v>0</v>
      </c>
      <c r="M5352" s="26">
        <v>280000</v>
      </c>
      <c r="N5352" s="26">
        <v>0</v>
      </c>
      <c r="O5352" s="15">
        <f t="shared" si="461"/>
        <v>280000</v>
      </c>
      <c r="P5352" s="15">
        <f t="shared" si="462"/>
        <v>18.54452009431213</v>
      </c>
      <c r="Q5352" s="25">
        <v>20000</v>
      </c>
      <c r="R5352" s="22">
        <v>75</v>
      </c>
      <c r="S5352" s="22" t="s">
        <v>6469</v>
      </c>
      <c r="T5352" s="22">
        <f t="shared" si="458"/>
        <v>9</v>
      </c>
      <c r="U5352" s="22">
        <f t="shared" si="459"/>
        <v>2022</v>
      </c>
      <c r="V5352" s="22" t="str">
        <f t="shared" si="460"/>
        <v>REGIONES</v>
      </c>
    </row>
    <row r="5353" spans="1:22" x14ac:dyDescent="0.2">
      <c r="A5353" s="23" t="s">
        <v>6466</v>
      </c>
      <c r="B5353" s="22" t="s">
        <v>33</v>
      </c>
      <c r="C5353" s="22" t="s">
        <v>223</v>
      </c>
      <c r="D5353" s="22" t="s">
        <v>37</v>
      </c>
      <c r="E5353" s="24" t="s">
        <v>40</v>
      </c>
      <c r="F5353" s="22" t="s">
        <v>51</v>
      </c>
      <c r="G5353" s="25">
        <v>2198.4</v>
      </c>
      <c r="H5353" s="22" t="s">
        <v>22</v>
      </c>
      <c r="I5353" s="22">
        <v>0</v>
      </c>
      <c r="J5353" s="22" t="s">
        <v>51</v>
      </c>
      <c r="K5353" s="22" t="s">
        <v>23</v>
      </c>
      <c r="L5353" s="22">
        <v>4</v>
      </c>
      <c r="M5353" s="26">
        <v>55000</v>
      </c>
      <c r="N5353" s="26">
        <v>0</v>
      </c>
      <c r="O5353" s="15">
        <f t="shared" si="461"/>
        <v>55000</v>
      </c>
      <c r="P5353" s="15">
        <f t="shared" si="462"/>
        <v>25.01819505094614</v>
      </c>
      <c r="Q5353" s="25">
        <v>5000</v>
      </c>
      <c r="R5353" s="22">
        <v>44</v>
      </c>
      <c r="S5353" s="22" t="s">
        <v>6470</v>
      </c>
      <c r="T5353" s="22">
        <f t="shared" si="458"/>
        <v>9</v>
      </c>
      <c r="U5353" s="22">
        <f t="shared" si="459"/>
        <v>2022</v>
      </c>
      <c r="V5353" s="22" t="str">
        <f t="shared" si="460"/>
        <v>METROPOLITANA</v>
      </c>
    </row>
    <row r="5354" spans="1:22" x14ac:dyDescent="0.2">
      <c r="A5354" s="23" t="s">
        <v>6466</v>
      </c>
      <c r="B5354" s="22" t="s">
        <v>33</v>
      </c>
      <c r="C5354" s="22" t="s">
        <v>29</v>
      </c>
      <c r="D5354" s="22" t="s">
        <v>3641</v>
      </c>
      <c r="E5354" s="24" t="s">
        <v>6471</v>
      </c>
      <c r="F5354" s="22" t="s">
        <v>39</v>
      </c>
      <c r="G5354" s="25">
        <v>16209.02</v>
      </c>
      <c r="H5354" s="22" t="s">
        <v>24</v>
      </c>
      <c r="I5354" s="22">
        <v>1</v>
      </c>
      <c r="J5354" s="22" t="s">
        <v>39</v>
      </c>
      <c r="K5354" s="22" t="s">
        <v>23</v>
      </c>
      <c r="L5354" s="22">
        <v>1</v>
      </c>
      <c r="M5354" s="26">
        <v>178299</v>
      </c>
      <c r="N5354" s="26">
        <v>0</v>
      </c>
      <c r="O5354" s="15">
        <f t="shared" si="461"/>
        <v>178299</v>
      </c>
      <c r="P5354" s="15">
        <f t="shared" si="462"/>
        <v>10.999986427310226</v>
      </c>
      <c r="Q5354" s="25">
        <v>5000</v>
      </c>
      <c r="R5354" s="22">
        <v>100</v>
      </c>
      <c r="S5354" s="22" t="s">
        <v>6472</v>
      </c>
      <c r="T5354" s="22">
        <f t="shared" si="458"/>
        <v>9</v>
      </c>
      <c r="U5354" s="22">
        <f t="shared" si="459"/>
        <v>2022</v>
      </c>
      <c r="V5354" s="22" t="str">
        <f t="shared" si="460"/>
        <v>METROPOLITANA</v>
      </c>
    </row>
    <row r="5355" spans="1:22" x14ac:dyDescent="0.2">
      <c r="A5355" s="23" t="s">
        <v>6466</v>
      </c>
      <c r="B5355" s="22" t="s">
        <v>33</v>
      </c>
      <c r="C5355" s="22" t="s">
        <v>29</v>
      </c>
      <c r="D5355" s="22" t="s">
        <v>164</v>
      </c>
      <c r="E5355" s="24" t="s">
        <v>1576</v>
      </c>
      <c r="F5355" s="22" t="s">
        <v>39</v>
      </c>
      <c r="G5355" s="25">
        <v>15846.87</v>
      </c>
      <c r="H5355" s="22" t="s">
        <v>22</v>
      </c>
      <c r="I5355" s="22">
        <v>1</v>
      </c>
      <c r="J5355" s="22" t="s">
        <v>39</v>
      </c>
      <c r="K5355" s="22" t="s">
        <v>23</v>
      </c>
      <c r="L5355" s="22">
        <v>1</v>
      </c>
      <c r="M5355" s="26">
        <v>174316</v>
      </c>
      <c r="N5355" s="26">
        <v>0</v>
      </c>
      <c r="O5355" s="15">
        <f t="shared" si="461"/>
        <v>174316</v>
      </c>
      <c r="P5355" s="15">
        <f t="shared" si="462"/>
        <v>11.000027134695999</v>
      </c>
      <c r="Q5355" s="25">
        <v>5000</v>
      </c>
      <c r="R5355" s="22">
        <v>100</v>
      </c>
      <c r="S5355" s="22" t="s">
        <v>6473</v>
      </c>
      <c r="T5355" s="22">
        <f t="shared" si="458"/>
        <v>9</v>
      </c>
      <c r="U5355" s="22">
        <f t="shared" si="459"/>
        <v>2022</v>
      </c>
      <c r="V5355" s="22" t="str">
        <f t="shared" si="460"/>
        <v>METROPOLITANA</v>
      </c>
    </row>
    <row r="5356" spans="1:22" x14ac:dyDescent="0.2">
      <c r="A5356" s="23" t="s">
        <v>6466</v>
      </c>
      <c r="B5356" s="22" t="s">
        <v>33</v>
      </c>
      <c r="C5356" s="22" t="s">
        <v>44</v>
      </c>
      <c r="D5356" s="22" t="s">
        <v>45</v>
      </c>
      <c r="E5356" s="24" t="s">
        <v>52</v>
      </c>
      <c r="F5356" s="22" t="s">
        <v>26</v>
      </c>
      <c r="G5356" s="25">
        <v>4049.2</v>
      </c>
      <c r="H5356" s="22" t="s">
        <v>22</v>
      </c>
      <c r="I5356" s="22">
        <v>0</v>
      </c>
      <c r="J5356" s="22" t="s">
        <v>26</v>
      </c>
      <c r="K5356" s="22" t="s">
        <v>23</v>
      </c>
      <c r="L5356" s="22">
        <v>4</v>
      </c>
      <c r="M5356" s="26">
        <v>55000</v>
      </c>
      <c r="N5356" s="26">
        <v>0</v>
      </c>
      <c r="O5356" s="15">
        <f t="shared" si="461"/>
        <v>55000</v>
      </c>
      <c r="P5356" s="15">
        <f t="shared" si="462"/>
        <v>13.582929961473871</v>
      </c>
      <c r="Q5356" s="25">
        <v>5000</v>
      </c>
      <c r="R5356" s="22">
        <v>81</v>
      </c>
      <c r="S5356" s="22" t="s">
        <v>6474</v>
      </c>
      <c r="T5356" s="22">
        <f t="shared" si="458"/>
        <v>9</v>
      </c>
      <c r="U5356" s="22">
        <f t="shared" si="459"/>
        <v>2022</v>
      </c>
      <c r="V5356" s="22" t="str">
        <f t="shared" si="460"/>
        <v>METROPOLITANA</v>
      </c>
    </row>
    <row r="5357" spans="1:22" x14ac:dyDescent="0.2">
      <c r="A5357" s="23" t="s">
        <v>6466</v>
      </c>
      <c r="B5357" s="22" t="s">
        <v>33</v>
      </c>
      <c r="C5357" s="22" t="s">
        <v>44</v>
      </c>
      <c r="D5357" s="22" t="s">
        <v>47</v>
      </c>
      <c r="E5357" s="24" t="s">
        <v>49</v>
      </c>
      <c r="F5357" s="22" t="s">
        <v>51</v>
      </c>
      <c r="G5357" s="25">
        <v>4468.03</v>
      </c>
      <c r="H5357" s="22" t="s">
        <v>22</v>
      </c>
      <c r="I5357" s="22">
        <v>0</v>
      </c>
      <c r="J5357" s="22" t="s">
        <v>51</v>
      </c>
      <c r="K5357" s="22" t="s">
        <v>23</v>
      </c>
      <c r="L5357" s="22">
        <v>4</v>
      </c>
      <c r="M5357" s="26">
        <v>55000</v>
      </c>
      <c r="N5357" s="26">
        <v>0</v>
      </c>
      <c r="O5357" s="15">
        <f t="shared" si="461"/>
        <v>55000</v>
      </c>
      <c r="P5357" s="15">
        <f t="shared" si="462"/>
        <v>12.309675628856565</v>
      </c>
      <c r="Q5357" s="25">
        <v>5000</v>
      </c>
      <c r="R5357" s="22">
        <v>89</v>
      </c>
      <c r="S5357" s="22" t="s">
        <v>6475</v>
      </c>
      <c r="T5357" s="22">
        <f t="shared" si="458"/>
        <v>9</v>
      </c>
      <c r="U5357" s="22">
        <f t="shared" si="459"/>
        <v>2022</v>
      </c>
      <c r="V5357" s="22" t="str">
        <f t="shared" si="460"/>
        <v>METROPOLITANA</v>
      </c>
    </row>
    <row r="5358" spans="1:22" x14ac:dyDescent="0.2">
      <c r="A5358" s="11" t="s">
        <v>6476</v>
      </c>
      <c r="B5358" s="12" t="s">
        <v>18</v>
      </c>
      <c r="C5358" s="12" t="s">
        <v>270</v>
      </c>
      <c r="D5358" s="12" t="s">
        <v>20</v>
      </c>
      <c r="E5358" s="13">
        <v>81417709</v>
      </c>
      <c r="F5358" s="12" t="s">
        <v>120</v>
      </c>
      <c r="G5358" s="14">
        <v>5962.84</v>
      </c>
      <c r="H5358" s="12" t="s">
        <v>22</v>
      </c>
      <c r="I5358" s="12">
        <v>0</v>
      </c>
      <c r="J5358" s="12" t="s">
        <v>120</v>
      </c>
      <c r="K5358" s="12" t="s">
        <v>23</v>
      </c>
      <c r="L5358" s="12">
        <v>5</v>
      </c>
      <c r="M5358" s="15">
        <v>70000</v>
      </c>
      <c r="N5358" s="15">
        <v>0</v>
      </c>
      <c r="O5358" s="15">
        <f t="shared" si="461"/>
        <v>70000</v>
      </c>
      <c r="P5358" s="15">
        <f t="shared" si="462"/>
        <v>11.739372513768606</v>
      </c>
      <c r="Q5358" s="14">
        <v>10000</v>
      </c>
      <c r="R5358" s="12">
        <v>60</v>
      </c>
      <c r="S5358" s="12" t="s">
        <v>6477</v>
      </c>
      <c r="T5358" s="22">
        <f t="shared" si="458"/>
        <v>9</v>
      </c>
      <c r="U5358" s="22">
        <f t="shared" si="459"/>
        <v>2022</v>
      </c>
      <c r="V5358" s="22" t="str">
        <f t="shared" si="460"/>
        <v>METROPOLITANA</v>
      </c>
    </row>
    <row r="5359" spans="1:22" x14ac:dyDescent="0.2">
      <c r="A5359" s="11" t="s">
        <v>6476</v>
      </c>
      <c r="B5359" s="12" t="s">
        <v>33</v>
      </c>
      <c r="C5359" s="12" t="s">
        <v>60</v>
      </c>
      <c r="D5359" s="12" t="s">
        <v>164</v>
      </c>
      <c r="E5359" s="13">
        <v>154837728</v>
      </c>
      <c r="F5359" s="12" t="s">
        <v>89</v>
      </c>
      <c r="G5359" s="14">
        <v>8143.2</v>
      </c>
      <c r="H5359" s="12" t="s">
        <v>22</v>
      </c>
      <c r="I5359" s="12">
        <v>1</v>
      </c>
      <c r="J5359" s="12" t="s">
        <v>89</v>
      </c>
      <c r="K5359" s="12" t="s">
        <v>23</v>
      </c>
      <c r="L5359" s="12">
        <v>5</v>
      </c>
      <c r="M5359" s="15">
        <v>120000</v>
      </c>
      <c r="N5359" s="15">
        <v>0</v>
      </c>
      <c r="O5359" s="15">
        <f t="shared" si="461"/>
        <v>120000</v>
      </c>
      <c r="P5359" s="15">
        <f t="shared" si="462"/>
        <v>14.736221632773358</v>
      </c>
      <c r="Q5359" s="14">
        <v>10000</v>
      </c>
      <c r="R5359" s="12">
        <v>81</v>
      </c>
      <c r="S5359" s="12" t="s">
        <v>6478</v>
      </c>
      <c r="T5359" s="22">
        <f t="shared" si="458"/>
        <v>9</v>
      </c>
      <c r="U5359" s="22">
        <f t="shared" si="459"/>
        <v>2022</v>
      </c>
      <c r="V5359" s="22" t="str">
        <f t="shared" si="460"/>
        <v>METROPOLITANA</v>
      </c>
    </row>
    <row r="5360" spans="1:22" x14ac:dyDescent="0.2">
      <c r="A5360" s="11" t="s">
        <v>6476</v>
      </c>
      <c r="B5360" s="12" t="s">
        <v>33</v>
      </c>
      <c r="C5360" s="12" t="s">
        <v>128</v>
      </c>
      <c r="D5360" s="12" t="s">
        <v>786</v>
      </c>
      <c r="E5360" s="13">
        <v>95707734</v>
      </c>
      <c r="F5360" s="12" t="s">
        <v>34</v>
      </c>
      <c r="G5360" s="14">
        <v>13268.74</v>
      </c>
      <c r="H5360" s="12" t="s">
        <v>788</v>
      </c>
      <c r="I5360" s="12">
        <v>1</v>
      </c>
      <c r="J5360" s="12" t="s">
        <v>34</v>
      </c>
      <c r="K5360" s="12" t="s">
        <v>23</v>
      </c>
      <c r="L5360" s="12">
        <v>1</v>
      </c>
      <c r="M5360" s="15">
        <v>145956</v>
      </c>
      <c r="N5360" s="15">
        <v>0</v>
      </c>
      <c r="O5360" s="15">
        <f t="shared" si="461"/>
        <v>145956</v>
      </c>
      <c r="P5360" s="15">
        <f t="shared" si="462"/>
        <v>10.999989448885124</v>
      </c>
      <c r="Q5360" s="14">
        <v>5000</v>
      </c>
      <c r="R5360" s="12">
        <v>100</v>
      </c>
      <c r="S5360" s="12" t="s">
        <v>6479</v>
      </c>
      <c r="T5360" s="22">
        <f t="shared" si="458"/>
        <v>9</v>
      </c>
      <c r="U5360" s="22">
        <f t="shared" si="459"/>
        <v>2022</v>
      </c>
      <c r="V5360" s="22" t="str">
        <f t="shared" si="460"/>
        <v>METROPOLITANA</v>
      </c>
    </row>
    <row r="5361" spans="1:22" x14ac:dyDescent="0.2">
      <c r="A5361" s="11" t="s">
        <v>6476</v>
      </c>
      <c r="B5361" s="12" t="s">
        <v>33</v>
      </c>
      <c r="C5361" s="12" t="s">
        <v>128</v>
      </c>
      <c r="D5361" s="12" t="s">
        <v>30</v>
      </c>
      <c r="E5361" s="13">
        <v>72564391</v>
      </c>
      <c r="F5361" s="12" t="s">
        <v>170</v>
      </c>
      <c r="G5361" s="14">
        <v>6076.4000000000024</v>
      </c>
      <c r="H5361" s="12" t="s">
        <v>32</v>
      </c>
      <c r="I5361" s="12">
        <v>0</v>
      </c>
      <c r="J5361" s="12" t="s">
        <v>170</v>
      </c>
      <c r="K5361" s="12" t="s">
        <v>171</v>
      </c>
      <c r="L5361" s="12">
        <v>0</v>
      </c>
      <c r="M5361" s="15">
        <v>180000</v>
      </c>
      <c r="N5361" s="15">
        <v>0</v>
      </c>
      <c r="O5361" s="15">
        <f t="shared" si="461"/>
        <v>180000</v>
      </c>
      <c r="P5361" s="15">
        <f t="shared" si="462"/>
        <v>29.622802975445975</v>
      </c>
      <c r="Q5361" s="14">
        <v>20000</v>
      </c>
      <c r="R5361" s="12">
        <v>30</v>
      </c>
      <c r="S5361" s="12" t="s">
        <v>6480</v>
      </c>
      <c r="T5361" s="22">
        <f t="shared" si="458"/>
        <v>9</v>
      </c>
      <c r="U5361" s="22">
        <f t="shared" si="459"/>
        <v>2022</v>
      </c>
      <c r="V5361" s="22" t="str">
        <f t="shared" si="460"/>
        <v>REGIONES</v>
      </c>
    </row>
    <row r="5362" spans="1:22" x14ac:dyDescent="0.2">
      <c r="A5362" s="11" t="s">
        <v>6476</v>
      </c>
      <c r="B5362" s="12" t="s">
        <v>33</v>
      </c>
      <c r="C5362" s="12" t="s">
        <v>128</v>
      </c>
      <c r="D5362" s="12" t="s">
        <v>47</v>
      </c>
      <c r="E5362" s="13">
        <v>107643206</v>
      </c>
      <c r="F5362" s="12" t="s">
        <v>170</v>
      </c>
      <c r="G5362" s="14">
        <v>7503.9999999999973</v>
      </c>
      <c r="H5362" s="12" t="s">
        <v>22</v>
      </c>
      <c r="I5362" s="12">
        <v>0</v>
      </c>
      <c r="J5362" s="12" t="s">
        <v>170</v>
      </c>
      <c r="K5362" s="12" t="s">
        <v>171</v>
      </c>
      <c r="L5362" s="12">
        <v>0</v>
      </c>
      <c r="M5362" s="15">
        <v>180000</v>
      </c>
      <c r="N5362" s="15">
        <v>0</v>
      </c>
      <c r="O5362" s="15">
        <f t="shared" si="461"/>
        <v>180000</v>
      </c>
      <c r="P5362" s="15">
        <f t="shared" si="462"/>
        <v>23.987206823027726</v>
      </c>
      <c r="Q5362" s="14">
        <v>20000</v>
      </c>
      <c r="R5362" s="12">
        <v>38</v>
      </c>
      <c r="S5362" s="12" t="s">
        <v>6481</v>
      </c>
      <c r="T5362" s="22">
        <f t="shared" si="458"/>
        <v>9</v>
      </c>
      <c r="U5362" s="22">
        <f t="shared" si="459"/>
        <v>2022</v>
      </c>
      <c r="V5362" s="22" t="str">
        <f t="shared" si="460"/>
        <v>REGIONES</v>
      </c>
    </row>
    <row r="5363" spans="1:22" x14ac:dyDescent="0.2">
      <c r="A5363" s="11" t="s">
        <v>6476</v>
      </c>
      <c r="B5363" s="12" t="s">
        <v>33</v>
      </c>
      <c r="C5363" s="12" t="s">
        <v>128</v>
      </c>
      <c r="D5363" s="12" t="s">
        <v>41</v>
      </c>
      <c r="E5363" s="13">
        <v>125108660</v>
      </c>
      <c r="F5363" s="12" t="s">
        <v>34</v>
      </c>
      <c r="G5363" s="14">
        <f>6087.3+2918</f>
        <v>9005.2999999999993</v>
      </c>
      <c r="H5363" s="12" t="s">
        <v>43</v>
      </c>
      <c r="I5363" s="12">
        <v>0</v>
      </c>
      <c r="J5363" s="12" t="s">
        <v>34</v>
      </c>
      <c r="K5363" s="12" t="s">
        <v>23</v>
      </c>
      <c r="L5363" s="12">
        <v>1</v>
      </c>
      <c r="M5363" s="15">
        <v>66960</v>
      </c>
      <c r="N5363" s="15">
        <v>0</v>
      </c>
      <c r="O5363" s="15">
        <f t="shared" si="461"/>
        <v>66960</v>
      </c>
      <c r="P5363" s="15">
        <f t="shared" si="462"/>
        <v>7.4356212452666766</v>
      </c>
      <c r="Q5363" s="14">
        <v>5000</v>
      </c>
      <c r="R5363" s="12">
        <v>100</v>
      </c>
      <c r="S5363" s="12" t="s">
        <v>6482</v>
      </c>
      <c r="T5363" s="22">
        <f t="shared" si="458"/>
        <v>9</v>
      </c>
      <c r="U5363" s="22">
        <f t="shared" si="459"/>
        <v>2022</v>
      </c>
      <c r="V5363" s="22" t="str">
        <f t="shared" si="460"/>
        <v>METROPOLITANA</v>
      </c>
    </row>
    <row r="5364" spans="1:22" x14ac:dyDescent="0.2">
      <c r="A5364" s="23" t="s">
        <v>6483</v>
      </c>
      <c r="B5364" s="22" t="s">
        <v>18</v>
      </c>
      <c r="C5364" s="22" t="s">
        <v>270</v>
      </c>
      <c r="D5364" s="22" t="s">
        <v>2955</v>
      </c>
      <c r="E5364" s="24" t="s">
        <v>2956</v>
      </c>
      <c r="F5364" s="22" t="s">
        <v>120</v>
      </c>
      <c r="G5364" s="25">
        <v>6251.4</v>
      </c>
      <c r="H5364" s="22" t="s">
        <v>24</v>
      </c>
      <c r="I5364" s="22">
        <v>1</v>
      </c>
      <c r="J5364" s="22" t="s">
        <v>120</v>
      </c>
      <c r="K5364" s="22" t="s">
        <v>23</v>
      </c>
      <c r="L5364" s="22">
        <v>5</v>
      </c>
      <c r="M5364" s="26">
        <v>120000</v>
      </c>
      <c r="N5364" s="26">
        <v>0</v>
      </c>
      <c r="O5364" s="15">
        <f t="shared" si="461"/>
        <v>120000</v>
      </c>
      <c r="P5364" s="15">
        <f t="shared" si="462"/>
        <v>19.195700163163451</v>
      </c>
      <c r="Q5364" s="25">
        <v>10000</v>
      </c>
      <c r="R5364" s="22">
        <v>63</v>
      </c>
      <c r="S5364" s="22" t="s">
        <v>6484</v>
      </c>
      <c r="T5364" s="22">
        <f t="shared" si="458"/>
        <v>9</v>
      </c>
      <c r="U5364" s="22">
        <f t="shared" si="459"/>
        <v>2022</v>
      </c>
      <c r="V5364" s="22" t="str">
        <f t="shared" si="460"/>
        <v>METROPOLITANA</v>
      </c>
    </row>
    <row r="5365" spans="1:22" x14ac:dyDescent="0.2">
      <c r="A5365" s="23" t="s">
        <v>6483</v>
      </c>
      <c r="B5365" s="22" t="s">
        <v>33</v>
      </c>
      <c r="C5365" s="22" t="s">
        <v>270</v>
      </c>
      <c r="D5365" s="22" t="s">
        <v>37</v>
      </c>
      <c r="E5365" s="24" t="s">
        <v>6485</v>
      </c>
      <c r="F5365" s="22" t="s">
        <v>120</v>
      </c>
      <c r="G5365" s="25">
        <v>13537.95</v>
      </c>
      <c r="H5365" s="22" t="s">
        <v>22</v>
      </c>
      <c r="I5365" s="22">
        <v>0</v>
      </c>
      <c r="J5365" s="22" t="s">
        <v>120</v>
      </c>
      <c r="K5365" s="22" t="s">
        <v>23</v>
      </c>
      <c r="L5365" s="22">
        <v>5</v>
      </c>
      <c r="M5365" s="26">
        <v>70000</v>
      </c>
      <c r="N5365" s="26">
        <v>0</v>
      </c>
      <c r="O5365" s="15">
        <f t="shared" si="461"/>
        <v>70000</v>
      </c>
      <c r="P5365" s="15">
        <f t="shared" si="462"/>
        <v>5.1706499137609461</v>
      </c>
      <c r="Q5365" s="25">
        <v>10000</v>
      </c>
      <c r="R5365" s="22">
        <v>100</v>
      </c>
      <c r="S5365" s="22" t="s">
        <v>6486</v>
      </c>
      <c r="T5365" s="22">
        <f t="shared" si="458"/>
        <v>9</v>
      </c>
      <c r="U5365" s="22">
        <f t="shared" si="459"/>
        <v>2022</v>
      </c>
      <c r="V5365" s="22" t="str">
        <f t="shared" si="460"/>
        <v>METROPOLITANA</v>
      </c>
    </row>
    <row r="5366" spans="1:22" x14ac:dyDescent="0.2">
      <c r="A5366" s="23" t="s">
        <v>6483</v>
      </c>
      <c r="B5366" s="22" t="s">
        <v>33</v>
      </c>
      <c r="C5366" s="22" t="s">
        <v>270</v>
      </c>
      <c r="D5366" s="22" t="s">
        <v>2955</v>
      </c>
      <c r="E5366" s="24" t="s">
        <v>2956</v>
      </c>
      <c r="F5366" s="22" t="s">
        <v>120</v>
      </c>
      <c r="G5366" s="25">
        <v>14137</v>
      </c>
      <c r="H5366" s="22" t="s">
        <v>24</v>
      </c>
      <c r="I5366" s="22">
        <v>1</v>
      </c>
      <c r="J5366" s="22" t="s">
        <v>120</v>
      </c>
      <c r="K5366" s="22" t="s">
        <v>23</v>
      </c>
      <c r="L5366" s="22">
        <v>5</v>
      </c>
      <c r="M5366" s="26">
        <v>120000</v>
      </c>
      <c r="N5366" s="26">
        <v>0</v>
      </c>
      <c r="O5366" s="15">
        <f t="shared" si="461"/>
        <v>120000</v>
      </c>
      <c r="P5366" s="15">
        <f t="shared" si="462"/>
        <v>8.4883638678644697</v>
      </c>
      <c r="Q5366" s="25">
        <v>10000</v>
      </c>
      <c r="R5366" s="22">
        <v>100</v>
      </c>
      <c r="S5366" s="22" t="s">
        <v>6487</v>
      </c>
      <c r="T5366" s="22">
        <f t="shared" si="458"/>
        <v>9</v>
      </c>
      <c r="U5366" s="22">
        <f t="shared" si="459"/>
        <v>2022</v>
      </c>
      <c r="V5366" s="22" t="str">
        <f t="shared" si="460"/>
        <v>METROPOLITANA</v>
      </c>
    </row>
    <row r="5367" spans="1:22" x14ac:dyDescent="0.2">
      <c r="A5367" s="23" t="s">
        <v>6483</v>
      </c>
      <c r="B5367" s="22" t="s">
        <v>33</v>
      </c>
      <c r="C5367" s="22" t="s">
        <v>44</v>
      </c>
      <c r="D5367" s="22" t="s">
        <v>37</v>
      </c>
      <c r="E5367" s="24" t="s">
        <v>40</v>
      </c>
      <c r="F5367" s="22" t="s">
        <v>48</v>
      </c>
      <c r="G5367" s="25">
        <v>6302.7000000000016</v>
      </c>
      <c r="H5367" s="22" t="s">
        <v>22</v>
      </c>
      <c r="I5367" s="22">
        <v>0</v>
      </c>
      <c r="J5367" s="22" t="s">
        <v>48</v>
      </c>
      <c r="K5367" s="22" t="s">
        <v>23</v>
      </c>
      <c r="L5367" s="22">
        <v>1</v>
      </c>
      <c r="M5367" s="26">
        <v>69330</v>
      </c>
      <c r="N5367" s="26">
        <v>0</v>
      </c>
      <c r="O5367" s="15">
        <f t="shared" si="461"/>
        <v>69330</v>
      </c>
      <c r="P5367" s="15">
        <f t="shared" si="462"/>
        <v>11.000047598648196</v>
      </c>
      <c r="Q5367" s="25">
        <v>5000</v>
      </c>
      <c r="R5367" s="22">
        <v>100</v>
      </c>
      <c r="S5367" s="22" t="s">
        <v>6488</v>
      </c>
      <c r="T5367" s="22">
        <f t="shared" si="458"/>
        <v>9</v>
      </c>
      <c r="U5367" s="22">
        <f t="shared" si="459"/>
        <v>2022</v>
      </c>
      <c r="V5367" s="22" t="str">
        <f t="shared" si="460"/>
        <v>METROPOLITANA</v>
      </c>
    </row>
    <row r="5368" spans="1:22" x14ac:dyDescent="0.2">
      <c r="A5368" s="23" t="s">
        <v>6483</v>
      </c>
      <c r="B5368" s="22" t="s">
        <v>33</v>
      </c>
      <c r="C5368" s="22" t="s">
        <v>44</v>
      </c>
      <c r="D5368" s="22" t="s">
        <v>45</v>
      </c>
      <c r="E5368" s="24" t="s">
        <v>52</v>
      </c>
      <c r="F5368" s="22" t="s">
        <v>34</v>
      </c>
      <c r="G5368" s="25">
        <v>3639.12</v>
      </c>
      <c r="H5368" s="22" t="s">
        <v>22</v>
      </c>
      <c r="I5368" s="22">
        <v>0</v>
      </c>
      <c r="J5368" s="22" t="s">
        <v>34</v>
      </c>
      <c r="K5368" s="22" t="s">
        <v>23</v>
      </c>
      <c r="L5368" s="22">
        <v>1</v>
      </c>
      <c r="M5368" s="26">
        <v>55000</v>
      </c>
      <c r="N5368" s="26">
        <v>0</v>
      </c>
      <c r="O5368" s="15">
        <f t="shared" si="461"/>
        <v>55000</v>
      </c>
      <c r="P5368" s="15">
        <f t="shared" si="462"/>
        <v>15.113543933698256</v>
      </c>
      <c r="Q5368" s="25">
        <v>5000</v>
      </c>
      <c r="R5368" s="22">
        <v>73</v>
      </c>
      <c r="S5368" s="22" t="s">
        <v>6489</v>
      </c>
      <c r="T5368" s="22">
        <f t="shared" si="458"/>
        <v>9</v>
      </c>
      <c r="U5368" s="22">
        <f t="shared" si="459"/>
        <v>2022</v>
      </c>
      <c r="V5368" s="22" t="str">
        <f t="shared" si="460"/>
        <v>METROPOLITANA</v>
      </c>
    </row>
    <row r="5369" spans="1:22" x14ac:dyDescent="0.2">
      <c r="A5369" s="23" t="s">
        <v>6483</v>
      </c>
      <c r="B5369" s="22" t="s">
        <v>33</v>
      </c>
      <c r="C5369" s="22" t="s">
        <v>44</v>
      </c>
      <c r="D5369" s="22" t="s">
        <v>20</v>
      </c>
      <c r="E5369" s="24" t="s">
        <v>6490</v>
      </c>
      <c r="F5369" s="22" t="s">
        <v>138</v>
      </c>
      <c r="G5369" s="25">
        <v>3781.41</v>
      </c>
      <c r="H5369" s="22" t="s">
        <v>22</v>
      </c>
      <c r="I5369" s="22">
        <v>0</v>
      </c>
      <c r="J5369" s="22" t="s">
        <v>138</v>
      </c>
      <c r="K5369" s="22" t="s">
        <v>23</v>
      </c>
      <c r="L5369" s="22">
        <v>3</v>
      </c>
      <c r="M5369" s="26">
        <v>55000</v>
      </c>
      <c r="N5369" s="26">
        <v>0</v>
      </c>
      <c r="O5369" s="15">
        <f t="shared" si="461"/>
        <v>55000</v>
      </c>
      <c r="P5369" s="15">
        <f t="shared" si="462"/>
        <v>14.544839094411874</v>
      </c>
      <c r="Q5369" s="25">
        <v>5000</v>
      </c>
      <c r="R5369" s="22">
        <v>76</v>
      </c>
      <c r="S5369" s="22" t="s">
        <v>6491</v>
      </c>
      <c r="T5369" s="22">
        <f t="shared" si="458"/>
        <v>9</v>
      </c>
      <c r="U5369" s="22">
        <f t="shared" si="459"/>
        <v>2022</v>
      </c>
      <c r="V5369" s="22" t="str">
        <f t="shared" si="460"/>
        <v>METROPOLITANA</v>
      </c>
    </row>
    <row r="5370" spans="1:22" x14ac:dyDescent="0.2">
      <c r="A5370" s="11" t="s">
        <v>6492</v>
      </c>
      <c r="B5370" s="12" t="s">
        <v>33</v>
      </c>
      <c r="C5370" s="12" t="s">
        <v>60</v>
      </c>
      <c r="D5370" s="12" t="s">
        <v>38</v>
      </c>
      <c r="E5370" s="13">
        <v>53173294</v>
      </c>
      <c r="F5370" s="12" t="s">
        <v>161</v>
      </c>
      <c r="G5370" s="14">
        <v>5746.4</v>
      </c>
      <c r="H5370" s="12" t="s">
        <v>43</v>
      </c>
      <c r="I5370" s="12">
        <v>0</v>
      </c>
      <c r="J5370" s="12" t="s">
        <v>161</v>
      </c>
      <c r="K5370" s="12" t="s">
        <v>23</v>
      </c>
      <c r="L5370" s="12">
        <v>5</v>
      </c>
      <c r="M5370" s="15">
        <v>70000</v>
      </c>
      <c r="N5370" s="15">
        <v>0</v>
      </c>
      <c r="O5370" s="15">
        <f t="shared" si="461"/>
        <v>70000</v>
      </c>
      <c r="P5370" s="15">
        <f t="shared" si="462"/>
        <v>12.181539746623974</v>
      </c>
      <c r="Q5370" s="14">
        <v>10000</v>
      </c>
      <c r="R5370" s="12">
        <v>57</v>
      </c>
      <c r="S5370" s="12" t="s">
        <v>6493</v>
      </c>
      <c r="T5370" s="22">
        <f t="shared" si="458"/>
        <v>9</v>
      </c>
      <c r="U5370" s="22">
        <f t="shared" si="459"/>
        <v>2022</v>
      </c>
      <c r="V5370" s="22" t="str">
        <f t="shared" si="460"/>
        <v>METROPOLITANA</v>
      </c>
    </row>
    <row r="5371" spans="1:22" x14ac:dyDescent="0.2">
      <c r="A5371" s="11" t="s">
        <v>6492</v>
      </c>
      <c r="B5371" s="12" t="s">
        <v>33</v>
      </c>
      <c r="C5371" s="12" t="s">
        <v>417</v>
      </c>
      <c r="D5371" s="12" t="s">
        <v>786</v>
      </c>
      <c r="E5371" s="13">
        <v>95707734</v>
      </c>
      <c r="F5371" s="12" t="s">
        <v>418</v>
      </c>
      <c r="G5371" s="14">
        <v>12615.22</v>
      </c>
      <c r="H5371" s="12" t="s">
        <v>788</v>
      </c>
      <c r="I5371" s="12">
        <v>1</v>
      </c>
      <c r="J5371" s="12" t="s">
        <v>418</v>
      </c>
      <c r="K5371" s="12" t="s">
        <v>171</v>
      </c>
      <c r="L5371" s="12">
        <v>0</v>
      </c>
      <c r="M5371" s="15">
        <v>280000</v>
      </c>
      <c r="N5371" s="15">
        <v>0</v>
      </c>
      <c r="O5371" s="15">
        <f t="shared" si="461"/>
        <v>280000</v>
      </c>
      <c r="P5371" s="15">
        <f t="shared" si="462"/>
        <v>22.195411574272981</v>
      </c>
      <c r="Q5371" s="14">
        <v>20000</v>
      </c>
      <c r="R5371" s="12">
        <v>63</v>
      </c>
      <c r="S5371" s="12" t="s">
        <v>6494</v>
      </c>
      <c r="T5371" s="22">
        <f t="shared" si="458"/>
        <v>9</v>
      </c>
      <c r="U5371" s="22">
        <f t="shared" si="459"/>
        <v>2022</v>
      </c>
      <c r="V5371" s="22" t="str">
        <f t="shared" si="460"/>
        <v>REGIONES</v>
      </c>
    </row>
    <row r="5372" spans="1:22" x14ac:dyDescent="0.2">
      <c r="A5372" s="11" t="s">
        <v>6492</v>
      </c>
      <c r="B5372" s="12" t="s">
        <v>33</v>
      </c>
      <c r="C5372" s="12" t="s">
        <v>36</v>
      </c>
      <c r="D5372" s="12" t="s">
        <v>63</v>
      </c>
      <c r="E5372" s="13">
        <v>138841065</v>
      </c>
      <c r="F5372" s="12" t="s">
        <v>46</v>
      </c>
      <c r="G5372" s="14">
        <v>5372.8799999999992</v>
      </c>
      <c r="H5372" s="12" t="s">
        <v>65</v>
      </c>
      <c r="I5372" s="12">
        <v>0</v>
      </c>
      <c r="J5372" s="12" t="s">
        <v>46</v>
      </c>
      <c r="K5372" s="12" t="s">
        <v>23</v>
      </c>
      <c r="L5372" s="12">
        <v>2</v>
      </c>
      <c r="M5372" s="15">
        <v>59102</v>
      </c>
      <c r="N5372" s="15">
        <v>0</v>
      </c>
      <c r="O5372" s="15">
        <f t="shared" si="461"/>
        <v>59102</v>
      </c>
      <c r="P5372" s="15">
        <f t="shared" si="462"/>
        <v>11.000059558374653</v>
      </c>
      <c r="Q5372" s="14">
        <v>5000</v>
      </c>
      <c r="R5372" s="12">
        <v>100</v>
      </c>
      <c r="S5372" s="12" t="s">
        <v>6495</v>
      </c>
      <c r="T5372" s="22">
        <f t="shared" si="458"/>
        <v>9</v>
      </c>
      <c r="U5372" s="22">
        <f t="shared" si="459"/>
        <v>2022</v>
      </c>
      <c r="V5372" s="22" t="str">
        <f t="shared" si="460"/>
        <v>METROPOLITANA</v>
      </c>
    </row>
    <row r="5373" spans="1:22" x14ac:dyDescent="0.2">
      <c r="A5373" s="11" t="s">
        <v>6492</v>
      </c>
      <c r="B5373" s="12" t="s">
        <v>33</v>
      </c>
      <c r="C5373" s="12" t="s">
        <v>29</v>
      </c>
      <c r="D5373" s="12" t="s">
        <v>30</v>
      </c>
      <c r="E5373" s="13">
        <v>72564391</v>
      </c>
      <c r="F5373" s="12" t="s">
        <v>39</v>
      </c>
      <c r="G5373" s="14">
        <v>7776</v>
      </c>
      <c r="H5373" s="12" t="s">
        <v>32</v>
      </c>
      <c r="I5373" s="12">
        <v>0</v>
      </c>
      <c r="J5373" s="12" t="s">
        <v>39</v>
      </c>
      <c r="K5373" s="12" t="s">
        <v>23</v>
      </c>
      <c r="L5373" s="12">
        <v>1</v>
      </c>
      <c r="M5373" s="15">
        <v>85536</v>
      </c>
      <c r="N5373" s="15">
        <v>0</v>
      </c>
      <c r="O5373" s="15">
        <f t="shared" si="461"/>
        <v>85536</v>
      </c>
      <c r="P5373" s="15">
        <f t="shared" si="462"/>
        <v>11</v>
      </c>
      <c r="Q5373" s="14">
        <v>5000</v>
      </c>
      <c r="R5373" s="12">
        <v>100</v>
      </c>
      <c r="S5373" s="12" t="s">
        <v>6496</v>
      </c>
      <c r="T5373" s="22">
        <f t="shared" si="458"/>
        <v>9</v>
      </c>
      <c r="U5373" s="22">
        <f t="shared" si="459"/>
        <v>2022</v>
      </c>
      <c r="V5373" s="22" t="str">
        <f t="shared" si="460"/>
        <v>METROPOLITANA</v>
      </c>
    </row>
    <row r="5374" spans="1:22" x14ac:dyDescent="0.2">
      <c r="A5374" s="11" t="s">
        <v>6492</v>
      </c>
      <c r="B5374" s="12" t="s">
        <v>33</v>
      </c>
      <c r="C5374" s="12" t="s">
        <v>29</v>
      </c>
      <c r="D5374" s="12" t="s">
        <v>41</v>
      </c>
      <c r="E5374" s="13">
        <v>125108660</v>
      </c>
      <c r="F5374" s="12" t="s">
        <v>39</v>
      </c>
      <c r="G5374" s="14">
        <v>7776</v>
      </c>
      <c r="H5374" s="12" t="s">
        <v>43</v>
      </c>
      <c r="I5374" s="12">
        <v>0</v>
      </c>
      <c r="J5374" s="12" t="s">
        <v>39</v>
      </c>
      <c r="K5374" s="12" t="s">
        <v>23</v>
      </c>
      <c r="L5374" s="12">
        <v>1</v>
      </c>
      <c r="M5374" s="15">
        <v>85536</v>
      </c>
      <c r="N5374" s="15">
        <v>0</v>
      </c>
      <c r="O5374" s="15">
        <f t="shared" si="461"/>
        <v>85536</v>
      </c>
      <c r="P5374" s="15">
        <f t="shared" si="462"/>
        <v>11</v>
      </c>
      <c r="Q5374" s="14">
        <v>5000</v>
      </c>
      <c r="R5374" s="12">
        <v>100</v>
      </c>
      <c r="S5374" s="12" t="s">
        <v>6497</v>
      </c>
      <c r="T5374" s="22">
        <f t="shared" si="458"/>
        <v>9</v>
      </c>
      <c r="U5374" s="22">
        <f t="shared" si="459"/>
        <v>2022</v>
      </c>
      <c r="V5374" s="22" t="str">
        <f t="shared" si="460"/>
        <v>METROPOLITANA</v>
      </c>
    </row>
    <row r="5375" spans="1:22" x14ac:dyDescent="0.2">
      <c r="A5375" s="11" t="s">
        <v>6492</v>
      </c>
      <c r="B5375" s="12" t="s">
        <v>33</v>
      </c>
      <c r="C5375" s="12" t="s">
        <v>29</v>
      </c>
      <c r="D5375" s="12" t="s">
        <v>164</v>
      </c>
      <c r="E5375" s="13">
        <v>154837728</v>
      </c>
      <c r="F5375" s="12" t="s">
        <v>39</v>
      </c>
      <c r="G5375" s="14">
        <v>14509.96</v>
      </c>
      <c r="H5375" s="12" t="s">
        <v>22</v>
      </c>
      <c r="I5375" s="12">
        <v>1</v>
      </c>
      <c r="J5375" s="12" t="s">
        <v>39</v>
      </c>
      <c r="K5375" s="12" t="s">
        <v>23</v>
      </c>
      <c r="L5375" s="12">
        <v>1</v>
      </c>
      <c r="M5375" s="15">
        <v>159610</v>
      </c>
      <c r="N5375" s="15">
        <v>0</v>
      </c>
      <c r="O5375" s="15">
        <f t="shared" si="461"/>
        <v>159610</v>
      </c>
      <c r="P5375" s="15">
        <f t="shared" si="462"/>
        <v>11.000030323998137</v>
      </c>
      <c r="Q5375" s="14">
        <v>5000</v>
      </c>
      <c r="R5375" s="12">
        <v>100</v>
      </c>
      <c r="S5375" s="12" t="s">
        <v>6498</v>
      </c>
      <c r="T5375" s="22">
        <f t="shared" si="458"/>
        <v>9</v>
      </c>
      <c r="U5375" s="22">
        <f t="shared" si="459"/>
        <v>2022</v>
      </c>
      <c r="V5375" s="22" t="str">
        <f t="shared" si="460"/>
        <v>METROPOLITANA</v>
      </c>
    </row>
    <row r="5376" spans="1:22" x14ac:dyDescent="0.2">
      <c r="A5376" s="11" t="s">
        <v>6492</v>
      </c>
      <c r="B5376" s="12" t="s">
        <v>33</v>
      </c>
      <c r="C5376" s="12" t="s">
        <v>44</v>
      </c>
      <c r="D5376" s="12" t="s">
        <v>6499</v>
      </c>
      <c r="E5376" s="13">
        <v>92578569</v>
      </c>
      <c r="F5376" s="12" t="s">
        <v>129</v>
      </c>
      <c r="G5376" s="14">
        <v>1686.48</v>
      </c>
      <c r="H5376" s="12" t="s">
        <v>24</v>
      </c>
      <c r="I5376" s="12">
        <v>1</v>
      </c>
      <c r="J5376" s="12" t="s">
        <v>129</v>
      </c>
      <c r="K5376" s="12" t="s">
        <v>23</v>
      </c>
      <c r="L5376" s="12">
        <v>1</v>
      </c>
      <c r="M5376" s="15">
        <v>55000</v>
      </c>
      <c r="N5376" s="15">
        <v>0</v>
      </c>
      <c r="O5376" s="15">
        <f t="shared" si="461"/>
        <v>55000</v>
      </c>
      <c r="P5376" s="15">
        <f t="shared" si="462"/>
        <v>32.612304919121485</v>
      </c>
      <c r="Q5376" s="14">
        <v>5000</v>
      </c>
      <c r="R5376" s="12">
        <v>34</v>
      </c>
      <c r="S5376" s="12" t="s">
        <v>6500</v>
      </c>
      <c r="T5376" s="22">
        <f t="shared" si="458"/>
        <v>9</v>
      </c>
      <c r="U5376" s="22">
        <f t="shared" si="459"/>
        <v>2022</v>
      </c>
      <c r="V5376" s="22" t="str">
        <f t="shared" si="460"/>
        <v>METROPOLITANA</v>
      </c>
    </row>
    <row r="5377" spans="1:22" x14ac:dyDescent="0.2">
      <c r="A5377" s="11" t="s">
        <v>6492</v>
      </c>
      <c r="B5377" s="12" t="s">
        <v>33</v>
      </c>
      <c r="C5377" s="12" t="s">
        <v>44</v>
      </c>
      <c r="D5377" s="12" t="s">
        <v>6501</v>
      </c>
      <c r="E5377" s="13">
        <v>78907355</v>
      </c>
      <c r="F5377" s="12" t="s">
        <v>95</v>
      </c>
      <c r="G5377" s="14">
        <v>3901.0000000000009</v>
      </c>
      <c r="H5377" s="12" t="s">
        <v>24</v>
      </c>
      <c r="I5377" s="12">
        <v>1</v>
      </c>
      <c r="J5377" s="12" t="s">
        <v>95</v>
      </c>
      <c r="K5377" s="12" t="s">
        <v>23</v>
      </c>
      <c r="L5377" s="12">
        <v>4</v>
      </c>
      <c r="M5377" s="15">
        <v>55000</v>
      </c>
      <c r="N5377" s="15">
        <v>0</v>
      </c>
      <c r="O5377" s="15">
        <f t="shared" si="461"/>
        <v>55000</v>
      </c>
      <c r="P5377" s="15">
        <f t="shared" si="462"/>
        <v>14.098948987439115</v>
      </c>
      <c r="Q5377" s="14">
        <v>5000</v>
      </c>
      <c r="R5377" s="12">
        <v>78</v>
      </c>
      <c r="S5377" s="12" t="s">
        <v>6502</v>
      </c>
      <c r="T5377" s="22">
        <f t="shared" si="458"/>
        <v>9</v>
      </c>
      <c r="U5377" s="22">
        <f t="shared" si="459"/>
        <v>2022</v>
      </c>
      <c r="V5377" s="22" t="str">
        <f t="shared" si="460"/>
        <v>METROPOLITANA</v>
      </c>
    </row>
    <row r="5378" spans="1:22" x14ac:dyDescent="0.2">
      <c r="A5378" s="11" t="s">
        <v>6492</v>
      </c>
      <c r="B5378" s="12" t="s">
        <v>33</v>
      </c>
      <c r="C5378" s="12" t="s">
        <v>44</v>
      </c>
      <c r="D5378" s="12" t="s">
        <v>45</v>
      </c>
      <c r="E5378" s="13">
        <v>99626232</v>
      </c>
      <c r="F5378" s="12" t="s">
        <v>53</v>
      </c>
      <c r="G5378" s="14">
        <v>3725.44</v>
      </c>
      <c r="H5378" s="12" t="s">
        <v>22</v>
      </c>
      <c r="I5378" s="12">
        <v>0</v>
      </c>
      <c r="J5378" s="12" t="s">
        <v>53</v>
      </c>
      <c r="K5378" s="12" t="s">
        <v>23</v>
      </c>
      <c r="L5378" s="12">
        <v>3</v>
      </c>
      <c r="M5378" s="15">
        <v>55000</v>
      </c>
      <c r="N5378" s="15">
        <v>0</v>
      </c>
      <c r="O5378" s="15">
        <f t="shared" si="461"/>
        <v>55000</v>
      </c>
      <c r="P5378" s="15">
        <f t="shared" si="462"/>
        <v>14.763356811544408</v>
      </c>
      <c r="Q5378" s="14">
        <v>5000</v>
      </c>
      <c r="R5378" s="12">
        <v>75</v>
      </c>
      <c r="S5378" s="12" t="s">
        <v>6503</v>
      </c>
      <c r="T5378" s="22">
        <f t="shared" si="458"/>
        <v>9</v>
      </c>
      <c r="U5378" s="22">
        <f t="shared" si="459"/>
        <v>2022</v>
      </c>
      <c r="V5378" s="22" t="str">
        <f t="shared" si="460"/>
        <v>METROPOLITANA</v>
      </c>
    </row>
    <row r="5379" spans="1:22" x14ac:dyDescent="0.2">
      <c r="A5379" s="11" t="s">
        <v>6492</v>
      </c>
      <c r="B5379" s="12" t="s">
        <v>33</v>
      </c>
      <c r="C5379" s="12" t="s">
        <v>44</v>
      </c>
      <c r="D5379" s="12" t="s">
        <v>47</v>
      </c>
      <c r="E5379" s="13">
        <v>107643206</v>
      </c>
      <c r="F5379" s="12" t="s">
        <v>94</v>
      </c>
      <c r="G5379" s="14">
        <v>4921.0200000000004</v>
      </c>
      <c r="H5379" s="12" t="s">
        <v>22</v>
      </c>
      <c r="I5379" s="12">
        <v>0</v>
      </c>
      <c r="J5379" s="12" t="s">
        <v>59</v>
      </c>
      <c r="K5379" s="12" t="s">
        <v>78</v>
      </c>
      <c r="L5379" s="12">
        <v>0</v>
      </c>
      <c r="M5379" s="15">
        <v>203000</v>
      </c>
      <c r="N5379" s="15">
        <v>0</v>
      </c>
      <c r="O5379" s="15">
        <f t="shared" si="461"/>
        <v>203000</v>
      </c>
      <c r="P5379" s="15">
        <f t="shared" si="462"/>
        <v>41.251610438486324</v>
      </c>
      <c r="Q5379" s="14">
        <v>20000</v>
      </c>
      <c r="R5379" s="12">
        <v>25</v>
      </c>
      <c r="S5379" s="12" t="s">
        <v>6504</v>
      </c>
      <c r="T5379" s="22">
        <f t="shared" si="458"/>
        <v>9</v>
      </c>
      <c r="U5379" s="22">
        <f t="shared" si="459"/>
        <v>2022</v>
      </c>
      <c r="V5379" s="22" t="str">
        <f t="shared" si="460"/>
        <v>REGIONES</v>
      </c>
    </row>
    <row r="5380" spans="1:22" x14ac:dyDescent="0.2">
      <c r="A5380" s="23" t="s">
        <v>6505</v>
      </c>
      <c r="B5380" s="22" t="s">
        <v>18</v>
      </c>
      <c r="C5380" s="22" t="s">
        <v>19</v>
      </c>
      <c r="D5380" s="22" t="s">
        <v>38</v>
      </c>
      <c r="E5380" s="24" t="s">
        <v>1124</v>
      </c>
      <c r="F5380" s="22" t="s">
        <v>51</v>
      </c>
      <c r="G5380" s="25">
        <v>14465.13</v>
      </c>
      <c r="H5380" s="22" t="s">
        <v>43</v>
      </c>
      <c r="I5380" s="22">
        <v>0</v>
      </c>
      <c r="J5380" s="22" t="s">
        <v>51</v>
      </c>
      <c r="K5380" s="22" t="s">
        <v>23</v>
      </c>
      <c r="L5380" s="22">
        <v>4</v>
      </c>
      <c r="M5380" s="26">
        <v>159116</v>
      </c>
      <c r="N5380" s="26">
        <v>0</v>
      </c>
      <c r="O5380" s="15">
        <f t="shared" si="461"/>
        <v>159116</v>
      </c>
      <c r="P5380" s="15">
        <f t="shared" si="462"/>
        <v>10.999970273340095</v>
      </c>
      <c r="Q5380" s="25">
        <v>5000</v>
      </c>
      <c r="R5380" s="22">
        <v>100</v>
      </c>
      <c r="S5380" s="22" t="s">
        <v>6506</v>
      </c>
      <c r="T5380" s="22">
        <f t="shared" si="458"/>
        <v>9</v>
      </c>
      <c r="U5380" s="22">
        <f t="shared" si="459"/>
        <v>2022</v>
      </c>
      <c r="V5380" s="22" t="str">
        <f t="shared" si="460"/>
        <v>METROPOLITANA</v>
      </c>
    </row>
    <row r="5381" spans="1:22" x14ac:dyDescent="0.2">
      <c r="A5381" s="23" t="s">
        <v>6505</v>
      </c>
      <c r="B5381" s="22" t="s">
        <v>33</v>
      </c>
      <c r="C5381" s="22" t="s">
        <v>36</v>
      </c>
      <c r="D5381" s="22" t="s">
        <v>45</v>
      </c>
      <c r="E5381" s="24" t="s">
        <v>52</v>
      </c>
      <c r="F5381" s="22" t="s">
        <v>53</v>
      </c>
      <c r="G5381" s="25">
        <v>3485.64</v>
      </c>
      <c r="H5381" s="22" t="s">
        <v>22</v>
      </c>
      <c r="I5381" s="22">
        <v>0</v>
      </c>
      <c r="J5381" s="22" t="s">
        <v>53</v>
      </c>
      <c r="K5381" s="22" t="s">
        <v>23</v>
      </c>
      <c r="L5381" s="22">
        <v>3</v>
      </c>
      <c r="M5381" s="26">
        <v>55000</v>
      </c>
      <c r="N5381" s="26">
        <v>0</v>
      </c>
      <c r="O5381" s="15">
        <f t="shared" si="461"/>
        <v>55000</v>
      </c>
      <c r="P5381" s="15">
        <f t="shared" si="462"/>
        <v>15.779024798889157</v>
      </c>
      <c r="Q5381" s="25">
        <v>5000</v>
      </c>
      <c r="R5381" s="22">
        <v>70</v>
      </c>
      <c r="S5381" s="22" t="s">
        <v>6507</v>
      </c>
      <c r="T5381" s="22">
        <f t="shared" si="458"/>
        <v>9</v>
      </c>
      <c r="U5381" s="22">
        <f t="shared" si="459"/>
        <v>2022</v>
      </c>
      <c r="V5381" s="22" t="str">
        <f t="shared" si="460"/>
        <v>METROPOLITANA</v>
      </c>
    </row>
    <row r="5382" spans="1:22" x14ac:dyDescent="0.2">
      <c r="A5382" s="23" t="s">
        <v>6505</v>
      </c>
      <c r="B5382" s="22" t="s">
        <v>33</v>
      </c>
      <c r="C5382" s="22" t="s">
        <v>29</v>
      </c>
      <c r="D5382" s="22" t="s">
        <v>41</v>
      </c>
      <c r="E5382" s="24" t="s">
        <v>25</v>
      </c>
      <c r="F5382" s="22" t="s">
        <v>39</v>
      </c>
      <c r="G5382" s="25">
        <v>8838.0399999999991</v>
      </c>
      <c r="H5382" s="22" t="s">
        <v>43</v>
      </c>
      <c r="I5382" s="22">
        <v>0</v>
      </c>
      <c r="J5382" s="22" t="s">
        <v>39</v>
      </c>
      <c r="K5382" s="22" t="s">
        <v>23</v>
      </c>
      <c r="L5382" s="22">
        <v>1</v>
      </c>
      <c r="M5382" s="26">
        <v>97218</v>
      </c>
      <c r="N5382" s="26">
        <v>0</v>
      </c>
      <c r="O5382" s="15">
        <f t="shared" si="461"/>
        <v>97218</v>
      </c>
      <c r="P5382" s="15">
        <f t="shared" si="462"/>
        <v>10.999950215206088</v>
      </c>
      <c r="Q5382" s="25">
        <v>5000</v>
      </c>
      <c r="R5382" s="22">
        <v>100</v>
      </c>
      <c r="S5382" s="22" t="s">
        <v>6508</v>
      </c>
      <c r="T5382" s="22">
        <f t="shared" si="458"/>
        <v>9</v>
      </c>
      <c r="U5382" s="22">
        <f t="shared" si="459"/>
        <v>2022</v>
      </c>
      <c r="V5382" s="22" t="str">
        <f t="shared" si="460"/>
        <v>METROPOLITANA</v>
      </c>
    </row>
    <row r="5383" spans="1:22" x14ac:dyDescent="0.2">
      <c r="A5383" s="23" t="s">
        <v>6505</v>
      </c>
      <c r="B5383" s="22" t="s">
        <v>33</v>
      </c>
      <c r="C5383" s="22" t="s">
        <v>29</v>
      </c>
      <c r="D5383" s="22" t="s">
        <v>164</v>
      </c>
      <c r="E5383" s="24" t="s">
        <v>1576</v>
      </c>
      <c r="F5383" s="22" t="s">
        <v>39</v>
      </c>
      <c r="G5383" s="25">
        <v>20431.80000000001</v>
      </c>
      <c r="H5383" s="22" t="s">
        <v>22</v>
      </c>
      <c r="I5383" s="22">
        <v>1</v>
      </c>
      <c r="J5383" s="22" t="s">
        <v>39</v>
      </c>
      <c r="K5383" s="22" t="s">
        <v>23</v>
      </c>
      <c r="L5383" s="22">
        <v>1</v>
      </c>
      <c r="M5383" s="26">
        <v>224750</v>
      </c>
      <c r="N5383" s="26">
        <v>0</v>
      </c>
      <c r="O5383" s="15">
        <f t="shared" si="461"/>
        <v>224750</v>
      </c>
      <c r="P5383" s="15">
        <f t="shared" si="462"/>
        <v>11.000009788662766</v>
      </c>
      <c r="Q5383" s="25">
        <v>5000</v>
      </c>
      <c r="R5383" s="22">
        <v>100</v>
      </c>
      <c r="S5383" s="22" t="s">
        <v>6509</v>
      </c>
      <c r="T5383" s="22">
        <f t="shared" ref="T5383:T5446" si="463">MONTH(A5383)</f>
        <v>9</v>
      </c>
      <c r="U5383" s="22">
        <f t="shared" ref="U5383:U5446" si="464">YEAR(A5383)</f>
        <v>2022</v>
      </c>
      <c r="V5383" s="22" t="str">
        <f t="shared" ref="V5383:V5446" si="465">IF(K5383="METROPOLITANA DE SANTIAGO","METROPOLITANA","REGIONES")</f>
        <v>METROPOLITANA</v>
      </c>
    </row>
    <row r="5384" spans="1:22" x14ac:dyDescent="0.2">
      <c r="A5384" s="23" t="s">
        <v>6505</v>
      </c>
      <c r="B5384" s="22" t="s">
        <v>33</v>
      </c>
      <c r="C5384" s="22" t="s">
        <v>29</v>
      </c>
      <c r="D5384" s="22" t="s">
        <v>20</v>
      </c>
      <c r="E5384" s="24" t="s">
        <v>21</v>
      </c>
      <c r="F5384" s="22" t="s">
        <v>39</v>
      </c>
      <c r="G5384" s="25">
        <v>7416.9</v>
      </c>
      <c r="H5384" s="22" t="s">
        <v>22</v>
      </c>
      <c r="I5384" s="22">
        <v>0</v>
      </c>
      <c r="J5384" s="22" t="s">
        <v>39</v>
      </c>
      <c r="K5384" s="22" t="s">
        <v>23</v>
      </c>
      <c r="L5384" s="22">
        <v>1</v>
      </c>
      <c r="M5384" s="26">
        <v>81586</v>
      </c>
      <c r="N5384" s="26">
        <v>0</v>
      </c>
      <c r="O5384" s="15">
        <f t="shared" si="461"/>
        <v>81586</v>
      </c>
      <c r="P5384" s="15">
        <f t="shared" si="462"/>
        <v>11.000013482721892</v>
      </c>
      <c r="Q5384" s="25">
        <v>5000</v>
      </c>
      <c r="R5384" s="22">
        <v>100</v>
      </c>
      <c r="S5384" s="22" t="s">
        <v>6510</v>
      </c>
      <c r="T5384" s="22">
        <f t="shared" si="463"/>
        <v>9</v>
      </c>
      <c r="U5384" s="22">
        <f t="shared" si="464"/>
        <v>2022</v>
      </c>
      <c r="V5384" s="22" t="str">
        <f t="shared" si="465"/>
        <v>METROPOLITANA</v>
      </c>
    </row>
    <row r="5385" spans="1:22" x14ac:dyDescent="0.2">
      <c r="A5385" s="23" t="s">
        <v>6505</v>
      </c>
      <c r="B5385" s="22" t="s">
        <v>33</v>
      </c>
      <c r="C5385" s="22" t="s">
        <v>44</v>
      </c>
      <c r="D5385" s="22" t="s">
        <v>37</v>
      </c>
      <c r="E5385" s="24" t="s">
        <v>40</v>
      </c>
      <c r="F5385" s="22" t="s">
        <v>48</v>
      </c>
      <c r="G5385" s="25">
        <v>8745.0999999999985</v>
      </c>
      <c r="H5385" s="22" t="s">
        <v>22</v>
      </c>
      <c r="I5385" s="22">
        <v>0</v>
      </c>
      <c r="J5385" s="22" t="s">
        <v>48</v>
      </c>
      <c r="K5385" s="22" t="s">
        <v>23</v>
      </c>
      <c r="L5385" s="22">
        <v>1</v>
      </c>
      <c r="M5385" s="26">
        <v>96196</v>
      </c>
      <c r="N5385" s="26">
        <v>0</v>
      </c>
      <c r="O5385" s="15">
        <f t="shared" si="461"/>
        <v>96196</v>
      </c>
      <c r="P5385" s="15">
        <f t="shared" si="462"/>
        <v>10.999988565024987</v>
      </c>
      <c r="Q5385" s="25">
        <v>5000</v>
      </c>
      <c r="R5385" s="22">
        <v>100</v>
      </c>
      <c r="S5385" s="22" t="s">
        <v>6511</v>
      </c>
      <c r="T5385" s="22">
        <f t="shared" si="463"/>
        <v>9</v>
      </c>
      <c r="U5385" s="22">
        <f t="shared" si="464"/>
        <v>2022</v>
      </c>
      <c r="V5385" s="22" t="str">
        <f t="shared" si="465"/>
        <v>METROPOLITANA</v>
      </c>
    </row>
    <row r="5386" spans="1:22" x14ac:dyDescent="0.2">
      <c r="A5386" s="23" t="s">
        <v>6505</v>
      </c>
      <c r="B5386" s="22" t="s">
        <v>33</v>
      </c>
      <c r="C5386" s="22" t="s">
        <v>4802</v>
      </c>
      <c r="D5386" s="22" t="s">
        <v>130</v>
      </c>
      <c r="E5386" s="24" t="s">
        <v>131</v>
      </c>
      <c r="F5386" s="22" t="s">
        <v>815</v>
      </c>
      <c r="G5386" s="25">
        <f>8008+2726</f>
        <v>10734</v>
      </c>
      <c r="H5386" s="22" t="s">
        <v>85</v>
      </c>
      <c r="I5386" s="22">
        <v>1</v>
      </c>
      <c r="J5386" s="22" t="s">
        <v>815</v>
      </c>
      <c r="K5386" s="22" t="s">
        <v>75</v>
      </c>
      <c r="L5386" s="22">
        <v>0</v>
      </c>
      <c r="M5386" s="26">
        <v>460000</v>
      </c>
      <c r="N5386" s="26">
        <v>0</v>
      </c>
      <c r="O5386" s="15">
        <f t="shared" si="461"/>
        <v>460000</v>
      </c>
      <c r="P5386" s="15">
        <f t="shared" si="462"/>
        <v>42.854481088131173</v>
      </c>
      <c r="Q5386" s="25">
        <v>20000</v>
      </c>
      <c r="R5386" s="22">
        <v>65</v>
      </c>
      <c r="S5386" s="22" t="s">
        <v>6512</v>
      </c>
      <c r="T5386" s="22">
        <f t="shared" si="463"/>
        <v>9</v>
      </c>
      <c r="U5386" s="22">
        <f t="shared" si="464"/>
        <v>2022</v>
      </c>
      <c r="V5386" s="22" t="str">
        <f t="shared" si="465"/>
        <v>REGIONES</v>
      </c>
    </row>
    <row r="5387" spans="1:22" x14ac:dyDescent="0.2">
      <c r="A5387" s="11" t="s">
        <v>6513</v>
      </c>
      <c r="B5387" s="12" t="s">
        <v>33</v>
      </c>
      <c r="C5387" s="12" t="s">
        <v>270</v>
      </c>
      <c r="D5387" s="12" t="s">
        <v>2955</v>
      </c>
      <c r="E5387" s="13">
        <v>65941082</v>
      </c>
      <c r="F5387" s="12" t="s">
        <v>120</v>
      </c>
      <c r="G5387" s="14">
        <v>12798.5</v>
      </c>
      <c r="H5387" s="12" t="s">
        <v>24</v>
      </c>
      <c r="I5387" s="12">
        <v>1</v>
      </c>
      <c r="J5387" s="12" t="s">
        <v>120</v>
      </c>
      <c r="K5387" s="12" t="s">
        <v>23</v>
      </c>
      <c r="L5387" s="12">
        <v>5</v>
      </c>
      <c r="M5387" s="15">
        <v>120000</v>
      </c>
      <c r="N5387" s="15">
        <v>0</v>
      </c>
      <c r="O5387" s="15">
        <f t="shared" si="461"/>
        <v>120000</v>
      </c>
      <c r="P5387" s="15">
        <f t="shared" si="462"/>
        <v>9.3760987615736227</v>
      </c>
      <c r="Q5387" s="14">
        <v>10000</v>
      </c>
      <c r="R5387" s="12">
        <v>100</v>
      </c>
      <c r="S5387" s="12" t="s">
        <v>6514</v>
      </c>
      <c r="T5387" s="22">
        <f t="shared" si="463"/>
        <v>9</v>
      </c>
      <c r="U5387" s="22">
        <f t="shared" si="464"/>
        <v>2022</v>
      </c>
      <c r="V5387" s="22" t="str">
        <f t="shared" si="465"/>
        <v>METROPOLITANA</v>
      </c>
    </row>
    <row r="5388" spans="1:22" x14ac:dyDescent="0.2">
      <c r="A5388" s="11" t="s">
        <v>6513</v>
      </c>
      <c r="B5388" s="12" t="s">
        <v>33</v>
      </c>
      <c r="C5388" s="12" t="s">
        <v>29</v>
      </c>
      <c r="D5388" s="12" t="s">
        <v>41</v>
      </c>
      <c r="E5388" s="13">
        <v>125108660</v>
      </c>
      <c r="F5388" s="12" t="s">
        <v>39</v>
      </c>
      <c r="G5388" s="14">
        <v>7197.6999999999989</v>
      </c>
      <c r="H5388" s="12" t="s">
        <v>43</v>
      </c>
      <c r="I5388" s="12">
        <v>0</v>
      </c>
      <c r="J5388" s="12" t="s">
        <v>39</v>
      </c>
      <c r="K5388" s="12" t="s">
        <v>23</v>
      </c>
      <c r="L5388" s="12">
        <v>1</v>
      </c>
      <c r="M5388" s="15">
        <v>79175</v>
      </c>
      <c r="N5388" s="15">
        <v>0</v>
      </c>
      <c r="O5388" s="15">
        <f t="shared" si="461"/>
        <v>79175</v>
      </c>
      <c r="P5388" s="15">
        <f t="shared" si="462"/>
        <v>11.000041679981107</v>
      </c>
      <c r="Q5388" s="14">
        <v>5000</v>
      </c>
      <c r="R5388" s="12">
        <v>100</v>
      </c>
      <c r="S5388" s="12" t="s">
        <v>6515</v>
      </c>
      <c r="T5388" s="22">
        <f t="shared" si="463"/>
        <v>9</v>
      </c>
      <c r="U5388" s="22">
        <f t="shared" si="464"/>
        <v>2022</v>
      </c>
      <c r="V5388" s="22" t="str">
        <f t="shared" si="465"/>
        <v>METROPOLITANA</v>
      </c>
    </row>
    <row r="5389" spans="1:22" x14ac:dyDescent="0.2">
      <c r="A5389" s="11" t="s">
        <v>6513</v>
      </c>
      <c r="B5389" s="12" t="s">
        <v>33</v>
      </c>
      <c r="C5389" s="12" t="s">
        <v>29</v>
      </c>
      <c r="D5389" s="12" t="s">
        <v>164</v>
      </c>
      <c r="E5389" s="13">
        <v>154837728</v>
      </c>
      <c r="F5389" s="12" t="s">
        <v>39</v>
      </c>
      <c r="G5389" s="14">
        <v>10838.46</v>
      </c>
      <c r="H5389" s="12" t="s">
        <v>22</v>
      </c>
      <c r="I5389" s="12">
        <v>1</v>
      </c>
      <c r="J5389" s="12" t="s">
        <v>39</v>
      </c>
      <c r="K5389" s="12" t="s">
        <v>23</v>
      </c>
      <c r="L5389" s="12">
        <v>1</v>
      </c>
      <c r="M5389" s="15">
        <v>119223</v>
      </c>
      <c r="N5389" s="15">
        <v>0</v>
      </c>
      <c r="O5389" s="15">
        <f t="shared" si="461"/>
        <v>119223</v>
      </c>
      <c r="P5389" s="15">
        <f t="shared" si="462"/>
        <v>10.999994464158194</v>
      </c>
      <c r="Q5389" s="14">
        <v>5000</v>
      </c>
      <c r="R5389" s="12">
        <v>100</v>
      </c>
      <c r="S5389" s="12" t="s">
        <v>6516</v>
      </c>
      <c r="T5389" s="22">
        <f t="shared" si="463"/>
        <v>9</v>
      </c>
      <c r="U5389" s="22">
        <f t="shared" si="464"/>
        <v>2022</v>
      </c>
      <c r="V5389" s="22" t="str">
        <f t="shared" si="465"/>
        <v>METROPOLITANA</v>
      </c>
    </row>
    <row r="5390" spans="1:22" x14ac:dyDescent="0.2">
      <c r="A5390" s="23" t="s">
        <v>6517</v>
      </c>
      <c r="B5390" s="22" t="s">
        <v>18</v>
      </c>
      <c r="C5390" s="22" t="s">
        <v>270</v>
      </c>
      <c r="D5390" s="22" t="s">
        <v>30</v>
      </c>
      <c r="E5390" s="24" t="s">
        <v>31</v>
      </c>
      <c r="F5390" s="22" t="s">
        <v>120</v>
      </c>
      <c r="G5390" s="25">
        <f>5968.72+1663</f>
        <v>7631.72</v>
      </c>
      <c r="H5390" s="22" t="s">
        <v>32</v>
      </c>
      <c r="I5390" s="22">
        <v>0</v>
      </c>
      <c r="J5390" s="22" t="s">
        <v>120</v>
      </c>
      <c r="K5390" s="22" t="s">
        <v>23</v>
      </c>
      <c r="L5390" s="22">
        <v>5</v>
      </c>
      <c r="M5390" s="26">
        <v>70000</v>
      </c>
      <c r="N5390" s="26">
        <v>0</v>
      </c>
      <c r="O5390" s="15">
        <f t="shared" si="461"/>
        <v>70000</v>
      </c>
      <c r="P5390" s="15">
        <f t="shared" si="462"/>
        <v>9.1722442647266931</v>
      </c>
      <c r="Q5390" s="25">
        <v>10000</v>
      </c>
      <c r="R5390" s="22">
        <v>93</v>
      </c>
      <c r="S5390" s="22" t="s">
        <v>6526</v>
      </c>
      <c r="T5390" s="22">
        <f t="shared" si="463"/>
        <v>9</v>
      </c>
      <c r="U5390" s="22">
        <f t="shared" si="464"/>
        <v>2022</v>
      </c>
      <c r="V5390" s="22" t="str">
        <f t="shared" si="465"/>
        <v>METROPOLITANA</v>
      </c>
    </row>
    <row r="5391" spans="1:22" x14ac:dyDescent="0.2">
      <c r="A5391" s="23" t="s">
        <v>6517</v>
      </c>
      <c r="B5391" s="22" t="s">
        <v>18</v>
      </c>
      <c r="C5391" s="22" t="s">
        <v>1997</v>
      </c>
      <c r="D5391" s="22" t="s">
        <v>63</v>
      </c>
      <c r="E5391" s="24" t="s">
        <v>64</v>
      </c>
      <c r="F5391" s="22" t="s">
        <v>58</v>
      </c>
      <c r="G5391" s="25">
        <v>4827.41</v>
      </c>
      <c r="H5391" s="22" t="s">
        <v>65</v>
      </c>
      <c r="I5391" s="22">
        <v>0</v>
      </c>
      <c r="J5391" s="22" t="s">
        <v>58</v>
      </c>
      <c r="K5391" s="22" t="s">
        <v>23</v>
      </c>
      <c r="L5391" s="22">
        <v>5</v>
      </c>
      <c r="M5391" s="26">
        <v>70000</v>
      </c>
      <c r="N5391" s="26">
        <v>0</v>
      </c>
      <c r="O5391" s="15">
        <f t="shared" si="461"/>
        <v>70000</v>
      </c>
      <c r="P5391" s="15">
        <f t="shared" si="462"/>
        <v>14.500529269318331</v>
      </c>
      <c r="Q5391" s="25">
        <v>10000</v>
      </c>
      <c r="R5391" s="22">
        <v>48</v>
      </c>
      <c r="S5391" s="22" t="s">
        <v>6518</v>
      </c>
      <c r="T5391" s="22">
        <f t="shared" si="463"/>
        <v>9</v>
      </c>
      <c r="U5391" s="22">
        <f t="shared" si="464"/>
        <v>2022</v>
      </c>
      <c r="V5391" s="22" t="str">
        <f t="shared" si="465"/>
        <v>METROPOLITANA</v>
      </c>
    </row>
    <row r="5392" spans="1:22" x14ac:dyDescent="0.2">
      <c r="A5392" s="23" t="s">
        <v>6517</v>
      </c>
      <c r="B5392" s="22" t="s">
        <v>33</v>
      </c>
      <c r="C5392" s="22" t="s">
        <v>270</v>
      </c>
      <c r="D5392" s="22" t="s">
        <v>38</v>
      </c>
      <c r="E5392" s="24" t="s">
        <v>1124</v>
      </c>
      <c r="F5392" s="22" t="s">
        <v>120</v>
      </c>
      <c r="G5392" s="25">
        <f>7963.5+3131</f>
        <v>11094.5</v>
      </c>
      <c r="H5392" s="22" t="s">
        <v>43</v>
      </c>
      <c r="I5392" s="22">
        <v>0</v>
      </c>
      <c r="J5392" s="22" t="s">
        <v>120</v>
      </c>
      <c r="K5392" s="22" t="s">
        <v>23</v>
      </c>
      <c r="L5392" s="22">
        <v>5</v>
      </c>
      <c r="M5392" s="26">
        <v>70000</v>
      </c>
      <c r="N5392" s="26">
        <v>0</v>
      </c>
      <c r="O5392" s="15">
        <f t="shared" si="461"/>
        <v>70000</v>
      </c>
      <c r="P5392" s="15">
        <f t="shared" si="462"/>
        <v>6.3094326017396005</v>
      </c>
      <c r="Q5392" s="25">
        <v>10000</v>
      </c>
      <c r="R5392" s="22">
        <v>100</v>
      </c>
      <c r="S5392" s="22" t="s">
        <v>6529</v>
      </c>
      <c r="T5392" s="22">
        <f t="shared" si="463"/>
        <v>9</v>
      </c>
      <c r="U5392" s="22">
        <f t="shared" si="464"/>
        <v>2022</v>
      </c>
      <c r="V5392" s="22" t="str">
        <f t="shared" si="465"/>
        <v>METROPOLITANA</v>
      </c>
    </row>
    <row r="5393" spans="1:22" x14ac:dyDescent="0.2">
      <c r="A5393" s="23" t="s">
        <v>6517</v>
      </c>
      <c r="B5393" s="22" t="s">
        <v>33</v>
      </c>
      <c r="C5393" s="22" t="s">
        <v>36</v>
      </c>
      <c r="D5393" s="22" t="s">
        <v>3547</v>
      </c>
      <c r="E5393" s="24" t="s">
        <v>639</v>
      </c>
      <c r="F5393" s="22" t="s">
        <v>876</v>
      </c>
      <c r="G5393" s="25">
        <f>7299.4+4025</f>
        <v>11324.4</v>
      </c>
      <c r="H5393" s="22" t="s">
        <v>24</v>
      </c>
      <c r="I5393" s="22">
        <v>1</v>
      </c>
      <c r="J5393" s="22" t="s">
        <v>876</v>
      </c>
      <c r="K5393" s="22" t="s">
        <v>86</v>
      </c>
      <c r="L5393" s="22">
        <v>0</v>
      </c>
      <c r="M5393" s="26">
        <v>350000</v>
      </c>
      <c r="N5393" s="26">
        <v>0</v>
      </c>
      <c r="O5393" s="15">
        <f t="shared" si="461"/>
        <v>350000</v>
      </c>
      <c r="P5393" s="15">
        <f t="shared" si="462"/>
        <v>30.906714704531808</v>
      </c>
      <c r="Q5393" s="25">
        <v>20000</v>
      </c>
      <c r="R5393" s="22">
        <v>65</v>
      </c>
      <c r="S5393" s="22" t="s">
        <v>6528</v>
      </c>
      <c r="T5393" s="22">
        <f t="shared" si="463"/>
        <v>9</v>
      </c>
      <c r="U5393" s="22">
        <f t="shared" si="464"/>
        <v>2022</v>
      </c>
      <c r="V5393" s="22" t="str">
        <f t="shared" si="465"/>
        <v>REGIONES</v>
      </c>
    </row>
    <row r="5394" spans="1:22" x14ac:dyDescent="0.2">
      <c r="A5394" s="23" t="s">
        <v>6517</v>
      </c>
      <c r="B5394" s="22" t="s">
        <v>33</v>
      </c>
      <c r="C5394" s="22" t="s">
        <v>36</v>
      </c>
      <c r="D5394" s="22" t="s">
        <v>30</v>
      </c>
      <c r="E5394" s="24" t="s">
        <v>31</v>
      </c>
      <c r="F5394" s="22" t="s">
        <v>308</v>
      </c>
      <c r="G5394" s="25">
        <v>6816.86</v>
      </c>
      <c r="H5394" s="22" t="s">
        <v>32</v>
      </c>
      <c r="I5394" s="22">
        <v>0</v>
      </c>
      <c r="J5394" s="22" t="s">
        <v>308</v>
      </c>
      <c r="K5394" s="22" t="s">
        <v>78</v>
      </c>
      <c r="L5394" s="22">
        <v>0</v>
      </c>
      <c r="M5394" s="26">
        <v>203000</v>
      </c>
      <c r="N5394" s="26">
        <v>0</v>
      </c>
      <c r="O5394" s="15">
        <f t="shared" si="461"/>
        <v>203000</v>
      </c>
      <c r="P5394" s="15">
        <f t="shared" si="462"/>
        <v>29.779106509448635</v>
      </c>
      <c r="Q5394" s="25">
        <v>20000</v>
      </c>
      <c r="R5394" s="22">
        <v>34</v>
      </c>
      <c r="S5394" s="22" t="s">
        <v>6519</v>
      </c>
      <c r="T5394" s="22">
        <f t="shared" si="463"/>
        <v>9</v>
      </c>
      <c r="U5394" s="22">
        <f t="shared" si="464"/>
        <v>2022</v>
      </c>
      <c r="V5394" s="22" t="str">
        <f t="shared" si="465"/>
        <v>REGIONES</v>
      </c>
    </row>
    <row r="5395" spans="1:22" x14ac:dyDescent="0.2">
      <c r="A5395" s="23" t="s">
        <v>6517</v>
      </c>
      <c r="B5395" s="22" t="s">
        <v>33</v>
      </c>
      <c r="C5395" s="22" t="s">
        <v>36</v>
      </c>
      <c r="D5395" s="22" t="s">
        <v>47</v>
      </c>
      <c r="E5395" s="24" t="s">
        <v>49</v>
      </c>
      <c r="F5395" s="22" t="s">
        <v>170</v>
      </c>
      <c r="G5395" s="25">
        <v>5300.0000000000009</v>
      </c>
      <c r="H5395" s="22" t="s">
        <v>22</v>
      </c>
      <c r="I5395" s="22">
        <v>0</v>
      </c>
      <c r="J5395" s="22" t="s">
        <v>170</v>
      </c>
      <c r="K5395" s="22" t="s">
        <v>171</v>
      </c>
      <c r="L5395" s="22">
        <v>0</v>
      </c>
      <c r="M5395" s="26">
        <v>180000</v>
      </c>
      <c r="N5395" s="26">
        <v>0</v>
      </c>
      <c r="O5395" s="15">
        <f t="shared" si="461"/>
        <v>180000</v>
      </c>
      <c r="P5395" s="15">
        <f t="shared" si="462"/>
        <v>33.96226415094339</v>
      </c>
      <c r="Q5395" s="25">
        <v>20000</v>
      </c>
      <c r="R5395" s="22">
        <v>27</v>
      </c>
      <c r="S5395" s="22" t="s">
        <v>6520</v>
      </c>
      <c r="T5395" s="22">
        <f t="shared" si="463"/>
        <v>9</v>
      </c>
      <c r="U5395" s="22">
        <f t="shared" si="464"/>
        <v>2022</v>
      </c>
      <c r="V5395" s="22" t="str">
        <f t="shared" si="465"/>
        <v>REGIONES</v>
      </c>
    </row>
    <row r="5396" spans="1:22" x14ac:dyDescent="0.2">
      <c r="A5396" s="23" t="s">
        <v>6517</v>
      </c>
      <c r="B5396" s="22" t="s">
        <v>33</v>
      </c>
      <c r="C5396" s="22" t="s">
        <v>909</v>
      </c>
      <c r="D5396" s="22" t="s">
        <v>786</v>
      </c>
      <c r="E5396" s="24" t="s">
        <v>787</v>
      </c>
      <c r="F5396" s="22" t="s">
        <v>910</v>
      </c>
      <c r="G5396" s="25">
        <v>5878.56</v>
      </c>
      <c r="H5396" s="22" t="s">
        <v>788</v>
      </c>
      <c r="I5396" s="22">
        <v>1</v>
      </c>
      <c r="J5396" s="22" t="s">
        <v>910</v>
      </c>
      <c r="K5396" s="22" t="s">
        <v>171</v>
      </c>
      <c r="L5396" s="22">
        <v>0</v>
      </c>
      <c r="M5396" s="26">
        <v>260000</v>
      </c>
      <c r="N5396" s="26">
        <v>0</v>
      </c>
      <c r="O5396" s="15">
        <f t="shared" si="461"/>
        <v>260000</v>
      </c>
      <c r="P5396" s="15">
        <f t="shared" si="462"/>
        <v>44.228518548760235</v>
      </c>
      <c r="Q5396" s="25">
        <v>20000</v>
      </c>
      <c r="R5396" s="22">
        <v>29</v>
      </c>
      <c r="S5396" s="22" t="s">
        <v>6521</v>
      </c>
      <c r="T5396" s="22">
        <f t="shared" si="463"/>
        <v>9</v>
      </c>
      <c r="U5396" s="22">
        <f t="shared" si="464"/>
        <v>2022</v>
      </c>
      <c r="V5396" s="22" t="str">
        <f t="shared" si="465"/>
        <v>REGIONES</v>
      </c>
    </row>
    <row r="5397" spans="1:22" x14ac:dyDescent="0.2">
      <c r="A5397" s="23" t="s">
        <v>6517</v>
      </c>
      <c r="B5397" s="22" t="s">
        <v>33</v>
      </c>
      <c r="C5397" s="22" t="s">
        <v>2862</v>
      </c>
      <c r="D5397" s="22" t="s">
        <v>63</v>
      </c>
      <c r="E5397" s="24" t="s">
        <v>64</v>
      </c>
      <c r="F5397" s="22" t="s">
        <v>251</v>
      </c>
      <c r="G5397" s="25">
        <v>5251.6</v>
      </c>
      <c r="H5397" s="22" t="s">
        <v>65</v>
      </c>
      <c r="I5397" s="22">
        <v>0</v>
      </c>
      <c r="J5397" s="22" t="s">
        <v>251</v>
      </c>
      <c r="K5397" s="22" t="s">
        <v>78</v>
      </c>
      <c r="L5397" s="22">
        <v>0</v>
      </c>
      <c r="M5397" s="26">
        <v>203000</v>
      </c>
      <c r="N5397" s="26">
        <v>0</v>
      </c>
      <c r="O5397" s="15">
        <f t="shared" ref="O5397:O5460" si="466">SUM(M5397:N5397)</f>
        <v>203000</v>
      </c>
      <c r="P5397" s="15">
        <f t="shared" si="462"/>
        <v>38.654886129941346</v>
      </c>
      <c r="Q5397" s="25">
        <v>20000</v>
      </c>
      <c r="R5397" s="22">
        <v>26</v>
      </c>
      <c r="S5397" s="22" t="s">
        <v>6522</v>
      </c>
      <c r="T5397" s="22">
        <f t="shared" si="463"/>
        <v>9</v>
      </c>
      <c r="U5397" s="22">
        <f t="shared" si="464"/>
        <v>2022</v>
      </c>
      <c r="V5397" s="22" t="str">
        <f t="shared" si="465"/>
        <v>REGIONES</v>
      </c>
    </row>
    <row r="5398" spans="1:22" x14ac:dyDescent="0.2">
      <c r="A5398" s="23" t="s">
        <v>6517</v>
      </c>
      <c r="B5398" s="22" t="s">
        <v>33</v>
      </c>
      <c r="C5398" s="22" t="s">
        <v>29</v>
      </c>
      <c r="D5398" s="22" t="s">
        <v>37</v>
      </c>
      <c r="E5398" s="24" t="s">
        <v>40</v>
      </c>
      <c r="F5398" s="22" t="s">
        <v>39</v>
      </c>
      <c r="G5398" s="25">
        <v>11224.999999999991</v>
      </c>
      <c r="H5398" s="22" t="s">
        <v>22</v>
      </c>
      <c r="I5398" s="22">
        <v>0</v>
      </c>
      <c r="J5398" s="22" t="s">
        <v>39</v>
      </c>
      <c r="K5398" s="22" t="s">
        <v>23</v>
      </c>
      <c r="L5398" s="22">
        <v>1</v>
      </c>
      <c r="M5398" s="26">
        <v>123475</v>
      </c>
      <c r="N5398" s="26">
        <v>0</v>
      </c>
      <c r="O5398" s="15">
        <f t="shared" si="466"/>
        <v>123475</v>
      </c>
      <c r="P5398" s="15">
        <f t="shared" si="462"/>
        <v>11.000000000000009</v>
      </c>
      <c r="Q5398" s="25">
        <v>5000</v>
      </c>
      <c r="R5398" s="22">
        <v>100</v>
      </c>
      <c r="S5398" s="22" t="s">
        <v>6523</v>
      </c>
      <c r="T5398" s="22">
        <f t="shared" si="463"/>
        <v>9</v>
      </c>
      <c r="U5398" s="22">
        <f t="shared" si="464"/>
        <v>2022</v>
      </c>
      <c r="V5398" s="22" t="str">
        <f t="shared" si="465"/>
        <v>METROPOLITANA</v>
      </c>
    </row>
    <row r="5399" spans="1:22" x14ac:dyDescent="0.2">
      <c r="A5399" s="23" t="s">
        <v>6517</v>
      </c>
      <c r="B5399" s="22" t="s">
        <v>33</v>
      </c>
      <c r="C5399" s="22" t="s">
        <v>29</v>
      </c>
      <c r="D5399" s="22" t="s">
        <v>164</v>
      </c>
      <c r="E5399" s="24" t="s">
        <v>1576</v>
      </c>
      <c r="F5399" s="22" t="s">
        <v>39</v>
      </c>
      <c r="G5399" s="25">
        <f>8198.11+3401</f>
        <v>11599.11</v>
      </c>
      <c r="H5399" s="22" t="s">
        <v>22</v>
      </c>
      <c r="I5399" s="22">
        <v>1</v>
      </c>
      <c r="J5399" s="22" t="s">
        <v>39</v>
      </c>
      <c r="K5399" s="22" t="s">
        <v>23</v>
      </c>
      <c r="L5399" s="22">
        <v>1</v>
      </c>
      <c r="M5399" s="26">
        <v>90179</v>
      </c>
      <c r="N5399" s="26">
        <v>0</v>
      </c>
      <c r="O5399" s="15">
        <f t="shared" si="466"/>
        <v>90179</v>
      </c>
      <c r="P5399" s="15">
        <f t="shared" si="462"/>
        <v>7.7746482273208892</v>
      </c>
      <c r="Q5399" s="25">
        <v>5000</v>
      </c>
      <c r="R5399" s="22">
        <v>100</v>
      </c>
      <c r="S5399" s="22" t="s">
        <v>6527</v>
      </c>
      <c r="T5399" s="22">
        <f t="shared" si="463"/>
        <v>9</v>
      </c>
      <c r="U5399" s="22">
        <f t="shared" si="464"/>
        <v>2022</v>
      </c>
      <c r="V5399" s="22" t="str">
        <f t="shared" si="465"/>
        <v>METROPOLITANA</v>
      </c>
    </row>
    <row r="5400" spans="1:22" x14ac:dyDescent="0.2">
      <c r="A5400" s="23" t="s">
        <v>6517</v>
      </c>
      <c r="B5400" s="22" t="s">
        <v>33</v>
      </c>
      <c r="C5400" s="22" t="s">
        <v>44</v>
      </c>
      <c r="D5400" s="22" t="s">
        <v>191</v>
      </c>
      <c r="E5400" s="24" t="s">
        <v>192</v>
      </c>
      <c r="F5400" s="22" t="s">
        <v>3438</v>
      </c>
      <c r="G5400" s="25">
        <v>9787.3600000000042</v>
      </c>
      <c r="H5400" s="22" t="s">
        <v>85</v>
      </c>
      <c r="I5400" s="22">
        <v>1</v>
      </c>
      <c r="J5400" s="22" t="s">
        <v>3438</v>
      </c>
      <c r="K5400" s="22" t="s">
        <v>93</v>
      </c>
      <c r="L5400" s="22">
        <v>0</v>
      </c>
      <c r="M5400" s="26">
        <v>800000</v>
      </c>
      <c r="N5400" s="26">
        <v>0</v>
      </c>
      <c r="O5400" s="15">
        <f t="shared" si="466"/>
        <v>800000</v>
      </c>
      <c r="P5400" s="15">
        <f t="shared" si="462"/>
        <v>81.738078501250556</v>
      </c>
      <c r="Q5400" s="25">
        <v>20000</v>
      </c>
      <c r="R5400" s="22">
        <v>49</v>
      </c>
      <c r="S5400" s="22" t="s">
        <v>6524</v>
      </c>
      <c r="T5400" s="22">
        <f t="shared" si="463"/>
        <v>9</v>
      </c>
      <c r="U5400" s="22">
        <f t="shared" si="464"/>
        <v>2022</v>
      </c>
      <c r="V5400" s="22" t="str">
        <f t="shared" si="465"/>
        <v>REGIONES</v>
      </c>
    </row>
    <row r="5401" spans="1:22" x14ac:dyDescent="0.2">
      <c r="A5401" s="23" t="s">
        <v>6517</v>
      </c>
      <c r="B5401" s="22" t="s">
        <v>33</v>
      </c>
      <c r="C5401" s="22" t="s">
        <v>44</v>
      </c>
      <c r="D5401" s="22" t="s">
        <v>20</v>
      </c>
      <c r="E5401" s="24" t="s">
        <v>21</v>
      </c>
      <c r="F5401" s="22" t="s">
        <v>891</v>
      </c>
      <c r="G5401" s="25">
        <v>3240</v>
      </c>
      <c r="H5401" s="22" t="s">
        <v>22</v>
      </c>
      <c r="I5401" s="22">
        <v>0</v>
      </c>
      <c r="J5401" s="22" t="s">
        <v>127</v>
      </c>
      <c r="K5401" s="22" t="s">
        <v>78</v>
      </c>
      <c r="L5401" s="22">
        <v>0</v>
      </c>
      <c r="M5401" s="26">
        <v>203000</v>
      </c>
      <c r="N5401" s="26">
        <v>0</v>
      </c>
      <c r="O5401" s="15">
        <f t="shared" si="466"/>
        <v>203000</v>
      </c>
      <c r="P5401" s="15">
        <f t="shared" si="462"/>
        <v>62.654320987654323</v>
      </c>
      <c r="Q5401" s="25">
        <v>20000</v>
      </c>
      <c r="R5401" s="22">
        <v>16</v>
      </c>
      <c r="S5401" s="22" t="s">
        <v>6525</v>
      </c>
      <c r="T5401" s="22">
        <f t="shared" si="463"/>
        <v>9</v>
      </c>
      <c r="U5401" s="22">
        <f t="shared" si="464"/>
        <v>2022</v>
      </c>
      <c r="V5401" s="22" t="str">
        <f t="shared" si="465"/>
        <v>REGIONES</v>
      </c>
    </row>
    <row r="5402" spans="1:22" x14ac:dyDescent="0.2">
      <c r="A5402" s="11" t="s">
        <v>6534</v>
      </c>
      <c r="B5402" s="12" t="s">
        <v>33</v>
      </c>
      <c r="C5402" s="12" t="s">
        <v>60</v>
      </c>
      <c r="D5402" s="12" t="s">
        <v>130</v>
      </c>
      <c r="E5402" s="13" t="s">
        <v>131</v>
      </c>
      <c r="F5402" s="12" t="s">
        <v>51</v>
      </c>
      <c r="G5402" s="14">
        <v>8784.8000000000047</v>
      </c>
      <c r="H5402" s="12" t="s">
        <v>85</v>
      </c>
      <c r="I5402" s="12">
        <v>1</v>
      </c>
      <c r="J5402" s="12" t="s">
        <v>51</v>
      </c>
      <c r="K5402" s="12" t="s">
        <v>23</v>
      </c>
      <c r="L5402" s="12">
        <v>4</v>
      </c>
      <c r="M5402" s="15">
        <v>96633</v>
      </c>
      <c r="N5402" s="15">
        <v>0</v>
      </c>
      <c r="O5402" s="15">
        <f t="shared" si="466"/>
        <v>96633</v>
      </c>
      <c r="P5402" s="15">
        <f t="shared" si="462"/>
        <v>11.000022766596842</v>
      </c>
      <c r="Q5402" s="14">
        <v>5000</v>
      </c>
      <c r="R5402" s="12">
        <v>100</v>
      </c>
      <c r="S5402" s="12" t="s">
        <v>6535</v>
      </c>
      <c r="T5402" s="22">
        <f t="shared" si="463"/>
        <v>9</v>
      </c>
      <c r="U5402" s="22">
        <f t="shared" si="464"/>
        <v>2022</v>
      </c>
      <c r="V5402" s="22" t="str">
        <f t="shared" si="465"/>
        <v>METROPOLITANA</v>
      </c>
    </row>
    <row r="5403" spans="1:22" x14ac:dyDescent="0.2">
      <c r="A5403" s="11" t="s">
        <v>6534</v>
      </c>
      <c r="B5403" s="12" t="s">
        <v>33</v>
      </c>
      <c r="C5403" s="12" t="s">
        <v>29</v>
      </c>
      <c r="D5403" s="12" t="s">
        <v>38</v>
      </c>
      <c r="E5403" s="13" t="s">
        <v>1124</v>
      </c>
      <c r="F5403" s="12" t="s">
        <v>161</v>
      </c>
      <c r="G5403" s="14">
        <v>15184.400000000011</v>
      </c>
      <c r="H5403" s="12" t="s">
        <v>43</v>
      </c>
      <c r="I5403" s="12">
        <v>0</v>
      </c>
      <c r="J5403" s="12" t="s">
        <v>161</v>
      </c>
      <c r="K5403" s="12" t="s">
        <v>23</v>
      </c>
      <c r="L5403" s="12">
        <v>5</v>
      </c>
      <c r="M5403" s="15">
        <v>70000</v>
      </c>
      <c r="N5403" s="15">
        <v>0</v>
      </c>
      <c r="O5403" s="15">
        <f t="shared" si="466"/>
        <v>70000</v>
      </c>
      <c r="P5403" s="15">
        <f t="shared" si="462"/>
        <v>4.6099944680066356</v>
      </c>
      <c r="Q5403" s="14">
        <v>10000</v>
      </c>
      <c r="R5403" s="12">
        <v>100</v>
      </c>
      <c r="S5403" s="12" t="s">
        <v>6536</v>
      </c>
      <c r="T5403" s="22">
        <f t="shared" si="463"/>
        <v>9</v>
      </c>
      <c r="U5403" s="22">
        <f t="shared" si="464"/>
        <v>2022</v>
      </c>
      <c r="V5403" s="22" t="str">
        <f t="shared" si="465"/>
        <v>METROPOLITANA</v>
      </c>
    </row>
    <row r="5404" spans="1:22" x14ac:dyDescent="0.2">
      <c r="A5404" s="11" t="s">
        <v>6534</v>
      </c>
      <c r="B5404" s="12" t="s">
        <v>33</v>
      </c>
      <c r="C5404" s="12" t="s">
        <v>29</v>
      </c>
      <c r="D5404" s="12" t="s">
        <v>37</v>
      </c>
      <c r="E5404" s="13" t="s">
        <v>40</v>
      </c>
      <c r="F5404" s="12" t="s">
        <v>173</v>
      </c>
      <c r="G5404" s="14">
        <v>5297.8800000000028</v>
      </c>
      <c r="H5404" s="12" t="s">
        <v>22</v>
      </c>
      <c r="I5404" s="12">
        <v>0</v>
      </c>
      <c r="J5404" s="12" t="s">
        <v>173</v>
      </c>
      <c r="K5404" s="12" t="s">
        <v>23</v>
      </c>
      <c r="L5404" s="12">
        <v>5</v>
      </c>
      <c r="M5404" s="15">
        <v>90000</v>
      </c>
      <c r="N5404" s="15">
        <v>0</v>
      </c>
      <c r="O5404" s="15">
        <f t="shared" si="466"/>
        <v>90000</v>
      </c>
      <c r="P5404" s="15">
        <f t="shared" si="462"/>
        <v>16.987927246370237</v>
      </c>
      <c r="Q5404" s="14">
        <v>10000</v>
      </c>
      <c r="R5404" s="12">
        <v>53</v>
      </c>
      <c r="S5404" s="12" t="s">
        <v>6537</v>
      </c>
      <c r="T5404" s="22">
        <f t="shared" si="463"/>
        <v>9</v>
      </c>
      <c r="U5404" s="22">
        <f t="shared" si="464"/>
        <v>2022</v>
      </c>
      <c r="V5404" s="22" t="str">
        <f t="shared" si="465"/>
        <v>METROPOLITANA</v>
      </c>
    </row>
    <row r="5405" spans="1:22" x14ac:dyDescent="0.2">
      <c r="A5405" s="11" t="s">
        <v>6534</v>
      </c>
      <c r="B5405" s="12" t="s">
        <v>33</v>
      </c>
      <c r="C5405" s="12" t="s">
        <v>29</v>
      </c>
      <c r="D5405" s="12" t="s">
        <v>63</v>
      </c>
      <c r="E5405" s="13" t="s">
        <v>64</v>
      </c>
      <c r="F5405" s="12" t="s">
        <v>39</v>
      </c>
      <c r="G5405" s="14">
        <v>11152.22</v>
      </c>
      <c r="H5405" s="12" t="s">
        <v>65</v>
      </c>
      <c r="I5405" s="12">
        <v>0</v>
      </c>
      <c r="J5405" s="12" t="s">
        <v>39</v>
      </c>
      <c r="K5405" s="12" t="s">
        <v>23</v>
      </c>
      <c r="L5405" s="12">
        <v>1</v>
      </c>
      <c r="M5405" s="15">
        <v>122674</v>
      </c>
      <c r="N5405" s="15">
        <v>0</v>
      </c>
      <c r="O5405" s="15">
        <f t="shared" si="466"/>
        <v>122674</v>
      </c>
      <c r="P5405" s="15">
        <f t="shared" si="462"/>
        <v>10.999962339336921</v>
      </c>
      <c r="Q5405" s="14">
        <v>5000</v>
      </c>
      <c r="R5405" s="12">
        <v>100</v>
      </c>
      <c r="S5405" s="12" t="s">
        <v>6538</v>
      </c>
      <c r="T5405" s="22">
        <f t="shared" si="463"/>
        <v>9</v>
      </c>
      <c r="U5405" s="22">
        <f t="shared" si="464"/>
        <v>2022</v>
      </c>
      <c r="V5405" s="22" t="str">
        <f t="shared" si="465"/>
        <v>METROPOLITANA</v>
      </c>
    </row>
    <row r="5406" spans="1:22" x14ac:dyDescent="0.2">
      <c r="A5406" s="11" t="s">
        <v>6534</v>
      </c>
      <c r="B5406" s="12" t="s">
        <v>33</v>
      </c>
      <c r="C5406" s="12" t="s">
        <v>29</v>
      </c>
      <c r="D5406" s="12" t="s">
        <v>164</v>
      </c>
      <c r="E5406" s="13" t="s">
        <v>1576</v>
      </c>
      <c r="F5406" s="12" t="s">
        <v>39</v>
      </c>
      <c r="G5406" s="14">
        <v>14428.1</v>
      </c>
      <c r="H5406" s="12" t="s">
        <v>22</v>
      </c>
      <c r="I5406" s="12">
        <v>1</v>
      </c>
      <c r="J5406" s="12" t="s">
        <v>39</v>
      </c>
      <c r="K5406" s="12" t="s">
        <v>23</v>
      </c>
      <c r="L5406" s="12">
        <v>1</v>
      </c>
      <c r="M5406" s="15">
        <v>158709</v>
      </c>
      <c r="N5406" s="15">
        <v>0</v>
      </c>
      <c r="O5406" s="15">
        <f t="shared" si="466"/>
        <v>158709</v>
      </c>
      <c r="P5406" s="15">
        <f t="shared" si="462"/>
        <v>10.999993069080475</v>
      </c>
      <c r="Q5406" s="14">
        <v>5000</v>
      </c>
      <c r="R5406" s="12">
        <v>100</v>
      </c>
      <c r="S5406" s="12" t="s">
        <v>6539</v>
      </c>
      <c r="T5406" s="22">
        <f t="shared" si="463"/>
        <v>9</v>
      </c>
      <c r="U5406" s="22">
        <f t="shared" si="464"/>
        <v>2022</v>
      </c>
      <c r="V5406" s="22" t="str">
        <f t="shared" si="465"/>
        <v>METROPOLITANA</v>
      </c>
    </row>
    <row r="5407" spans="1:22" x14ac:dyDescent="0.2">
      <c r="A5407" s="11" t="s">
        <v>6534</v>
      </c>
      <c r="B5407" s="12" t="s">
        <v>33</v>
      </c>
      <c r="C5407" s="12" t="s">
        <v>44</v>
      </c>
      <c r="D5407" s="12" t="s">
        <v>37</v>
      </c>
      <c r="E5407" s="13" t="s">
        <v>40</v>
      </c>
      <c r="F5407" s="12" t="s">
        <v>6540</v>
      </c>
      <c r="G5407" s="14">
        <v>11590</v>
      </c>
      <c r="H5407" s="12" t="s">
        <v>22</v>
      </c>
      <c r="I5407" s="12">
        <v>0</v>
      </c>
      <c r="J5407" s="12" t="s">
        <v>6540</v>
      </c>
      <c r="K5407" s="12" t="s">
        <v>78</v>
      </c>
      <c r="L5407" s="12">
        <v>0</v>
      </c>
      <c r="M5407" s="15">
        <v>203000</v>
      </c>
      <c r="N5407" s="15">
        <v>0</v>
      </c>
      <c r="O5407" s="15">
        <f t="shared" si="466"/>
        <v>203000</v>
      </c>
      <c r="P5407" s="15">
        <f t="shared" si="462"/>
        <v>17.515099223468507</v>
      </c>
      <c r="Q5407" s="14">
        <v>20000</v>
      </c>
      <c r="R5407" s="12">
        <v>58</v>
      </c>
      <c r="S5407" s="12" t="s">
        <v>6541</v>
      </c>
      <c r="T5407" s="22">
        <f t="shared" si="463"/>
        <v>9</v>
      </c>
      <c r="U5407" s="22">
        <f t="shared" si="464"/>
        <v>2022</v>
      </c>
      <c r="V5407" s="22" t="str">
        <f t="shared" si="465"/>
        <v>REGIONES</v>
      </c>
    </row>
    <row r="5408" spans="1:22" x14ac:dyDescent="0.2">
      <c r="A5408" s="11" t="s">
        <v>6534</v>
      </c>
      <c r="B5408" s="12" t="s">
        <v>33</v>
      </c>
      <c r="C5408" s="12" t="s">
        <v>44</v>
      </c>
      <c r="D5408" s="12" t="s">
        <v>45</v>
      </c>
      <c r="E5408" s="13" t="s">
        <v>52</v>
      </c>
      <c r="F5408" s="12" t="s">
        <v>26</v>
      </c>
      <c r="G5408" s="14">
        <v>2706.42</v>
      </c>
      <c r="H5408" s="12" t="s">
        <v>22</v>
      </c>
      <c r="I5408" s="12">
        <v>0</v>
      </c>
      <c r="J5408" s="12" t="s">
        <v>26</v>
      </c>
      <c r="K5408" s="12" t="s">
        <v>23</v>
      </c>
      <c r="L5408" s="12">
        <v>4</v>
      </c>
      <c r="M5408" s="15">
        <v>55000</v>
      </c>
      <c r="N5408" s="15">
        <v>0</v>
      </c>
      <c r="O5408" s="15">
        <f t="shared" si="466"/>
        <v>55000</v>
      </c>
      <c r="P5408" s="15">
        <f t="shared" si="462"/>
        <v>20.322049053731497</v>
      </c>
      <c r="Q5408" s="14">
        <v>5000</v>
      </c>
      <c r="R5408" s="12">
        <v>54</v>
      </c>
      <c r="S5408" s="12" t="s">
        <v>6542</v>
      </c>
      <c r="T5408" s="22">
        <f t="shared" si="463"/>
        <v>9</v>
      </c>
      <c r="U5408" s="22">
        <f t="shared" si="464"/>
        <v>2022</v>
      </c>
      <c r="V5408" s="22" t="str">
        <f t="shared" si="465"/>
        <v>METROPOLITANA</v>
      </c>
    </row>
    <row r="5409" spans="1:22" x14ac:dyDescent="0.2">
      <c r="A5409" s="11" t="s">
        <v>6534</v>
      </c>
      <c r="B5409" s="12" t="s">
        <v>33</v>
      </c>
      <c r="C5409" s="12" t="s">
        <v>44</v>
      </c>
      <c r="D5409" s="12" t="s">
        <v>47</v>
      </c>
      <c r="E5409" s="13" t="s">
        <v>49</v>
      </c>
      <c r="F5409" s="12" t="s">
        <v>51</v>
      </c>
      <c r="G5409" s="14">
        <v>3300.53</v>
      </c>
      <c r="H5409" s="12" t="s">
        <v>22</v>
      </c>
      <c r="I5409" s="12">
        <v>0</v>
      </c>
      <c r="J5409" s="12" t="s">
        <v>51</v>
      </c>
      <c r="K5409" s="12" t="s">
        <v>23</v>
      </c>
      <c r="L5409" s="12">
        <v>4</v>
      </c>
      <c r="M5409" s="15">
        <v>55000</v>
      </c>
      <c r="N5409" s="15">
        <v>0</v>
      </c>
      <c r="O5409" s="15">
        <f t="shared" si="466"/>
        <v>55000</v>
      </c>
      <c r="P5409" s="15">
        <f t="shared" ref="P5409:P5472" si="467">O5409/G5409</f>
        <v>16.663990328825975</v>
      </c>
      <c r="Q5409" s="14">
        <v>5000</v>
      </c>
      <c r="R5409" s="12">
        <v>66</v>
      </c>
      <c r="S5409" s="12" t="s">
        <v>6543</v>
      </c>
      <c r="T5409" s="22">
        <f t="shared" si="463"/>
        <v>9</v>
      </c>
      <c r="U5409" s="22">
        <f t="shared" si="464"/>
        <v>2022</v>
      </c>
      <c r="V5409" s="22" t="str">
        <f t="shared" si="465"/>
        <v>METROPOLITANA</v>
      </c>
    </row>
    <row r="5410" spans="1:22" x14ac:dyDescent="0.2">
      <c r="A5410" s="11" t="s">
        <v>6534</v>
      </c>
      <c r="B5410" s="12" t="s">
        <v>33</v>
      </c>
      <c r="C5410" s="12" t="s">
        <v>44</v>
      </c>
      <c r="D5410" s="12" t="s">
        <v>20</v>
      </c>
      <c r="E5410" s="13" t="s">
        <v>21</v>
      </c>
      <c r="F5410" s="12" t="s">
        <v>6540</v>
      </c>
      <c r="G5410" s="14">
        <v>6161</v>
      </c>
      <c r="H5410" s="12" t="s">
        <v>22</v>
      </c>
      <c r="I5410" s="12">
        <v>0</v>
      </c>
      <c r="J5410" s="12" t="s">
        <v>6540</v>
      </c>
      <c r="K5410" s="12" t="s">
        <v>78</v>
      </c>
      <c r="L5410" s="12">
        <v>0</v>
      </c>
      <c r="M5410" s="15">
        <v>203000</v>
      </c>
      <c r="N5410" s="15">
        <v>0</v>
      </c>
      <c r="O5410" s="15">
        <f t="shared" si="466"/>
        <v>203000</v>
      </c>
      <c r="P5410" s="15">
        <f t="shared" si="467"/>
        <v>32.949196559000164</v>
      </c>
      <c r="Q5410" s="14">
        <v>20000</v>
      </c>
      <c r="R5410" s="12">
        <v>31</v>
      </c>
      <c r="S5410" s="12" t="s">
        <v>6544</v>
      </c>
      <c r="T5410" s="22">
        <f t="shared" si="463"/>
        <v>9</v>
      </c>
      <c r="U5410" s="22">
        <f t="shared" si="464"/>
        <v>2022</v>
      </c>
      <c r="V5410" s="22" t="str">
        <f t="shared" si="465"/>
        <v>REGIONES</v>
      </c>
    </row>
    <row r="5411" spans="1:22" x14ac:dyDescent="0.2">
      <c r="A5411" s="23" t="s">
        <v>6545</v>
      </c>
      <c r="B5411" s="22" t="s">
        <v>18</v>
      </c>
      <c r="C5411" s="22" t="s">
        <v>1997</v>
      </c>
      <c r="D5411" s="22" t="s">
        <v>38</v>
      </c>
      <c r="E5411" s="24" t="s">
        <v>25</v>
      </c>
      <c r="F5411" s="22" t="s">
        <v>58</v>
      </c>
      <c r="G5411" s="25">
        <f>5657.37+750</f>
        <v>6407.37</v>
      </c>
      <c r="H5411" s="22" t="s">
        <v>43</v>
      </c>
      <c r="I5411" s="22">
        <v>0</v>
      </c>
      <c r="J5411" s="22" t="s">
        <v>58</v>
      </c>
      <c r="K5411" s="22" t="s">
        <v>23</v>
      </c>
      <c r="L5411" s="22">
        <v>5</v>
      </c>
      <c r="M5411" s="26">
        <v>70000</v>
      </c>
      <c r="N5411" s="26">
        <v>0</v>
      </c>
      <c r="O5411" s="15">
        <f t="shared" si="466"/>
        <v>70000</v>
      </c>
      <c r="P5411" s="15">
        <f t="shared" si="467"/>
        <v>10.924919272650088</v>
      </c>
      <c r="Q5411" s="25">
        <v>10000</v>
      </c>
      <c r="R5411" s="22">
        <v>57</v>
      </c>
      <c r="S5411" s="22" t="s">
        <v>6553</v>
      </c>
      <c r="T5411" s="22">
        <f t="shared" si="463"/>
        <v>9</v>
      </c>
      <c r="U5411" s="22">
        <f t="shared" si="464"/>
        <v>2022</v>
      </c>
      <c r="V5411" s="22" t="str">
        <f t="shared" si="465"/>
        <v>METROPOLITANA</v>
      </c>
    </row>
    <row r="5412" spans="1:22" x14ac:dyDescent="0.2">
      <c r="A5412" s="23" t="s">
        <v>6545</v>
      </c>
      <c r="B5412" s="22" t="s">
        <v>33</v>
      </c>
      <c r="C5412" s="22" t="s">
        <v>128</v>
      </c>
      <c r="D5412" s="22" t="s">
        <v>41</v>
      </c>
      <c r="E5412" s="24" t="s">
        <v>25</v>
      </c>
      <c r="F5412" s="22" t="s">
        <v>34</v>
      </c>
      <c r="G5412" s="25">
        <v>5566.4000000000024</v>
      </c>
      <c r="H5412" s="22" t="s">
        <v>43</v>
      </c>
      <c r="I5412" s="22">
        <v>0</v>
      </c>
      <c r="J5412" s="22" t="s">
        <v>34</v>
      </c>
      <c r="K5412" s="22" t="s">
        <v>23</v>
      </c>
      <c r="L5412" s="22">
        <v>1</v>
      </c>
      <c r="M5412" s="26">
        <v>61230</v>
      </c>
      <c r="N5412" s="26">
        <v>0</v>
      </c>
      <c r="O5412" s="15">
        <f t="shared" si="466"/>
        <v>61230</v>
      </c>
      <c r="P5412" s="15">
        <f t="shared" si="467"/>
        <v>10.999928140270187</v>
      </c>
      <c r="Q5412" s="25">
        <v>5000</v>
      </c>
      <c r="R5412" s="22">
        <v>100</v>
      </c>
      <c r="S5412" s="22" t="s">
        <v>6546</v>
      </c>
      <c r="T5412" s="22">
        <f t="shared" si="463"/>
        <v>9</v>
      </c>
      <c r="U5412" s="22">
        <f t="shared" si="464"/>
        <v>2022</v>
      </c>
      <c r="V5412" s="22" t="str">
        <f t="shared" si="465"/>
        <v>METROPOLITANA</v>
      </c>
    </row>
    <row r="5413" spans="1:22" x14ac:dyDescent="0.2">
      <c r="A5413" s="23" t="s">
        <v>6545</v>
      </c>
      <c r="B5413" s="22" t="s">
        <v>33</v>
      </c>
      <c r="C5413" s="22" t="s">
        <v>36</v>
      </c>
      <c r="D5413" s="22" t="s">
        <v>786</v>
      </c>
      <c r="E5413" s="24" t="s">
        <v>787</v>
      </c>
      <c r="F5413" s="22" t="s">
        <v>59</v>
      </c>
      <c r="G5413" s="25">
        <f>6024.24+713</f>
        <v>6737.24</v>
      </c>
      <c r="H5413" s="22" t="s">
        <v>788</v>
      </c>
      <c r="I5413" s="22">
        <v>1</v>
      </c>
      <c r="J5413" s="22" t="s">
        <v>59</v>
      </c>
      <c r="K5413" s="22" t="s">
        <v>78</v>
      </c>
      <c r="L5413" s="22">
        <v>0</v>
      </c>
      <c r="M5413" s="26">
        <v>275000</v>
      </c>
      <c r="N5413" s="26">
        <v>0</v>
      </c>
      <c r="O5413" s="15">
        <f t="shared" si="466"/>
        <v>275000</v>
      </c>
      <c r="P5413" s="15">
        <f t="shared" si="467"/>
        <v>40.817901692681275</v>
      </c>
      <c r="Q5413" s="25">
        <v>20000</v>
      </c>
      <c r="R5413" s="22">
        <v>55</v>
      </c>
      <c r="S5413" s="22" t="s">
        <v>6552</v>
      </c>
      <c r="T5413" s="22">
        <f t="shared" si="463"/>
        <v>9</v>
      </c>
      <c r="U5413" s="22">
        <f t="shared" si="464"/>
        <v>2022</v>
      </c>
      <c r="V5413" s="22" t="str">
        <f t="shared" si="465"/>
        <v>REGIONES</v>
      </c>
    </row>
    <row r="5414" spans="1:22" x14ac:dyDescent="0.2">
      <c r="A5414" s="23" t="s">
        <v>6545</v>
      </c>
      <c r="B5414" s="22" t="s">
        <v>33</v>
      </c>
      <c r="C5414" s="22" t="s">
        <v>36</v>
      </c>
      <c r="D5414" s="22" t="s">
        <v>30</v>
      </c>
      <c r="E5414" s="24" t="s">
        <v>31</v>
      </c>
      <c r="F5414" s="22" t="s">
        <v>127</v>
      </c>
      <c r="G5414" s="25">
        <f>4074.8+1348</f>
        <v>5422.8</v>
      </c>
      <c r="H5414" s="22" t="s">
        <v>32</v>
      </c>
      <c r="I5414" s="22">
        <v>0</v>
      </c>
      <c r="J5414" s="22" t="s">
        <v>127</v>
      </c>
      <c r="K5414" s="22" t="s">
        <v>78</v>
      </c>
      <c r="L5414" s="22">
        <v>0</v>
      </c>
      <c r="M5414" s="26">
        <v>203000</v>
      </c>
      <c r="N5414" s="26">
        <v>0</v>
      </c>
      <c r="O5414" s="15">
        <f t="shared" si="466"/>
        <v>203000</v>
      </c>
      <c r="P5414" s="15">
        <f t="shared" si="467"/>
        <v>37.434535664232499</v>
      </c>
      <c r="Q5414" s="25">
        <v>20000</v>
      </c>
      <c r="R5414" s="22">
        <v>55</v>
      </c>
      <c r="S5414" s="22" t="s">
        <v>6555</v>
      </c>
      <c r="T5414" s="22">
        <f t="shared" si="463"/>
        <v>9</v>
      </c>
      <c r="U5414" s="22">
        <f t="shared" si="464"/>
        <v>2022</v>
      </c>
      <c r="V5414" s="22" t="str">
        <f t="shared" si="465"/>
        <v>REGIONES</v>
      </c>
    </row>
    <row r="5415" spans="1:22" x14ac:dyDescent="0.2">
      <c r="A5415" s="23" t="s">
        <v>6545</v>
      </c>
      <c r="B5415" s="22" t="s">
        <v>33</v>
      </c>
      <c r="C5415" s="22" t="s">
        <v>2862</v>
      </c>
      <c r="D5415" s="22" t="s">
        <v>2825</v>
      </c>
      <c r="E5415" s="24" t="s">
        <v>639</v>
      </c>
      <c r="F5415" s="22" t="s">
        <v>132</v>
      </c>
      <c r="G5415" s="25">
        <v>15441.999999999991</v>
      </c>
      <c r="H5415" s="22" t="s">
        <v>24</v>
      </c>
      <c r="I5415" s="22">
        <v>1</v>
      </c>
      <c r="J5415" s="22" t="s">
        <v>132</v>
      </c>
      <c r="K5415" s="22" t="s">
        <v>124</v>
      </c>
      <c r="L5415" s="22">
        <v>0</v>
      </c>
      <c r="M5415" s="26">
        <v>400000</v>
      </c>
      <c r="N5415" s="26">
        <v>0</v>
      </c>
      <c r="O5415" s="15">
        <f t="shared" si="466"/>
        <v>400000</v>
      </c>
      <c r="P5415" s="15">
        <f t="shared" si="467"/>
        <v>25.903380391141059</v>
      </c>
      <c r="Q5415" s="25">
        <v>20000</v>
      </c>
      <c r="R5415" s="22">
        <v>77</v>
      </c>
      <c r="S5415" s="22" t="s">
        <v>6547</v>
      </c>
      <c r="T5415" s="22">
        <f t="shared" si="463"/>
        <v>9</v>
      </c>
      <c r="U5415" s="22">
        <f t="shared" si="464"/>
        <v>2022</v>
      </c>
      <c r="V5415" s="22" t="str">
        <f t="shared" si="465"/>
        <v>REGIONES</v>
      </c>
    </row>
    <row r="5416" spans="1:22" x14ac:dyDescent="0.2">
      <c r="A5416" s="23" t="s">
        <v>6545</v>
      </c>
      <c r="B5416" s="22" t="s">
        <v>33</v>
      </c>
      <c r="C5416" s="22" t="s">
        <v>29</v>
      </c>
      <c r="D5416" s="22" t="s">
        <v>37</v>
      </c>
      <c r="E5416" s="24" t="s">
        <v>1457</v>
      </c>
      <c r="F5416" s="22" t="s">
        <v>39</v>
      </c>
      <c r="G5416" s="25">
        <v>1835.2</v>
      </c>
      <c r="H5416" s="22" t="s">
        <v>22</v>
      </c>
      <c r="I5416" s="22">
        <v>0</v>
      </c>
      <c r="J5416" s="22" t="s">
        <v>39</v>
      </c>
      <c r="K5416" s="22" t="s">
        <v>23</v>
      </c>
      <c r="L5416" s="22">
        <v>1</v>
      </c>
      <c r="M5416" s="26">
        <v>55000</v>
      </c>
      <c r="N5416" s="26">
        <v>0</v>
      </c>
      <c r="O5416" s="15">
        <f t="shared" si="466"/>
        <v>55000</v>
      </c>
      <c r="P5416" s="15">
        <f t="shared" si="467"/>
        <v>29.969485614646903</v>
      </c>
      <c r="Q5416" s="25">
        <v>5000</v>
      </c>
      <c r="R5416" s="22">
        <v>48</v>
      </c>
      <c r="S5416" s="22" t="s">
        <v>6548</v>
      </c>
      <c r="T5416" s="22">
        <f t="shared" si="463"/>
        <v>9</v>
      </c>
      <c r="U5416" s="22">
        <f t="shared" si="464"/>
        <v>2022</v>
      </c>
      <c r="V5416" s="22" t="str">
        <f t="shared" si="465"/>
        <v>METROPOLITANA</v>
      </c>
    </row>
    <row r="5417" spans="1:22" x14ac:dyDescent="0.2">
      <c r="A5417" s="23" t="s">
        <v>6545</v>
      </c>
      <c r="B5417" s="22" t="s">
        <v>33</v>
      </c>
      <c r="C5417" s="22" t="s">
        <v>29</v>
      </c>
      <c r="D5417" s="22" t="s">
        <v>164</v>
      </c>
      <c r="E5417" s="24" t="s">
        <v>1576</v>
      </c>
      <c r="F5417" s="22" t="s">
        <v>39</v>
      </c>
      <c r="G5417" s="25">
        <v>5400.9600000000019</v>
      </c>
      <c r="H5417" s="22" t="s">
        <v>22</v>
      </c>
      <c r="I5417" s="22">
        <v>1</v>
      </c>
      <c r="J5417" s="22" t="s">
        <v>39</v>
      </c>
      <c r="K5417" s="22" t="s">
        <v>23</v>
      </c>
      <c r="L5417" s="22">
        <v>1</v>
      </c>
      <c r="M5417" s="26">
        <v>59411</v>
      </c>
      <c r="N5417" s="26">
        <v>0</v>
      </c>
      <c r="O5417" s="15">
        <f t="shared" si="466"/>
        <v>59411</v>
      </c>
      <c r="P5417" s="15">
        <f t="shared" si="467"/>
        <v>11.000081466998456</v>
      </c>
      <c r="Q5417" s="25">
        <v>5000</v>
      </c>
      <c r="R5417" s="22">
        <v>100</v>
      </c>
      <c r="S5417" s="22" t="s">
        <v>6554</v>
      </c>
      <c r="T5417" s="22">
        <f t="shared" si="463"/>
        <v>9</v>
      </c>
      <c r="U5417" s="22">
        <f t="shared" si="464"/>
        <v>2022</v>
      </c>
      <c r="V5417" s="22" t="str">
        <f t="shared" si="465"/>
        <v>METROPOLITANA</v>
      </c>
    </row>
    <row r="5418" spans="1:22" x14ac:dyDescent="0.2">
      <c r="A5418" s="23" t="s">
        <v>6545</v>
      </c>
      <c r="B5418" s="22" t="s">
        <v>33</v>
      </c>
      <c r="C5418" s="22" t="s">
        <v>44</v>
      </c>
      <c r="D5418" s="22" t="s">
        <v>45</v>
      </c>
      <c r="E5418" s="24" t="s">
        <v>52</v>
      </c>
      <c r="F5418" s="22" t="s">
        <v>67</v>
      </c>
      <c r="G5418" s="25">
        <v>3285.1</v>
      </c>
      <c r="H5418" s="22" t="s">
        <v>22</v>
      </c>
      <c r="I5418" s="22">
        <v>0</v>
      </c>
      <c r="J5418" s="22" t="s">
        <v>67</v>
      </c>
      <c r="K5418" s="22" t="s">
        <v>23</v>
      </c>
      <c r="L5418" s="22">
        <v>2</v>
      </c>
      <c r="M5418" s="26">
        <v>55000</v>
      </c>
      <c r="N5418" s="26">
        <v>0</v>
      </c>
      <c r="O5418" s="15">
        <f t="shared" si="466"/>
        <v>55000</v>
      </c>
      <c r="P5418" s="15">
        <f t="shared" si="467"/>
        <v>16.74226050957353</v>
      </c>
      <c r="Q5418" s="25">
        <v>5000</v>
      </c>
      <c r="R5418" s="22">
        <v>66</v>
      </c>
      <c r="S5418" s="22" t="s">
        <v>6549</v>
      </c>
      <c r="T5418" s="22">
        <f t="shared" si="463"/>
        <v>9</v>
      </c>
      <c r="U5418" s="22">
        <f t="shared" si="464"/>
        <v>2022</v>
      </c>
      <c r="V5418" s="22" t="str">
        <f t="shared" si="465"/>
        <v>METROPOLITANA</v>
      </c>
    </row>
    <row r="5419" spans="1:22" x14ac:dyDescent="0.2">
      <c r="A5419" s="23" t="s">
        <v>6545</v>
      </c>
      <c r="B5419" s="22" t="s">
        <v>33</v>
      </c>
      <c r="C5419" s="22" t="s">
        <v>44</v>
      </c>
      <c r="D5419" s="22" t="s">
        <v>47</v>
      </c>
      <c r="E5419" s="24" t="s">
        <v>49</v>
      </c>
      <c r="F5419" s="22" t="s">
        <v>94</v>
      </c>
      <c r="G5419" s="25">
        <v>4065.44</v>
      </c>
      <c r="H5419" s="22" t="s">
        <v>22</v>
      </c>
      <c r="I5419" s="22">
        <v>0</v>
      </c>
      <c r="J5419" s="22" t="s">
        <v>59</v>
      </c>
      <c r="K5419" s="22" t="s">
        <v>78</v>
      </c>
      <c r="L5419" s="22">
        <v>0</v>
      </c>
      <c r="M5419" s="26">
        <v>203000</v>
      </c>
      <c r="N5419" s="26">
        <v>0</v>
      </c>
      <c r="O5419" s="15">
        <f t="shared" si="466"/>
        <v>203000</v>
      </c>
      <c r="P5419" s="15">
        <f t="shared" si="467"/>
        <v>49.933094572789166</v>
      </c>
      <c r="Q5419" s="25">
        <v>20000</v>
      </c>
      <c r="R5419" s="22">
        <v>54</v>
      </c>
      <c r="S5419" s="22" t="s">
        <v>6550</v>
      </c>
      <c r="T5419" s="22">
        <f t="shared" si="463"/>
        <v>9</v>
      </c>
      <c r="U5419" s="22">
        <f t="shared" si="464"/>
        <v>2022</v>
      </c>
      <c r="V5419" s="22" t="str">
        <f t="shared" si="465"/>
        <v>REGIONES</v>
      </c>
    </row>
    <row r="5420" spans="1:22" x14ac:dyDescent="0.2">
      <c r="A5420" s="23" t="s">
        <v>6545</v>
      </c>
      <c r="B5420" s="22" t="s">
        <v>33</v>
      </c>
      <c r="C5420" s="22" t="s">
        <v>44</v>
      </c>
      <c r="D5420" s="22" t="s">
        <v>20</v>
      </c>
      <c r="E5420" s="24" t="s">
        <v>21</v>
      </c>
      <c r="F5420" s="22" t="s">
        <v>48</v>
      </c>
      <c r="G5420" s="25">
        <v>4345.7</v>
      </c>
      <c r="H5420" s="22" t="s">
        <v>22</v>
      </c>
      <c r="I5420" s="22">
        <v>0</v>
      </c>
      <c r="J5420" s="22" t="s">
        <v>48</v>
      </c>
      <c r="K5420" s="22" t="s">
        <v>23</v>
      </c>
      <c r="L5420" s="22">
        <v>1</v>
      </c>
      <c r="M5420" s="26">
        <v>55000</v>
      </c>
      <c r="N5420" s="26">
        <v>0</v>
      </c>
      <c r="O5420" s="15">
        <f t="shared" si="466"/>
        <v>55000</v>
      </c>
      <c r="P5420" s="15">
        <f t="shared" si="467"/>
        <v>12.656188876360542</v>
      </c>
      <c r="Q5420" s="25">
        <v>5000</v>
      </c>
      <c r="R5420" s="22">
        <v>87</v>
      </c>
      <c r="S5420" s="22" t="s">
        <v>6551</v>
      </c>
      <c r="T5420" s="22">
        <f t="shared" si="463"/>
        <v>9</v>
      </c>
      <c r="U5420" s="22">
        <f t="shared" si="464"/>
        <v>2022</v>
      </c>
      <c r="V5420" s="22" t="str">
        <f t="shared" si="465"/>
        <v>METROPOLITANA</v>
      </c>
    </row>
    <row r="5421" spans="1:22" x14ac:dyDescent="0.2">
      <c r="A5421" s="11" t="s">
        <v>6556</v>
      </c>
      <c r="B5421" s="12" t="s">
        <v>18</v>
      </c>
      <c r="C5421" s="12" t="s">
        <v>19</v>
      </c>
      <c r="D5421" s="12" t="s">
        <v>164</v>
      </c>
      <c r="E5421" s="13" t="s">
        <v>1576</v>
      </c>
      <c r="F5421" s="12" t="s">
        <v>51</v>
      </c>
      <c r="G5421" s="14">
        <v>20355.68</v>
      </c>
      <c r="H5421" s="12" t="s">
        <v>22</v>
      </c>
      <c r="I5421" s="12">
        <v>1</v>
      </c>
      <c r="J5421" s="12" t="s">
        <v>51</v>
      </c>
      <c r="K5421" s="12" t="s">
        <v>23</v>
      </c>
      <c r="L5421" s="12">
        <v>4</v>
      </c>
      <c r="M5421" s="15">
        <v>223912</v>
      </c>
      <c r="N5421" s="15">
        <v>0</v>
      </c>
      <c r="O5421" s="15">
        <f t="shared" si="466"/>
        <v>223912</v>
      </c>
      <c r="P5421" s="15">
        <f t="shared" si="467"/>
        <v>10.999976419358134</v>
      </c>
      <c r="Q5421" s="14">
        <v>5000</v>
      </c>
      <c r="R5421" s="12">
        <v>100</v>
      </c>
      <c r="S5421" s="12" t="s">
        <v>6557</v>
      </c>
      <c r="T5421" s="22">
        <f t="shared" si="463"/>
        <v>9</v>
      </c>
      <c r="U5421" s="22">
        <f t="shared" si="464"/>
        <v>2022</v>
      </c>
      <c r="V5421" s="22" t="str">
        <f t="shared" si="465"/>
        <v>METROPOLITANA</v>
      </c>
    </row>
    <row r="5422" spans="1:22" x14ac:dyDescent="0.2">
      <c r="A5422" s="11" t="s">
        <v>6556</v>
      </c>
      <c r="B5422" s="12" t="s">
        <v>33</v>
      </c>
      <c r="C5422" s="12" t="s">
        <v>60</v>
      </c>
      <c r="D5422" s="12" t="s">
        <v>5478</v>
      </c>
      <c r="E5422" s="13" t="s">
        <v>83</v>
      </c>
      <c r="F5422" s="12" t="s">
        <v>51</v>
      </c>
      <c r="G5422" s="14">
        <v>5448</v>
      </c>
      <c r="H5422" s="12" t="s">
        <v>24</v>
      </c>
      <c r="I5422" s="12">
        <v>1</v>
      </c>
      <c r="J5422" s="12" t="s">
        <v>51</v>
      </c>
      <c r="K5422" s="12" t="s">
        <v>23</v>
      </c>
      <c r="L5422" s="12">
        <v>4</v>
      </c>
      <c r="M5422" s="15">
        <v>59928</v>
      </c>
      <c r="N5422" s="15">
        <v>0</v>
      </c>
      <c r="O5422" s="15">
        <f t="shared" si="466"/>
        <v>59928</v>
      </c>
      <c r="P5422" s="15">
        <f t="shared" si="467"/>
        <v>11</v>
      </c>
      <c r="Q5422" s="14">
        <v>5000</v>
      </c>
      <c r="R5422" s="12">
        <v>100</v>
      </c>
      <c r="S5422" s="12" t="s">
        <v>6558</v>
      </c>
      <c r="T5422" s="22">
        <f t="shared" si="463"/>
        <v>9</v>
      </c>
      <c r="U5422" s="22">
        <f t="shared" si="464"/>
        <v>2022</v>
      </c>
      <c r="V5422" s="22" t="str">
        <f t="shared" si="465"/>
        <v>METROPOLITANA</v>
      </c>
    </row>
    <row r="5423" spans="1:22" x14ac:dyDescent="0.2">
      <c r="A5423" s="11" t="s">
        <v>6556</v>
      </c>
      <c r="B5423" s="12" t="s">
        <v>33</v>
      </c>
      <c r="C5423" s="12" t="s">
        <v>60</v>
      </c>
      <c r="D5423" s="12" t="s">
        <v>45</v>
      </c>
      <c r="E5423" s="13" t="s">
        <v>52</v>
      </c>
      <c r="F5423" s="12" t="s">
        <v>89</v>
      </c>
      <c r="G5423" s="14">
        <v>8502</v>
      </c>
      <c r="H5423" s="12" t="s">
        <v>22</v>
      </c>
      <c r="I5423" s="12">
        <v>0</v>
      </c>
      <c r="J5423" s="12" t="s">
        <v>89</v>
      </c>
      <c r="K5423" s="12" t="s">
        <v>23</v>
      </c>
      <c r="L5423" s="12">
        <v>5</v>
      </c>
      <c r="M5423" s="15">
        <v>90000</v>
      </c>
      <c r="N5423" s="15">
        <v>0</v>
      </c>
      <c r="O5423" s="15">
        <f t="shared" si="466"/>
        <v>90000</v>
      </c>
      <c r="P5423" s="15">
        <f t="shared" si="467"/>
        <v>10.585744530698658</v>
      </c>
      <c r="Q5423" s="14">
        <v>10000</v>
      </c>
      <c r="R5423" s="12">
        <v>85</v>
      </c>
      <c r="S5423" s="12" t="s">
        <v>6559</v>
      </c>
      <c r="T5423" s="22">
        <f t="shared" si="463"/>
        <v>9</v>
      </c>
      <c r="U5423" s="22">
        <f t="shared" si="464"/>
        <v>2022</v>
      </c>
      <c r="V5423" s="22" t="str">
        <f t="shared" si="465"/>
        <v>METROPOLITANA</v>
      </c>
    </row>
    <row r="5424" spans="1:22" x14ac:dyDescent="0.2">
      <c r="A5424" s="11" t="s">
        <v>6556</v>
      </c>
      <c r="B5424" s="12" t="s">
        <v>33</v>
      </c>
      <c r="C5424" s="12" t="s">
        <v>29</v>
      </c>
      <c r="D5424" s="12" t="s">
        <v>38</v>
      </c>
      <c r="E5424" s="13" t="s">
        <v>1124</v>
      </c>
      <c r="F5424" s="12" t="s">
        <v>161</v>
      </c>
      <c r="G5424" s="14">
        <v>6804</v>
      </c>
      <c r="H5424" s="12" t="s">
        <v>43</v>
      </c>
      <c r="I5424" s="12">
        <v>0</v>
      </c>
      <c r="J5424" s="12" t="s">
        <v>161</v>
      </c>
      <c r="K5424" s="12" t="s">
        <v>23</v>
      </c>
      <c r="L5424" s="12">
        <v>5</v>
      </c>
      <c r="M5424" s="15">
        <v>70000</v>
      </c>
      <c r="N5424" s="15">
        <v>0</v>
      </c>
      <c r="O5424" s="15">
        <f t="shared" si="466"/>
        <v>70000</v>
      </c>
      <c r="P5424" s="15">
        <f t="shared" si="467"/>
        <v>10.2880658436214</v>
      </c>
      <c r="Q5424" s="14">
        <v>10000</v>
      </c>
      <c r="R5424" s="12">
        <v>68</v>
      </c>
      <c r="S5424" s="12" t="s">
        <v>6560</v>
      </c>
      <c r="T5424" s="22">
        <f t="shared" si="463"/>
        <v>9</v>
      </c>
      <c r="U5424" s="22">
        <f t="shared" si="464"/>
        <v>2022</v>
      </c>
      <c r="V5424" s="22" t="str">
        <f t="shared" si="465"/>
        <v>METROPOLITANA</v>
      </c>
    </row>
    <row r="5425" spans="1:22" x14ac:dyDescent="0.2">
      <c r="A5425" s="11" t="s">
        <v>6556</v>
      </c>
      <c r="B5425" s="12" t="s">
        <v>33</v>
      </c>
      <c r="C5425" s="12" t="s">
        <v>29</v>
      </c>
      <c r="D5425" s="12" t="s">
        <v>41</v>
      </c>
      <c r="E5425" s="13" t="s">
        <v>25</v>
      </c>
      <c r="F5425" s="12" t="s">
        <v>173</v>
      </c>
      <c r="G5425" s="14">
        <v>6970.2999999999975</v>
      </c>
      <c r="H5425" s="12" t="s">
        <v>43</v>
      </c>
      <c r="I5425" s="12">
        <v>0</v>
      </c>
      <c r="J5425" s="12" t="s">
        <v>173</v>
      </c>
      <c r="K5425" s="12" t="s">
        <v>23</v>
      </c>
      <c r="L5425" s="12">
        <v>5</v>
      </c>
      <c r="M5425" s="15">
        <v>90000</v>
      </c>
      <c r="N5425" s="15">
        <v>0</v>
      </c>
      <c r="O5425" s="15">
        <f t="shared" si="466"/>
        <v>90000</v>
      </c>
      <c r="P5425" s="15">
        <f t="shared" si="467"/>
        <v>12.911926315940494</v>
      </c>
      <c r="Q5425" s="14">
        <v>10000</v>
      </c>
      <c r="R5425" s="12">
        <v>70</v>
      </c>
      <c r="S5425" s="12" t="s">
        <v>6561</v>
      </c>
      <c r="T5425" s="22">
        <f t="shared" si="463"/>
        <v>9</v>
      </c>
      <c r="U5425" s="22">
        <f t="shared" si="464"/>
        <v>2022</v>
      </c>
      <c r="V5425" s="22" t="str">
        <f t="shared" si="465"/>
        <v>METROPOLITANA</v>
      </c>
    </row>
    <row r="5426" spans="1:22" x14ac:dyDescent="0.2">
      <c r="A5426" s="11" t="s">
        <v>6556</v>
      </c>
      <c r="B5426" s="12" t="s">
        <v>33</v>
      </c>
      <c r="C5426" s="12" t="s">
        <v>29</v>
      </c>
      <c r="D5426" s="12" t="s">
        <v>20</v>
      </c>
      <c r="E5426" s="13" t="s">
        <v>21</v>
      </c>
      <c r="F5426" s="12" t="s">
        <v>129</v>
      </c>
      <c r="G5426" s="14">
        <v>4665.2</v>
      </c>
      <c r="H5426" s="12" t="s">
        <v>22</v>
      </c>
      <c r="I5426" s="12">
        <v>0</v>
      </c>
      <c r="J5426" s="12" t="s">
        <v>129</v>
      </c>
      <c r="K5426" s="12" t="s">
        <v>23</v>
      </c>
      <c r="L5426" s="12">
        <v>1</v>
      </c>
      <c r="M5426" s="15">
        <v>55000</v>
      </c>
      <c r="N5426" s="15">
        <v>0</v>
      </c>
      <c r="O5426" s="15">
        <f t="shared" si="466"/>
        <v>55000</v>
      </c>
      <c r="P5426" s="15">
        <f t="shared" si="467"/>
        <v>11.789419531852868</v>
      </c>
      <c r="Q5426" s="14">
        <v>5000</v>
      </c>
      <c r="R5426" s="12">
        <v>93</v>
      </c>
      <c r="S5426" s="12" t="s">
        <v>6562</v>
      </c>
      <c r="T5426" s="22">
        <f t="shared" si="463"/>
        <v>9</v>
      </c>
      <c r="U5426" s="22">
        <f t="shared" si="464"/>
        <v>2022</v>
      </c>
      <c r="V5426" s="22" t="str">
        <f t="shared" si="465"/>
        <v>METROPOLITANA</v>
      </c>
    </row>
    <row r="5427" spans="1:22" x14ac:dyDescent="0.2">
      <c r="A5427" s="11" t="s">
        <v>6556</v>
      </c>
      <c r="B5427" s="12" t="s">
        <v>33</v>
      </c>
      <c r="C5427" s="12" t="s">
        <v>44</v>
      </c>
      <c r="D5427" s="12" t="s">
        <v>37</v>
      </c>
      <c r="E5427" s="13" t="s">
        <v>40</v>
      </c>
      <c r="F5427" s="12" t="s">
        <v>48</v>
      </c>
      <c r="G5427" s="14">
        <v>3046.36</v>
      </c>
      <c r="H5427" s="12" t="s">
        <v>22</v>
      </c>
      <c r="I5427" s="12">
        <v>0</v>
      </c>
      <c r="J5427" s="12" t="s">
        <v>48</v>
      </c>
      <c r="K5427" s="12" t="s">
        <v>23</v>
      </c>
      <c r="L5427" s="12">
        <v>1</v>
      </c>
      <c r="M5427" s="15">
        <v>55000</v>
      </c>
      <c r="N5427" s="15">
        <v>0</v>
      </c>
      <c r="O5427" s="15">
        <f t="shared" si="466"/>
        <v>55000</v>
      </c>
      <c r="P5427" s="15">
        <f t="shared" si="467"/>
        <v>18.05433369660841</v>
      </c>
      <c r="Q5427" s="14">
        <v>5000</v>
      </c>
      <c r="R5427" s="12">
        <v>61</v>
      </c>
      <c r="S5427" s="12" t="s">
        <v>6563</v>
      </c>
      <c r="T5427" s="22">
        <f t="shared" si="463"/>
        <v>9</v>
      </c>
      <c r="U5427" s="22">
        <f t="shared" si="464"/>
        <v>2022</v>
      </c>
      <c r="V5427" s="22" t="str">
        <f t="shared" si="465"/>
        <v>METROPOLITANA</v>
      </c>
    </row>
    <row r="5428" spans="1:22" x14ac:dyDescent="0.2">
      <c r="A5428" s="11" t="s">
        <v>6556</v>
      </c>
      <c r="B5428" s="12" t="s">
        <v>33</v>
      </c>
      <c r="C5428" s="12" t="s">
        <v>44</v>
      </c>
      <c r="D5428" s="12" t="s">
        <v>45</v>
      </c>
      <c r="E5428" s="13" t="s">
        <v>52</v>
      </c>
      <c r="F5428" s="12" t="s">
        <v>182</v>
      </c>
      <c r="G5428" s="14">
        <v>4372.83</v>
      </c>
      <c r="H5428" s="12" t="s">
        <v>22</v>
      </c>
      <c r="I5428" s="12">
        <v>0</v>
      </c>
      <c r="J5428" s="12" t="s">
        <v>182</v>
      </c>
      <c r="K5428" s="12" t="s">
        <v>23</v>
      </c>
      <c r="L5428" s="12">
        <v>4</v>
      </c>
      <c r="M5428" s="15">
        <v>55000</v>
      </c>
      <c r="N5428" s="15">
        <v>0</v>
      </c>
      <c r="O5428" s="15">
        <f t="shared" si="466"/>
        <v>55000</v>
      </c>
      <c r="P5428" s="15">
        <f t="shared" si="467"/>
        <v>12.577667094307348</v>
      </c>
      <c r="Q5428" s="14">
        <v>5000</v>
      </c>
      <c r="R5428" s="12">
        <v>87</v>
      </c>
      <c r="S5428" s="12" t="s">
        <v>6564</v>
      </c>
      <c r="T5428" s="22">
        <f t="shared" si="463"/>
        <v>9</v>
      </c>
      <c r="U5428" s="22">
        <f t="shared" si="464"/>
        <v>2022</v>
      </c>
      <c r="V5428" s="22" t="str">
        <f t="shared" si="465"/>
        <v>METROPOLITANA</v>
      </c>
    </row>
    <row r="5429" spans="1:22" x14ac:dyDescent="0.2">
      <c r="A5429" s="23" t="s">
        <v>6565</v>
      </c>
      <c r="B5429" s="22" t="s">
        <v>18</v>
      </c>
      <c r="C5429" s="22" t="s">
        <v>1997</v>
      </c>
      <c r="D5429" s="22" t="s">
        <v>37</v>
      </c>
      <c r="E5429" s="24" t="s">
        <v>40</v>
      </c>
      <c r="F5429" s="22" t="s">
        <v>58</v>
      </c>
      <c r="G5429" s="25">
        <v>3757.02</v>
      </c>
      <c r="H5429" s="22" t="s">
        <v>22</v>
      </c>
      <c r="I5429" s="22">
        <v>0</v>
      </c>
      <c r="J5429" s="22" t="s">
        <v>58</v>
      </c>
      <c r="K5429" s="22" t="s">
        <v>23</v>
      </c>
      <c r="L5429" s="22">
        <v>5</v>
      </c>
      <c r="M5429" s="26">
        <v>70000</v>
      </c>
      <c r="N5429" s="26">
        <v>0</v>
      </c>
      <c r="O5429" s="15">
        <f t="shared" si="466"/>
        <v>70000</v>
      </c>
      <c r="P5429" s="15">
        <f t="shared" si="467"/>
        <v>18.631787959606285</v>
      </c>
      <c r="Q5429" s="25">
        <v>10000</v>
      </c>
      <c r="R5429" s="22">
        <v>38</v>
      </c>
      <c r="S5429" s="22" t="s">
        <v>6566</v>
      </c>
      <c r="T5429" s="22">
        <f t="shared" si="463"/>
        <v>9</v>
      </c>
      <c r="U5429" s="22">
        <f t="shared" si="464"/>
        <v>2022</v>
      </c>
      <c r="V5429" s="22" t="str">
        <f t="shared" si="465"/>
        <v>METROPOLITANA</v>
      </c>
    </row>
    <row r="5430" spans="1:22" x14ac:dyDescent="0.2">
      <c r="A5430" s="23" t="s">
        <v>6565</v>
      </c>
      <c r="B5430" s="22" t="s">
        <v>18</v>
      </c>
      <c r="C5430" s="22" t="s">
        <v>29</v>
      </c>
      <c r="D5430" s="22" t="s">
        <v>6218</v>
      </c>
      <c r="E5430" s="24" t="s">
        <v>6567</v>
      </c>
      <c r="F5430" s="22" t="s">
        <v>39</v>
      </c>
      <c r="G5430" s="25">
        <v>26057.600000000009</v>
      </c>
      <c r="H5430" s="22" t="s">
        <v>24</v>
      </c>
      <c r="I5430" s="22">
        <v>1</v>
      </c>
      <c r="J5430" s="22" t="s">
        <v>39</v>
      </c>
      <c r="K5430" s="22" t="s">
        <v>23</v>
      </c>
      <c r="L5430" s="22">
        <v>1</v>
      </c>
      <c r="M5430" s="26">
        <v>286634</v>
      </c>
      <c r="N5430" s="26">
        <v>0</v>
      </c>
      <c r="O5430" s="15">
        <f t="shared" si="466"/>
        <v>286634</v>
      </c>
      <c r="P5430" s="15">
        <f t="shared" si="467"/>
        <v>11.00001535060788</v>
      </c>
      <c r="Q5430" s="25">
        <v>5000</v>
      </c>
      <c r="R5430" s="22">
        <v>100</v>
      </c>
      <c r="S5430" s="22" t="s">
        <v>6568</v>
      </c>
      <c r="T5430" s="22">
        <f t="shared" si="463"/>
        <v>9</v>
      </c>
      <c r="U5430" s="22">
        <f t="shared" si="464"/>
        <v>2022</v>
      </c>
      <c r="V5430" s="22" t="str">
        <f t="shared" si="465"/>
        <v>METROPOLITANA</v>
      </c>
    </row>
    <row r="5431" spans="1:22" x14ac:dyDescent="0.2">
      <c r="A5431" s="23" t="s">
        <v>6565</v>
      </c>
      <c r="B5431" s="22" t="s">
        <v>18</v>
      </c>
      <c r="C5431" s="22" t="s">
        <v>29</v>
      </c>
      <c r="D5431" s="22" t="s">
        <v>6221</v>
      </c>
      <c r="E5431" s="24" t="s">
        <v>6567</v>
      </c>
      <c r="F5431" s="22" t="s">
        <v>39</v>
      </c>
      <c r="G5431" s="25">
        <v>26057.600000000009</v>
      </c>
      <c r="H5431" s="22" t="s">
        <v>24</v>
      </c>
      <c r="I5431" s="22">
        <v>1</v>
      </c>
      <c r="J5431" s="22" t="s">
        <v>39</v>
      </c>
      <c r="K5431" s="22" t="s">
        <v>23</v>
      </c>
      <c r="L5431" s="22">
        <v>1</v>
      </c>
      <c r="M5431" s="26">
        <v>286634</v>
      </c>
      <c r="N5431" s="26">
        <v>0</v>
      </c>
      <c r="O5431" s="15">
        <f t="shared" si="466"/>
        <v>286634</v>
      </c>
      <c r="P5431" s="15">
        <f t="shared" si="467"/>
        <v>11.00001535060788</v>
      </c>
      <c r="Q5431" s="25">
        <v>5000</v>
      </c>
      <c r="R5431" s="22">
        <v>100</v>
      </c>
      <c r="S5431" s="22" t="s">
        <v>6569</v>
      </c>
      <c r="T5431" s="22">
        <f t="shared" si="463"/>
        <v>9</v>
      </c>
      <c r="U5431" s="22">
        <f t="shared" si="464"/>
        <v>2022</v>
      </c>
      <c r="V5431" s="22" t="str">
        <f t="shared" si="465"/>
        <v>METROPOLITANA</v>
      </c>
    </row>
    <row r="5432" spans="1:22" x14ac:dyDescent="0.2">
      <c r="A5432" s="23" t="s">
        <v>6565</v>
      </c>
      <c r="B5432" s="22" t="s">
        <v>33</v>
      </c>
      <c r="C5432" s="22" t="s">
        <v>128</v>
      </c>
      <c r="D5432" s="22" t="s">
        <v>30</v>
      </c>
      <c r="E5432" s="24" t="s">
        <v>31</v>
      </c>
      <c r="F5432" s="22" t="s">
        <v>170</v>
      </c>
      <c r="G5432" s="25">
        <v>17004.000000000011</v>
      </c>
      <c r="H5432" s="22" t="s">
        <v>32</v>
      </c>
      <c r="I5432" s="22">
        <v>0</v>
      </c>
      <c r="J5432" s="22" t="s">
        <v>170</v>
      </c>
      <c r="K5432" s="22" t="s">
        <v>171</v>
      </c>
      <c r="L5432" s="22">
        <v>0</v>
      </c>
      <c r="M5432" s="26">
        <v>180000</v>
      </c>
      <c r="N5432" s="26">
        <v>0</v>
      </c>
      <c r="O5432" s="15">
        <f t="shared" si="466"/>
        <v>180000</v>
      </c>
      <c r="P5432" s="15">
        <f t="shared" si="467"/>
        <v>10.585744530698653</v>
      </c>
      <c r="Q5432" s="25">
        <v>20000</v>
      </c>
      <c r="R5432" s="22">
        <v>85</v>
      </c>
      <c r="S5432" s="22" t="s">
        <v>6570</v>
      </c>
      <c r="T5432" s="22">
        <f t="shared" si="463"/>
        <v>9</v>
      </c>
      <c r="U5432" s="22">
        <f t="shared" si="464"/>
        <v>2022</v>
      </c>
      <c r="V5432" s="22" t="str">
        <f t="shared" si="465"/>
        <v>REGIONES</v>
      </c>
    </row>
    <row r="5433" spans="1:22" x14ac:dyDescent="0.2">
      <c r="A5433" s="23" t="s">
        <v>6565</v>
      </c>
      <c r="B5433" s="22" t="s">
        <v>33</v>
      </c>
      <c r="C5433" s="22" t="s">
        <v>128</v>
      </c>
      <c r="D5433" s="22" t="s">
        <v>164</v>
      </c>
      <c r="E5433" s="24" t="s">
        <v>1576</v>
      </c>
      <c r="F5433" s="22" t="s">
        <v>170</v>
      </c>
      <c r="G5433" s="25">
        <v>33469.540000000023</v>
      </c>
      <c r="H5433" s="22" t="s">
        <v>22</v>
      </c>
      <c r="I5433" s="22">
        <v>1</v>
      </c>
      <c r="J5433" s="22" t="s">
        <v>170</v>
      </c>
      <c r="K5433" s="22" t="s">
        <v>171</v>
      </c>
      <c r="L5433" s="22">
        <v>0</v>
      </c>
      <c r="M5433" s="26">
        <v>250000</v>
      </c>
      <c r="N5433" s="26">
        <v>0</v>
      </c>
      <c r="O5433" s="15">
        <f t="shared" si="466"/>
        <v>250000</v>
      </c>
      <c r="P5433" s="15">
        <f t="shared" si="467"/>
        <v>7.4694782181051735</v>
      </c>
      <c r="Q5433" s="25">
        <v>20000</v>
      </c>
      <c r="R5433" s="22">
        <v>100</v>
      </c>
      <c r="S5433" s="22" t="s">
        <v>6571</v>
      </c>
      <c r="T5433" s="22">
        <f t="shared" si="463"/>
        <v>9</v>
      </c>
      <c r="U5433" s="22">
        <f t="shared" si="464"/>
        <v>2022</v>
      </c>
      <c r="V5433" s="22" t="str">
        <f t="shared" si="465"/>
        <v>REGIONES</v>
      </c>
    </row>
    <row r="5434" spans="1:22" x14ac:dyDescent="0.2">
      <c r="A5434" s="23" t="s">
        <v>6565</v>
      </c>
      <c r="B5434" s="22" t="s">
        <v>33</v>
      </c>
      <c r="C5434" s="22" t="s">
        <v>417</v>
      </c>
      <c r="D5434" s="22" t="s">
        <v>786</v>
      </c>
      <c r="E5434" s="24" t="s">
        <v>787</v>
      </c>
      <c r="F5434" s="22" t="s">
        <v>418</v>
      </c>
      <c r="G5434" s="25">
        <v>11926.8</v>
      </c>
      <c r="H5434" s="22" t="s">
        <v>788</v>
      </c>
      <c r="I5434" s="22">
        <v>1</v>
      </c>
      <c r="J5434" s="22" t="s">
        <v>418</v>
      </c>
      <c r="K5434" s="22" t="s">
        <v>171</v>
      </c>
      <c r="L5434" s="22">
        <v>0</v>
      </c>
      <c r="M5434" s="26">
        <v>280000</v>
      </c>
      <c r="N5434" s="26">
        <v>0</v>
      </c>
      <c r="O5434" s="15">
        <f t="shared" si="466"/>
        <v>280000</v>
      </c>
      <c r="P5434" s="15">
        <f t="shared" si="467"/>
        <v>23.476540228728577</v>
      </c>
      <c r="Q5434" s="25">
        <v>20000</v>
      </c>
      <c r="R5434" s="22">
        <v>60</v>
      </c>
      <c r="S5434" s="22" t="s">
        <v>6572</v>
      </c>
      <c r="T5434" s="22">
        <f t="shared" si="463"/>
        <v>9</v>
      </c>
      <c r="U5434" s="22">
        <f t="shared" si="464"/>
        <v>2022</v>
      </c>
      <c r="V5434" s="22" t="str">
        <f t="shared" si="465"/>
        <v>REGIONES</v>
      </c>
    </row>
    <row r="5435" spans="1:22" x14ac:dyDescent="0.2">
      <c r="A5435" s="23" t="s">
        <v>6565</v>
      </c>
      <c r="B5435" s="22" t="s">
        <v>33</v>
      </c>
      <c r="C5435" s="22" t="s">
        <v>44</v>
      </c>
      <c r="D5435" s="22" t="s">
        <v>45</v>
      </c>
      <c r="E5435" s="24" t="s">
        <v>52</v>
      </c>
      <c r="F5435" s="22" t="s">
        <v>137</v>
      </c>
      <c r="G5435" s="25">
        <v>3264.2000000000012</v>
      </c>
      <c r="H5435" s="22" t="s">
        <v>22</v>
      </c>
      <c r="I5435" s="22">
        <v>0</v>
      </c>
      <c r="J5435" s="22" t="s">
        <v>137</v>
      </c>
      <c r="K5435" s="22" t="s">
        <v>23</v>
      </c>
      <c r="L5435" s="22">
        <v>1</v>
      </c>
      <c r="M5435" s="26">
        <v>55000</v>
      </c>
      <c r="N5435" s="26">
        <v>0</v>
      </c>
      <c r="O5435" s="15">
        <f t="shared" si="466"/>
        <v>55000</v>
      </c>
      <c r="P5435" s="15">
        <f t="shared" si="467"/>
        <v>16.8494577538141</v>
      </c>
      <c r="Q5435" s="25">
        <v>5000</v>
      </c>
      <c r="R5435" s="22">
        <v>65</v>
      </c>
      <c r="S5435" s="22" t="s">
        <v>6573</v>
      </c>
      <c r="T5435" s="22">
        <f t="shared" si="463"/>
        <v>9</v>
      </c>
      <c r="U5435" s="22">
        <f t="shared" si="464"/>
        <v>2022</v>
      </c>
      <c r="V5435" s="22" t="str">
        <f t="shared" si="465"/>
        <v>METROPOLITANA</v>
      </c>
    </row>
    <row r="5436" spans="1:22" x14ac:dyDescent="0.2">
      <c r="A5436" s="23" t="s">
        <v>6565</v>
      </c>
      <c r="B5436" s="22" t="s">
        <v>33</v>
      </c>
      <c r="C5436" s="22" t="s">
        <v>44</v>
      </c>
      <c r="D5436" s="22" t="s">
        <v>47</v>
      </c>
      <c r="E5436" s="24" t="s">
        <v>49</v>
      </c>
      <c r="F5436" s="22" t="s">
        <v>53</v>
      </c>
      <c r="G5436" s="25">
        <v>4639.45</v>
      </c>
      <c r="H5436" s="22" t="s">
        <v>22</v>
      </c>
      <c r="I5436" s="22">
        <v>0</v>
      </c>
      <c r="J5436" s="22" t="s">
        <v>53</v>
      </c>
      <c r="K5436" s="22" t="s">
        <v>23</v>
      </c>
      <c r="L5436" s="22">
        <v>3</v>
      </c>
      <c r="M5436" s="26">
        <v>55000</v>
      </c>
      <c r="N5436" s="26">
        <v>0</v>
      </c>
      <c r="O5436" s="15">
        <f t="shared" si="466"/>
        <v>55000</v>
      </c>
      <c r="P5436" s="15">
        <f t="shared" si="467"/>
        <v>11.854853484788068</v>
      </c>
      <c r="Q5436" s="25">
        <v>5000</v>
      </c>
      <c r="R5436" s="22">
        <v>93</v>
      </c>
      <c r="S5436" s="22" t="s">
        <v>6574</v>
      </c>
      <c r="T5436" s="22">
        <f t="shared" si="463"/>
        <v>9</v>
      </c>
      <c r="U5436" s="22">
        <f t="shared" si="464"/>
        <v>2022</v>
      </c>
      <c r="V5436" s="22" t="str">
        <f t="shared" si="465"/>
        <v>METROPOLITANA</v>
      </c>
    </row>
    <row r="5437" spans="1:22" x14ac:dyDescent="0.2">
      <c r="A5437" s="23" t="s">
        <v>6565</v>
      </c>
      <c r="B5437" s="22" t="s">
        <v>33</v>
      </c>
      <c r="C5437" s="22" t="s">
        <v>44</v>
      </c>
      <c r="D5437" s="22" t="s">
        <v>41</v>
      </c>
      <c r="E5437" s="24" t="s">
        <v>25</v>
      </c>
      <c r="F5437" s="22" t="s">
        <v>95</v>
      </c>
      <c r="G5437" s="25">
        <v>3627.64</v>
      </c>
      <c r="H5437" s="22" t="s">
        <v>43</v>
      </c>
      <c r="I5437" s="22">
        <v>0</v>
      </c>
      <c r="J5437" s="22" t="s">
        <v>95</v>
      </c>
      <c r="K5437" s="22" t="s">
        <v>23</v>
      </c>
      <c r="L5437" s="22">
        <v>4</v>
      </c>
      <c r="M5437" s="26">
        <v>55000</v>
      </c>
      <c r="N5437" s="26">
        <v>0</v>
      </c>
      <c r="O5437" s="15">
        <f t="shared" si="466"/>
        <v>55000</v>
      </c>
      <c r="P5437" s="15">
        <f t="shared" si="467"/>
        <v>15.161372131744054</v>
      </c>
      <c r="Q5437" s="25">
        <v>5000</v>
      </c>
      <c r="R5437" s="22">
        <v>73</v>
      </c>
      <c r="S5437" s="22" t="s">
        <v>6575</v>
      </c>
      <c r="T5437" s="22">
        <f t="shared" si="463"/>
        <v>9</v>
      </c>
      <c r="U5437" s="22">
        <f t="shared" si="464"/>
        <v>2022</v>
      </c>
      <c r="V5437" s="22" t="str">
        <f t="shared" si="465"/>
        <v>METROPOLITANA</v>
      </c>
    </row>
    <row r="5438" spans="1:22" x14ac:dyDescent="0.2">
      <c r="A5438" s="23" t="s">
        <v>6565</v>
      </c>
      <c r="B5438" s="22" t="s">
        <v>33</v>
      </c>
      <c r="C5438" s="22" t="s">
        <v>44</v>
      </c>
      <c r="D5438" s="22" t="s">
        <v>20</v>
      </c>
      <c r="E5438" s="24" t="s">
        <v>21</v>
      </c>
      <c r="F5438" s="22" t="s">
        <v>46</v>
      </c>
      <c r="G5438" s="25">
        <v>3861.8</v>
      </c>
      <c r="H5438" s="22" t="s">
        <v>22</v>
      </c>
      <c r="I5438" s="22">
        <v>0</v>
      </c>
      <c r="J5438" s="22" t="s">
        <v>46</v>
      </c>
      <c r="K5438" s="22" t="s">
        <v>23</v>
      </c>
      <c r="L5438" s="22">
        <v>2</v>
      </c>
      <c r="M5438" s="26">
        <v>55000</v>
      </c>
      <c r="N5438" s="26">
        <v>0</v>
      </c>
      <c r="O5438" s="15">
        <f t="shared" si="466"/>
        <v>55000</v>
      </c>
      <c r="P5438" s="15">
        <f t="shared" si="467"/>
        <v>14.242063286550312</v>
      </c>
      <c r="Q5438" s="25">
        <v>5000</v>
      </c>
      <c r="R5438" s="22">
        <v>77</v>
      </c>
      <c r="S5438" s="22" t="s">
        <v>6576</v>
      </c>
      <c r="T5438" s="22">
        <f t="shared" si="463"/>
        <v>9</v>
      </c>
      <c r="U5438" s="22">
        <f t="shared" si="464"/>
        <v>2022</v>
      </c>
      <c r="V5438" s="22" t="str">
        <f t="shared" si="465"/>
        <v>METROPOLITANA</v>
      </c>
    </row>
    <row r="5439" spans="1:22" x14ac:dyDescent="0.2">
      <c r="A5439" s="11" t="s">
        <v>6577</v>
      </c>
      <c r="B5439" s="12" t="s">
        <v>18</v>
      </c>
      <c r="C5439" s="12" t="s">
        <v>270</v>
      </c>
      <c r="D5439" s="12" t="s">
        <v>41</v>
      </c>
      <c r="E5439" s="13" t="s">
        <v>25</v>
      </c>
      <c r="F5439" s="12" t="s">
        <v>120</v>
      </c>
      <c r="G5439" s="14">
        <v>8791.7000000000007</v>
      </c>
      <c r="H5439" s="12" t="s">
        <v>43</v>
      </c>
      <c r="I5439" s="12">
        <v>0</v>
      </c>
      <c r="J5439" s="12" t="s">
        <v>120</v>
      </c>
      <c r="K5439" s="12" t="s">
        <v>23</v>
      </c>
      <c r="L5439" s="12">
        <v>5</v>
      </c>
      <c r="M5439" s="15">
        <v>70000</v>
      </c>
      <c r="N5439" s="15">
        <v>0</v>
      </c>
      <c r="O5439" s="15">
        <f t="shared" si="466"/>
        <v>70000</v>
      </c>
      <c r="P5439" s="15">
        <f t="shared" si="467"/>
        <v>7.9620551201701595</v>
      </c>
      <c r="Q5439" s="14">
        <v>10000</v>
      </c>
      <c r="R5439" s="12">
        <v>88</v>
      </c>
      <c r="S5439" s="12" t="s">
        <v>6578</v>
      </c>
      <c r="T5439" s="22">
        <f t="shared" si="463"/>
        <v>9</v>
      </c>
      <c r="U5439" s="22">
        <f t="shared" si="464"/>
        <v>2022</v>
      </c>
      <c r="V5439" s="22" t="str">
        <f t="shared" si="465"/>
        <v>METROPOLITANA</v>
      </c>
    </row>
    <row r="5440" spans="1:22" x14ac:dyDescent="0.2">
      <c r="A5440" s="11" t="s">
        <v>6577</v>
      </c>
      <c r="B5440" s="12" t="s">
        <v>18</v>
      </c>
      <c r="C5440" s="12" t="s">
        <v>29</v>
      </c>
      <c r="D5440" s="12" t="s">
        <v>5128</v>
      </c>
      <c r="E5440" s="13" t="s">
        <v>304</v>
      </c>
      <c r="F5440" s="12" t="s">
        <v>39</v>
      </c>
      <c r="G5440" s="14">
        <v>26057.600000000009</v>
      </c>
      <c r="H5440" s="12" t="s">
        <v>24</v>
      </c>
      <c r="I5440" s="12">
        <v>1</v>
      </c>
      <c r="J5440" s="12" t="s">
        <v>39</v>
      </c>
      <c r="K5440" s="12" t="s">
        <v>23</v>
      </c>
      <c r="L5440" s="12">
        <v>1</v>
      </c>
      <c r="M5440" s="15">
        <v>286634</v>
      </c>
      <c r="N5440" s="15">
        <v>0</v>
      </c>
      <c r="O5440" s="15">
        <f t="shared" si="466"/>
        <v>286634</v>
      </c>
      <c r="P5440" s="15">
        <f t="shared" si="467"/>
        <v>11.00001535060788</v>
      </c>
      <c r="Q5440" s="14">
        <v>5000</v>
      </c>
      <c r="R5440" s="12">
        <v>100</v>
      </c>
      <c r="S5440" s="12" t="s">
        <v>6579</v>
      </c>
      <c r="T5440" s="22">
        <f t="shared" si="463"/>
        <v>9</v>
      </c>
      <c r="U5440" s="22">
        <f t="shared" si="464"/>
        <v>2022</v>
      </c>
      <c r="V5440" s="22" t="str">
        <f t="shared" si="465"/>
        <v>METROPOLITANA</v>
      </c>
    </row>
    <row r="5441" spans="1:22" x14ac:dyDescent="0.2">
      <c r="A5441" s="11" t="s">
        <v>6577</v>
      </c>
      <c r="B5441" s="12" t="s">
        <v>18</v>
      </c>
      <c r="C5441" s="12" t="s">
        <v>29</v>
      </c>
      <c r="D5441" s="12" t="s">
        <v>311</v>
      </c>
      <c r="E5441" s="13" t="s">
        <v>312</v>
      </c>
      <c r="F5441" s="12" t="s">
        <v>39</v>
      </c>
      <c r="G5441" s="14">
        <v>26057.600000000009</v>
      </c>
      <c r="H5441" s="12" t="s">
        <v>85</v>
      </c>
      <c r="I5441" s="12">
        <v>1</v>
      </c>
      <c r="J5441" s="12" t="s">
        <v>39</v>
      </c>
      <c r="K5441" s="12" t="s">
        <v>23</v>
      </c>
      <c r="L5441" s="12">
        <v>1</v>
      </c>
      <c r="M5441" s="15">
        <v>286634</v>
      </c>
      <c r="N5441" s="15">
        <v>0</v>
      </c>
      <c r="O5441" s="15">
        <f t="shared" si="466"/>
        <v>286634</v>
      </c>
      <c r="P5441" s="15">
        <f t="shared" si="467"/>
        <v>11.00001535060788</v>
      </c>
      <c r="Q5441" s="14">
        <v>5000</v>
      </c>
      <c r="R5441" s="12">
        <v>100</v>
      </c>
      <c r="S5441" s="12" t="s">
        <v>6580</v>
      </c>
      <c r="T5441" s="22">
        <f t="shared" si="463"/>
        <v>9</v>
      </c>
      <c r="U5441" s="22">
        <f t="shared" si="464"/>
        <v>2022</v>
      </c>
      <c r="V5441" s="22" t="str">
        <f t="shared" si="465"/>
        <v>METROPOLITANA</v>
      </c>
    </row>
    <row r="5442" spans="1:22" x14ac:dyDescent="0.2">
      <c r="A5442" s="11" t="s">
        <v>6577</v>
      </c>
      <c r="B5442" s="12" t="s">
        <v>33</v>
      </c>
      <c r="C5442" s="12" t="s">
        <v>2862</v>
      </c>
      <c r="D5442" s="12" t="s">
        <v>47</v>
      </c>
      <c r="E5442" s="13" t="s">
        <v>49</v>
      </c>
      <c r="F5442" s="12" t="s">
        <v>51</v>
      </c>
      <c r="G5442" s="14">
        <f>5106+32</f>
        <v>5138</v>
      </c>
      <c r="H5442" s="12" t="s">
        <v>22</v>
      </c>
      <c r="I5442" s="12">
        <v>0</v>
      </c>
      <c r="J5442" s="12" t="s">
        <v>51</v>
      </c>
      <c r="K5442" s="12" t="s">
        <v>23</v>
      </c>
      <c r="L5442" s="12">
        <v>4</v>
      </c>
      <c r="M5442" s="15">
        <v>56166</v>
      </c>
      <c r="N5442" s="15">
        <v>0</v>
      </c>
      <c r="O5442" s="15">
        <f t="shared" si="466"/>
        <v>56166</v>
      </c>
      <c r="P5442" s="15">
        <f t="shared" si="467"/>
        <v>10.931490852471779</v>
      </c>
      <c r="Q5442" s="14">
        <v>5000</v>
      </c>
      <c r="R5442" s="12">
        <v>100</v>
      </c>
      <c r="S5442" s="12" t="s">
        <v>6581</v>
      </c>
      <c r="T5442" s="22">
        <f t="shared" si="463"/>
        <v>9</v>
      </c>
      <c r="U5442" s="22">
        <f t="shared" si="464"/>
        <v>2022</v>
      </c>
      <c r="V5442" s="22" t="str">
        <f t="shared" si="465"/>
        <v>METROPOLITANA</v>
      </c>
    </row>
    <row r="5443" spans="1:22" x14ac:dyDescent="0.2">
      <c r="A5443" s="11" t="s">
        <v>6577</v>
      </c>
      <c r="B5443" s="12" t="s">
        <v>33</v>
      </c>
      <c r="C5443" s="12" t="s">
        <v>29</v>
      </c>
      <c r="D5443" s="12" t="s">
        <v>37</v>
      </c>
      <c r="E5443" s="13" t="s">
        <v>40</v>
      </c>
      <c r="F5443" s="12" t="s">
        <v>39</v>
      </c>
      <c r="G5443" s="14">
        <v>4213.25</v>
      </c>
      <c r="H5443" s="12" t="s">
        <v>22</v>
      </c>
      <c r="I5443" s="12">
        <v>0</v>
      </c>
      <c r="J5443" s="12" t="s">
        <v>39</v>
      </c>
      <c r="K5443" s="12" t="s">
        <v>23</v>
      </c>
      <c r="L5443" s="12">
        <v>1</v>
      </c>
      <c r="M5443" s="15">
        <v>55000</v>
      </c>
      <c r="N5443" s="15">
        <v>0</v>
      </c>
      <c r="O5443" s="15">
        <f t="shared" si="466"/>
        <v>55000</v>
      </c>
      <c r="P5443" s="15">
        <f t="shared" si="467"/>
        <v>13.054055657746396</v>
      </c>
      <c r="Q5443" s="14">
        <v>5000</v>
      </c>
      <c r="R5443" s="12">
        <v>84</v>
      </c>
      <c r="S5443" s="12" t="s">
        <v>6582</v>
      </c>
      <c r="T5443" s="22">
        <f t="shared" si="463"/>
        <v>9</v>
      </c>
      <c r="U5443" s="22">
        <f t="shared" si="464"/>
        <v>2022</v>
      </c>
      <c r="V5443" s="22" t="str">
        <f t="shared" si="465"/>
        <v>METROPOLITANA</v>
      </c>
    </row>
    <row r="5444" spans="1:22" x14ac:dyDescent="0.2">
      <c r="A5444" s="11" t="s">
        <v>6577</v>
      </c>
      <c r="B5444" s="12" t="s">
        <v>33</v>
      </c>
      <c r="C5444" s="12" t="s">
        <v>29</v>
      </c>
      <c r="D5444" s="12" t="s">
        <v>164</v>
      </c>
      <c r="E5444" s="13" t="s">
        <v>1576</v>
      </c>
      <c r="F5444" s="12" t="s">
        <v>39</v>
      </c>
      <c r="G5444" s="14">
        <v>8873.5200000000041</v>
      </c>
      <c r="H5444" s="12" t="s">
        <v>22</v>
      </c>
      <c r="I5444" s="12">
        <v>1</v>
      </c>
      <c r="J5444" s="12" t="s">
        <v>39</v>
      </c>
      <c r="K5444" s="12" t="s">
        <v>23</v>
      </c>
      <c r="L5444" s="12">
        <v>1</v>
      </c>
      <c r="M5444" s="15">
        <v>97609</v>
      </c>
      <c r="N5444" s="15">
        <v>0</v>
      </c>
      <c r="O5444" s="15">
        <f t="shared" si="466"/>
        <v>97609</v>
      </c>
      <c r="P5444" s="15">
        <f t="shared" si="467"/>
        <v>11.000031554557825</v>
      </c>
      <c r="Q5444" s="14">
        <v>5000</v>
      </c>
      <c r="R5444" s="12">
        <v>100</v>
      </c>
      <c r="S5444" s="12" t="s">
        <v>6583</v>
      </c>
      <c r="T5444" s="22">
        <f t="shared" si="463"/>
        <v>9</v>
      </c>
      <c r="U5444" s="22">
        <f t="shared" si="464"/>
        <v>2022</v>
      </c>
      <c r="V5444" s="22" t="str">
        <f t="shared" si="465"/>
        <v>METROPOLITANA</v>
      </c>
    </row>
    <row r="5445" spans="1:22" x14ac:dyDescent="0.2">
      <c r="A5445" s="11" t="s">
        <v>6577</v>
      </c>
      <c r="B5445" s="12" t="s">
        <v>33</v>
      </c>
      <c r="C5445" s="12" t="s">
        <v>29</v>
      </c>
      <c r="D5445" s="12" t="s">
        <v>20</v>
      </c>
      <c r="E5445" s="13" t="s">
        <v>21</v>
      </c>
      <c r="F5445" s="12" t="s">
        <v>39</v>
      </c>
      <c r="G5445" s="14">
        <v>6663.6500000000005</v>
      </c>
      <c r="H5445" s="12" t="s">
        <v>22</v>
      </c>
      <c r="I5445" s="12">
        <v>0</v>
      </c>
      <c r="J5445" s="12" t="s">
        <v>39</v>
      </c>
      <c r="K5445" s="12" t="s">
        <v>23</v>
      </c>
      <c r="L5445" s="12">
        <v>1</v>
      </c>
      <c r="M5445" s="15">
        <v>73300</v>
      </c>
      <c r="N5445" s="15">
        <v>0</v>
      </c>
      <c r="O5445" s="15">
        <f t="shared" si="466"/>
        <v>73300</v>
      </c>
      <c r="P5445" s="15">
        <f t="shared" si="467"/>
        <v>10.999977489814141</v>
      </c>
      <c r="Q5445" s="14">
        <v>5000</v>
      </c>
      <c r="R5445" s="12">
        <v>100</v>
      </c>
      <c r="S5445" s="12" t="s">
        <v>6584</v>
      </c>
      <c r="T5445" s="22">
        <f t="shared" si="463"/>
        <v>9</v>
      </c>
      <c r="U5445" s="22">
        <f t="shared" si="464"/>
        <v>2022</v>
      </c>
      <c r="V5445" s="22" t="str">
        <f t="shared" si="465"/>
        <v>METROPOLITANA</v>
      </c>
    </row>
    <row r="5446" spans="1:22" x14ac:dyDescent="0.2">
      <c r="A5446" s="11" t="s">
        <v>6577</v>
      </c>
      <c r="B5446" s="12" t="s">
        <v>33</v>
      </c>
      <c r="C5446" s="12" t="s">
        <v>44</v>
      </c>
      <c r="D5446" s="12" t="s">
        <v>30</v>
      </c>
      <c r="E5446" s="13" t="s">
        <v>31</v>
      </c>
      <c r="F5446" s="12" t="s">
        <v>182</v>
      </c>
      <c r="G5446" s="14">
        <v>3873.52</v>
      </c>
      <c r="H5446" s="12" t="s">
        <v>32</v>
      </c>
      <c r="I5446" s="12">
        <v>0</v>
      </c>
      <c r="J5446" s="12" t="s">
        <v>182</v>
      </c>
      <c r="K5446" s="12" t="s">
        <v>23</v>
      </c>
      <c r="L5446" s="12">
        <v>4</v>
      </c>
      <c r="M5446" s="15">
        <v>55000</v>
      </c>
      <c r="N5446" s="15">
        <v>0</v>
      </c>
      <c r="O5446" s="15">
        <f t="shared" si="466"/>
        <v>55000</v>
      </c>
      <c r="P5446" s="15">
        <f t="shared" si="467"/>
        <v>14.198971478138747</v>
      </c>
      <c r="Q5446" s="14">
        <v>5000</v>
      </c>
      <c r="R5446" s="12">
        <v>77</v>
      </c>
      <c r="S5446" s="12" t="s">
        <v>6585</v>
      </c>
      <c r="T5446" s="22">
        <f t="shared" si="463"/>
        <v>9</v>
      </c>
      <c r="U5446" s="22">
        <f t="shared" si="464"/>
        <v>2022</v>
      </c>
      <c r="V5446" s="22" t="str">
        <f t="shared" si="465"/>
        <v>METROPOLITANA</v>
      </c>
    </row>
    <row r="5447" spans="1:22" x14ac:dyDescent="0.2">
      <c r="A5447" s="11" t="s">
        <v>6577</v>
      </c>
      <c r="B5447" s="12" t="s">
        <v>33</v>
      </c>
      <c r="C5447" s="12" t="s">
        <v>44</v>
      </c>
      <c r="D5447" s="12" t="s">
        <v>45</v>
      </c>
      <c r="E5447" s="13" t="s">
        <v>52</v>
      </c>
      <c r="F5447" s="12" t="s">
        <v>554</v>
      </c>
      <c r="G5447" s="14">
        <v>2515.2199999999998</v>
      </c>
      <c r="H5447" s="12" t="s">
        <v>22</v>
      </c>
      <c r="I5447" s="12">
        <v>0</v>
      </c>
      <c r="J5447" s="12" t="s">
        <v>554</v>
      </c>
      <c r="K5447" s="12" t="s">
        <v>23</v>
      </c>
      <c r="L5447" s="12">
        <v>4</v>
      </c>
      <c r="M5447" s="15">
        <v>55000</v>
      </c>
      <c r="N5447" s="15">
        <v>0</v>
      </c>
      <c r="O5447" s="15">
        <f t="shared" si="466"/>
        <v>55000</v>
      </c>
      <c r="P5447" s="15">
        <f t="shared" si="467"/>
        <v>21.866874468237373</v>
      </c>
      <c r="Q5447" s="14">
        <v>5000</v>
      </c>
      <c r="R5447" s="12">
        <v>50</v>
      </c>
      <c r="S5447" s="12" t="s">
        <v>6586</v>
      </c>
      <c r="T5447" s="22">
        <f t="shared" ref="T5447:T5510" si="468">MONTH(A5447)</f>
        <v>9</v>
      </c>
      <c r="U5447" s="22">
        <f t="shared" ref="U5447:U5510" si="469">YEAR(A5447)</f>
        <v>2022</v>
      </c>
      <c r="V5447" s="22" t="str">
        <f t="shared" ref="V5447:V5510" si="470">IF(K5447="METROPOLITANA DE SANTIAGO","METROPOLITANA","REGIONES")</f>
        <v>METROPOLITANA</v>
      </c>
    </row>
    <row r="5448" spans="1:22" x14ac:dyDescent="0.2">
      <c r="A5448" s="11" t="s">
        <v>6577</v>
      </c>
      <c r="B5448" s="12" t="s">
        <v>33</v>
      </c>
      <c r="C5448" s="12" t="s">
        <v>44</v>
      </c>
      <c r="D5448" s="12" t="s">
        <v>20</v>
      </c>
      <c r="E5448" s="13" t="s">
        <v>21</v>
      </c>
      <c r="F5448" s="12" t="s">
        <v>46</v>
      </c>
      <c r="G5448" s="14">
        <v>3011.6000000000008</v>
      </c>
      <c r="H5448" s="12" t="s">
        <v>22</v>
      </c>
      <c r="I5448" s="12">
        <v>0</v>
      </c>
      <c r="J5448" s="12" t="s">
        <v>46</v>
      </c>
      <c r="K5448" s="12" t="s">
        <v>23</v>
      </c>
      <c r="L5448" s="12">
        <v>2</v>
      </c>
      <c r="M5448" s="15">
        <v>55000</v>
      </c>
      <c r="N5448" s="15">
        <v>0</v>
      </c>
      <c r="O5448" s="15">
        <f t="shared" si="466"/>
        <v>55000</v>
      </c>
      <c r="P5448" s="15">
        <f t="shared" si="467"/>
        <v>18.26271749236286</v>
      </c>
      <c r="Q5448" s="14">
        <v>5000</v>
      </c>
      <c r="R5448" s="12">
        <v>60</v>
      </c>
      <c r="S5448" s="12" t="s">
        <v>6587</v>
      </c>
      <c r="T5448" s="22">
        <f t="shared" si="468"/>
        <v>9</v>
      </c>
      <c r="U5448" s="22">
        <f t="shared" si="469"/>
        <v>2022</v>
      </c>
      <c r="V5448" s="22" t="str">
        <f t="shared" si="470"/>
        <v>METROPOLITANA</v>
      </c>
    </row>
    <row r="5449" spans="1:22" x14ac:dyDescent="0.2">
      <c r="A5449" s="23" t="s">
        <v>6588</v>
      </c>
      <c r="B5449" s="22" t="s">
        <v>18</v>
      </c>
      <c r="C5449" s="22" t="s">
        <v>19</v>
      </c>
      <c r="D5449" s="22" t="s">
        <v>41</v>
      </c>
      <c r="E5449" s="24" t="s">
        <v>25</v>
      </c>
      <c r="F5449" s="22" t="s">
        <v>51</v>
      </c>
      <c r="G5449" s="25">
        <v>19015.55</v>
      </c>
      <c r="H5449" s="22" t="s">
        <v>43</v>
      </c>
      <c r="I5449" s="22">
        <v>0</v>
      </c>
      <c r="J5449" s="22" t="s">
        <v>51</v>
      </c>
      <c r="K5449" s="22" t="s">
        <v>23</v>
      </c>
      <c r="L5449" s="22">
        <v>4</v>
      </c>
      <c r="M5449" s="26">
        <v>209171</v>
      </c>
      <c r="N5449" s="26">
        <v>0</v>
      </c>
      <c r="O5449" s="15">
        <f t="shared" si="466"/>
        <v>209171</v>
      </c>
      <c r="P5449" s="15">
        <f t="shared" si="467"/>
        <v>10.999997370573032</v>
      </c>
      <c r="Q5449" s="25">
        <v>5000</v>
      </c>
      <c r="R5449" s="22">
        <v>100</v>
      </c>
      <c r="S5449" s="22" t="s">
        <v>6589</v>
      </c>
      <c r="T5449" s="22">
        <f t="shared" si="468"/>
        <v>9</v>
      </c>
      <c r="U5449" s="22">
        <f t="shared" si="469"/>
        <v>2022</v>
      </c>
      <c r="V5449" s="22" t="str">
        <f t="shared" si="470"/>
        <v>METROPOLITANA</v>
      </c>
    </row>
    <row r="5450" spans="1:22" x14ac:dyDescent="0.2">
      <c r="A5450" s="23" t="s">
        <v>6588</v>
      </c>
      <c r="B5450" s="22" t="s">
        <v>33</v>
      </c>
      <c r="C5450" s="22" t="s">
        <v>6429</v>
      </c>
      <c r="D5450" s="22" t="s">
        <v>41</v>
      </c>
      <c r="E5450" s="24" t="s">
        <v>25</v>
      </c>
      <c r="F5450" s="22" t="s">
        <v>3563</v>
      </c>
      <c r="G5450" s="25">
        <v>3716.3</v>
      </c>
      <c r="H5450" s="22" t="s">
        <v>43</v>
      </c>
      <c r="I5450" s="22">
        <v>0</v>
      </c>
      <c r="J5450" s="22" t="s">
        <v>3563</v>
      </c>
      <c r="K5450" s="22" t="s">
        <v>23</v>
      </c>
      <c r="L5450" s="22">
        <v>1</v>
      </c>
      <c r="M5450" s="26">
        <v>55000</v>
      </c>
      <c r="N5450" s="26">
        <v>0</v>
      </c>
      <c r="O5450" s="15">
        <f t="shared" si="466"/>
        <v>55000</v>
      </c>
      <c r="P5450" s="15">
        <f t="shared" si="467"/>
        <v>14.79966633479536</v>
      </c>
      <c r="Q5450" s="25">
        <v>5000</v>
      </c>
      <c r="R5450" s="22">
        <v>74</v>
      </c>
      <c r="S5450" s="22" t="s">
        <v>6590</v>
      </c>
      <c r="T5450" s="22">
        <f t="shared" si="468"/>
        <v>9</v>
      </c>
      <c r="U5450" s="22">
        <f t="shared" si="469"/>
        <v>2022</v>
      </c>
      <c r="V5450" s="22" t="str">
        <f t="shared" si="470"/>
        <v>METROPOLITANA</v>
      </c>
    </row>
    <row r="5451" spans="1:22" x14ac:dyDescent="0.2">
      <c r="A5451" s="23" t="s">
        <v>6588</v>
      </c>
      <c r="B5451" s="22" t="s">
        <v>33</v>
      </c>
      <c r="C5451" s="22" t="s">
        <v>5690</v>
      </c>
      <c r="D5451" s="22" t="s">
        <v>38</v>
      </c>
      <c r="E5451" s="24" t="s">
        <v>1124</v>
      </c>
      <c r="F5451" s="22" t="s">
        <v>120</v>
      </c>
      <c r="G5451" s="25">
        <v>3614.2</v>
      </c>
      <c r="H5451" s="22" t="s">
        <v>43</v>
      </c>
      <c r="I5451" s="22">
        <v>0</v>
      </c>
      <c r="J5451" s="22" t="s">
        <v>120</v>
      </c>
      <c r="K5451" s="22" t="s">
        <v>23</v>
      </c>
      <c r="L5451" s="22">
        <v>5</v>
      </c>
      <c r="M5451" s="26">
        <v>70000</v>
      </c>
      <c r="N5451" s="26">
        <v>0</v>
      </c>
      <c r="O5451" s="15">
        <f t="shared" si="466"/>
        <v>70000</v>
      </c>
      <c r="P5451" s="15">
        <f t="shared" si="467"/>
        <v>19.368048254108793</v>
      </c>
      <c r="Q5451" s="25">
        <v>10000</v>
      </c>
      <c r="R5451" s="22">
        <v>36</v>
      </c>
      <c r="S5451" s="22" t="s">
        <v>6591</v>
      </c>
      <c r="T5451" s="22">
        <f t="shared" si="468"/>
        <v>9</v>
      </c>
      <c r="U5451" s="22">
        <f t="shared" si="469"/>
        <v>2022</v>
      </c>
      <c r="V5451" s="22" t="str">
        <f t="shared" si="470"/>
        <v>METROPOLITANA</v>
      </c>
    </row>
    <row r="5452" spans="1:22" x14ac:dyDescent="0.2">
      <c r="A5452" s="23" t="s">
        <v>6588</v>
      </c>
      <c r="B5452" s="22" t="s">
        <v>33</v>
      </c>
      <c r="C5452" s="22" t="s">
        <v>29</v>
      </c>
      <c r="D5452" s="22" t="s">
        <v>37</v>
      </c>
      <c r="E5452" s="24" t="s">
        <v>40</v>
      </c>
      <c r="F5452" s="22" t="s">
        <v>39</v>
      </c>
      <c r="G5452" s="25">
        <f>5994.72+1738</f>
        <v>7732.72</v>
      </c>
      <c r="H5452" s="22" t="s">
        <v>22</v>
      </c>
      <c r="I5452" s="22">
        <v>0</v>
      </c>
      <c r="J5452" s="22" t="s">
        <v>39</v>
      </c>
      <c r="K5452" s="22" t="s">
        <v>23</v>
      </c>
      <c r="L5452" s="22">
        <v>1</v>
      </c>
      <c r="M5452" s="26">
        <v>65942</v>
      </c>
      <c r="N5452" s="26">
        <v>0</v>
      </c>
      <c r="O5452" s="15">
        <f t="shared" si="466"/>
        <v>65942</v>
      </c>
      <c r="P5452" s="15">
        <f t="shared" si="467"/>
        <v>8.5276590902037057</v>
      </c>
      <c r="Q5452" s="25">
        <v>5000</v>
      </c>
      <c r="R5452" s="22">
        <v>100</v>
      </c>
      <c r="S5452" s="22" t="s">
        <v>6600</v>
      </c>
      <c r="T5452" s="22">
        <f t="shared" si="468"/>
        <v>9</v>
      </c>
      <c r="U5452" s="22">
        <f t="shared" si="469"/>
        <v>2022</v>
      </c>
      <c r="V5452" s="22" t="str">
        <f t="shared" si="470"/>
        <v>METROPOLITANA</v>
      </c>
    </row>
    <row r="5453" spans="1:22" x14ac:dyDescent="0.2">
      <c r="A5453" s="23" t="s">
        <v>6588</v>
      </c>
      <c r="B5453" s="22" t="s">
        <v>33</v>
      </c>
      <c r="C5453" s="22" t="s">
        <v>29</v>
      </c>
      <c r="D5453" s="22" t="s">
        <v>30</v>
      </c>
      <c r="E5453" s="24" t="s">
        <v>31</v>
      </c>
      <c r="F5453" s="22" t="s">
        <v>173</v>
      </c>
      <c r="G5453" s="25">
        <v>6224.7999999999984</v>
      </c>
      <c r="H5453" s="22" t="s">
        <v>32</v>
      </c>
      <c r="I5453" s="22">
        <v>0</v>
      </c>
      <c r="J5453" s="22" t="s">
        <v>173</v>
      </c>
      <c r="K5453" s="22" t="s">
        <v>23</v>
      </c>
      <c r="L5453" s="22">
        <v>5</v>
      </c>
      <c r="M5453" s="26">
        <v>90000</v>
      </c>
      <c r="N5453" s="26">
        <v>0</v>
      </c>
      <c r="O5453" s="15">
        <f t="shared" si="466"/>
        <v>90000</v>
      </c>
      <c r="P5453" s="15">
        <f t="shared" si="467"/>
        <v>14.458295848862617</v>
      </c>
      <c r="Q5453" s="25">
        <v>10000</v>
      </c>
      <c r="R5453" s="22">
        <v>62</v>
      </c>
      <c r="S5453" s="22" t="s">
        <v>6592</v>
      </c>
      <c r="T5453" s="22">
        <f t="shared" si="468"/>
        <v>9</v>
      </c>
      <c r="U5453" s="22">
        <f t="shared" si="469"/>
        <v>2022</v>
      </c>
      <c r="V5453" s="22" t="str">
        <f t="shared" si="470"/>
        <v>METROPOLITANA</v>
      </c>
    </row>
    <row r="5454" spans="1:22" x14ac:dyDescent="0.2">
      <c r="A5454" s="23" t="s">
        <v>6588</v>
      </c>
      <c r="B5454" s="22" t="s">
        <v>33</v>
      </c>
      <c r="C5454" s="22" t="s">
        <v>29</v>
      </c>
      <c r="D5454" s="22" t="s">
        <v>164</v>
      </c>
      <c r="E5454" s="24" t="s">
        <v>1576</v>
      </c>
      <c r="F5454" s="22" t="s">
        <v>39</v>
      </c>
      <c r="G5454" s="25">
        <v>12235.74</v>
      </c>
      <c r="H5454" s="22" t="s">
        <v>22</v>
      </c>
      <c r="I5454" s="22">
        <v>1</v>
      </c>
      <c r="J5454" s="22" t="s">
        <v>39</v>
      </c>
      <c r="K5454" s="22" t="s">
        <v>23</v>
      </c>
      <c r="L5454" s="22">
        <v>1</v>
      </c>
      <c r="M5454" s="26">
        <v>134593</v>
      </c>
      <c r="N5454" s="26">
        <v>0</v>
      </c>
      <c r="O5454" s="15">
        <f t="shared" si="466"/>
        <v>134593</v>
      </c>
      <c r="P5454" s="15">
        <f t="shared" si="467"/>
        <v>10.999988558109276</v>
      </c>
      <c r="Q5454" s="25">
        <v>5000</v>
      </c>
      <c r="R5454" s="22">
        <v>100</v>
      </c>
      <c r="S5454" s="22" t="s">
        <v>6593</v>
      </c>
      <c r="T5454" s="22">
        <f t="shared" si="468"/>
        <v>9</v>
      </c>
      <c r="U5454" s="22">
        <f t="shared" si="469"/>
        <v>2022</v>
      </c>
      <c r="V5454" s="22" t="str">
        <f t="shared" si="470"/>
        <v>METROPOLITANA</v>
      </c>
    </row>
    <row r="5455" spans="1:22" x14ac:dyDescent="0.2">
      <c r="A5455" s="23" t="s">
        <v>6588</v>
      </c>
      <c r="B5455" s="22" t="s">
        <v>33</v>
      </c>
      <c r="C5455" s="22" t="s">
        <v>29</v>
      </c>
      <c r="D5455" s="22" t="s">
        <v>20</v>
      </c>
      <c r="E5455" s="24" t="s">
        <v>21</v>
      </c>
      <c r="F5455" s="22" t="s">
        <v>39</v>
      </c>
      <c r="G5455" s="25">
        <v>6151.2000000000016</v>
      </c>
      <c r="H5455" s="22" t="s">
        <v>22</v>
      </c>
      <c r="I5455" s="22">
        <v>0</v>
      </c>
      <c r="J5455" s="22" t="s">
        <v>39</v>
      </c>
      <c r="K5455" s="22" t="s">
        <v>23</v>
      </c>
      <c r="L5455" s="22">
        <v>1</v>
      </c>
      <c r="M5455" s="26">
        <v>67663</v>
      </c>
      <c r="N5455" s="26">
        <v>0</v>
      </c>
      <c r="O5455" s="15">
        <f t="shared" si="466"/>
        <v>67663</v>
      </c>
      <c r="P5455" s="15">
        <f t="shared" si="467"/>
        <v>10.999967486018985</v>
      </c>
      <c r="Q5455" s="25">
        <v>5000</v>
      </c>
      <c r="R5455" s="22">
        <v>100</v>
      </c>
      <c r="S5455" s="22" t="s">
        <v>6594</v>
      </c>
      <c r="T5455" s="22">
        <f t="shared" si="468"/>
        <v>9</v>
      </c>
      <c r="U5455" s="22">
        <f t="shared" si="469"/>
        <v>2022</v>
      </c>
      <c r="V5455" s="22" t="str">
        <f t="shared" si="470"/>
        <v>METROPOLITANA</v>
      </c>
    </row>
    <row r="5456" spans="1:22" x14ac:dyDescent="0.2">
      <c r="A5456" s="23" t="s">
        <v>6588</v>
      </c>
      <c r="B5456" s="22" t="s">
        <v>33</v>
      </c>
      <c r="C5456" s="22" t="s">
        <v>44</v>
      </c>
      <c r="D5456" s="22" t="s">
        <v>2825</v>
      </c>
      <c r="E5456" s="24" t="s">
        <v>639</v>
      </c>
      <c r="F5456" s="22" t="s">
        <v>815</v>
      </c>
      <c r="G5456" s="25">
        <f>4000.26+4186</f>
        <v>8186.26</v>
      </c>
      <c r="H5456" s="22" t="s">
        <v>24</v>
      </c>
      <c r="I5456" s="22">
        <v>1</v>
      </c>
      <c r="J5456" s="22" t="s">
        <v>815</v>
      </c>
      <c r="K5456" s="22" t="s">
        <v>75</v>
      </c>
      <c r="L5456" s="22">
        <v>0</v>
      </c>
      <c r="M5456" s="26">
        <v>460000</v>
      </c>
      <c r="N5456" s="26">
        <v>0</v>
      </c>
      <c r="O5456" s="15">
        <f t="shared" si="466"/>
        <v>460000</v>
      </c>
      <c r="P5456" s="15">
        <f t="shared" si="467"/>
        <v>56.19171636376074</v>
      </c>
      <c r="Q5456" s="25">
        <v>20000</v>
      </c>
      <c r="R5456" s="22">
        <v>55</v>
      </c>
      <c r="S5456" s="22" t="s">
        <v>6601</v>
      </c>
      <c r="T5456" s="22">
        <f t="shared" si="468"/>
        <v>9</v>
      </c>
      <c r="U5456" s="22">
        <f t="shared" si="469"/>
        <v>2022</v>
      </c>
      <c r="V5456" s="22" t="str">
        <f t="shared" si="470"/>
        <v>REGIONES</v>
      </c>
    </row>
    <row r="5457" spans="1:22" x14ac:dyDescent="0.2">
      <c r="A5457" s="23" t="s">
        <v>6588</v>
      </c>
      <c r="B5457" s="22" t="s">
        <v>33</v>
      </c>
      <c r="C5457" s="22" t="s">
        <v>44</v>
      </c>
      <c r="D5457" s="22" t="s">
        <v>6595</v>
      </c>
      <c r="E5457" s="24" t="s">
        <v>6596</v>
      </c>
      <c r="F5457" s="22" t="s">
        <v>92</v>
      </c>
      <c r="G5457" s="25">
        <v>8618.0799999999981</v>
      </c>
      <c r="H5457" s="22" t="s">
        <v>24</v>
      </c>
      <c r="I5457" s="22">
        <v>1</v>
      </c>
      <c r="J5457" s="22" t="s">
        <v>92</v>
      </c>
      <c r="K5457" s="22" t="s">
        <v>93</v>
      </c>
      <c r="L5457" s="22">
        <v>0</v>
      </c>
      <c r="M5457" s="26">
        <v>700000</v>
      </c>
      <c r="N5457" s="26">
        <v>0</v>
      </c>
      <c r="O5457" s="15">
        <f t="shared" si="466"/>
        <v>700000</v>
      </c>
      <c r="P5457" s="15">
        <f t="shared" si="467"/>
        <v>81.224588307372429</v>
      </c>
      <c r="Q5457" s="25">
        <v>20000</v>
      </c>
      <c r="R5457" s="22">
        <v>43</v>
      </c>
      <c r="S5457" s="22" t="s">
        <v>6597</v>
      </c>
      <c r="T5457" s="22">
        <f t="shared" si="468"/>
        <v>9</v>
      </c>
      <c r="U5457" s="22">
        <f t="shared" si="469"/>
        <v>2022</v>
      </c>
      <c r="V5457" s="22" t="str">
        <f t="shared" si="470"/>
        <v>REGIONES</v>
      </c>
    </row>
    <row r="5458" spans="1:22" x14ac:dyDescent="0.2">
      <c r="A5458" s="23" t="s">
        <v>6588</v>
      </c>
      <c r="B5458" s="22" t="s">
        <v>33</v>
      </c>
      <c r="C5458" s="22" t="s">
        <v>44</v>
      </c>
      <c r="D5458" s="22" t="s">
        <v>1170</v>
      </c>
      <c r="E5458" s="24" t="s">
        <v>81</v>
      </c>
      <c r="F5458" s="22" t="s">
        <v>3139</v>
      </c>
      <c r="G5458" s="25">
        <v>7803.0000000000009</v>
      </c>
      <c r="H5458" s="22" t="s">
        <v>24</v>
      </c>
      <c r="I5458" s="22">
        <v>1</v>
      </c>
      <c r="J5458" s="22" t="s">
        <v>3139</v>
      </c>
      <c r="K5458" s="22" t="s">
        <v>93</v>
      </c>
      <c r="L5458" s="22">
        <v>0</v>
      </c>
      <c r="M5458" s="26">
        <v>530000</v>
      </c>
      <c r="N5458" s="26">
        <v>0</v>
      </c>
      <c r="O5458" s="15">
        <f t="shared" si="466"/>
        <v>530000</v>
      </c>
      <c r="P5458" s="15">
        <f t="shared" si="467"/>
        <v>67.922593874150962</v>
      </c>
      <c r="Q5458" s="25">
        <v>20000</v>
      </c>
      <c r="R5458" s="22">
        <v>39</v>
      </c>
      <c r="S5458" s="22" t="s">
        <v>6598</v>
      </c>
      <c r="T5458" s="22">
        <f t="shared" si="468"/>
        <v>9</v>
      </c>
      <c r="U5458" s="22">
        <f t="shared" si="469"/>
        <v>2022</v>
      </c>
      <c r="V5458" s="22" t="str">
        <f t="shared" si="470"/>
        <v>REGIONES</v>
      </c>
    </row>
    <row r="5459" spans="1:22" x14ac:dyDescent="0.2">
      <c r="A5459" s="23" t="s">
        <v>6588</v>
      </c>
      <c r="B5459" s="22" t="s">
        <v>33</v>
      </c>
      <c r="C5459" s="22" t="s">
        <v>44</v>
      </c>
      <c r="D5459" s="22" t="s">
        <v>45</v>
      </c>
      <c r="E5459" s="24" t="s">
        <v>52</v>
      </c>
      <c r="F5459" s="22" t="s">
        <v>51</v>
      </c>
      <c r="G5459" s="25">
        <v>2498.8000000000002</v>
      </c>
      <c r="H5459" s="22" t="s">
        <v>22</v>
      </c>
      <c r="I5459" s="22">
        <v>0</v>
      </c>
      <c r="J5459" s="22" t="s">
        <v>51</v>
      </c>
      <c r="K5459" s="22" t="s">
        <v>23</v>
      </c>
      <c r="L5459" s="22">
        <v>4</v>
      </c>
      <c r="M5459" s="26">
        <v>55000</v>
      </c>
      <c r="N5459" s="26">
        <v>0</v>
      </c>
      <c r="O5459" s="15">
        <f t="shared" si="466"/>
        <v>55000</v>
      </c>
      <c r="P5459" s="15">
        <f t="shared" si="467"/>
        <v>22.01056507123419</v>
      </c>
      <c r="Q5459" s="25">
        <v>5000</v>
      </c>
      <c r="R5459" s="22">
        <v>50</v>
      </c>
      <c r="S5459" s="22" t="s">
        <v>6599</v>
      </c>
      <c r="T5459" s="22">
        <f t="shared" si="468"/>
        <v>9</v>
      </c>
      <c r="U5459" s="22">
        <f t="shared" si="469"/>
        <v>2022</v>
      </c>
      <c r="V5459" s="22" t="str">
        <f t="shared" si="470"/>
        <v>METROPOLITANA</v>
      </c>
    </row>
    <row r="5460" spans="1:22" x14ac:dyDescent="0.2">
      <c r="A5460" s="11" t="s">
        <v>6602</v>
      </c>
      <c r="B5460" s="12" t="s">
        <v>18</v>
      </c>
      <c r="C5460" s="12" t="s">
        <v>19</v>
      </c>
      <c r="D5460" s="12" t="s">
        <v>38</v>
      </c>
      <c r="E5460" s="13" t="s">
        <v>1124</v>
      </c>
      <c r="F5460" s="12" t="s">
        <v>51</v>
      </c>
      <c r="G5460" s="14">
        <v>14546.82</v>
      </c>
      <c r="H5460" s="12" t="s">
        <v>43</v>
      </c>
      <c r="I5460" s="12">
        <v>0</v>
      </c>
      <c r="J5460" s="12" t="s">
        <v>51</v>
      </c>
      <c r="K5460" s="12" t="s">
        <v>23</v>
      </c>
      <c r="L5460" s="12">
        <v>4</v>
      </c>
      <c r="M5460" s="15">
        <v>160015</v>
      </c>
      <c r="N5460" s="15">
        <v>0</v>
      </c>
      <c r="O5460" s="15">
        <f t="shared" si="466"/>
        <v>160015</v>
      </c>
      <c r="P5460" s="15">
        <f t="shared" si="467"/>
        <v>10.999998625129066</v>
      </c>
      <c r="Q5460" s="14">
        <v>5000</v>
      </c>
      <c r="R5460" s="12">
        <v>100</v>
      </c>
      <c r="S5460" s="12" t="s">
        <v>6603</v>
      </c>
      <c r="T5460" s="22">
        <f t="shared" si="468"/>
        <v>9</v>
      </c>
      <c r="U5460" s="22">
        <f t="shared" si="469"/>
        <v>2022</v>
      </c>
      <c r="V5460" s="22" t="str">
        <f t="shared" si="470"/>
        <v>METROPOLITANA</v>
      </c>
    </row>
    <row r="5461" spans="1:22" x14ac:dyDescent="0.2">
      <c r="A5461" s="11" t="s">
        <v>6602</v>
      </c>
      <c r="B5461" s="12" t="s">
        <v>33</v>
      </c>
      <c r="C5461" s="12" t="s">
        <v>2431</v>
      </c>
      <c r="D5461" s="12" t="s">
        <v>2955</v>
      </c>
      <c r="E5461" s="13" t="s">
        <v>2956</v>
      </c>
      <c r="F5461" s="12" t="s">
        <v>67</v>
      </c>
      <c r="G5461" s="14">
        <v>5886</v>
      </c>
      <c r="H5461" s="12" t="s">
        <v>24</v>
      </c>
      <c r="I5461" s="12">
        <v>1</v>
      </c>
      <c r="J5461" s="12" t="s">
        <v>67</v>
      </c>
      <c r="K5461" s="12" t="s">
        <v>23</v>
      </c>
      <c r="L5461" s="12">
        <v>2</v>
      </c>
      <c r="M5461" s="15">
        <v>64746</v>
      </c>
      <c r="N5461" s="15">
        <v>0</v>
      </c>
      <c r="O5461" s="15">
        <f t="shared" ref="O5461:O5524" si="471">SUM(M5461:N5461)</f>
        <v>64746</v>
      </c>
      <c r="P5461" s="15">
        <f t="shared" si="467"/>
        <v>11</v>
      </c>
      <c r="Q5461" s="14">
        <v>5000</v>
      </c>
      <c r="R5461" s="12">
        <v>100</v>
      </c>
      <c r="S5461" s="12" t="s">
        <v>6604</v>
      </c>
      <c r="T5461" s="22">
        <f t="shared" si="468"/>
        <v>9</v>
      </c>
      <c r="U5461" s="22">
        <f t="shared" si="469"/>
        <v>2022</v>
      </c>
      <c r="V5461" s="22" t="str">
        <f t="shared" si="470"/>
        <v>METROPOLITANA</v>
      </c>
    </row>
    <row r="5462" spans="1:22" x14ac:dyDescent="0.2">
      <c r="A5462" s="11" t="s">
        <v>6602</v>
      </c>
      <c r="B5462" s="12" t="s">
        <v>33</v>
      </c>
      <c r="C5462" s="12" t="s">
        <v>60</v>
      </c>
      <c r="D5462" s="12" t="s">
        <v>30</v>
      </c>
      <c r="E5462" s="13" t="s">
        <v>31</v>
      </c>
      <c r="F5462" s="12" t="s">
        <v>51</v>
      </c>
      <c r="G5462" s="14">
        <v>10505.6</v>
      </c>
      <c r="H5462" s="12" t="s">
        <v>32</v>
      </c>
      <c r="I5462" s="12">
        <v>0</v>
      </c>
      <c r="J5462" s="12" t="s">
        <v>51</v>
      </c>
      <c r="K5462" s="12" t="s">
        <v>23</v>
      </c>
      <c r="L5462" s="12">
        <v>4</v>
      </c>
      <c r="M5462" s="15">
        <v>115562</v>
      </c>
      <c r="N5462" s="15">
        <v>0</v>
      </c>
      <c r="O5462" s="15">
        <f t="shared" si="471"/>
        <v>115562</v>
      </c>
      <c r="P5462" s="15">
        <f t="shared" si="467"/>
        <v>11.000038074931465</v>
      </c>
      <c r="Q5462" s="14">
        <v>5000</v>
      </c>
      <c r="R5462" s="12">
        <v>100</v>
      </c>
      <c r="S5462" s="12" t="s">
        <v>6605</v>
      </c>
      <c r="T5462" s="22">
        <f t="shared" si="468"/>
        <v>9</v>
      </c>
      <c r="U5462" s="22">
        <f t="shared" si="469"/>
        <v>2022</v>
      </c>
      <c r="V5462" s="22" t="str">
        <f t="shared" si="470"/>
        <v>METROPOLITANA</v>
      </c>
    </row>
    <row r="5463" spans="1:22" x14ac:dyDescent="0.2">
      <c r="A5463" s="11" t="s">
        <v>6602</v>
      </c>
      <c r="B5463" s="12" t="s">
        <v>33</v>
      </c>
      <c r="C5463" s="12" t="s">
        <v>60</v>
      </c>
      <c r="D5463" s="12" t="s">
        <v>41</v>
      </c>
      <c r="E5463" s="13" t="s">
        <v>25</v>
      </c>
      <c r="F5463" s="12" t="s">
        <v>51</v>
      </c>
      <c r="G5463" s="14">
        <v>9755.1999999999971</v>
      </c>
      <c r="H5463" s="12" t="s">
        <v>43</v>
      </c>
      <c r="I5463" s="12">
        <v>0</v>
      </c>
      <c r="J5463" s="12" t="s">
        <v>51</v>
      </c>
      <c r="K5463" s="12" t="s">
        <v>23</v>
      </c>
      <c r="L5463" s="12">
        <v>4</v>
      </c>
      <c r="M5463" s="15">
        <v>107307</v>
      </c>
      <c r="N5463" s="15">
        <v>0</v>
      </c>
      <c r="O5463" s="15">
        <f t="shared" si="471"/>
        <v>107307</v>
      </c>
      <c r="P5463" s="15">
        <f t="shared" si="467"/>
        <v>10.999979498113829</v>
      </c>
      <c r="Q5463" s="14">
        <v>5000</v>
      </c>
      <c r="R5463" s="12">
        <v>100</v>
      </c>
      <c r="S5463" s="12" t="s">
        <v>6606</v>
      </c>
      <c r="T5463" s="22">
        <f t="shared" si="468"/>
        <v>9</v>
      </c>
      <c r="U5463" s="22">
        <f t="shared" si="469"/>
        <v>2022</v>
      </c>
      <c r="V5463" s="22" t="str">
        <f t="shared" si="470"/>
        <v>METROPOLITANA</v>
      </c>
    </row>
    <row r="5464" spans="1:22" x14ac:dyDescent="0.2">
      <c r="A5464" s="11" t="s">
        <v>6602</v>
      </c>
      <c r="B5464" s="12" t="s">
        <v>33</v>
      </c>
      <c r="C5464" s="12" t="s">
        <v>128</v>
      </c>
      <c r="D5464" s="12" t="s">
        <v>20</v>
      </c>
      <c r="E5464" s="13" t="s">
        <v>21</v>
      </c>
      <c r="F5464" s="12" t="s">
        <v>34</v>
      </c>
      <c r="G5464" s="14">
        <v>4429.7</v>
      </c>
      <c r="H5464" s="12" t="s">
        <v>22</v>
      </c>
      <c r="I5464" s="12">
        <v>0</v>
      </c>
      <c r="J5464" s="12" t="s">
        <v>34</v>
      </c>
      <c r="K5464" s="12" t="s">
        <v>23</v>
      </c>
      <c r="L5464" s="12">
        <v>1</v>
      </c>
      <c r="M5464" s="15">
        <v>55000</v>
      </c>
      <c r="N5464" s="15">
        <v>0</v>
      </c>
      <c r="O5464" s="15">
        <f t="shared" si="471"/>
        <v>55000</v>
      </c>
      <c r="P5464" s="15">
        <f t="shared" si="467"/>
        <v>12.416190712689348</v>
      </c>
      <c r="Q5464" s="14">
        <v>5000</v>
      </c>
      <c r="R5464" s="12">
        <v>89</v>
      </c>
      <c r="S5464" s="12" t="s">
        <v>6607</v>
      </c>
      <c r="T5464" s="22">
        <f t="shared" si="468"/>
        <v>9</v>
      </c>
      <c r="U5464" s="22">
        <f t="shared" si="469"/>
        <v>2022</v>
      </c>
      <c r="V5464" s="22" t="str">
        <f t="shared" si="470"/>
        <v>METROPOLITANA</v>
      </c>
    </row>
    <row r="5465" spans="1:22" x14ac:dyDescent="0.2">
      <c r="A5465" s="11" t="s">
        <v>6602</v>
      </c>
      <c r="B5465" s="12" t="s">
        <v>33</v>
      </c>
      <c r="C5465" s="12" t="s">
        <v>36</v>
      </c>
      <c r="D5465" s="12" t="s">
        <v>30</v>
      </c>
      <c r="E5465" s="13" t="s">
        <v>31</v>
      </c>
      <c r="F5465" s="12" t="s">
        <v>800</v>
      </c>
      <c r="G5465" s="14">
        <v>3987.3999999999992</v>
      </c>
      <c r="H5465" s="12" t="s">
        <v>32</v>
      </c>
      <c r="I5465" s="12">
        <v>0</v>
      </c>
      <c r="J5465" s="12" t="s">
        <v>800</v>
      </c>
      <c r="K5465" s="12" t="s">
        <v>23</v>
      </c>
      <c r="L5465" s="12">
        <v>5</v>
      </c>
      <c r="M5465" s="15">
        <v>90000</v>
      </c>
      <c r="N5465" s="15">
        <v>0</v>
      </c>
      <c r="O5465" s="15">
        <f t="shared" si="471"/>
        <v>90000</v>
      </c>
      <c r="P5465" s="15">
        <f t="shared" si="467"/>
        <v>22.571098961729451</v>
      </c>
      <c r="Q5465" s="14">
        <v>10000</v>
      </c>
      <c r="R5465" s="12">
        <v>40</v>
      </c>
      <c r="S5465" s="12" t="s">
        <v>6608</v>
      </c>
      <c r="T5465" s="22">
        <f t="shared" si="468"/>
        <v>9</v>
      </c>
      <c r="U5465" s="22">
        <f t="shared" si="469"/>
        <v>2022</v>
      </c>
      <c r="V5465" s="22" t="str">
        <f t="shared" si="470"/>
        <v>METROPOLITANA</v>
      </c>
    </row>
    <row r="5466" spans="1:22" x14ac:dyDescent="0.2">
      <c r="A5466" s="11" t="s">
        <v>6602</v>
      </c>
      <c r="B5466" s="12" t="s">
        <v>33</v>
      </c>
      <c r="C5466" s="12" t="s">
        <v>29</v>
      </c>
      <c r="D5466" s="12" t="s">
        <v>38</v>
      </c>
      <c r="E5466" s="13" t="s">
        <v>42</v>
      </c>
      <c r="F5466" s="12" t="s">
        <v>39</v>
      </c>
      <c r="G5466" s="14">
        <v>6151.2000000000016</v>
      </c>
      <c r="H5466" s="12" t="s">
        <v>43</v>
      </c>
      <c r="I5466" s="12">
        <v>0</v>
      </c>
      <c r="J5466" s="12" t="s">
        <v>39</v>
      </c>
      <c r="K5466" s="12" t="s">
        <v>23</v>
      </c>
      <c r="L5466" s="12">
        <v>1</v>
      </c>
      <c r="M5466" s="15">
        <v>67663</v>
      </c>
      <c r="N5466" s="15">
        <v>0</v>
      </c>
      <c r="O5466" s="15">
        <f t="shared" si="471"/>
        <v>67663</v>
      </c>
      <c r="P5466" s="15">
        <f t="shared" si="467"/>
        <v>10.999967486018985</v>
      </c>
      <c r="Q5466" s="14">
        <v>5000</v>
      </c>
      <c r="R5466" s="12">
        <v>100</v>
      </c>
      <c r="S5466" s="12" t="s">
        <v>6609</v>
      </c>
      <c r="T5466" s="22">
        <f t="shared" si="468"/>
        <v>9</v>
      </c>
      <c r="U5466" s="22">
        <f t="shared" si="469"/>
        <v>2022</v>
      </c>
      <c r="V5466" s="22" t="str">
        <f t="shared" si="470"/>
        <v>METROPOLITANA</v>
      </c>
    </row>
    <row r="5467" spans="1:22" x14ac:dyDescent="0.2">
      <c r="A5467" s="11" t="s">
        <v>6602</v>
      </c>
      <c r="B5467" s="12" t="s">
        <v>33</v>
      </c>
      <c r="C5467" s="12" t="s">
        <v>29</v>
      </c>
      <c r="D5467" s="12" t="s">
        <v>37</v>
      </c>
      <c r="E5467" s="13" t="s">
        <v>40</v>
      </c>
      <c r="F5467" s="12" t="s">
        <v>39</v>
      </c>
      <c r="G5467" s="14">
        <v>6161.8000000000011</v>
      </c>
      <c r="H5467" s="12" t="s">
        <v>22</v>
      </c>
      <c r="I5467" s="12">
        <v>0</v>
      </c>
      <c r="J5467" s="12" t="s">
        <v>39</v>
      </c>
      <c r="K5467" s="12" t="s">
        <v>23</v>
      </c>
      <c r="L5467" s="12">
        <v>1</v>
      </c>
      <c r="M5467" s="15">
        <v>67780</v>
      </c>
      <c r="N5467" s="15">
        <v>0</v>
      </c>
      <c r="O5467" s="15">
        <f t="shared" si="471"/>
        <v>67780</v>
      </c>
      <c r="P5467" s="15">
        <f t="shared" si="467"/>
        <v>11.00003245804797</v>
      </c>
      <c r="Q5467" s="14">
        <v>5000</v>
      </c>
      <c r="R5467" s="12">
        <v>100</v>
      </c>
      <c r="S5467" s="12" t="s">
        <v>6610</v>
      </c>
      <c r="T5467" s="22">
        <f t="shared" si="468"/>
        <v>9</v>
      </c>
      <c r="U5467" s="22">
        <f t="shared" si="469"/>
        <v>2022</v>
      </c>
      <c r="V5467" s="22" t="str">
        <f t="shared" si="470"/>
        <v>METROPOLITANA</v>
      </c>
    </row>
    <row r="5468" spans="1:22" x14ac:dyDescent="0.2">
      <c r="A5468" s="11" t="s">
        <v>6602</v>
      </c>
      <c r="B5468" s="12" t="s">
        <v>33</v>
      </c>
      <c r="C5468" s="12" t="s">
        <v>29</v>
      </c>
      <c r="D5468" s="12" t="s">
        <v>45</v>
      </c>
      <c r="E5468" s="13" t="s">
        <v>52</v>
      </c>
      <c r="F5468" s="12" t="s">
        <v>39</v>
      </c>
      <c r="G5468" s="14">
        <v>4860.7999999999984</v>
      </c>
      <c r="H5468" s="12" t="s">
        <v>22</v>
      </c>
      <c r="I5468" s="12">
        <v>0</v>
      </c>
      <c r="J5468" s="12" t="s">
        <v>39</v>
      </c>
      <c r="K5468" s="12" t="s">
        <v>23</v>
      </c>
      <c r="L5468" s="12">
        <v>1</v>
      </c>
      <c r="M5468" s="15">
        <v>55000</v>
      </c>
      <c r="N5468" s="15">
        <v>0</v>
      </c>
      <c r="O5468" s="15">
        <f t="shared" si="471"/>
        <v>55000</v>
      </c>
      <c r="P5468" s="15">
        <f t="shared" si="467"/>
        <v>11.315009874917713</v>
      </c>
      <c r="Q5468" s="14">
        <v>5000</v>
      </c>
      <c r="R5468" s="12">
        <v>97</v>
      </c>
      <c r="S5468" s="12" t="s">
        <v>6611</v>
      </c>
      <c r="T5468" s="22">
        <f t="shared" si="468"/>
        <v>9</v>
      </c>
      <c r="U5468" s="22">
        <f t="shared" si="469"/>
        <v>2022</v>
      </c>
      <c r="V5468" s="22" t="str">
        <f t="shared" si="470"/>
        <v>METROPOLITANA</v>
      </c>
    </row>
    <row r="5469" spans="1:22" x14ac:dyDescent="0.2">
      <c r="A5469" s="11" t="s">
        <v>6602</v>
      </c>
      <c r="B5469" s="12" t="s">
        <v>33</v>
      </c>
      <c r="C5469" s="12" t="s">
        <v>29</v>
      </c>
      <c r="D5469" s="12" t="s">
        <v>164</v>
      </c>
      <c r="E5469" s="13" t="s">
        <v>1576</v>
      </c>
      <c r="F5469" s="12" t="s">
        <v>39</v>
      </c>
      <c r="G5469" s="14">
        <v>6250.6000000000013</v>
      </c>
      <c r="H5469" s="12" t="s">
        <v>22</v>
      </c>
      <c r="I5469" s="12">
        <v>1</v>
      </c>
      <c r="J5469" s="12" t="s">
        <v>39</v>
      </c>
      <c r="K5469" s="12" t="s">
        <v>23</v>
      </c>
      <c r="L5469" s="12">
        <v>1</v>
      </c>
      <c r="M5469" s="15">
        <v>68757</v>
      </c>
      <c r="N5469" s="15">
        <v>0</v>
      </c>
      <c r="O5469" s="15">
        <f t="shared" si="471"/>
        <v>68757</v>
      </c>
      <c r="P5469" s="15">
        <f t="shared" si="467"/>
        <v>11.000063993856587</v>
      </c>
      <c r="Q5469" s="14">
        <v>5000</v>
      </c>
      <c r="R5469" s="12">
        <v>100</v>
      </c>
      <c r="S5469" s="12" t="s">
        <v>6612</v>
      </c>
      <c r="T5469" s="22">
        <f t="shared" si="468"/>
        <v>9</v>
      </c>
      <c r="U5469" s="22">
        <f t="shared" si="469"/>
        <v>2022</v>
      </c>
      <c r="V5469" s="22" t="str">
        <f t="shared" si="470"/>
        <v>METROPOLITANA</v>
      </c>
    </row>
    <row r="5470" spans="1:22" x14ac:dyDescent="0.2">
      <c r="A5470" s="11" t="s">
        <v>6602</v>
      </c>
      <c r="B5470" s="12" t="s">
        <v>33</v>
      </c>
      <c r="C5470" s="12" t="s">
        <v>44</v>
      </c>
      <c r="D5470" s="12" t="s">
        <v>47</v>
      </c>
      <c r="E5470" s="13" t="s">
        <v>6613</v>
      </c>
      <c r="F5470" s="12" t="s">
        <v>48</v>
      </c>
      <c r="G5470" s="14">
        <f>4766.8+4659</f>
        <v>9425.7999999999993</v>
      </c>
      <c r="H5470" s="12" t="s">
        <v>22</v>
      </c>
      <c r="I5470" s="12">
        <v>0</v>
      </c>
      <c r="J5470" s="12" t="s">
        <v>48</v>
      </c>
      <c r="K5470" s="12" t="s">
        <v>23</v>
      </c>
      <c r="L5470" s="12">
        <v>1</v>
      </c>
      <c r="M5470" s="15">
        <v>55000</v>
      </c>
      <c r="N5470" s="15">
        <v>0</v>
      </c>
      <c r="O5470" s="15">
        <f t="shared" si="471"/>
        <v>55000</v>
      </c>
      <c r="P5470" s="15">
        <f t="shared" si="467"/>
        <v>5.8350484839483121</v>
      </c>
      <c r="Q5470" s="14">
        <v>5000</v>
      </c>
      <c r="R5470" s="12">
        <v>100</v>
      </c>
      <c r="S5470" s="12" t="s">
        <v>6614</v>
      </c>
      <c r="T5470" s="22">
        <f t="shared" si="468"/>
        <v>9</v>
      </c>
      <c r="U5470" s="22">
        <f t="shared" si="469"/>
        <v>2022</v>
      </c>
      <c r="V5470" s="22" t="str">
        <f t="shared" si="470"/>
        <v>METROPOLITANA</v>
      </c>
    </row>
    <row r="5471" spans="1:22" x14ac:dyDescent="0.2">
      <c r="A5471" s="23" t="s">
        <v>6615</v>
      </c>
      <c r="B5471" s="22" t="s">
        <v>33</v>
      </c>
      <c r="C5471" s="22" t="s">
        <v>60</v>
      </c>
      <c r="D5471" s="22" t="s">
        <v>37</v>
      </c>
      <c r="E5471" s="24" t="s">
        <v>40</v>
      </c>
      <c r="F5471" s="22" t="s">
        <v>51</v>
      </c>
      <c r="G5471" s="25">
        <v>9755.1999999999971</v>
      </c>
      <c r="H5471" s="22" t="s">
        <v>22</v>
      </c>
      <c r="I5471" s="22">
        <v>0</v>
      </c>
      <c r="J5471" s="22" t="s">
        <v>51</v>
      </c>
      <c r="K5471" s="22" t="s">
        <v>23</v>
      </c>
      <c r="L5471" s="22">
        <v>4</v>
      </c>
      <c r="M5471" s="26">
        <v>107307</v>
      </c>
      <c r="N5471" s="26">
        <v>0</v>
      </c>
      <c r="O5471" s="15">
        <f t="shared" si="471"/>
        <v>107307</v>
      </c>
      <c r="P5471" s="15">
        <f t="shared" si="467"/>
        <v>10.999979498113829</v>
      </c>
      <c r="Q5471" s="25">
        <v>5000</v>
      </c>
      <c r="R5471" s="22">
        <v>100</v>
      </c>
      <c r="S5471" s="22" t="s">
        <v>6616</v>
      </c>
      <c r="T5471" s="22">
        <f t="shared" si="468"/>
        <v>9</v>
      </c>
      <c r="U5471" s="22">
        <f t="shared" si="469"/>
        <v>2022</v>
      </c>
      <c r="V5471" s="22" t="str">
        <f t="shared" si="470"/>
        <v>METROPOLITANA</v>
      </c>
    </row>
    <row r="5472" spans="1:22" x14ac:dyDescent="0.2">
      <c r="A5472" s="23" t="s">
        <v>6615</v>
      </c>
      <c r="B5472" s="22" t="s">
        <v>33</v>
      </c>
      <c r="C5472" s="22" t="s">
        <v>6617</v>
      </c>
      <c r="D5472" s="22" t="s">
        <v>6618</v>
      </c>
      <c r="E5472" s="24" t="s">
        <v>31</v>
      </c>
      <c r="F5472" s="22" t="s">
        <v>51</v>
      </c>
      <c r="G5472" s="25">
        <v>6118.0200000000013</v>
      </c>
      <c r="H5472" s="22" t="s">
        <v>24</v>
      </c>
      <c r="I5472" s="22">
        <v>1</v>
      </c>
      <c r="J5472" s="22" t="s">
        <v>51</v>
      </c>
      <c r="K5472" s="22" t="s">
        <v>23</v>
      </c>
      <c r="L5472" s="22">
        <v>4</v>
      </c>
      <c r="M5472" s="26">
        <v>67298</v>
      </c>
      <c r="N5472" s="26">
        <v>0</v>
      </c>
      <c r="O5472" s="15">
        <f t="shared" si="471"/>
        <v>67298</v>
      </c>
      <c r="P5472" s="15">
        <f t="shared" si="467"/>
        <v>10.999964040653673</v>
      </c>
      <c r="Q5472" s="25">
        <v>5000</v>
      </c>
      <c r="R5472" s="22">
        <v>100</v>
      </c>
      <c r="S5472" s="22" t="s">
        <v>6619</v>
      </c>
      <c r="T5472" s="22">
        <f t="shared" si="468"/>
        <v>9</v>
      </c>
      <c r="U5472" s="22">
        <f t="shared" si="469"/>
        <v>2022</v>
      </c>
      <c r="V5472" s="22" t="str">
        <f t="shared" si="470"/>
        <v>METROPOLITANA</v>
      </c>
    </row>
    <row r="5473" spans="1:22" x14ac:dyDescent="0.2">
      <c r="A5473" s="23" t="s">
        <v>6615</v>
      </c>
      <c r="B5473" s="22" t="s">
        <v>33</v>
      </c>
      <c r="C5473" s="22" t="s">
        <v>29</v>
      </c>
      <c r="D5473" s="22" t="s">
        <v>41</v>
      </c>
      <c r="E5473" s="24" t="s">
        <v>25</v>
      </c>
      <c r="F5473" s="22" t="s">
        <v>39</v>
      </c>
      <c r="G5473" s="25">
        <v>7430.5199999999977</v>
      </c>
      <c r="H5473" s="22" t="s">
        <v>43</v>
      </c>
      <c r="I5473" s="22">
        <v>0</v>
      </c>
      <c r="J5473" s="22" t="s">
        <v>39</v>
      </c>
      <c r="K5473" s="22" t="s">
        <v>23</v>
      </c>
      <c r="L5473" s="22">
        <v>1</v>
      </c>
      <c r="M5473" s="26">
        <v>81736</v>
      </c>
      <c r="N5473" s="26">
        <v>0</v>
      </c>
      <c r="O5473" s="15">
        <f t="shared" si="471"/>
        <v>81736</v>
      </c>
      <c r="P5473" s="15">
        <f t="shared" ref="P5473:P5536" si="472">O5473/G5473</f>
        <v>11.000037682423306</v>
      </c>
      <c r="Q5473" s="25">
        <v>5000</v>
      </c>
      <c r="R5473" s="22">
        <v>100</v>
      </c>
      <c r="S5473" s="22" t="s">
        <v>6620</v>
      </c>
      <c r="T5473" s="22">
        <f t="shared" si="468"/>
        <v>9</v>
      </c>
      <c r="U5473" s="22">
        <f t="shared" si="469"/>
        <v>2022</v>
      </c>
      <c r="V5473" s="22" t="str">
        <f t="shared" si="470"/>
        <v>METROPOLITANA</v>
      </c>
    </row>
    <row r="5474" spans="1:22" x14ac:dyDescent="0.2">
      <c r="A5474" s="23" t="s">
        <v>6615</v>
      </c>
      <c r="B5474" s="22" t="s">
        <v>33</v>
      </c>
      <c r="C5474" s="22" t="s">
        <v>29</v>
      </c>
      <c r="D5474" s="22" t="s">
        <v>164</v>
      </c>
      <c r="E5474" s="24" t="s">
        <v>1576</v>
      </c>
      <c r="F5474" s="22" t="s">
        <v>39</v>
      </c>
      <c r="G5474" s="25">
        <v>15847.61</v>
      </c>
      <c r="H5474" s="22" t="s">
        <v>22</v>
      </c>
      <c r="I5474" s="22">
        <v>1</v>
      </c>
      <c r="J5474" s="22" t="s">
        <v>39</v>
      </c>
      <c r="K5474" s="22" t="s">
        <v>23</v>
      </c>
      <c r="L5474" s="22">
        <v>1</v>
      </c>
      <c r="M5474" s="26">
        <v>174324</v>
      </c>
      <c r="N5474" s="26">
        <v>0</v>
      </c>
      <c r="O5474" s="15">
        <f t="shared" si="471"/>
        <v>174324</v>
      </c>
      <c r="P5474" s="15">
        <f t="shared" si="472"/>
        <v>11.000018299289293</v>
      </c>
      <c r="Q5474" s="25">
        <v>5000</v>
      </c>
      <c r="R5474" s="22">
        <v>100</v>
      </c>
      <c r="S5474" s="22" t="s">
        <v>6621</v>
      </c>
      <c r="T5474" s="22">
        <f t="shared" si="468"/>
        <v>9</v>
      </c>
      <c r="U5474" s="22">
        <f t="shared" si="469"/>
        <v>2022</v>
      </c>
      <c r="V5474" s="22" t="str">
        <f t="shared" si="470"/>
        <v>METROPOLITANA</v>
      </c>
    </row>
    <row r="5475" spans="1:22" x14ac:dyDescent="0.2">
      <c r="A5475" s="23" t="s">
        <v>6615</v>
      </c>
      <c r="B5475" s="22" t="s">
        <v>33</v>
      </c>
      <c r="C5475" s="22" t="s">
        <v>29</v>
      </c>
      <c r="D5475" s="22" t="s">
        <v>20</v>
      </c>
      <c r="E5475" s="24" t="s">
        <v>21</v>
      </c>
      <c r="F5475" s="22" t="s">
        <v>39</v>
      </c>
      <c r="G5475" s="25">
        <v>7484.949999999998</v>
      </c>
      <c r="H5475" s="22" t="s">
        <v>22</v>
      </c>
      <c r="I5475" s="22">
        <v>0</v>
      </c>
      <c r="J5475" s="22" t="s">
        <v>39</v>
      </c>
      <c r="K5475" s="22" t="s">
        <v>23</v>
      </c>
      <c r="L5475" s="22">
        <v>1</v>
      </c>
      <c r="M5475" s="26">
        <v>82334</v>
      </c>
      <c r="N5475" s="26">
        <v>0</v>
      </c>
      <c r="O5475" s="15">
        <f t="shared" si="471"/>
        <v>82334</v>
      </c>
      <c r="P5475" s="15">
        <f t="shared" si="472"/>
        <v>10.999939879357914</v>
      </c>
      <c r="Q5475" s="25">
        <v>5000</v>
      </c>
      <c r="R5475" s="22">
        <v>100</v>
      </c>
      <c r="S5475" s="22" t="s">
        <v>6622</v>
      </c>
      <c r="T5475" s="22">
        <f t="shared" si="468"/>
        <v>9</v>
      </c>
      <c r="U5475" s="22">
        <f t="shared" si="469"/>
        <v>2022</v>
      </c>
      <c r="V5475" s="22" t="str">
        <f t="shared" si="470"/>
        <v>METROPOLITANA</v>
      </c>
    </row>
    <row r="5476" spans="1:22" x14ac:dyDescent="0.2">
      <c r="A5476" s="23" t="s">
        <v>6615</v>
      </c>
      <c r="B5476" s="22" t="s">
        <v>33</v>
      </c>
      <c r="C5476" s="22" t="s">
        <v>44</v>
      </c>
      <c r="D5476" s="22" t="s">
        <v>191</v>
      </c>
      <c r="E5476" s="24" t="s">
        <v>192</v>
      </c>
      <c r="F5476" s="22" t="s">
        <v>132</v>
      </c>
      <c r="G5476" s="25">
        <v>5910.5</v>
      </c>
      <c r="H5476" s="22" t="s">
        <v>85</v>
      </c>
      <c r="I5476" s="22">
        <v>1</v>
      </c>
      <c r="J5476" s="22" t="s">
        <v>132</v>
      </c>
      <c r="K5476" s="22" t="s">
        <v>124</v>
      </c>
      <c r="L5476" s="22">
        <v>0</v>
      </c>
      <c r="M5476" s="26">
        <v>400000</v>
      </c>
      <c r="N5476" s="26">
        <v>0</v>
      </c>
      <c r="O5476" s="15">
        <f t="shared" si="471"/>
        <v>400000</v>
      </c>
      <c r="P5476" s="15">
        <f t="shared" si="472"/>
        <v>67.676169528804664</v>
      </c>
      <c r="Q5476" s="25">
        <v>20000</v>
      </c>
      <c r="R5476" s="22">
        <v>30</v>
      </c>
      <c r="S5476" s="22" t="s">
        <v>6623</v>
      </c>
      <c r="T5476" s="22">
        <f t="shared" si="468"/>
        <v>9</v>
      </c>
      <c r="U5476" s="22">
        <f t="shared" si="469"/>
        <v>2022</v>
      </c>
      <c r="V5476" s="22" t="str">
        <f t="shared" si="470"/>
        <v>REGIONES</v>
      </c>
    </row>
    <row r="5477" spans="1:22" x14ac:dyDescent="0.2">
      <c r="A5477" s="23" t="s">
        <v>6615</v>
      </c>
      <c r="B5477" s="22" t="s">
        <v>33</v>
      </c>
      <c r="C5477" s="22" t="s">
        <v>44</v>
      </c>
      <c r="D5477" s="22" t="s">
        <v>45</v>
      </c>
      <c r="E5477" s="24" t="s">
        <v>52</v>
      </c>
      <c r="F5477" s="22" t="s">
        <v>26</v>
      </c>
      <c r="G5477" s="25">
        <v>4188.82</v>
      </c>
      <c r="H5477" s="22" t="s">
        <v>22</v>
      </c>
      <c r="I5477" s="22">
        <v>0</v>
      </c>
      <c r="J5477" s="22" t="s">
        <v>26</v>
      </c>
      <c r="K5477" s="22" t="s">
        <v>23</v>
      </c>
      <c r="L5477" s="22">
        <v>4</v>
      </c>
      <c r="M5477" s="26">
        <v>55000</v>
      </c>
      <c r="N5477" s="26">
        <v>0</v>
      </c>
      <c r="O5477" s="15">
        <f t="shared" si="471"/>
        <v>55000</v>
      </c>
      <c r="P5477" s="15">
        <f t="shared" si="472"/>
        <v>13.130189408950493</v>
      </c>
      <c r="Q5477" s="25">
        <v>5000</v>
      </c>
      <c r="R5477" s="22">
        <v>84</v>
      </c>
      <c r="S5477" s="22" t="s">
        <v>6624</v>
      </c>
      <c r="T5477" s="22">
        <f t="shared" si="468"/>
        <v>9</v>
      </c>
      <c r="U5477" s="22">
        <f t="shared" si="469"/>
        <v>2022</v>
      </c>
      <c r="V5477" s="22" t="str">
        <f t="shared" si="470"/>
        <v>METROPOLITANA</v>
      </c>
    </row>
    <row r="5478" spans="1:22" x14ac:dyDescent="0.2">
      <c r="A5478" s="23" t="s">
        <v>6615</v>
      </c>
      <c r="B5478" s="22" t="s">
        <v>33</v>
      </c>
      <c r="C5478" s="22" t="s">
        <v>44</v>
      </c>
      <c r="D5478" s="22" t="s">
        <v>47</v>
      </c>
      <c r="E5478" s="24" t="s">
        <v>49</v>
      </c>
      <c r="F5478" s="22" t="s">
        <v>53</v>
      </c>
      <c r="G5478" s="25">
        <v>3143.9</v>
      </c>
      <c r="H5478" s="22" t="s">
        <v>22</v>
      </c>
      <c r="I5478" s="22">
        <v>0</v>
      </c>
      <c r="J5478" s="22" t="s">
        <v>53</v>
      </c>
      <c r="K5478" s="22" t="s">
        <v>23</v>
      </c>
      <c r="L5478" s="22">
        <v>3</v>
      </c>
      <c r="M5478" s="26">
        <v>55000</v>
      </c>
      <c r="N5478" s="26">
        <v>0</v>
      </c>
      <c r="O5478" s="15">
        <f t="shared" si="471"/>
        <v>55000</v>
      </c>
      <c r="P5478" s="15">
        <f t="shared" si="472"/>
        <v>17.494195107986894</v>
      </c>
      <c r="Q5478" s="25">
        <v>5000</v>
      </c>
      <c r="R5478" s="22">
        <v>63</v>
      </c>
      <c r="S5478" s="22" t="s">
        <v>6625</v>
      </c>
      <c r="T5478" s="22">
        <f t="shared" si="468"/>
        <v>9</v>
      </c>
      <c r="U5478" s="22">
        <f t="shared" si="469"/>
        <v>2022</v>
      </c>
      <c r="V5478" s="22" t="str">
        <f t="shared" si="470"/>
        <v>METROPOLITANA</v>
      </c>
    </row>
    <row r="5479" spans="1:22" x14ac:dyDescent="0.2">
      <c r="A5479" s="11" t="s">
        <v>6626</v>
      </c>
      <c r="B5479" s="12" t="s">
        <v>18</v>
      </c>
      <c r="C5479" s="12" t="s">
        <v>19</v>
      </c>
      <c r="D5479" s="12" t="s">
        <v>37</v>
      </c>
      <c r="E5479" s="13" t="s">
        <v>40</v>
      </c>
      <c r="F5479" s="12" t="s">
        <v>727</v>
      </c>
      <c r="G5479" s="14">
        <v>10568.75</v>
      </c>
      <c r="H5479" s="12" t="s">
        <v>22</v>
      </c>
      <c r="I5479" s="12">
        <v>0</v>
      </c>
      <c r="J5479" s="12" t="s">
        <v>727</v>
      </c>
      <c r="K5479" s="12" t="s">
        <v>23</v>
      </c>
      <c r="L5479" s="12">
        <v>2</v>
      </c>
      <c r="M5479" s="15">
        <v>116256</v>
      </c>
      <c r="N5479" s="15">
        <v>0</v>
      </c>
      <c r="O5479" s="15">
        <f t="shared" si="471"/>
        <v>116256</v>
      </c>
      <c r="P5479" s="15">
        <f t="shared" si="472"/>
        <v>10.999976345357776</v>
      </c>
      <c r="Q5479" s="14">
        <v>5000</v>
      </c>
      <c r="R5479" s="12">
        <v>100</v>
      </c>
      <c r="S5479" s="12" t="s">
        <v>6627</v>
      </c>
      <c r="T5479" s="22">
        <f t="shared" si="468"/>
        <v>10</v>
      </c>
      <c r="U5479" s="22">
        <f t="shared" si="469"/>
        <v>2022</v>
      </c>
      <c r="V5479" s="22" t="str">
        <f t="shared" si="470"/>
        <v>METROPOLITANA</v>
      </c>
    </row>
    <row r="5480" spans="1:22" x14ac:dyDescent="0.2">
      <c r="A5480" s="11" t="s">
        <v>6626</v>
      </c>
      <c r="B5480" s="12" t="s">
        <v>33</v>
      </c>
      <c r="C5480" s="12" t="s">
        <v>6628</v>
      </c>
      <c r="D5480" s="12" t="s">
        <v>130</v>
      </c>
      <c r="E5480" s="13" t="s">
        <v>131</v>
      </c>
      <c r="F5480" s="12" t="s">
        <v>129</v>
      </c>
      <c r="G5480" s="14">
        <v>1901.96</v>
      </c>
      <c r="H5480" s="12" t="s">
        <v>85</v>
      </c>
      <c r="I5480" s="12">
        <v>1</v>
      </c>
      <c r="J5480" s="12" t="s">
        <v>129</v>
      </c>
      <c r="K5480" s="12" t="s">
        <v>23</v>
      </c>
      <c r="L5480" s="12">
        <v>1</v>
      </c>
      <c r="M5480" s="15">
        <v>55000</v>
      </c>
      <c r="N5480" s="15">
        <v>0</v>
      </c>
      <c r="O5480" s="15">
        <f t="shared" si="471"/>
        <v>55000</v>
      </c>
      <c r="P5480" s="15">
        <f t="shared" si="472"/>
        <v>28.917537697953691</v>
      </c>
      <c r="Q5480" s="14">
        <v>5000</v>
      </c>
      <c r="R5480" s="12">
        <v>38</v>
      </c>
      <c r="S5480" s="12" t="s">
        <v>6629</v>
      </c>
      <c r="T5480" s="22">
        <f t="shared" si="468"/>
        <v>10</v>
      </c>
      <c r="U5480" s="22">
        <f t="shared" si="469"/>
        <v>2022</v>
      </c>
      <c r="V5480" s="22" t="str">
        <f t="shared" si="470"/>
        <v>METROPOLITANA</v>
      </c>
    </row>
    <row r="5481" spans="1:22" x14ac:dyDescent="0.2">
      <c r="A5481" s="11" t="s">
        <v>6626</v>
      </c>
      <c r="B5481" s="12" t="s">
        <v>33</v>
      </c>
      <c r="C5481" s="12" t="s">
        <v>44</v>
      </c>
      <c r="D5481" s="12" t="s">
        <v>38</v>
      </c>
      <c r="E5481" s="13" t="s">
        <v>42</v>
      </c>
      <c r="F5481" s="12" t="s">
        <v>95</v>
      </c>
      <c r="G5481" s="14">
        <v>2572.7199999999998</v>
      </c>
      <c r="H5481" s="12" t="s">
        <v>43</v>
      </c>
      <c r="I5481" s="12">
        <v>0</v>
      </c>
      <c r="J5481" s="12" t="s">
        <v>95</v>
      </c>
      <c r="K5481" s="12" t="s">
        <v>23</v>
      </c>
      <c r="L5481" s="12">
        <v>4</v>
      </c>
      <c r="M5481" s="15">
        <v>55000</v>
      </c>
      <c r="N5481" s="15">
        <v>0</v>
      </c>
      <c r="O5481" s="15">
        <f t="shared" si="471"/>
        <v>55000</v>
      </c>
      <c r="P5481" s="15">
        <f t="shared" si="472"/>
        <v>21.3781523057309</v>
      </c>
      <c r="Q5481" s="14">
        <v>5000</v>
      </c>
      <c r="R5481" s="12">
        <v>51</v>
      </c>
      <c r="S5481" s="12" t="s">
        <v>6630</v>
      </c>
      <c r="T5481" s="22">
        <f t="shared" si="468"/>
        <v>10</v>
      </c>
      <c r="U5481" s="22">
        <f t="shared" si="469"/>
        <v>2022</v>
      </c>
      <c r="V5481" s="22" t="str">
        <f t="shared" si="470"/>
        <v>METROPOLITANA</v>
      </c>
    </row>
    <row r="5482" spans="1:22" x14ac:dyDescent="0.2">
      <c r="A5482" s="11" t="s">
        <v>6626</v>
      </c>
      <c r="B5482" s="12" t="s">
        <v>33</v>
      </c>
      <c r="C5482" s="12" t="s">
        <v>44</v>
      </c>
      <c r="D5482" s="12" t="s">
        <v>37</v>
      </c>
      <c r="E5482" s="13" t="s">
        <v>40</v>
      </c>
      <c r="F5482" s="12" t="s">
        <v>48</v>
      </c>
      <c r="G5482" s="14">
        <v>9418.3299999999981</v>
      </c>
      <c r="H5482" s="12" t="s">
        <v>22</v>
      </c>
      <c r="I5482" s="12">
        <v>0</v>
      </c>
      <c r="J5482" s="12" t="s">
        <v>48</v>
      </c>
      <c r="K5482" s="12" t="s">
        <v>23</v>
      </c>
      <c r="L5482" s="12">
        <v>1</v>
      </c>
      <c r="M5482" s="15">
        <v>103602</v>
      </c>
      <c r="N5482" s="15">
        <v>0</v>
      </c>
      <c r="O5482" s="15">
        <f t="shared" si="471"/>
        <v>103602</v>
      </c>
      <c r="P5482" s="15">
        <f t="shared" si="472"/>
        <v>11.000039285096193</v>
      </c>
      <c r="Q5482" s="14">
        <v>5000</v>
      </c>
      <c r="R5482" s="12">
        <v>100</v>
      </c>
      <c r="S5482" s="12" t="s">
        <v>6631</v>
      </c>
      <c r="T5482" s="22">
        <f t="shared" si="468"/>
        <v>10</v>
      </c>
      <c r="U5482" s="22">
        <f t="shared" si="469"/>
        <v>2022</v>
      </c>
      <c r="V5482" s="22" t="str">
        <f t="shared" si="470"/>
        <v>METROPOLITANA</v>
      </c>
    </row>
    <row r="5483" spans="1:22" x14ac:dyDescent="0.2">
      <c r="A5483" s="11" t="s">
        <v>6626</v>
      </c>
      <c r="B5483" s="12" t="s">
        <v>33</v>
      </c>
      <c r="C5483" s="12" t="s">
        <v>44</v>
      </c>
      <c r="D5483" s="12" t="s">
        <v>30</v>
      </c>
      <c r="E5483" s="13" t="s">
        <v>31</v>
      </c>
      <c r="F5483" s="12" t="s">
        <v>94</v>
      </c>
      <c r="G5483" s="14">
        <v>4285.92</v>
      </c>
      <c r="H5483" s="12" t="s">
        <v>32</v>
      </c>
      <c r="I5483" s="12">
        <v>0</v>
      </c>
      <c r="J5483" s="12" t="s">
        <v>59</v>
      </c>
      <c r="K5483" s="12" t="s">
        <v>78</v>
      </c>
      <c r="L5483" s="12">
        <v>0</v>
      </c>
      <c r="M5483" s="15">
        <v>203000</v>
      </c>
      <c r="N5483" s="15">
        <v>0</v>
      </c>
      <c r="O5483" s="15">
        <f t="shared" si="471"/>
        <v>203000</v>
      </c>
      <c r="P5483" s="15">
        <f t="shared" si="472"/>
        <v>47.364393175794227</v>
      </c>
      <c r="Q5483" s="14">
        <v>20000</v>
      </c>
      <c r="R5483" s="12">
        <v>21</v>
      </c>
      <c r="S5483" s="12" t="s">
        <v>6632</v>
      </c>
      <c r="T5483" s="22">
        <f t="shared" si="468"/>
        <v>10</v>
      </c>
      <c r="U5483" s="22">
        <f t="shared" si="469"/>
        <v>2022</v>
      </c>
      <c r="V5483" s="22" t="str">
        <f t="shared" si="470"/>
        <v>REGIONES</v>
      </c>
    </row>
    <row r="5484" spans="1:22" x14ac:dyDescent="0.2">
      <c r="A5484" s="11" t="s">
        <v>6626</v>
      </c>
      <c r="B5484" s="12" t="s">
        <v>33</v>
      </c>
      <c r="C5484" s="12" t="s">
        <v>44</v>
      </c>
      <c r="D5484" s="12" t="s">
        <v>45</v>
      </c>
      <c r="E5484" s="13" t="s">
        <v>52</v>
      </c>
      <c r="F5484" s="12" t="s">
        <v>26</v>
      </c>
      <c r="G5484" s="14">
        <v>3563.7200000000012</v>
      </c>
      <c r="H5484" s="12" t="s">
        <v>22</v>
      </c>
      <c r="I5484" s="12">
        <v>0</v>
      </c>
      <c r="J5484" s="12" t="s">
        <v>26</v>
      </c>
      <c r="K5484" s="12" t="s">
        <v>23</v>
      </c>
      <c r="L5484" s="12">
        <v>4</v>
      </c>
      <c r="M5484" s="15">
        <v>55000</v>
      </c>
      <c r="N5484" s="15">
        <v>0</v>
      </c>
      <c r="O5484" s="15">
        <f t="shared" si="471"/>
        <v>55000</v>
      </c>
      <c r="P5484" s="15">
        <f t="shared" si="472"/>
        <v>15.433311259021467</v>
      </c>
      <c r="Q5484" s="14">
        <v>5000</v>
      </c>
      <c r="R5484" s="12">
        <v>71</v>
      </c>
      <c r="S5484" s="12" t="s">
        <v>6633</v>
      </c>
      <c r="T5484" s="22">
        <f t="shared" si="468"/>
        <v>10</v>
      </c>
      <c r="U5484" s="22">
        <f t="shared" si="469"/>
        <v>2022</v>
      </c>
      <c r="V5484" s="22" t="str">
        <f t="shared" si="470"/>
        <v>METROPOLITANA</v>
      </c>
    </row>
    <row r="5485" spans="1:22" x14ac:dyDescent="0.2">
      <c r="A5485" s="11" t="s">
        <v>6626</v>
      </c>
      <c r="B5485" s="12" t="s">
        <v>33</v>
      </c>
      <c r="C5485" s="12" t="s">
        <v>44</v>
      </c>
      <c r="D5485" s="12" t="s">
        <v>47</v>
      </c>
      <c r="E5485" s="13" t="s">
        <v>49</v>
      </c>
      <c r="F5485" s="12" t="s">
        <v>134</v>
      </c>
      <c r="G5485" s="14">
        <v>3832.32</v>
      </c>
      <c r="H5485" s="12" t="s">
        <v>22</v>
      </c>
      <c r="I5485" s="12">
        <v>0</v>
      </c>
      <c r="J5485" s="12" t="s">
        <v>134</v>
      </c>
      <c r="K5485" s="12" t="s">
        <v>23</v>
      </c>
      <c r="L5485" s="12">
        <v>2</v>
      </c>
      <c r="M5485" s="15">
        <v>55000</v>
      </c>
      <c r="N5485" s="15">
        <v>0</v>
      </c>
      <c r="O5485" s="15">
        <f t="shared" si="471"/>
        <v>55000</v>
      </c>
      <c r="P5485" s="15">
        <f t="shared" si="472"/>
        <v>14.351619906479625</v>
      </c>
      <c r="Q5485" s="14">
        <v>5000</v>
      </c>
      <c r="R5485" s="12">
        <v>77</v>
      </c>
      <c r="S5485" s="12" t="s">
        <v>6634</v>
      </c>
      <c r="T5485" s="22">
        <f t="shared" si="468"/>
        <v>10</v>
      </c>
      <c r="U5485" s="22">
        <f t="shared" si="469"/>
        <v>2022</v>
      </c>
      <c r="V5485" s="22" t="str">
        <f t="shared" si="470"/>
        <v>METROPOLITANA</v>
      </c>
    </row>
    <row r="5486" spans="1:22" x14ac:dyDescent="0.2">
      <c r="A5486" s="11" t="s">
        <v>6626</v>
      </c>
      <c r="B5486" s="12" t="s">
        <v>33</v>
      </c>
      <c r="C5486" s="12" t="s">
        <v>44</v>
      </c>
      <c r="D5486" s="12" t="s">
        <v>20</v>
      </c>
      <c r="E5486" s="13" t="s">
        <v>21</v>
      </c>
      <c r="F5486" s="12" t="s">
        <v>137</v>
      </c>
      <c r="G5486" s="14">
        <v>4702</v>
      </c>
      <c r="H5486" s="12" t="s">
        <v>22</v>
      </c>
      <c r="I5486" s="12">
        <v>0</v>
      </c>
      <c r="J5486" s="12" t="s">
        <v>137</v>
      </c>
      <c r="K5486" s="12" t="s">
        <v>23</v>
      </c>
      <c r="L5486" s="12">
        <v>1</v>
      </c>
      <c r="M5486" s="15">
        <v>55000</v>
      </c>
      <c r="N5486" s="15">
        <v>0</v>
      </c>
      <c r="O5486" s="15">
        <f t="shared" si="471"/>
        <v>55000</v>
      </c>
      <c r="P5486" s="15">
        <f t="shared" si="472"/>
        <v>11.69715014887282</v>
      </c>
      <c r="Q5486" s="14">
        <v>5000</v>
      </c>
      <c r="R5486" s="12">
        <v>94</v>
      </c>
      <c r="S5486" s="12" t="s">
        <v>6635</v>
      </c>
      <c r="T5486" s="22">
        <f t="shared" si="468"/>
        <v>10</v>
      </c>
      <c r="U5486" s="22">
        <f t="shared" si="469"/>
        <v>2022</v>
      </c>
      <c r="V5486" s="22" t="str">
        <f t="shared" si="470"/>
        <v>METROPOLITANA</v>
      </c>
    </row>
    <row r="5487" spans="1:22" x14ac:dyDescent="0.2">
      <c r="A5487" s="23" t="s">
        <v>6638</v>
      </c>
      <c r="B5487" s="22" t="s">
        <v>18</v>
      </c>
      <c r="C5487" s="22" t="s">
        <v>19</v>
      </c>
      <c r="D5487" s="22" t="s">
        <v>786</v>
      </c>
      <c r="E5487" s="24">
        <v>95707734</v>
      </c>
      <c r="F5487" s="22" t="s">
        <v>407</v>
      </c>
      <c r="G5487" s="25">
        <v>19539.71000000001</v>
      </c>
      <c r="H5487" s="22" t="s">
        <v>788</v>
      </c>
      <c r="I5487" s="22">
        <v>1</v>
      </c>
      <c r="J5487" s="22" t="s">
        <v>407</v>
      </c>
      <c r="K5487" s="22" t="s">
        <v>408</v>
      </c>
      <c r="L5487" s="22">
        <v>0</v>
      </c>
      <c r="M5487" s="26">
        <v>700000</v>
      </c>
      <c r="N5487" s="26">
        <v>0</v>
      </c>
      <c r="O5487" s="15">
        <f t="shared" si="471"/>
        <v>700000</v>
      </c>
      <c r="P5487" s="15">
        <f t="shared" si="472"/>
        <v>35.824482553732864</v>
      </c>
      <c r="Q5487" s="25">
        <v>20000</v>
      </c>
      <c r="R5487" s="22">
        <v>98</v>
      </c>
      <c r="S5487" s="22" t="s">
        <v>6639</v>
      </c>
      <c r="T5487" s="22">
        <f t="shared" si="468"/>
        <v>10</v>
      </c>
      <c r="U5487" s="22">
        <f t="shared" si="469"/>
        <v>2022</v>
      </c>
      <c r="V5487" s="22" t="str">
        <f t="shared" si="470"/>
        <v>REGIONES</v>
      </c>
    </row>
    <row r="5488" spans="1:22" x14ac:dyDescent="0.2">
      <c r="A5488" s="23" t="s">
        <v>6638</v>
      </c>
      <c r="B5488" s="22" t="s">
        <v>18</v>
      </c>
      <c r="C5488" s="22" t="s">
        <v>19</v>
      </c>
      <c r="D5488" s="22" t="s">
        <v>164</v>
      </c>
      <c r="E5488" s="24">
        <v>154837728</v>
      </c>
      <c r="F5488" s="22" t="s">
        <v>727</v>
      </c>
      <c r="G5488" s="25">
        <v>12897.08</v>
      </c>
      <c r="H5488" s="22" t="s">
        <v>22</v>
      </c>
      <c r="I5488" s="22">
        <v>1</v>
      </c>
      <c r="J5488" s="22" t="s">
        <v>727</v>
      </c>
      <c r="K5488" s="22" t="s">
        <v>23</v>
      </c>
      <c r="L5488" s="22">
        <v>2</v>
      </c>
      <c r="M5488" s="26">
        <v>141868</v>
      </c>
      <c r="N5488" s="26">
        <v>0</v>
      </c>
      <c r="O5488" s="15">
        <f t="shared" si="471"/>
        <v>141868</v>
      </c>
      <c r="P5488" s="15">
        <f t="shared" si="472"/>
        <v>11.000009304431702</v>
      </c>
      <c r="Q5488" s="25">
        <v>5000</v>
      </c>
      <c r="R5488" s="22">
        <v>100</v>
      </c>
      <c r="S5488" s="22" t="s">
        <v>6640</v>
      </c>
      <c r="T5488" s="22">
        <f t="shared" si="468"/>
        <v>10</v>
      </c>
      <c r="U5488" s="22">
        <f t="shared" si="469"/>
        <v>2022</v>
      </c>
      <c r="V5488" s="22" t="str">
        <f t="shared" si="470"/>
        <v>METROPOLITANA</v>
      </c>
    </row>
    <row r="5489" spans="1:22" x14ac:dyDescent="0.2">
      <c r="A5489" s="23" t="s">
        <v>6638</v>
      </c>
      <c r="B5489" s="22" t="s">
        <v>33</v>
      </c>
      <c r="C5489" s="22" t="s">
        <v>60</v>
      </c>
      <c r="D5489" s="22" t="s">
        <v>38</v>
      </c>
      <c r="E5489" s="24">
        <v>53173292</v>
      </c>
      <c r="F5489" s="22" t="s">
        <v>51</v>
      </c>
      <c r="G5489" s="25">
        <v>9453.9999999999982</v>
      </c>
      <c r="H5489" s="22" t="s">
        <v>43</v>
      </c>
      <c r="I5489" s="22">
        <v>0</v>
      </c>
      <c r="J5489" s="22" t="s">
        <v>51</v>
      </c>
      <c r="K5489" s="22" t="s">
        <v>23</v>
      </c>
      <c r="L5489" s="22">
        <v>4</v>
      </c>
      <c r="M5489" s="26">
        <v>103994</v>
      </c>
      <c r="N5489" s="26">
        <v>0</v>
      </c>
      <c r="O5489" s="15">
        <f t="shared" si="471"/>
        <v>103994</v>
      </c>
      <c r="P5489" s="15">
        <f t="shared" si="472"/>
        <v>11.000000000000002</v>
      </c>
      <c r="Q5489" s="25">
        <v>5000</v>
      </c>
      <c r="R5489" s="22">
        <v>100</v>
      </c>
      <c r="S5489" s="22" t="s">
        <v>6641</v>
      </c>
      <c r="T5489" s="22">
        <f t="shared" si="468"/>
        <v>10</v>
      </c>
      <c r="U5489" s="22">
        <f t="shared" si="469"/>
        <v>2022</v>
      </c>
      <c r="V5489" s="22" t="str">
        <f t="shared" si="470"/>
        <v>METROPOLITANA</v>
      </c>
    </row>
    <row r="5490" spans="1:22" x14ac:dyDescent="0.2">
      <c r="A5490" s="23" t="s">
        <v>6638</v>
      </c>
      <c r="B5490" s="22" t="s">
        <v>33</v>
      </c>
      <c r="C5490" s="22" t="s">
        <v>1233</v>
      </c>
      <c r="D5490" s="22" t="s">
        <v>45</v>
      </c>
      <c r="E5490" s="24">
        <v>99626232</v>
      </c>
      <c r="F5490" s="22" t="s">
        <v>1234</v>
      </c>
      <c r="G5490" s="25">
        <v>1561.2</v>
      </c>
      <c r="H5490" s="22" t="s">
        <v>22</v>
      </c>
      <c r="I5490" s="22">
        <v>0</v>
      </c>
      <c r="J5490" s="22" t="s">
        <v>1234</v>
      </c>
      <c r="K5490" s="22" t="s">
        <v>23</v>
      </c>
      <c r="L5490" s="22">
        <v>3</v>
      </c>
      <c r="M5490" s="26">
        <v>55000</v>
      </c>
      <c r="N5490" s="26">
        <v>0</v>
      </c>
      <c r="O5490" s="15">
        <f t="shared" si="471"/>
        <v>55000</v>
      </c>
      <c r="P5490" s="15">
        <f t="shared" si="472"/>
        <v>35.22931078657443</v>
      </c>
      <c r="Q5490" s="25">
        <v>5000</v>
      </c>
      <c r="R5490" s="22">
        <v>31</v>
      </c>
      <c r="S5490" s="22" t="s">
        <v>6642</v>
      </c>
      <c r="T5490" s="22">
        <f t="shared" si="468"/>
        <v>10</v>
      </c>
      <c r="U5490" s="22">
        <f t="shared" si="469"/>
        <v>2022</v>
      </c>
      <c r="V5490" s="22" t="str">
        <f t="shared" si="470"/>
        <v>METROPOLITANA</v>
      </c>
    </row>
    <row r="5491" spans="1:22" x14ac:dyDescent="0.2">
      <c r="A5491" s="23" t="s">
        <v>6638</v>
      </c>
      <c r="B5491" s="22" t="s">
        <v>33</v>
      </c>
      <c r="C5491" s="22" t="s">
        <v>2862</v>
      </c>
      <c r="D5491" s="22" t="s">
        <v>47</v>
      </c>
      <c r="E5491" s="24">
        <v>107643206</v>
      </c>
      <c r="F5491" s="22" t="s">
        <v>251</v>
      </c>
      <c r="G5491" s="25">
        <v>7387.3999999999987</v>
      </c>
      <c r="H5491" s="22" t="s">
        <v>22</v>
      </c>
      <c r="I5491" s="22">
        <v>0</v>
      </c>
      <c r="J5491" s="22" t="s">
        <v>251</v>
      </c>
      <c r="K5491" s="22" t="s">
        <v>78</v>
      </c>
      <c r="L5491" s="22">
        <v>0</v>
      </c>
      <c r="M5491" s="26">
        <v>203000</v>
      </c>
      <c r="N5491" s="26">
        <v>0</v>
      </c>
      <c r="O5491" s="15">
        <f t="shared" si="471"/>
        <v>203000</v>
      </c>
      <c r="P5491" s="15">
        <f t="shared" si="472"/>
        <v>27.479221376939119</v>
      </c>
      <c r="Q5491" s="25">
        <v>20000</v>
      </c>
      <c r="R5491" s="22">
        <v>37</v>
      </c>
      <c r="S5491" s="22" t="s">
        <v>6643</v>
      </c>
      <c r="T5491" s="22">
        <f t="shared" si="468"/>
        <v>10</v>
      </c>
      <c r="U5491" s="22">
        <f t="shared" si="469"/>
        <v>2022</v>
      </c>
      <c r="V5491" s="22" t="str">
        <f t="shared" si="470"/>
        <v>REGIONES</v>
      </c>
    </row>
    <row r="5492" spans="1:22" x14ac:dyDescent="0.2">
      <c r="A5492" s="23" t="s">
        <v>6638</v>
      </c>
      <c r="B5492" s="22" t="s">
        <v>33</v>
      </c>
      <c r="C5492" s="22" t="s">
        <v>44</v>
      </c>
      <c r="D5492" s="22" t="s">
        <v>30</v>
      </c>
      <c r="E5492" s="24">
        <v>72564391</v>
      </c>
      <c r="F5492" s="22" t="s">
        <v>182</v>
      </c>
      <c r="G5492" s="25">
        <v>2513.8200000000002</v>
      </c>
      <c r="H5492" s="22" t="s">
        <v>32</v>
      </c>
      <c r="I5492" s="22">
        <v>0</v>
      </c>
      <c r="J5492" s="22" t="s">
        <v>182</v>
      </c>
      <c r="K5492" s="22" t="s">
        <v>23</v>
      </c>
      <c r="L5492" s="22">
        <v>4</v>
      </c>
      <c r="M5492" s="26">
        <v>55000</v>
      </c>
      <c r="N5492" s="26">
        <v>0</v>
      </c>
      <c r="O5492" s="15">
        <f t="shared" si="471"/>
        <v>55000</v>
      </c>
      <c r="P5492" s="15">
        <f t="shared" si="472"/>
        <v>21.879052597242442</v>
      </c>
      <c r="Q5492" s="25">
        <v>5000</v>
      </c>
      <c r="R5492" s="22">
        <v>50</v>
      </c>
      <c r="S5492" s="22" t="s">
        <v>6644</v>
      </c>
      <c r="T5492" s="22">
        <f t="shared" si="468"/>
        <v>10</v>
      </c>
      <c r="U5492" s="22">
        <f t="shared" si="469"/>
        <v>2022</v>
      </c>
      <c r="V5492" s="22" t="str">
        <f t="shared" si="470"/>
        <v>METROPOLITANA</v>
      </c>
    </row>
    <row r="5493" spans="1:22" x14ac:dyDescent="0.2">
      <c r="A5493" s="11" t="s">
        <v>6645</v>
      </c>
      <c r="B5493" s="12" t="s">
        <v>18</v>
      </c>
      <c r="C5493" s="12" t="s">
        <v>270</v>
      </c>
      <c r="D5493" s="12" t="s">
        <v>38</v>
      </c>
      <c r="E5493" s="13" t="s">
        <v>42</v>
      </c>
      <c r="F5493" s="12" t="s">
        <v>120</v>
      </c>
      <c r="G5493" s="14">
        <v>5442.4</v>
      </c>
      <c r="H5493" s="12" t="s">
        <v>43</v>
      </c>
      <c r="I5493" s="12">
        <v>0</v>
      </c>
      <c r="J5493" s="12" t="s">
        <v>120</v>
      </c>
      <c r="K5493" s="12" t="s">
        <v>23</v>
      </c>
      <c r="L5493" s="12">
        <v>5</v>
      </c>
      <c r="M5493" s="15">
        <v>70000</v>
      </c>
      <c r="N5493" s="15">
        <v>0</v>
      </c>
      <c r="O5493" s="15">
        <f t="shared" si="471"/>
        <v>70000</v>
      </c>
      <c r="P5493" s="15">
        <f t="shared" si="472"/>
        <v>12.861972659120976</v>
      </c>
      <c r="Q5493" s="14">
        <v>10000</v>
      </c>
      <c r="R5493" s="12">
        <v>54</v>
      </c>
      <c r="S5493" s="12" t="s">
        <v>6646</v>
      </c>
      <c r="T5493" s="22">
        <f t="shared" si="468"/>
        <v>10</v>
      </c>
      <c r="U5493" s="22">
        <f t="shared" si="469"/>
        <v>2022</v>
      </c>
      <c r="V5493" s="22" t="str">
        <f t="shared" si="470"/>
        <v>METROPOLITANA</v>
      </c>
    </row>
    <row r="5494" spans="1:22" x14ac:dyDescent="0.2">
      <c r="A5494" s="11" t="s">
        <v>6645</v>
      </c>
      <c r="B5494" s="12" t="s">
        <v>18</v>
      </c>
      <c r="C5494" s="12" t="s">
        <v>4252</v>
      </c>
      <c r="D5494" s="12" t="s">
        <v>5128</v>
      </c>
      <c r="E5494" s="13" t="s">
        <v>304</v>
      </c>
      <c r="F5494" s="12" t="s">
        <v>6258</v>
      </c>
      <c r="G5494" s="14">
        <v>24321.299999999981</v>
      </c>
      <c r="H5494" s="12" t="s">
        <v>24</v>
      </c>
      <c r="I5494" s="12">
        <v>1</v>
      </c>
      <c r="J5494" s="12" t="s">
        <v>6258</v>
      </c>
      <c r="K5494" s="12" t="s">
        <v>437</v>
      </c>
      <c r="L5494" s="12">
        <v>0</v>
      </c>
      <c r="M5494" s="15">
        <v>1500000</v>
      </c>
      <c r="N5494" s="15">
        <v>0</v>
      </c>
      <c r="O5494" s="15">
        <f t="shared" si="471"/>
        <v>1500000</v>
      </c>
      <c r="P5494" s="15">
        <f t="shared" si="472"/>
        <v>61.674334842298776</v>
      </c>
      <c r="Q5494" s="14">
        <v>20000</v>
      </c>
      <c r="R5494" s="12">
        <v>100</v>
      </c>
      <c r="S5494" s="12" t="s">
        <v>6647</v>
      </c>
      <c r="T5494" s="22">
        <f t="shared" si="468"/>
        <v>10</v>
      </c>
      <c r="U5494" s="22">
        <f t="shared" si="469"/>
        <v>2022</v>
      </c>
      <c r="V5494" s="22" t="str">
        <f t="shared" si="470"/>
        <v>REGIONES</v>
      </c>
    </row>
    <row r="5495" spans="1:22" x14ac:dyDescent="0.2">
      <c r="A5495" s="11" t="s">
        <v>6645</v>
      </c>
      <c r="B5495" s="12" t="s">
        <v>18</v>
      </c>
      <c r="C5495" s="12" t="s">
        <v>4252</v>
      </c>
      <c r="D5495" s="12" t="s">
        <v>311</v>
      </c>
      <c r="E5495" s="13" t="s">
        <v>312</v>
      </c>
      <c r="F5495" s="12" t="s">
        <v>6258</v>
      </c>
      <c r="G5495" s="14">
        <v>23540.78</v>
      </c>
      <c r="H5495" s="12" t="s">
        <v>85</v>
      </c>
      <c r="I5495" s="12">
        <v>1</v>
      </c>
      <c r="J5495" s="12" t="s">
        <v>6258</v>
      </c>
      <c r="K5495" s="12" t="s">
        <v>437</v>
      </c>
      <c r="L5495" s="12">
        <v>0</v>
      </c>
      <c r="M5495" s="15">
        <v>1500000</v>
      </c>
      <c r="N5495" s="15">
        <v>0</v>
      </c>
      <c r="O5495" s="15">
        <f t="shared" si="471"/>
        <v>1500000</v>
      </c>
      <c r="P5495" s="15">
        <f t="shared" si="472"/>
        <v>63.719214061726078</v>
      </c>
      <c r="Q5495" s="14">
        <v>20000</v>
      </c>
      <c r="R5495" s="12">
        <v>100</v>
      </c>
      <c r="S5495" s="12" t="s">
        <v>6648</v>
      </c>
      <c r="T5495" s="22">
        <f t="shared" si="468"/>
        <v>10</v>
      </c>
      <c r="U5495" s="22">
        <f t="shared" si="469"/>
        <v>2022</v>
      </c>
      <c r="V5495" s="22" t="str">
        <f t="shared" si="470"/>
        <v>REGIONES</v>
      </c>
    </row>
    <row r="5496" spans="1:22" x14ac:dyDescent="0.2">
      <c r="A5496" s="11" t="s">
        <v>6645</v>
      </c>
      <c r="B5496" s="12" t="s">
        <v>33</v>
      </c>
      <c r="C5496" s="12" t="s">
        <v>270</v>
      </c>
      <c r="D5496" s="12" t="s">
        <v>38</v>
      </c>
      <c r="E5496" s="13" t="s">
        <v>42</v>
      </c>
      <c r="F5496" s="12" t="s">
        <v>120</v>
      </c>
      <c r="G5496" s="14">
        <v>4786.66</v>
      </c>
      <c r="H5496" s="12" t="s">
        <v>43</v>
      </c>
      <c r="I5496" s="12">
        <v>0</v>
      </c>
      <c r="J5496" s="12" t="s">
        <v>120</v>
      </c>
      <c r="K5496" s="12" t="s">
        <v>23</v>
      </c>
      <c r="L5496" s="12">
        <v>5</v>
      </c>
      <c r="M5496" s="15">
        <v>70000</v>
      </c>
      <c r="N5496" s="15">
        <v>0</v>
      </c>
      <c r="O5496" s="15">
        <f t="shared" si="471"/>
        <v>70000</v>
      </c>
      <c r="P5496" s="15">
        <f t="shared" si="472"/>
        <v>14.623975799409191</v>
      </c>
      <c r="Q5496" s="14">
        <v>10000</v>
      </c>
      <c r="R5496" s="12">
        <v>48</v>
      </c>
      <c r="S5496" s="12" t="s">
        <v>6649</v>
      </c>
      <c r="T5496" s="22">
        <f t="shared" si="468"/>
        <v>10</v>
      </c>
      <c r="U5496" s="22">
        <f t="shared" si="469"/>
        <v>2022</v>
      </c>
      <c r="V5496" s="22" t="str">
        <f t="shared" si="470"/>
        <v>METROPOLITANA</v>
      </c>
    </row>
    <row r="5497" spans="1:22" x14ac:dyDescent="0.2">
      <c r="A5497" s="11" t="s">
        <v>6645</v>
      </c>
      <c r="B5497" s="12" t="s">
        <v>33</v>
      </c>
      <c r="C5497" s="12" t="s">
        <v>270</v>
      </c>
      <c r="D5497" s="12" t="s">
        <v>41</v>
      </c>
      <c r="E5497" s="13" t="s">
        <v>25</v>
      </c>
      <c r="F5497" s="12" t="s">
        <v>120</v>
      </c>
      <c r="G5497" s="14">
        <v>8915</v>
      </c>
      <c r="H5497" s="12" t="s">
        <v>43</v>
      </c>
      <c r="I5497" s="12">
        <v>0</v>
      </c>
      <c r="J5497" s="12" t="s">
        <v>120</v>
      </c>
      <c r="K5497" s="12" t="s">
        <v>23</v>
      </c>
      <c r="L5497" s="12">
        <v>5</v>
      </c>
      <c r="M5497" s="15">
        <v>70000</v>
      </c>
      <c r="N5497" s="15">
        <v>0</v>
      </c>
      <c r="O5497" s="15">
        <f t="shared" si="471"/>
        <v>70000</v>
      </c>
      <c r="P5497" s="15">
        <f t="shared" si="472"/>
        <v>7.8519349411104882</v>
      </c>
      <c r="Q5497" s="14">
        <v>10000</v>
      </c>
      <c r="R5497" s="12">
        <v>89</v>
      </c>
      <c r="S5497" s="12" t="s">
        <v>6650</v>
      </c>
      <c r="T5497" s="22">
        <f t="shared" si="468"/>
        <v>10</v>
      </c>
      <c r="U5497" s="22">
        <f t="shared" si="469"/>
        <v>2022</v>
      </c>
      <c r="V5497" s="22" t="str">
        <f t="shared" si="470"/>
        <v>METROPOLITANA</v>
      </c>
    </row>
    <row r="5498" spans="1:22" x14ac:dyDescent="0.2">
      <c r="A5498" s="11" t="s">
        <v>6645</v>
      </c>
      <c r="B5498" s="12" t="s">
        <v>33</v>
      </c>
      <c r="C5498" s="12" t="s">
        <v>270</v>
      </c>
      <c r="D5498" s="12" t="s">
        <v>20</v>
      </c>
      <c r="E5498" s="13" t="s">
        <v>21</v>
      </c>
      <c r="F5498" s="12" t="s">
        <v>120</v>
      </c>
      <c r="G5498" s="14">
        <v>11148.900000000011</v>
      </c>
      <c r="H5498" s="12" t="s">
        <v>22</v>
      </c>
      <c r="I5498" s="12">
        <v>0</v>
      </c>
      <c r="J5498" s="12" t="s">
        <v>120</v>
      </c>
      <c r="K5498" s="12" t="s">
        <v>23</v>
      </c>
      <c r="L5498" s="12">
        <v>5</v>
      </c>
      <c r="M5498" s="15">
        <v>70000</v>
      </c>
      <c r="N5498" s="15">
        <v>0</v>
      </c>
      <c r="O5498" s="15">
        <f t="shared" si="471"/>
        <v>70000</v>
      </c>
      <c r="P5498" s="15">
        <f t="shared" si="472"/>
        <v>6.2786463238525716</v>
      </c>
      <c r="Q5498" s="14">
        <v>10000</v>
      </c>
      <c r="R5498" s="12">
        <v>100</v>
      </c>
      <c r="S5498" s="12" t="s">
        <v>6651</v>
      </c>
      <c r="T5498" s="22">
        <f t="shared" si="468"/>
        <v>10</v>
      </c>
      <c r="U5498" s="22">
        <f t="shared" si="469"/>
        <v>2022</v>
      </c>
      <c r="V5498" s="22" t="str">
        <f t="shared" si="470"/>
        <v>METROPOLITANA</v>
      </c>
    </row>
    <row r="5499" spans="1:22" x14ac:dyDescent="0.2">
      <c r="A5499" s="11" t="s">
        <v>6645</v>
      </c>
      <c r="B5499" s="12" t="s">
        <v>33</v>
      </c>
      <c r="C5499" s="12" t="s">
        <v>128</v>
      </c>
      <c r="D5499" s="12" t="s">
        <v>30</v>
      </c>
      <c r="E5499" s="13" t="s">
        <v>31</v>
      </c>
      <c r="F5499" s="12" t="s">
        <v>170</v>
      </c>
      <c r="G5499" s="14">
        <v>4669.0199999999986</v>
      </c>
      <c r="H5499" s="12" t="s">
        <v>32</v>
      </c>
      <c r="I5499" s="12">
        <v>0</v>
      </c>
      <c r="J5499" s="12" t="s">
        <v>170</v>
      </c>
      <c r="K5499" s="12" t="s">
        <v>171</v>
      </c>
      <c r="L5499" s="12">
        <v>0</v>
      </c>
      <c r="M5499" s="15">
        <v>180000</v>
      </c>
      <c r="N5499" s="15">
        <v>0</v>
      </c>
      <c r="O5499" s="15">
        <f t="shared" si="471"/>
        <v>180000</v>
      </c>
      <c r="P5499" s="15">
        <f t="shared" si="472"/>
        <v>38.55198735494816</v>
      </c>
      <c r="Q5499" s="14">
        <v>20000</v>
      </c>
      <c r="R5499" s="12">
        <v>23</v>
      </c>
      <c r="S5499" s="12" t="s">
        <v>6652</v>
      </c>
      <c r="T5499" s="22">
        <f t="shared" si="468"/>
        <v>10</v>
      </c>
      <c r="U5499" s="22">
        <f t="shared" si="469"/>
        <v>2022</v>
      </c>
      <c r="V5499" s="22" t="str">
        <f t="shared" si="470"/>
        <v>REGIONES</v>
      </c>
    </row>
    <row r="5500" spans="1:22" x14ac:dyDescent="0.2">
      <c r="A5500" s="11" t="s">
        <v>6645</v>
      </c>
      <c r="B5500" s="12" t="s">
        <v>33</v>
      </c>
      <c r="C5500" s="12" t="s">
        <v>29</v>
      </c>
      <c r="D5500" s="12" t="s">
        <v>47</v>
      </c>
      <c r="E5500" s="13" t="s">
        <v>49</v>
      </c>
      <c r="F5500" s="12" t="s">
        <v>129</v>
      </c>
      <c r="G5500" s="14">
        <v>7386.4699999999984</v>
      </c>
      <c r="H5500" s="12" t="s">
        <v>22</v>
      </c>
      <c r="I5500" s="12">
        <v>0</v>
      </c>
      <c r="J5500" s="12" t="s">
        <v>129</v>
      </c>
      <c r="K5500" s="12" t="s">
        <v>23</v>
      </c>
      <c r="L5500" s="12">
        <v>1</v>
      </c>
      <c r="M5500" s="15">
        <v>81251</v>
      </c>
      <c r="N5500" s="15">
        <v>0</v>
      </c>
      <c r="O5500" s="15">
        <f t="shared" si="471"/>
        <v>81251</v>
      </c>
      <c r="P5500" s="15">
        <f t="shared" si="472"/>
        <v>10.999976984946803</v>
      </c>
      <c r="Q5500" s="14">
        <v>5000</v>
      </c>
      <c r="R5500" s="12">
        <v>100</v>
      </c>
      <c r="S5500" s="12" t="s">
        <v>6653</v>
      </c>
      <c r="T5500" s="22">
        <f t="shared" si="468"/>
        <v>10</v>
      </c>
      <c r="U5500" s="22">
        <f t="shared" si="469"/>
        <v>2022</v>
      </c>
      <c r="V5500" s="22" t="str">
        <f t="shared" si="470"/>
        <v>METROPOLITANA</v>
      </c>
    </row>
    <row r="5501" spans="1:22" x14ac:dyDescent="0.2">
      <c r="A5501" s="11" t="s">
        <v>6645</v>
      </c>
      <c r="B5501" s="12" t="s">
        <v>33</v>
      </c>
      <c r="C5501" s="12" t="s">
        <v>44</v>
      </c>
      <c r="D5501" s="12" t="s">
        <v>130</v>
      </c>
      <c r="E5501" s="13" t="s">
        <v>6654</v>
      </c>
      <c r="F5501" s="12" t="s">
        <v>2308</v>
      </c>
      <c r="G5501" s="14">
        <f>5760.96+4103</f>
        <v>9863.9599999999991</v>
      </c>
      <c r="H5501" s="12" t="s">
        <v>85</v>
      </c>
      <c r="I5501" s="12">
        <v>1</v>
      </c>
      <c r="J5501" s="12" t="s">
        <v>2308</v>
      </c>
      <c r="K5501" s="12" t="s">
        <v>2309</v>
      </c>
      <c r="L5501" s="12">
        <v>0</v>
      </c>
      <c r="M5501" s="15">
        <v>900000</v>
      </c>
      <c r="N5501" s="15">
        <v>0</v>
      </c>
      <c r="O5501" s="15">
        <f t="shared" si="471"/>
        <v>900000</v>
      </c>
      <c r="P5501" s="15">
        <f t="shared" si="472"/>
        <v>91.241245909350823</v>
      </c>
      <c r="Q5501" s="14">
        <v>20000</v>
      </c>
      <c r="R5501" s="12">
        <v>55</v>
      </c>
      <c r="S5501" s="12" t="s">
        <v>6656</v>
      </c>
      <c r="T5501" s="22">
        <f t="shared" si="468"/>
        <v>10</v>
      </c>
      <c r="U5501" s="22">
        <f t="shared" si="469"/>
        <v>2022</v>
      </c>
      <c r="V5501" s="22" t="str">
        <f t="shared" si="470"/>
        <v>REGIONES</v>
      </c>
    </row>
    <row r="5502" spans="1:22" x14ac:dyDescent="0.2">
      <c r="A5502" s="11" t="s">
        <v>6645</v>
      </c>
      <c r="B5502" s="12" t="s">
        <v>33</v>
      </c>
      <c r="C5502" s="12" t="s">
        <v>44</v>
      </c>
      <c r="D5502" s="12" t="s">
        <v>45</v>
      </c>
      <c r="E5502" s="13" t="s">
        <v>52</v>
      </c>
      <c r="F5502" s="12" t="s">
        <v>51</v>
      </c>
      <c r="G5502" s="14">
        <v>3436.2000000000012</v>
      </c>
      <c r="H5502" s="12" t="s">
        <v>22</v>
      </c>
      <c r="I5502" s="12">
        <v>0</v>
      </c>
      <c r="J5502" s="12" t="s">
        <v>51</v>
      </c>
      <c r="K5502" s="12" t="s">
        <v>23</v>
      </c>
      <c r="L5502" s="12">
        <v>4</v>
      </c>
      <c r="M5502" s="15">
        <v>55000</v>
      </c>
      <c r="N5502" s="15">
        <v>0</v>
      </c>
      <c r="O5502" s="15">
        <f t="shared" si="471"/>
        <v>55000</v>
      </c>
      <c r="P5502" s="15">
        <f t="shared" si="472"/>
        <v>16.006053198300442</v>
      </c>
      <c r="Q5502" s="14">
        <v>5000</v>
      </c>
      <c r="R5502" s="12">
        <v>69</v>
      </c>
      <c r="S5502" s="12" t="s">
        <v>6655</v>
      </c>
      <c r="T5502" s="22">
        <f t="shared" si="468"/>
        <v>10</v>
      </c>
      <c r="U5502" s="22">
        <f t="shared" si="469"/>
        <v>2022</v>
      </c>
      <c r="V5502" s="22" t="str">
        <f t="shared" si="470"/>
        <v>METROPOLITANA</v>
      </c>
    </row>
    <row r="5503" spans="1:22" x14ac:dyDescent="0.2">
      <c r="A5503" s="23" t="s">
        <v>6657</v>
      </c>
      <c r="B5503" s="22" t="s">
        <v>33</v>
      </c>
      <c r="C5503" s="22" t="s">
        <v>270</v>
      </c>
      <c r="D5503" s="22" t="s">
        <v>2955</v>
      </c>
      <c r="E5503" s="24" t="s">
        <v>2956</v>
      </c>
      <c r="F5503" s="22" t="s">
        <v>120</v>
      </c>
      <c r="G5503" s="25">
        <v>5863.0000000000009</v>
      </c>
      <c r="H5503" s="22" t="s">
        <v>24</v>
      </c>
      <c r="I5503" s="22">
        <v>1</v>
      </c>
      <c r="J5503" s="22" t="s">
        <v>120</v>
      </c>
      <c r="K5503" s="22" t="s">
        <v>23</v>
      </c>
      <c r="L5503" s="22">
        <v>5</v>
      </c>
      <c r="M5503" s="26">
        <v>120000</v>
      </c>
      <c r="N5503" s="26">
        <v>0</v>
      </c>
      <c r="O5503" s="15">
        <f t="shared" si="471"/>
        <v>120000</v>
      </c>
      <c r="P5503" s="15">
        <f t="shared" si="472"/>
        <v>20.467337540508268</v>
      </c>
      <c r="Q5503" s="25">
        <v>10000</v>
      </c>
      <c r="R5503" s="22">
        <v>59</v>
      </c>
      <c r="S5503" s="22" t="s">
        <v>6658</v>
      </c>
      <c r="T5503" s="22">
        <f t="shared" si="468"/>
        <v>10</v>
      </c>
      <c r="U5503" s="22">
        <f t="shared" si="469"/>
        <v>2022</v>
      </c>
      <c r="V5503" s="22" t="str">
        <f t="shared" si="470"/>
        <v>METROPOLITANA</v>
      </c>
    </row>
    <row r="5504" spans="1:22" x14ac:dyDescent="0.2">
      <c r="A5504" s="23" t="s">
        <v>6657</v>
      </c>
      <c r="B5504" s="22" t="s">
        <v>33</v>
      </c>
      <c r="C5504" s="22" t="s">
        <v>128</v>
      </c>
      <c r="D5504" s="22" t="s">
        <v>38</v>
      </c>
      <c r="E5504" s="24" t="s">
        <v>42</v>
      </c>
      <c r="F5504" s="22" t="s">
        <v>34</v>
      </c>
      <c r="G5504" s="25">
        <v>7840.8</v>
      </c>
      <c r="H5504" s="22" t="s">
        <v>43</v>
      </c>
      <c r="I5504" s="22">
        <v>0</v>
      </c>
      <c r="J5504" s="22" t="s">
        <v>34</v>
      </c>
      <c r="K5504" s="22" t="s">
        <v>23</v>
      </c>
      <c r="L5504" s="22">
        <v>1</v>
      </c>
      <c r="M5504" s="26">
        <v>86249</v>
      </c>
      <c r="N5504" s="26">
        <v>0</v>
      </c>
      <c r="O5504" s="15">
        <f t="shared" si="471"/>
        <v>86249</v>
      </c>
      <c r="P5504" s="15">
        <f t="shared" si="472"/>
        <v>11.000025507601265</v>
      </c>
      <c r="Q5504" s="25">
        <v>5000</v>
      </c>
      <c r="R5504" s="22">
        <v>100</v>
      </c>
      <c r="S5504" s="22" t="s">
        <v>6659</v>
      </c>
      <c r="T5504" s="22">
        <f t="shared" si="468"/>
        <v>10</v>
      </c>
      <c r="U5504" s="22">
        <f t="shared" si="469"/>
        <v>2022</v>
      </c>
      <c r="V5504" s="22" t="str">
        <f t="shared" si="470"/>
        <v>METROPOLITANA</v>
      </c>
    </row>
    <row r="5505" spans="1:22" x14ac:dyDescent="0.2">
      <c r="A5505" s="23" t="s">
        <v>6657</v>
      </c>
      <c r="B5505" s="22" t="s">
        <v>33</v>
      </c>
      <c r="C5505" s="22" t="s">
        <v>128</v>
      </c>
      <c r="D5505" s="22" t="s">
        <v>41</v>
      </c>
      <c r="E5505" s="24" t="s">
        <v>25</v>
      </c>
      <c r="F5505" s="22" t="s">
        <v>161</v>
      </c>
      <c r="G5505" s="25">
        <v>10368</v>
      </c>
      <c r="H5505" s="22" t="s">
        <v>43</v>
      </c>
      <c r="I5505" s="22">
        <v>0</v>
      </c>
      <c r="J5505" s="22" t="s">
        <v>161</v>
      </c>
      <c r="K5505" s="22" t="s">
        <v>23</v>
      </c>
      <c r="L5505" s="22">
        <v>5</v>
      </c>
      <c r="M5505" s="26">
        <v>70000</v>
      </c>
      <c r="N5505" s="26">
        <v>0</v>
      </c>
      <c r="O5505" s="15">
        <f t="shared" si="471"/>
        <v>70000</v>
      </c>
      <c r="P5505" s="15">
        <f t="shared" si="472"/>
        <v>6.7515432098765435</v>
      </c>
      <c r="Q5505" s="25">
        <v>10000</v>
      </c>
      <c r="R5505" s="22">
        <v>100</v>
      </c>
      <c r="S5505" s="22" t="s">
        <v>6660</v>
      </c>
      <c r="T5505" s="22">
        <f t="shared" si="468"/>
        <v>10</v>
      </c>
      <c r="U5505" s="22">
        <f t="shared" si="469"/>
        <v>2022</v>
      </c>
      <c r="V5505" s="22" t="str">
        <f t="shared" si="470"/>
        <v>METROPOLITANA</v>
      </c>
    </row>
    <row r="5506" spans="1:22" x14ac:dyDescent="0.2">
      <c r="A5506" s="23" t="s">
        <v>6657</v>
      </c>
      <c r="B5506" s="22" t="s">
        <v>33</v>
      </c>
      <c r="C5506" s="22" t="s">
        <v>128</v>
      </c>
      <c r="D5506" s="22" t="s">
        <v>164</v>
      </c>
      <c r="E5506" s="24" t="s">
        <v>1576</v>
      </c>
      <c r="F5506" s="22" t="s">
        <v>34</v>
      </c>
      <c r="G5506" s="25">
        <v>9074.42</v>
      </c>
      <c r="H5506" s="22" t="s">
        <v>22</v>
      </c>
      <c r="I5506" s="22">
        <v>1</v>
      </c>
      <c r="J5506" s="22" t="s">
        <v>34</v>
      </c>
      <c r="K5506" s="22" t="s">
        <v>23</v>
      </c>
      <c r="L5506" s="22">
        <v>1</v>
      </c>
      <c r="M5506" s="26">
        <v>99819</v>
      </c>
      <c r="N5506" s="26">
        <v>0</v>
      </c>
      <c r="O5506" s="15">
        <f t="shared" si="471"/>
        <v>99819</v>
      </c>
      <c r="P5506" s="15">
        <f t="shared" si="472"/>
        <v>11.000041875954606</v>
      </c>
      <c r="Q5506" s="25">
        <v>5000</v>
      </c>
      <c r="R5506" s="22">
        <v>100</v>
      </c>
      <c r="S5506" s="22" t="s">
        <v>6661</v>
      </c>
      <c r="T5506" s="22">
        <f t="shared" si="468"/>
        <v>10</v>
      </c>
      <c r="U5506" s="22">
        <f t="shared" si="469"/>
        <v>2022</v>
      </c>
      <c r="V5506" s="22" t="str">
        <f t="shared" si="470"/>
        <v>METROPOLITANA</v>
      </c>
    </row>
    <row r="5507" spans="1:22" x14ac:dyDescent="0.2">
      <c r="A5507" s="23" t="s">
        <v>6657</v>
      </c>
      <c r="B5507" s="22" t="s">
        <v>33</v>
      </c>
      <c r="C5507" s="22" t="s">
        <v>36</v>
      </c>
      <c r="D5507" s="22" t="s">
        <v>47</v>
      </c>
      <c r="E5507" s="24" t="s">
        <v>49</v>
      </c>
      <c r="F5507" s="22" t="s">
        <v>376</v>
      </c>
      <c r="G5507" s="25">
        <v>4571.4399999999996</v>
      </c>
      <c r="H5507" s="22" t="s">
        <v>22</v>
      </c>
      <c r="I5507" s="22">
        <v>0</v>
      </c>
      <c r="J5507" s="22" t="s">
        <v>377</v>
      </c>
      <c r="K5507" s="22" t="s">
        <v>23</v>
      </c>
      <c r="L5507" s="22">
        <v>4</v>
      </c>
      <c r="M5507" s="26">
        <v>55000</v>
      </c>
      <c r="N5507" s="26">
        <v>0</v>
      </c>
      <c r="O5507" s="15">
        <f t="shared" si="471"/>
        <v>55000</v>
      </c>
      <c r="P5507" s="15">
        <f t="shared" si="472"/>
        <v>12.031219921950196</v>
      </c>
      <c r="Q5507" s="25">
        <v>5000</v>
      </c>
      <c r="R5507" s="22">
        <v>91</v>
      </c>
      <c r="S5507" s="22" t="s">
        <v>6662</v>
      </c>
      <c r="T5507" s="22">
        <f t="shared" si="468"/>
        <v>10</v>
      </c>
      <c r="U5507" s="22">
        <f t="shared" si="469"/>
        <v>2022</v>
      </c>
      <c r="V5507" s="22" t="str">
        <f t="shared" si="470"/>
        <v>METROPOLITANA</v>
      </c>
    </row>
    <row r="5508" spans="1:22" x14ac:dyDescent="0.2">
      <c r="A5508" s="23" t="s">
        <v>6657</v>
      </c>
      <c r="B5508" s="22" t="s">
        <v>33</v>
      </c>
      <c r="C5508" s="22" t="s">
        <v>2862</v>
      </c>
      <c r="D5508" s="22" t="s">
        <v>6663</v>
      </c>
      <c r="E5508" s="24" t="s">
        <v>31</v>
      </c>
      <c r="F5508" s="22" t="s">
        <v>133</v>
      </c>
      <c r="G5508" s="25">
        <v>7966.1999999999989</v>
      </c>
      <c r="H5508" s="22" t="s">
        <v>24</v>
      </c>
      <c r="I5508" s="22">
        <v>1</v>
      </c>
      <c r="J5508" s="22" t="s">
        <v>133</v>
      </c>
      <c r="K5508" s="22" t="s">
        <v>78</v>
      </c>
      <c r="L5508" s="22">
        <v>0</v>
      </c>
      <c r="M5508" s="26">
        <v>259000</v>
      </c>
      <c r="N5508" s="26">
        <v>0</v>
      </c>
      <c r="O5508" s="15">
        <f t="shared" si="471"/>
        <v>259000</v>
      </c>
      <c r="P5508" s="15">
        <f t="shared" si="472"/>
        <v>32.512364741030858</v>
      </c>
      <c r="Q5508" s="25">
        <v>20000</v>
      </c>
      <c r="R5508" s="22">
        <v>40</v>
      </c>
      <c r="S5508" s="22" t="s">
        <v>6664</v>
      </c>
      <c r="T5508" s="22">
        <f t="shared" si="468"/>
        <v>10</v>
      </c>
      <c r="U5508" s="22">
        <f t="shared" si="469"/>
        <v>2022</v>
      </c>
      <c r="V5508" s="22" t="str">
        <f t="shared" si="470"/>
        <v>REGIONES</v>
      </c>
    </row>
    <row r="5509" spans="1:22" x14ac:dyDescent="0.2">
      <c r="A5509" s="23" t="s">
        <v>6657</v>
      </c>
      <c r="B5509" s="22" t="s">
        <v>33</v>
      </c>
      <c r="C5509" s="22" t="s">
        <v>29</v>
      </c>
      <c r="D5509" s="22" t="s">
        <v>37</v>
      </c>
      <c r="E5509" s="24" t="s">
        <v>40</v>
      </c>
      <c r="F5509" s="22" t="s">
        <v>134</v>
      </c>
      <c r="G5509" s="25">
        <v>7503.9999999999973</v>
      </c>
      <c r="H5509" s="22" t="s">
        <v>22</v>
      </c>
      <c r="I5509" s="22">
        <v>0</v>
      </c>
      <c r="J5509" s="22" t="s">
        <v>134</v>
      </c>
      <c r="K5509" s="22" t="s">
        <v>23</v>
      </c>
      <c r="L5509" s="22">
        <v>2</v>
      </c>
      <c r="M5509" s="26">
        <v>82544</v>
      </c>
      <c r="N5509" s="26">
        <v>0</v>
      </c>
      <c r="O5509" s="15">
        <f t="shared" si="471"/>
        <v>82544</v>
      </c>
      <c r="P5509" s="15">
        <f t="shared" si="472"/>
        <v>11.000000000000004</v>
      </c>
      <c r="Q5509" s="25">
        <v>5000</v>
      </c>
      <c r="R5509" s="22">
        <v>100</v>
      </c>
      <c r="S5509" s="22" t="s">
        <v>6665</v>
      </c>
      <c r="T5509" s="22">
        <f t="shared" si="468"/>
        <v>10</v>
      </c>
      <c r="U5509" s="22">
        <f t="shared" si="469"/>
        <v>2022</v>
      </c>
      <c r="V5509" s="22" t="str">
        <f t="shared" si="470"/>
        <v>METROPOLITANA</v>
      </c>
    </row>
    <row r="5510" spans="1:22" x14ac:dyDescent="0.2">
      <c r="A5510" s="23" t="s">
        <v>6657</v>
      </c>
      <c r="B5510" s="22" t="s">
        <v>33</v>
      </c>
      <c r="C5510" s="22" t="s">
        <v>29</v>
      </c>
      <c r="D5510" s="22" t="s">
        <v>20</v>
      </c>
      <c r="E5510" s="24" t="s">
        <v>21</v>
      </c>
      <c r="F5510" s="22" t="s">
        <v>134</v>
      </c>
      <c r="G5510" s="25">
        <v>7503.9999999999973</v>
      </c>
      <c r="H5510" s="22" t="s">
        <v>22</v>
      </c>
      <c r="I5510" s="22">
        <v>0</v>
      </c>
      <c r="J5510" s="22" t="s">
        <v>134</v>
      </c>
      <c r="K5510" s="22" t="s">
        <v>23</v>
      </c>
      <c r="L5510" s="22">
        <v>2</v>
      </c>
      <c r="M5510" s="26">
        <v>82544</v>
      </c>
      <c r="N5510" s="26">
        <v>0</v>
      </c>
      <c r="O5510" s="15">
        <f t="shared" si="471"/>
        <v>82544</v>
      </c>
      <c r="P5510" s="15">
        <f t="shared" si="472"/>
        <v>11.000000000000004</v>
      </c>
      <c r="Q5510" s="25">
        <v>5000</v>
      </c>
      <c r="R5510" s="22">
        <v>100</v>
      </c>
      <c r="S5510" s="22" t="s">
        <v>6666</v>
      </c>
      <c r="T5510" s="22">
        <f t="shared" si="468"/>
        <v>10</v>
      </c>
      <c r="U5510" s="22">
        <f t="shared" si="469"/>
        <v>2022</v>
      </c>
      <c r="V5510" s="22" t="str">
        <f t="shared" si="470"/>
        <v>METROPOLITANA</v>
      </c>
    </row>
    <row r="5511" spans="1:22" x14ac:dyDescent="0.2">
      <c r="A5511" s="23" t="s">
        <v>6657</v>
      </c>
      <c r="B5511" s="22" t="s">
        <v>33</v>
      </c>
      <c r="C5511" s="22" t="s">
        <v>44</v>
      </c>
      <c r="D5511" s="22" t="s">
        <v>37</v>
      </c>
      <c r="E5511" s="24" t="s">
        <v>40</v>
      </c>
      <c r="F5511" s="22" t="s">
        <v>48</v>
      </c>
      <c r="G5511" s="25">
        <v>3937.6600000000012</v>
      </c>
      <c r="H5511" s="22" t="s">
        <v>22</v>
      </c>
      <c r="I5511" s="22">
        <v>0</v>
      </c>
      <c r="J5511" s="22" t="s">
        <v>48</v>
      </c>
      <c r="K5511" s="22" t="s">
        <v>23</v>
      </c>
      <c r="L5511" s="22">
        <v>1</v>
      </c>
      <c r="M5511" s="26">
        <v>55000</v>
      </c>
      <c r="N5511" s="26">
        <v>0</v>
      </c>
      <c r="O5511" s="15">
        <f t="shared" si="471"/>
        <v>55000</v>
      </c>
      <c r="P5511" s="15">
        <f t="shared" si="472"/>
        <v>13.967686392425954</v>
      </c>
      <c r="Q5511" s="25">
        <v>5000</v>
      </c>
      <c r="R5511" s="22">
        <v>79</v>
      </c>
      <c r="S5511" s="22" t="s">
        <v>6667</v>
      </c>
      <c r="T5511" s="22">
        <f t="shared" ref="T5511:T5574" si="473">MONTH(A5511)</f>
        <v>10</v>
      </c>
      <c r="U5511" s="22">
        <f t="shared" ref="U5511:U5574" si="474">YEAR(A5511)</f>
        <v>2022</v>
      </c>
      <c r="V5511" s="22" t="str">
        <f t="shared" ref="V5511:V5574" si="475">IF(K5511="METROPOLITANA DE SANTIAGO","METROPOLITANA","REGIONES")</f>
        <v>METROPOLITANA</v>
      </c>
    </row>
    <row r="5512" spans="1:22" x14ac:dyDescent="0.2">
      <c r="A5512" s="23" t="s">
        <v>6657</v>
      </c>
      <c r="B5512" s="22" t="s">
        <v>33</v>
      </c>
      <c r="C5512" s="22" t="s">
        <v>44</v>
      </c>
      <c r="D5512" s="22" t="s">
        <v>45</v>
      </c>
      <c r="E5512" s="24" t="s">
        <v>52</v>
      </c>
      <c r="F5512" s="22" t="s">
        <v>67</v>
      </c>
      <c r="G5512" s="25">
        <f>3240.52+2586</f>
        <v>5826.52</v>
      </c>
      <c r="H5512" s="22" t="s">
        <v>22</v>
      </c>
      <c r="I5512" s="22">
        <v>0</v>
      </c>
      <c r="J5512" s="22" t="s">
        <v>67</v>
      </c>
      <c r="K5512" s="22" t="s">
        <v>23</v>
      </c>
      <c r="L5512" s="22">
        <v>2</v>
      </c>
      <c r="M5512" s="26">
        <v>55000</v>
      </c>
      <c r="N5512" s="26">
        <v>0</v>
      </c>
      <c r="O5512" s="15">
        <f t="shared" si="471"/>
        <v>55000</v>
      </c>
      <c r="P5512" s="15">
        <f t="shared" si="472"/>
        <v>9.4395968777246111</v>
      </c>
      <c r="Q5512" s="25">
        <v>5000</v>
      </c>
      <c r="R5512" s="22">
        <v>100</v>
      </c>
      <c r="S5512" s="22" t="s">
        <v>6669</v>
      </c>
      <c r="T5512" s="22">
        <f t="shared" si="473"/>
        <v>10</v>
      </c>
      <c r="U5512" s="22">
        <f t="shared" si="474"/>
        <v>2022</v>
      </c>
      <c r="V5512" s="22" t="str">
        <f t="shared" si="475"/>
        <v>METROPOLITANA</v>
      </c>
    </row>
    <row r="5513" spans="1:22" x14ac:dyDescent="0.2">
      <c r="A5513" s="23" t="s">
        <v>6657</v>
      </c>
      <c r="B5513" s="22" t="s">
        <v>33</v>
      </c>
      <c r="C5513" s="22" t="s">
        <v>44</v>
      </c>
      <c r="D5513" s="22" t="s">
        <v>20</v>
      </c>
      <c r="E5513" s="24" t="s">
        <v>21</v>
      </c>
      <c r="F5513" s="22" t="s">
        <v>34</v>
      </c>
      <c r="G5513" s="25">
        <v>3222.64</v>
      </c>
      <c r="H5513" s="22" t="s">
        <v>22</v>
      </c>
      <c r="I5513" s="22">
        <v>0</v>
      </c>
      <c r="J5513" s="22" t="s">
        <v>34</v>
      </c>
      <c r="K5513" s="22" t="s">
        <v>23</v>
      </c>
      <c r="L5513" s="22">
        <v>1</v>
      </c>
      <c r="M5513" s="26">
        <v>55000</v>
      </c>
      <c r="N5513" s="26">
        <v>0</v>
      </c>
      <c r="O5513" s="15">
        <f t="shared" si="471"/>
        <v>55000</v>
      </c>
      <c r="P5513" s="15">
        <f t="shared" si="472"/>
        <v>17.066752724474345</v>
      </c>
      <c r="Q5513" s="25">
        <v>5000</v>
      </c>
      <c r="R5513" s="22">
        <v>64</v>
      </c>
      <c r="S5513" s="22" t="s">
        <v>6668</v>
      </c>
      <c r="T5513" s="22">
        <f t="shared" si="473"/>
        <v>10</v>
      </c>
      <c r="U5513" s="22">
        <f t="shared" si="474"/>
        <v>2022</v>
      </c>
      <c r="V5513" s="22" t="str">
        <f t="shared" si="475"/>
        <v>METROPOLITANA</v>
      </c>
    </row>
    <row r="5514" spans="1:22" x14ac:dyDescent="0.2">
      <c r="A5514" s="11" t="s">
        <v>6670</v>
      </c>
      <c r="B5514" s="12" t="s">
        <v>33</v>
      </c>
      <c r="C5514" s="12" t="s">
        <v>270</v>
      </c>
      <c r="D5514" s="12" t="s">
        <v>41</v>
      </c>
      <c r="E5514" s="13" t="s">
        <v>25</v>
      </c>
      <c r="F5514" s="12" t="s">
        <v>377</v>
      </c>
      <c r="G5514" s="14">
        <v>1755</v>
      </c>
      <c r="H5514" s="12" t="s">
        <v>43</v>
      </c>
      <c r="I5514" s="12">
        <v>0</v>
      </c>
      <c r="J5514" s="12" t="s">
        <v>377</v>
      </c>
      <c r="K5514" s="12" t="s">
        <v>23</v>
      </c>
      <c r="L5514" s="12">
        <v>4</v>
      </c>
      <c r="M5514" s="15">
        <v>55000</v>
      </c>
      <c r="N5514" s="15">
        <v>0</v>
      </c>
      <c r="O5514" s="15">
        <f t="shared" si="471"/>
        <v>55000</v>
      </c>
      <c r="P5514" s="15">
        <f t="shared" si="472"/>
        <v>31.33903133903134</v>
      </c>
      <c r="Q5514" s="14">
        <v>5000</v>
      </c>
      <c r="R5514" s="12">
        <v>35</v>
      </c>
      <c r="S5514" s="12" t="s">
        <v>6671</v>
      </c>
      <c r="T5514" s="22">
        <f t="shared" si="473"/>
        <v>10</v>
      </c>
      <c r="U5514" s="22">
        <f t="shared" si="474"/>
        <v>2022</v>
      </c>
      <c r="V5514" s="22" t="str">
        <f t="shared" si="475"/>
        <v>METROPOLITANA</v>
      </c>
    </row>
    <row r="5515" spans="1:22" x14ac:dyDescent="0.2">
      <c r="A5515" s="11" t="s">
        <v>6670</v>
      </c>
      <c r="B5515" s="12" t="s">
        <v>33</v>
      </c>
      <c r="C5515" s="12" t="s">
        <v>29</v>
      </c>
      <c r="D5515" s="12" t="s">
        <v>37</v>
      </c>
      <c r="E5515" s="13" t="s">
        <v>40</v>
      </c>
      <c r="F5515" s="12" t="s">
        <v>39</v>
      </c>
      <c r="G5515" s="14">
        <v>8598</v>
      </c>
      <c r="H5515" s="12" t="s">
        <v>22</v>
      </c>
      <c r="I5515" s="12">
        <v>0</v>
      </c>
      <c r="J5515" s="12" t="s">
        <v>39</v>
      </c>
      <c r="K5515" s="12" t="s">
        <v>23</v>
      </c>
      <c r="L5515" s="12">
        <v>1</v>
      </c>
      <c r="M5515" s="15">
        <v>94578</v>
      </c>
      <c r="N5515" s="15">
        <v>0</v>
      </c>
      <c r="O5515" s="15">
        <f t="shared" si="471"/>
        <v>94578</v>
      </c>
      <c r="P5515" s="15">
        <f t="shared" si="472"/>
        <v>11</v>
      </c>
      <c r="Q5515" s="14">
        <v>5000</v>
      </c>
      <c r="R5515" s="12">
        <v>100</v>
      </c>
      <c r="S5515" s="12" t="s">
        <v>6672</v>
      </c>
      <c r="T5515" s="22">
        <f t="shared" si="473"/>
        <v>10</v>
      </c>
      <c r="U5515" s="22">
        <f t="shared" si="474"/>
        <v>2022</v>
      </c>
      <c r="V5515" s="22" t="str">
        <f t="shared" si="475"/>
        <v>METROPOLITANA</v>
      </c>
    </row>
    <row r="5516" spans="1:22" x14ac:dyDescent="0.2">
      <c r="A5516" s="11" t="s">
        <v>6670</v>
      </c>
      <c r="B5516" s="12" t="s">
        <v>33</v>
      </c>
      <c r="C5516" s="12" t="s">
        <v>29</v>
      </c>
      <c r="D5516" s="12" t="s">
        <v>164</v>
      </c>
      <c r="E5516" s="13" t="s">
        <v>1576</v>
      </c>
      <c r="F5516" s="12" t="s">
        <v>39</v>
      </c>
      <c r="G5516" s="14">
        <v>12954.920000000009</v>
      </c>
      <c r="H5516" s="12" t="s">
        <v>22</v>
      </c>
      <c r="I5516" s="12">
        <v>1</v>
      </c>
      <c r="J5516" s="12" t="s">
        <v>39</v>
      </c>
      <c r="K5516" s="12" t="s">
        <v>23</v>
      </c>
      <c r="L5516" s="12">
        <v>1</v>
      </c>
      <c r="M5516" s="15">
        <v>142504</v>
      </c>
      <c r="N5516" s="15">
        <v>0</v>
      </c>
      <c r="O5516" s="15">
        <f t="shared" si="471"/>
        <v>142504</v>
      </c>
      <c r="P5516" s="15">
        <f t="shared" si="472"/>
        <v>10.999990737109909</v>
      </c>
      <c r="Q5516" s="14">
        <v>5000</v>
      </c>
      <c r="R5516" s="12">
        <v>100</v>
      </c>
      <c r="S5516" s="12" t="s">
        <v>6673</v>
      </c>
      <c r="T5516" s="22">
        <f t="shared" si="473"/>
        <v>10</v>
      </c>
      <c r="U5516" s="22">
        <f t="shared" si="474"/>
        <v>2022</v>
      </c>
      <c r="V5516" s="22" t="str">
        <f t="shared" si="475"/>
        <v>METROPOLITANA</v>
      </c>
    </row>
    <row r="5517" spans="1:22" x14ac:dyDescent="0.2">
      <c r="A5517" s="11" t="s">
        <v>6670</v>
      </c>
      <c r="B5517" s="12" t="s">
        <v>33</v>
      </c>
      <c r="C5517" s="12" t="s">
        <v>29</v>
      </c>
      <c r="D5517" s="12" t="s">
        <v>20</v>
      </c>
      <c r="E5517" s="13" t="s">
        <v>21</v>
      </c>
      <c r="F5517" s="12" t="s">
        <v>39</v>
      </c>
      <c r="G5517" s="14">
        <v>7142.4000000000024</v>
      </c>
      <c r="H5517" s="12" t="s">
        <v>22</v>
      </c>
      <c r="I5517" s="12">
        <v>0</v>
      </c>
      <c r="J5517" s="12" t="s">
        <v>39</v>
      </c>
      <c r="K5517" s="12" t="s">
        <v>23</v>
      </c>
      <c r="L5517" s="12">
        <v>1</v>
      </c>
      <c r="M5517" s="15">
        <v>78566</v>
      </c>
      <c r="N5517" s="15">
        <v>0</v>
      </c>
      <c r="O5517" s="15">
        <f t="shared" si="471"/>
        <v>78566</v>
      </c>
      <c r="P5517" s="15">
        <f t="shared" si="472"/>
        <v>10.999943996415768</v>
      </c>
      <c r="Q5517" s="14">
        <v>5000</v>
      </c>
      <c r="R5517" s="12">
        <v>100</v>
      </c>
      <c r="S5517" s="12" t="s">
        <v>6674</v>
      </c>
      <c r="T5517" s="22">
        <f t="shared" si="473"/>
        <v>10</v>
      </c>
      <c r="U5517" s="22">
        <f t="shared" si="474"/>
        <v>2022</v>
      </c>
      <c r="V5517" s="22" t="str">
        <f t="shared" si="475"/>
        <v>METROPOLITANA</v>
      </c>
    </row>
    <row r="5518" spans="1:22" x14ac:dyDescent="0.2">
      <c r="A5518" s="23" t="s">
        <v>6675</v>
      </c>
      <c r="B5518" s="22" t="s">
        <v>18</v>
      </c>
      <c r="C5518" s="22" t="s">
        <v>19</v>
      </c>
      <c r="D5518" s="22" t="s">
        <v>164</v>
      </c>
      <c r="E5518" s="24" t="s">
        <v>1576</v>
      </c>
      <c r="F5518" s="22" t="s">
        <v>727</v>
      </c>
      <c r="G5518" s="25">
        <v>12477.21</v>
      </c>
      <c r="H5518" s="22" t="s">
        <v>22</v>
      </c>
      <c r="I5518" s="22">
        <v>1</v>
      </c>
      <c r="J5518" s="22" t="s">
        <v>727</v>
      </c>
      <c r="K5518" s="22" t="s">
        <v>23</v>
      </c>
      <c r="L5518" s="22">
        <v>2</v>
      </c>
      <c r="M5518" s="26">
        <v>137249</v>
      </c>
      <c r="N5518" s="26">
        <v>0</v>
      </c>
      <c r="O5518" s="15">
        <f t="shared" si="471"/>
        <v>137249</v>
      </c>
      <c r="P5518" s="15">
        <f t="shared" si="472"/>
        <v>10.999975154702053</v>
      </c>
      <c r="Q5518" s="25">
        <v>5000</v>
      </c>
      <c r="R5518" s="22">
        <v>100</v>
      </c>
      <c r="S5518" s="22" t="s">
        <v>6676</v>
      </c>
      <c r="T5518" s="22">
        <f t="shared" si="473"/>
        <v>10</v>
      </c>
      <c r="U5518" s="22">
        <f t="shared" si="474"/>
        <v>2022</v>
      </c>
      <c r="V5518" s="22" t="str">
        <f t="shared" si="475"/>
        <v>METROPOLITANA</v>
      </c>
    </row>
    <row r="5519" spans="1:22" x14ac:dyDescent="0.2">
      <c r="A5519" s="23" t="s">
        <v>6675</v>
      </c>
      <c r="B5519" s="22" t="s">
        <v>18</v>
      </c>
      <c r="C5519" s="22" t="s">
        <v>508</v>
      </c>
      <c r="D5519" s="22" t="s">
        <v>38</v>
      </c>
      <c r="E5519" s="24" t="s">
        <v>42</v>
      </c>
      <c r="F5519" s="22" t="s">
        <v>182</v>
      </c>
      <c r="G5519" s="25">
        <v>16039.849999999989</v>
      </c>
      <c r="H5519" s="22" t="s">
        <v>43</v>
      </c>
      <c r="I5519" s="22">
        <v>0</v>
      </c>
      <c r="J5519" s="22" t="s">
        <v>182</v>
      </c>
      <c r="K5519" s="22" t="s">
        <v>23</v>
      </c>
      <c r="L5519" s="22">
        <v>4</v>
      </c>
      <c r="M5519" s="26">
        <v>176438</v>
      </c>
      <c r="N5519" s="26">
        <v>0</v>
      </c>
      <c r="O5519" s="15">
        <f t="shared" si="471"/>
        <v>176438</v>
      </c>
      <c r="P5519" s="15">
        <f t="shared" si="472"/>
        <v>10.999978179347071</v>
      </c>
      <c r="Q5519" s="25">
        <v>5000</v>
      </c>
      <c r="R5519" s="22">
        <v>100</v>
      </c>
      <c r="S5519" s="22" t="s">
        <v>6677</v>
      </c>
      <c r="T5519" s="22">
        <f t="shared" si="473"/>
        <v>10</v>
      </c>
      <c r="U5519" s="22">
        <f t="shared" si="474"/>
        <v>2022</v>
      </c>
      <c r="V5519" s="22" t="str">
        <f t="shared" si="475"/>
        <v>METROPOLITANA</v>
      </c>
    </row>
    <row r="5520" spans="1:22" x14ac:dyDescent="0.2">
      <c r="A5520" s="23" t="s">
        <v>6675</v>
      </c>
      <c r="B5520" s="22" t="s">
        <v>18</v>
      </c>
      <c r="C5520" s="22" t="s">
        <v>508</v>
      </c>
      <c r="D5520" s="22" t="s">
        <v>41</v>
      </c>
      <c r="E5520" s="24" t="s">
        <v>25</v>
      </c>
      <c r="F5520" s="22" t="s">
        <v>182</v>
      </c>
      <c r="G5520" s="25">
        <v>13877.82</v>
      </c>
      <c r="H5520" s="22" t="s">
        <v>43</v>
      </c>
      <c r="I5520" s="22">
        <v>0</v>
      </c>
      <c r="J5520" s="22" t="s">
        <v>182</v>
      </c>
      <c r="K5520" s="22" t="s">
        <v>23</v>
      </c>
      <c r="L5520" s="22">
        <v>4</v>
      </c>
      <c r="M5520" s="26">
        <v>152656</v>
      </c>
      <c r="N5520" s="26">
        <v>0</v>
      </c>
      <c r="O5520" s="15">
        <f t="shared" si="471"/>
        <v>152656</v>
      </c>
      <c r="P5520" s="15">
        <f t="shared" si="472"/>
        <v>10.999998558851463</v>
      </c>
      <c r="Q5520" s="25">
        <v>5000</v>
      </c>
      <c r="R5520" s="22">
        <v>100</v>
      </c>
      <c r="S5520" s="22" t="s">
        <v>6678</v>
      </c>
      <c r="T5520" s="22">
        <f t="shared" si="473"/>
        <v>10</v>
      </c>
      <c r="U5520" s="22">
        <f t="shared" si="474"/>
        <v>2022</v>
      </c>
      <c r="V5520" s="22" t="str">
        <f t="shared" si="475"/>
        <v>METROPOLITANA</v>
      </c>
    </row>
    <row r="5521" spans="1:22" x14ac:dyDescent="0.2">
      <c r="A5521" s="23" t="s">
        <v>6675</v>
      </c>
      <c r="B5521" s="22" t="s">
        <v>33</v>
      </c>
      <c r="C5521" s="22" t="s">
        <v>223</v>
      </c>
      <c r="D5521" s="22" t="s">
        <v>47</v>
      </c>
      <c r="E5521" s="24" t="s">
        <v>49</v>
      </c>
      <c r="F5521" s="22" t="s">
        <v>51</v>
      </c>
      <c r="G5521" s="25">
        <v>5951.4</v>
      </c>
      <c r="H5521" s="22" t="s">
        <v>22</v>
      </c>
      <c r="I5521" s="22">
        <v>0</v>
      </c>
      <c r="J5521" s="22" t="s">
        <v>51</v>
      </c>
      <c r="K5521" s="22" t="s">
        <v>23</v>
      </c>
      <c r="L5521" s="22">
        <v>4</v>
      </c>
      <c r="M5521" s="26">
        <v>65465</v>
      </c>
      <c r="N5521" s="26">
        <v>0</v>
      </c>
      <c r="O5521" s="15">
        <f t="shared" si="471"/>
        <v>65465</v>
      </c>
      <c r="P5521" s="15">
        <f t="shared" si="472"/>
        <v>10.999932788923616</v>
      </c>
      <c r="Q5521" s="25">
        <v>5000</v>
      </c>
      <c r="R5521" s="22">
        <v>100</v>
      </c>
      <c r="S5521" s="22" t="s">
        <v>6679</v>
      </c>
      <c r="T5521" s="22">
        <f t="shared" si="473"/>
        <v>10</v>
      </c>
      <c r="U5521" s="22">
        <f t="shared" si="474"/>
        <v>2022</v>
      </c>
      <c r="V5521" s="22" t="str">
        <f t="shared" si="475"/>
        <v>METROPOLITANA</v>
      </c>
    </row>
    <row r="5522" spans="1:22" x14ac:dyDescent="0.2">
      <c r="A5522" s="23" t="s">
        <v>6675</v>
      </c>
      <c r="B5522" s="22" t="s">
        <v>33</v>
      </c>
      <c r="C5522" s="22" t="s">
        <v>29</v>
      </c>
      <c r="D5522" s="22" t="s">
        <v>38</v>
      </c>
      <c r="E5522" s="24" t="s">
        <v>42</v>
      </c>
      <c r="F5522" s="22" t="s">
        <v>39</v>
      </c>
      <c r="G5522" s="25">
        <v>7700.2000000000025</v>
      </c>
      <c r="H5522" s="22" t="s">
        <v>43</v>
      </c>
      <c r="I5522" s="22">
        <v>0</v>
      </c>
      <c r="J5522" s="22" t="s">
        <v>39</v>
      </c>
      <c r="K5522" s="22" t="s">
        <v>23</v>
      </c>
      <c r="L5522" s="22">
        <v>1</v>
      </c>
      <c r="M5522" s="26">
        <v>84702</v>
      </c>
      <c r="N5522" s="26">
        <v>0</v>
      </c>
      <c r="O5522" s="15">
        <f t="shared" si="471"/>
        <v>84702</v>
      </c>
      <c r="P5522" s="15">
        <f t="shared" si="472"/>
        <v>10.999974026648655</v>
      </c>
      <c r="Q5522" s="25">
        <v>5000</v>
      </c>
      <c r="R5522" s="22">
        <v>100</v>
      </c>
      <c r="S5522" s="22" t="s">
        <v>6680</v>
      </c>
      <c r="T5522" s="22">
        <f t="shared" si="473"/>
        <v>10</v>
      </c>
      <c r="U5522" s="22">
        <f t="shared" si="474"/>
        <v>2022</v>
      </c>
      <c r="V5522" s="22" t="str">
        <f t="shared" si="475"/>
        <v>METROPOLITANA</v>
      </c>
    </row>
    <row r="5523" spans="1:22" x14ac:dyDescent="0.2">
      <c r="A5523" s="23" t="s">
        <v>6675</v>
      </c>
      <c r="B5523" s="22" t="s">
        <v>33</v>
      </c>
      <c r="C5523" s="22" t="s">
        <v>29</v>
      </c>
      <c r="D5523" s="22" t="s">
        <v>30</v>
      </c>
      <c r="E5523" s="24" t="s">
        <v>31</v>
      </c>
      <c r="F5523" s="22" t="s">
        <v>39</v>
      </c>
      <c r="G5523" s="25">
        <f>11089.32+650+238</f>
        <v>11977.32</v>
      </c>
      <c r="H5523" s="22" t="s">
        <v>32</v>
      </c>
      <c r="I5523" s="22">
        <v>0</v>
      </c>
      <c r="J5523" s="22" t="s">
        <v>39</v>
      </c>
      <c r="K5523" s="22" t="s">
        <v>23</v>
      </c>
      <c r="L5523" s="22">
        <v>1</v>
      </c>
      <c r="M5523" s="26">
        <v>121983</v>
      </c>
      <c r="N5523" s="26">
        <v>0</v>
      </c>
      <c r="O5523" s="15">
        <f t="shared" si="471"/>
        <v>121983</v>
      </c>
      <c r="P5523" s="15">
        <f t="shared" si="472"/>
        <v>10.184498702547815</v>
      </c>
      <c r="Q5523" s="25">
        <v>5000</v>
      </c>
      <c r="R5523" s="22">
        <v>100</v>
      </c>
      <c r="S5523" s="22" t="s">
        <v>6691</v>
      </c>
      <c r="T5523" s="22">
        <f t="shared" si="473"/>
        <v>10</v>
      </c>
      <c r="U5523" s="22">
        <f t="shared" si="474"/>
        <v>2022</v>
      </c>
      <c r="V5523" s="22" t="str">
        <f t="shared" si="475"/>
        <v>METROPOLITANA</v>
      </c>
    </row>
    <row r="5524" spans="1:22" x14ac:dyDescent="0.2">
      <c r="A5524" s="23" t="s">
        <v>6675</v>
      </c>
      <c r="B5524" s="22" t="s">
        <v>33</v>
      </c>
      <c r="C5524" s="22" t="s">
        <v>29</v>
      </c>
      <c r="D5524" s="22" t="s">
        <v>41</v>
      </c>
      <c r="E5524" s="24" t="s">
        <v>1576</v>
      </c>
      <c r="F5524" s="22" t="s">
        <v>39</v>
      </c>
      <c r="G5524" s="25">
        <v>1099.2</v>
      </c>
      <c r="H5524" s="22" t="s">
        <v>43</v>
      </c>
      <c r="I5524" s="22">
        <v>0</v>
      </c>
      <c r="J5524" s="22" t="s">
        <v>39</v>
      </c>
      <c r="K5524" s="22" t="s">
        <v>23</v>
      </c>
      <c r="L5524" s="22">
        <v>1</v>
      </c>
      <c r="M5524" s="26">
        <v>55000</v>
      </c>
      <c r="N5524" s="26">
        <v>0</v>
      </c>
      <c r="O5524" s="15">
        <f t="shared" si="471"/>
        <v>55000</v>
      </c>
      <c r="P5524" s="15">
        <f t="shared" si="472"/>
        <v>50.03639010189228</v>
      </c>
      <c r="Q5524" s="25">
        <v>5000</v>
      </c>
      <c r="R5524" s="22">
        <v>22</v>
      </c>
      <c r="S5524" s="22" t="s">
        <v>6681</v>
      </c>
      <c r="T5524" s="22">
        <f t="shared" si="473"/>
        <v>10</v>
      </c>
      <c r="U5524" s="22">
        <f t="shared" si="474"/>
        <v>2022</v>
      </c>
      <c r="V5524" s="22" t="str">
        <f t="shared" si="475"/>
        <v>METROPOLITANA</v>
      </c>
    </row>
    <row r="5525" spans="1:22" x14ac:dyDescent="0.2">
      <c r="A5525" s="23" t="s">
        <v>6675</v>
      </c>
      <c r="B5525" s="22" t="s">
        <v>33</v>
      </c>
      <c r="C5525" s="22" t="s">
        <v>29</v>
      </c>
      <c r="D5525" s="22" t="s">
        <v>164</v>
      </c>
      <c r="E5525" s="24" t="s">
        <v>1576</v>
      </c>
      <c r="F5525" s="22" t="s">
        <v>39</v>
      </c>
      <c r="G5525" s="25">
        <v>21946.80000000001</v>
      </c>
      <c r="H5525" s="22" t="s">
        <v>22</v>
      </c>
      <c r="I5525" s="22">
        <v>1</v>
      </c>
      <c r="J5525" s="22" t="s">
        <v>39</v>
      </c>
      <c r="K5525" s="22" t="s">
        <v>23</v>
      </c>
      <c r="L5525" s="22">
        <v>1</v>
      </c>
      <c r="M5525" s="26">
        <v>241415</v>
      </c>
      <c r="N5525" s="26">
        <v>0</v>
      </c>
      <c r="O5525" s="15">
        <f t="shared" ref="O5525:O5532" si="476">SUM(M5525:N5525)</f>
        <v>241415</v>
      </c>
      <c r="P5525" s="15">
        <f t="shared" si="472"/>
        <v>11.000009112945845</v>
      </c>
      <c r="Q5525" s="25">
        <v>5000</v>
      </c>
      <c r="R5525" s="22">
        <v>100</v>
      </c>
      <c r="S5525" s="22" t="s">
        <v>6682</v>
      </c>
      <c r="T5525" s="22">
        <f t="shared" si="473"/>
        <v>10</v>
      </c>
      <c r="U5525" s="22">
        <f t="shared" si="474"/>
        <v>2022</v>
      </c>
      <c r="V5525" s="22" t="str">
        <f t="shared" si="475"/>
        <v>METROPOLITANA</v>
      </c>
    </row>
    <row r="5526" spans="1:22" x14ac:dyDescent="0.2">
      <c r="A5526" s="23" t="s">
        <v>6675</v>
      </c>
      <c r="B5526" s="22" t="s">
        <v>33</v>
      </c>
      <c r="C5526" s="22" t="s">
        <v>44</v>
      </c>
      <c r="D5526" s="22" t="s">
        <v>191</v>
      </c>
      <c r="E5526" s="24" t="s">
        <v>6683</v>
      </c>
      <c r="F5526" s="22" t="s">
        <v>1105</v>
      </c>
      <c r="G5526" s="25">
        <v>10548.01</v>
      </c>
      <c r="H5526" s="22" t="s">
        <v>85</v>
      </c>
      <c r="I5526" s="22">
        <v>1</v>
      </c>
      <c r="J5526" s="22" t="s">
        <v>1105</v>
      </c>
      <c r="K5526" s="22" t="s">
        <v>873</v>
      </c>
      <c r="L5526" s="22">
        <v>0</v>
      </c>
      <c r="M5526" s="26">
        <v>950000</v>
      </c>
      <c r="N5526" s="26">
        <v>0</v>
      </c>
      <c r="O5526" s="15">
        <f t="shared" si="476"/>
        <v>950000</v>
      </c>
      <c r="P5526" s="15">
        <f t="shared" si="472"/>
        <v>90.064381812303935</v>
      </c>
      <c r="Q5526" s="25">
        <v>20000</v>
      </c>
      <c r="R5526" s="22">
        <v>53</v>
      </c>
      <c r="S5526" s="22" t="s">
        <v>6684</v>
      </c>
      <c r="T5526" s="22">
        <f t="shared" si="473"/>
        <v>10</v>
      </c>
      <c r="U5526" s="22">
        <f t="shared" si="474"/>
        <v>2022</v>
      </c>
      <c r="V5526" s="22" t="str">
        <f t="shared" si="475"/>
        <v>REGIONES</v>
      </c>
    </row>
    <row r="5527" spans="1:22" x14ac:dyDescent="0.2">
      <c r="A5527" s="23" t="s">
        <v>6675</v>
      </c>
      <c r="B5527" s="22" t="s">
        <v>33</v>
      </c>
      <c r="C5527" s="22" t="s">
        <v>44</v>
      </c>
      <c r="D5527" s="22" t="s">
        <v>130</v>
      </c>
      <c r="E5527" s="24" t="s">
        <v>6685</v>
      </c>
      <c r="F5527" s="22" t="s">
        <v>691</v>
      </c>
      <c r="G5527" s="25">
        <f>2176.2+1536</f>
        <v>3712.2</v>
      </c>
      <c r="H5527" s="22" t="s">
        <v>85</v>
      </c>
      <c r="I5527" s="22">
        <v>1</v>
      </c>
      <c r="J5527" s="22" t="s">
        <v>691</v>
      </c>
      <c r="K5527" s="22" t="s">
        <v>873</v>
      </c>
      <c r="L5527" s="22">
        <v>0</v>
      </c>
      <c r="M5527" s="26">
        <v>1100000</v>
      </c>
      <c r="N5527" s="26">
        <v>0</v>
      </c>
      <c r="O5527" s="15">
        <f t="shared" si="476"/>
        <v>1100000</v>
      </c>
      <c r="P5527" s="15">
        <f t="shared" si="472"/>
        <v>296.32024136630571</v>
      </c>
      <c r="Q5527" s="25">
        <v>20000</v>
      </c>
      <c r="R5527" s="22">
        <v>35</v>
      </c>
      <c r="S5527" s="22" t="s">
        <v>6690</v>
      </c>
      <c r="T5527" s="22">
        <f t="shared" si="473"/>
        <v>10</v>
      </c>
      <c r="U5527" s="22">
        <f t="shared" si="474"/>
        <v>2022</v>
      </c>
      <c r="V5527" s="22" t="str">
        <f t="shared" si="475"/>
        <v>REGIONES</v>
      </c>
    </row>
    <row r="5528" spans="1:22" x14ac:dyDescent="0.2">
      <c r="A5528" s="23" t="s">
        <v>6675</v>
      </c>
      <c r="B5528" s="22" t="s">
        <v>33</v>
      </c>
      <c r="C5528" s="22" t="s">
        <v>44</v>
      </c>
      <c r="D5528" s="22" t="s">
        <v>2825</v>
      </c>
      <c r="E5528" s="24" t="s">
        <v>639</v>
      </c>
      <c r="F5528" s="22" t="s">
        <v>66</v>
      </c>
      <c r="G5528" s="25">
        <f>5013.42+5785</f>
        <v>10798.42</v>
      </c>
      <c r="H5528" s="22" t="s">
        <v>24</v>
      </c>
      <c r="I5528" s="22">
        <v>1</v>
      </c>
      <c r="J5528" s="22" t="s">
        <v>66</v>
      </c>
      <c r="K5528" s="22" t="s">
        <v>75</v>
      </c>
      <c r="L5528" s="22">
        <v>0</v>
      </c>
      <c r="M5528" s="26">
        <v>430000</v>
      </c>
      <c r="N5528" s="26">
        <v>0</v>
      </c>
      <c r="O5528" s="15">
        <f t="shared" si="476"/>
        <v>430000</v>
      </c>
      <c r="P5528" s="15">
        <f t="shared" si="472"/>
        <v>39.820640427025438</v>
      </c>
      <c r="Q5528" s="25">
        <v>20000</v>
      </c>
      <c r="R5528" s="22">
        <v>65</v>
      </c>
      <c r="S5528" s="22" t="s">
        <v>6692</v>
      </c>
      <c r="T5528" s="22">
        <f t="shared" si="473"/>
        <v>10</v>
      </c>
      <c r="U5528" s="22">
        <f t="shared" si="474"/>
        <v>2022</v>
      </c>
      <c r="V5528" s="22" t="str">
        <f t="shared" si="475"/>
        <v>REGIONES</v>
      </c>
    </row>
    <row r="5529" spans="1:22" x14ac:dyDescent="0.2">
      <c r="A5529" s="23" t="s">
        <v>6675</v>
      </c>
      <c r="B5529" s="22" t="s">
        <v>33</v>
      </c>
      <c r="C5529" s="22" t="s">
        <v>44</v>
      </c>
      <c r="D5529" s="22" t="s">
        <v>37</v>
      </c>
      <c r="E5529" s="24" t="s">
        <v>40</v>
      </c>
      <c r="F5529" s="22" t="s">
        <v>48</v>
      </c>
      <c r="G5529" s="25">
        <v>8893.9999999999982</v>
      </c>
      <c r="H5529" s="22" t="s">
        <v>22</v>
      </c>
      <c r="I5529" s="22">
        <v>0</v>
      </c>
      <c r="J5529" s="22" t="s">
        <v>48</v>
      </c>
      <c r="K5529" s="22" t="s">
        <v>23</v>
      </c>
      <c r="L5529" s="22">
        <v>1</v>
      </c>
      <c r="M5529" s="26">
        <v>97834</v>
      </c>
      <c r="N5529" s="26">
        <v>0</v>
      </c>
      <c r="O5529" s="15">
        <f t="shared" si="476"/>
        <v>97834</v>
      </c>
      <c r="P5529" s="15">
        <f t="shared" si="472"/>
        <v>11.000000000000002</v>
      </c>
      <c r="Q5529" s="25">
        <v>5000</v>
      </c>
      <c r="R5529" s="22">
        <v>100</v>
      </c>
      <c r="S5529" s="22" t="s">
        <v>6686</v>
      </c>
      <c r="T5529" s="22">
        <f t="shared" si="473"/>
        <v>10</v>
      </c>
      <c r="U5529" s="22">
        <f t="shared" si="474"/>
        <v>2022</v>
      </c>
      <c r="V5529" s="22" t="str">
        <f t="shared" si="475"/>
        <v>METROPOLITANA</v>
      </c>
    </row>
    <row r="5530" spans="1:22" x14ac:dyDescent="0.2">
      <c r="A5530" s="23" t="s">
        <v>6675</v>
      </c>
      <c r="B5530" s="22" t="s">
        <v>33</v>
      </c>
      <c r="C5530" s="22" t="s">
        <v>44</v>
      </c>
      <c r="D5530" s="22" t="s">
        <v>45</v>
      </c>
      <c r="E5530" s="24" t="s">
        <v>52</v>
      </c>
      <c r="F5530" s="22" t="s">
        <v>229</v>
      </c>
      <c r="G5530" s="25">
        <v>2926.12</v>
      </c>
      <c r="H5530" s="22" t="s">
        <v>22</v>
      </c>
      <c r="I5530" s="22">
        <v>0</v>
      </c>
      <c r="J5530" s="22" t="s">
        <v>230</v>
      </c>
      <c r="K5530" s="22" t="s">
        <v>23</v>
      </c>
      <c r="L5530" s="22">
        <v>4</v>
      </c>
      <c r="M5530" s="26">
        <v>55000</v>
      </c>
      <c r="N5530" s="26">
        <v>0</v>
      </c>
      <c r="O5530" s="15">
        <f t="shared" si="476"/>
        <v>55000</v>
      </c>
      <c r="P5530" s="15">
        <f t="shared" si="472"/>
        <v>18.796221617705356</v>
      </c>
      <c r="Q5530" s="25">
        <v>5000</v>
      </c>
      <c r="R5530" s="22">
        <v>59</v>
      </c>
      <c r="S5530" s="22" t="s">
        <v>6687</v>
      </c>
      <c r="T5530" s="22">
        <f t="shared" si="473"/>
        <v>10</v>
      </c>
      <c r="U5530" s="22">
        <f t="shared" si="474"/>
        <v>2022</v>
      </c>
      <c r="V5530" s="22" t="str">
        <f t="shared" si="475"/>
        <v>METROPOLITANA</v>
      </c>
    </row>
    <row r="5531" spans="1:22" x14ac:dyDescent="0.2">
      <c r="A5531" s="23" t="s">
        <v>6675</v>
      </c>
      <c r="B5531" s="22" t="s">
        <v>33</v>
      </c>
      <c r="C5531" s="22" t="s">
        <v>44</v>
      </c>
      <c r="D5531" s="22" t="s">
        <v>47</v>
      </c>
      <c r="E5531" s="24" t="s">
        <v>49</v>
      </c>
      <c r="F5531" s="22" t="s">
        <v>46</v>
      </c>
      <c r="G5531" s="25">
        <v>5137.21</v>
      </c>
      <c r="H5531" s="22" t="s">
        <v>22</v>
      </c>
      <c r="I5531" s="22">
        <v>0</v>
      </c>
      <c r="J5531" s="22" t="s">
        <v>46</v>
      </c>
      <c r="K5531" s="22" t="s">
        <v>23</v>
      </c>
      <c r="L5531" s="22">
        <v>2</v>
      </c>
      <c r="M5531" s="26">
        <v>56509</v>
      </c>
      <c r="N5531" s="26">
        <v>0</v>
      </c>
      <c r="O5531" s="15">
        <f t="shared" si="476"/>
        <v>56509</v>
      </c>
      <c r="P5531" s="15">
        <f t="shared" si="472"/>
        <v>10.999939655961114</v>
      </c>
      <c r="Q5531" s="25">
        <v>5000</v>
      </c>
      <c r="R5531" s="22">
        <v>100</v>
      </c>
      <c r="S5531" s="22" t="s">
        <v>6688</v>
      </c>
      <c r="T5531" s="22">
        <f t="shared" si="473"/>
        <v>10</v>
      </c>
      <c r="U5531" s="22">
        <f t="shared" si="474"/>
        <v>2022</v>
      </c>
      <c r="V5531" s="22" t="str">
        <f t="shared" si="475"/>
        <v>METROPOLITANA</v>
      </c>
    </row>
    <row r="5532" spans="1:22" x14ac:dyDescent="0.2">
      <c r="A5532" s="23" t="s">
        <v>6675</v>
      </c>
      <c r="B5532" s="22" t="s">
        <v>33</v>
      </c>
      <c r="C5532" s="22" t="s">
        <v>44</v>
      </c>
      <c r="D5532" s="22" t="s">
        <v>20</v>
      </c>
      <c r="E5532" s="24" t="s">
        <v>21</v>
      </c>
      <c r="F5532" s="22" t="s">
        <v>95</v>
      </c>
      <c r="G5532" s="25">
        <v>3762.0000000000009</v>
      </c>
      <c r="H5532" s="22" t="s">
        <v>22</v>
      </c>
      <c r="I5532" s="22">
        <v>0</v>
      </c>
      <c r="J5532" s="22" t="s">
        <v>95</v>
      </c>
      <c r="K5532" s="22" t="s">
        <v>23</v>
      </c>
      <c r="L5532" s="22">
        <v>4</v>
      </c>
      <c r="M5532" s="26">
        <v>55000</v>
      </c>
      <c r="N5532" s="26">
        <v>0</v>
      </c>
      <c r="O5532" s="15">
        <f t="shared" si="476"/>
        <v>55000</v>
      </c>
      <c r="P5532" s="15">
        <f t="shared" si="472"/>
        <v>14.619883040935669</v>
      </c>
      <c r="Q5532" s="25">
        <v>5000</v>
      </c>
      <c r="R5532" s="22">
        <v>75</v>
      </c>
      <c r="S5532" s="22" t="s">
        <v>6689</v>
      </c>
      <c r="T5532" s="22">
        <f t="shared" si="473"/>
        <v>10</v>
      </c>
      <c r="U5532" s="22">
        <f t="shared" si="474"/>
        <v>2022</v>
      </c>
      <c r="V5532" s="22" t="str">
        <f t="shared" si="475"/>
        <v>METROPOLITANA</v>
      </c>
    </row>
    <row r="5533" spans="1:22" s="51" customFormat="1" x14ac:dyDescent="0.2">
      <c r="A5533" s="50" t="s">
        <v>6693</v>
      </c>
      <c r="B5533" s="51" t="s">
        <v>33</v>
      </c>
      <c r="C5533" s="51" t="s">
        <v>128</v>
      </c>
      <c r="D5533" s="51" t="s">
        <v>30</v>
      </c>
      <c r="E5533" s="52" t="s">
        <v>31</v>
      </c>
      <c r="F5533" s="51" t="s">
        <v>170</v>
      </c>
      <c r="G5533" s="53">
        <f>3495.1856+653</f>
        <v>4148.1855999999998</v>
      </c>
      <c r="H5533" s="51" t="s">
        <v>32</v>
      </c>
      <c r="I5533" s="51">
        <v>0</v>
      </c>
      <c r="J5533" s="51" t="s">
        <v>170</v>
      </c>
      <c r="K5533" s="51" t="s">
        <v>171</v>
      </c>
      <c r="L5533" s="51">
        <v>0</v>
      </c>
      <c r="M5533" s="54">
        <v>180000</v>
      </c>
      <c r="N5533" s="54">
        <v>0</v>
      </c>
      <c r="O5533" s="54">
        <v>350000</v>
      </c>
      <c r="P5533" s="54">
        <f t="shared" si="472"/>
        <v>84.374238221163495</v>
      </c>
      <c r="Q5533" s="53">
        <v>20000</v>
      </c>
      <c r="R5533" s="51">
        <v>55</v>
      </c>
      <c r="S5533" s="51" t="s">
        <v>6703</v>
      </c>
      <c r="T5533" s="51">
        <f t="shared" si="473"/>
        <v>10</v>
      </c>
      <c r="U5533" s="51">
        <f t="shared" si="474"/>
        <v>2022</v>
      </c>
      <c r="V5533" s="51" t="str">
        <f t="shared" si="475"/>
        <v>REGIONES</v>
      </c>
    </row>
    <row r="5534" spans="1:22" x14ac:dyDescent="0.2">
      <c r="A5534" s="11" t="s">
        <v>6693</v>
      </c>
      <c r="B5534" s="12" t="s">
        <v>33</v>
      </c>
      <c r="C5534" s="12" t="s">
        <v>29</v>
      </c>
      <c r="D5534" s="12" t="s">
        <v>38</v>
      </c>
      <c r="E5534" s="13" t="s">
        <v>42</v>
      </c>
      <c r="F5534" s="12" t="s">
        <v>39</v>
      </c>
      <c r="G5534" s="14">
        <v>6220.9600000000009</v>
      </c>
      <c r="H5534" s="12" t="s">
        <v>43</v>
      </c>
      <c r="I5534" s="12">
        <v>0</v>
      </c>
      <c r="J5534" s="12" t="s">
        <v>39</v>
      </c>
      <c r="K5534" s="12" t="s">
        <v>23</v>
      </c>
      <c r="L5534" s="12">
        <v>1</v>
      </c>
      <c r="M5534" s="15">
        <v>68431</v>
      </c>
      <c r="N5534" s="15">
        <v>0</v>
      </c>
      <c r="O5534" s="15">
        <f t="shared" ref="O5534:O5565" si="477">SUM(M5534:N5534)</f>
        <v>68431</v>
      </c>
      <c r="P5534" s="15">
        <f t="shared" si="472"/>
        <v>11.000070728633521</v>
      </c>
      <c r="Q5534" s="14">
        <v>5000</v>
      </c>
      <c r="R5534" s="12">
        <v>100</v>
      </c>
      <c r="S5534" s="12" t="s">
        <v>6694</v>
      </c>
      <c r="T5534" s="22">
        <f t="shared" si="473"/>
        <v>10</v>
      </c>
      <c r="U5534" s="22">
        <f t="shared" si="474"/>
        <v>2022</v>
      </c>
      <c r="V5534" s="22" t="str">
        <f t="shared" si="475"/>
        <v>METROPOLITANA</v>
      </c>
    </row>
    <row r="5535" spans="1:22" x14ac:dyDescent="0.2">
      <c r="A5535" s="11" t="s">
        <v>6693</v>
      </c>
      <c r="B5535" s="12" t="s">
        <v>33</v>
      </c>
      <c r="C5535" s="12" t="s">
        <v>29</v>
      </c>
      <c r="D5535" s="12" t="s">
        <v>41</v>
      </c>
      <c r="E5535" s="13" t="s">
        <v>25</v>
      </c>
      <c r="F5535" s="12" t="s">
        <v>134</v>
      </c>
      <c r="G5535" s="14">
        <v>7534.7000000000016</v>
      </c>
      <c r="H5535" s="12" t="s">
        <v>43</v>
      </c>
      <c r="I5535" s="12">
        <v>0</v>
      </c>
      <c r="J5535" s="12" t="s">
        <v>134</v>
      </c>
      <c r="K5535" s="12" t="s">
        <v>23</v>
      </c>
      <c r="L5535" s="12">
        <v>2</v>
      </c>
      <c r="M5535" s="15">
        <v>82882</v>
      </c>
      <c r="N5535" s="15">
        <v>0</v>
      </c>
      <c r="O5535" s="15">
        <f t="shared" si="477"/>
        <v>82882</v>
      </c>
      <c r="P5535" s="15">
        <f t="shared" si="472"/>
        <v>11.00003981578563</v>
      </c>
      <c r="Q5535" s="14">
        <v>5000</v>
      </c>
      <c r="R5535" s="12">
        <v>100</v>
      </c>
      <c r="S5535" s="12" t="s">
        <v>6695</v>
      </c>
      <c r="T5535" s="22">
        <f t="shared" si="473"/>
        <v>10</v>
      </c>
      <c r="U5535" s="22">
        <f t="shared" si="474"/>
        <v>2022</v>
      </c>
      <c r="V5535" s="22" t="str">
        <f t="shared" si="475"/>
        <v>METROPOLITANA</v>
      </c>
    </row>
    <row r="5536" spans="1:22" x14ac:dyDescent="0.2">
      <c r="A5536" s="11" t="s">
        <v>6693</v>
      </c>
      <c r="B5536" s="12" t="s">
        <v>33</v>
      </c>
      <c r="C5536" s="12" t="s">
        <v>29</v>
      </c>
      <c r="D5536" s="12" t="s">
        <v>164</v>
      </c>
      <c r="E5536" s="13" t="s">
        <v>1576</v>
      </c>
      <c r="F5536" s="12" t="s">
        <v>39</v>
      </c>
      <c r="G5536" s="14">
        <v>15397.2</v>
      </c>
      <c r="H5536" s="12" t="s">
        <v>22</v>
      </c>
      <c r="I5536" s="12">
        <v>1</v>
      </c>
      <c r="J5536" s="12" t="s">
        <v>39</v>
      </c>
      <c r="K5536" s="12" t="s">
        <v>23</v>
      </c>
      <c r="L5536" s="12">
        <v>1</v>
      </c>
      <c r="M5536" s="15">
        <v>169369</v>
      </c>
      <c r="N5536" s="15">
        <v>0</v>
      </c>
      <c r="O5536" s="15">
        <f t="shared" si="477"/>
        <v>169369</v>
      </c>
      <c r="P5536" s="15">
        <f t="shared" si="472"/>
        <v>10.999987010625308</v>
      </c>
      <c r="Q5536" s="14">
        <v>5000</v>
      </c>
      <c r="R5536" s="12">
        <v>100</v>
      </c>
      <c r="S5536" s="12" t="s">
        <v>6696</v>
      </c>
      <c r="T5536" s="22">
        <f t="shared" si="473"/>
        <v>10</v>
      </c>
      <c r="U5536" s="22">
        <f t="shared" si="474"/>
        <v>2022</v>
      </c>
      <c r="V5536" s="22" t="str">
        <f t="shared" si="475"/>
        <v>METROPOLITANA</v>
      </c>
    </row>
    <row r="5537" spans="1:22" x14ac:dyDescent="0.2">
      <c r="A5537" s="11" t="s">
        <v>6693</v>
      </c>
      <c r="B5537" s="12" t="s">
        <v>33</v>
      </c>
      <c r="C5537" s="12" t="s">
        <v>29</v>
      </c>
      <c r="D5537" s="12" t="s">
        <v>20</v>
      </c>
      <c r="E5537" s="13" t="s">
        <v>21</v>
      </c>
      <c r="F5537" s="12" t="s">
        <v>39</v>
      </c>
      <c r="G5537" s="14">
        <v>6151.1999999999989</v>
      </c>
      <c r="H5537" s="12" t="s">
        <v>22</v>
      </c>
      <c r="I5537" s="12">
        <v>0</v>
      </c>
      <c r="J5537" s="12" t="s">
        <v>39</v>
      </c>
      <c r="K5537" s="12" t="s">
        <v>23</v>
      </c>
      <c r="L5537" s="12">
        <v>1</v>
      </c>
      <c r="M5537" s="15">
        <v>67663</v>
      </c>
      <c r="N5537" s="15">
        <v>0</v>
      </c>
      <c r="O5537" s="15">
        <f t="shared" si="477"/>
        <v>67663</v>
      </c>
      <c r="P5537" s="15">
        <f t="shared" ref="P5537:P5600" si="478">O5537/G5537</f>
        <v>10.99996748601899</v>
      </c>
      <c r="Q5537" s="14">
        <v>5000</v>
      </c>
      <c r="R5537" s="12">
        <v>100</v>
      </c>
      <c r="S5537" s="12" t="s">
        <v>6697</v>
      </c>
      <c r="T5537" s="22">
        <f t="shared" si="473"/>
        <v>10</v>
      </c>
      <c r="U5537" s="22">
        <f t="shared" si="474"/>
        <v>2022</v>
      </c>
      <c r="V5537" s="22" t="str">
        <f t="shared" si="475"/>
        <v>METROPOLITANA</v>
      </c>
    </row>
    <row r="5538" spans="1:22" x14ac:dyDescent="0.2">
      <c r="A5538" s="11" t="s">
        <v>6693</v>
      </c>
      <c r="B5538" s="12" t="s">
        <v>33</v>
      </c>
      <c r="C5538" s="12" t="s">
        <v>44</v>
      </c>
      <c r="D5538" s="12" t="s">
        <v>37</v>
      </c>
      <c r="E5538" s="13" t="s">
        <v>40</v>
      </c>
      <c r="F5538" s="12" t="s">
        <v>26</v>
      </c>
      <c r="G5538" s="14">
        <v>2677.7200000000012</v>
      </c>
      <c r="H5538" s="12" t="s">
        <v>22</v>
      </c>
      <c r="I5538" s="12">
        <v>0</v>
      </c>
      <c r="J5538" s="12" t="s">
        <v>26</v>
      </c>
      <c r="K5538" s="12" t="s">
        <v>23</v>
      </c>
      <c r="L5538" s="12">
        <v>4</v>
      </c>
      <c r="M5538" s="15">
        <v>55000</v>
      </c>
      <c r="N5538" s="15">
        <v>0</v>
      </c>
      <c r="O5538" s="15">
        <f t="shared" si="477"/>
        <v>55000</v>
      </c>
      <c r="P5538" s="15">
        <f t="shared" si="478"/>
        <v>20.539862270887163</v>
      </c>
      <c r="Q5538" s="14">
        <v>5000</v>
      </c>
      <c r="R5538" s="12">
        <v>54</v>
      </c>
      <c r="S5538" s="12" t="s">
        <v>6698</v>
      </c>
      <c r="T5538" s="22">
        <f t="shared" si="473"/>
        <v>10</v>
      </c>
      <c r="U5538" s="22">
        <f t="shared" si="474"/>
        <v>2022</v>
      </c>
      <c r="V5538" s="22" t="str">
        <f t="shared" si="475"/>
        <v>METROPOLITANA</v>
      </c>
    </row>
    <row r="5539" spans="1:22" x14ac:dyDescent="0.2">
      <c r="A5539" s="11" t="s">
        <v>6693</v>
      </c>
      <c r="B5539" s="12" t="s">
        <v>33</v>
      </c>
      <c r="C5539" s="12" t="s">
        <v>44</v>
      </c>
      <c r="D5539" s="12" t="s">
        <v>45</v>
      </c>
      <c r="E5539" s="13" t="s">
        <v>52</v>
      </c>
      <c r="F5539" s="12" t="s">
        <v>225</v>
      </c>
      <c r="G5539" s="14">
        <v>2524.41</v>
      </c>
      <c r="H5539" s="12" t="s">
        <v>22</v>
      </c>
      <c r="I5539" s="12">
        <v>0</v>
      </c>
      <c r="J5539" s="12" t="s">
        <v>225</v>
      </c>
      <c r="K5539" s="12" t="s">
        <v>23</v>
      </c>
      <c r="L5539" s="12">
        <v>3</v>
      </c>
      <c r="M5539" s="15">
        <v>55000</v>
      </c>
      <c r="N5539" s="15">
        <v>0</v>
      </c>
      <c r="O5539" s="15">
        <f t="shared" si="477"/>
        <v>55000</v>
      </c>
      <c r="P5539" s="15">
        <f t="shared" si="478"/>
        <v>21.787269104464016</v>
      </c>
      <c r="Q5539" s="14">
        <v>5000</v>
      </c>
      <c r="R5539" s="12">
        <v>50</v>
      </c>
      <c r="S5539" s="12" t="s">
        <v>6699</v>
      </c>
      <c r="T5539" s="22">
        <f t="shared" si="473"/>
        <v>10</v>
      </c>
      <c r="U5539" s="22">
        <f t="shared" si="474"/>
        <v>2022</v>
      </c>
      <c r="V5539" s="22" t="str">
        <f t="shared" si="475"/>
        <v>METROPOLITANA</v>
      </c>
    </row>
    <row r="5540" spans="1:22" x14ac:dyDescent="0.2">
      <c r="A5540" s="11" t="s">
        <v>6693</v>
      </c>
      <c r="B5540" s="12" t="s">
        <v>33</v>
      </c>
      <c r="C5540" s="12" t="s">
        <v>44</v>
      </c>
      <c r="D5540" s="12" t="s">
        <v>47</v>
      </c>
      <c r="E5540" s="13" t="s">
        <v>49</v>
      </c>
      <c r="F5540" s="12" t="s">
        <v>554</v>
      </c>
      <c r="G5540" s="14">
        <v>2542.0700000000002</v>
      </c>
      <c r="H5540" s="12" t="s">
        <v>22</v>
      </c>
      <c r="I5540" s="12">
        <v>0</v>
      </c>
      <c r="J5540" s="12" t="s">
        <v>554</v>
      </c>
      <c r="K5540" s="12" t="s">
        <v>23</v>
      </c>
      <c r="L5540" s="12">
        <v>4</v>
      </c>
      <c r="M5540" s="15">
        <v>55000</v>
      </c>
      <c r="N5540" s="15">
        <v>0</v>
      </c>
      <c r="O5540" s="15">
        <f t="shared" si="477"/>
        <v>55000</v>
      </c>
      <c r="P5540" s="15">
        <f t="shared" si="478"/>
        <v>21.63591089151754</v>
      </c>
      <c r="Q5540" s="14">
        <v>5000</v>
      </c>
      <c r="R5540" s="12">
        <v>51</v>
      </c>
      <c r="S5540" s="12" t="s">
        <v>6700</v>
      </c>
      <c r="T5540" s="22">
        <f t="shared" si="473"/>
        <v>10</v>
      </c>
      <c r="U5540" s="22">
        <f t="shared" si="474"/>
        <v>2022</v>
      </c>
      <c r="V5540" s="22" t="str">
        <f t="shared" si="475"/>
        <v>METROPOLITANA</v>
      </c>
    </row>
    <row r="5541" spans="1:22" x14ac:dyDescent="0.2">
      <c r="A5541" s="11" t="s">
        <v>6693</v>
      </c>
      <c r="B5541" s="12" t="s">
        <v>33</v>
      </c>
      <c r="C5541" s="12" t="s">
        <v>44</v>
      </c>
      <c r="D5541" s="12" t="s">
        <v>41</v>
      </c>
      <c r="E5541" s="13" t="s">
        <v>25</v>
      </c>
      <c r="F5541" s="12" t="s">
        <v>138</v>
      </c>
      <c r="G5541" s="14">
        <v>2960.6000000000008</v>
      </c>
      <c r="H5541" s="12" t="s">
        <v>43</v>
      </c>
      <c r="I5541" s="12">
        <v>0</v>
      </c>
      <c r="J5541" s="12" t="s">
        <v>138</v>
      </c>
      <c r="K5541" s="12" t="s">
        <v>23</v>
      </c>
      <c r="L5541" s="12">
        <v>3</v>
      </c>
      <c r="M5541" s="15">
        <v>55000</v>
      </c>
      <c r="N5541" s="15">
        <v>0</v>
      </c>
      <c r="O5541" s="15">
        <f t="shared" si="477"/>
        <v>55000</v>
      </c>
      <c r="P5541" s="15">
        <f t="shared" si="478"/>
        <v>18.577315409038704</v>
      </c>
      <c r="Q5541" s="14">
        <v>5000</v>
      </c>
      <c r="R5541" s="12">
        <v>59</v>
      </c>
      <c r="S5541" s="12" t="s">
        <v>6701</v>
      </c>
      <c r="T5541" s="22">
        <f t="shared" si="473"/>
        <v>10</v>
      </c>
      <c r="U5541" s="22">
        <f t="shared" si="474"/>
        <v>2022</v>
      </c>
      <c r="V5541" s="22" t="str">
        <f t="shared" si="475"/>
        <v>METROPOLITANA</v>
      </c>
    </row>
    <row r="5542" spans="1:22" x14ac:dyDescent="0.2">
      <c r="A5542" s="11" t="s">
        <v>6693</v>
      </c>
      <c r="B5542" s="12" t="s">
        <v>33</v>
      </c>
      <c r="C5542" s="12" t="s">
        <v>44</v>
      </c>
      <c r="D5542" s="12" t="s">
        <v>20</v>
      </c>
      <c r="E5542" s="13" t="s">
        <v>21</v>
      </c>
      <c r="F5542" s="12" t="s">
        <v>51</v>
      </c>
      <c r="G5542" s="14">
        <v>3438.8</v>
      </c>
      <c r="H5542" s="12" t="s">
        <v>22</v>
      </c>
      <c r="I5542" s="12">
        <v>0</v>
      </c>
      <c r="J5542" s="12" t="s">
        <v>51</v>
      </c>
      <c r="K5542" s="12" t="s">
        <v>23</v>
      </c>
      <c r="L5542" s="12">
        <v>4</v>
      </c>
      <c r="M5542" s="15">
        <v>55000</v>
      </c>
      <c r="N5542" s="15">
        <v>0</v>
      </c>
      <c r="O5542" s="15">
        <f t="shared" si="477"/>
        <v>55000</v>
      </c>
      <c r="P5542" s="15">
        <f t="shared" si="478"/>
        <v>15.993951378387809</v>
      </c>
      <c r="Q5542" s="14">
        <v>5000</v>
      </c>
      <c r="R5542" s="12">
        <v>69</v>
      </c>
      <c r="S5542" s="12" t="s">
        <v>6702</v>
      </c>
      <c r="T5542" s="22">
        <f t="shared" si="473"/>
        <v>10</v>
      </c>
      <c r="U5542" s="22">
        <f t="shared" si="474"/>
        <v>2022</v>
      </c>
      <c r="V5542" s="22" t="str">
        <f t="shared" si="475"/>
        <v>METROPOLITANA</v>
      </c>
    </row>
    <row r="5543" spans="1:22" x14ac:dyDescent="0.2">
      <c r="A5543" s="23" t="s">
        <v>6704</v>
      </c>
      <c r="B5543" s="22" t="s">
        <v>18</v>
      </c>
      <c r="C5543" s="22" t="s">
        <v>508</v>
      </c>
      <c r="D5543" s="22" t="s">
        <v>38</v>
      </c>
      <c r="E5543" s="24" t="s">
        <v>25</v>
      </c>
      <c r="F5543" s="22" t="s">
        <v>182</v>
      </c>
      <c r="G5543" s="25">
        <v>8682.89</v>
      </c>
      <c r="H5543" s="22" t="s">
        <v>43</v>
      </c>
      <c r="I5543" s="22">
        <v>0</v>
      </c>
      <c r="J5543" s="22" t="s">
        <v>182</v>
      </c>
      <c r="K5543" s="22" t="s">
        <v>23</v>
      </c>
      <c r="L5543" s="22">
        <v>4</v>
      </c>
      <c r="M5543" s="26">
        <v>95512</v>
      </c>
      <c r="N5543" s="26">
        <v>0</v>
      </c>
      <c r="O5543" s="15">
        <f t="shared" si="477"/>
        <v>95512</v>
      </c>
      <c r="P5543" s="15">
        <f t="shared" si="478"/>
        <v>11.000024185495844</v>
      </c>
      <c r="Q5543" s="25">
        <v>5000</v>
      </c>
      <c r="R5543" s="22">
        <v>100</v>
      </c>
      <c r="S5543" s="22" t="s">
        <v>6705</v>
      </c>
      <c r="T5543" s="22">
        <f t="shared" si="473"/>
        <v>10</v>
      </c>
      <c r="U5543" s="22">
        <f t="shared" si="474"/>
        <v>2022</v>
      </c>
      <c r="V5543" s="22" t="str">
        <f t="shared" si="475"/>
        <v>METROPOLITANA</v>
      </c>
    </row>
    <row r="5544" spans="1:22" x14ac:dyDescent="0.2">
      <c r="A5544" s="23" t="s">
        <v>6704</v>
      </c>
      <c r="B5544" s="22" t="s">
        <v>33</v>
      </c>
      <c r="C5544" s="22" t="s">
        <v>128</v>
      </c>
      <c r="D5544" s="22" t="s">
        <v>41</v>
      </c>
      <c r="E5544" s="24" t="s">
        <v>25</v>
      </c>
      <c r="F5544" s="22" t="s">
        <v>34</v>
      </c>
      <c r="G5544" s="25">
        <v>9091.2000000000007</v>
      </c>
      <c r="H5544" s="22" t="s">
        <v>43</v>
      </c>
      <c r="I5544" s="22">
        <v>0</v>
      </c>
      <c r="J5544" s="22" t="s">
        <v>34</v>
      </c>
      <c r="K5544" s="22" t="s">
        <v>23</v>
      </c>
      <c r="L5544" s="22">
        <v>1</v>
      </c>
      <c r="M5544" s="26">
        <v>100003</v>
      </c>
      <c r="N5544" s="26">
        <v>0</v>
      </c>
      <c r="O5544" s="15">
        <f t="shared" si="477"/>
        <v>100003</v>
      </c>
      <c r="P5544" s="15">
        <f t="shared" si="478"/>
        <v>10.999978000703976</v>
      </c>
      <c r="Q5544" s="25">
        <v>5000</v>
      </c>
      <c r="R5544" s="22">
        <v>100</v>
      </c>
      <c r="S5544" s="22" t="s">
        <v>6706</v>
      </c>
      <c r="T5544" s="22">
        <f t="shared" si="473"/>
        <v>10</v>
      </c>
      <c r="U5544" s="22">
        <f t="shared" si="474"/>
        <v>2022</v>
      </c>
      <c r="V5544" s="22" t="str">
        <f t="shared" si="475"/>
        <v>METROPOLITANA</v>
      </c>
    </row>
    <row r="5545" spans="1:22" x14ac:dyDescent="0.2">
      <c r="A5545" s="23" t="s">
        <v>6704</v>
      </c>
      <c r="B5545" s="22" t="s">
        <v>33</v>
      </c>
      <c r="C5545" s="22" t="s">
        <v>36</v>
      </c>
      <c r="D5545" s="22" t="s">
        <v>2825</v>
      </c>
      <c r="E5545" s="24" t="s">
        <v>639</v>
      </c>
      <c r="F5545" s="22" t="s">
        <v>691</v>
      </c>
      <c r="G5545" s="25">
        <f>8211.5+3233</f>
        <v>11444.5</v>
      </c>
      <c r="H5545" s="22" t="s">
        <v>24</v>
      </c>
      <c r="I5545" s="22">
        <v>1</v>
      </c>
      <c r="J5545" s="22" t="s">
        <v>691</v>
      </c>
      <c r="K5545" s="22" t="s">
        <v>873</v>
      </c>
      <c r="L5545" s="22">
        <v>0</v>
      </c>
      <c r="M5545" s="26">
        <v>1100000</v>
      </c>
      <c r="N5545" s="26">
        <v>0</v>
      </c>
      <c r="O5545" s="15">
        <f t="shared" si="477"/>
        <v>1100000</v>
      </c>
      <c r="P5545" s="15">
        <f t="shared" si="478"/>
        <v>96.11603827165888</v>
      </c>
      <c r="Q5545" s="25">
        <v>20000</v>
      </c>
      <c r="R5545" s="22">
        <v>60</v>
      </c>
      <c r="S5545" s="22" t="s">
        <v>6715</v>
      </c>
      <c r="T5545" s="22">
        <f t="shared" si="473"/>
        <v>10</v>
      </c>
      <c r="U5545" s="22">
        <f t="shared" si="474"/>
        <v>2022</v>
      </c>
      <c r="V5545" s="22" t="str">
        <f t="shared" si="475"/>
        <v>REGIONES</v>
      </c>
    </row>
    <row r="5546" spans="1:22" x14ac:dyDescent="0.2">
      <c r="A5546" s="23" t="s">
        <v>6704</v>
      </c>
      <c r="B5546" s="22" t="s">
        <v>33</v>
      </c>
      <c r="C5546" s="22" t="s">
        <v>36</v>
      </c>
      <c r="D5546" s="22" t="s">
        <v>3641</v>
      </c>
      <c r="E5546" s="24" t="s">
        <v>5124</v>
      </c>
      <c r="F5546" s="22" t="s">
        <v>876</v>
      </c>
      <c r="G5546" s="25">
        <f>4051.68+2325</f>
        <v>6376.68</v>
      </c>
      <c r="H5546" s="22" t="s">
        <v>24</v>
      </c>
      <c r="I5546" s="22">
        <v>1</v>
      </c>
      <c r="J5546" s="22" t="s">
        <v>876</v>
      </c>
      <c r="K5546" s="22" t="s">
        <v>86</v>
      </c>
      <c r="L5546" s="22">
        <v>0</v>
      </c>
      <c r="M5546" s="26">
        <v>350000</v>
      </c>
      <c r="N5546" s="26">
        <v>0</v>
      </c>
      <c r="O5546" s="15">
        <f t="shared" si="477"/>
        <v>350000</v>
      </c>
      <c r="P5546" s="15">
        <f t="shared" si="478"/>
        <v>54.887496314696676</v>
      </c>
      <c r="Q5546" s="25">
        <v>20000</v>
      </c>
      <c r="R5546" s="22">
        <v>55</v>
      </c>
      <c r="S5546" s="22" t="s">
        <v>6716</v>
      </c>
      <c r="T5546" s="22">
        <f t="shared" si="473"/>
        <v>10</v>
      </c>
      <c r="U5546" s="22">
        <f t="shared" si="474"/>
        <v>2022</v>
      </c>
      <c r="V5546" s="22" t="str">
        <f t="shared" si="475"/>
        <v>REGIONES</v>
      </c>
    </row>
    <row r="5547" spans="1:22" x14ac:dyDescent="0.2">
      <c r="A5547" s="23" t="s">
        <v>6704</v>
      </c>
      <c r="B5547" s="22" t="s">
        <v>33</v>
      </c>
      <c r="C5547" s="22" t="s">
        <v>36</v>
      </c>
      <c r="D5547" s="22" t="s">
        <v>45</v>
      </c>
      <c r="E5547" s="24" t="s">
        <v>52</v>
      </c>
      <c r="F5547" s="22" t="s">
        <v>46</v>
      </c>
      <c r="G5547" s="25">
        <v>3288</v>
      </c>
      <c r="H5547" s="22" t="s">
        <v>22</v>
      </c>
      <c r="I5547" s="22">
        <v>0</v>
      </c>
      <c r="J5547" s="22" t="s">
        <v>46</v>
      </c>
      <c r="K5547" s="22" t="s">
        <v>23</v>
      </c>
      <c r="L5547" s="22">
        <v>2</v>
      </c>
      <c r="M5547" s="26">
        <v>55000</v>
      </c>
      <c r="N5547" s="26">
        <v>0</v>
      </c>
      <c r="O5547" s="15">
        <f t="shared" si="477"/>
        <v>55000</v>
      </c>
      <c r="P5547" s="15">
        <f t="shared" si="478"/>
        <v>16.727493917274938</v>
      </c>
      <c r="Q5547" s="25">
        <v>5000</v>
      </c>
      <c r="R5547" s="22">
        <v>66</v>
      </c>
      <c r="S5547" s="22" t="s">
        <v>6707</v>
      </c>
      <c r="T5547" s="22">
        <f t="shared" si="473"/>
        <v>10</v>
      </c>
      <c r="U5547" s="22">
        <f t="shared" si="474"/>
        <v>2022</v>
      </c>
      <c r="V5547" s="22" t="str">
        <f t="shared" si="475"/>
        <v>METROPOLITANA</v>
      </c>
    </row>
    <row r="5548" spans="1:22" x14ac:dyDescent="0.2">
      <c r="A5548" s="23" t="s">
        <v>6704</v>
      </c>
      <c r="B5548" s="22" t="s">
        <v>33</v>
      </c>
      <c r="C5548" s="22" t="s">
        <v>36</v>
      </c>
      <c r="D5548" s="22" t="s">
        <v>47</v>
      </c>
      <c r="E5548" s="24" t="s">
        <v>49</v>
      </c>
      <c r="F5548" s="22" t="s">
        <v>170</v>
      </c>
      <c r="G5548" s="25">
        <v>5338.4000000000005</v>
      </c>
      <c r="H5548" s="22" t="s">
        <v>22</v>
      </c>
      <c r="I5548" s="22">
        <v>0</v>
      </c>
      <c r="J5548" s="22" t="s">
        <v>170</v>
      </c>
      <c r="K5548" s="22" t="s">
        <v>171</v>
      </c>
      <c r="L5548" s="22">
        <v>0</v>
      </c>
      <c r="M5548" s="26">
        <v>180000</v>
      </c>
      <c r="N5548" s="26">
        <v>0</v>
      </c>
      <c r="O5548" s="15">
        <f t="shared" si="477"/>
        <v>180000</v>
      </c>
      <c r="P5548" s="15">
        <f t="shared" si="478"/>
        <v>33.717967930466052</v>
      </c>
      <c r="Q5548" s="25">
        <v>20000</v>
      </c>
      <c r="R5548" s="22">
        <v>27</v>
      </c>
      <c r="S5548" s="22" t="s">
        <v>6708</v>
      </c>
      <c r="T5548" s="22">
        <f t="shared" si="473"/>
        <v>10</v>
      </c>
      <c r="U5548" s="22">
        <f t="shared" si="474"/>
        <v>2022</v>
      </c>
      <c r="V5548" s="22" t="str">
        <f t="shared" si="475"/>
        <v>REGIONES</v>
      </c>
    </row>
    <row r="5549" spans="1:22" x14ac:dyDescent="0.2">
      <c r="A5549" s="23" t="s">
        <v>6704</v>
      </c>
      <c r="B5549" s="22" t="s">
        <v>33</v>
      </c>
      <c r="C5549" s="22" t="s">
        <v>36</v>
      </c>
      <c r="D5549" s="22" t="s">
        <v>20</v>
      </c>
      <c r="E5549" s="24" t="s">
        <v>21</v>
      </c>
      <c r="F5549" s="22" t="s">
        <v>51</v>
      </c>
      <c r="G5549" s="25">
        <v>3800.8</v>
      </c>
      <c r="H5549" s="22" t="s">
        <v>22</v>
      </c>
      <c r="I5549" s="22">
        <v>0</v>
      </c>
      <c r="J5549" s="22" t="s">
        <v>51</v>
      </c>
      <c r="K5549" s="22" t="s">
        <v>23</v>
      </c>
      <c r="L5549" s="22">
        <v>4</v>
      </c>
      <c r="M5549" s="26">
        <v>55000</v>
      </c>
      <c r="N5549" s="26">
        <v>0</v>
      </c>
      <c r="O5549" s="15">
        <f t="shared" si="477"/>
        <v>55000</v>
      </c>
      <c r="P5549" s="15">
        <f t="shared" si="478"/>
        <v>14.47063776047148</v>
      </c>
      <c r="Q5549" s="25">
        <v>5000</v>
      </c>
      <c r="R5549" s="22">
        <v>76</v>
      </c>
      <c r="S5549" s="22" t="s">
        <v>6709</v>
      </c>
      <c r="T5549" s="22">
        <f t="shared" si="473"/>
        <v>10</v>
      </c>
      <c r="U5549" s="22">
        <f t="shared" si="474"/>
        <v>2022</v>
      </c>
      <c r="V5549" s="22" t="str">
        <f t="shared" si="475"/>
        <v>METROPOLITANA</v>
      </c>
    </row>
    <row r="5550" spans="1:22" x14ac:dyDescent="0.2">
      <c r="A5550" s="23" t="s">
        <v>6704</v>
      </c>
      <c r="B5550" s="22" t="s">
        <v>33</v>
      </c>
      <c r="C5550" s="22" t="s">
        <v>29</v>
      </c>
      <c r="D5550" s="22" t="s">
        <v>786</v>
      </c>
      <c r="E5550" s="24" t="s">
        <v>787</v>
      </c>
      <c r="F5550" s="22" t="s">
        <v>170</v>
      </c>
      <c r="G5550" s="25">
        <v>18009.599999999999</v>
      </c>
      <c r="H5550" s="22" t="s">
        <v>788</v>
      </c>
      <c r="I5550" s="22">
        <v>1</v>
      </c>
      <c r="J5550" s="22" t="s">
        <v>170</v>
      </c>
      <c r="K5550" s="22" t="s">
        <v>171</v>
      </c>
      <c r="L5550" s="22">
        <v>0</v>
      </c>
      <c r="M5550" s="26">
        <v>250000</v>
      </c>
      <c r="N5550" s="26">
        <v>0</v>
      </c>
      <c r="O5550" s="15">
        <f t="shared" si="477"/>
        <v>250000</v>
      </c>
      <c r="P5550" s="15">
        <f t="shared" si="478"/>
        <v>13.881485429992894</v>
      </c>
      <c r="Q5550" s="25">
        <v>20000</v>
      </c>
      <c r="R5550" s="22">
        <v>90</v>
      </c>
      <c r="S5550" s="22" t="s">
        <v>6710</v>
      </c>
      <c r="T5550" s="22">
        <f t="shared" si="473"/>
        <v>10</v>
      </c>
      <c r="U5550" s="22">
        <f t="shared" si="474"/>
        <v>2022</v>
      </c>
      <c r="V5550" s="22" t="str">
        <f t="shared" si="475"/>
        <v>REGIONES</v>
      </c>
    </row>
    <row r="5551" spans="1:22" x14ac:dyDescent="0.2">
      <c r="A5551" s="23" t="s">
        <v>6704</v>
      </c>
      <c r="B5551" s="22" t="s">
        <v>33</v>
      </c>
      <c r="C5551" s="22" t="s">
        <v>29</v>
      </c>
      <c r="D5551" s="22" t="s">
        <v>45</v>
      </c>
      <c r="E5551" s="24" t="s">
        <v>52</v>
      </c>
      <c r="F5551" s="22" t="s">
        <v>134</v>
      </c>
      <c r="G5551" s="25">
        <v>4203.75</v>
      </c>
      <c r="H5551" s="22" t="s">
        <v>22</v>
      </c>
      <c r="I5551" s="22">
        <v>0</v>
      </c>
      <c r="J5551" s="22" t="s">
        <v>134</v>
      </c>
      <c r="K5551" s="22" t="s">
        <v>23</v>
      </c>
      <c r="L5551" s="22">
        <v>2</v>
      </c>
      <c r="M5551" s="26">
        <v>55000</v>
      </c>
      <c r="N5551" s="26">
        <v>0</v>
      </c>
      <c r="O5551" s="15">
        <f t="shared" si="477"/>
        <v>55000</v>
      </c>
      <c r="P5551" s="15">
        <f t="shared" si="478"/>
        <v>13.083556348498364</v>
      </c>
      <c r="Q5551" s="25">
        <v>5000</v>
      </c>
      <c r="R5551" s="22">
        <v>84</v>
      </c>
      <c r="S5551" s="22" t="s">
        <v>6711</v>
      </c>
      <c r="T5551" s="22">
        <f t="shared" si="473"/>
        <v>10</v>
      </c>
      <c r="U5551" s="22">
        <f t="shared" si="474"/>
        <v>2022</v>
      </c>
      <c r="V5551" s="22" t="str">
        <f t="shared" si="475"/>
        <v>METROPOLITANA</v>
      </c>
    </row>
    <row r="5552" spans="1:22" x14ac:dyDescent="0.2">
      <c r="A5552" s="23" t="s">
        <v>6704</v>
      </c>
      <c r="B5552" s="22" t="s">
        <v>33</v>
      </c>
      <c r="C5552" s="22" t="s">
        <v>44</v>
      </c>
      <c r="D5552" s="22" t="s">
        <v>1869</v>
      </c>
      <c r="E5552" s="24" t="s">
        <v>1870</v>
      </c>
      <c r="F5552" s="22" t="s">
        <v>132</v>
      </c>
      <c r="G5552" s="25">
        <f>5611.2+4862</f>
        <v>10473.200000000001</v>
      </c>
      <c r="H5552" s="22" t="s">
        <v>24</v>
      </c>
      <c r="I5552" s="22">
        <v>1</v>
      </c>
      <c r="J5552" s="22" t="s">
        <v>132</v>
      </c>
      <c r="K5552" s="22" t="s">
        <v>124</v>
      </c>
      <c r="L5552" s="22">
        <v>0</v>
      </c>
      <c r="M5552" s="26">
        <v>400000</v>
      </c>
      <c r="N5552" s="26">
        <v>0</v>
      </c>
      <c r="O5552" s="15">
        <f t="shared" si="477"/>
        <v>400000</v>
      </c>
      <c r="P5552" s="15">
        <f t="shared" si="478"/>
        <v>38.192720467478892</v>
      </c>
      <c r="Q5552" s="25">
        <v>20000</v>
      </c>
      <c r="R5552" s="22">
        <v>55</v>
      </c>
      <c r="S5552" s="22" t="s">
        <v>6718</v>
      </c>
      <c r="T5552" s="22">
        <f t="shared" si="473"/>
        <v>10</v>
      </c>
      <c r="U5552" s="22">
        <f t="shared" si="474"/>
        <v>2022</v>
      </c>
      <c r="V5552" s="22" t="str">
        <f t="shared" si="475"/>
        <v>REGIONES</v>
      </c>
    </row>
    <row r="5553" spans="1:22" x14ac:dyDescent="0.2">
      <c r="A5553" s="23" t="s">
        <v>6704</v>
      </c>
      <c r="B5553" s="22" t="s">
        <v>33</v>
      </c>
      <c r="C5553" s="22" t="s">
        <v>44</v>
      </c>
      <c r="D5553" s="22" t="s">
        <v>38</v>
      </c>
      <c r="E5553" s="24" t="s">
        <v>42</v>
      </c>
      <c r="F5553" s="22" t="s">
        <v>67</v>
      </c>
      <c r="G5553" s="25">
        <v>2787.72</v>
      </c>
      <c r="H5553" s="22" t="s">
        <v>43</v>
      </c>
      <c r="I5553" s="22">
        <v>0</v>
      </c>
      <c r="J5553" s="22" t="s">
        <v>67</v>
      </c>
      <c r="K5553" s="22" t="s">
        <v>23</v>
      </c>
      <c r="L5553" s="22">
        <v>2</v>
      </c>
      <c r="M5553" s="26">
        <v>55000</v>
      </c>
      <c r="N5553" s="26">
        <v>0</v>
      </c>
      <c r="O5553" s="15">
        <f t="shared" si="477"/>
        <v>55000</v>
      </c>
      <c r="P5553" s="15">
        <f t="shared" si="478"/>
        <v>19.729384586687331</v>
      </c>
      <c r="Q5553" s="25">
        <v>5000</v>
      </c>
      <c r="R5553" s="22">
        <v>56</v>
      </c>
      <c r="S5553" s="22" t="s">
        <v>6712</v>
      </c>
      <c r="T5553" s="22">
        <f t="shared" si="473"/>
        <v>10</v>
      </c>
      <c r="U5553" s="22">
        <f t="shared" si="474"/>
        <v>2022</v>
      </c>
      <c r="V5553" s="22" t="str">
        <f t="shared" si="475"/>
        <v>METROPOLITANA</v>
      </c>
    </row>
    <row r="5554" spans="1:22" x14ac:dyDescent="0.2">
      <c r="A5554" s="23" t="s">
        <v>6704</v>
      </c>
      <c r="B5554" s="22" t="s">
        <v>33</v>
      </c>
      <c r="C5554" s="22" t="s">
        <v>44</v>
      </c>
      <c r="D5554" s="22" t="s">
        <v>5478</v>
      </c>
      <c r="E5554" s="24" t="s">
        <v>83</v>
      </c>
      <c r="F5554" s="22" t="s">
        <v>876</v>
      </c>
      <c r="G5554" s="25">
        <f>4278.4+3142</f>
        <v>7420.4</v>
      </c>
      <c r="H5554" s="22" t="s">
        <v>24</v>
      </c>
      <c r="I5554" s="22">
        <v>1</v>
      </c>
      <c r="J5554" s="22" t="s">
        <v>876</v>
      </c>
      <c r="K5554" s="22" t="s">
        <v>86</v>
      </c>
      <c r="L5554" s="22">
        <v>0</v>
      </c>
      <c r="M5554" s="26">
        <v>350000</v>
      </c>
      <c r="N5554" s="26">
        <v>0</v>
      </c>
      <c r="O5554" s="15">
        <f t="shared" si="477"/>
        <v>350000</v>
      </c>
      <c r="P5554" s="15">
        <f t="shared" si="478"/>
        <v>47.16726861085656</v>
      </c>
      <c r="Q5554" s="25">
        <v>20000</v>
      </c>
      <c r="R5554" s="22">
        <v>55</v>
      </c>
      <c r="S5554" s="22" t="s">
        <v>6717</v>
      </c>
      <c r="T5554" s="22">
        <f t="shared" si="473"/>
        <v>10</v>
      </c>
      <c r="U5554" s="22">
        <f t="shared" si="474"/>
        <v>2022</v>
      </c>
      <c r="V5554" s="22" t="str">
        <f t="shared" si="475"/>
        <v>REGIONES</v>
      </c>
    </row>
    <row r="5555" spans="1:22" x14ac:dyDescent="0.2">
      <c r="A5555" s="23" t="s">
        <v>6704</v>
      </c>
      <c r="B5555" s="22" t="s">
        <v>33</v>
      </c>
      <c r="C5555" s="22" t="s">
        <v>44</v>
      </c>
      <c r="D5555" s="22" t="s">
        <v>37</v>
      </c>
      <c r="E5555" s="24" t="s">
        <v>40</v>
      </c>
      <c r="F5555" s="22" t="s">
        <v>34</v>
      </c>
      <c r="G5555" s="25">
        <v>3037.42</v>
      </c>
      <c r="H5555" s="22" t="s">
        <v>22</v>
      </c>
      <c r="I5555" s="22">
        <v>0</v>
      </c>
      <c r="J5555" s="22" t="s">
        <v>34</v>
      </c>
      <c r="K5555" s="22" t="s">
        <v>23</v>
      </c>
      <c r="L5555" s="22">
        <v>1</v>
      </c>
      <c r="M5555" s="26">
        <v>55000</v>
      </c>
      <c r="N5555" s="26">
        <v>0</v>
      </c>
      <c r="O5555" s="15">
        <f t="shared" si="477"/>
        <v>55000</v>
      </c>
      <c r="P5555" s="15">
        <f t="shared" si="478"/>
        <v>18.107472789406799</v>
      </c>
      <c r="Q5555" s="25">
        <v>5000</v>
      </c>
      <c r="R5555" s="22">
        <v>61</v>
      </c>
      <c r="S5555" s="22" t="s">
        <v>6713</v>
      </c>
      <c r="T5555" s="22">
        <f t="shared" si="473"/>
        <v>10</v>
      </c>
      <c r="U5555" s="22">
        <f t="shared" si="474"/>
        <v>2022</v>
      </c>
      <c r="V5555" s="22" t="str">
        <f t="shared" si="475"/>
        <v>METROPOLITANA</v>
      </c>
    </row>
    <row r="5556" spans="1:22" x14ac:dyDescent="0.2">
      <c r="A5556" s="23" t="s">
        <v>6704</v>
      </c>
      <c r="B5556" s="22" t="s">
        <v>33</v>
      </c>
      <c r="C5556" s="22" t="s">
        <v>44</v>
      </c>
      <c r="D5556" s="22" t="s">
        <v>30</v>
      </c>
      <c r="E5556" s="24" t="s">
        <v>31</v>
      </c>
      <c r="F5556" s="22" t="s">
        <v>182</v>
      </c>
      <c r="G5556" s="25">
        <v>2633.42</v>
      </c>
      <c r="H5556" s="22" t="s">
        <v>32</v>
      </c>
      <c r="I5556" s="22">
        <v>0</v>
      </c>
      <c r="J5556" s="22" t="s">
        <v>182</v>
      </c>
      <c r="K5556" s="22" t="s">
        <v>23</v>
      </c>
      <c r="L5556" s="22">
        <v>4</v>
      </c>
      <c r="M5556" s="26">
        <v>55000</v>
      </c>
      <c r="N5556" s="26">
        <v>0</v>
      </c>
      <c r="O5556" s="15">
        <f t="shared" si="477"/>
        <v>55000</v>
      </c>
      <c r="P5556" s="15">
        <f t="shared" si="478"/>
        <v>20.885388582147929</v>
      </c>
      <c r="Q5556" s="25">
        <v>5000</v>
      </c>
      <c r="R5556" s="22">
        <v>53</v>
      </c>
      <c r="S5556" s="22" t="s">
        <v>6714</v>
      </c>
      <c r="T5556" s="22">
        <f t="shared" si="473"/>
        <v>10</v>
      </c>
      <c r="U5556" s="22">
        <f t="shared" si="474"/>
        <v>2022</v>
      </c>
      <c r="V5556" s="22" t="str">
        <f t="shared" si="475"/>
        <v>METROPOLITANA</v>
      </c>
    </row>
    <row r="5557" spans="1:22" x14ac:dyDescent="0.2">
      <c r="A5557" s="11" t="s">
        <v>6719</v>
      </c>
      <c r="B5557" s="12" t="s">
        <v>18</v>
      </c>
      <c r="C5557" s="12" t="s">
        <v>270</v>
      </c>
      <c r="D5557" s="12" t="s">
        <v>2955</v>
      </c>
      <c r="E5557" s="13" t="s">
        <v>2956</v>
      </c>
      <c r="F5557" s="12" t="s">
        <v>120</v>
      </c>
      <c r="G5557" s="14">
        <v>4256.3</v>
      </c>
      <c r="H5557" s="12" t="s">
        <v>24</v>
      </c>
      <c r="I5557" s="12">
        <v>1</v>
      </c>
      <c r="J5557" s="12" t="s">
        <v>120</v>
      </c>
      <c r="K5557" s="12" t="s">
        <v>23</v>
      </c>
      <c r="L5557" s="12">
        <v>5</v>
      </c>
      <c r="M5557" s="15">
        <v>120000</v>
      </c>
      <c r="N5557" s="15">
        <v>0</v>
      </c>
      <c r="O5557" s="15">
        <f t="shared" si="477"/>
        <v>120000</v>
      </c>
      <c r="P5557" s="15">
        <f t="shared" si="478"/>
        <v>28.193501397927776</v>
      </c>
      <c r="Q5557" s="14">
        <v>10000</v>
      </c>
      <c r="R5557" s="12">
        <v>43</v>
      </c>
      <c r="S5557" s="12" t="s">
        <v>6720</v>
      </c>
      <c r="T5557" s="22">
        <f t="shared" si="473"/>
        <v>10</v>
      </c>
      <c r="U5557" s="22">
        <f t="shared" si="474"/>
        <v>2022</v>
      </c>
      <c r="V5557" s="22" t="str">
        <f t="shared" si="475"/>
        <v>METROPOLITANA</v>
      </c>
    </row>
    <row r="5558" spans="1:22" x14ac:dyDescent="0.2">
      <c r="A5558" s="11" t="s">
        <v>6719</v>
      </c>
      <c r="B5558" s="12" t="s">
        <v>18</v>
      </c>
      <c r="C5558" s="12" t="s">
        <v>508</v>
      </c>
      <c r="D5558" s="12" t="s">
        <v>30</v>
      </c>
      <c r="E5558" s="13" t="s">
        <v>31</v>
      </c>
      <c r="F5558" s="12" t="s">
        <v>182</v>
      </c>
      <c r="G5558" s="14">
        <v>5935.9399999999987</v>
      </c>
      <c r="H5558" s="12" t="s">
        <v>32</v>
      </c>
      <c r="I5558" s="12">
        <v>0</v>
      </c>
      <c r="J5558" s="12" t="s">
        <v>182</v>
      </c>
      <c r="K5558" s="12" t="s">
        <v>23</v>
      </c>
      <c r="L5558" s="12">
        <v>4</v>
      </c>
      <c r="M5558" s="15">
        <v>65295</v>
      </c>
      <c r="N5558" s="15">
        <v>0</v>
      </c>
      <c r="O5558" s="15">
        <f t="shared" si="477"/>
        <v>65295</v>
      </c>
      <c r="P5558" s="15">
        <f t="shared" si="478"/>
        <v>10.999942721793012</v>
      </c>
      <c r="Q5558" s="14">
        <v>5000</v>
      </c>
      <c r="R5558" s="12">
        <v>100</v>
      </c>
      <c r="S5558" s="12" t="s">
        <v>6721</v>
      </c>
      <c r="T5558" s="22">
        <f t="shared" si="473"/>
        <v>10</v>
      </c>
      <c r="U5558" s="22">
        <f t="shared" si="474"/>
        <v>2022</v>
      </c>
      <c r="V5558" s="22" t="str">
        <f t="shared" si="475"/>
        <v>METROPOLITANA</v>
      </c>
    </row>
    <row r="5559" spans="1:22" x14ac:dyDescent="0.2">
      <c r="A5559" s="11" t="s">
        <v>6719</v>
      </c>
      <c r="B5559" s="12" t="s">
        <v>33</v>
      </c>
      <c r="C5559" s="12" t="s">
        <v>270</v>
      </c>
      <c r="D5559" s="12" t="s">
        <v>2955</v>
      </c>
      <c r="E5559" s="13" t="s">
        <v>2956</v>
      </c>
      <c r="F5559" s="12" t="s">
        <v>120</v>
      </c>
      <c r="G5559" s="14">
        <v>10561.6</v>
      </c>
      <c r="H5559" s="12" t="s">
        <v>24</v>
      </c>
      <c r="I5559" s="12">
        <v>1</v>
      </c>
      <c r="J5559" s="12" t="s">
        <v>120</v>
      </c>
      <c r="K5559" s="12" t="s">
        <v>23</v>
      </c>
      <c r="L5559" s="12">
        <v>5</v>
      </c>
      <c r="M5559" s="15">
        <v>120000</v>
      </c>
      <c r="N5559" s="15">
        <v>0</v>
      </c>
      <c r="O5559" s="15">
        <f t="shared" si="477"/>
        <v>120000</v>
      </c>
      <c r="P5559" s="15">
        <f t="shared" si="478"/>
        <v>11.361914861384639</v>
      </c>
      <c r="Q5559" s="14">
        <v>10000</v>
      </c>
      <c r="R5559" s="12">
        <v>100</v>
      </c>
      <c r="S5559" s="12" t="s">
        <v>6722</v>
      </c>
      <c r="T5559" s="22">
        <f t="shared" si="473"/>
        <v>10</v>
      </c>
      <c r="U5559" s="22">
        <f t="shared" si="474"/>
        <v>2022</v>
      </c>
      <c r="V5559" s="22" t="str">
        <f t="shared" si="475"/>
        <v>METROPOLITANA</v>
      </c>
    </row>
    <row r="5560" spans="1:22" x14ac:dyDescent="0.2">
      <c r="A5560" s="11" t="s">
        <v>6719</v>
      </c>
      <c r="B5560" s="12" t="s">
        <v>33</v>
      </c>
      <c r="C5560" s="12" t="s">
        <v>36</v>
      </c>
      <c r="D5560" s="12" t="s">
        <v>45</v>
      </c>
      <c r="E5560" s="13" t="s">
        <v>52</v>
      </c>
      <c r="F5560" s="12" t="s">
        <v>53</v>
      </c>
      <c r="G5560" s="14">
        <v>3530.8200000000011</v>
      </c>
      <c r="H5560" s="12" t="s">
        <v>22</v>
      </c>
      <c r="I5560" s="12">
        <v>0</v>
      </c>
      <c r="J5560" s="12" t="s">
        <v>53</v>
      </c>
      <c r="K5560" s="12" t="s">
        <v>23</v>
      </c>
      <c r="L5560" s="12">
        <v>3</v>
      </c>
      <c r="M5560" s="15">
        <v>55000</v>
      </c>
      <c r="N5560" s="15">
        <v>0</v>
      </c>
      <c r="O5560" s="15">
        <f t="shared" si="477"/>
        <v>55000</v>
      </c>
      <c r="P5560" s="15">
        <f t="shared" si="478"/>
        <v>15.577118063226102</v>
      </c>
      <c r="Q5560" s="14">
        <v>5000</v>
      </c>
      <c r="R5560" s="12">
        <v>71</v>
      </c>
      <c r="S5560" s="12" t="s">
        <v>6723</v>
      </c>
      <c r="T5560" s="22">
        <f t="shared" si="473"/>
        <v>10</v>
      </c>
      <c r="U5560" s="22">
        <f t="shared" si="474"/>
        <v>2022</v>
      </c>
      <c r="V5560" s="22" t="str">
        <f t="shared" si="475"/>
        <v>METROPOLITANA</v>
      </c>
    </row>
    <row r="5561" spans="1:22" x14ac:dyDescent="0.2">
      <c r="A5561" s="11" t="s">
        <v>6719</v>
      </c>
      <c r="B5561" s="12" t="s">
        <v>33</v>
      </c>
      <c r="C5561" s="12" t="s">
        <v>2862</v>
      </c>
      <c r="D5561" s="12" t="s">
        <v>37</v>
      </c>
      <c r="E5561" s="13" t="s">
        <v>40</v>
      </c>
      <c r="F5561" s="12" t="s">
        <v>51</v>
      </c>
      <c r="G5561" s="14">
        <v>4050</v>
      </c>
      <c r="H5561" s="12" t="s">
        <v>22</v>
      </c>
      <c r="I5561" s="12">
        <v>0</v>
      </c>
      <c r="J5561" s="12" t="s">
        <v>51</v>
      </c>
      <c r="K5561" s="12" t="s">
        <v>23</v>
      </c>
      <c r="L5561" s="12">
        <v>4</v>
      </c>
      <c r="M5561" s="15">
        <v>55000</v>
      </c>
      <c r="N5561" s="15">
        <v>0</v>
      </c>
      <c r="O5561" s="15">
        <f t="shared" si="477"/>
        <v>55000</v>
      </c>
      <c r="P5561" s="15">
        <f t="shared" si="478"/>
        <v>13.580246913580247</v>
      </c>
      <c r="Q5561" s="14">
        <v>5000</v>
      </c>
      <c r="R5561" s="12">
        <v>81</v>
      </c>
      <c r="S5561" s="12" t="s">
        <v>6724</v>
      </c>
      <c r="T5561" s="22">
        <f t="shared" si="473"/>
        <v>10</v>
      </c>
      <c r="U5561" s="22">
        <f t="shared" si="474"/>
        <v>2022</v>
      </c>
      <c r="V5561" s="22" t="str">
        <f t="shared" si="475"/>
        <v>METROPOLITANA</v>
      </c>
    </row>
    <row r="5562" spans="1:22" x14ac:dyDescent="0.2">
      <c r="A5562" s="11" t="s">
        <v>6719</v>
      </c>
      <c r="B5562" s="12" t="s">
        <v>33</v>
      </c>
      <c r="C5562" s="12" t="s">
        <v>2862</v>
      </c>
      <c r="D5562" s="12" t="s">
        <v>164</v>
      </c>
      <c r="E5562" s="13" t="s">
        <v>28</v>
      </c>
      <c r="F5562" s="12" t="s">
        <v>274</v>
      </c>
      <c r="G5562" s="14">
        <v>6723.199999999998</v>
      </c>
      <c r="H5562" s="12" t="s">
        <v>22</v>
      </c>
      <c r="I5562" s="12">
        <v>1</v>
      </c>
      <c r="J5562" s="12" t="s">
        <v>274</v>
      </c>
      <c r="K5562" s="12" t="s">
        <v>78</v>
      </c>
      <c r="L5562" s="12">
        <v>0</v>
      </c>
      <c r="M5562" s="15">
        <v>275000</v>
      </c>
      <c r="N5562" s="15">
        <v>0</v>
      </c>
      <c r="O5562" s="15">
        <f t="shared" si="477"/>
        <v>275000</v>
      </c>
      <c r="P5562" s="15">
        <f t="shared" si="478"/>
        <v>40.903141361256559</v>
      </c>
      <c r="Q5562" s="14">
        <v>20000</v>
      </c>
      <c r="R5562" s="12">
        <v>34</v>
      </c>
      <c r="S5562" s="12" t="s">
        <v>6725</v>
      </c>
      <c r="T5562" s="22">
        <f t="shared" si="473"/>
        <v>10</v>
      </c>
      <c r="U5562" s="22">
        <f t="shared" si="474"/>
        <v>2022</v>
      </c>
      <c r="V5562" s="22" t="str">
        <f t="shared" si="475"/>
        <v>REGIONES</v>
      </c>
    </row>
    <row r="5563" spans="1:22" x14ac:dyDescent="0.2">
      <c r="A5563" s="11" t="s">
        <v>6719</v>
      </c>
      <c r="B5563" s="12" t="s">
        <v>33</v>
      </c>
      <c r="C5563" s="12" t="s">
        <v>44</v>
      </c>
      <c r="D5563" s="12" t="s">
        <v>47</v>
      </c>
      <c r="E5563" s="13" t="s">
        <v>49</v>
      </c>
      <c r="F5563" s="12" t="s">
        <v>53</v>
      </c>
      <c r="G5563" s="14">
        <v>3413.41</v>
      </c>
      <c r="H5563" s="12" t="s">
        <v>22</v>
      </c>
      <c r="I5563" s="12">
        <v>0</v>
      </c>
      <c r="J5563" s="12" t="s">
        <v>53</v>
      </c>
      <c r="K5563" s="12" t="s">
        <v>23</v>
      </c>
      <c r="L5563" s="12">
        <v>3</v>
      </c>
      <c r="M5563" s="15">
        <v>55000</v>
      </c>
      <c r="N5563" s="15">
        <v>0</v>
      </c>
      <c r="O5563" s="15">
        <f t="shared" si="477"/>
        <v>55000</v>
      </c>
      <c r="P5563" s="15">
        <f t="shared" si="478"/>
        <v>16.112919338725792</v>
      </c>
      <c r="Q5563" s="14">
        <v>5000</v>
      </c>
      <c r="R5563" s="12">
        <v>68</v>
      </c>
      <c r="S5563" s="12" t="s">
        <v>6726</v>
      </c>
      <c r="T5563" s="22">
        <f t="shared" si="473"/>
        <v>10</v>
      </c>
      <c r="U5563" s="22">
        <f t="shared" si="474"/>
        <v>2022</v>
      </c>
      <c r="V5563" s="22" t="str">
        <f t="shared" si="475"/>
        <v>METROPOLITANA</v>
      </c>
    </row>
    <row r="5564" spans="1:22" x14ac:dyDescent="0.2">
      <c r="A5564" s="11" t="s">
        <v>6719</v>
      </c>
      <c r="B5564" s="12" t="s">
        <v>33</v>
      </c>
      <c r="C5564" s="12" t="s">
        <v>44</v>
      </c>
      <c r="D5564" s="12" t="s">
        <v>20</v>
      </c>
      <c r="E5564" s="13" t="s">
        <v>21</v>
      </c>
      <c r="F5564" s="12" t="s">
        <v>229</v>
      </c>
      <c r="G5564" s="14">
        <v>5089.6099999999997</v>
      </c>
      <c r="H5564" s="12" t="s">
        <v>22</v>
      </c>
      <c r="I5564" s="12">
        <v>0</v>
      </c>
      <c r="J5564" s="12" t="s">
        <v>230</v>
      </c>
      <c r="K5564" s="12" t="s">
        <v>23</v>
      </c>
      <c r="L5564" s="12">
        <v>4</v>
      </c>
      <c r="M5564" s="15">
        <v>55986</v>
      </c>
      <c r="N5564" s="15">
        <v>0</v>
      </c>
      <c r="O5564" s="15">
        <f t="shared" si="477"/>
        <v>55986</v>
      </c>
      <c r="P5564" s="15">
        <f t="shared" si="478"/>
        <v>11.000056978825491</v>
      </c>
      <c r="Q5564" s="14">
        <v>5000</v>
      </c>
      <c r="R5564" s="12">
        <v>100</v>
      </c>
      <c r="S5564" s="12" t="s">
        <v>6727</v>
      </c>
      <c r="T5564" s="22">
        <f t="shared" si="473"/>
        <v>10</v>
      </c>
      <c r="U5564" s="22">
        <f t="shared" si="474"/>
        <v>2022</v>
      </c>
      <c r="V5564" s="22" t="str">
        <f t="shared" si="475"/>
        <v>METROPOLITANA</v>
      </c>
    </row>
    <row r="5565" spans="1:22" x14ac:dyDescent="0.2">
      <c r="A5565" s="23" t="s">
        <v>6728</v>
      </c>
      <c r="B5565" s="22" t="s">
        <v>18</v>
      </c>
      <c r="C5565" s="22" t="s">
        <v>508</v>
      </c>
      <c r="D5565" s="22" t="s">
        <v>30</v>
      </c>
      <c r="E5565" s="24" t="s">
        <v>31</v>
      </c>
      <c r="F5565" s="22" t="s">
        <v>182</v>
      </c>
      <c r="G5565" s="25">
        <v>4396.9799999999996</v>
      </c>
      <c r="H5565" s="22" t="s">
        <v>32</v>
      </c>
      <c r="I5565" s="22">
        <v>0</v>
      </c>
      <c r="J5565" s="22" t="s">
        <v>182</v>
      </c>
      <c r="K5565" s="22" t="s">
        <v>23</v>
      </c>
      <c r="L5565" s="22">
        <v>4</v>
      </c>
      <c r="M5565" s="26">
        <v>55000</v>
      </c>
      <c r="N5565" s="26">
        <v>0</v>
      </c>
      <c r="O5565" s="15">
        <f t="shared" si="477"/>
        <v>55000</v>
      </c>
      <c r="P5565" s="15">
        <f t="shared" si="478"/>
        <v>12.50858543818712</v>
      </c>
      <c r="Q5565" s="25">
        <v>5000</v>
      </c>
      <c r="R5565" s="22">
        <v>88</v>
      </c>
      <c r="S5565" s="22" t="s">
        <v>6729</v>
      </c>
      <c r="T5565" s="22">
        <f t="shared" si="473"/>
        <v>10</v>
      </c>
      <c r="U5565" s="22">
        <f t="shared" si="474"/>
        <v>2022</v>
      </c>
      <c r="V5565" s="22" t="str">
        <f t="shared" si="475"/>
        <v>METROPOLITANA</v>
      </c>
    </row>
    <row r="5566" spans="1:22" x14ac:dyDescent="0.2">
      <c r="A5566" s="23" t="s">
        <v>6728</v>
      </c>
      <c r="B5566" s="22" t="s">
        <v>33</v>
      </c>
      <c r="C5566" s="22" t="s">
        <v>270</v>
      </c>
      <c r="D5566" s="22" t="s">
        <v>786</v>
      </c>
      <c r="E5566" s="24" t="s">
        <v>787</v>
      </c>
      <c r="F5566" s="22" t="s">
        <v>120</v>
      </c>
      <c r="G5566" s="25">
        <v>15916</v>
      </c>
      <c r="H5566" s="22" t="s">
        <v>788</v>
      </c>
      <c r="I5566" s="22">
        <v>1</v>
      </c>
      <c r="J5566" s="22" t="s">
        <v>120</v>
      </c>
      <c r="K5566" s="22" t="s">
        <v>23</v>
      </c>
      <c r="L5566" s="22">
        <v>5</v>
      </c>
      <c r="M5566" s="26">
        <v>120000</v>
      </c>
      <c r="N5566" s="26">
        <v>0</v>
      </c>
      <c r="O5566" s="15">
        <f t="shared" ref="O5566:O5597" si="479">SUM(M5566:N5566)</f>
        <v>120000</v>
      </c>
      <c r="P5566" s="15">
        <f t="shared" si="478"/>
        <v>7.5395828097511934</v>
      </c>
      <c r="Q5566" s="25">
        <v>10000</v>
      </c>
      <c r="R5566" s="22">
        <v>100</v>
      </c>
      <c r="S5566" s="22" t="s">
        <v>6730</v>
      </c>
      <c r="T5566" s="22">
        <f t="shared" si="473"/>
        <v>10</v>
      </c>
      <c r="U5566" s="22">
        <f t="shared" si="474"/>
        <v>2022</v>
      </c>
      <c r="V5566" s="22" t="str">
        <f t="shared" si="475"/>
        <v>METROPOLITANA</v>
      </c>
    </row>
    <row r="5567" spans="1:22" x14ac:dyDescent="0.2">
      <c r="A5567" s="23" t="s">
        <v>6728</v>
      </c>
      <c r="B5567" s="22" t="s">
        <v>33</v>
      </c>
      <c r="C5567" s="22" t="s">
        <v>2862</v>
      </c>
      <c r="D5567" s="22" t="s">
        <v>30</v>
      </c>
      <c r="E5567" s="24" t="s">
        <v>31</v>
      </c>
      <c r="F5567" s="22" t="s">
        <v>910</v>
      </c>
      <c r="G5567" s="25">
        <f>5169+5169</f>
        <v>10338</v>
      </c>
      <c r="H5567" s="22" t="s">
        <v>32</v>
      </c>
      <c r="I5567" s="22">
        <v>0</v>
      </c>
      <c r="J5567" s="22" t="s">
        <v>910</v>
      </c>
      <c r="K5567" s="22" t="s">
        <v>171</v>
      </c>
      <c r="L5567" s="22">
        <v>0</v>
      </c>
      <c r="M5567" s="26">
        <v>350000</v>
      </c>
      <c r="N5567" s="26">
        <v>0</v>
      </c>
      <c r="O5567" s="15">
        <f t="shared" si="479"/>
        <v>350000</v>
      </c>
      <c r="P5567" s="15">
        <f t="shared" si="478"/>
        <v>33.855678080866703</v>
      </c>
      <c r="Q5567" s="25">
        <v>20000</v>
      </c>
      <c r="R5567" s="22">
        <v>60</v>
      </c>
      <c r="S5567" s="22" t="s">
        <v>6739</v>
      </c>
      <c r="T5567" s="22">
        <f t="shared" si="473"/>
        <v>10</v>
      </c>
      <c r="U5567" s="22">
        <f t="shared" si="474"/>
        <v>2022</v>
      </c>
      <c r="V5567" s="22" t="str">
        <f t="shared" si="475"/>
        <v>REGIONES</v>
      </c>
    </row>
    <row r="5568" spans="1:22" x14ac:dyDescent="0.2">
      <c r="A5568" s="23" t="s">
        <v>6728</v>
      </c>
      <c r="B5568" s="22" t="s">
        <v>33</v>
      </c>
      <c r="C5568" s="22" t="s">
        <v>29</v>
      </c>
      <c r="D5568" s="22" t="s">
        <v>38</v>
      </c>
      <c r="E5568" s="24" t="s">
        <v>42</v>
      </c>
      <c r="F5568" s="22" t="s">
        <v>39</v>
      </c>
      <c r="G5568" s="25">
        <v>6792.6399999999994</v>
      </c>
      <c r="H5568" s="22" t="s">
        <v>43</v>
      </c>
      <c r="I5568" s="22">
        <v>0</v>
      </c>
      <c r="J5568" s="22" t="s">
        <v>39</v>
      </c>
      <c r="K5568" s="22" t="s">
        <v>23</v>
      </c>
      <c r="L5568" s="22">
        <v>1</v>
      </c>
      <c r="M5568" s="26">
        <v>74719</v>
      </c>
      <c r="N5568" s="26">
        <v>0</v>
      </c>
      <c r="O5568" s="15">
        <f t="shared" si="479"/>
        <v>74719</v>
      </c>
      <c r="P5568" s="15">
        <f t="shared" si="478"/>
        <v>10.999994111273379</v>
      </c>
      <c r="Q5568" s="25">
        <v>5000</v>
      </c>
      <c r="R5568" s="22">
        <v>100</v>
      </c>
      <c r="S5568" s="22" t="s">
        <v>6731</v>
      </c>
      <c r="T5568" s="22">
        <f t="shared" si="473"/>
        <v>10</v>
      </c>
      <c r="U5568" s="22">
        <f t="shared" si="474"/>
        <v>2022</v>
      </c>
      <c r="V5568" s="22" t="str">
        <f t="shared" si="475"/>
        <v>METROPOLITANA</v>
      </c>
    </row>
    <row r="5569" spans="1:22" x14ac:dyDescent="0.2">
      <c r="A5569" s="23" t="s">
        <v>6728</v>
      </c>
      <c r="B5569" s="22" t="s">
        <v>33</v>
      </c>
      <c r="C5569" s="22" t="s">
        <v>29</v>
      </c>
      <c r="D5569" s="22" t="s">
        <v>37</v>
      </c>
      <c r="E5569" s="24" t="s">
        <v>40</v>
      </c>
      <c r="F5569" s="22" t="s">
        <v>161</v>
      </c>
      <c r="G5569" s="25">
        <v>10353</v>
      </c>
      <c r="H5569" s="22" t="s">
        <v>22</v>
      </c>
      <c r="I5569" s="22">
        <v>0</v>
      </c>
      <c r="J5569" s="22" t="s">
        <v>161</v>
      </c>
      <c r="K5569" s="22" t="s">
        <v>23</v>
      </c>
      <c r="L5569" s="22">
        <v>5</v>
      </c>
      <c r="M5569" s="26">
        <v>70000</v>
      </c>
      <c r="N5569" s="26">
        <v>0</v>
      </c>
      <c r="O5569" s="15">
        <f t="shared" si="479"/>
        <v>70000</v>
      </c>
      <c r="P5569" s="15">
        <f t="shared" si="478"/>
        <v>6.7613252197430693</v>
      </c>
      <c r="Q5569" s="25">
        <v>10000</v>
      </c>
      <c r="R5569" s="22">
        <v>100</v>
      </c>
      <c r="S5569" s="22" t="s">
        <v>6732</v>
      </c>
      <c r="T5569" s="22">
        <f t="shared" si="473"/>
        <v>10</v>
      </c>
      <c r="U5569" s="22">
        <f t="shared" si="474"/>
        <v>2022</v>
      </c>
      <c r="V5569" s="22" t="str">
        <f t="shared" si="475"/>
        <v>METROPOLITANA</v>
      </c>
    </row>
    <row r="5570" spans="1:22" x14ac:dyDescent="0.2">
      <c r="A5570" s="23" t="s">
        <v>6728</v>
      </c>
      <c r="B5570" s="22" t="s">
        <v>33</v>
      </c>
      <c r="C5570" s="22" t="s">
        <v>29</v>
      </c>
      <c r="D5570" s="22" t="s">
        <v>41</v>
      </c>
      <c r="E5570" s="24" t="s">
        <v>25</v>
      </c>
      <c r="F5570" s="22" t="s">
        <v>161</v>
      </c>
      <c r="G5570" s="25">
        <v>3968.65</v>
      </c>
      <c r="H5570" s="22" t="s">
        <v>43</v>
      </c>
      <c r="I5570" s="22">
        <v>0</v>
      </c>
      <c r="J5570" s="22" t="s">
        <v>161</v>
      </c>
      <c r="K5570" s="22" t="s">
        <v>23</v>
      </c>
      <c r="L5570" s="22">
        <v>5</v>
      </c>
      <c r="M5570" s="26">
        <v>70000</v>
      </c>
      <c r="N5570" s="26">
        <v>0</v>
      </c>
      <c r="O5570" s="15">
        <f t="shared" si="479"/>
        <v>70000</v>
      </c>
      <c r="P5570" s="15">
        <f t="shared" si="478"/>
        <v>17.638239703677574</v>
      </c>
      <c r="Q5570" s="25">
        <v>10000</v>
      </c>
      <c r="R5570" s="22">
        <v>40</v>
      </c>
      <c r="S5570" s="22" t="s">
        <v>6733</v>
      </c>
      <c r="T5570" s="22">
        <f t="shared" si="473"/>
        <v>10</v>
      </c>
      <c r="U5570" s="22">
        <f t="shared" si="474"/>
        <v>2022</v>
      </c>
      <c r="V5570" s="22" t="str">
        <f t="shared" si="475"/>
        <v>METROPOLITANA</v>
      </c>
    </row>
    <row r="5571" spans="1:22" x14ac:dyDescent="0.2">
      <c r="A5571" s="23" t="s">
        <v>6728</v>
      </c>
      <c r="B5571" s="22" t="s">
        <v>33</v>
      </c>
      <c r="C5571" s="22" t="s">
        <v>29</v>
      </c>
      <c r="D5571" s="22" t="s">
        <v>41</v>
      </c>
      <c r="E5571" s="24" t="s">
        <v>25</v>
      </c>
      <c r="F5571" s="22" t="s">
        <v>134</v>
      </c>
      <c r="G5571" s="25">
        <v>6338.880000000001</v>
      </c>
      <c r="H5571" s="22" t="s">
        <v>43</v>
      </c>
      <c r="I5571" s="22">
        <v>0</v>
      </c>
      <c r="J5571" s="22" t="s">
        <v>134</v>
      </c>
      <c r="K5571" s="22" t="s">
        <v>23</v>
      </c>
      <c r="L5571" s="22">
        <v>2</v>
      </c>
      <c r="M5571" s="26">
        <v>69728</v>
      </c>
      <c r="N5571" s="26">
        <v>0</v>
      </c>
      <c r="O5571" s="15">
        <f t="shared" si="479"/>
        <v>69728</v>
      </c>
      <c r="P5571" s="15">
        <f t="shared" si="478"/>
        <v>11.000050482104092</v>
      </c>
      <c r="Q5571" s="25">
        <v>5000</v>
      </c>
      <c r="R5571" s="22">
        <v>100</v>
      </c>
      <c r="S5571" s="22" t="s">
        <v>6734</v>
      </c>
      <c r="T5571" s="22">
        <f t="shared" si="473"/>
        <v>10</v>
      </c>
      <c r="U5571" s="22">
        <f t="shared" si="474"/>
        <v>2022</v>
      </c>
      <c r="V5571" s="22" t="str">
        <f t="shared" si="475"/>
        <v>METROPOLITANA</v>
      </c>
    </row>
    <row r="5572" spans="1:22" x14ac:dyDescent="0.2">
      <c r="A5572" s="23" t="s">
        <v>6728</v>
      </c>
      <c r="B5572" s="22" t="s">
        <v>33</v>
      </c>
      <c r="C5572" s="22" t="s">
        <v>29</v>
      </c>
      <c r="D5572" s="22" t="s">
        <v>164</v>
      </c>
      <c r="E5572" s="24" t="s">
        <v>1576</v>
      </c>
      <c r="F5572" s="22" t="s">
        <v>39</v>
      </c>
      <c r="G5572" s="25">
        <v>7878.300000000002</v>
      </c>
      <c r="H5572" s="22" t="s">
        <v>22</v>
      </c>
      <c r="I5572" s="22">
        <v>1</v>
      </c>
      <c r="J5572" s="22" t="s">
        <v>39</v>
      </c>
      <c r="K5572" s="22" t="s">
        <v>23</v>
      </c>
      <c r="L5572" s="22">
        <v>1</v>
      </c>
      <c r="M5572" s="26">
        <v>86661</v>
      </c>
      <c r="N5572" s="26">
        <v>0</v>
      </c>
      <c r="O5572" s="15">
        <f t="shared" si="479"/>
        <v>86661</v>
      </c>
      <c r="P5572" s="15">
        <f t="shared" si="478"/>
        <v>10.999961920718935</v>
      </c>
      <c r="Q5572" s="25">
        <v>5000</v>
      </c>
      <c r="R5572" s="22">
        <v>100</v>
      </c>
      <c r="S5572" s="22" t="s">
        <v>6735</v>
      </c>
      <c r="T5572" s="22">
        <f t="shared" si="473"/>
        <v>10</v>
      </c>
      <c r="U5572" s="22">
        <f t="shared" si="474"/>
        <v>2022</v>
      </c>
      <c r="V5572" s="22" t="str">
        <f t="shared" si="475"/>
        <v>METROPOLITANA</v>
      </c>
    </row>
    <row r="5573" spans="1:22" x14ac:dyDescent="0.2">
      <c r="A5573" s="23" t="s">
        <v>6728</v>
      </c>
      <c r="B5573" s="22" t="s">
        <v>33</v>
      </c>
      <c r="C5573" s="22" t="s">
        <v>29</v>
      </c>
      <c r="D5573" s="22" t="s">
        <v>20</v>
      </c>
      <c r="E5573" s="24" t="s">
        <v>21</v>
      </c>
      <c r="F5573" s="22" t="s">
        <v>39</v>
      </c>
      <c r="G5573" s="25">
        <v>6137.119999999999</v>
      </c>
      <c r="H5573" s="22" t="s">
        <v>22</v>
      </c>
      <c r="I5573" s="22">
        <v>0</v>
      </c>
      <c r="J5573" s="22" t="s">
        <v>39</v>
      </c>
      <c r="K5573" s="22" t="s">
        <v>23</v>
      </c>
      <c r="L5573" s="22">
        <v>1</v>
      </c>
      <c r="M5573" s="26">
        <v>67508</v>
      </c>
      <c r="N5573" s="26">
        <v>0</v>
      </c>
      <c r="O5573" s="15">
        <f t="shared" si="479"/>
        <v>67508</v>
      </c>
      <c r="P5573" s="15">
        <f t="shared" si="478"/>
        <v>10.999947858278803</v>
      </c>
      <c r="Q5573" s="25">
        <v>5000</v>
      </c>
      <c r="R5573" s="22">
        <v>100</v>
      </c>
      <c r="S5573" s="22" t="s">
        <v>6736</v>
      </c>
      <c r="T5573" s="22">
        <f t="shared" si="473"/>
        <v>10</v>
      </c>
      <c r="U5573" s="22">
        <f t="shared" si="474"/>
        <v>2022</v>
      </c>
      <c r="V5573" s="22" t="str">
        <f t="shared" si="475"/>
        <v>METROPOLITANA</v>
      </c>
    </row>
    <row r="5574" spans="1:22" x14ac:dyDescent="0.2">
      <c r="A5574" s="23" t="s">
        <v>6728</v>
      </c>
      <c r="B5574" s="22" t="s">
        <v>33</v>
      </c>
      <c r="C5574" s="22" t="s">
        <v>44</v>
      </c>
      <c r="D5574" s="22" t="s">
        <v>4569</v>
      </c>
      <c r="E5574" s="24" t="s">
        <v>868</v>
      </c>
      <c r="F5574" s="22" t="s">
        <v>3438</v>
      </c>
      <c r="G5574" s="25">
        <v>7224.3999999999987</v>
      </c>
      <c r="H5574" s="22" t="s">
        <v>24</v>
      </c>
      <c r="I5574" s="22">
        <v>1</v>
      </c>
      <c r="J5574" s="22" t="s">
        <v>3438</v>
      </c>
      <c r="K5574" s="22" t="s">
        <v>93</v>
      </c>
      <c r="L5574" s="22">
        <v>0</v>
      </c>
      <c r="M5574" s="26">
        <v>800000</v>
      </c>
      <c r="N5574" s="26">
        <v>0</v>
      </c>
      <c r="O5574" s="15">
        <f t="shared" si="479"/>
        <v>800000</v>
      </c>
      <c r="P5574" s="15">
        <f t="shared" si="478"/>
        <v>110.7358396545042</v>
      </c>
      <c r="Q5574" s="25">
        <v>20000</v>
      </c>
      <c r="R5574" s="22">
        <v>36</v>
      </c>
      <c r="S5574" s="22" t="s">
        <v>6737</v>
      </c>
      <c r="T5574" s="22">
        <f t="shared" si="473"/>
        <v>10</v>
      </c>
      <c r="U5574" s="22">
        <f t="shared" si="474"/>
        <v>2022</v>
      </c>
      <c r="V5574" s="22" t="str">
        <f t="shared" si="475"/>
        <v>REGIONES</v>
      </c>
    </row>
    <row r="5575" spans="1:22" x14ac:dyDescent="0.2">
      <c r="A5575" s="23" t="s">
        <v>6728</v>
      </c>
      <c r="B5575" s="22" t="s">
        <v>33</v>
      </c>
      <c r="C5575" s="22" t="s">
        <v>44</v>
      </c>
      <c r="D5575" s="22" t="s">
        <v>45</v>
      </c>
      <c r="E5575" s="24" t="s">
        <v>52</v>
      </c>
      <c r="F5575" s="22" t="s">
        <v>554</v>
      </c>
      <c r="G5575" s="25">
        <v>2643.03</v>
      </c>
      <c r="H5575" s="22" t="s">
        <v>22</v>
      </c>
      <c r="I5575" s="22">
        <v>0</v>
      </c>
      <c r="J5575" s="22" t="s">
        <v>554</v>
      </c>
      <c r="K5575" s="22" t="s">
        <v>23</v>
      </c>
      <c r="L5575" s="22">
        <v>4</v>
      </c>
      <c r="M5575" s="26">
        <v>55000</v>
      </c>
      <c r="N5575" s="26">
        <v>0</v>
      </c>
      <c r="O5575" s="15">
        <f t="shared" si="479"/>
        <v>55000</v>
      </c>
      <c r="P5575" s="15">
        <f t="shared" si="478"/>
        <v>20.809449760312972</v>
      </c>
      <c r="Q5575" s="25">
        <v>5000</v>
      </c>
      <c r="R5575" s="22">
        <v>53</v>
      </c>
      <c r="S5575" s="22" t="s">
        <v>6738</v>
      </c>
      <c r="T5575" s="22">
        <f t="shared" ref="T5575:T5638" si="480">MONTH(A5575)</f>
        <v>10</v>
      </c>
      <c r="U5575" s="22">
        <f t="shared" ref="U5575:U5638" si="481">YEAR(A5575)</f>
        <v>2022</v>
      </c>
      <c r="V5575" s="22" t="str">
        <f t="shared" ref="V5575:V5638" si="482">IF(K5575="METROPOLITANA DE SANTIAGO","METROPOLITANA","REGIONES")</f>
        <v>METROPOLITANA</v>
      </c>
    </row>
    <row r="5576" spans="1:22" x14ac:dyDescent="0.2">
      <c r="A5576" s="11" t="s">
        <v>6740</v>
      </c>
      <c r="B5576" s="12" t="s">
        <v>18</v>
      </c>
      <c r="C5576" s="12" t="s">
        <v>19</v>
      </c>
      <c r="D5576" s="12" t="s">
        <v>38</v>
      </c>
      <c r="E5576" s="13" t="s">
        <v>42</v>
      </c>
      <c r="F5576" s="12" t="s">
        <v>51</v>
      </c>
      <c r="G5576" s="14">
        <v>15866.04</v>
      </c>
      <c r="H5576" s="12" t="s">
        <v>43</v>
      </c>
      <c r="I5576" s="12">
        <v>0</v>
      </c>
      <c r="J5576" s="12" t="s">
        <v>51</v>
      </c>
      <c r="K5576" s="12" t="s">
        <v>23</v>
      </c>
      <c r="L5576" s="12">
        <v>4</v>
      </c>
      <c r="M5576" s="15">
        <v>174526</v>
      </c>
      <c r="N5576" s="15">
        <v>0</v>
      </c>
      <c r="O5576" s="15">
        <f t="shared" si="479"/>
        <v>174526</v>
      </c>
      <c r="P5576" s="15">
        <f t="shared" si="478"/>
        <v>10.999972267812257</v>
      </c>
      <c r="Q5576" s="14">
        <v>5000</v>
      </c>
      <c r="R5576" s="12">
        <v>100</v>
      </c>
      <c r="S5576" s="12" t="s">
        <v>6741</v>
      </c>
      <c r="T5576" s="22">
        <f t="shared" si="480"/>
        <v>10</v>
      </c>
      <c r="U5576" s="22">
        <f t="shared" si="481"/>
        <v>2022</v>
      </c>
      <c r="V5576" s="22" t="str">
        <f t="shared" si="482"/>
        <v>METROPOLITANA</v>
      </c>
    </row>
    <row r="5577" spans="1:22" x14ac:dyDescent="0.2">
      <c r="A5577" s="11" t="s">
        <v>6740</v>
      </c>
      <c r="B5577" s="12" t="s">
        <v>18</v>
      </c>
      <c r="C5577" s="12" t="s">
        <v>19</v>
      </c>
      <c r="D5577" s="12" t="s">
        <v>41</v>
      </c>
      <c r="E5577" s="13" t="s">
        <v>25</v>
      </c>
      <c r="F5577" s="12" t="s">
        <v>51</v>
      </c>
      <c r="G5577" s="14">
        <v>18097.080000000002</v>
      </c>
      <c r="H5577" s="12" t="s">
        <v>43</v>
      </c>
      <c r="I5577" s="12">
        <v>0</v>
      </c>
      <c r="J5577" s="12" t="s">
        <v>51</v>
      </c>
      <c r="K5577" s="12" t="s">
        <v>23</v>
      </c>
      <c r="L5577" s="12">
        <v>4</v>
      </c>
      <c r="M5577" s="15">
        <v>199068</v>
      </c>
      <c r="N5577" s="15">
        <v>0</v>
      </c>
      <c r="O5577" s="15">
        <f t="shared" si="479"/>
        <v>199068</v>
      </c>
      <c r="P5577" s="15">
        <f t="shared" si="478"/>
        <v>11.000006630903989</v>
      </c>
      <c r="Q5577" s="14">
        <v>5000</v>
      </c>
      <c r="R5577" s="12">
        <v>100</v>
      </c>
      <c r="S5577" s="12" t="s">
        <v>6742</v>
      </c>
      <c r="T5577" s="22">
        <f t="shared" si="480"/>
        <v>10</v>
      </c>
      <c r="U5577" s="22">
        <f t="shared" si="481"/>
        <v>2022</v>
      </c>
      <c r="V5577" s="22" t="str">
        <f t="shared" si="482"/>
        <v>METROPOLITANA</v>
      </c>
    </row>
    <row r="5578" spans="1:22" x14ac:dyDescent="0.2">
      <c r="A5578" s="11" t="s">
        <v>6740</v>
      </c>
      <c r="B5578" s="12" t="s">
        <v>33</v>
      </c>
      <c r="C5578" s="12" t="s">
        <v>36</v>
      </c>
      <c r="D5578" s="12" t="s">
        <v>6743</v>
      </c>
      <c r="E5578" s="13" t="s">
        <v>6744</v>
      </c>
      <c r="F5578" s="12" t="s">
        <v>815</v>
      </c>
      <c r="G5578" s="14">
        <f>5236.1+3199</f>
        <v>8435.1</v>
      </c>
      <c r="H5578" s="12" t="s">
        <v>24</v>
      </c>
      <c r="I5578" s="12">
        <v>1</v>
      </c>
      <c r="J5578" s="12" t="s">
        <v>815</v>
      </c>
      <c r="K5578" s="12" t="s">
        <v>75</v>
      </c>
      <c r="L5578" s="12">
        <v>0</v>
      </c>
      <c r="M5578" s="15">
        <v>460000</v>
      </c>
      <c r="N5578" s="15">
        <v>0</v>
      </c>
      <c r="O5578" s="15">
        <f t="shared" si="479"/>
        <v>460000</v>
      </c>
      <c r="P5578" s="15">
        <f t="shared" si="478"/>
        <v>54.534030420504791</v>
      </c>
      <c r="Q5578" s="14">
        <v>20000</v>
      </c>
      <c r="R5578" s="12">
        <v>55</v>
      </c>
      <c r="S5578" s="12" t="s">
        <v>6752</v>
      </c>
      <c r="T5578" s="22">
        <f t="shared" si="480"/>
        <v>10</v>
      </c>
      <c r="U5578" s="22">
        <f t="shared" si="481"/>
        <v>2022</v>
      </c>
      <c r="V5578" s="22" t="str">
        <f t="shared" si="482"/>
        <v>REGIONES</v>
      </c>
    </row>
    <row r="5579" spans="1:22" x14ac:dyDescent="0.2">
      <c r="A5579" s="11" t="s">
        <v>6740</v>
      </c>
      <c r="B5579" s="12" t="s">
        <v>33</v>
      </c>
      <c r="C5579" s="12" t="s">
        <v>29</v>
      </c>
      <c r="D5579" s="12" t="s">
        <v>130</v>
      </c>
      <c r="E5579" s="13" t="s">
        <v>6654</v>
      </c>
      <c r="F5579" s="12" t="s">
        <v>66</v>
      </c>
      <c r="G5579" s="14">
        <v>8244.0000000000036</v>
      </c>
      <c r="H5579" s="12" t="s">
        <v>85</v>
      </c>
      <c r="I5579" s="12">
        <v>1</v>
      </c>
      <c r="J5579" s="12" t="s">
        <v>66</v>
      </c>
      <c r="K5579" s="12" t="s">
        <v>75</v>
      </c>
      <c r="L5579" s="12">
        <v>0</v>
      </c>
      <c r="M5579" s="15">
        <v>430000</v>
      </c>
      <c r="N5579" s="15">
        <v>0</v>
      </c>
      <c r="O5579" s="15">
        <f t="shared" si="479"/>
        <v>430000</v>
      </c>
      <c r="P5579" s="15">
        <f t="shared" si="478"/>
        <v>52.159146045608907</v>
      </c>
      <c r="Q5579" s="14">
        <v>20000</v>
      </c>
      <c r="R5579" s="12">
        <v>41</v>
      </c>
      <c r="S5579" s="12" t="s">
        <v>6745</v>
      </c>
      <c r="T5579" s="22">
        <f t="shared" si="480"/>
        <v>10</v>
      </c>
      <c r="U5579" s="22">
        <f t="shared" si="481"/>
        <v>2022</v>
      </c>
      <c r="V5579" s="22" t="str">
        <f t="shared" si="482"/>
        <v>REGIONES</v>
      </c>
    </row>
    <row r="5580" spans="1:22" x14ac:dyDescent="0.2">
      <c r="A5580" s="11" t="s">
        <v>6740</v>
      </c>
      <c r="B5580" s="12" t="s">
        <v>33</v>
      </c>
      <c r="C5580" s="12" t="s">
        <v>29</v>
      </c>
      <c r="D5580" s="12" t="s">
        <v>5478</v>
      </c>
      <c r="E5580" s="13" t="s">
        <v>83</v>
      </c>
      <c r="F5580" s="12" t="s">
        <v>66</v>
      </c>
      <c r="G5580" s="14">
        <v>9504.0000000000091</v>
      </c>
      <c r="H5580" s="12" t="s">
        <v>24</v>
      </c>
      <c r="I5580" s="12">
        <v>1</v>
      </c>
      <c r="J5580" s="12" t="s">
        <v>66</v>
      </c>
      <c r="K5580" s="12" t="s">
        <v>75</v>
      </c>
      <c r="L5580" s="12">
        <v>0</v>
      </c>
      <c r="M5580" s="15">
        <v>430000</v>
      </c>
      <c r="N5580" s="15">
        <v>0</v>
      </c>
      <c r="O5580" s="15">
        <f t="shared" si="479"/>
        <v>430000</v>
      </c>
      <c r="P5580" s="15">
        <f t="shared" si="478"/>
        <v>45.244107744107701</v>
      </c>
      <c r="Q5580" s="14">
        <v>20000</v>
      </c>
      <c r="R5580" s="12">
        <v>48</v>
      </c>
      <c r="S5580" s="12" t="s">
        <v>6746</v>
      </c>
      <c r="T5580" s="22">
        <f t="shared" si="480"/>
        <v>10</v>
      </c>
      <c r="U5580" s="22">
        <f t="shared" si="481"/>
        <v>2022</v>
      </c>
      <c r="V5580" s="22" t="str">
        <f t="shared" si="482"/>
        <v>REGIONES</v>
      </c>
    </row>
    <row r="5581" spans="1:22" x14ac:dyDescent="0.2">
      <c r="A5581" s="11" t="s">
        <v>6740</v>
      </c>
      <c r="B5581" s="12" t="s">
        <v>33</v>
      </c>
      <c r="C5581" s="12" t="s">
        <v>29</v>
      </c>
      <c r="D5581" s="12" t="s">
        <v>37</v>
      </c>
      <c r="E5581" s="13" t="s">
        <v>40</v>
      </c>
      <c r="F5581" s="12" t="s">
        <v>39</v>
      </c>
      <c r="G5581" s="14">
        <v>6376.5</v>
      </c>
      <c r="H5581" s="12" t="s">
        <v>22</v>
      </c>
      <c r="I5581" s="12">
        <v>0</v>
      </c>
      <c r="J5581" s="12" t="s">
        <v>39</v>
      </c>
      <c r="K5581" s="12" t="s">
        <v>23</v>
      </c>
      <c r="L5581" s="12">
        <v>1</v>
      </c>
      <c r="M5581" s="15">
        <v>70142</v>
      </c>
      <c r="N5581" s="15">
        <v>0</v>
      </c>
      <c r="O5581" s="15">
        <f t="shared" si="479"/>
        <v>70142</v>
      </c>
      <c r="P5581" s="15">
        <f t="shared" si="478"/>
        <v>11.00007841292245</v>
      </c>
      <c r="Q5581" s="14">
        <v>5000</v>
      </c>
      <c r="R5581" s="12">
        <v>100</v>
      </c>
      <c r="S5581" s="12" t="s">
        <v>6747</v>
      </c>
      <c r="T5581" s="22">
        <f t="shared" si="480"/>
        <v>10</v>
      </c>
      <c r="U5581" s="22">
        <f t="shared" si="481"/>
        <v>2022</v>
      </c>
      <c r="V5581" s="22" t="str">
        <f t="shared" si="482"/>
        <v>METROPOLITANA</v>
      </c>
    </row>
    <row r="5582" spans="1:22" x14ac:dyDescent="0.2">
      <c r="A5582" s="11" t="s">
        <v>6740</v>
      </c>
      <c r="B5582" s="12" t="s">
        <v>33</v>
      </c>
      <c r="C5582" s="12" t="s">
        <v>29</v>
      </c>
      <c r="D5582" s="12" t="s">
        <v>164</v>
      </c>
      <c r="E5582" s="13" t="s">
        <v>1576</v>
      </c>
      <c r="F5582" s="12" t="s">
        <v>39</v>
      </c>
      <c r="G5582" s="14">
        <v>18756.91</v>
      </c>
      <c r="H5582" s="12" t="s">
        <v>22</v>
      </c>
      <c r="I5582" s="12">
        <v>1</v>
      </c>
      <c r="J5582" s="12" t="s">
        <v>39</v>
      </c>
      <c r="K5582" s="12" t="s">
        <v>23</v>
      </c>
      <c r="L5582" s="12">
        <v>1</v>
      </c>
      <c r="M5582" s="15">
        <v>206326</v>
      </c>
      <c r="N5582" s="15">
        <v>0</v>
      </c>
      <c r="O5582" s="15">
        <f t="shared" si="479"/>
        <v>206326</v>
      </c>
      <c r="P5582" s="15">
        <f t="shared" si="478"/>
        <v>10.999999466863146</v>
      </c>
      <c r="Q5582" s="14">
        <v>5000</v>
      </c>
      <c r="R5582" s="12">
        <v>100</v>
      </c>
      <c r="S5582" s="12" t="s">
        <v>6748</v>
      </c>
      <c r="T5582" s="22">
        <f t="shared" si="480"/>
        <v>10</v>
      </c>
      <c r="U5582" s="22">
        <f t="shared" si="481"/>
        <v>2022</v>
      </c>
      <c r="V5582" s="22" t="str">
        <f t="shared" si="482"/>
        <v>METROPOLITANA</v>
      </c>
    </row>
    <row r="5583" spans="1:22" x14ac:dyDescent="0.2">
      <c r="A5583" s="11" t="s">
        <v>6740</v>
      </c>
      <c r="B5583" s="12" t="s">
        <v>33</v>
      </c>
      <c r="C5583" s="12" t="s">
        <v>44</v>
      </c>
      <c r="D5583" s="12" t="s">
        <v>45</v>
      </c>
      <c r="E5583" s="13" t="s">
        <v>52</v>
      </c>
      <c r="F5583" s="12" t="s">
        <v>138</v>
      </c>
      <c r="G5583" s="14">
        <v>3314.4</v>
      </c>
      <c r="H5583" s="12" t="s">
        <v>22</v>
      </c>
      <c r="I5583" s="12">
        <v>0</v>
      </c>
      <c r="J5583" s="12" t="s">
        <v>138</v>
      </c>
      <c r="K5583" s="12" t="s">
        <v>23</v>
      </c>
      <c r="L5583" s="12">
        <v>3</v>
      </c>
      <c r="M5583" s="15">
        <v>55000</v>
      </c>
      <c r="N5583" s="15">
        <v>0</v>
      </c>
      <c r="O5583" s="15">
        <f t="shared" si="479"/>
        <v>55000</v>
      </c>
      <c r="P5583" s="15">
        <f t="shared" si="478"/>
        <v>16.594255370504467</v>
      </c>
      <c r="Q5583" s="14">
        <v>5000</v>
      </c>
      <c r="R5583" s="12">
        <v>66</v>
      </c>
      <c r="S5583" s="12" t="s">
        <v>6749</v>
      </c>
      <c r="T5583" s="22">
        <f t="shared" si="480"/>
        <v>10</v>
      </c>
      <c r="U5583" s="22">
        <f t="shared" si="481"/>
        <v>2022</v>
      </c>
      <c r="V5583" s="22" t="str">
        <f t="shared" si="482"/>
        <v>METROPOLITANA</v>
      </c>
    </row>
    <row r="5584" spans="1:22" x14ac:dyDescent="0.2">
      <c r="A5584" s="11" t="s">
        <v>6740</v>
      </c>
      <c r="B5584" s="12" t="s">
        <v>33</v>
      </c>
      <c r="C5584" s="12" t="s">
        <v>44</v>
      </c>
      <c r="D5584" s="12" t="s">
        <v>47</v>
      </c>
      <c r="E5584" s="13" t="s">
        <v>49</v>
      </c>
      <c r="F5584" s="12" t="s">
        <v>94</v>
      </c>
      <c r="G5584" s="14">
        <v>4107.38</v>
      </c>
      <c r="H5584" s="12" t="s">
        <v>22</v>
      </c>
      <c r="I5584" s="12">
        <v>0</v>
      </c>
      <c r="J5584" s="12" t="s">
        <v>59</v>
      </c>
      <c r="K5584" s="12" t="s">
        <v>78</v>
      </c>
      <c r="L5584" s="12">
        <v>0</v>
      </c>
      <c r="M5584" s="15">
        <v>203000</v>
      </c>
      <c r="N5584" s="15">
        <v>0</v>
      </c>
      <c r="O5584" s="15">
        <f t="shared" si="479"/>
        <v>203000</v>
      </c>
      <c r="P5584" s="15">
        <f t="shared" si="478"/>
        <v>49.423233302007603</v>
      </c>
      <c r="Q5584" s="14">
        <v>20000</v>
      </c>
      <c r="R5584" s="12">
        <v>21</v>
      </c>
      <c r="S5584" s="12" t="s">
        <v>6750</v>
      </c>
      <c r="T5584" s="22">
        <f t="shared" si="480"/>
        <v>10</v>
      </c>
      <c r="U5584" s="22">
        <f t="shared" si="481"/>
        <v>2022</v>
      </c>
      <c r="V5584" s="22" t="str">
        <f t="shared" si="482"/>
        <v>REGIONES</v>
      </c>
    </row>
    <row r="5585" spans="1:22" x14ac:dyDescent="0.2">
      <c r="A5585" s="11" t="s">
        <v>6740</v>
      </c>
      <c r="B5585" s="12" t="s">
        <v>33</v>
      </c>
      <c r="C5585" s="12" t="s">
        <v>44</v>
      </c>
      <c r="D5585" s="12" t="s">
        <v>20</v>
      </c>
      <c r="E5585" s="13" t="s">
        <v>21</v>
      </c>
      <c r="F5585" s="12" t="s">
        <v>46</v>
      </c>
      <c r="G5585" s="14">
        <v>3208.21</v>
      </c>
      <c r="H5585" s="12" t="s">
        <v>22</v>
      </c>
      <c r="I5585" s="12">
        <v>0</v>
      </c>
      <c r="J5585" s="12" t="s">
        <v>46</v>
      </c>
      <c r="K5585" s="12" t="s">
        <v>23</v>
      </c>
      <c r="L5585" s="12">
        <v>2</v>
      </c>
      <c r="M5585" s="15">
        <v>55000</v>
      </c>
      <c r="N5585" s="15">
        <v>0</v>
      </c>
      <c r="O5585" s="15">
        <f t="shared" si="479"/>
        <v>55000</v>
      </c>
      <c r="P5585" s="15">
        <f t="shared" si="478"/>
        <v>17.143516166335743</v>
      </c>
      <c r="Q5585" s="14">
        <v>5000</v>
      </c>
      <c r="R5585" s="12">
        <v>64</v>
      </c>
      <c r="S5585" s="12" t="s">
        <v>6751</v>
      </c>
      <c r="T5585" s="22">
        <f t="shared" si="480"/>
        <v>10</v>
      </c>
      <c r="U5585" s="22">
        <f t="shared" si="481"/>
        <v>2022</v>
      </c>
      <c r="V5585" s="22" t="str">
        <f t="shared" si="482"/>
        <v>METROPOLITANA</v>
      </c>
    </row>
    <row r="5586" spans="1:22" x14ac:dyDescent="0.2">
      <c r="A5586" s="23" t="s">
        <v>6753</v>
      </c>
      <c r="B5586" s="22" t="s">
        <v>33</v>
      </c>
      <c r="C5586" s="22" t="s">
        <v>128</v>
      </c>
      <c r="D5586" s="22" t="s">
        <v>786</v>
      </c>
      <c r="E5586" s="24" t="s">
        <v>787</v>
      </c>
      <c r="F5586" s="22" t="s">
        <v>129</v>
      </c>
      <c r="G5586" s="25">
        <v>8887.92</v>
      </c>
      <c r="H5586" s="22" t="s">
        <v>788</v>
      </c>
      <c r="I5586" s="22">
        <v>1</v>
      </c>
      <c r="J5586" s="22" t="s">
        <v>129</v>
      </c>
      <c r="K5586" s="22" t="s">
        <v>23</v>
      </c>
      <c r="L5586" s="22">
        <v>1</v>
      </c>
      <c r="M5586" s="26">
        <v>97767</v>
      </c>
      <c r="N5586" s="26">
        <v>0</v>
      </c>
      <c r="O5586" s="15">
        <f t="shared" si="479"/>
        <v>97767</v>
      </c>
      <c r="P5586" s="15">
        <f t="shared" si="478"/>
        <v>10.99998649852834</v>
      </c>
      <c r="Q5586" s="25">
        <v>5000</v>
      </c>
      <c r="R5586" s="22">
        <v>100</v>
      </c>
      <c r="S5586" s="22" t="s">
        <v>6754</v>
      </c>
      <c r="T5586" s="22">
        <f t="shared" si="480"/>
        <v>10</v>
      </c>
      <c r="U5586" s="22">
        <f t="shared" si="481"/>
        <v>2022</v>
      </c>
      <c r="V5586" s="22" t="str">
        <f t="shared" si="482"/>
        <v>METROPOLITANA</v>
      </c>
    </row>
    <row r="5587" spans="1:22" x14ac:dyDescent="0.2">
      <c r="A5587" s="23" t="s">
        <v>6753</v>
      </c>
      <c r="B5587" s="22" t="s">
        <v>33</v>
      </c>
      <c r="C5587" s="22" t="s">
        <v>417</v>
      </c>
      <c r="D5587" s="22" t="s">
        <v>2955</v>
      </c>
      <c r="E5587" s="24" t="s">
        <v>2956</v>
      </c>
      <c r="F5587" s="22" t="s">
        <v>418</v>
      </c>
      <c r="G5587" s="25">
        <v>10773.93</v>
      </c>
      <c r="H5587" s="22" t="s">
        <v>24</v>
      </c>
      <c r="I5587" s="22">
        <v>1</v>
      </c>
      <c r="J5587" s="22" t="s">
        <v>418</v>
      </c>
      <c r="K5587" s="22" t="s">
        <v>171</v>
      </c>
      <c r="L5587" s="22">
        <v>0</v>
      </c>
      <c r="M5587" s="26">
        <v>280000</v>
      </c>
      <c r="N5587" s="26">
        <v>0</v>
      </c>
      <c r="O5587" s="15">
        <f t="shared" si="479"/>
        <v>280000</v>
      </c>
      <c r="P5587" s="15">
        <f t="shared" si="478"/>
        <v>25.988659662722888</v>
      </c>
      <c r="Q5587" s="25">
        <v>20000</v>
      </c>
      <c r="R5587" s="22">
        <v>54</v>
      </c>
      <c r="S5587" s="22" t="s">
        <v>6755</v>
      </c>
      <c r="T5587" s="22">
        <f t="shared" si="480"/>
        <v>10</v>
      </c>
      <c r="U5587" s="22">
        <f t="shared" si="481"/>
        <v>2022</v>
      </c>
      <c r="V5587" s="22" t="str">
        <f t="shared" si="482"/>
        <v>REGIONES</v>
      </c>
    </row>
    <row r="5588" spans="1:22" x14ac:dyDescent="0.2">
      <c r="A5588" s="23" t="s">
        <v>6753</v>
      </c>
      <c r="B5588" s="22" t="s">
        <v>33</v>
      </c>
      <c r="C5588" s="22" t="s">
        <v>909</v>
      </c>
      <c r="D5588" s="22" t="s">
        <v>20</v>
      </c>
      <c r="E5588" s="24" t="s">
        <v>21</v>
      </c>
      <c r="F5588" s="22" t="s">
        <v>129</v>
      </c>
      <c r="G5588" s="25">
        <v>8409.5199999999986</v>
      </c>
      <c r="H5588" s="22" t="s">
        <v>22</v>
      </c>
      <c r="I5588" s="22">
        <v>0</v>
      </c>
      <c r="J5588" s="22" t="s">
        <v>129</v>
      </c>
      <c r="K5588" s="22" t="s">
        <v>23</v>
      </c>
      <c r="L5588" s="22">
        <v>1</v>
      </c>
      <c r="M5588" s="26">
        <v>92505</v>
      </c>
      <c r="N5588" s="26">
        <v>0</v>
      </c>
      <c r="O5588" s="15">
        <f t="shared" si="479"/>
        <v>92505</v>
      </c>
      <c r="P5588" s="15">
        <f t="shared" si="478"/>
        <v>11.000033295598323</v>
      </c>
      <c r="Q5588" s="25">
        <v>5000</v>
      </c>
      <c r="R5588" s="22">
        <v>100</v>
      </c>
      <c r="S5588" s="22" t="s">
        <v>6756</v>
      </c>
      <c r="T5588" s="22">
        <f t="shared" si="480"/>
        <v>10</v>
      </c>
      <c r="U5588" s="22">
        <f t="shared" si="481"/>
        <v>2022</v>
      </c>
      <c r="V5588" s="22" t="str">
        <f t="shared" si="482"/>
        <v>METROPOLITANA</v>
      </c>
    </row>
    <row r="5589" spans="1:22" x14ac:dyDescent="0.2">
      <c r="A5589" s="23" t="s">
        <v>6753</v>
      </c>
      <c r="B5589" s="22" t="s">
        <v>33</v>
      </c>
      <c r="C5589" s="22" t="s">
        <v>29</v>
      </c>
      <c r="D5589" s="22" t="s">
        <v>38</v>
      </c>
      <c r="E5589" s="24" t="s">
        <v>42</v>
      </c>
      <c r="F5589" s="22" t="s">
        <v>39</v>
      </c>
      <c r="G5589" s="25">
        <v>11176.4</v>
      </c>
      <c r="H5589" s="22" t="s">
        <v>43</v>
      </c>
      <c r="I5589" s="22">
        <v>0</v>
      </c>
      <c r="J5589" s="22" t="s">
        <v>39</v>
      </c>
      <c r="K5589" s="22" t="s">
        <v>23</v>
      </c>
      <c r="L5589" s="22">
        <v>1</v>
      </c>
      <c r="M5589" s="26">
        <v>122940</v>
      </c>
      <c r="N5589" s="26">
        <v>0</v>
      </c>
      <c r="O5589" s="15">
        <f t="shared" si="479"/>
        <v>122940</v>
      </c>
      <c r="P5589" s="15">
        <f t="shared" si="478"/>
        <v>10.999964210300275</v>
      </c>
      <c r="Q5589" s="25">
        <v>5000</v>
      </c>
      <c r="R5589" s="22">
        <v>100</v>
      </c>
      <c r="S5589" s="22" t="s">
        <v>6757</v>
      </c>
      <c r="T5589" s="22">
        <f t="shared" si="480"/>
        <v>10</v>
      </c>
      <c r="U5589" s="22">
        <f t="shared" si="481"/>
        <v>2022</v>
      </c>
      <c r="V5589" s="22" t="str">
        <f t="shared" si="482"/>
        <v>METROPOLITANA</v>
      </c>
    </row>
    <row r="5590" spans="1:22" x14ac:dyDescent="0.2">
      <c r="A5590" s="23" t="s">
        <v>6753</v>
      </c>
      <c r="B5590" s="22" t="s">
        <v>33</v>
      </c>
      <c r="C5590" s="22" t="s">
        <v>29</v>
      </c>
      <c r="D5590" s="22" t="s">
        <v>3842</v>
      </c>
      <c r="E5590" s="24" t="s">
        <v>4359</v>
      </c>
      <c r="F5590" s="22" t="s">
        <v>66</v>
      </c>
      <c r="G5590" s="25">
        <v>6528.5999999999976</v>
      </c>
      <c r="H5590" s="22" t="s">
        <v>24</v>
      </c>
      <c r="I5590" s="22">
        <v>1</v>
      </c>
      <c r="J5590" s="22" t="s">
        <v>66</v>
      </c>
      <c r="K5590" s="22" t="s">
        <v>75</v>
      </c>
      <c r="L5590" s="22">
        <v>0</v>
      </c>
      <c r="M5590" s="26">
        <v>430000</v>
      </c>
      <c r="N5590" s="26">
        <v>0</v>
      </c>
      <c r="O5590" s="15">
        <f t="shared" si="479"/>
        <v>430000</v>
      </c>
      <c r="P5590" s="15">
        <f t="shared" si="478"/>
        <v>65.864044358668039</v>
      </c>
      <c r="Q5590" s="25">
        <v>20000</v>
      </c>
      <c r="R5590" s="22">
        <v>33</v>
      </c>
      <c r="S5590" s="22" t="s">
        <v>6758</v>
      </c>
      <c r="T5590" s="22">
        <f t="shared" si="480"/>
        <v>10</v>
      </c>
      <c r="U5590" s="22">
        <f t="shared" si="481"/>
        <v>2022</v>
      </c>
      <c r="V5590" s="22" t="str">
        <f t="shared" si="482"/>
        <v>REGIONES</v>
      </c>
    </row>
    <row r="5591" spans="1:22" x14ac:dyDescent="0.2">
      <c r="A5591" s="23" t="s">
        <v>6753</v>
      </c>
      <c r="B5591" s="22" t="s">
        <v>33</v>
      </c>
      <c r="C5591" s="22" t="s">
        <v>29</v>
      </c>
      <c r="D5591" s="22" t="s">
        <v>6759</v>
      </c>
      <c r="E5591" s="24" t="s">
        <v>6760</v>
      </c>
      <c r="F5591" s="22" t="s">
        <v>66</v>
      </c>
      <c r="G5591" s="25">
        <v>8244.0000000000036</v>
      </c>
      <c r="H5591" s="22" t="s">
        <v>24</v>
      </c>
      <c r="I5591" s="22">
        <v>1</v>
      </c>
      <c r="J5591" s="22" t="s">
        <v>66</v>
      </c>
      <c r="K5591" s="22" t="s">
        <v>75</v>
      </c>
      <c r="L5591" s="22">
        <v>0</v>
      </c>
      <c r="M5591" s="26">
        <v>430000</v>
      </c>
      <c r="N5591" s="26">
        <v>0</v>
      </c>
      <c r="O5591" s="15">
        <f t="shared" si="479"/>
        <v>430000</v>
      </c>
      <c r="P5591" s="15">
        <f t="shared" si="478"/>
        <v>52.159146045608907</v>
      </c>
      <c r="Q5591" s="25">
        <v>20000</v>
      </c>
      <c r="R5591" s="22">
        <v>41</v>
      </c>
      <c r="S5591" s="22" t="s">
        <v>6761</v>
      </c>
      <c r="T5591" s="22">
        <f t="shared" si="480"/>
        <v>10</v>
      </c>
      <c r="U5591" s="22">
        <f t="shared" si="481"/>
        <v>2022</v>
      </c>
      <c r="V5591" s="22" t="str">
        <f t="shared" si="482"/>
        <v>REGIONES</v>
      </c>
    </row>
    <row r="5592" spans="1:22" x14ac:dyDescent="0.2">
      <c r="A5592" s="23" t="s">
        <v>6753</v>
      </c>
      <c r="B5592" s="22" t="s">
        <v>33</v>
      </c>
      <c r="C5592" s="22" t="s">
        <v>29</v>
      </c>
      <c r="D5592" s="22" t="s">
        <v>30</v>
      </c>
      <c r="E5592" s="24" t="s">
        <v>31</v>
      </c>
      <c r="F5592" s="22" t="s">
        <v>173</v>
      </c>
      <c r="G5592" s="25">
        <v>10256.5</v>
      </c>
      <c r="H5592" s="22" t="s">
        <v>32</v>
      </c>
      <c r="I5592" s="22">
        <v>0</v>
      </c>
      <c r="J5592" s="22" t="s">
        <v>173</v>
      </c>
      <c r="K5592" s="22" t="s">
        <v>23</v>
      </c>
      <c r="L5592" s="22">
        <v>5</v>
      </c>
      <c r="M5592" s="26">
        <v>90000</v>
      </c>
      <c r="N5592" s="26">
        <v>0</v>
      </c>
      <c r="O5592" s="15">
        <f t="shared" si="479"/>
        <v>90000</v>
      </c>
      <c r="P5592" s="15">
        <f t="shared" si="478"/>
        <v>8.7749232194218294</v>
      </c>
      <c r="Q5592" s="25">
        <v>10000</v>
      </c>
      <c r="R5592" s="22">
        <v>100</v>
      </c>
      <c r="S5592" s="22" t="s">
        <v>6762</v>
      </c>
      <c r="T5592" s="22">
        <f t="shared" si="480"/>
        <v>10</v>
      </c>
      <c r="U5592" s="22">
        <f t="shared" si="481"/>
        <v>2022</v>
      </c>
      <c r="V5592" s="22" t="str">
        <f t="shared" si="482"/>
        <v>METROPOLITANA</v>
      </c>
    </row>
    <row r="5593" spans="1:22" x14ac:dyDescent="0.2">
      <c r="A5593" s="23" t="s">
        <v>6753</v>
      </c>
      <c r="B5593" s="22" t="s">
        <v>33</v>
      </c>
      <c r="C5593" s="22" t="s">
        <v>44</v>
      </c>
      <c r="D5593" s="22" t="s">
        <v>37</v>
      </c>
      <c r="E5593" s="24" t="s">
        <v>40</v>
      </c>
      <c r="F5593" s="22" t="s">
        <v>48</v>
      </c>
      <c r="G5593" s="25">
        <v>14327.8</v>
      </c>
      <c r="H5593" s="22" t="s">
        <v>22</v>
      </c>
      <c r="I5593" s="22">
        <v>0</v>
      </c>
      <c r="J5593" s="22" t="s">
        <v>48</v>
      </c>
      <c r="K5593" s="22" t="s">
        <v>23</v>
      </c>
      <c r="L5593" s="22">
        <v>1</v>
      </c>
      <c r="M5593" s="26">
        <v>157606</v>
      </c>
      <c r="N5593" s="26">
        <v>0</v>
      </c>
      <c r="O5593" s="15">
        <f t="shared" si="479"/>
        <v>157606</v>
      </c>
      <c r="P5593" s="15">
        <f t="shared" si="478"/>
        <v>11.000013958877149</v>
      </c>
      <c r="Q5593" s="25">
        <v>5000</v>
      </c>
      <c r="R5593" s="22">
        <v>100</v>
      </c>
      <c r="S5593" s="22" t="s">
        <v>6763</v>
      </c>
      <c r="T5593" s="22">
        <f t="shared" si="480"/>
        <v>10</v>
      </c>
      <c r="U5593" s="22">
        <f t="shared" si="481"/>
        <v>2022</v>
      </c>
      <c r="V5593" s="22" t="str">
        <f t="shared" si="482"/>
        <v>METROPOLITANA</v>
      </c>
    </row>
    <row r="5594" spans="1:22" x14ac:dyDescent="0.2">
      <c r="A5594" s="23" t="s">
        <v>6753</v>
      </c>
      <c r="B5594" s="22" t="s">
        <v>33</v>
      </c>
      <c r="C5594" s="22" t="s">
        <v>44</v>
      </c>
      <c r="D5594" s="22" t="s">
        <v>30</v>
      </c>
      <c r="E5594" s="24" t="s">
        <v>31</v>
      </c>
      <c r="F5594" s="22" t="s">
        <v>182</v>
      </c>
      <c r="G5594" s="25">
        <v>2674.32</v>
      </c>
      <c r="H5594" s="22" t="s">
        <v>32</v>
      </c>
      <c r="I5594" s="22">
        <v>0</v>
      </c>
      <c r="J5594" s="22" t="s">
        <v>182</v>
      </c>
      <c r="K5594" s="22" t="s">
        <v>23</v>
      </c>
      <c r="L5594" s="22">
        <v>4</v>
      </c>
      <c r="M5594" s="26">
        <v>55000</v>
      </c>
      <c r="N5594" s="26">
        <v>0</v>
      </c>
      <c r="O5594" s="15">
        <f t="shared" si="479"/>
        <v>55000</v>
      </c>
      <c r="P5594" s="15">
        <f t="shared" si="478"/>
        <v>20.56597564988483</v>
      </c>
      <c r="Q5594" s="25">
        <v>5000</v>
      </c>
      <c r="R5594" s="22">
        <v>53</v>
      </c>
      <c r="S5594" s="22" t="s">
        <v>6764</v>
      </c>
      <c r="T5594" s="22">
        <f t="shared" si="480"/>
        <v>10</v>
      </c>
      <c r="U5594" s="22">
        <f t="shared" si="481"/>
        <v>2022</v>
      </c>
      <c r="V5594" s="22" t="str">
        <f t="shared" si="482"/>
        <v>METROPOLITANA</v>
      </c>
    </row>
    <row r="5595" spans="1:22" x14ac:dyDescent="0.2">
      <c r="A5595" s="23" t="s">
        <v>6753</v>
      </c>
      <c r="B5595" s="22" t="s">
        <v>33</v>
      </c>
      <c r="C5595" s="22" t="s">
        <v>44</v>
      </c>
      <c r="D5595" s="22" t="s">
        <v>45</v>
      </c>
      <c r="E5595" s="24" t="s">
        <v>52</v>
      </c>
      <c r="F5595" s="22" t="s">
        <v>95</v>
      </c>
      <c r="G5595" s="25">
        <v>2675.34</v>
      </c>
      <c r="H5595" s="22" t="s">
        <v>22</v>
      </c>
      <c r="I5595" s="22">
        <v>0</v>
      </c>
      <c r="J5595" s="22" t="s">
        <v>95</v>
      </c>
      <c r="K5595" s="22" t="s">
        <v>23</v>
      </c>
      <c r="L5595" s="22">
        <v>4</v>
      </c>
      <c r="M5595" s="26">
        <v>55000</v>
      </c>
      <c r="N5595" s="26">
        <v>0</v>
      </c>
      <c r="O5595" s="15">
        <f t="shared" si="479"/>
        <v>55000</v>
      </c>
      <c r="P5595" s="15">
        <f t="shared" si="478"/>
        <v>20.558134666995596</v>
      </c>
      <c r="Q5595" s="25">
        <v>5000</v>
      </c>
      <c r="R5595" s="22">
        <v>54</v>
      </c>
      <c r="S5595" s="22" t="s">
        <v>6765</v>
      </c>
      <c r="T5595" s="22">
        <f t="shared" si="480"/>
        <v>10</v>
      </c>
      <c r="U5595" s="22">
        <f t="shared" si="481"/>
        <v>2022</v>
      </c>
      <c r="V5595" s="22" t="str">
        <f t="shared" si="482"/>
        <v>METROPOLITANA</v>
      </c>
    </row>
    <row r="5596" spans="1:22" x14ac:dyDescent="0.2">
      <c r="A5596" s="23" t="s">
        <v>6753</v>
      </c>
      <c r="B5596" s="22" t="s">
        <v>33</v>
      </c>
      <c r="C5596" s="22" t="s">
        <v>44</v>
      </c>
      <c r="D5596" s="22" t="s">
        <v>47</v>
      </c>
      <c r="E5596" s="24" t="s">
        <v>49</v>
      </c>
      <c r="F5596" s="22" t="s">
        <v>51</v>
      </c>
      <c r="G5596" s="25">
        <v>2534.0300000000002</v>
      </c>
      <c r="H5596" s="22" t="s">
        <v>22</v>
      </c>
      <c r="I5596" s="22">
        <v>0</v>
      </c>
      <c r="J5596" s="22" t="s">
        <v>51</v>
      </c>
      <c r="K5596" s="22" t="s">
        <v>23</v>
      </c>
      <c r="L5596" s="22">
        <v>4</v>
      </c>
      <c r="M5596" s="26">
        <v>55000</v>
      </c>
      <c r="N5596" s="26">
        <v>0</v>
      </c>
      <c r="O5596" s="15">
        <f t="shared" si="479"/>
        <v>55000</v>
      </c>
      <c r="P5596" s="15">
        <f t="shared" si="478"/>
        <v>21.704557562459797</v>
      </c>
      <c r="Q5596" s="25">
        <v>5000</v>
      </c>
      <c r="R5596" s="22">
        <v>51</v>
      </c>
      <c r="S5596" s="22" t="s">
        <v>6766</v>
      </c>
      <c r="T5596" s="22">
        <f t="shared" si="480"/>
        <v>10</v>
      </c>
      <c r="U5596" s="22">
        <f t="shared" si="481"/>
        <v>2022</v>
      </c>
      <c r="V5596" s="22" t="str">
        <f t="shared" si="482"/>
        <v>METROPOLITANA</v>
      </c>
    </row>
    <row r="5597" spans="1:22" x14ac:dyDescent="0.2">
      <c r="A5597" s="11" t="s">
        <v>6767</v>
      </c>
      <c r="B5597" s="12" t="s">
        <v>18</v>
      </c>
      <c r="C5597" s="12" t="s">
        <v>19</v>
      </c>
      <c r="D5597" s="12" t="s">
        <v>38</v>
      </c>
      <c r="E5597" s="13" t="s">
        <v>42</v>
      </c>
      <c r="F5597" s="12" t="s">
        <v>51</v>
      </c>
      <c r="G5597" s="14">
        <v>19411.639999999989</v>
      </c>
      <c r="H5597" s="12" t="s">
        <v>43</v>
      </c>
      <c r="I5597" s="12">
        <v>0</v>
      </c>
      <c r="J5597" s="12" t="s">
        <v>51</v>
      </c>
      <c r="K5597" s="12" t="s">
        <v>23</v>
      </c>
      <c r="L5597" s="12">
        <v>4</v>
      </c>
      <c r="M5597" s="15">
        <v>213528</v>
      </c>
      <c r="N5597" s="15">
        <v>0</v>
      </c>
      <c r="O5597" s="15">
        <f t="shared" si="479"/>
        <v>213528</v>
      </c>
      <c r="P5597" s="15">
        <f t="shared" si="478"/>
        <v>10.999997939380709</v>
      </c>
      <c r="Q5597" s="14">
        <v>5000</v>
      </c>
      <c r="R5597" s="12">
        <v>100</v>
      </c>
      <c r="S5597" s="12" t="s">
        <v>6768</v>
      </c>
      <c r="T5597" s="22">
        <f t="shared" si="480"/>
        <v>10</v>
      </c>
      <c r="U5597" s="22">
        <f t="shared" si="481"/>
        <v>2022</v>
      </c>
      <c r="V5597" s="22" t="str">
        <f t="shared" si="482"/>
        <v>METROPOLITANA</v>
      </c>
    </row>
    <row r="5598" spans="1:22" x14ac:dyDescent="0.2">
      <c r="A5598" s="11" t="s">
        <v>6767</v>
      </c>
      <c r="B5598" s="12" t="s">
        <v>33</v>
      </c>
      <c r="C5598" s="12" t="s">
        <v>128</v>
      </c>
      <c r="D5598" s="12" t="s">
        <v>30</v>
      </c>
      <c r="E5598" s="13" t="s">
        <v>31</v>
      </c>
      <c r="F5598" s="12" t="s">
        <v>34</v>
      </c>
      <c r="G5598" s="14">
        <v>8082.22</v>
      </c>
      <c r="H5598" s="12" t="s">
        <v>32</v>
      </c>
      <c r="I5598" s="12">
        <v>0</v>
      </c>
      <c r="J5598" s="12" t="s">
        <v>34</v>
      </c>
      <c r="K5598" s="12" t="s">
        <v>23</v>
      </c>
      <c r="L5598" s="12">
        <v>1</v>
      </c>
      <c r="M5598" s="15">
        <v>88904</v>
      </c>
      <c r="N5598" s="15">
        <v>0</v>
      </c>
      <c r="O5598" s="15">
        <f t="shared" ref="O5598:O5629" si="483">SUM(M5598:N5598)</f>
        <v>88904</v>
      </c>
      <c r="P5598" s="15">
        <f t="shared" si="478"/>
        <v>10.999948034079745</v>
      </c>
      <c r="Q5598" s="14">
        <v>5000</v>
      </c>
      <c r="R5598" s="12">
        <v>100</v>
      </c>
      <c r="S5598" s="12" t="s">
        <v>6769</v>
      </c>
      <c r="T5598" s="22">
        <f t="shared" si="480"/>
        <v>10</v>
      </c>
      <c r="U5598" s="22">
        <f t="shared" si="481"/>
        <v>2022</v>
      </c>
      <c r="V5598" s="22" t="str">
        <f t="shared" si="482"/>
        <v>METROPOLITANA</v>
      </c>
    </row>
    <row r="5599" spans="1:22" x14ac:dyDescent="0.2">
      <c r="A5599" s="11" t="s">
        <v>6767</v>
      </c>
      <c r="B5599" s="12" t="s">
        <v>33</v>
      </c>
      <c r="C5599" s="12" t="s">
        <v>36</v>
      </c>
      <c r="D5599" s="12" t="s">
        <v>2825</v>
      </c>
      <c r="E5599" s="13" t="s">
        <v>639</v>
      </c>
      <c r="F5599" s="12" t="s">
        <v>92</v>
      </c>
      <c r="G5599" s="14">
        <f>6427.6+3701</f>
        <v>10128.6</v>
      </c>
      <c r="H5599" s="12" t="s">
        <v>24</v>
      </c>
      <c r="I5599" s="12">
        <v>1</v>
      </c>
      <c r="J5599" s="12" t="s">
        <v>92</v>
      </c>
      <c r="K5599" s="12" t="s">
        <v>93</v>
      </c>
      <c r="L5599" s="12">
        <v>0</v>
      </c>
      <c r="M5599" s="15">
        <v>700000</v>
      </c>
      <c r="N5599" s="15">
        <v>0</v>
      </c>
      <c r="O5599" s="15">
        <f t="shared" si="483"/>
        <v>700000</v>
      </c>
      <c r="P5599" s="15">
        <f t="shared" si="478"/>
        <v>69.111229587504681</v>
      </c>
      <c r="Q5599" s="14">
        <v>20000</v>
      </c>
      <c r="R5599" s="12">
        <v>65</v>
      </c>
      <c r="S5599" s="12" t="s">
        <v>6775</v>
      </c>
      <c r="T5599" s="22">
        <f t="shared" si="480"/>
        <v>10</v>
      </c>
      <c r="U5599" s="22">
        <f t="shared" si="481"/>
        <v>2022</v>
      </c>
      <c r="V5599" s="22" t="str">
        <f t="shared" si="482"/>
        <v>REGIONES</v>
      </c>
    </row>
    <row r="5600" spans="1:22" x14ac:dyDescent="0.2">
      <c r="A5600" s="11" t="s">
        <v>6767</v>
      </c>
      <c r="B5600" s="12" t="s">
        <v>33</v>
      </c>
      <c r="C5600" s="12" t="s">
        <v>29</v>
      </c>
      <c r="D5600" s="12" t="s">
        <v>4569</v>
      </c>
      <c r="E5600" s="13" t="s">
        <v>868</v>
      </c>
      <c r="F5600" s="12" t="s">
        <v>66</v>
      </c>
      <c r="G5600" s="14">
        <v>7969.2000000000025</v>
      </c>
      <c r="H5600" s="12" t="s">
        <v>24</v>
      </c>
      <c r="I5600" s="12">
        <v>1</v>
      </c>
      <c r="J5600" s="12" t="s">
        <v>66</v>
      </c>
      <c r="K5600" s="12" t="s">
        <v>75</v>
      </c>
      <c r="L5600" s="12">
        <v>0</v>
      </c>
      <c r="M5600" s="15">
        <v>430000</v>
      </c>
      <c r="N5600" s="15">
        <v>0</v>
      </c>
      <c r="O5600" s="15">
        <f t="shared" si="483"/>
        <v>430000</v>
      </c>
      <c r="P5600" s="15">
        <f t="shared" si="478"/>
        <v>53.957737288560942</v>
      </c>
      <c r="Q5600" s="14">
        <v>20000</v>
      </c>
      <c r="R5600" s="12">
        <v>40</v>
      </c>
      <c r="S5600" s="12" t="s">
        <v>6770</v>
      </c>
      <c r="T5600" s="22">
        <f t="shared" si="480"/>
        <v>10</v>
      </c>
      <c r="U5600" s="22">
        <f t="shared" si="481"/>
        <v>2022</v>
      </c>
      <c r="V5600" s="22" t="str">
        <f t="shared" si="482"/>
        <v>REGIONES</v>
      </c>
    </row>
    <row r="5601" spans="1:22" x14ac:dyDescent="0.2">
      <c r="A5601" s="11" t="s">
        <v>6767</v>
      </c>
      <c r="B5601" s="12" t="s">
        <v>33</v>
      </c>
      <c r="C5601" s="12" t="s">
        <v>29</v>
      </c>
      <c r="D5601" s="12" t="s">
        <v>38</v>
      </c>
      <c r="E5601" s="13" t="s">
        <v>42</v>
      </c>
      <c r="F5601" s="12" t="s">
        <v>173</v>
      </c>
      <c r="G5601" s="14">
        <v>4971.28</v>
      </c>
      <c r="H5601" s="12" t="s">
        <v>43</v>
      </c>
      <c r="I5601" s="12">
        <v>0</v>
      </c>
      <c r="J5601" s="12" t="s">
        <v>173</v>
      </c>
      <c r="K5601" s="12" t="s">
        <v>23</v>
      </c>
      <c r="L5601" s="12">
        <v>5</v>
      </c>
      <c r="M5601" s="15">
        <v>90000</v>
      </c>
      <c r="N5601" s="15">
        <v>0</v>
      </c>
      <c r="O5601" s="15">
        <f t="shared" si="483"/>
        <v>90000</v>
      </c>
      <c r="P5601" s="15">
        <f t="shared" ref="P5601:P5664" si="484">O5601/G5601</f>
        <v>18.103989314623195</v>
      </c>
      <c r="Q5601" s="14">
        <v>10000</v>
      </c>
      <c r="R5601" s="12">
        <v>50</v>
      </c>
      <c r="S5601" s="12" t="s">
        <v>6771</v>
      </c>
      <c r="T5601" s="22">
        <f t="shared" si="480"/>
        <v>10</v>
      </c>
      <c r="U5601" s="22">
        <f t="shared" si="481"/>
        <v>2022</v>
      </c>
      <c r="V5601" s="22" t="str">
        <f t="shared" si="482"/>
        <v>METROPOLITANA</v>
      </c>
    </row>
    <row r="5602" spans="1:22" x14ac:dyDescent="0.2">
      <c r="A5602" s="11" t="s">
        <v>6767</v>
      </c>
      <c r="B5602" s="12" t="s">
        <v>33</v>
      </c>
      <c r="C5602" s="12" t="s">
        <v>29</v>
      </c>
      <c r="D5602" s="12" t="s">
        <v>5478</v>
      </c>
      <c r="E5602" s="13" t="s">
        <v>83</v>
      </c>
      <c r="F5602" s="12" t="s">
        <v>66</v>
      </c>
      <c r="G5602" s="14">
        <v>8507.4</v>
      </c>
      <c r="H5602" s="12" t="s">
        <v>24</v>
      </c>
      <c r="I5602" s="12">
        <v>1</v>
      </c>
      <c r="J5602" s="12" t="s">
        <v>66</v>
      </c>
      <c r="K5602" s="12" t="s">
        <v>75</v>
      </c>
      <c r="L5602" s="12">
        <v>0</v>
      </c>
      <c r="M5602" s="15">
        <v>430000</v>
      </c>
      <c r="N5602" s="15">
        <v>0</v>
      </c>
      <c r="O5602" s="15">
        <f t="shared" si="483"/>
        <v>430000</v>
      </c>
      <c r="P5602" s="15">
        <f t="shared" si="484"/>
        <v>50.544232080306557</v>
      </c>
      <c r="Q5602" s="14">
        <v>20000</v>
      </c>
      <c r="R5602" s="12">
        <v>43</v>
      </c>
      <c r="S5602" s="12" t="s">
        <v>6772</v>
      </c>
      <c r="T5602" s="22">
        <f t="shared" si="480"/>
        <v>10</v>
      </c>
      <c r="U5602" s="22">
        <f t="shared" si="481"/>
        <v>2022</v>
      </c>
      <c r="V5602" s="22" t="str">
        <f t="shared" si="482"/>
        <v>REGIONES</v>
      </c>
    </row>
    <row r="5603" spans="1:22" x14ac:dyDescent="0.2">
      <c r="A5603" s="11" t="s">
        <v>6767</v>
      </c>
      <c r="B5603" s="12" t="s">
        <v>33</v>
      </c>
      <c r="C5603" s="12" t="s">
        <v>29</v>
      </c>
      <c r="D5603" s="12" t="s">
        <v>20</v>
      </c>
      <c r="E5603" s="13" t="s">
        <v>21</v>
      </c>
      <c r="F5603" s="12" t="s">
        <v>39</v>
      </c>
      <c r="G5603" s="14">
        <v>12409.05</v>
      </c>
      <c r="H5603" s="12" t="s">
        <v>22</v>
      </c>
      <c r="I5603" s="12">
        <v>0</v>
      </c>
      <c r="J5603" s="12" t="s">
        <v>39</v>
      </c>
      <c r="K5603" s="12" t="s">
        <v>23</v>
      </c>
      <c r="L5603" s="12">
        <v>1</v>
      </c>
      <c r="M5603" s="15">
        <v>136500</v>
      </c>
      <c r="N5603" s="15">
        <v>0</v>
      </c>
      <c r="O5603" s="15">
        <f t="shared" si="483"/>
        <v>136500</v>
      </c>
      <c r="P5603" s="15">
        <f t="shared" si="484"/>
        <v>11.000036263855815</v>
      </c>
      <c r="Q5603" s="14">
        <v>5000</v>
      </c>
      <c r="R5603" s="12">
        <v>100</v>
      </c>
      <c r="S5603" s="12" t="s">
        <v>6773</v>
      </c>
      <c r="T5603" s="22">
        <f t="shared" si="480"/>
        <v>10</v>
      </c>
      <c r="U5603" s="22">
        <f t="shared" si="481"/>
        <v>2022</v>
      </c>
      <c r="V5603" s="22" t="str">
        <f t="shared" si="482"/>
        <v>METROPOLITANA</v>
      </c>
    </row>
    <row r="5604" spans="1:22" x14ac:dyDescent="0.2">
      <c r="A5604" s="11" t="s">
        <v>6767</v>
      </c>
      <c r="B5604" s="12" t="s">
        <v>33</v>
      </c>
      <c r="C5604" s="12" t="s">
        <v>3922</v>
      </c>
      <c r="D5604" s="12" t="s">
        <v>37</v>
      </c>
      <c r="E5604" s="13" t="s">
        <v>40</v>
      </c>
      <c r="F5604" s="12" t="s">
        <v>129</v>
      </c>
      <c r="G5604" s="14">
        <v>10904.8</v>
      </c>
      <c r="H5604" s="12" t="s">
        <v>22</v>
      </c>
      <c r="I5604" s="12">
        <v>0</v>
      </c>
      <c r="J5604" s="12" t="s">
        <v>129</v>
      </c>
      <c r="K5604" s="12" t="s">
        <v>23</v>
      </c>
      <c r="L5604" s="12">
        <v>1</v>
      </c>
      <c r="M5604" s="15">
        <v>119953</v>
      </c>
      <c r="N5604" s="15">
        <v>0</v>
      </c>
      <c r="O5604" s="15">
        <f t="shared" si="483"/>
        <v>119953</v>
      </c>
      <c r="P5604" s="15">
        <f t="shared" si="484"/>
        <v>11.000018340547282</v>
      </c>
      <c r="Q5604" s="14">
        <v>5000</v>
      </c>
      <c r="R5604" s="12">
        <v>100</v>
      </c>
      <c r="S5604" s="12" t="s">
        <v>6774</v>
      </c>
      <c r="T5604" s="22">
        <f t="shared" si="480"/>
        <v>10</v>
      </c>
      <c r="U5604" s="22">
        <f t="shared" si="481"/>
        <v>2022</v>
      </c>
      <c r="V5604" s="22" t="str">
        <f t="shared" si="482"/>
        <v>METROPOLITANA</v>
      </c>
    </row>
    <row r="5605" spans="1:22" x14ac:dyDescent="0.2">
      <c r="A5605" s="23" t="s">
        <v>6776</v>
      </c>
      <c r="B5605" s="22" t="s">
        <v>18</v>
      </c>
      <c r="C5605" s="22" t="s">
        <v>19</v>
      </c>
      <c r="D5605" s="22" t="s">
        <v>786</v>
      </c>
      <c r="E5605" s="24" t="s">
        <v>787</v>
      </c>
      <c r="F5605" s="22" t="s">
        <v>407</v>
      </c>
      <c r="G5605" s="25">
        <v>9564.8700000000008</v>
      </c>
      <c r="H5605" s="22" t="s">
        <v>788</v>
      </c>
      <c r="I5605" s="22">
        <v>1</v>
      </c>
      <c r="J5605" s="22" t="s">
        <v>407</v>
      </c>
      <c r="K5605" s="22" t="s">
        <v>408</v>
      </c>
      <c r="L5605" s="22">
        <v>0</v>
      </c>
      <c r="M5605" s="26">
        <v>700000</v>
      </c>
      <c r="N5605" s="26">
        <v>0</v>
      </c>
      <c r="O5605" s="15">
        <f t="shared" si="483"/>
        <v>700000</v>
      </c>
      <c r="P5605" s="15">
        <f t="shared" si="484"/>
        <v>73.184476108927768</v>
      </c>
      <c r="Q5605" s="25">
        <v>20000</v>
      </c>
      <c r="R5605" s="22">
        <v>48</v>
      </c>
      <c r="S5605" s="22" t="s">
        <v>6777</v>
      </c>
      <c r="T5605" s="22">
        <f t="shared" si="480"/>
        <v>10</v>
      </c>
      <c r="U5605" s="22">
        <f t="shared" si="481"/>
        <v>2022</v>
      </c>
      <c r="V5605" s="22" t="str">
        <f t="shared" si="482"/>
        <v>REGIONES</v>
      </c>
    </row>
    <row r="5606" spans="1:22" x14ac:dyDescent="0.2">
      <c r="A5606" s="23" t="s">
        <v>6776</v>
      </c>
      <c r="B5606" s="22" t="s">
        <v>33</v>
      </c>
      <c r="C5606" s="22" t="s">
        <v>1642</v>
      </c>
      <c r="D5606" s="22" t="s">
        <v>30</v>
      </c>
      <c r="E5606" s="24" t="s">
        <v>31</v>
      </c>
      <c r="F5606" s="22" t="s">
        <v>5240</v>
      </c>
      <c r="G5606" s="25">
        <v>4685.09</v>
      </c>
      <c r="H5606" s="22" t="s">
        <v>32</v>
      </c>
      <c r="I5606" s="22">
        <v>0</v>
      </c>
      <c r="J5606" s="22" t="s">
        <v>5240</v>
      </c>
      <c r="K5606" s="22" t="s">
        <v>78</v>
      </c>
      <c r="L5606" s="22">
        <v>0</v>
      </c>
      <c r="M5606" s="26">
        <v>203000</v>
      </c>
      <c r="N5606" s="26">
        <v>0</v>
      </c>
      <c r="O5606" s="15">
        <f t="shared" si="483"/>
        <v>203000</v>
      </c>
      <c r="P5606" s="15">
        <f t="shared" si="484"/>
        <v>43.328943520828844</v>
      </c>
      <c r="Q5606" s="25">
        <v>20000</v>
      </c>
      <c r="R5606" s="22">
        <v>23</v>
      </c>
      <c r="S5606" s="22" t="s">
        <v>6778</v>
      </c>
      <c r="T5606" s="22">
        <f t="shared" si="480"/>
        <v>10</v>
      </c>
      <c r="U5606" s="22">
        <f t="shared" si="481"/>
        <v>2022</v>
      </c>
      <c r="V5606" s="22" t="str">
        <f t="shared" si="482"/>
        <v>REGIONES</v>
      </c>
    </row>
    <row r="5607" spans="1:22" x14ac:dyDescent="0.2">
      <c r="A5607" s="23" t="s">
        <v>6776</v>
      </c>
      <c r="B5607" s="22" t="s">
        <v>33</v>
      </c>
      <c r="C5607" s="22" t="s">
        <v>1233</v>
      </c>
      <c r="D5607" s="22" t="s">
        <v>47</v>
      </c>
      <c r="E5607" s="24" t="s">
        <v>49</v>
      </c>
      <c r="F5607" s="22" t="s">
        <v>1234</v>
      </c>
      <c r="G5607" s="25">
        <v>1700.4</v>
      </c>
      <c r="H5607" s="22" t="s">
        <v>22</v>
      </c>
      <c r="I5607" s="22">
        <v>0</v>
      </c>
      <c r="J5607" s="22" t="s">
        <v>1234</v>
      </c>
      <c r="K5607" s="22" t="s">
        <v>23</v>
      </c>
      <c r="L5607" s="22">
        <v>3</v>
      </c>
      <c r="M5607" s="26">
        <v>55000</v>
      </c>
      <c r="N5607" s="26">
        <v>0</v>
      </c>
      <c r="O5607" s="15">
        <f t="shared" si="483"/>
        <v>55000</v>
      </c>
      <c r="P5607" s="15">
        <f t="shared" si="484"/>
        <v>32.345330510468123</v>
      </c>
      <c r="Q5607" s="25">
        <v>5000</v>
      </c>
      <c r="R5607" s="22">
        <v>34</v>
      </c>
      <c r="S5607" s="22" t="s">
        <v>6779</v>
      </c>
      <c r="T5607" s="22">
        <f t="shared" si="480"/>
        <v>10</v>
      </c>
      <c r="U5607" s="22">
        <f t="shared" si="481"/>
        <v>2022</v>
      </c>
      <c r="V5607" s="22" t="str">
        <f t="shared" si="482"/>
        <v>METROPOLITANA</v>
      </c>
    </row>
    <row r="5608" spans="1:22" x14ac:dyDescent="0.2">
      <c r="A5608" s="23" t="s">
        <v>6776</v>
      </c>
      <c r="B5608" s="22" t="s">
        <v>33</v>
      </c>
      <c r="C5608" s="22" t="s">
        <v>128</v>
      </c>
      <c r="D5608" s="22" t="s">
        <v>41</v>
      </c>
      <c r="E5608" s="24" t="s">
        <v>25</v>
      </c>
      <c r="F5608" s="22" t="s">
        <v>34</v>
      </c>
      <c r="G5608" s="25">
        <v>10007.9</v>
      </c>
      <c r="H5608" s="22" t="s">
        <v>43</v>
      </c>
      <c r="I5608" s="22">
        <v>0</v>
      </c>
      <c r="J5608" s="22" t="s">
        <v>34</v>
      </c>
      <c r="K5608" s="22" t="s">
        <v>23</v>
      </c>
      <c r="L5608" s="22">
        <v>1</v>
      </c>
      <c r="M5608" s="26">
        <v>110087</v>
      </c>
      <c r="N5608" s="26">
        <v>0</v>
      </c>
      <c r="O5608" s="15">
        <f t="shared" si="483"/>
        <v>110087</v>
      </c>
      <c r="P5608" s="15">
        <f t="shared" si="484"/>
        <v>11.000009992106236</v>
      </c>
      <c r="Q5608" s="25">
        <v>5000</v>
      </c>
      <c r="R5608" s="22">
        <v>100</v>
      </c>
      <c r="S5608" s="22" t="s">
        <v>6780</v>
      </c>
      <c r="T5608" s="22">
        <f t="shared" si="480"/>
        <v>10</v>
      </c>
      <c r="U5608" s="22">
        <f t="shared" si="481"/>
        <v>2022</v>
      </c>
      <c r="V5608" s="22" t="str">
        <f t="shared" si="482"/>
        <v>METROPOLITANA</v>
      </c>
    </row>
    <row r="5609" spans="1:22" x14ac:dyDescent="0.2">
      <c r="A5609" s="23" t="s">
        <v>6776</v>
      </c>
      <c r="B5609" s="22" t="s">
        <v>33</v>
      </c>
      <c r="C5609" s="22" t="s">
        <v>223</v>
      </c>
      <c r="D5609" s="22" t="s">
        <v>47</v>
      </c>
      <c r="E5609" s="24" t="s">
        <v>49</v>
      </c>
      <c r="F5609" s="22" t="s">
        <v>51</v>
      </c>
      <c r="G5609" s="25">
        <v>3400.8</v>
      </c>
      <c r="H5609" s="22" t="s">
        <v>22</v>
      </c>
      <c r="I5609" s="22">
        <v>0</v>
      </c>
      <c r="J5609" s="22" t="s">
        <v>51</v>
      </c>
      <c r="K5609" s="22" t="s">
        <v>23</v>
      </c>
      <c r="L5609" s="22">
        <v>4</v>
      </c>
      <c r="M5609" s="26">
        <v>55000</v>
      </c>
      <c r="N5609" s="26">
        <v>0</v>
      </c>
      <c r="O5609" s="15">
        <f t="shared" si="483"/>
        <v>55000</v>
      </c>
      <c r="P5609" s="15">
        <f t="shared" si="484"/>
        <v>16.172665255234062</v>
      </c>
      <c r="Q5609" s="25">
        <v>5000</v>
      </c>
      <c r="R5609" s="22">
        <v>68</v>
      </c>
      <c r="S5609" s="22" t="s">
        <v>6781</v>
      </c>
      <c r="T5609" s="22">
        <f t="shared" si="480"/>
        <v>10</v>
      </c>
      <c r="U5609" s="22">
        <f t="shared" si="481"/>
        <v>2022</v>
      </c>
      <c r="V5609" s="22" t="str">
        <f t="shared" si="482"/>
        <v>METROPOLITANA</v>
      </c>
    </row>
    <row r="5610" spans="1:22" x14ac:dyDescent="0.2">
      <c r="A5610" s="23" t="s">
        <v>6776</v>
      </c>
      <c r="B5610" s="22" t="s">
        <v>33</v>
      </c>
      <c r="C5610" s="22" t="s">
        <v>29</v>
      </c>
      <c r="D5610" s="22" t="s">
        <v>1170</v>
      </c>
      <c r="E5610" s="24" t="s">
        <v>81</v>
      </c>
      <c r="F5610" s="22" t="s">
        <v>66</v>
      </c>
      <c r="G5610" s="25">
        <v>15552</v>
      </c>
      <c r="H5610" s="22" t="s">
        <v>24</v>
      </c>
      <c r="I5610" s="22">
        <v>1</v>
      </c>
      <c r="J5610" s="22" t="s">
        <v>66</v>
      </c>
      <c r="K5610" s="22" t="s">
        <v>75</v>
      </c>
      <c r="L5610" s="22">
        <v>0</v>
      </c>
      <c r="M5610" s="26">
        <v>430000</v>
      </c>
      <c r="N5610" s="26">
        <v>0</v>
      </c>
      <c r="O5610" s="15">
        <f t="shared" si="483"/>
        <v>430000</v>
      </c>
      <c r="P5610" s="15">
        <f t="shared" si="484"/>
        <v>27.649176954732511</v>
      </c>
      <c r="Q5610" s="25">
        <v>20000</v>
      </c>
      <c r="R5610" s="22">
        <v>78</v>
      </c>
      <c r="S5610" s="22" t="s">
        <v>6782</v>
      </c>
      <c r="T5610" s="22">
        <f t="shared" si="480"/>
        <v>10</v>
      </c>
      <c r="U5610" s="22">
        <f t="shared" si="481"/>
        <v>2022</v>
      </c>
      <c r="V5610" s="22" t="str">
        <f t="shared" si="482"/>
        <v>REGIONES</v>
      </c>
    </row>
    <row r="5611" spans="1:22" x14ac:dyDescent="0.2">
      <c r="A5611" s="23" t="s">
        <v>6776</v>
      </c>
      <c r="B5611" s="22" t="s">
        <v>33</v>
      </c>
      <c r="C5611" s="22" t="s">
        <v>2698</v>
      </c>
      <c r="D5611" s="22" t="s">
        <v>20</v>
      </c>
      <c r="E5611" s="24" t="s">
        <v>21</v>
      </c>
      <c r="F5611" s="22" t="s">
        <v>51</v>
      </c>
      <c r="G5611" s="25">
        <v>3752</v>
      </c>
      <c r="H5611" s="22" t="s">
        <v>22</v>
      </c>
      <c r="I5611" s="22">
        <v>0</v>
      </c>
      <c r="J5611" s="22" t="s">
        <v>51</v>
      </c>
      <c r="K5611" s="22" t="s">
        <v>23</v>
      </c>
      <c r="L5611" s="22">
        <v>4</v>
      </c>
      <c r="M5611" s="26">
        <v>55000</v>
      </c>
      <c r="N5611" s="26">
        <v>0</v>
      </c>
      <c r="O5611" s="15">
        <f t="shared" si="483"/>
        <v>55000</v>
      </c>
      <c r="P5611" s="15">
        <f t="shared" si="484"/>
        <v>14.658848614072495</v>
      </c>
      <c r="Q5611" s="25">
        <v>5000</v>
      </c>
      <c r="R5611" s="22">
        <v>75</v>
      </c>
      <c r="S5611" s="22" t="s">
        <v>6783</v>
      </c>
      <c r="T5611" s="22">
        <f t="shared" si="480"/>
        <v>10</v>
      </c>
      <c r="U5611" s="22">
        <f t="shared" si="481"/>
        <v>2022</v>
      </c>
      <c r="V5611" s="22" t="str">
        <f t="shared" si="482"/>
        <v>METROPOLITANA</v>
      </c>
    </row>
    <row r="5612" spans="1:22" x14ac:dyDescent="0.2">
      <c r="A5612" s="23" t="s">
        <v>6776</v>
      </c>
      <c r="B5612" s="22" t="s">
        <v>33</v>
      </c>
      <c r="C5612" s="22" t="s">
        <v>44</v>
      </c>
      <c r="D5612" s="22" t="s">
        <v>37</v>
      </c>
      <c r="E5612" s="24" t="s">
        <v>40</v>
      </c>
      <c r="F5612" s="22" t="s">
        <v>48</v>
      </c>
      <c r="G5612" s="25">
        <v>8828.81</v>
      </c>
      <c r="H5612" s="22" t="s">
        <v>22</v>
      </c>
      <c r="I5612" s="22">
        <v>0</v>
      </c>
      <c r="J5612" s="22" t="s">
        <v>48</v>
      </c>
      <c r="K5612" s="22" t="s">
        <v>23</v>
      </c>
      <c r="L5612" s="22">
        <v>1</v>
      </c>
      <c r="M5612" s="26">
        <v>97117</v>
      </c>
      <c r="N5612" s="26">
        <v>0</v>
      </c>
      <c r="O5612" s="15">
        <f t="shared" si="483"/>
        <v>97117</v>
      </c>
      <c r="P5612" s="15">
        <f t="shared" si="484"/>
        <v>11.000010193899291</v>
      </c>
      <c r="Q5612" s="25">
        <v>5000</v>
      </c>
      <c r="R5612" s="22">
        <v>100</v>
      </c>
      <c r="S5612" s="22" t="s">
        <v>6784</v>
      </c>
      <c r="T5612" s="22">
        <f t="shared" si="480"/>
        <v>10</v>
      </c>
      <c r="U5612" s="22">
        <f t="shared" si="481"/>
        <v>2022</v>
      </c>
      <c r="V5612" s="22" t="str">
        <f t="shared" si="482"/>
        <v>METROPOLITANA</v>
      </c>
    </row>
    <row r="5613" spans="1:22" x14ac:dyDescent="0.2">
      <c r="A5613" s="23" t="s">
        <v>6776</v>
      </c>
      <c r="B5613" s="22" t="s">
        <v>33</v>
      </c>
      <c r="C5613" s="22" t="s">
        <v>44</v>
      </c>
      <c r="D5613" s="22" t="s">
        <v>45</v>
      </c>
      <c r="E5613" s="24" t="s">
        <v>52</v>
      </c>
      <c r="F5613" s="22" t="s">
        <v>129</v>
      </c>
      <c r="G5613" s="25">
        <v>2912.44</v>
      </c>
      <c r="H5613" s="22" t="s">
        <v>22</v>
      </c>
      <c r="I5613" s="22">
        <v>0</v>
      </c>
      <c r="J5613" s="22" t="s">
        <v>129</v>
      </c>
      <c r="K5613" s="22" t="s">
        <v>23</v>
      </c>
      <c r="L5613" s="22">
        <v>1</v>
      </c>
      <c r="M5613" s="26">
        <v>55000</v>
      </c>
      <c r="N5613" s="26">
        <v>0</v>
      </c>
      <c r="O5613" s="15">
        <f t="shared" si="483"/>
        <v>55000</v>
      </c>
      <c r="P5613" s="15">
        <f t="shared" si="484"/>
        <v>18.884509208773398</v>
      </c>
      <c r="Q5613" s="25">
        <v>5000</v>
      </c>
      <c r="R5613" s="22">
        <v>58</v>
      </c>
      <c r="S5613" s="22" t="s">
        <v>6785</v>
      </c>
      <c r="T5613" s="22">
        <f t="shared" si="480"/>
        <v>10</v>
      </c>
      <c r="U5613" s="22">
        <f t="shared" si="481"/>
        <v>2022</v>
      </c>
      <c r="V5613" s="22" t="str">
        <f t="shared" si="482"/>
        <v>METROPOLITANA</v>
      </c>
    </row>
    <row r="5614" spans="1:22" x14ac:dyDescent="0.2">
      <c r="A5614" s="11" t="s">
        <v>6786</v>
      </c>
      <c r="B5614" s="12" t="s">
        <v>18</v>
      </c>
      <c r="C5614" s="12" t="s">
        <v>4252</v>
      </c>
      <c r="D5614" s="12" t="s">
        <v>6787</v>
      </c>
      <c r="E5614" s="13" t="s">
        <v>6788</v>
      </c>
      <c r="F5614" s="12" t="s">
        <v>6258</v>
      </c>
      <c r="G5614" s="14">
        <v>26043.94000000001</v>
      </c>
      <c r="H5614" s="12" t="s">
        <v>24</v>
      </c>
      <c r="I5614" s="12">
        <v>1</v>
      </c>
      <c r="J5614" s="12" t="s">
        <v>6258</v>
      </c>
      <c r="K5614" s="12" t="s">
        <v>437</v>
      </c>
      <c r="L5614" s="12">
        <v>0</v>
      </c>
      <c r="M5614" s="15">
        <v>1500000</v>
      </c>
      <c r="N5614" s="15">
        <v>0</v>
      </c>
      <c r="O5614" s="15">
        <f t="shared" si="483"/>
        <v>1500000</v>
      </c>
      <c r="P5614" s="15">
        <f t="shared" si="484"/>
        <v>57.59497218930774</v>
      </c>
      <c r="Q5614" s="14">
        <v>20000</v>
      </c>
      <c r="R5614" s="12">
        <v>100</v>
      </c>
      <c r="S5614" s="12" t="s">
        <v>6789</v>
      </c>
      <c r="T5614" s="22">
        <f t="shared" si="480"/>
        <v>10</v>
      </c>
      <c r="U5614" s="22">
        <f t="shared" si="481"/>
        <v>2022</v>
      </c>
      <c r="V5614" s="22" t="str">
        <f t="shared" si="482"/>
        <v>REGIONES</v>
      </c>
    </row>
    <row r="5615" spans="1:22" x14ac:dyDescent="0.2">
      <c r="A5615" s="11" t="s">
        <v>6786</v>
      </c>
      <c r="B5615" s="12" t="s">
        <v>18</v>
      </c>
      <c r="C5615" s="12" t="s">
        <v>4252</v>
      </c>
      <c r="D5615" s="12" t="s">
        <v>6790</v>
      </c>
      <c r="E5615" s="13" t="s">
        <v>6791</v>
      </c>
      <c r="F5615" s="12" t="s">
        <v>6258</v>
      </c>
      <c r="G5615" s="14">
        <v>24766.01999999999</v>
      </c>
      <c r="H5615" s="12" t="s">
        <v>24</v>
      </c>
      <c r="I5615" s="12">
        <v>1</v>
      </c>
      <c r="J5615" s="12" t="s">
        <v>6258</v>
      </c>
      <c r="K5615" s="12" t="s">
        <v>437</v>
      </c>
      <c r="L5615" s="12">
        <v>0</v>
      </c>
      <c r="M5615" s="15">
        <v>1500000</v>
      </c>
      <c r="N5615" s="15">
        <v>0</v>
      </c>
      <c r="O5615" s="15">
        <f t="shared" si="483"/>
        <v>1500000</v>
      </c>
      <c r="P5615" s="15">
        <f t="shared" si="484"/>
        <v>60.566857331133569</v>
      </c>
      <c r="Q5615" s="14">
        <v>20000</v>
      </c>
      <c r="R5615" s="12">
        <v>100</v>
      </c>
      <c r="S5615" s="12" t="s">
        <v>6792</v>
      </c>
      <c r="T5615" s="22">
        <f t="shared" si="480"/>
        <v>10</v>
      </c>
      <c r="U5615" s="22">
        <f t="shared" si="481"/>
        <v>2022</v>
      </c>
      <c r="V5615" s="22" t="str">
        <f t="shared" si="482"/>
        <v>REGIONES</v>
      </c>
    </row>
    <row r="5616" spans="1:22" x14ac:dyDescent="0.2">
      <c r="A5616" s="11" t="s">
        <v>6786</v>
      </c>
      <c r="B5616" s="12" t="s">
        <v>33</v>
      </c>
      <c r="C5616" s="12" t="s">
        <v>1642</v>
      </c>
      <c r="D5616" s="12" t="s">
        <v>6793</v>
      </c>
      <c r="E5616" s="13" t="s">
        <v>6794</v>
      </c>
      <c r="F5616" s="12" t="s">
        <v>815</v>
      </c>
      <c r="G5616" s="14">
        <v>7117.4899999999989</v>
      </c>
      <c r="H5616" s="12" t="s">
        <v>24</v>
      </c>
      <c r="I5616" s="12">
        <v>1</v>
      </c>
      <c r="J5616" s="12" t="s">
        <v>815</v>
      </c>
      <c r="K5616" s="12" t="s">
        <v>75</v>
      </c>
      <c r="L5616" s="12">
        <v>0</v>
      </c>
      <c r="M5616" s="15">
        <v>460000</v>
      </c>
      <c r="N5616" s="15">
        <v>0</v>
      </c>
      <c r="O5616" s="15">
        <f t="shared" si="483"/>
        <v>460000</v>
      </c>
      <c r="P5616" s="15">
        <f t="shared" si="484"/>
        <v>64.629525296136705</v>
      </c>
      <c r="Q5616" s="14">
        <v>20000</v>
      </c>
      <c r="R5616" s="12">
        <v>36</v>
      </c>
      <c r="S5616" s="12" t="s">
        <v>6795</v>
      </c>
      <c r="T5616" s="22">
        <f t="shared" si="480"/>
        <v>10</v>
      </c>
      <c r="U5616" s="22">
        <f t="shared" si="481"/>
        <v>2022</v>
      </c>
      <c r="V5616" s="22" t="str">
        <f t="shared" si="482"/>
        <v>REGIONES</v>
      </c>
    </row>
    <row r="5617" spans="1:22" x14ac:dyDescent="0.2">
      <c r="A5617" s="11" t="s">
        <v>6786</v>
      </c>
      <c r="B5617" s="12" t="s">
        <v>33</v>
      </c>
      <c r="C5617" s="12" t="s">
        <v>128</v>
      </c>
      <c r="D5617" s="12" t="s">
        <v>30</v>
      </c>
      <c r="E5617" s="13" t="s">
        <v>31</v>
      </c>
      <c r="F5617" s="12" t="s">
        <v>6796</v>
      </c>
      <c r="G5617" s="14">
        <v>7503.9999999999973</v>
      </c>
      <c r="H5617" s="12" t="s">
        <v>32</v>
      </c>
      <c r="I5617" s="12">
        <v>0</v>
      </c>
      <c r="J5617" s="12" t="s">
        <v>6796</v>
      </c>
      <c r="K5617" s="12" t="s">
        <v>78</v>
      </c>
      <c r="L5617" s="12">
        <v>0</v>
      </c>
      <c r="M5617" s="15">
        <v>250000</v>
      </c>
      <c r="N5617" s="15">
        <v>0</v>
      </c>
      <c r="O5617" s="15">
        <f t="shared" si="483"/>
        <v>250000</v>
      </c>
      <c r="P5617" s="15">
        <f t="shared" si="484"/>
        <v>33.315565031982956</v>
      </c>
      <c r="Q5617" s="14">
        <v>20000</v>
      </c>
      <c r="R5617" s="12">
        <v>38</v>
      </c>
      <c r="S5617" s="12" t="s">
        <v>6797</v>
      </c>
      <c r="T5617" s="22">
        <f t="shared" si="480"/>
        <v>10</v>
      </c>
      <c r="U5617" s="22">
        <f t="shared" si="481"/>
        <v>2022</v>
      </c>
      <c r="V5617" s="22" t="str">
        <f t="shared" si="482"/>
        <v>REGIONES</v>
      </c>
    </row>
    <row r="5618" spans="1:22" x14ac:dyDescent="0.2">
      <c r="A5618" s="11" t="s">
        <v>6786</v>
      </c>
      <c r="B5618" s="12" t="s">
        <v>33</v>
      </c>
      <c r="C5618" s="12" t="s">
        <v>29</v>
      </c>
      <c r="D5618" s="12" t="s">
        <v>38</v>
      </c>
      <c r="E5618" s="13" t="s">
        <v>42</v>
      </c>
      <c r="F5618" s="12" t="s">
        <v>129</v>
      </c>
      <c r="G5618" s="14">
        <v>7473.9999999999991</v>
      </c>
      <c r="H5618" s="12" t="s">
        <v>43</v>
      </c>
      <c r="I5618" s="12">
        <v>0</v>
      </c>
      <c r="J5618" s="12" t="s">
        <v>129</v>
      </c>
      <c r="K5618" s="12" t="s">
        <v>23</v>
      </c>
      <c r="L5618" s="12">
        <v>1</v>
      </c>
      <c r="M5618" s="15">
        <v>82214</v>
      </c>
      <c r="N5618" s="15">
        <v>0</v>
      </c>
      <c r="O5618" s="15">
        <f t="shared" si="483"/>
        <v>82214</v>
      </c>
      <c r="P5618" s="15">
        <f t="shared" si="484"/>
        <v>11.000000000000002</v>
      </c>
      <c r="Q5618" s="14">
        <v>5000</v>
      </c>
      <c r="R5618" s="12">
        <v>100</v>
      </c>
      <c r="S5618" s="12" t="s">
        <v>6798</v>
      </c>
      <c r="T5618" s="22">
        <f t="shared" si="480"/>
        <v>10</v>
      </c>
      <c r="U5618" s="22">
        <f t="shared" si="481"/>
        <v>2022</v>
      </c>
      <c r="V5618" s="22" t="str">
        <f t="shared" si="482"/>
        <v>METROPOLITANA</v>
      </c>
    </row>
    <row r="5619" spans="1:22" x14ac:dyDescent="0.2">
      <c r="A5619" s="11" t="s">
        <v>6786</v>
      </c>
      <c r="B5619" s="12" t="s">
        <v>33</v>
      </c>
      <c r="C5619" s="12" t="s">
        <v>29</v>
      </c>
      <c r="D5619" s="12" t="s">
        <v>37</v>
      </c>
      <c r="E5619" s="13" t="s">
        <v>40</v>
      </c>
      <c r="F5619" s="12" t="s">
        <v>39</v>
      </c>
      <c r="G5619" s="14">
        <v>7125.4399999999987</v>
      </c>
      <c r="H5619" s="12" t="s">
        <v>22</v>
      </c>
      <c r="I5619" s="12">
        <v>0</v>
      </c>
      <c r="J5619" s="12" t="s">
        <v>39</v>
      </c>
      <c r="K5619" s="12" t="s">
        <v>23</v>
      </c>
      <c r="L5619" s="12">
        <v>1</v>
      </c>
      <c r="M5619" s="15">
        <v>78380</v>
      </c>
      <c r="N5619" s="15">
        <v>0</v>
      </c>
      <c r="O5619" s="15">
        <f t="shared" si="483"/>
        <v>78380</v>
      </c>
      <c r="P5619" s="15">
        <f t="shared" si="484"/>
        <v>11.000022454753674</v>
      </c>
      <c r="Q5619" s="14">
        <v>5000</v>
      </c>
      <c r="R5619" s="12">
        <v>100</v>
      </c>
      <c r="S5619" s="12" t="s">
        <v>6799</v>
      </c>
      <c r="T5619" s="22">
        <f t="shared" si="480"/>
        <v>10</v>
      </c>
      <c r="U5619" s="22">
        <f t="shared" si="481"/>
        <v>2022</v>
      </c>
      <c r="V5619" s="22" t="str">
        <f t="shared" si="482"/>
        <v>METROPOLITANA</v>
      </c>
    </row>
    <row r="5620" spans="1:22" x14ac:dyDescent="0.2">
      <c r="A5620" s="11" t="s">
        <v>6786</v>
      </c>
      <c r="B5620" s="12" t="s">
        <v>33</v>
      </c>
      <c r="C5620" s="12" t="s">
        <v>29</v>
      </c>
      <c r="D5620" s="12" t="s">
        <v>37</v>
      </c>
      <c r="E5620" s="13" t="s">
        <v>40</v>
      </c>
      <c r="F5620" s="12" t="s">
        <v>134</v>
      </c>
      <c r="G5620" s="14">
        <v>4959.5</v>
      </c>
      <c r="H5620" s="12" t="s">
        <v>22</v>
      </c>
      <c r="I5620" s="12">
        <v>0</v>
      </c>
      <c r="J5620" s="12" t="s">
        <v>134</v>
      </c>
      <c r="K5620" s="12" t="s">
        <v>23</v>
      </c>
      <c r="L5620" s="12">
        <v>2</v>
      </c>
      <c r="M5620" s="15">
        <v>55000</v>
      </c>
      <c r="N5620" s="15">
        <v>0</v>
      </c>
      <c r="O5620" s="15">
        <f t="shared" si="483"/>
        <v>55000</v>
      </c>
      <c r="P5620" s="15">
        <f t="shared" si="484"/>
        <v>11.089827603589072</v>
      </c>
      <c r="Q5620" s="14">
        <v>5000</v>
      </c>
      <c r="R5620" s="12">
        <v>99</v>
      </c>
      <c r="S5620" s="12" t="s">
        <v>6800</v>
      </c>
      <c r="T5620" s="22">
        <f t="shared" si="480"/>
        <v>10</v>
      </c>
      <c r="U5620" s="22">
        <f t="shared" si="481"/>
        <v>2022</v>
      </c>
      <c r="V5620" s="22" t="str">
        <f t="shared" si="482"/>
        <v>METROPOLITANA</v>
      </c>
    </row>
    <row r="5621" spans="1:22" x14ac:dyDescent="0.2">
      <c r="A5621" s="11" t="s">
        <v>6786</v>
      </c>
      <c r="B5621" s="12" t="s">
        <v>33</v>
      </c>
      <c r="C5621" s="12" t="s">
        <v>29</v>
      </c>
      <c r="D5621" s="12" t="s">
        <v>2955</v>
      </c>
      <c r="E5621" s="13" t="s">
        <v>2956</v>
      </c>
      <c r="F5621" s="12" t="s">
        <v>170</v>
      </c>
      <c r="G5621" s="14">
        <v>13898.21</v>
      </c>
      <c r="H5621" s="12" t="s">
        <v>24</v>
      </c>
      <c r="I5621" s="12">
        <v>1</v>
      </c>
      <c r="J5621" s="12" t="s">
        <v>170</v>
      </c>
      <c r="K5621" s="12" t="s">
        <v>171</v>
      </c>
      <c r="L5621" s="12">
        <v>0</v>
      </c>
      <c r="M5621" s="15">
        <v>250000</v>
      </c>
      <c r="N5621" s="15">
        <v>0</v>
      </c>
      <c r="O5621" s="15">
        <f t="shared" si="483"/>
        <v>250000</v>
      </c>
      <c r="P5621" s="15">
        <f t="shared" si="484"/>
        <v>17.9879279417997</v>
      </c>
      <c r="Q5621" s="14">
        <v>20000</v>
      </c>
      <c r="R5621" s="12">
        <v>69</v>
      </c>
      <c r="S5621" s="12" t="s">
        <v>6801</v>
      </c>
      <c r="T5621" s="22">
        <f t="shared" si="480"/>
        <v>10</v>
      </c>
      <c r="U5621" s="22">
        <f t="shared" si="481"/>
        <v>2022</v>
      </c>
      <c r="V5621" s="22" t="str">
        <f t="shared" si="482"/>
        <v>REGIONES</v>
      </c>
    </row>
    <row r="5622" spans="1:22" x14ac:dyDescent="0.2">
      <c r="A5622" s="11" t="s">
        <v>6786</v>
      </c>
      <c r="B5622" s="12" t="s">
        <v>33</v>
      </c>
      <c r="C5622" s="12" t="s">
        <v>29</v>
      </c>
      <c r="D5622" s="12" t="s">
        <v>41</v>
      </c>
      <c r="E5622" s="13" t="s">
        <v>25</v>
      </c>
      <c r="F5622" s="12" t="s">
        <v>39</v>
      </c>
      <c r="G5622" s="14">
        <v>7503.9999999999973</v>
      </c>
      <c r="H5622" s="12" t="s">
        <v>43</v>
      </c>
      <c r="I5622" s="12">
        <v>0</v>
      </c>
      <c r="J5622" s="12" t="s">
        <v>39</v>
      </c>
      <c r="K5622" s="12" t="s">
        <v>23</v>
      </c>
      <c r="L5622" s="12">
        <v>1</v>
      </c>
      <c r="M5622" s="15">
        <v>82544</v>
      </c>
      <c r="N5622" s="15">
        <v>0</v>
      </c>
      <c r="O5622" s="15">
        <f t="shared" si="483"/>
        <v>82544</v>
      </c>
      <c r="P5622" s="15">
        <f t="shared" si="484"/>
        <v>11.000000000000004</v>
      </c>
      <c r="Q5622" s="14">
        <v>5000</v>
      </c>
      <c r="R5622" s="12">
        <v>100</v>
      </c>
      <c r="S5622" s="12" t="s">
        <v>6802</v>
      </c>
      <c r="T5622" s="22">
        <f t="shared" si="480"/>
        <v>10</v>
      </c>
      <c r="U5622" s="22">
        <f t="shared" si="481"/>
        <v>2022</v>
      </c>
      <c r="V5622" s="22" t="str">
        <f t="shared" si="482"/>
        <v>METROPOLITANA</v>
      </c>
    </row>
    <row r="5623" spans="1:22" x14ac:dyDescent="0.2">
      <c r="A5623" s="11" t="s">
        <v>6786</v>
      </c>
      <c r="B5623" s="12" t="s">
        <v>33</v>
      </c>
      <c r="C5623" s="12" t="s">
        <v>29</v>
      </c>
      <c r="D5623" s="12" t="s">
        <v>164</v>
      </c>
      <c r="E5623" s="13" t="s">
        <v>1576</v>
      </c>
      <c r="F5623" s="12" t="s">
        <v>39</v>
      </c>
      <c r="G5623" s="14">
        <v>17833.55000000001</v>
      </c>
      <c r="H5623" s="12" t="s">
        <v>22</v>
      </c>
      <c r="I5623" s="12">
        <v>1</v>
      </c>
      <c r="J5623" s="12" t="s">
        <v>39</v>
      </c>
      <c r="K5623" s="12" t="s">
        <v>23</v>
      </c>
      <c r="L5623" s="12">
        <v>1</v>
      </c>
      <c r="M5623" s="15">
        <v>196169</v>
      </c>
      <c r="N5623" s="15">
        <v>0</v>
      </c>
      <c r="O5623" s="15">
        <f t="shared" si="483"/>
        <v>196169</v>
      </c>
      <c r="P5623" s="15">
        <f t="shared" si="484"/>
        <v>10.999997196295739</v>
      </c>
      <c r="Q5623" s="14">
        <v>5000</v>
      </c>
      <c r="R5623" s="12">
        <v>100</v>
      </c>
      <c r="S5623" s="12" t="s">
        <v>6803</v>
      </c>
      <c r="T5623" s="22">
        <f t="shared" si="480"/>
        <v>10</v>
      </c>
      <c r="U5623" s="22">
        <f t="shared" si="481"/>
        <v>2022</v>
      </c>
      <c r="V5623" s="22" t="str">
        <f t="shared" si="482"/>
        <v>METROPOLITANA</v>
      </c>
    </row>
    <row r="5624" spans="1:22" x14ac:dyDescent="0.2">
      <c r="A5624" s="11" t="s">
        <v>6786</v>
      </c>
      <c r="B5624" s="12" t="s">
        <v>33</v>
      </c>
      <c r="C5624" s="12" t="s">
        <v>2698</v>
      </c>
      <c r="D5624" s="12" t="s">
        <v>41</v>
      </c>
      <c r="E5624" s="13" t="s">
        <v>25</v>
      </c>
      <c r="F5624" s="12" t="s">
        <v>34</v>
      </c>
      <c r="G5624" s="14">
        <v>3451</v>
      </c>
      <c r="H5624" s="12" t="s">
        <v>43</v>
      </c>
      <c r="I5624" s="12">
        <v>0</v>
      </c>
      <c r="J5624" s="12" t="s">
        <v>34</v>
      </c>
      <c r="K5624" s="12" t="s">
        <v>23</v>
      </c>
      <c r="L5624" s="12">
        <v>1</v>
      </c>
      <c r="M5624" s="15">
        <v>55000</v>
      </c>
      <c r="N5624" s="15">
        <v>0</v>
      </c>
      <c r="O5624" s="15">
        <f t="shared" si="483"/>
        <v>55000</v>
      </c>
      <c r="P5624" s="15">
        <f t="shared" si="484"/>
        <v>15.937409446537236</v>
      </c>
      <c r="Q5624" s="14">
        <v>5000</v>
      </c>
      <c r="R5624" s="12">
        <v>69</v>
      </c>
      <c r="S5624" s="12" t="s">
        <v>6804</v>
      </c>
      <c r="T5624" s="22">
        <f t="shared" si="480"/>
        <v>10</v>
      </c>
      <c r="U5624" s="22">
        <f t="shared" si="481"/>
        <v>2022</v>
      </c>
      <c r="V5624" s="22" t="str">
        <f t="shared" si="482"/>
        <v>METROPOLITANA</v>
      </c>
    </row>
    <row r="5625" spans="1:22" x14ac:dyDescent="0.2">
      <c r="A5625" s="11" t="s">
        <v>6786</v>
      </c>
      <c r="B5625" s="12" t="s">
        <v>33</v>
      </c>
      <c r="C5625" s="12" t="s">
        <v>44</v>
      </c>
      <c r="D5625" s="12" t="s">
        <v>38</v>
      </c>
      <c r="E5625" s="13" t="s">
        <v>42</v>
      </c>
      <c r="F5625" s="12" t="s">
        <v>95</v>
      </c>
      <c r="G5625" s="14">
        <v>2600.8000000000002</v>
      </c>
      <c r="H5625" s="12" t="s">
        <v>43</v>
      </c>
      <c r="I5625" s="12">
        <v>0</v>
      </c>
      <c r="J5625" s="12" t="s">
        <v>95</v>
      </c>
      <c r="K5625" s="12" t="s">
        <v>23</v>
      </c>
      <c r="L5625" s="12">
        <v>4</v>
      </c>
      <c r="M5625" s="15">
        <v>55000</v>
      </c>
      <c r="N5625" s="15">
        <v>0</v>
      </c>
      <c r="O5625" s="15">
        <f t="shared" si="483"/>
        <v>55000</v>
      </c>
      <c r="P5625" s="15">
        <f t="shared" si="484"/>
        <v>21.14733928022147</v>
      </c>
      <c r="Q5625" s="14">
        <v>5000</v>
      </c>
      <c r="R5625" s="12">
        <v>52</v>
      </c>
      <c r="S5625" s="12" t="s">
        <v>6805</v>
      </c>
      <c r="T5625" s="22">
        <f t="shared" si="480"/>
        <v>10</v>
      </c>
      <c r="U5625" s="22">
        <f t="shared" si="481"/>
        <v>2022</v>
      </c>
      <c r="V5625" s="22" t="str">
        <f t="shared" si="482"/>
        <v>METROPOLITANA</v>
      </c>
    </row>
    <row r="5626" spans="1:22" x14ac:dyDescent="0.2">
      <c r="A5626" s="11" t="s">
        <v>6786</v>
      </c>
      <c r="B5626" s="12" t="s">
        <v>33</v>
      </c>
      <c r="C5626" s="12" t="s">
        <v>44</v>
      </c>
      <c r="D5626" s="12" t="s">
        <v>2825</v>
      </c>
      <c r="E5626" s="13" t="s">
        <v>639</v>
      </c>
      <c r="F5626" s="12" t="s">
        <v>1105</v>
      </c>
      <c r="G5626" s="14">
        <f>3442.74+3728</f>
        <v>7170.74</v>
      </c>
      <c r="H5626" s="12" t="s">
        <v>24</v>
      </c>
      <c r="I5626" s="12">
        <v>1</v>
      </c>
      <c r="J5626" s="12" t="s">
        <v>1105</v>
      </c>
      <c r="K5626" s="12" t="s">
        <v>873</v>
      </c>
      <c r="L5626" s="12">
        <v>0</v>
      </c>
      <c r="M5626" s="15">
        <v>950000</v>
      </c>
      <c r="N5626" s="15">
        <v>0</v>
      </c>
      <c r="O5626" s="15">
        <f t="shared" si="483"/>
        <v>950000</v>
      </c>
      <c r="P5626" s="15">
        <f t="shared" si="484"/>
        <v>132.4828399858313</v>
      </c>
      <c r="Q5626" s="14">
        <v>20000</v>
      </c>
      <c r="R5626" s="12">
        <v>55</v>
      </c>
      <c r="S5626" s="12" t="s">
        <v>6809</v>
      </c>
      <c r="T5626" s="22">
        <f t="shared" si="480"/>
        <v>10</v>
      </c>
      <c r="U5626" s="22">
        <f t="shared" si="481"/>
        <v>2022</v>
      </c>
      <c r="V5626" s="22" t="str">
        <f t="shared" si="482"/>
        <v>REGIONES</v>
      </c>
    </row>
    <row r="5627" spans="1:22" x14ac:dyDescent="0.2">
      <c r="A5627" s="11" t="s">
        <v>6786</v>
      </c>
      <c r="B5627" s="12" t="s">
        <v>33</v>
      </c>
      <c r="C5627" s="12" t="s">
        <v>44</v>
      </c>
      <c r="D5627" s="12" t="s">
        <v>45</v>
      </c>
      <c r="E5627" s="13" t="s">
        <v>52</v>
      </c>
      <c r="F5627" s="12" t="s">
        <v>138</v>
      </c>
      <c r="G5627" s="14">
        <v>3346.8</v>
      </c>
      <c r="H5627" s="12" t="s">
        <v>22</v>
      </c>
      <c r="I5627" s="12">
        <v>0</v>
      </c>
      <c r="J5627" s="12" t="s">
        <v>138</v>
      </c>
      <c r="K5627" s="12" t="s">
        <v>23</v>
      </c>
      <c r="L5627" s="12">
        <v>3</v>
      </c>
      <c r="M5627" s="15">
        <v>55000</v>
      </c>
      <c r="N5627" s="15">
        <v>0</v>
      </c>
      <c r="O5627" s="15">
        <f t="shared" si="483"/>
        <v>55000</v>
      </c>
      <c r="P5627" s="15">
        <f t="shared" si="484"/>
        <v>16.433608222779966</v>
      </c>
      <c r="Q5627" s="14">
        <v>5000</v>
      </c>
      <c r="R5627" s="12">
        <v>67</v>
      </c>
      <c r="S5627" s="12" t="s">
        <v>6806</v>
      </c>
      <c r="T5627" s="22">
        <f t="shared" si="480"/>
        <v>10</v>
      </c>
      <c r="U5627" s="22">
        <f t="shared" si="481"/>
        <v>2022</v>
      </c>
      <c r="V5627" s="22" t="str">
        <f t="shared" si="482"/>
        <v>METROPOLITANA</v>
      </c>
    </row>
    <row r="5628" spans="1:22" x14ac:dyDescent="0.2">
      <c r="A5628" s="11" t="s">
        <v>6786</v>
      </c>
      <c r="B5628" s="12" t="s">
        <v>33</v>
      </c>
      <c r="C5628" s="12" t="s">
        <v>44</v>
      </c>
      <c r="D5628" s="12" t="s">
        <v>47</v>
      </c>
      <c r="E5628" s="13" t="s">
        <v>49</v>
      </c>
      <c r="F5628" s="12" t="s">
        <v>53</v>
      </c>
      <c r="G5628" s="14">
        <v>2789.61</v>
      </c>
      <c r="H5628" s="12" t="s">
        <v>22</v>
      </c>
      <c r="I5628" s="12">
        <v>0</v>
      </c>
      <c r="J5628" s="12" t="s">
        <v>53</v>
      </c>
      <c r="K5628" s="12" t="s">
        <v>23</v>
      </c>
      <c r="L5628" s="12">
        <v>3</v>
      </c>
      <c r="M5628" s="15">
        <v>55000</v>
      </c>
      <c r="N5628" s="15">
        <v>0</v>
      </c>
      <c r="O5628" s="15">
        <f t="shared" si="483"/>
        <v>55000</v>
      </c>
      <c r="P5628" s="15">
        <f t="shared" si="484"/>
        <v>19.716017651212894</v>
      </c>
      <c r="Q5628" s="14">
        <v>5000</v>
      </c>
      <c r="R5628" s="12">
        <v>56</v>
      </c>
      <c r="S5628" s="12" t="s">
        <v>6807</v>
      </c>
      <c r="T5628" s="22">
        <f t="shared" si="480"/>
        <v>10</v>
      </c>
      <c r="U5628" s="22">
        <f t="shared" si="481"/>
        <v>2022</v>
      </c>
      <c r="V5628" s="22" t="str">
        <f t="shared" si="482"/>
        <v>METROPOLITANA</v>
      </c>
    </row>
    <row r="5629" spans="1:22" x14ac:dyDescent="0.2">
      <c r="A5629" s="11" t="s">
        <v>6786</v>
      </c>
      <c r="B5629" s="12" t="s">
        <v>33</v>
      </c>
      <c r="C5629" s="12" t="s">
        <v>44</v>
      </c>
      <c r="D5629" s="12" t="s">
        <v>20</v>
      </c>
      <c r="E5629" s="13" t="s">
        <v>21</v>
      </c>
      <c r="F5629" s="12" t="s">
        <v>26</v>
      </c>
      <c r="G5629" s="14">
        <v>6938.5999999999995</v>
      </c>
      <c r="H5629" s="12" t="s">
        <v>22</v>
      </c>
      <c r="I5629" s="12">
        <v>0</v>
      </c>
      <c r="J5629" s="12" t="s">
        <v>26</v>
      </c>
      <c r="K5629" s="12" t="s">
        <v>23</v>
      </c>
      <c r="L5629" s="12">
        <v>4</v>
      </c>
      <c r="M5629" s="15">
        <v>76325</v>
      </c>
      <c r="N5629" s="15">
        <v>0</v>
      </c>
      <c r="O5629" s="15">
        <f t="shared" si="483"/>
        <v>76325</v>
      </c>
      <c r="P5629" s="15">
        <f t="shared" si="484"/>
        <v>11.000057648516993</v>
      </c>
      <c r="Q5629" s="14">
        <v>5000</v>
      </c>
      <c r="R5629" s="12">
        <v>100</v>
      </c>
      <c r="S5629" s="12" t="s">
        <v>6808</v>
      </c>
      <c r="T5629" s="22">
        <f t="shared" si="480"/>
        <v>10</v>
      </c>
      <c r="U5629" s="22">
        <f t="shared" si="481"/>
        <v>2022</v>
      </c>
      <c r="V5629" s="22" t="str">
        <f t="shared" si="482"/>
        <v>METROPOLITANA</v>
      </c>
    </row>
    <row r="5630" spans="1:22" x14ac:dyDescent="0.2">
      <c r="A5630" s="23" t="s">
        <v>6810</v>
      </c>
      <c r="B5630" s="22" t="s">
        <v>18</v>
      </c>
      <c r="C5630" s="22" t="s">
        <v>270</v>
      </c>
      <c r="D5630" s="22" t="s">
        <v>786</v>
      </c>
      <c r="E5630" s="24" t="s">
        <v>787</v>
      </c>
      <c r="F5630" s="22" t="s">
        <v>120</v>
      </c>
      <c r="G5630" s="25">
        <f>6990.4+1495</f>
        <v>8485.4</v>
      </c>
      <c r="H5630" s="22" t="s">
        <v>788</v>
      </c>
      <c r="I5630" s="22">
        <v>1</v>
      </c>
      <c r="J5630" s="22" t="s">
        <v>120</v>
      </c>
      <c r="K5630" s="22" t="s">
        <v>23</v>
      </c>
      <c r="L5630" s="22">
        <v>5</v>
      </c>
      <c r="M5630" s="26">
        <v>120000</v>
      </c>
      <c r="N5630" s="26">
        <v>0</v>
      </c>
      <c r="O5630" s="15">
        <f t="shared" ref="O5630:O5649" si="485">SUM(M5630:N5630)</f>
        <v>120000</v>
      </c>
      <c r="P5630" s="15">
        <f t="shared" si="484"/>
        <v>14.141937916892546</v>
      </c>
      <c r="Q5630" s="25">
        <v>10000</v>
      </c>
      <c r="R5630" s="22">
        <v>85</v>
      </c>
      <c r="S5630" s="22" t="s">
        <v>6824</v>
      </c>
      <c r="T5630" s="22">
        <f t="shared" si="480"/>
        <v>10</v>
      </c>
      <c r="U5630" s="22">
        <f t="shared" si="481"/>
        <v>2022</v>
      </c>
      <c r="V5630" s="22" t="str">
        <f t="shared" si="482"/>
        <v>METROPOLITANA</v>
      </c>
    </row>
    <row r="5631" spans="1:22" x14ac:dyDescent="0.2">
      <c r="A5631" s="23" t="s">
        <v>6810</v>
      </c>
      <c r="B5631" s="22" t="s">
        <v>18</v>
      </c>
      <c r="C5631" s="22" t="s">
        <v>87</v>
      </c>
      <c r="D5631" s="22" t="s">
        <v>20</v>
      </c>
      <c r="E5631" s="24" t="s">
        <v>21</v>
      </c>
      <c r="F5631" s="22" t="s">
        <v>51</v>
      </c>
      <c r="G5631" s="25">
        <v>6069</v>
      </c>
      <c r="H5631" s="22" t="s">
        <v>22</v>
      </c>
      <c r="I5631" s="22">
        <v>0</v>
      </c>
      <c r="J5631" s="22" t="s">
        <v>51</v>
      </c>
      <c r="K5631" s="22" t="s">
        <v>23</v>
      </c>
      <c r="L5631" s="22">
        <v>4</v>
      </c>
      <c r="M5631" s="26">
        <v>66759</v>
      </c>
      <c r="N5631" s="26">
        <v>0</v>
      </c>
      <c r="O5631" s="15">
        <f t="shared" si="485"/>
        <v>66759</v>
      </c>
      <c r="P5631" s="15">
        <f t="shared" si="484"/>
        <v>11</v>
      </c>
      <c r="Q5631" s="25">
        <v>5000</v>
      </c>
      <c r="R5631" s="22">
        <v>100</v>
      </c>
      <c r="S5631" s="22" t="s">
        <v>6811</v>
      </c>
      <c r="T5631" s="22">
        <f t="shared" si="480"/>
        <v>10</v>
      </c>
      <c r="U5631" s="22">
        <f t="shared" si="481"/>
        <v>2022</v>
      </c>
      <c r="V5631" s="22" t="str">
        <f t="shared" si="482"/>
        <v>METROPOLITANA</v>
      </c>
    </row>
    <row r="5632" spans="1:22" x14ac:dyDescent="0.2">
      <c r="A5632" s="23" t="s">
        <v>6810</v>
      </c>
      <c r="B5632" s="22" t="s">
        <v>18</v>
      </c>
      <c r="C5632" s="22" t="s">
        <v>29</v>
      </c>
      <c r="D5632" s="22" t="s">
        <v>6218</v>
      </c>
      <c r="E5632" s="24" t="s">
        <v>6812</v>
      </c>
      <c r="F5632" s="22" t="s">
        <v>39</v>
      </c>
      <c r="G5632" s="25">
        <v>26057.600000000009</v>
      </c>
      <c r="H5632" s="22" t="s">
        <v>24</v>
      </c>
      <c r="I5632" s="22">
        <v>1</v>
      </c>
      <c r="J5632" s="22" t="s">
        <v>39</v>
      </c>
      <c r="K5632" s="22" t="s">
        <v>23</v>
      </c>
      <c r="L5632" s="22">
        <v>1</v>
      </c>
      <c r="M5632" s="26">
        <v>286634</v>
      </c>
      <c r="N5632" s="26">
        <v>0</v>
      </c>
      <c r="O5632" s="15">
        <f t="shared" si="485"/>
        <v>286634</v>
      </c>
      <c r="P5632" s="15">
        <f t="shared" si="484"/>
        <v>11.00001535060788</v>
      </c>
      <c r="Q5632" s="25">
        <v>5000</v>
      </c>
      <c r="R5632" s="22">
        <v>100</v>
      </c>
      <c r="S5632" s="22" t="s">
        <v>6813</v>
      </c>
      <c r="T5632" s="22">
        <f t="shared" si="480"/>
        <v>10</v>
      </c>
      <c r="U5632" s="22">
        <f t="shared" si="481"/>
        <v>2022</v>
      </c>
      <c r="V5632" s="22" t="str">
        <f t="shared" si="482"/>
        <v>METROPOLITANA</v>
      </c>
    </row>
    <row r="5633" spans="1:22" x14ac:dyDescent="0.2">
      <c r="A5633" s="23" t="s">
        <v>6810</v>
      </c>
      <c r="B5633" s="22" t="s">
        <v>18</v>
      </c>
      <c r="C5633" s="22" t="s">
        <v>29</v>
      </c>
      <c r="D5633" s="22" t="s">
        <v>6221</v>
      </c>
      <c r="E5633" s="24" t="s">
        <v>6814</v>
      </c>
      <c r="F5633" s="22" t="s">
        <v>39</v>
      </c>
      <c r="G5633" s="25">
        <v>26057.600000000009</v>
      </c>
      <c r="H5633" s="22" t="s">
        <v>24</v>
      </c>
      <c r="I5633" s="22">
        <v>1</v>
      </c>
      <c r="J5633" s="22" t="s">
        <v>39</v>
      </c>
      <c r="K5633" s="22" t="s">
        <v>23</v>
      </c>
      <c r="L5633" s="22">
        <v>1</v>
      </c>
      <c r="M5633" s="26">
        <v>286634</v>
      </c>
      <c r="N5633" s="26">
        <v>0</v>
      </c>
      <c r="O5633" s="15">
        <f t="shared" si="485"/>
        <v>286634</v>
      </c>
      <c r="P5633" s="15">
        <f t="shared" si="484"/>
        <v>11.00001535060788</v>
      </c>
      <c r="Q5633" s="25">
        <v>5000</v>
      </c>
      <c r="R5633" s="22">
        <v>100</v>
      </c>
      <c r="S5633" s="22" t="s">
        <v>6815</v>
      </c>
      <c r="T5633" s="22">
        <f t="shared" si="480"/>
        <v>10</v>
      </c>
      <c r="U5633" s="22">
        <f t="shared" si="481"/>
        <v>2022</v>
      </c>
      <c r="V5633" s="22" t="str">
        <f t="shared" si="482"/>
        <v>METROPOLITANA</v>
      </c>
    </row>
    <row r="5634" spans="1:22" x14ac:dyDescent="0.2">
      <c r="A5634" s="23" t="s">
        <v>6810</v>
      </c>
      <c r="B5634" s="22" t="s">
        <v>33</v>
      </c>
      <c r="C5634" s="22" t="s">
        <v>270</v>
      </c>
      <c r="D5634" s="22" t="s">
        <v>786</v>
      </c>
      <c r="E5634" s="24" t="s">
        <v>787</v>
      </c>
      <c r="F5634" s="22" t="s">
        <v>120</v>
      </c>
      <c r="G5634" s="25">
        <v>15882</v>
      </c>
      <c r="H5634" s="22" t="s">
        <v>788</v>
      </c>
      <c r="I5634" s="22">
        <v>1</v>
      </c>
      <c r="J5634" s="22" t="s">
        <v>120</v>
      </c>
      <c r="K5634" s="22" t="s">
        <v>23</v>
      </c>
      <c r="L5634" s="22">
        <v>5</v>
      </c>
      <c r="M5634" s="26">
        <v>120000</v>
      </c>
      <c r="N5634" s="26">
        <v>0</v>
      </c>
      <c r="O5634" s="15">
        <f t="shared" si="485"/>
        <v>120000</v>
      </c>
      <c r="P5634" s="15">
        <f t="shared" si="484"/>
        <v>7.555723460521345</v>
      </c>
      <c r="Q5634" s="25">
        <v>10000</v>
      </c>
      <c r="R5634" s="22">
        <v>100</v>
      </c>
      <c r="S5634" s="22" t="s">
        <v>6816</v>
      </c>
      <c r="T5634" s="22">
        <f t="shared" si="480"/>
        <v>10</v>
      </c>
      <c r="U5634" s="22">
        <f t="shared" si="481"/>
        <v>2022</v>
      </c>
      <c r="V5634" s="22" t="str">
        <f t="shared" si="482"/>
        <v>METROPOLITANA</v>
      </c>
    </row>
    <row r="5635" spans="1:22" x14ac:dyDescent="0.2">
      <c r="A5635" s="23" t="s">
        <v>6810</v>
      </c>
      <c r="B5635" s="22" t="s">
        <v>33</v>
      </c>
      <c r="C5635" s="22" t="s">
        <v>29</v>
      </c>
      <c r="D5635" s="22" t="s">
        <v>38</v>
      </c>
      <c r="E5635" s="24" t="s">
        <v>42</v>
      </c>
      <c r="F5635" s="22" t="s">
        <v>39</v>
      </c>
      <c r="G5635" s="25">
        <v>8067.2299999999987</v>
      </c>
      <c r="H5635" s="22" t="s">
        <v>43</v>
      </c>
      <c r="I5635" s="22">
        <v>0</v>
      </c>
      <c r="J5635" s="22" t="s">
        <v>39</v>
      </c>
      <c r="K5635" s="22" t="s">
        <v>23</v>
      </c>
      <c r="L5635" s="22">
        <v>1</v>
      </c>
      <c r="M5635" s="26">
        <v>88740</v>
      </c>
      <c r="N5635" s="26">
        <v>0</v>
      </c>
      <c r="O5635" s="15">
        <f t="shared" si="485"/>
        <v>88740</v>
      </c>
      <c r="P5635" s="15">
        <f t="shared" si="484"/>
        <v>11.000058260394214</v>
      </c>
      <c r="Q5635" s="25">
        <v>5000</v>
      </c>
      <c r="R5635" s="22">
        <v>100</v>
      </c>
      <c r="S5635" s="22" t="s">
        <v>6817</v>
      </c>
      <c r="T5635" s="22">
        <f t="shared" si="480"/>
        <v>10</v>
      </c>
      <c r="U5635" s="22">
        <f t="shared" si="481"/>
        <v>2022</v>
      </c>
      <c r="V5635" s="22" t="str">
        <f t="shared" si="482"/>
        <v>METROPOLITANA</v>
      </c>
    </row>
    <row r="5636" spans="1:22" x14ac:dyDescent="0.2">
      <c r="A5636" s="23" t="s">
        <v>6810</v>
      </c>
      <c r="B5636" s="22" t="s">
        <v>33</v>
      </c>
      <c r="C5636" s="22" t="s">
        <v>29</v>
      </c>
      <c r="D5636" s="22" t="s">
        <v>38</v>
      </c>
      <c r="E5636" s="24" t="s">
        <v>42</v>
      </c>
      <c r="F5636" s="22" t="s">
        <v>134</v>
      </c>
      <c r="G5636" s="25">
        <v>7253.1000000000013</v>
      </c>
      <c r="H5636" s="22" t="s">
        <v>43</v>
      </c>
      <c r="I5636" s="22">
        <v>0</v>
      </c>
      <c r="J5636" s="22" t="s">
        <v>134</v>
      </c>
      <c r="K5636" s="22" t="s">
        <v>23</v>
      </c>
      <c r="L5636" s="22">
        <v>2</v>
      </c>
      <c r="M5636" s="26">
        <v>79784</v>
      </c>
      <c r="N5636" s="26">
        <v>0</v>
      </c>
      <c r="O5636" s="15">
        <f t="shared" si="485"/>
        <v>79784</v>
      </c>
      <c r="P5636" s="15">
        <f t="shared" si="484"/>
        <v>10.99998621279177</v>
      </c>
      <c r="Q5636" s="25">
        <v>5000</v>
      </c>
      <c r="R5636" s="22">
        <v>100</v>
      </c>
      <c r="S5636" s="22" t="s">
        <v>6818</v>
      </c>
      <c r="T5636" s="22">
        <f t="shared" si="480"/>
        <v>10</v>
      </c>
      <c r="U5636" s="22">
        <f t="shared" si="481"/>
        <v>2022</v>
      </c>
      <c r="V5636" s="22" t="str">
        <f t="shared" si="482"/>
        <v>METROPOLITANA</v>
      </c>
    </row>
    <row r="5637" spans="1:22" x14ac:dyDescent="0.2">
      <c r="A5637" s="23" t="s">
        <v>6810</v>
      </c>
      <c r="B5637" s="22" t="s">
        <v>33</v>
      </c>
      <c r="C5637" s="22" t="s">
        <v>29</v>
      </c>
      <c r="D5637" s="22" t="s">
        <v>37</v>
      </c>
      <c r="E5637" s="24" t="s">
        <v>40</v>
      </c>
      <c r="F5637" s="22" t="s">
        <v>129</v>
      </c>
      <c r="G5637" s="25">
        <v>4258.4100000000017</v>
      </c>
      <c r="H5637" s="22" t="s">
        <v>22</v>
      </c>
      <c r="I5637" s="22">
        <v>0</v>
      </c>
      <c r="J5637" s="22" t="s">
        <v>129</v>
      </c>
      <c r="K5637" s="22" t="s">
        <v>23</v>
      </c>
      <c r="L5637" s="22">
        <v>1</v>
      </c>
      <c r="M5637" s="26">
        <v>55000</v>
      </c>
      <c r="N5637" s="26">
        <v>0</v>
      </c>
      <c r="O5637" s="15">
        <f t="shared" si="485"/>
        <v>55000</v>
      </c>
      <c r="P5637" s="15">
        <f t="shared" si="484"/>
        <v>12.915618740327957</v>
      </c>
      <c r="Q5637" s="25">
        <v>5000</v>
      </c>
      <c r="R5637" s="22">
        <v>85</v>
      </c>
      <c r="S5637" s="22" t="s">
        <v>6819</v>
      </c>
      <c r="T5637" s="22">
        <f t="shared" si="480"/>
        <v>10</v>
      </c>
      <c r="U5637" s="22">
        <f t="shared" si="481"/>
        <v>2022</v>
      </c>
      <c r="V5637" s="22" t="str">
        <f t="shared" si="482"/>
        <v>METROPOLITANA</v>
      </c>
    </row>
    <row r="5638" spans="1:22" x14ac:dyDescent="0.2">
      <c r="A5638" s="23" t="s">
        <v>6810</v>
      </c>
      <c r="B5638" s="22" t="s">
        <v>33</v>
      </c>
      <c r="C5638" s="22" t="s">
        <v>29</v>
      </c>
      <c r="D5638" s="22" t="s">
        <v>164</v>
      </c>
      <c r="E5638" s="24" t="s">
        <v>1576</v>
      </c>
      <c r="F5638" s="22" t="s">
        <v>39</v>
      </c>
      <c r="G5638" s="25">
        <v>10467.719999999999</v>
      </c>
      <c r="H5638" s="22" t="s">
        <v>22</v>
      </c>
      <c r="I5638" s="22">
        <v>1</v>
      </c>
      <c r="J5638" s="22" t="s">
        <v>39</v>
      </c>
      <c r="K5638" s="22" t="s">
        <v>23</v>
      </c>
      <c r="L5638" s="22">
        <v>1</v>
      </c>
      <c r="M5638" s="26">
        <v>115145</v>
      </c>
      <c r="N5638" s="26">
        <v>0</v>
      </c>
      <c r="O5638" s="15">
        <f t="shared" si="485"/>
        <v>115145</v>
      </c>
      <c r="P5638" s="15">
        <f t="shared" si="484"/>
        <v>11.000007642542981</v>
      </c>
      <c r="Q5638" s="25">
        <v>5000</v>
      </c>
      <c r="R5638" s="22">
        <v>100</v>
      </c>
      <c r="S5638" s="22" t="s">
        <v>6820</v>
      </c>
      <c r="T5638" s="22">
        <f t="shared" si="480"/>
        <v>10</v>
      </c>
      <c r="U5638" s="22">
        <f t="shared" si="481"/>
        <v>2022</v>
      </c>
      <c r="V5638" s="22" t="str">
        <f t="shared" si="482"/>
        <v>METROPOLITANA</v>
      </c>
    </row>
    <row r="5639" spans="1:22" x14ac:dyDescent="0.2">
      <c r="A5639" s="23" t="s">
        <v>6810</v>
      </c>
      <c r="B5639" s="22" t="s">
        <v>33</v>
      </c>
      <c r="C5639" s="22" t="s">
        <v>29</v>
      </c>
      <c r="D5639" s="22" t="s">
        <v>20</v>
      </c>
      <c r="E5639" s="24" t="s">
        <v>21</v>
      </c>
      <c r="F5639" s="22" t="s">
        <v>39</v>
      </c>
      <c r="G5639" s="25">
        <v>7262.5999999999995</v>
      </c>
      <c r="H5639" s="22" t="s">
        <v>22</v>
      </c>
      <c r="I5639" s="22">
        <v>0</v>
      </c>
      <c r="J5639" s="22" t="s">
        <v>39</v>
      </c>
      <c r="K5639" s="22" t="s">
        <v>23</v>
      </c>
      <c r="L5639" s="22">
        <v>1</v>
      </c>
      <c r="M5639" s="26">
        <v>79889</v>
      </c>
      <c r="N5639" s="26">
        <v>0</v>
      </c>
      <c r="O5639" s="15">
        <f t="shared" si="485"/>
        <v>79889</v>
      </c>
      <c r="P5639" s="15">
        <f t="shared" si="484"/>
        <v>11.000055076694297</v>
      </c>
      <c r="Q5639" s="25">
        <v>5000</v>
      </c>
      <c r="R5639" s="22">
        <v>100</v>
      </c>
      <c r="S5639" s="22" t="s">
        <v>6821</v>
      </c>
      <c r="T5639" s="22">
        <f t="shared" ref="T5639:T5702" si="486">MONTH(A5639)</f>
        <v>10</v>
      </c>
      <c r="U5639" s="22">
        <f t="shared" ref="U5639:U5702" si="487">YEAR(A5639)</f>
        <v>2022</v>
      </c>
      <c r="V5639" s="22" t="str">
        <f t="shared" ref="V5639:V5702" si="488">IF(K5639="METROPOLITANA DE SANTIAGO","METROPOLITANA","REGIONES")</f>
        <v>METROPOLITANA</v>
      </c>
    </row>
    <row r="5640" spans="1:22" x14ac:dyDescent="0.2">
      <c r="A5640" s="23" t="s">
        <v>6810</v>
      </c>
      <c r="B5640" s="22" t="s">
        <v>33</v>
      </c>
      <c r="C5640" s="22" t="s">
        <v>44</v>
      </c>
      <c r="D5640" s="22" t="s">
        <v>4569</v>
      </c>
      <c r="E5640" s="24" t="s">
        <v>868</v>
      </c>
      <c r="F5640" s="22" t="s">
        <v>1105</v>
      </c>
      <c r="G5640" s="25">
        <f>5420.46+3691</f>
        <v>9111.4599999999991</v>
      </c>
      <c r="H5640" s="22" t="s">
        <v>24</v>
      </c>
      <c r="I5640" s="22">
        <v>1</v>
      </c>
      <c r="J5640" s="22" t="s">
        <v>1105</v>
      </c>
      <c r="K5640" s="22" t="s">
        <v>873</v>
      </c>
      <c r="L5640" s="22">
        <v>0</v>
      </c>
      <c r="M5640" s="26">
        <v>950000</v>
      </c>
      <c r="N5640" s="26">
        <v>0</v>
      </c>
      <c r="O5640" s="15">
        <f t="shared" si="485"/>
        <v>950000</v>
      </c>
      <c r="P5640" s="15">
        <f t="shared" si="484"/>
        <v>104.26430012314164</v>
      </c>
      <c r="Q5640" s="25">
        <v>20000</v>
      </c>
      <c r="R5640" s="22">
        <v>55</v>
      </c>
      <c r="S5640" s="22" t="s">
        <v>6826</v>
      </c>
      <c r="T5640" s="22">
        <f t="shared" si="486"/>
        <v>10</v>
      </c>
      <c r="U5640" s="22">
        <f t="shared" si="487"/>
        <v>2022</v>
      </c>
      <c r="V5640" s="22" t="str">
        <f t="shared" si="488"/>
        <v>REGIONES</v>
      </c>
    </row>
    <row r="5641" spans="1:22" x14ac:dyDescent="0.2">
      <c r="A5641" s="23" t="s">
        <v>6810</v>
      </c>
      <c r="B5641" s="22" t="s">
        <v>33</v>
      </c>
      <c r="C5641" s="22" t="s">
        <v>44</v>
      </c>
      <c r="D5641" s="22" t="s">
        <v>311</v>
      </c>
      <c r="E5641" s="24" t="s">
        <v>6822</v>
      </c>
      <c r="F5641" s="22" t="s">
        <v>3139</v>
      </c>
      <c r="G5641" s="25">
        <f>4066.48+4172</f>
        <v>8238.48</v>
      </c>
      <c r="H5641" s="22" t="s">
        <v>85</v>
      </c>
      <c r="I5641" s="22">
        <v>1</v>
      </c>
      <c r="J5641" s="22" t="s">
        <v>3139</v>
      </c>
      <c r="K5641" s="22" t="s">
        <v>93</v>
      </c>
      <c r="L5641" s="22">
        <v>0</v>
      </c>
      <c r="M5641" s="26">
        <v>530000</v>
      </c>
      <c r="N5641" s="26">
        <v>0</v>
      </c>
      <c r="O5641" s="15">
        <f t="shared" si="485"/>
        <v>530000</v>
      </c>
      <c r="P5641" s="15">
        <f t="shared" si="484"/>
        <v>64.332255464600266</v>
      </c>
      <c r="Q5641" s="25">
        <v>20000</v>
      </c>
      <c r="R5641" s="22">
        <v>55</v>
      </c>
      <c r="S5641" s="22" t="s">
        <v>6825</v>
      </c>
      <c r="T5641" s="22">
        <f t="shared" si="486"/>
        <v>10</v>
      </c>
      <c r="U5641" s="22">
        <f t="shared" si="487"/>
        <v>2022</v>
      </c>
      <c r="V5641" s="22" t="str">
        <f t="shared" si="488"/>
        <v>REGIONES</v>
      </c>
    </row>
    <row r="5642" spans="1:22" x14ac:dyDescent="0.2">
      <c r="A5642" s="23" t="s">
        <v>6810</v>
      </c>
      <c r="B5642" s="22" t="s">
        <v>33</v>
      </c>
      <c r="C5642" s="22" t="s">
        <v>44</v>
      </c>
      <c r="D5642" s="22" t="s">
        <v>47</v>
      </c>
      <c r="E5642" s="24" t="s">
        <v>49</v>
      </c>
      <c r="F5642" s="22" t="s">
        <v>182</v>
      </c>
      <c r="G5642" s="25">
        <v>2500.599999999999</v>
      </c>
      <c r="H5642" s="22" t="s">
        <v>22</v>
      </c>
      <c r="I5642" s="22">
        <v>0</v>
      </c>
      <c r="J5642" s="22" t="s">
        <v>182</v>
      </c>
      <c r="K5642" s="22" t="s">
        <v>23</v>
      </c>
      <c r="L5642" s="22">
        <v>4</v>
      </c>
      <c r="M5642" s="26">
        <v>55000</v>
      </c>
      <c r="N5642" s="26">
        <v>0</v>
      </c>
      <c r="O5642" s="15">
        <f t="shared" si="485"/>
        <v>55000</v>
      </c>
      <c r="P5642" s="15">
        <f t="shared" si="484"/>
        <v>21.994721266895954</v>
      </c>
      <c r="Q5642" s="25">
        <v>5000</v>
      </c>
      <c r="R5642" s="22">
        <v>50</v>
      </c>
      <c r="S5642" s="22" t="s">
        <v>6823</v>
      </c>
      <c r="T5642" s="22">
        <f t="shared" si="486"/>
        <v>10</v>
      </c>
      <c r="U5642" s="22">
        <f t="shared" si="487"/>
        <v>2022</v>
      </c>
      <c r="V5642" s="22" t="str">
        <f t="shared" si="488"/>
        <v>METROPOLITANA</v>
      </c>
    </row>
    <row r="5643" spans="1:22" x14ac:dyDescent="0.2">
      <c r="A5643" s="11" t="s">
        <v>6827</v>
      </c>
      <c r="B5643" s="12" t="s">
        <v>18</v>
      </c>
      <c r="C5643" s="12" t="s">
        <v>1997</v>
      </c>
      <c r="D5643" s="12" t="s">
        <v>30</v>
      </c>
      <c r="E5643" s="13" t="s">
        <v>31</v>
      </c>
      <c r="F5643" s="12" t="s">
        <v>58</v>
      </c>
      <c r="G5643" s="14">
        <v>15797.95</v>
      </c>
      <c r="H5643" s="12" t="s">
        <v>32</v>
      </c>
      <c r="I5643" s="12">
        <v>0</v>
      </c>
      <c r="J5643" s="12" t="s">
        <v>58</v>
      </c>
      <c r="K5643" s="12" t="s">
        <v>23</v>
      </c>
      <c r="L5643" s="12">
        <v>5</v>
      </c>
      <c r="M5643" s="15">
        <v>70000</v>
      </c>
      <c r="N5643" s="15">
        <v>0</v>
      </c>
      <c r="O5643" s="15">
        <f t="shared" si="485"/>
        <v>70000</v>
      </c>
      <c r="P5643" s="15">
        <f t="shared" si="484"/>
        <v>4.4309546491791654</v>
      </c>
      <c r="Q5643" s="14">
        <v>10000</v>
      </c>
      <c r="R5643" s="12">
        <v>100</v>
      </c>
      <c r="S5643" s="12" t="s">
        <v>6828</v>
      </c>
      <c r="T5643" s="22">
        <f t="shared" si="486"/>
        <v>10</v>
      </c>
      <c r="U5643" s="22">
        <f t="shared" si="487"/>
        <v>2022</v>
      </c>
      <c r="V5643" s="22" t="str">
        <f t="shared" si="488"/>
        <v>METROPOLITANA</v>
      </c>
    </row>
    <row r="5644" spans="1:22" x14ac:dyDescent="0.2">
      <c r="A5644" s="11" t="s">
        <v>6827</v>
      </c>
      <c r="B5644" s="12" t="s">
        <v>18</v>
      </c>
      <c r="C5644" s="12" t="s">
        <v>160</v>
      </c>
      <c r="D5644" s="12" t="s">
        <v>37</v>
      </c>
      <c r="E5644" s="13" t="s">
        <v>40</v>
      </c>
      <c r="F5644" s="12" t="s">
        <v>120</v>
      </c>
      <c r="G5644" s="14">
        <v>9295.44</v>
      </c>
      <c r="H5644" s="12" t="s">
        <v>22</v>
      </c>
      <c r="I5644" s="12">
        <v>0</v>
      </c>
      <c r="J5644" s="12" t="s">
        <v>120</v>
      </c>
      <c r="K5644" s="12" t="s">
        <v>23</v>
      </c>
      <c r="L5644" s="12">
        <v>5</v>
      </c>
      <c r="M5644" s="15">
        <v>70000</v>
      </c>
      <c r="N5644" s="15">
        <v>0</v>
      </c>
      <c r="O5644" s="15">
        <f t="shared" si="485"/>
        <v>70000</v>
      </c>
      <c r="P5644" s="15">
        <f t="shared" si="484"/>
        <v>7.5305741309717451</v>
      </c>
      <c r="Q5644" s="14">
        <v>10000</v>
      </c>
      <c r="R5644" s="12">
        <v>93</v>
      </c>
      <c r="S5644" s="12" t="s">
        <v>6829</v>
      </c>
      <c r="T5644" s="22">
        <f t="shared" si="486"/>
        <v>10</v>
      </c>
      <c r="U5644" s="22">
        <f t="shared" si="487"/>
        <v>2022</v>
      </c>
      <c r="V5644" s="22" t="str">
        <f t="shared" si="488"/>
        <v>METROPOLITANA</v>
      </c>
    </row>
    <row r="5645" spans="1:22" x14ac:dyDescent="0.2">
      <c r="A5645" s="11" t="s">
        <v>6827</v>
      </c>
      <c r="B5645" s="12" t="s">
        <v>18</v>
      </c>
      <c r="C5645" s="12" t="s">
        <v>160</v>
      </c>
      <c r="D5645" s="12" t="s">
        <v>41</v>
      </c>
      <c r="E5645" s="13" t="s">
        <v>25</v>
      </c>
      <c r="F5645" s="12" t="s">
        <v>120</v>
      </c>
      <c r="G5645" s="14">
        <v>9047.93</v>
      </c>
      <c r="H5645" s="12" t="s">
        <v>43</v>
      </c>
      <c r="I5645" s="12">
        <v>0</v>
      </c>
      <c r="J5645" s="12" t="s">
        <v>120</v>
      </c>
      <c r="K5645" s="12" t="s">
        <v>23</v>
      </c>
      <c r="L5645" s="12">
        <v>5</v>
      </c>
      <c r="M5645" s="15">
        <v>70000</v>
      </c>
      <c r="N5645" s="15">
        <v>0</v>
      </c>
      <c r="O5645" s="15">
        <f t="shared" si="485"/>
        <v>70000</v>
      </c>
      <c r="P5645" s="15">
        <f t="shared" si="484"/>
        <v>7.7365762113544196</v>
      </c>
      <c r="Q5645" s="14">
        <v>10000</v>
      </c>
      <c r="R5645" s="12">
        <v>90</v>
      </c>
      <c r="S5645" s="12" t="s">
        <v>6830</v>
      </c>
      <c r="T5645" s="22">
        <f t="shared" si="486"/>
        <v>10</v>
      </c>
      <c r="U5645" s="22">
        <f t="shared" si="487"/>
        <v>2022</v>
      </c>
      <c r="V5645" s="22" t="str">
        <f t="shared" si="488"/>
        <v>METROPOLITANA</v>
      </c>
    </row>
    <row r="5646" spans="1:22" x14ac:dyDescent="0.2">
      <c r="A5646" s="11" t="s">
        <v>6827</v>
      </c>
      <c r="B5646" s="12" t="s">
        <v>18</v>
      </c>
      <c r="C5646" s="12" t="s">
        <v>19</v>
      </c>
      <c r="D5646" s="12" t="s">
        <v>38</v>
      </c>
      <c r="E5646" s="13" t="s">
        <v>42</v>
      </c>
      <c r="F5646" s="12" t="s">
        <v>51</v>
      </c>
      <c r="G5646" s="14">
        <v>14334.32</v>
      </c>
      <c r="H5646" s="12" t="s">
        <v>43</v>
      </c>
      <c r="I5646" s="12">
        <v>0</v>
      </c>
      <c r="J5646" s="12" t="s">
        <v>51</v>
      </c>
      <c r="K5646" s="12" t="s">
        <v>23</v>
      </c>
      <c r="L5646" s="12">
        <v>4</v>
      </c>
      <c r="M5646" s="15">
        <v>157678</v>
      </c>
      <c r="N5646" s="15">
        <v>0</v>
      </c>
      <c r="O5646" s="15">
        <f t="shared" si="485"/>
        <v>157678</v>
      </c>
      <c r="P5646" s="15">
        <f t="shared" si="484"/>
        <v>11.000033486067005</v>
      </c>
      <c r="Q5646" s="14">
        <v>5000</v>
      </c>
      <c r="R5646" s="12">
        <v>100</v>
      </c>
      <c r="S5646" s="12" t="s">
        <v>6831</v>
      </c>
      <c r="T5646" s="22">
        <f t="shared" si="486"/>
        <v>10</v>
      </c>
      <c r="U5646" s="22">
        <f t="shared" si="487"/>
        <v>2022</v>
      </c>
      <c r="V5646" s="22" t="str">
        <f t="shared" si="488"/>
        <v>METROPOLITANA</v>
      </c>
    </row>
    <row r="5647" spans="1:22" x14ac:dyDescent="0.2">
      <c r="A5647" s="11" t="s">
        <v>6827</v>
      </c>
      <c r="B5647" s="12" t="s">
        <v>18</v>
      </c>
      <c r="C5647" s="12" t="s">
        <v>19</v>
      </c>
      <c r="D5647" s="12" t="s">
        <v>786</v>
      </c>
      <c r="E5647" s="13" t="s">
        <v>787</v>
      </c>
      <c r="F5647" s="12" t="s">
        <v>407</v>
      </c>
      <c r="G5647" s="14">
        <f>9138.43+3806</f>
        <v>12944.43</v>
      </c>
      <c r="H5647" s="12" t="s">
        <v>788</v>
      </c>
      <c r="I5647" s="12">
        <v>1</v>
      </c>
      <c r="J5647" s="12" t="s">
        <v>407</v>
      </c>
      <c r="K5647" s="12" t="s">
        <v>408</v>
      </c>
      <c r="L5647" s="12">
        <v>0</v>
      </c>
      <c r="M5647" s="15">
        <v>700000</v>
      </c>
      <c r="N5647" s="15">
        <v>0</v>
      </c>
      <c r="O5647" s="15">
        <f t="shared" si="485"/>
        <v>700000</v>
      </c>
      <c r="P5647" s="15">
        <f t="shared" si="484"/>
        <v>54.077313562667491</v>
      </c>
      <c r="Q5647" s="14">
        <v>20000</v>
      </c>
      <c r="R5647" s="12">
        <v>76</v>
      </c>
      <c r="S5647" s="12" t="s">
        <v>6845</v>
      </c>
      <c r="T5647" s="22">
        <f t="shared" si="486"/>
        <v>10</v>
      </c>
      <c r="U5647" s="22">
        <f t="shared" si="487"/>
        <v>2022</v>
      </c>
      <c r="V5647" s="22" t="str">
        <f t="shared" si="488"/>
        <v>REGIONES</v>
      </c>
    </row>
    <row r="5648" spans="1:22" x14ac:dyDescent="0.2">
      <c r="A5648" s="11" t="s">
        <v>6827</v>
      </c>
      <c r="B5648" s="12" t="s">
        <v>33</v>
      </c>
      <c r="C5648" s="12" t="s">
        <v>1642</v>
      </c>
      <c r="D5648" s="12" t="s">
        <v>1170</v>
      </c>
      <c r="E5648" s="13" t="s">
        <v>81</v>
      </c>
      <c r="F5648" s="12" t="s">
        <v>66</v>
      </c>
      <c r="G5648" s="14">
        <f>3199.4+3351</f>
        <v>6550.4</v>
      </c>
      <c r="H5648" s="12" t="s">
        <v>24</v>
      </c>
      <c r="I5648" s="12">
        <v>1</v>
      </c>
      <c r="J5648" s="12" t="s">
        <v>66</v>
      </c>
      <c r="K5648" s="12" t="s">
        <v>75</v>
      </c>
      <c r="L5648" s="12">
        <v>0</v>
      </c>
      <c r="M5648" s="15">
        <v>430000</v>
      </c>
      <c r="N5648" s="15">
        <v>0</v>
      </c>
      <c r="O5648" s="15">
        <f t="shared" si="485"/>
        <v>430000</v>
      </c>
      <c r="P5648" s="15">
        <f t="shared" si="484"/>
        <v>65.644846116267715</v>
      </c>
      <c r="Q5648" s="14">
        <v>20000</v>
      </c>
      <c r="R5648" s="12">
        <v>55</v>
      </c>
      <c r="S5648" s="12" t="s">
        <v>6846</v>
      </c>
      <c r="T5648" s="22">
        <f t="shared" si="486"/>
        <v>10</v>
      </c>
      <c r="U5648" s="22">
        <f t="shared" si="487"/>
        <v>2022</v>
      </c>
      <c r="V5648" s="22" t="str">
        <f t="shared" si="488"/>
        <v>REGIONES</v>
      </c>
    </row>
    <row r="5649" spans="1:22" x14ac:dyDescent="0.2">
      <c r="A5649" s="11" t="s">
        <v>6827</v>
      </c>
      <c r="B5649" s="12" t="s">
        <v>33</v>
      </c>
      <c r="C5649" s="12" t="s">
        <v>270</v>
      </c>
      <c r="D5649" s="12" t="s">
        <v>2955</v>
      </c>
      <c r="E5649" s="13" t="s">
        <v>2956</v>
      </c>
      <c r="F5649" s="12" t="s">
        <v>120</v>
      </c>
      <c r="G5649" s="14">
        <v>27629.200000000001</v>
      </c>
      <c r="H5649" s="12" t="s">
        <v>24</v>
      </c>
      <c r="I5649" s="12">
        <v>1</v>
      </c>
      <c r="J5649" s="12" t="s">
        <v>120</v>
      </c>
      <c r="K5649" s="12" t="s">
        <v>23</v>
      </c>
      <c r="L5649" s="12">
        <v>5</v>
      </c>
      <c r="M5649" s="15">
        <v>120000</v>
      </c>
      <c r="N5649" s="15">
        <v>0</v>
      </c>
      <c r="O5649" s="15">
        <f t="shared" si="485"/>
        <v>120000</v>
      </c>
      <c r="P5649" s="15">
        <f t="shared" si="484"/>
        <v>4.3432310743705935</v>
      </c>
      <c r="Q5649" s="14">
        <v>10000</v>
      </c>
      <c r="R5649" s="12">
        <v>100</v>
      </c>
      <c r="S5649" s="12" t="s">
        <v>6832</v>
      </c>
      <c r="T5649" s="22">
        <f t="shared" si="486"/>
        <v>10</v>
      </c>
      <c r="U5649" s="22">
        <f t="shared" si="487"/>
        <v>2022</v>
      </c>
      <c r="V5649" s="22" t="str">
        <f t="shared" si="488"/>
        <v>METROPOLITANA</v>
      </c>
    </row>
    <row r="5650" spans="1:22" x14ac:dyDescent="0.2">
      <c r="A5650" s="11" t="s">
        <v>6827</v>
      </c>
      <c r="B5650" s="12" t="s">
        <v>33</v>
      </c>
      <c r="C5650" s="12" t="s">
        <v>60</v>
      </c>
      <c r="D5650" s="12" t="s">
        <v>191</v>
      </c>
      <c r="E5650" s="13" t="s">
        <v>192</v>
      </c>
      <c r="F5650" s="12" t="s">
        <v>51</v>
      </c>
      <c r="G5650" s="14">
        <v>15703.6</v>
      </c>
      <c r="H5650" s="12" t="s">
        <v>85</v>
      </c>
      <c r="I5650" s="12">
        <v>1</v>
      </c>
      <c r="J5650" s="12" t="s">
        <v>51</v>
      </c>
      <c r="K5650" s="12" t="s">
        <v>23</v>
      </c>
      <c r="L5650" s="12">
        <v>4</v>
      </c>
      <c r="M5650" s="15">
        <v>1</v>
      </c>
      <c r="N5650" s="15">
        <v>0</v>
      </c>
      <c r="O5650" s="15">
        <v>1</v>
      </c>
      <c r="P5650" s="15">
        <f t="shared" si="484"/>
        <v>6.3679665809113827E-5</v>
      </c>
      <c r="Q5650" s="14">
        <v>5000</v>
      </c>
      <c r="R5650" s="12">
        <v>100</v>
      </c>
      <c r="S5650" s="12" t="s">
        <v>6833</v>
      </c>
      <c r="T5650" s="22">
        <f t="shared" si="486"/>
        <v>10</v>
      </c>
      <c r="U5650" s="22">
        <f t="shared" si="487"/>
        <v>2022</v>
      </c>
      <c r="V5650" s="22" t="str">
        <f t="shared" si="488"/>
        <v>METROPOLITANA</v>
      </c>
    </row>
    <row r="5651" spans="1:22" x14ac:dyDescent="0.2">
      <c r="A5651" s="11" t="s">
        <v>6827</v>
      </c>
      <c r="B5651" s="12" t="s">
        <v>33</v>
      </c>
      <c r="C5651" s="12" t="s">
        <v>36</v>
      </c>
      <c r="D5651" s="12" t="s">
        <v>6834</v>
      </c>
      <c r="E5651" s="13" t="s">
        <v>6835</v>
      </c>
      <c r="F5651" s="12" t="s">
        <v>305</v>
      </c>
      <c r="G5651" s="14">
        <v>8002.9999999999973</v>
      </c>
      <c r="H5651" s="12" t="s">
        <v>24</v>
      </c>
      <c r="I5651" s="12">
        <v>1</v>
      </c>
      <c r="J5651" s="12" t="s">
        <v>305</v>
      </c>
      <c r="K5651" s="12" t="s">
        <v>306</v>
      </c>
      <c r="L5651" s="12">
        <v>0</v>
      </c>
      <c r="M5651" s="15">
        <v>1600000</v>
      </c>
      <c r="N5651" s="15">
        <v>0</v>
      </c>
      <c r="O5651" s="15">
        <f t="shared" ref="O5651:O5714" si="489">SUM(M5651:N5651)</f>
        <v>1600000</v>
      </c>
      <c r="P5651" s="15">
        <f t="shared" si="484"/>
        <v>199.92502811445715</v>
      </c>
      <c r="Q5651" s="14">
        <v>20000</v>
      </c>
      <c r="R5651" s="12">
        <v>40</v>
      </c>
      <c r="S5651" s="12" t="s">
        <v>6836</v>
      </c>
      <c r="T5651" s="22">
        <f t="shared" si="486"/>
        <v>10</v>
      </c>
      <c r="U5651" s="22">
        <f t="shared" si="487"/>
        <v>2022</v>
      </c>
      <c r="V5651" s="22" t="str">
        <f t="shared" si="488"/>
        <v>REGIONES</v>
      </c>
    </row>
    <row r="5652" spans="1:22" x14ac:dyDescent="0.2">
      <c r="A5652" s="11" t="s">
        <v>6827</v>
      </c>
      <c r="B5652" s="12" t="s">
        <v>33</v>
      </c>
      <c r="C5652" s="12" t="s">
        <v>3961</v>
      </c>
      <c r="D5652" s="12" t="s">
        <v>130</v>
      </c>
      <c r="E5652" s="13" t="s">
        <v>131</v>
      </c>
      <c r="F5652" s="12" t="s">
        <v>1783</v>
      </c>
      <c r="G5652" s="14">
        <f>15008+6965</f>
        <v>21973</v>
      </c>
      <c r="H5652" s="12" t="s">
        <v>85</v>
      </c>
      <c r="I5652" s="12">
        <v>1</v>
      </c>
      <c r="J5652" s="12" t="s">
        <v>1784</v>
      </c>
      <c r="K5652" s="12" t="s">
        <v>23</v>
      </c>
      <c r="L5652" s="12">
        <v>5</v>
      </c>
      <c r="M5652" s="15">
        <v>120000</v>
      </c>
      <c r="N5652" s="15">
        <v>0</v>
      </c>
      <c r="O5652" s="15">
        <f t="shared" si="489"/>
        <v>120000</v>
      </c>
      <c r="P5652" s="15">
        <f t="shared" si="484"/>
        <v>5.4612478951440409</v>
      </c>
      <c r="Q5652" s="14">
        <v>10000</v>
      </c>
      <c r="R5652" s="12">
        <v>100</v>
      </c>
      <c r="S5652" s="12" t="s">
        <v>6847</v>
      </c>
      <c r="T5652" s="22">
        <f t="shared" si="486"/>
        <v>10</v>
      </c>
      <c r="U5652" s="22">
        <f t="shared" si="487"/>
        <v>2022</v>
      </c>
      <c r="V5652" s="22" t="str">
        <f t="shared" si="488"/>
        <v>METROPOLITANA</v>
      </c>
    </row>
    <row r="5653" spans="1:22" x14ac:dyDescent="0.2">
      <c r="A5653" s="11" t="s">
        <v>6827</v>
      </c>
      <c r="B5653" s="12" t="s">
        <v>33</v>
      </c>
      <c r="C5653" s="12" t="s">
        <v>29</v>
      </c>
      <c r="D5653" s="12" t="s">
        <v>41</v>
      </c>
      <c r="E5653" s="13" t="s">
        <v>25</v>
      </c>
      <c r="F5653" s="12" t="s">
        <v>39</v>
      </c>
      <c r="G5653" s="14">
        <v>6189.4</v>
      </c>
      <c r="H5653" s="12" t="s">
        <v>43</v>
      </c>
      <c r="I5653" s="12">
        <v>0</v>
      </c>
      <c r="J5653" s="12" t="s">
        <v>39</v>
      </c>
      <c r="K5653" s="12" t="s">
        <v>23</v>
      </c>
      <c r="L5653" s="12">
        <v>1</v>
      </c>
      <c r="M5653" s="15">
        <v>68083</v>
      </c>
      <c r="N5653" s="15">
        <v>0</v>
      </c>
      <c r="O5653" s="15">
        <f t="shared" si="489"/>
        <v>68083</v>
      </c>
      <c r="P5653" s="15">
        <f t="shared" si="484"/>
        <v>10.999935373380296</v>
      </c>
      <c r="Q5653" s="14">
        <v>5000</v>
      </c>
      <c r="R5653" s="12">
        <v>100</v>
      </c>
      <c r="S5653" s="12" t="s">
        <v>6837</v>
      </c>
      <c r="T5653" s="22">
        <f t="shared" si="486"/>
        <v>10</v>
      </c>
      <c r="U5653" s="22">
        <f t="shared" si="487"/>
        <v>2022</v>
      </c>
      <c r="V5653" s="22" t="str">
        <f t="shared" si="488"/>
        <v>METROPOLITANA</v>
      </c>
    </row>
    <row r="5654" spans="1:22" x14ac:dyDescent="0.2">
      <c r="A5654" s="11" t="s">
        <v>6827</v>
      </c>
      <c r="B5654" s="12" t="s">
        <v>33</v>
      </c>
      <c r="C5654" s="12" t="s">
        <v>29</v>
      </c>
      <c r="D5654" s="12" t="s">
        <v>164</v>
      </c>
      <c r="E5654" s="13" t="s">
        <v>1576</v>
      </c>
      <c r="F5654" s="12" t="s">
        <v>39</v>
      </c>
      <c r="G5654" s="14">
        <v>15758.4</v>
      </c>
      <c r="H5654" s="12" t="s">
        <v>22</v>
      </c>
      <c r="I5654" s="12">
        <v>1</v>
      </c>
      <c r="J5654" s="12" t="s">
        <v>39</v>
      </c>
      <c r="K5654" s="12" t="s">
        <v>23</v>
      </c>
      <c r="L5654" s="12">
        <v>1</v>
      </c>
      <c r="M5654" s="15">
        <v>173342</v>
      </c>
      <c r="N5654" s="15">
        <v>0</v>
      </c>
      <c r="O5654" s="15">
        <f t="shared" si="489"/>
        <v>173342</v>
      </c>
      <c r="P5654" s="15">
        <f t="shared" si="484"/>
        <v>10.999974616712358</v>
      </c>
      <c r="Q5654" s="14">
        <v>5000</v>
      </c>
      <c r="R5654" s="12">
        <v>100</v>
      </c>
      <c r="S5654" s="12" t="s">
        <v>6838</v>
      </c>
      <c r="T5654" s="22">
        <f t="shared" si="486"/>
        <v>10</v>
      </c>
      <c r="U5654" s="22">
        <f t="shared" si="487"/>
        <v>2022</v>
      </c>
      <c r="V5654" s="22" t="str">
        <f t="shared" si="488"/>
        <v>METROPOLITANA</v>
      </c>
    </row>
    <row r="5655" spans="1:22" x14ac:dyDescent="0.2">
      <c r="A5655" s="11" t="s">
        <v>6827</v>
      </c>
      <c r="B5655" s="12" t="s">
        <v>33</v>
      </c>
      <c r="C5655" s="12" t="s">
        <v>29</v>
      </c>
      <c r="D5655" s="12" t="s">
        <v>20</v>
      </c>
      <c r="E5655" s="13" t="s">
        <v>21</v>
      </c>
      <c r="F5655" s="12" t="s">
        <v>39</v>
      </c>
      <c r="G5655" s="14">
        <v>7512.5999999999995</v>
      </c>
      <c r="H5655" s="12" t="s">
        <v>22</v>
      </c>
      <c r="I5655" s="12">
        <v>0</v>
      </c>
      <c r="J5655" s="12" t="s">
        <v>39</v>
      </c>
      <c r="K5655" s="12" t="s">
        <v>23</v>
      </c>
      <c r="L5655" s="12">
        <v>1</v>
      </c>
      <c r="M5655" s="15">
        <v>82639</v>
      </c>
      <c r="N5655" s="15">
        <v>0</v>
      </c>
      <c r="O5655" s="15">
        <f t="shared" si="489"/>
        <v>82639</v>
      </c>
      <c r="P5655" s="15">
        <f t="shared" si="484"/>
        <v>11.00005324388361</v>
      </c>
      <c r="Q5655" s="14">
        <v>5000</v>
      </c>
      <c r="R5655" s="12">
        <v>100</v>
      </c>
      <c r="S5655" s="12" t="s">
        <v>6839</v>
      </c>
      <c r="T5655" s="22">
        <f t="shared" si="486"/>
        <v>10</v>
      </c>
      <c r="U5655" s="22">
        <f t="shared" si="487"/>
        <v>2022</v>
      </c>
      <c r="V5655" s="22" t="str">
        <f t="shared" si="488"/>
        <v>METROPOLITANA</v>
      </c>
    </row>
    <row r="5656" spans="1:22" x14ac:dyDescent="0.2">
      <c r="A5656" s="11" t="s">
        <v>6827</v>
      </c>
      <c r="B5656" s="12" t="s">
        <v>33</v>
      </c>
      <c r="C5656" s="12" t="s">
        <v>44</v>
      </c>
      <c r="D5656" s="12" t="s">
        <v>37</v>
      </c>
      <c r="E5656" s="13" t="s">
        <v>40</v>
      </c>
      <c r="F5656" s="12" t="s">
        <v>48</v>
      </c>
      <c r="G5656" s="14">
        <v>9854.32</v>
      </c>
      <c r="H5656" s="12" t="s">
        <v>22</v>
      </c>
      <c r="I5656" s="12">
        <v>0</v>
      </c>
      <c r="J5656" s="12" t="s">
        <v>48</v>
      </c>
      <c r="K5656" s="12" t="s">
        <v>23</v>
      </c>
      <c r="L5656" s="12">
        <v>1</v>
      </c>
      <c r="M5656" s="15">
        <v>108398</v>
      </c>
      <c r="N5656" s="15">
        <v>0</v>
      </c>
      <c r="O5656" s="15">
        <f t="shared" si="489"/>
        <v>108398</v>
      </c>
      <c r="P5656" s="15">
        <f t="shared" si="484"/>
        <v>11.000048709601474</v>
      </c>
      <c r="Q5656" s="14">
        <v>5000</v>
      </c>
      <c r="R5656" s="12">
        <v>100</v>
      </c>
      <c r="S5656" s="12" t="s">
        <v>6840</v>
      </c>
      <c r="T5656" s="22">
        <f t="shared" si="486"/>
        <v>10</v>
      </c>
      <c r="U5656" s="22">
        <f t="shared" si="487"/>
        <v>2022</v>
      </c>
      <c r="V5656" s="22" t="str">
        <f t="shared" si="488"/>
        <v>METROPOLITANA</v>
      </c>
    </row>
    <row r="5657" spans="1:22" x14ac:dyDescent="0.2">
      <c r="A5657" s="11" t="s">
        <v>6827</v>
      </c>
      <c r="B5657" s="12" t="s">
        <v>33</v>
      </c>
      <c r="C5657" s="12" t="s">
        <v>44</v>
      </c>
      <c r="D5657" s="12" t="s">
        <v>45</v>
      </c>
      <c r="E5657" s="13" t="s">
        <v>52</v>
      </c>
      <c r="F5657" s="12" t="s">
        <v>6841</v>
      </c>
      <c r="G5657" s="14">
        <v>3282.64</v>
      </c>
      <c r="H5657" s="12" t="s">
        <v>22</v>
      </c>
      <c r="I5657" s="12">
        <v>0</v>
      </c>
      <c r="J5657" s="12" t="s">
        <v>6841</v>
      </c>
      <c r="K5657" s="12" t="s">
        <v>23</v>
      </c>
      <c r="L5657" s="12">
        <v>1</v>
      </c>
      <c r="M5657" s="15">
        <v>55000</v>
      </c>
      <c r="N5657" s="15">
        <v>0</v>
      </c>
      <c r="O5657" s="15">
        <f t="shared" si="489"/>
        <v>55000</v>
      </c>
      <c r="P5657" s="15">
        <f t="shared" si="484"/>
        <v>16.754807106475276</v>
      </c>
      <c r="Q5657" s="14">
        <v>5000</v>
      </c>
      <c r="R5657" s="12">
        <v>66</v>
      </c>
      <c r="S5657" s="12" t="s">
        <v>6842</v>
      </c>
      <c r="T5657" s="22">
        <f t="shared" si="486"/>
        <v>10</v>
      </c>
      <c r="U5657" s="22">
        <f t="shared" si="487"/>
        <v>2022</v>
      </c>
      <c r="V5657" s="22" t="str">
        <f t="shared" si="488"/>
        <v>METROPOLITANA</v>
      </c>
    </row>
    <row r="5658" spans="1:22" x14ac:dyDescent="0.2">
      <c r="A5658" s="11" t="s">
        <v>6827</v>
      </c>
      <c r="B5658" s="12" t="s">
        <v>33</v>
      </c>
      <c r="C5658" s="12" t="s">
        <v>44</v>
      </c>
      <c r="D5658" s="12" t="s">
        <v>47</v>
      </c>
      <c r="E5658" s="13" t="s">
        <v>49</v>
      </c>
      <c r="F5658" s="12" t="s">
        <v>94</v>
      </c>
      <c r="G5658" s="14">
        <v>7044.52</v>
      </c>
      <c r="H5658" s="12" t="s">
        <v>22</v>
      </c>
      <c r="I5658" s="12">
        <v>0</v>
      </c>
      <c r="J5658" s="12" t="s">
        <v>59</v>
      </c>
      <c r="K5658" s="12" t="s">
        <v>78</v>
      </c>
      <c r="L5658" s="12">
        <v>0</v>
      </c>
      <c r="M5658" s="15">
        <v>203000</v>
      </c>
      <c r="N5658" s="15">
        <v>0</v>
      </c>
      <c r="O5658" s="15">
        <f t="shared" si="489"/>
        <v>203000</v>
      </c>
      <c r="P5658" s="15">
        <f t="shared" si="484"/>
        <v>28.816725625024841</v>
      </c>
      <c r="Q5658" s="14">
        <v>20000</v>
      </c>
      <c r="R5658" s="12">
        <v>35</v>
      </c>
      <c r="S5658" s="12" t="s">
        <v>6843</v>
      </c>
      <c r="T5658" s="22">
        <f t="shared" si="486"/>
        <v>10</v>
      </c>
      <c r="U5658" s="22">
        <f t="shared" si="487"/>
        <v>2022</v>
      </c>
      <c r="V5658" s="22" t="str">
        <f t="shared" si="488"/>
        <v>REGIONES</v>
      </c>
    </row>
    <row r="5659" spans="1:22" x14ac:dyDescent="0.2">
      <c r="A5659" s="11" t="s">
        <v>6827</v>
      </c>
      <c r="B5659" s="12" t="s">
        <v>33</v>
      </c>
      <c r="C5659" s="12" t="s">
        <v>44</v>
      </c>
      <c r="D5659" s="12" t="s">
        <v>20</v>
      </c>
      <c r="E5659" s="13" t="s">
        <v>21</v>
      </c>
      <c r="F5659" s="12" t="s">
        <v>51</v>
      </c>
      <c r="G5659" s="14">
        <v>2631.3</v>
      </c>
      <c r="H5659" s="12" t="s">
        <v>22</v>
      </c>
      <c r="I5659" s="12">
        <v>0</v>
      </c>
      <c r="J5659" s="12" t="s">
        <v>51</v>
      </c>
      <c r="K5659" s="12" t="s">
        <v>23</v>
      </c>
      <c r="L5659" s="12">
        <v>4</v>
      </c>
      <c r="M5659" s="15">
        <v>55000</v>
      </c>
      <c r="N5659" s="15">
        <v>0</v>
      </c>
      <c r="O5659" s="15">
        <f t="shared" si="489"/>
        <v>55000</v>
      </c>
      <c r="P5659" s="15">
        <f t="shared" si="484"/>
        <v>20.902215634857292</v>
      </c>
      <c r="Q5659" s="14">
        <v>5000</v>
      </c>
      <c r="R5659" s="12">
        <v>53</v>
      </c>
      <c r="S5659" s="12" t="s">
        <v>6844</v>
      </c>
      <c r="T5659" s="22">
        <f t="shared" si="486"/>
        <v>10</v>
      </c>
      <c r="U5659" s="22">
        <f t="shared" si="487"/>
        <v>2022</v>
      </c>
      <c r="V5659" s="22" t="str">
        <f t="shared" si="488"/>
        <v>METROPOLITANA</v>
      </c>
    </row>
    <row r="5660" spans="1:22" x14ac:dyDescent="0.2">
      <c r="A5660" s="23" t="s">
        <v>6848</v>
      </c>
      <c r="B5660" s="22" t="s">
        <v>18</v>
      </c>
      <c r="C5660" s="22" t="s">
        <v>1997</v>
      </c>
      <c r="D5660" s="22" t="s">
        <v>20</v>
      </c>
      <c r="E5660" s="24" t="s">
        <v>21</v>
      </c>
      <c r="F5660" s="22" t="s">
        <v>58</v>
      </c>
      <c r="G5660" s="25">
        <v>8935</v>
      </c>
      <c r="H5660" s="22" t="s">
        <v>22</v>
      </c>
      <c r="I5660" s="22">
        <v>0</v>
      </c>
      <c r="J5660" s="22" t="s">
        <v>58</v>
      </c>
      <c r="K5660" s="22" t="s">
        <v>23</v>
      </c>
      <c r="L5660" s="22">
        <v>5</v>
      </c>
      <c r="M5660" s="26">
        <v>70000</v>
      </c>
      <c r="N5660" s="26">
        <v>0</v>
      </c>
      <c r="O5660" s="15">
        <f t="shared" si="489"/>
        <v>70000</v>
      </c>
      <c r="P5660" s="15">
        <f t="shared" si="484"/>
        <v>7.8343592613318407</v>
      </c>
      <c r="Q5660" s="25">
        <v>10000</v>
      </c>
      <c r="R5660" s="22">
        <v>89</v>
      </c>
      <c r="S5660" s="22" t="s">
        <v>6849</v>
      </c>
      <c r="T5660" s="22">
        <f t="shared" si="486"/>
        <v>10</v>
      </c>
      <c r="U5660" s="22">
        <f t="shared" si="487"/>
        <v>2022</v>
      </c>
      <c r="V5660" s="22" t="str">
        <f t="shared" si="488"/>
        <v>METROPOLITANA</v>
      </c>
    </row>
    <row r="5661" spans="1:22" x14ac:dyDescent="0.2">
      <c r="A5661" s="23" t="s">
        <v>6848</v>
      </c>
      <c r="B5661" s="22" t="s">
        <v>18</v>
      </c>
      <c r="C5661" s="22" t="s">
        <v>160</v>
      </c>
      <c r="D5661" s="22" t="s">
        <v>37</v>
      </c>
      <c r="E5661" s="24" t="s">
        <v>40</v>
      </c>
      <c r="F5661" s="22" t="s">
        <v>120</v>
      </c>
      <c r="G5661" s="25">
        <v>4214.2099999999991</v>
      </c>
      <c r="H5661" s="22" t="s">
        <v>22</v>
      </c>
      <c r="I5661" s="22">
        <v>0</v>
      </c>
      <c r="J5661" s="22" t="s">
        <v>120</v>
      </c>
      <c r="K5661" s="22" t="s">
        <v>23</v>
      </c>
      <c r="L5661" s="22">
        <v>5</v>
      </c>
      <c r="M5661" s="26">
        <v>70000</v>
      </c>
      <c r="N5661" s="26">
        <v>0</v>
      </c>
      <c r="O5661" s="15">
        <f t="shared" si="489"/>
        <v>70000</v>
      </c>
      <c r="P5661" s="15">
        <f t="shared" si="484"/>
        <v>16.610467916881223</v>
      </c>
      <c r="Q5661" s="25">
        <v>10000</v>
      </c>
      <c r="R5661" s="22">
        <v>42</v>
      </c>
      <c r="S5661" s="22" t="s">
        <v>6850</v>
      </c>
      <c r="T5661" s="22">
        <f t="shared" si="486"/>
        <v>10</v>
      </c>
      <c r="U5661" s="22">
        <f t="shared" si="487"/>
        <v>2022</v>
      </c>
      <c r="V5661" s="22" t="str">
        <f t="shared" si="488"/>
        <v>METROPOLITANA</v>
      </c>
    </row>
    <row r="5662" spans="1:22" x14ac:dyDescent="0.2">
      <c r="A5662" s="23" t="s">
        <v>6848</v>
      </c>
      <c r="B5662" s="22" t="s">
        <v>18</v>
      </c>
      <c r="C5662" s="22" t="s">
        <v>19</v>
      </c>
      <c r="D5662" s="22" t="s">
        <v>30</v>
      </c>
      <c r="E5662" s="24" t="s">
        <v>31</v>
      </c>
      <c r="F5662" s="22" t="s">
        <v>51</v>
      </c>
      <c r="G5662" s="25">
        <v>11117.67</v>
      </c>
      <c r="H5662" s="22" t="s">
        <v>32</v>
      </c>
      <c r="I5662" s="22">
        <v>0</v>
      </c>
      <c r="J5662" s="22" t="s">
        <v>51</v>
      </c>
      <c r="K5662" s="22" t="s">
        <v>23</v>
      </c>
      <c r="L5662" s="22">
        <v>4</v>
      </c>
      <c r="M5662" s="26">
        <v>122294</v>
      </c>
      <c r="N5662" s="26">
        <v>0</v>
      </c>
      <c r="O5662" s="15">
        <f t="shared" si="489"/>
        <v>122294</v>
      </c>
      <c r="P5662" s="15">
        <f t="shared" si="484"/>
        <v>10.999966719645393</v>
      </c>
      <c r="Q5662" s="25">
        <v>5000</v>
      </c>
      <c r="R5662" s="22">
        <v>100</v>
      </c>
      <c r="S5662" s="22" t="s">
        <v>6851</v>
      </c>
      <c r="T5662" s="22">
        <f t="shared" si="486"/>
        <v>10</v>
      </c>
      <c r="U5662" s="22">
        <f t="shared" si="487"/>
        <v>2022</v>
      </c>
      <c r="V5662" s="22" t="str">
        <f t="shared" si="488"/>
        <v>METROPOLITANA</v>
      </c>
    </row>
    <row r="5663" spans="1:22" x14ac:dyDescent="0.2">
      <c r="A5663" s="23" t="s">
        <v>6848</v>
      </c>
      <c r="B5663" s="22" t="s">
        <v>33</v>
      </c>
      <c r="C5663" s="22" t="s">
        <v>128</v>
      </c>
      <c r="D5663" s="22" t="s">
        <v>38</v>
      </c>
      <c r="E5663" s="24" t="s">
        <v>42</v>
      </c>
      <c r="F5663" s="22" t="s">
        <v>34</v>
      </c>
      <c r="G5663" s="25">
        <f>7027.6+750</f>
        <v>7777.6</v>
      </c>
      <c r="H5663" s="22" t="s">
        <v>43</v>
      </c>
      <c r="I5663" s="22">
        <v>0</v>
      </c>
      <c r="J5663" s="22" t="s">
        <v>34</v>
      </c>
      <c r="K5663" s="22" t="s">
        <v>23</v>
      </c>
      <c r="L5663" s="22">
        <v>1</v>
      </c>
      <c r="M5663" s="26">
        <v>77304</v>
      </c>
      <c r="N5663" s="26">
        <v>0</v>
      </c>
      <c r="O5663" s="15">
        <f t="shared" si="489"/>
        <v>77304</v>
      </c>
      <c r="P5663" s="15">
        <f t="shared" si="484"/>
        <v>9.939312898580539</v>
      </c>
      <c r="Q5663" s="25">
        <v>5000</v>
      </c>
      <c r="R5663" s="22">
        <v>100</v>
      </c>
      <c r="S5663" s="22" t="s">
        <v>6859</v>
      </c>
      <c r="T5663" s="22">
        <f t="shared" si="486"/>
        <v>10</v>
      </c>
      <c r="U5663" s="22">
        <f t="shared" si="487"/>
        <v>2022</v>
      </c>
      <c r="V5663" s="22" t="str">
        <f t="shared" si="488"/>
        <v>METROPOLITANA</v>
      </c>
    </row>
    <row r="5664" spans="1:22" x14ac:dyDescent="0.2">
      <c r="A5664" s="23" t="s">
        <v>6848</v>
      </c>
      <c r="B5664" s="22" t="s">
        <v>33</v>
      </c>
      <c r="C5664" s="22" t="s">
        <v>128</v>
      </c>
      <c r="D5664" s="22" t="s">
        <v>37</v>
      </c>
      <c r="E5664" s="24" t="s">
        <v>40</v>
      </c>
      <c r="F5664" s="22" t="s">
        <v>34</v>
      </c>
      <c r="G5664" s="25">
        <v>9711.6100000000024</v>
      </c>
      <c r="H5664" s="22" t="s">
        <v>22</v>
      </c>
      <c r="I5664" s="22">
        <v>0</v>
      </c>
      <c r="J5664" s="22" t="s">
        <v>34</v>
      </c>
      <c r="K5664" s="22" t="s">
        <v>23</v>
      </c>
      <c r="L5664" s="22">
        <v>1</v>
      </c>
      <c r="M5664" s="26">
        <v>106828</v>
      </c>
      <c r="N5664" s="26">
        <v>0</v>
      </c>
      <c r="O5664" s="15">
        <f t="shared" si="489"/>
        <v>106828</v>
      </c>
      <c r="P5664" s="15">
        <f t="shared" si="484"/>
        <v>11.000029861166169</v>
      </c>
      <c r="Q5664" s="25">
        <v>5000</v>
      </c>
      <c r="R5664" s="22">
        <v>100</v>
      </c>
      <c r="S5664" s="22" t="s">
        <v>6852</v>
      </c>
      <c r="T5664" s="22">
        <f t="shared" si="486"/>
        <v>10</v>
      </c>
      <c r="U5664" s="22">
        <f t="shared" si="487"/>
        <v>2022</v>
      </c>
      <c r="V5664" s="22" t="str">
        <f t="shared" si="488"/>
        <v>METROPOLITANA</v>
      </c>
    </row>
    <row r="5665" spans="1:22" x14ac:dyDescent="0.2">
      <c r="A5665" s="23" t="s">
        <v>6848</v>
      </c>
      <c r="B5665" s="22" t="s">
        <v>33</v>
      </c>
      <c r="C5665" s="22" t="s">
        <v>128</v>
      </c>
      <c r="D5665" s="22" t="s">
        <v>2955</v>
      </c>
      <c r="E5665" s="24" t="s">
        <v>2956</v>
      </c>
      <c r="F5665" s="22" t="s">
        <v>129</v>
      </c>
      <c r="G5665" s="25">
        <v>8254.8000000000011</v>
      </c>
      <c r="H5665" s="22" t="s">
        <v>24</v>
      </c>
      <c r="I5665" s="22">
        <v>1</v>
      </c>
      <c r="J5665" s="22" t="s">
        <v>129</v>
      </c>
      <c r="K5665" s="22" t="s">
        <v>23</v>
      </c>
      <c r="L5665" s="22">
        <v>1</v>
      </c>
      <c r="M5665" s="26">
        <v>90803</v>
      </c>
      <c r="N5665" s="26">
        <v>0</v>
      </c>
      <c r="O5665" s="15">
        <f t="shared" si="489"/>
        <v>90803</v>
      </c>
      <c r="P5665" s="15">
        <f t="shared" ref="P5665:P5728" si="490">O5665/G5665</f>
        <v>11.00002422832776</v>
      </c>
      <c r="Q5665" s="25">
        <v>5000</v>
      </c>
      <c r="R5665" s="22">
        <v>100</v>
      </c>
      <c r="S5665" s="22" t="s">
        <v>6853</v>
      </c>
      <c r="T5665" s="22">
        <f t="shared" si="486"/>
        <v>10</v>
      </c>
      <c r="U5665" s="22">
        <f t="shared" si="487"/>
        <v>2022</v>
      </c>
      <c r="V5665" s="22" t="str">
        <f t="shared" si="488"/>
        <v>METROPOLITANA</v>
      </c>
    </row>
    <row r="5666" spans="1:22" x14ac:dyDescent="0.2">
      <c r="A5666" s="23" t="s">
        <v>6848</v>
      </c>
      <c r="B5666" s="22" t="s">
        <v>33</v>
      </c>
      <c r="C5666" s="22" t="s">
        <v>128</v>
      </c>
      <c r="D5666" s="22" t="s">
        <v>45</v>
      </c>
      <c r="E5666" s="24" t="s">
        <v>52</v>
      </c>
      <c r="F5666" s="22" t="s">
        <v>51</v>
      </c>
      <c r="G5666" s="25">
        <v>3101.4</v>
      </c>
      <c r="H5666" s="22" t="s">
        <v>22</v>
      </c>
      <c r="I5666" s="22">
        <v>0</v>
      </c>
      <c r="J5666" s="22" t="s">
        <v>51</v>
      </c>
      <c r="K5666" s="22" t="s">
        <v>23</v>
      </c>
      <c r="L5666" s="22">
        <v>4</v>
      </c>
      <c r="M5666" s="26">
        <v>55000</v>
      </c>
      <c r="N5666" s="26">
        <v>0</v>
      </c>
      <c r="O5666" s="15">
        <f t="shared" si="489"/>
        <v>55000</v>
      </c>
      <c r="P5666" s="15">
        <f t="shared" si="490"/>
        <v>17.733926613787322</v>
      </c>
      <c r="Q5666" s="25">
        <v>5000</v>
      </c>
      <c r="R5666" s="22">
        <v>62</v>
      </c>
      <c r="S5666" s="22" t="s">
        <v>6854</v>
      </c>
      <c r="T5666" s="22">
        <f t="shared" si="486"/>
        <v>10</v>
      </c>
      <c r="U5666" s="22">
        <f t="shared" si="487"/>
        <v>2022</v>
      </c>
      <c r="V5666" s="22" t="str">
        <f t="shared" si="488"/>
        <v>METROPOLITANA</v>
      </c>
    </row>
    <row r="5667" spans="1:22" x14ac:dyDescent="0.2">
      <c r="A5667" s="23" t="s">
        <v>6848</v>
      </c>
      <c r="B5667" s="22" t="s">
        <v>33</v>
      </c>
      <c r="C5667" s="22" t="s">
        <v>2862</v>
      </c>
      <c r="D5667" s="22" t="s">
        <v>5478</v>
      </c>
      <c r="E5667" s="24" t="s">
        <v>83</v>
      </c>
      <c r="F5667" s="22" t="s">
        <v>876</v>
      </c>
      <c r="G5667" s="25">
        <f>4707.46+3224</f>
        <v>7931.46</v>
      </c>
      <c r="H5667" s="22" t="s">
        <v>24</v>
      </c>
      <c r="I5667" s="22">
        <v>1</v>
      </c>
      <c r="J5667" s="22" t="s">
        <v>876</v>
      </c>
      <c r="K5667" s="22" t="s">
        <v>86</v>
      </c>
      <c r="L5667" s="22">
        <v>0</v>
      </c>
      <c r="M5667" s="26">
        <v>350000</v>
      </c>
      <c r="N5667" s="26">
        <v>0</v>
      </c>
      <c r="O5667" s="15">
        <f t="shared" si="489"/>
        <v>350000</v>
      </c>
      <c r="P5667" s="15">
        <f t="shared" si="490"/>
        <v>44.12806721587198</v>
      </c>
      <c r="Q5667" s="25">
        <v>20000</v>
      </c>
      <c r="R5667" s="22">
        <v>55</v>
      </c>
      <c r="S5667" s="22" t="s">
        <v>6861</v>
      </c>
      <c r="T5667" s="22">
        <f t="shared" si="486"/>
        <v>10</v>
      </c>
      <c r="U5667" s="22">
        <f t="shared" si="487"/>
        <v>2022</v>
      </c>
      <c r="V5667" s="22" t="str">
        <f t="shared" si="488"/>
        <v>REGIONES</v>
      </c>
    </row>
    <row r="5668" spans="1:22" x14ac:dyDescent="0.2">
      <c r="A5668" s="23" t="s">
        <v>6848</v>
      </c>
      <c r="B5668" s="22" t="s">
        <v>33</v>
      </c>
      <c r="C5668" s="22" t="s">
        <v>29</v>
      </c>
      <c r="D5668" s="22" t="s">
        <v>41</v>
      </c>
      <c r="E5668" s="24" t="s">
        <v>25</v>
      </c>
      <c r="F5668" s="22" t="s">
        <v>39</v>
      </c>
      <c r="G5668" s="25">
        <v>2748</v>
      </c>
      <c r="H5668" s="22" t="s">
        <v>43</v>
      </c>
      <c r="I5668" s="22">
        <v>0</v>
      </c>
      <c r="J5668" s="22" t="s">
        <v>39</v>
      </c>
      <c r="K5668" s="22" t="s">
        <v>23</v>
      </c>
      <c r="L5668" s="22">
        <v>1</v>
      </c>
      <c r="M5668" s="26">
        <v>55000</v>
      </c>
      <c r="N5668" s="26">
        <v>0</v>
      </c>
      <c r="O5668" s="15">
        <f t="shared" si="489"/>
        <v>55000</v>
      </c>
      <c r="P5668" s="15">
        <f t="shared" si="490"/>
        <v>20.014556040756915</v>
      </c>
      <c r="Q5668" s="25">
        <v>5000</v>
      </c>
      <c r="R5668" s="22">
        <v>55</v>
      </c>
      <c r="S5668" s="22" t="s">
        <v>6855</v>
      </c>
      <c r="T5668" s="22">
        <f t="shared" si="486"/>
        <v>10</v>
      </c>
      <c r="U5668" s="22">
        <f t="shared" si="487"/>
        <v>2022</v>
      </c>
      <c r="V5668" s="22" t="str">
        <f t="shared" si="488"/>
        <v>METROPOLITANA</v>
      </c>
    </row>
    <row r="5669" spans="1:22" x14ac:dyDescent="0.2">
      <c r="A5669" s="23" t="s">
        <v>6848</v>
      </c>
      <c r="B5669" s="22" t="s">
        <v>33</v>
      </c>
      <c r="C5669" s="22" t="s">
        <v>29</v>
      </c>
      <c r="D5669" s="22" t="s">
        <v>164</v>
      </c>
      <c r="E5669" s="24" t="s">
        <v>1576</v>
      </c>
      <c r="F5669" s="22" t="s">
        <v>39</v>
      </c>
      <c r="G5669" s="25">
        <f>15008+750</f>
        <v>15758</v>
      </c>
      <c r="H5669" s="22" t="s">
        <v>22</v>
      </c>
      <c r="I5669" s="22">
        <v>1</v>
      </c>
      <c r="J5669" s="22" t="s">
        <v>39</v>
      </c>
      <c r="K5669" s="22" t="s">
        <v>23</v>
      </c>
      <c r="L5669" s="22">
        <v>1</v>
      </c>
      <c r="M5669" s="26">
        <v>165088</v>
      </c>
      <c r="N5669" s="26">
        <v>0</v>
      </c>
      <c r="O5669" s="15">
        <f t="shared" si="489"/>
        <v>165088</v>
      </c>
      <c r="P5669" s="15">
        <f t="shared" si="490"/>
        <v>10.47645640309684</v>
      </c>
      <c r="Q5669" s="25">
        <v>5000</v>
      </c>
      <c r="R5669" s="22">
        <v>100</v>
      </c>
      <c r="S5669" s="22" t="s">
        <v>6860</v>
      </c>
      <c r="T5669" s="22">
        <f t="shared" si="486"/>
        <v>10</v>
      </c>
      <c r="U5669" s="22">
        <f t="shared" si="487"/>
        <v>2022</v>
      </c>
      <c r="V5669" s="22" t="str">
        <f t="shared" si="488"/>
        <v>METROPOLITANA</v>
      </c>
    </row>
    <row r="5670" spans="1:22" x14ac:dyDescent="0.2">
      <c r="A5670" s="23" t="s">
        <v>6848</v>
      </c>
      <c r="B5670" s="22" t="s">
        <v>33</v>
      </c>
      <c r="C5670" s="22" t="s">
        <v>29</v>
      </c>
      <c r="D5670" s="22" t="s">
        <v>20</v>
      </c>
      <c r="E5670" s="24" t="s">
        <v>21</v>
      </c>
      <c r="F5670" s="22" t="s">
        <v>39</v>
      </c>
      <c r="G5670" s="25">
        <v>8502</v>
      </c>
      <c r="H5670" s="22" t="s">
        <v>22</v>
      </c>
      <c r="I5670" s="22">
        <v>0</v>
      </c>
      <c r="J5670" s="22" t="s">
        <v>39</v>
      </c>
      <c r="K5670" s="22" t="s">
        <v>23</v>
      </c>
      <c r="L5670" s="22">
        <v>1</v>
      </c>
      <c r="M5670" s="26">
        <v>93522</v>
      </c>
      <c r="N5670" s="26">
        <v>0</v>
      </c>
      <c r="O5670" s="15">
        <f t="shared" si="489"/>
        <v>93522</v>
      </c>
      <c r="P5670" s="15">
        <f t="shared" si="490"/>
        <v>11</v>
      </c>
      <c r="Q5670" s="25">
        <v>5000</v>
      </c>
      <c r="R5670" s="22">
        <v>100</v>
      </c>
      <c r="S5670" s="22" t="s">
        <v>6856</v>
      </c>
      <c r="T5670" s="22">
        <f t="shared" si="486"/>
        <v>10</v>
      </c>
      <c r="U5670" s="22">
        <f t="shared" si="487"/>
        <v>2022</v>
      </c>
      <c r="V5670" s="22" t="str">
        <f t="shared" si="488"/>
        <v>METROPOLITANA</v>
      </c>
    </row>
    <row r="5671" spans="1:22" x14ac:dyDescent="0.2">
      <c r="A5671" s="23" t="s">
        <v>6848</v>
      </c>
      <c r="B5671" s="22" t="s">
        <v>33</v>
      </c>
      <c r="C5671" s="22" t="s">
        <v>44</v>
      </c>
      <c r="D5671" s="22" t="s">
        <v>45</v>
      </c>
      <c r="E5671" s="24" t="s">
        <v>52</v>
      </c>
      <c r="F5671" s="22" t="s">
        <v>554</v>
      </c>
      <c r="G5671" s="25">
        <v>2846.4</v>
      </c>
      <c r="H5671" s="22" t="s">
        <v>22</v>
      </c>
      <c r="I5671" s="22">
        <v>0</v>
      </c>
      <c r="J5671" s="22" t="s">
        <v>554</v>
      </c>
      <c r="K5671" s="22" t="s">
        <v>23</v>
      </c>
      <c r="L5671" s="22">
        <v>4</v>
      </c>
      <c r="M5671" s="26">
        <v>55000</v>
      </c>
      <c r="N5671" s="26">
        <v>0</v>
      </c>
      <c r="O5671" s="15">
        <f t="shared" si="489"/>
        <v>55000</v>
      </c>
      <c r="P5671" s="15">
        <f t="shared" si="490"/>
        <v>19.322653175941539</v>
      </c>
      <c r="Q5671" s="25">
        <v>5000</v>
      </c>
      <c r="R5671" s="22">
        <v>57</v>
      </c>
      <c r="S5671" s="22" t="s">
        <v>6857</v>
      </c>
      <c r="T5671" s="22">
        <f t="shared" si="486"/>
        <v>10</v>
      </c>
      <c r="U5671" s="22">
        <f t="shared" si="487"/>
        <v>2022</v>
      </c>
      <c r="V5671" s="22" t="str">
        <f t="shared" si="488"/>
        <v>METROPOLITANA</v>
      </c>
    </row>
    <row r="5672" spans="1:22" x14ac:dyDescent="0.2">
      <c r="A5672" s="23" t="s">
        <v>6848</v>
      </c>
      <c r="B5672" s="22" t="s">
        <v>33</v>
      </c>
      <c r="C5672" s="22" t="s">
        <v>44</v>
      </c>
      <c r="D5672" s="22" t="s">
        <v>47</v>
      </c>
      <c r="E5672" s="24" t="s">
        <v>49</v>
      </c>
      <c r="F5672" s="22" t="s">
        <v>67</v>
      </c>
      <c r="G5672" s="25">
        <v>2501.64</v>
      </c>
      <c r="H5672" s="22" t="s">
        <v>22</v>
      </c>
      <c r="I5672" s="22">
        <v>0</v>
      </c>
      <c r="J5672" s="22" t="s">
        <v>67</v>
      </c>
      <c r="K5672" s="22" t="s">
        <v>23</v>
      </c>
      <c r="L5672" s="22">
        <v>2</v>
      </c>
      <c r="M5672" s="26">
        <v>55000</v>
      </c>
      <c r="N5672" s="26">
        <v>0</v>
      </c>
      <c r="O5672" s="15">
        <f t="shared" si="489"/>
        <v>55000</v>
      </c>
      <c r="P5672" s="15">
        <f t="shared" si="490"/>
        <v>21.985577461185464</v>
      </c>
      <c r="Q5672" s="25">
        <v>5000</v>
      </c>
      <c r="R5672" s="22">
        <v>50</v>
      </c>
      <c r="S5672" s="22" t="s">
        <v>6858</v>
      </c>
      <c r="T5672" s="22">
        <f t="shared" si="486"/>
        <v>10</v>
      </c>
      <c r="U5672" s="22">
        <f t="shared" si="487"/>
        <v>2022</v>
      </c>
      <c r="V5672" s="22" t="str">
        <f t="shared" si="488"/>
        <v>METROPOLITANA</v>
      </c>
    </row>
    <row r="5673" spans="1:22" x14ac:dyDescent="0.2">
      <c r="A5673" s="11" t="s">
        <v>6862</v>
      </c>
      <c r="B5673" s="12" t="s">
        <v>18</v>
      </c>
      <c r="C5673" s="12" t="s">
        <v>1997</v>
      </c>
      <c r="D5673" s="12" t="s">
        <v>41</v>
      </c>
      <c r="E5673" s="13" t="s">
        <v>25</v>
      </c>
      <c r="F5673" s="12" t="s">
        <v>58</v>
      </c>
      <c r="G5673" s="14">
        <v>7982.869999999999</v>
      </c>
      <c r="H5673" s="12" t="s">
        <v>43</v>
      </c>
      <c r="I5673" s="12">
        <v>0</v>
      </c>
      <c r="J5673" s="12" t="s">
        <v>58</v>
      </c>
      <c r="K5673" s="12" t="s">
        <v>23</v>
      </c>
      <c r="L5673" s="12">
        <v>5</v>
      </c>
      <c r="M5673" s="15">
        <v>70000</v>
      </c>
      <c r="N5673" s="15">
        <v>0</v>
      </c>
      <c r="O5673" s="15">
        <f t="shared" si="489"/>
        <v>70000</v>
      </c>
      <c r="P5673" s="15">
        <f t="shared" si="490"/>
        <v>8.7687761419138734</v>
      </c>
      <c r="Q5673" s="14">
        <v>10000</v>
      </c>
      <c r="R5673" s="12">
        <v>80</v>
      </c>
      <c r="S5673" s="12" t="s">
        <v>6863</v>
      </c>
      <c r="T5673" s="22">
        <f t="shared" si="486"/>
        <v>10</v>
      </c>
      <c r="U5673" s="22">
        <f t="shared" si="487"/>
        <v>2022</v>
      </c>
      <c r="V5673" s="22" t="str">
        <f t="shared" si="488"/>
        <v>METROPOLITANA</v>
      </c>
    </row>
    <row r="5674" spans="1:22" x14ac:dyDescent="0.2">
      <c r="A5674" s="11" t="s">
        <v>6862</v>
      </c>
      <c r="B5674" s="12" t="s">
        <v>33</v>
      </c>
      <c r="C5674" s="12" t="s">
        <v>29</v>
      </c>
      <c r="D5674" s="12" t="s">
        <v>47</v>
      </c>
      <c r="E5674" s="13" t="s">
        <v>49</v>
      </c>
      <c r="F5674" s="12" t="s">
        <v>134</v>
      </c>
      <c r="G5674" s="14">
        <v>10808.9</v>
      </c>
      <c r="H5674" s="12" t="s">
        <v>22</v>
      </c>
      <c r="I5674" s="12">
        <v>0</v>
      </c>
      <c r="J5674" s="12" t="s">
        <v>134</v>
      </c>
      <c r="K5674" s="12" t="s">
        <v>23</v>
      </c>
      <c r="L5674" s="12">
        <v>2</v>
      </c>
      <c r="M5674" s="15">
        <v>118898</v>
      </c>
      <c r="N5674" s="15">
        <v>0</v>
      </c>
      <c r="O5674" s="15">
        <f t="shared" si="489"/>
        <v>118898</v>
      </c>
      <c r="P5674" s="15">
        <f t="shared" si="490"/>
        <v>11.000009251635227</v>
      </c>
      <c r="Q5674" s="14">
        <v>5000</v>
      </c>
      <c r="R5674" s="12">
        <v>100</v>
      </c>
      <c r="S5674" s="12" t="s">
        <v>6864</v>
      </c>
      <c r="T5674" s="22">
        <f t="shared" si="486"/>
        <v>10</v>
      </c>
      <c r="U5674" s="22">
        <f t="shared" si="487"/>
        <v>2022</v>
      </c>
      <c r="V5674" s="22" t="str">
        <f t="shared" si="488"/>
        <v>METROPOLITANA</v>
      </c>
    </row>
    <row r="5675" spans="1:22" x14ac:dyDescent="0.2">
      <c r="A5675" s="11" t="s">
        <v>6862</v>
      </c>
      <c r="B5675" s="12" t="s">
        <v>33</v>
      </c>
      <c r="C5675" s="12" t="s">
        <v>29</v>
      </c>
      <c r="D5675" s="12" t="s">
        <v>20</v>
      </c>
      <c r="E5675" s="13" t="s">
        <v>21</v>
      </c>
      <c r="F5675" s="12" t="s">
        <v>134</v>
      </c>
      <c r="G5675" s="14">
        <v>9232.6</v>
      </c>
      <c r="H5675" s="12" t="s">
        <v>22</v>
      </c>
      <c r="I5675" s="12">
        <v>0</v>
      </c>
      <c r="J5675" s="12" t="s">
        <v>134</v>
      </c>
      <c r="K5675" s="12" t="s">
        <v>23</v>
      </c>
      <c r="L5675" s="12">
        <v>2</v>
      </c>
      <c r="M5675" s="15">
        <v>101559</v>
      </c>
      <c r="N5675" s="15">
        <v>0</v>
      </c>
      <c r="O5675" s="15">
        <f t="shared" si="489"/>
        <v>101559</v>
      </c>
      <c r="P5675" s="15">
        <f t="shared" si="490"/>
        <v>11.000043324740593</v>
      </c>
      <c r="Q5675" s="14">
        <v>5000</v>
      </c>
      <c r="R5675" s="12">
        <v>100</v>
      </c>
      <c r="S5675" s="12" t="s">
        <v>6865</v>
      </c>
      <c r="T5675" s="22">
        <f t="shared" si="486"/>
        <v>10</v>
      </c>
      <c r="U5675" s="22">
        <f t="shared" si="487"/>
        <v>2022</v>
      </c>
      <c r="V5675" s="22" t="str">
        <f t="shared" si="488"/>
        <v>METROPOLITANA</v>
      </c>
    </row>
    <row r="5676" spans="1:22" x14ac:dyDescent="0.2">
      <c r="A5676" s="11" t="s">
        <v>6862</v>
      </c>
      <c r="B5676" s="12" t="s">
        <v>33</v>
      </c>
      <c r="C5676" s="12" t="s">
        <v>5611</v>
      </c>
      <c r="D5676" s="12" t="s">
        <v>37</v>
      </c>
      <c r="E5676" s="13" t="s">
        <v>40</v>
      </c>
      <c r="F5676" s="12" t="s">
        <v>89</v>
      </c>
      <c r="G5676" s="14">
        <v>2814</v>
      </c>
      <c r="H5676" s="12" t="s">
        <v>22</v>
      </c>
      <c r="I5676" s="12">
        <v>0</v>
      </c>
      <c r="J5676" s="12" t="s">
        <v>89</v>
      </c>
      <c r="K5676" s="12" t="s">
        <v>23</v>
      </c>
      <c r="L5676" s="12">
        <v>5</v>
      </c>
      <c r="M5676" s="15">
        <v>90000</v>
      </c>
      <c r="N5676" s="15">
        <v>0</v>
      </c>
      <c r="O5676" s="15">
        <f t="shared" si="489"/>
        <v>90000</v>
      </c>
      <c r="P5676" s="15">
        <f t="shared" si="490"/>
        <v>31.982942430703623</v>
      </c>
      <c r="Q5676" s="14">
        <v>10000</v>
      </c>
      <c r="R5676" s="12">
        <v>28</v>
      </c>
      <c r="S5676" s="12" t="s">
        <v>6866</v>
      </c>
      <c r="T5676" s="22">
        <f t="shared" si="486"/>
        <v>10</v>
      </c>
      <c r="U5676" s="22">
        <f t="shared" si="487"/>
        <v>2022</v>
      </c>
      <c r="V5676" s="22" t="str">
        <f t="shared" si="488"/>
        <v>METROPOLITANA</v>
      </c>
    </row>
    <row r="5677" spans="1:22" x14ac:dyDescent="0.2">
      <c r="A5677" s="11" t="s">
        <v>6862</v>
      </c>
      <c r="B5677" s="12" t="s">
        <v>33</v>
      </c>
      <c r="C5677" s="12" t="s">
        <v>44</v>
      </c>
      <c r="D5677" s="12" t="s">
        <v>2825</v>
      </c>
      <c r="E5677" s="13" t="s">
        <v>639</v>
      </c>
      <c r="F5677" s="12" t="s">
        <v>84</v>
      </c>
      <c r="G5677" s="14">
        <v>7642.4399999999978</v>
      </c>
      <c r="H5677" s="12" t="s">
        <v>24</v>
      </c>
      <c r="I5677" s="12">
        <v>1</v>
      </c>
      <c r="J5677" s="12" t="s">
        <v>84</v>
      </c>
      <c r="K5677" s="12" t="s">
        <v>86</v>
      </c>
      <c r="L5677" s="12">
        <v>0</v>
      </c>
      <c r="M5677" s="15">
        <v>360000</v>
      </c>
      <c r="N5677" s="15">
        <v>0</v>
      </c>
      <c r="O5677" s="15">
        <f t="shared" si="489"/>
        <v>360000</v>
      </c>
      <c r="P5677" s="15">
        <f t="shared" si="490"/>
        <v>47.105374723255935</v>
      </c>
      <c r="Q5677" s="14">
        <v>20000</v>
      </c>
      <c r="R5677" s="12">
        <v>38</v>
      </c>
      <c r="S5677" s="12" t="s">
        <v>6867</v>
      </c>
      <c r="T5677" s="22">
        <f t="shared" si="486"/>
        <v>10</v>
      </c>
      <c r="U5677" s="22">
        <f t="shared" si="487"/>
        <v>2022</v>
      </c>
      <c r="V5677" s="22" t="str">
        <f t="shared" si="488"/>
        <v>REGIONES</v>
      </c>
    </row>
    <row r="5678" spans="1:22" x14ac:dyDescent="0.2">
      <c r="A5678" s="11" t="s">
        <v>6862</v>
      </c>
      <c r="B5678" s="12" t="s">
        <v>33</v>
      </c>
      <c r="C5678" s="12" t="s">
        <v>44</v>
      </c>
      <c r="D5678" s="12" t="s">
        <v>6868</v>
      </c>
      <c r="E5678" s="13" t="s">
        <v>6869</v>
      </c>
      <c r="F5678" s="12" t="s">
        <v>815</v>
      </c>
      <c r="G5678" s="14">
        <v>9504.0000000000091</v>
      </c>
      <c r="H5678" s="12" t="s">
        <v>24</v>
      </c>
      <c r="I5678" s="12">
        <v>1</v>
      </c>
      <c r="J5678" s="12" t="s">
        <v>815</v>
      </c>
      <c r="K5678" s="12" t="s">
        <v>75</v>
      </c>
      <c r="L5678" s="12">
        <v>0</v>
      </c>
      <c r="M5678" s="15">
        <v>460000</v>
      </c>
      <c r="N5678" s="15">
        <v>0</v>
      </c>
      <c r="O5678" s="15">
        <f t="shared" si="489"/>
        <v>460000</v>
      </c>
      <c r="P5678" s="15">
        <f t="shared" si="490"/>
        <v>48.400673400673355</v>
      </c>
      <c r="Q5678" s="14">
        <v>20000</v>
      </c>
      <c r="R5678" s="12">
        <v>48</v>
      </c>
      <c r="S5678" s="12" t="s">
        <v>6870</v>
      </c>
      <c r="T5678" s="22">
        <f t="shared" si="486"/>
        <v>10</v>
      </c>
      <c r="U5678" s="22">
        <f t="shared" si="487"/>
        <v>2022</v>
      </c>
      <c r="V5678" s="22" t="str">
        <f t="shared" si="488"/>
        <v>REGIONES</v>
      </c>
    </row>
    <row r="5679" spans="1:22" x14ac:dyDescent="0.2">
      <c r="A5679" s="11" t="s">
        <v>6862</v>
      </c>
      <c r="B5679" s="12" t="s">
        <v>33</v>
      </c>
      <c r="C5679" s="12" t="s">
        <v>44</v>
      </c>
      <c r="D5679" s="12" t="s">
        <v>6871</v>
      </c>
      <c r="E5679" s="13" t="s">
        <v>6872</v>
      </c>
      <c r="F5679" s="12" t="s">
        <v>815</v>
      </c>
      <c r="G5679" s="14">
        <v>8244.0000000000036</v>
      </c>
      <c r="H5679" s="12" t="s">
        <v>24</v>
      </c>
      <c r="I5679" s="12">
        <v>1</v>
      </c>
      <c r="J5679" s="12" t="s">
        <v>815</v>
      </c>
      <c r="K5679" s="12" t="s">
        <v>75</v>
      </c>
      <c r="L5679" s="12">
        <v>0</v>
      </c>
      <c r="M5679" s="15">
        <v>460000</v>
      </c>
      <c r="N5679" s="15">
        <v>0</v>
      </c>
      <c r="O5679" s="15">
        <f t="shared" si="489"/>
        <v>460000</v>
      </c>
      <c r="P5679" s="15">
        <f t="shared" si="490"/>
        <v>55.798156234837435</v>
      </c>
      <c r="Q5679" s="14">
        <v>20000</v>
      </c>
      <c r="R5679" s="12">
        <v>41</v>
      </c>
      <c r="S5679" s="12" t="s">
        <v>6873</v>
      </c>
      <c r="T5679" s="22">
        <f t="shared" si="486"/>
        <v>10</v>
      </c>
      <c r="U5679" s="22">
        <f t="shared" si="487"/>
        <v>2022</v>
      </c>
      <c r="V5679" s="22" t="str">
        <f t="shared" si="488"/>
        <v>REGIONES</v>
      </c>
    </row>
    <row r="5680" spans="1:22" x14ac:dyDescent="0.2">
      <c r="A5680" s="23" t="s">
        <v>6874</v>
      </c>
      <c r="B5680" s="22" t="s">
        <v>18</v>
      </c>
      <c r="C5680" s="22" t="s">
        <v>508</v>
      </c>
      <c r="D5680" s="22" t="s">
        <v>38</v>
      </c>
      <c r="E5680" s="24" t="s">
        <v>42</v>
      </c>
      <c r="F5680" s="22" t="s">
        <v>182</v>
      </c>
      <c r="G5680" s="25">
        <v>14516.82</v>
      </c>
      <c r="H5680" s="22" t="s">
        <v>43</v>
      </c>
      <c r="I5680" s="22">
        <v>0</v>
      </c>
      <c r="J5680" s="22" t="s">
        <v>182</v>
      </c>
      <c r="K5680" s="22" t="s">
        <v>23</v>
      </c>
      <c r="L5680" s="22">
        <v>4</v>
      </c>
      <c r="M5680" s="26">
        <v>159685</v>
      </c>
      <c r="N5680" s="26">
        <v>0</v>
      </c>
      <c r="O5680" s="15">
        <f t="shared" si="489"/>
        <v>159685</v>
      </c>
      <c r="P5680" s="15">
        <f t="shared" si="490"/>
        <v>10.999998622287801</v>
      </c>
      <c r="Q5680" s="25">
        <v>5000</v>
      </c>
      <c r="R5680" s="22">
        <v>100</v>
      </c>
      <c r="S5680" s="22" t="s">
        <v>6875</v>
      </c>
      <c r="T5680" s="22">
        <f t="shared" si="486"/>
        <v>11</v>
      </c>
      <c r="U5680" s="22">
        <f t="shared" si="487"/>
        <v>2022</v>
      </c>
      <c r="V5680" s="22" t="str">
        <f t="shared" si="488"/>
        <v>METROPOLITANA</v>
      </c>
    </row>
    <row r="5681" spans="1:22" x14ac:dyDescent="0.2">
      <c r="A5681" s="23" t="s">
        <v>6874</v>
      </c>
      <c r="B5681" s="22" t="s">
        <v>33</v>
      </c>
      <c r="C5681" s="22" t="s">
        <v>909</v>
      </c>
      <c r="D5681" s="22" t="s">
        <v>2955</v>
      </c>
      <c r="E5681" s="24" t="s">
        <v>2956</v>
      </c>
      <c r="F5681" s="22" t="s">
        <v>3898</v>
      </c>
      <c r="G5681" s="25">
        <v>7944.3200000000024</v>
      </c>
      <c r="H5681" s="22" t="s">
        <v>24</v>
      </c>
      <c r="I5681" s="22">
        <v>1</v>
      </c>
      <c r="J5681" s="22" t="s">
        <v>910</v>
      </c>
      <c r="K5681" s="22" t="s">
        <v>171</v>
      </c>
      <c r="L5681" s="22">
        <v>0</v>
      </c>
      <c r="M5681" s="26">
        <v>260000</v>
      </c>
      <c r="N5681" s="26">
        <v>0</v>
      </c>
      <c r="O5681" s="15">
        <f t="shared" si="489"/>
        <v>260000</v>
      </c>
      <c r="P5681" s="15">
        <f t="shared" si="490"/>
        <v>32.727785386288559</v>
      </c>
      <c r="Q5681" s="25">
        <v>20000</v>
      </c>
      <c r="R5681" s="22">
        <v>40</v>
      </c>
      <c r="S5681" s="22" t="s">
        <v>6876</v>
      </c>
      <c r="T5681" s="22">
        <f t="shared" si="486"/>
        <v>11</v>
      </c>
      <c r="U5681" s="22">
        <f t="shared" si="487"/>
        <v>2022</v>
      </c>
      <c r="V5681" s="22" t="str">
        <f t="shared" si="488"/>
        <v>REGIONES</v>
      </c>
    </row>
    <row r="5682" spans="1:22" x14ac:dyDescent="0.2">
      <c r="A5682" s="23" t="s">
        <v>6874</v>
      </c>
      <c r="B5682" s="22" t="s">
        <v>33</v>
      </c>
      <c r="C5682" s="22" t="s">
        <v>909</v>
      </c>
      <c r="D5682" s="22" t="s">
        <v>30</v>
      </c>
      <c r="E5682" s="24" t="s">
        <v>31</v>
      </c>
      <c r="F5682" s="22" t="s">
        <v>3781</v>
      </c>
      <c r="G5682" s="25">
        <v>4849.4800000000014</v>
      </c>
      <c r="H5682" s="22" t="s">
        <v>32</v>
      </c>
      <c r="I5682" s="22">
        <v>0</v>
      </c>
      <c r="J5682" s="22" t="s">
        <v>3781</v>
      </c>
      <c r="K5682" s="22" t="s">
        <v>171</v>
      </c>
      <c r="L5682" s="22">
        <v>0</v>
      </c>
      <c r="M5682" s="26">
        <v>203000</v>
      </c>
      <c r="N5682" s="26">
        <v>0</v>
      </c>
      <c r="O5682" s="15">
        <f t="shared" si="489"/>
        <v>203000</v>
      </c>
      <c r="P5682" s="15">
        <f t="shared" si="490"/>
        <v>41.860158202528922</v>
      </c>
      <c r="Q5682" s="25">
        <v>20000</v>
      </c>
      <c r="R5682" s="22">
        <v>24</v>
      </c>
      <c r="S5682" s="22" t="s">
        <v>6877</v>
      </c>
      <c r="T5682" s="22">
        <f t="shared" si="486"/>
        <v>11</v>
      </c>
      <c r="U5682" s="22">
        <f t="shared" si="487"/>
        <v>2022</v>
      </c>
      <c r="V5682" s="22" t="str">
        <f t="shared" si="488"/>
        <v>REGIONES</v>
      </c>
    </row>
    <row r="5683" spans="1:22" x14ac:dyDescent="0.2">
      <c r="A5683" s="23" t="s">
        <v>6874</v>
      </c>
      <c r="B5683" s="22" t="s">
        <v>33</v>
      </c>
      <c r="C5683" s="22" t="s">
        <v>29</v>
      </c>
      <c r="D5683" s="22" t="s">
        <v>37</v>
      </c>
      <c r="E5683" s="24" t="s">
        <v>40</v>
      </c>
      <c r="F5683" s="22" t="s">
        <v>39</v>
      </c>
      <c r="G5683" s="25">
        <v>8581.4000000000033</v>
      </c>
      <c r="H5683" s="22" t="s">
        <v>22</v>
      </c>
      <c r="I5683" s="22">
        <v>0</v>
      </c>
      <c r="J5683" s="22" t="s">
        <v>39</v>
      </c>
      <c r="K5683" s="22" t="s">
        <v>23</v>
      </c>
      <c r="L5683" s="22">
        <v>1</v>
      </c>
      <c r="M5683" s="26">
        <v>94395</v>
      </c>
      <c r="N5683" s="26">
        <v>0</v>
      </c>
      <c r="O5683" s="15">
        <f t="shared" si="489"/>
        <v>94395</v>
      </c>
      <c r="P5683" s="15">
        <f t="shared" si="490"/>
        <v>10.999953387559135</v>
      </c>
      <c r="Q5683" s="25">
        <v>5000</v>
      </c>
      <c r="R5683" s="22">
        <v>100</v>
      </c>
      <c r="S5683" s="22" t="s">
        <v>6878</v>
      </c>
      <c r="T5683" s="22">
        <f t="shared" si="486"/>
        <v>11</v>
      </c>
      <c r="U5683" s="22">
        <f t="shared" si="487"/>
        <v>2022</v>
      </c>
      <c r="V5683" s="22" t="str">
        <f t="shared" si="488"/>
        <v>METROPOLITANA</v>
      </c>
    </row>
    <row r="5684" spans="1:22" x14ac:dyDescent="0.2">
      <c r="A5684" s="23" t="s">
        <v>6874</v>
      </c>
      <c r="B5684" s="22" t="s">
        <v>33</v>
      </c>
      <c r="C5684" s="22" t="s">
        <v>29</v>
      </c>
      <c r="D5684" s="22" t="s">
        <v>41</v>
      </c>
      <c r="E5684" s="24" t="s">
        <v>25</v>
      </c>
      <c r="F5684" s="22" t="s">
        <v>39</v>
      </c>
      <c r="G5684" s="25">
        <f>8557.95+687+275</f>
        <v>9519.9500000000007</v>
      </c>
      <c r="H5684" s="22" t="s">
        <v>43</v>
      </c>
      <c r="I5684" s="22">
        <v>0</v>
      </c>
      <c r="J5684" s="22" t="s">
        <v>39</v>
      </c>
      <c r="K5684" s="22" t="s">
        <v>23</v>
      </c>
      <c r="L5684" s="22">
        <v>1</v>
      </c>
      <c r="M5684" s="26">
        <v>94137</v>
      </c>
      <c r="N5684" s="26">
        <v>0</v>
      </c>
      <c r="O5684" s="15">
        <f t="shared" si="489"/>
        <v>94137</v>
      </c>
      <c r="P5684" s="15">
        <f t="shared" si="490"/>
        <v>9.8883922709678096</v>
      </c>
      <c r="Q5684" s="25">
        <v>5000</v>
      </c>
      <c r="R5684" s="22">
        <v>100</v>
      </c>
      <c r="S5684" s="22" t="s">
        <v>6886</v>
      </c>
      <c r="T5684" s="22">
        <f t="shared" si="486"/>
        <v>11</v>
      </c>
      <c r="U5684" s="22">
        <f t="shared" si="487"/>
        <v>2022</v>
      </c>
      <c r="V5684" s="22" t="str">
        <f t="shared" si="488"/>
        <v>METROPOLITANA</v>
      </c>
    </row>
    <row r="5685" spans="1:22" x14ac:dyDescent="0.2">
      <c r="A5685" s="23" t="s">
        <v>6874</v>
      </c>
      <c r="B5685" s="22" t="s">
        <v>33</v>
      </c>
      <c r="C5685" s="22" t="s">
        <v>29</v>
      </c>
      <c r="D5685" s="22" t="s">
        <v>164</v>
      </c>
      <c r="E5685" s="24" t="s">
        <v>1576</v>
      </c>
      <c r="F5685" s="22" t="s">
        <v>39</v>
      </c>
      <c r="G5685" s="25">
        <v>7872.0000000000027</v>
      </c>
      <c r="H5685" s="22" t="s">
        <v>22</v>
      </c>
      <c r="I5685" s="22">
        <v>1</v>
      </c>
      <c r="J5685" s="22" t="s">
        <v>39</v>
      </c>
      <c r="K5685" s="22" t="s">
        <v>23</v>
      </c>
      <c r="L5685" s="22">
        <v>1</v>
      </c>
      <c r="M5685" s="26">
        <v>86592</v>
      </c>
      <c r="N5685" s="26">
        <v>0</v>
      </c>
      <c r="O5685" s="15">
        <f t="shared" si="489"/>
        <v>86592</v>
      </c>
      <c r="P5685" s="15">
        <f t="shared" si="490"/>
        <v>10.999999999999996</v>
      </c>
      <c r="Q5685" s="25">
        <v>5000</v>
      </c>
      <c r="R5685" s="22">
        <v>100</v>
      </c>
      <c r="S5685" s="22" t="s">
        <v>6879</v>
      </c>
      <c r="T5685" s="22">
        <f t="shared" si="486"/>
        <v>11</v>
      </c>
      <c r="U5685" s="22">
        <f t="shared" si="487"/>
        <v>2022</v>
      </c>
      <c r="V5685" s="22" t="str">
        <f t="shared" si="488"/>
        <v>METROPOLITANA</v>
      </c>
    </row>
    <row r="5686" spans="1:22" x14ac:dyDescent="0.2">
      <c r="A5686" s="23" t="s">
        <v>6874</v>
      </c>
      <c r="B5686" s="22" t="s">
        <v>33</v>
      </c>
      <c r="C5686" s="22" t="s">
        <v>29</v>
      </c>
      <c r="D5686" s="22" t="s">
        <v>20</v>
      </c>
      <c r="E5686" s="24" t="s">
        <v>21</v>
      </c>
      <c r="F5686" s="22" t="s">
        <v>170</v>
      </c>
      <c r="G5686" s="25">
        <v>10413</v>
      </c>
      <c r="H5686" s="22" t="s">
        <v>22</v>
      </c>
      <c r="I5686" s="22">
        <v>0</v>
      </c>
      <c r="J5686" s="22" t="s">
        <v>170</v>
      </c>
      <c r="K5686" s="22" t="s">
        <v>171</v>
      </c>
      <c r="L5686" s="22">
        <v>0</v>
      </c>
      <c r="M5686" s="26">
        <v>180000</v>
      </c>
      <c r="N5686" s="26">
        <v>0</v>
      </c>
      <c r="O5686" s="15">
        <f t="shared" si="489"/>
        <v>180000</v>
      </c>
      <c r="P5686" s="15">
        <f t="shared" si="490"/>
        <v>17.286084701815039</v>
      </c>
      <c r="Q5686" s="25">
        <v>20000</v>
      </c>
      <c r="R5686" s="22">
        <v>52</v>
      </c>
      <c r="S5686" s="22" t="s">
        <v>6880</v>
      </c>
      <c r="T5686" s="22">
        <f t="shared" si="486"/>
        <v>11</v>
      </c>
      <c r="U5686" s="22">
        <f t="shared" si="487"/>
        <v>2022</v>
      </c>
      <c r="V5686" s="22" t="str">
        <f t="shared" si="488"/>
        <v>REGIONES</v>
      </c>
    </row>
    <row r="5687" spans="1:22" x14ac:dyDescent="0.2">
      <c r="A5687" s="23" t="s">
        <v>6874</v>
      </c>
      <c r="B5687" s="22" t="s">
        <v>33</v>
      </c>
      <c r="C5687" s="22" t="s">
        <v>44</v>
      </c>
      <c r="D5687" s="22" t="s">
        <v>38</v>
      </c>
      <c r="E5687" s="24" t="s">
        <v>42</v>
      </c>
      <c r="F5687" s="22" t="s">
        <v>53</v>
      </c>
      <c r="G5687" s="25">
        <v>3188.2000000000012</v>
      </c>
      <c r="H5687" s="22" t="s">
        <v>43</v>
      </c>
      <c r="I5687" s="22">
        <v>0</v>
      </c>
      <c r="J5687" s="22" t="s">
        <v>53</v>
      </c>
      <c r="K5687" s="22" t="s">
        <v>23</v>
      </c>
      <c r="L5687" s="22">
        <v>3</v>
      </c>
      <c r="M5687" s="26">
        <v>55000</v>
      </c>
      <c r="N5687" s="26">
        <v>0</v>
      </c>
      <c r="O5687" s="15">
        <f t="shared" si="489"/>
        <v>55000</v>
      </c>
      <c r="P5687" s="15">
        <f t="shared" si="490"/>
        <v>17.251113480961038</v>
      </c>
      <c r="Q5687" s="25">
        <v>5000</v>
      </c>
      <c r="R5687" s="22">
        <v>64</v>
      </c>
      <c r="S5687" s="22" t="s">
        <v>6881</v>
      </c>
      <c r="T5687" s="22">
        <f t="shared" si="486"/>
        <v>11</v>
      </c>
      <c r="U5687" s="22">
        <f t="shared" si="487"/>
        <v>2022</v>
      </c>
      <c r="V5687" s="22" t="str">
        <f t="shared" si="488"/>
        <v>METROPOLITANA</v>
      </c>
    </row>
    <row r="5688" spans="1:22" x14ac:dyDescent="0.2">
      <c r="A5688" s="23" t="s">
        <v>6874</v>
      </c>
      <c r="B5688" s="22" t="s">
        <v>33</v>
      </c>
      <c r="C5688" s="22" t="s">
        <v>44</v>
      </c>
      <c r="D5688" s="22" t="s">
        <v>37</v>
      </c>
      <c r="E5688" s="24" t="s">
        <v>40</v>
      </c>
      <c r="F5688" s="22" t="s">
        <v>48</v>
      </c>
      <c r="G5688" s="25">
        <v>10270.200000000001</v>
      </c>
      <c r="H5688" s="22" t="s">
        <v>22</v>
      </c>
      <c r="I5688" s="22">
        <v>0</v>
      </c>
      <c r="J5688" s="22" t="s">
        <v>48</v>
      </c>
      <c r="K5688" s="22" t="s">
        <v>23</v>
      </c>
      <c r="L5688" s="22">
        <v>1</v>
      </c>
      <c r="M5688" s="26">
        <v>112972</v>
      </c>
      <c r="N5688" s="26">
        <v>0</v>
      </c>
      <c r="O5688" s="15">
        <f t="shared" si="489"/>
        <v>112972</v>
      </c>
      <c r="P5688" s="15">
        <f t="shared" si="490"/>
        <v>10.999980526182547</v>
      </c>
      <c r="Q5688" s="25">
        <v>5000</v>
      </c>
      <c r="R5688" s="22">
        <v>100</v>
      </c>
      <c r="S5688" s="22" t="s">
        <v>6882</v>
      </c>
      <c r="T5688" s="22">
        <f t="shared" si="486"/>
        <v>11</v>
      </c>
      <c r="U5688" s="22">
        <f t="shared" si="487"/>
        <v>2022</v>
      </c>
      <c r="V5688" s="22" t="str">
        <f t="shared" si="488"/>
        <v>METROPOLITANA</v>
      </c>
    </row>
    <row r="5689" spans="1:22" x14ac:dyDescent="0.2">
      <c r="A5689" s="23" t="s">
        <v>6874</v>
      </c>
      <c r="B5689" s="22" t="s">
        <v>33</v>
      </c>
      <c r="C5689" s="22" t="s">
        <v>44</v>
      </c>
      <c r="D5689" s="22" t="s">
        <v>45</v>
      </c>
      <c r="E5689" s="24" t="s">
        <v>52</v>
      </c>
      <c r="F5689" s="22" t="s">
        <v>137</v>
      </c>
      <c r="G5689" s="25">
        <v>2500.8000000000002</v>
      </c>
      <c r="H5689" s="22" t="s">
        <v>22</v>
      </c>
      <c r="I5689" s="22">
        <v>0</v>
      </c>
      <c r="J5689" s="22" t="s">
        <v>137</v>
      </c>
      <c r="K5689" s="22" t="s">
        <v>23</v>
      </c>
      <c r="L5689" s="22">
        <v>1</v>
      </c>
      <c r="M5689" s="26">
        <v>55000</v>
      </c>
      <c r="N5689" s="26">
        <v>0</v>
      </c>
      <c r="O5689" s="15">
        <f t="shared" si="489"/>
        <v>55000</v>
      </c>
      <c r="P5689" s="15">
        <f t="shared" si="490"/>
        <v>21.992962252079334</v>
      </c>
      <c r="Q5689" s="25">
        <v>5000</v>
      </c>
      <c r="R5689" s="22">
        <v>50</v>
      </c>
      <c r="S5689" s="22" t="s">
        <v>6883</v>
      </c>
      <c r="T5689" s="22">
        <f t="shared" si="486"/>
        <v>11</v>
      </c>
      <c r="U5689" s="22">
        <f t="shared" si="487"/>
        <v>2022</v>
      </c>
      <c r="V5689" s="22" t="str">
        <f t="shared" si="488"/>
        <v>METROPOLITANA</v>
      </c>
    </row>
    <row r="5690" spans="1:22" x14ac:dyDescent="0.2">
      <c r="A5690" s="23" t="s">
        <v>6874</v>
      </c>
      <c r="B5690" s="22" t="s">
        <v>33</v>
      </c>
      <c r="C5690" s="22" t="s">
        <v>44</v>
      </c>
      <c r="D5690" s="22" t="s">
        <v>47</v>
      </c>
      <c r="E5690" s="24" t="s">
        <v>49</v>
      </c>
      <c r="F5690" s="22" t="s">
        <v>182</v>
      </c>
      <c r="G5690" s="25">
        <v>3749.01</v>
      </c>
      <c r="H5690" s="22" t="s">
        <v>22</v>
      </c>
      <c r="I5690" s="22">
        <v>0</v>
      </c>
      <c r="J5690" s="22" t="s">
        <v>182</v>
      </c>
      <c r="K5690" s="22" t="s">
        <v>23</v>
      </c>
      <c r="L5690" s="22">
        <v>4</v>
      </c>
      <c r="M5690" s="26">
        <v>55000</v>
      </c>
      <c r="N5690" s="26">
        <v>0</v>
      </c>
      <c r="O5690" s="15">
        <f t="shared" si="489"/>
        <v>55000</v>
      </c>
      <c r="P5690" s="15">
        <f t="shared" si="490"/>
        <v>14.670539689144601</v>
      </c>
      <c r="Q5690" s="25">
        <v>5000</v>
      </c>
      <c r="R5690" s="22">
        <v>75</v>
      </c>
      <c r="S5690" s="22" t="s">
        <v>6884</v>
      </c>
      <c r="T5690" s="22">
        <f t="shared" si="486"/>
        <v>11</v>
      </c>
      <c r="U5690" s="22">
        <f t="shared" si="487"/>
        <v>2022</v>
      </c>
      <c r="V5690" s="22" t="str">
        <f t="shared" si="488"/>
        <v>METROPOLITANA</v>
      </c>
    </row>
    <row r="5691" spans="1:22" x14ac:dyDescent="0.2">
      <c r="A5691" s="23" t="s">
        <v>6874</v>
      </c>
      <c r="B5691" s="22" t="s">
        <v>33</v>
      </c>
      <c r="C5691" s="22" t="s">
        <v>44</v>
      </c>
      <c r="D5691" s="22" t="s">
        <v>20</v>
      </c>
      <c r="E5691" s="24" t="s">
        <v>21</v>
      </c>
      <c r="F5691" s="22" t="s">
        <v>26</v>
      </c>
      <c r="G5691" s="25">
        <v>2630.14</v>
      </c>
      <c r="H5691" s="22" t="s">
        <v>22</v>
      </c>
      <c r="I5691" s="22">
        <v>0</v>
      </c>
      <c r="J5691" s="22" t="s">
        <v>26</v>
      </c>
      <c r="K5691" s="22" t="s">
        <v>23</v>
      </c>
      <c r="L5691" s="22">
        <v>4</v>
      </c>
      <c r="M5691" s="26">
        <v>55000</v>
      </c>
      <c r="N5691" s="26">
        <v>0</v>
      </c>
      <c r="O5691" s="15">
        <f t="shared" si="489"/>
        <v>55000</v>
      </c>
      <c r="P5691" s="15">
        <f t="shared" si="490"/>
        <v>20.911434372314783</v>
      </c>
      <c r="Q5691" s="25">
        <v>5000</v>
      </c>
      <c r="R5691" s="22">
        <v>53</v>
      </c>
      <c r="S5691" s="22" t="s">
        <v>6885</v>
      </c>
      <c r="T5691" s="22">
        <f t="shared" si="486"/>
        <v>11</v>
      </c>
      <c r="U5691" s="22">
        <f t="shared" si="487"/>
        <v>2022</v>
      </c>
      <c r="V5691" s="22" t="str">
        <f t="shared" si="488"/>
        <v>METROPOLITANA</v>
      </c>
    </row>
    <row r="5692" spans="1:22" x14ac:dyDescent="0.2">
      <c r="A5692" s="11" t="s">
        <v>6887</v>
      </c>
      <c r="B5692" s="12" t="s">
        <v>18</v>
      </c>
      <c r="C5692" s="12" t="s">
        <v>19</v>
      </c>
      <c r="D5692" s="12" t="s">
        <v>30</v>
      </c>
      <c r="E5692" s="13" t="s">
        <v>31</v>
      </c>
      <c r="F5692" s="12" t="s">
        <v>51</v>
      </c>
      <c r="G5692" s="14">
        <v>11657.36</v>
      </c>
      <c r="H5692" s="12" t="s">
        <v>32</v>
      </c>
      <c r="I5692" s="12">
        <v>0</v>
      </c>
      <c r="J5692" s="12" t="s">
        <v>51</v>
      </c>
      <c r="K5692" s="12" t="s">
        <v>23</v>
      </c>
      <c r="L5692" s="12">
        <v>4</v>
      </c>
      <c r="M5692" s="15">
        <v>128231</v>
      </c>
      <c r="N5692" s="15">
        <v>0</v>
      </c>
      <c r="O5692" s="15">
        <f t="shared" si="489"/>
        <v>128231</v>
      </c>
      <c r="P5692" s="15">
        <f t="shared" si="490"/>
        <v>11.000003431308633</v>
      </c>
      <c r="Q5692" s="14">
        <v>5000</v>
      </c>
      <c r="R5692" s="12">
        <v>100</v>
      </c>
      <c r="S5692" s="12" t="s">
        <v>6888</v>
      </c>
      <c r="T5692" s="22">
        <f t="shared" si="486"/>
        <v>11</v>
      </c>
      <c r="U5692" s="22">
        <f t="shared" si="487"/>
        <v>2022</v>
      </c>
      <c r="V5692" s="22" t="str">
        <f t="shared" si="488"/>
        <v>METROPOLITANA</v>
      </c>
    </row>
    <row r="5693" spans="1:22" x14ac:dyDescent="0.2">
      <c r="A5693" s="11" t="s">
        <v>6887</v>
      </c>
      <c r="B5693" s="12" t="s">
        <v>33</v>
      </c>
      <c r="C5693" s="12" t="s">
        <v>60</v>
      </c>
      <c r="D5693" s="12" t="s">
        <v>38</v>
      </c>
      <c r="E5693" s="13" t="s">
        <v>42</v>
      </c>
      <c r="F5693" s="12" t="s">
        <v>51</v>
      </c>
      <c r="G5693" s="14">
        <f>3868.8+1786+750</f>
        <v>6404.8</v>
      </c>
      <c r="H5693" s="12" t="s">
        <v>43</v>
      </c>
      <c r="I5693" s="12">
        <v>0</v>
      </c>
      <c r="J5693" s="12" t="s">
        <v>51</v>
      </c>
      <c r="K5693" s="12" t="s">
        <v>23</v>
      </c>
      <c r="L5693" s="12">
        <v>4</v>
      </c>
      <c r="M5693" s="15">
        <v>55000</v>
      </c>
      <c r="N5693" s="15">
        <v>0</v>
      </c>
      <c r="O5693" s="15">
        <f t="shared" si="489"/>
        <v>55000</v>
      </c>
      <c r="P5693" s="15">
        <f t="shared" si="490"/>
        <v>8.5873095178616037</v>
      </c>
      <c r="Q5693" s="14">
        <v>5000</v>
      </c>
      <c r="R5693" s="12">
        <v>77</v>
      </c>
      <c r="S5693" s="12" t="s">
        <v>6898</v>
      </c>
      <c r="T5693" s="22">
        <f t="shared" si="486"/>
        <v>11</v>
      </c>
      <c r="U5693" s="22">
        <f t="shared" si="487"/>
        <v>2022</v>
      </c>
      <c r="V5693" s="22" t="str">
        <f t="shared" si="488"/>
        <v>METROPOLITANA</v>
      </c>
    </row>
    <row r="5694" spans="1:22" x14ac:dyDescent="0.2">
      <c r="A5694" s="11" t="s">
        <v>6887</v>
      </c>
      <c r="B5694" s="12" t="s">
        <v>33</v>
      </c>
      <c r="C5694" s="12" t="s">
        <v>128</v>
      </c>
      <c r="D5694" s="12" t="s">
        <v>47</v>
      </c>
      <c r="E5694" s="13" t="s">
        <v>49</v>
      </c>
      <c r="F5694" s="12" t="s">
        <v>173</v>
      </c>
      <c r="G5694" s="14">
        <v>3001.6</v>
      </c>
      <c r="H5694" s="12" t="s">
        <v>22</v>
      </c>
      <c r="I5694" s="12">
        <v>0</v>
      </c>
      <c r="J5694" s="12" t="s">
        <v>173</v>
      </c>
      <c r="K5694" s="12" t="s">
        <v>23</v>
      </c>
      <c r="L5694" s="12">
        <v>5</v>
      </c>
      <c r="M5694" s="15">
        <v>90000</v>
      </c>
      <c r="N5694" s="15">
        <v>0</v>
      </c>
      <c r="O5694" s="15">
        <f t="shared" si="489"/>
        <v>90000</v>
      </c>
      <c r="P5694" s="15">
        <f t="shared" si="490"/>
        <v>29.984008528784649</v>
      </c>
      <c r="Q5694" s="14">
        <v>10000</v>
      </c>
      <c r="R5694" s="12">
        <v>30</v>
      </c>
      <c r="S5694" s="12" t="s">
        <v>6889</v>
      </c>
      <c r="T5694" s="22">
        <f t="shared" si="486"/>
        <v>11</v>
      </c>
      <c r="U5694" s="22">
        <f t="shared" si="487"/>
        <v>2022</v>
      </c>
      <c r="V5694" s="22" t="str">
        <f t="shared" si="488"/>
        <v>METROPOLITANA</v>
      </c>
    </row>
    <row r="5695" spans="1:22" x14ac:dyDescent="0.2">
      <c r="A5695" s="11" t="s">
        <v>6887</v>
      </c>
      <c r="B5695" s="12" t="s">
        <v>33</v>
      </c>
      <c r="C5695" s="12" t="s">
        <v>128</v>
      </c>
      <c r="D5695" s="12" t="s">
        <v>20</v>
      </c>
      <c r="E5695" s="13" t="s">
        <v>21</v>
      </c>
      <c r="F5695" s="12" t="s">
        <v>120</v>
      </c>
      <c r="G5695" s="14">
        <v>3001.6</v>
      </c>
      <c r="H5695" s="12" t="s">
        <v>22</v>
      </c>
      <c r="I5695" s="12">
        <v>0</v>
      </c>
      <c r="J5695" s="12" t="s">
        <v>120</v>
      </c>
      <c r="K5695" s="12" t="s">
        <v>23</v>
      </c>
      <c r="L5695" s="12">
        <v>5</v>
      </c>
      <c r="M5695" s="15">
        <v>70000</v>
      </c>
      <c r="N5695" s="15">
        <v>0</v>
      </c>
      <c r="O5695" s="15">
        <f t="shared" si="489"/>
        <v>70000</v>
      </c>
      <c r="P5695" s="15">
        <f t="shared" si="490"/>
        <v>23.32089552238806</v>
      </c>
      <c r="Q5695" s="14">
        <v>10000</v>
      </c>
      <c r="R5695" s="12">
        <v>30</v>
      </c>
      <c r="S5695" s="12" t="s">
        <v>6890</v>
      </c>
      <c r="T5695" s="22">
        <f t="shared" si="486"/>
        <v>11</v>
      </c>
      <c r="U5695" s="22">
        <f t="shared" si="487"/>
        <v>2022</v>
      </c>
      <c r="V5695" s="22" t="str">
        <f t="shared" si="488"/>
        <v>METROPOLITANA</v>
      </c>
    </row>
    <row r="5696" spans="1:22" x14ac:dyDescent="0.2">
      <c r="A5696" s="11" t="s">
        <v>6887</v>
      </c>
      <c r="B5696" s="12" t="s">
        <v>33</v>
      </c>
      <c r="C5696" s="12" t="s">
        <v>5851</v>
      </c>
      <c r="D5696" s="12" t="s">
        <v>2955</v>
      </c>
      <c r="E5696" s="13" t="s">
        <v>2956</v>
      </c>
      <c r="F5696" s="12" t="s">
        <v>274</v>
      </c>
      <c r="G5696" s="14">
        <v>20519.52</v>
      </c>
      <c r="H5696" s="12" t="s">
        <v>24</v>
      </c>
      <c r="I5696" s="12">
        <v>1</v>
      </c>
      <c r="J5696" s="12" t="s">
        <v>274</v>
      </c>
      <c r="K5696" s="12" t="s">
        <v>78</v>
      </c>
      <c r="L5696" s="12">
        <v>0</v>
      </c>
      <c r="M5696" s="15">
        <v>275000</v>
      </c>
      <c r="N5696" s="15">
        <v>0</v>
      </c>
      <c r="O5696" s="15">
        <f t="shared" si="489"/>
        <v>275000</v>
      </c>
      <c r="P5696" s="15">
        <f t="shared" si="490"/>
        <v>13.401872948295086</v>
      </c>
      <c r="Q5696" s="14">
        <v>20000</v>
      </c>
      <c r="R5696" s="12">
        <v>100</v>
      </c>
      <c r="S5696" s="12" t="s">
        <v>6891</v>
      </c>
      <c r="T5696" s="22">
        <f t="shared" si="486"/>
        <v>11</v>
      </c>
      <c r="U5696" s="22">
        <f t="shared" si="487"/>
        <v>2022</v>
      </c>
      <c r="V5696" s="22" t="str">
        <f t="shared" si="488"/>
        <v>REGIONES</v>
      </c>
    </row>
    <row r="5697" spans="1:22" x14ac:dyDescent="0.2">
      <c r="A5697" s="11" t="s">
        <v>6887</v>
      </c>
      <c r="B5697" s="12" t="s">
        <v>33</v>
      </c>
      <c r="C5697" s="12" t="s">
        <v>29</v>
      </c>
      <c r="D5697" s="12" t="s">
        <v>37</v>
      </c>
      <c r="E5697" s="13" t="s">
        <v>40</v>
      </c>
      <c r="F5697" s="12" t="s">
        <v>39</v>
      </c>
      <c r="G5697" s="14">
        <v>7901.8799999999974</v>
      </c>
      <c r="H5697" s="12" t="s">
        <v>22</v>
      </c>
      <c r="I5697" s="12">
        <v>0</v>
      </c>
      <c r="J5697" s="12" t="s">
        <v>39</v>
      </c>
      <c r="K5697" s="12" t="s">
        <v>23</v>
      </c>
      <c r="L5697" s="12">
        <v>1</v>
      </c>
      <c r="M5697" s="15">
        <v>86921</v>
      </c>
      <c r="N5697" s="15">
        <v>0</v>
      </c>
      <c r="O5697" s="15">
        <f t="shared" si="489"/>
        <v>86921</v>
      </c>
      <c r="P5697" s="15">
        <f t="shared" si="490"/>
        <v>11.000040496691931</v>
      </c>
      <c r="Q5697" s="14">
        <v>5000</v>
      </c>
      <c r="R5697" s="12">
        <v>100</v>
      </c>
      <c r="S5697" s="12" t="s">
        <v>6892</v>
      </c>
      <c r="T5697" s="22">
        <f t="shared" si="486"/>
        <v>11</v>
      </c>
      <c r="U5697" s="22">
        <f t="shared" si="487"/>
        <v>2022</v>
      </c>
      <c r="V5697" s="22" t="str">
        <f t="shared" si="488"/>
        <v>METROPOLITANA</v>
      </c>
    </row>
    <row r="5698" spans="1:22" x14ac:dyDescent="0.2">
      <c r="A5698" s="11" t="s">
        <v>6887</v>
      </c>
      <c r="B5698" s="12" t="s">
        <v>33</v>
      </c>
      <c r="C5698" s="12" t="s">
        <v>29</v>
      </c>
      <c r="D5698" s="12" t="s">
        <v>41</v>
      </c>
      <c r="E5698" s="13" t="s">
        <v>25</v>
      </c>
      <c r="F5698" s="12" t="s">
        <v>39</v>
      </c>
      <c r="G5698" s="14">
        <v>6785</v>
      </c>
      <c r="H5698" s="12" t="s">
        <v>43</v>
      </c>
      <c r="I5698" s="12">
        <v>0</v>
      </c>
      <c r="J5698" s="12" t="s">
        <v>39</v>
      </c>
      <c r="K5698" s="12" t="s">
        <v>23</v>
      </c>
      <c r="L5698" s="12">
        <v>1</v>
      </c>
      <c r="M5698" s="15">
        <v>74635</v>
      </c>
      <c r="N5698" s="15">
        <v>0</v>
      </c>
      <c r="O5698" s="15">
        <f t="shared" si="489"/>
        <v>74635</v>
      </c>
      <c r="P5698" s="15">
        <f t="shared" si="490"/>
        <v>11</v>
      </c>
      <c r="Q5698" s="14">
        <v>5000</v>
      </c>
      <c r="R5698" s="12">
        <v>100</v>
      </c>
      <c r="S5698" s="12" t="s">
        <v>6893</v>
      </c>
      <c r="T5698" s="22">
        <f t="shared" si="486"/>
        <v>11</v>
      </c>
      <c r="U5698" s="22">
        <f t="shared" si="487"/>
        <v>2022</v>
      </c>
      <c r="V5698" s="22" t="str">
        <f t="shared" si="488"/>
        <v>METROPOLITANA</v>
      </c>
    </row>
    <row r="5699" spans="1:22" x14ac:dyDescent="0.2">
      <c r="A5699" s="11" t="s">
        <v>6887</v>
      </c>
      <c r="B5699" s="12" t="s">
        <v>33</v>
      </c>
      <c r="C5699" s="12" t="s">
        <v>29</v>
      </c>
      <c r="D5699" s="12" t="s">
        <v>164</v>
      </c>
      <c r="E5699" s="13" t="s">
        <v>1576</v>
      </c>
      <c r="F5699" s="12" t="s">
        <v>39</v>
      </c>
      <c r="G5699" s="14">
        <v>12326.2</v>
      </c>
      <c r="H5699" s="12" t="s">
        <v>22</v>
      </c>
      <c r="I5699" s="12">
        <v>1</v>
      </c>
      <c r="J5699" s="12" t="s">
        <v>39</v>
      </c>
      <c r="K5699" s="12" t="s">
        <v>23</v>
      </c>
      <c r="L5699" s="12">
        <v>1</v>
      </c>
      <c r="M5699" s="15">
        <v>135588</v>
      </c>
      <c r="N5699" s="15">
        <v>0</v>
      </c>
      <c r="O5699" s="15">
        <f t="shared" si="489"/>
        <v>135588</v>
      </c>
      <c r="P5699" s="15">
        <f t="shared" si="490"/>
        <v>10.999983774399247</v>
      </c>
      <c r="Q5699" s="14">
        <v>5000</v>
      </c>
      <c r="R5699" s="12">
        <v>100</v>
      </c>
      <c r="S5699" s="12" t="s">
        <v>6894</v>
      </c>
      <c r="T5699" s="22">
        <f t="shared" si="486"/>
        <v>11</v>
      </c>
      <c r="U5699" s="22">
        <f t="shared" si="487"/>
        <v>2022</v>
      </c>
      <c r="V5699" s="22" t="str">
        <f t="shared" si="488"/>
        <v>METROPOLITANA</v>
      </c>
    </row>
    <row r="5700" spans="1:22" x14ac:dyDescent="0.2">
      <c r="A5700" s="11" t="s">
        <v>6887</v>
      </c>
      <c r="B5700" s="12" t="s">
        <v>33</v>
      </c>
      <c r="C5700" s="12" t="s">
        <v>44</v>
      </c>
      <c r="D5700" s="12" t="s">
        <v>45</v>
      </c>
      <c r="E5700" s="13" t="s">
        <v>52</v>
      </c>
      <c r="F5700" s="12" t="s">
        <v>225</v>
      </c>
      <c r="G5700" s="14">
        <v>2608.7000000000012</v>
      </c>
      <c r="H5700" s="12" t="s">
        <v>22</v>
      </c>
      <c r="I5700" s="12">
        <v>0</v>
      </c>
      <c r="J5700" s="12" t="s">
        <v>225</v>
      </c>
      <c r="K5700" s="12" t="s">
        <v>23</v>
      </c>
      <c r="L5700" s="12">
        <v>3</v>
      </c>
      <c r="M5700" s="15">
        <v>55000</v>
      </c>
      <c r="N5700" s="15">
        <v>0</v>
      </c>
      <c r="O5700" s="15">
        <f t="shared" si="489"/>
        <v>55000</v>
      </c>
      <c r="P5700" s="15">
        <f t="shared" si="490"/>
        <v>21.083298194503001</v>
      </c>
      <c r="Q5700" s="14">
        <v>5000</v>
      </c>
      <c r="R5700" s="12">
        <v>52</v>
      </c>
      <c r="S5700" s="12" t="s">
        <v>6895</v>
      </c>
      <c r="T5700" s="22">
        <f t="shared" si="486"/>
        <v>11</v>
      </c>
      <c r="U5700" s="22">
        <f t="shared" si="487"/>
        <v>2022</v>
      </c>
      <c r="V5700" s="22" t="str">
        <f t="shared" si="488"/>
        <v>METROPOLITANA</v>
      </c>
    </row>
    <row r="5701" spans="1:22" x14ac:dyDescent="0.2">
      <c r="A5701" s="11" t="s">
        <v>6887</v>
      </c>
      <c r="B5701" s="12" t="s">
        <v>33</v>
      </c>
      <c r="C5701" s="12" t="s">
        <v>44</v>
      </c>
      <c r="D5701" s="12" t="s">
        <v>47</v>
      </c>
      <c r="E5701" s="13" t="s">
        <v>49</v>
      </c>
      <c r="F5701" s="12" t="s">
        <v>51</v>
      </c>
      <c r="G5701" s="14">
        <v>2512.3200000000002</v>
      </c>
      <c r="H5701" s="12" t="s">
        <v>22</v>
      </c>
      <c r="I5701" s="12">
        <v>0</v>
      </c>
      <c r="J5701" s="12" t="s">
        <v>51</v>
      </c>
      <c r="K5701" s="12" t="s">
        <v>23</v>
      </c>
      <c r="L5701" s="12">
        <v>4</v>
      </c>
      <c r="M5701" s="15">
        <v>55000</v>
      </c>
      <c r="N5701" s="15">
        <v>0</v>
      </c>
      <c r="O5701" s="15">
        <f t="shared" si="489"/>
        <v>55000</v>
      </c>
      <c r="P5701" s="15">
        <f t="shared" si="490"/>
        <v>21.892115654056806</v>
      </c>
      <c r="Q5701" s="14">
        <v>5000</v>
      </c>
      <c r="R5701" s="12">
        <v>50</v>
      </c>
      <c r="S5701" s="12" t="s">
        <v>6896</v>
      </c>
      <c r="T5701" s="22">
        <f t="shared" si="486"/>
        <v>11</v>
      </c>
      <c r="U5701" s="22">
        <f t="shared" si="487"/>
        <v>2022</v>
      </c>
      <c r="V5701" s="22" t="str">
        <f t="shared" si="488"/>
        <v>METROPOLITANA</v>
      </c>
    </row>
    <row r="5702" spans="1:22" x14ac:dyDescent="0.2">
      <c r="A5702" s="11" t="s">
        <v>6887</v>
      </c>
      <c r="B5702" s="12" t="s">
        <v>33</v>
      </c>
      <c r="C5702" s="12" t="s">
        <v>44</v>
      </c>
      <c r="D5702" s="12" t="s">
        <v>20</v>
      </c>
      <c r="E5702" s="13" t="s">
        <v>21</v>
      </c>
      <c r="F5702" s="12" t="s">
        <v>134</v>
      </c>
      <c r="G5702" s="14">
        <v>5552.2</v>
      </c>
      <c r="H5702" s="12" t="s">
        <v>22</v>
      </c>
      <c r="I5702" s="12">
        <v>0</v>
      </c>
      <c r="J5702" s="12" t="s">
        <v>134</v>
      </c>
      <c r="K5702" s="12" t="s">
        <v>23</v>
      </c>
      <c r="L5702" s="12">
        <v>2</v>
      </c>
      <c r="M5702" s="15">
        <v>61074</v>
      </c>
      <c r="N5702" s="15">
        <v>0</v>
      </c>
      <c r="O5702" s="15">
        <f t="shared" si="489"/>
        <v>61074</v>
      </c>
      <c r="P5702" s="15">
        <f t="shared" si="490"/>
        <v>10.999963978242858</v>
      </c>
      <c r="Q5702" s="14">
        <v>5000</v>
      </c>
      <c r="R5702" s="12">
        <v>100</v>
      </c>
      <c r="S5702" s="12" t="s">
        <v>6897</v>
      </c>
      <c r="T5702" s="22">
        <f t="shared" si="486"/>
        <v>11</v>
      </c>
      <c r="U5702" s="22">
        <f t="shared" si="487"/>
        <v>2022</v>
      </c>
      <c r="V5702" s="22" t="str">
        <f t="shared" si="488"/>
        <v>METROPOLITANA</v>
      </c>
    </row>
    <row r="5703" spans="1:22" x14ac:dyDescent="0.2">
      <c r="A5703" s="23" t="s">
        <v>6899</v>
      </c>
      <c r="B5703" s="22" t="s">
        <v>18</v>
      </c>
      <c r="C5703" s="22" t="s">
        <v>1722</v>
      </c>
      <c r="D5703" s="22" t="s">
        <v>41</v>
      </c>
      <c r="E5703" s="24" t="s">
        <v>25</v>
      </c>
      <c r="F5703" s="22" t="s">
        <v>26</v>
      </c>
      <c r="G5703" s="25">
        <v>4964</v>
      </c>
      <c r="H5703" s="22" t="s">
        <v>43</v>
      </c>
      <c r="I5703" s="22">
        <v>0</v>
      </c>
      <c r="J5703" s="22" t="s">
        <v>26</v>
      </c>
      <c r="K5703" s="22" t="s">
        <v>23</v>
      </c>
      <c r="L5703" s="22">
        <v>4</v>
      </c>
      <c r="M5703" s="26">
        <v>55000</v>
      </c>
      <c r="N5703" s="26">
        <v>0</v>
      </c>
      <c r="O5703" s="15">
        <f t="shared" si="489"/>
        <v>55000</v>
      </c>
      <c r="P5703" s="15">
        <f t="shared" si="490"/>
        <v>11.079774375503627</v>
      </c>
      <c r="Q5703" s="25">
        <v>5000</v>
      </c>
      <c r="R5703" s="22">
        <v>99</v>
      </c>
      <c r="S5703" s="22" t="s">
        <v>6900</v>
      </c>
      <c r="T5703" s="22">
        <f t="shared" ref="T5703:T5766" si="491">MONTH(A5703)</f>
        <v>11</v>
      </c>
      <c r="U5703" s="22">
        <f t="shared" ref="U5703:U5766" si="492">YEAR(A5703)</f>
        <v>2022</v>
      </c>
      <c r="V5703" s="22" t="str">
        <f t="shared" ref="V5703:V5766" si="493">IF(K5703="METROPOLITANA DE SANTIAGO","METROPOLITANA","REGIONES")</f>
        <v>METROPOLITANA</v>
      </c>
    </row>
    <row r="5704" spans="1:22" x14ac:dyDescent="0.2">
      <c r="A5704" s="23" t="s">
        <v>6899</v>
      </c>
      <c r="B5704" s="22" t="s">
        <v>33</v>
      </c>
      <c r="C5704" s="22" t="s">
        <v>1642</v>
      </c>
      <c r="D5704" s="22" t="s">
        <v>30</v>
      </c>
      <c r="E5704" s="24" t="s">
        <v>31</v>
      </c>
      <c r="F5704" s="22" t="s">
        <v>2055</v>
      </c>
      <c r="G5704" s="25">
        <f>4858.94+1457</f>
        <v>6315.94</v>
      </c>
      <c r="H5704" s="22" t="s">
        <v>32</v>
      </c>
      <c r="I5704" s="22">
        <v>0</v>
      </c>
      <c r="J5704" s="22" t="s">
        <v>2055</v>
      </c>
      <c r="K5704" s="22" t="s">
        <v>86</v>
      </c>
      <c r="L5704" s="22">
        <v>0</v>
      </c>
      <c r="M5704" s="26">
        <v>300000</v>
      </c>
      <c r="N5704" s="26">
        <v>0</v>
      </c>
      <c r="O5704" s="15">
        <f t="shared" si="489"/>
        <v>300000</v>
      </c>
      <c r="P5704" s="15">
        <f t="shared" si="490"/>
        <v>47.498867943647348</v>
      </c>
      <c r="Q5704" s="25">
        <v>20000</v>
      </c>
      <c r="R5704" s="22">
        <v>55</v>
      </c>
      <c r="S5704" s="22" t="s">
        <v>6911</v>
      </c>
      <c r="T5704" s="22">
        <f t="shared" si="491"/>
        <v>11</v>
      </c>
      <c r="U5704" s="22">
        <f t="shared" si="492"/>
        <v>2022</v>
      </c>
      <c r="V5704" s="22" t="str">
        <f t="shared" si="493"/>
        <v>REGIONES</v>
      </c>
    </row>
    <row r="5705" spans="1:22" x14ac:dyDescent="0.2">
      <c r="A5705" s="23" t="s">
        <v>6899</v>
      </c>
      <c r="B5705" s="22" t="s">
        <v>33</v>
      </c>
      <c r="C5705" s="22" t="s">
        <v>909</v>
      </c>
      <c r="D5705" s="22" t="s">
        <v>786</v>
      </c>
      <c r="E5705" s="24" t="s">
        <v>787</v>
      </c>
      <c r="F5705" s="22" t="s">
        <v>910</v>
      </c>
      <c r="G5705" s="25">
        <f>3371.66+3038</f>
        <v>6409.66</v>
      </c>
      <c r="H5705" s="22" t="s">
        <v>788</v>
      </c>
      <c r="I5705" s="22">
        <v>1</v>
      </c>
      <c r="J5705" s="22" t="s">
        <v>910</v>
      </c>
      <c r="K5705" s="22" t="s">
        <v>171</v>
      </c>
      <c r="L5705" s="22">
        <v>0</v>
      </c>
      <c r="M5705" s="26">
        <v>260000</v>
      </c>
      <c r="N5705" s="26">
        <v>0</v>
      </c>
      <c r="O5705" s="15">
        <f t="shared" si="489"/>
        <v>260000</v>
      </c>
      <c r="P5705" s="15">
        <f t="shared" si="490"/>
        <v>40.563774053537941</v>
      </c>
      <c r="Q5705" s="25">
        <v>20000</v>
      </c>
      <c r="R5705" s="22">
        <v>55</v>
      </c>
      <c r="S5705" s="22" t="s">
        <v>6912</v>
      </c>
      <c r="T5705" s="22">
        <f t="shared" si="491"/>
        <v>11</v>
      </c>
      <c r="U5705" s="22">
        <f t="shared" si="492"/>
        <v>2022</v>
      </c>
      <c r="V5705" s="22" t="str">
        <f t="shared" si="493"/>
        <v>REGIONES</v>
      </c>
    </row>
    <row r="5706" spans="1:22" x14ac:dyDescent="0.2">
      <c r="A5706" s="23" t="s">
        <v>6899</v>
      </c>
      <c r="B5706" s="22" t="s">
        <v>33</v>
      </c>
      <c r="C5706" s="22" t="s">
        <v>29</v>
      </c>
      <c r="D5706" s="22" t="s">
        <v>38</v>
      </c>
      <c r="E5706" s="24" t="s">
        <v>42</v>
      </c>
      <c r="F5706" s="22" t="s">
        <v>39</v>
      </c>
      <c r="G5706" s="25">
        <v>8834.14</v>
      </c>
      <c r="H5706" s="22" t="s">
        <v>43</v>
      </c>
      <c r="I5706" s="22">
        <v>0</v>
      </c>
      <c r="J5706" s="22" t="s">
        <v>39</v>
      </c>
      <c r="K5706" s="22" t="s">
        <v>23</v>
      </c>
      <c r="L5706" s="22">
        <v>1</v>
      </c>
      <c r="M5706" s="26">
        <v>97176</v>
      </c>
      <c r="N5706" s="26">
        <v>0</v>
      </c>
      <c r="O5706" s="15">
        <f t="shared" si="489"/>
        <v>97176</v>
      </c>
      <c r="P5706" s="15">
        <f t="shared" si="490"/>
        <v>11.000052070716562</v>
      </c>
      <c r="Q5706" s="25">
        <v>5000</v>
      </c>
      <c r="R5706" s="22">
        <v>100</v>
      </c>
      <c r="S5706" s="22" t="s">
        <v>6901</v>
      </c>
      <c r="T5706" s="22">
        <f t="shared" si="491"/>
        <v>11</v>
      </c>
      <c r="U5706" s="22">
        <f t="shared" si="492"/>
        <v>2022</v>
      </c>
      <c r="V5706" s="22" t="str">
        <f t="shared" si="493"/>
        <v>METROPOLITANA</v>
      </c>
    </row>
    <row r="5707" spans="1:22" x14ac:dyDescent="0.2">
      <c r="A5707" s="23" t="s">
        <v>6899</v>
      </c>
      <c r="B5707" s="22" t="s">
        <v>33</v>
      </c>
      <c r="C5707" s="22" t="s">
        <v>29</v>
      </c>
      <c r="D5707" s="22" t="s">
        <v>37</v>
      </c>
      <c r="E5707" s="24" t="s">
        <v>40</v>
      </c>
      <c r="F5707" s="22" t="s">
        <v>173</v>
      </c>
      <c r="G5707" s="25">
        <v>6753.5999999999995</v>
      </c>
      <c r="H5707" s="22" t="s">
        <v>22</v>
      </c>
      <c r="I5707" s="22">
        <v>0</v>
      </c>
      <c r="J5707" s="22" t="s">
        <v>173</v>
      </c>
      <c r="K5707" s="22" t="s">
        <v>23</v>
      </c>
      <c r="L5707" s="22">
        <v>5</v>
      </c>
      <c r="M5707" s="26">
        <v>90000</v>
      </c>
      <c r="N5707" s="26">
        <v>0</v>
      </c>
      <c r="O5707" s="15">
        <f t="shared" si="489"/>
        <v>90000</v>
      </c>
      <c r="P5707" s="15">
        <f t="shared" si="490"/>
        <v>13.326226012793178</v>
      </c>
      <c r="Q5707" s="25">
        <v>10000</v>
      </c>
      <c r="R5707" s="22">
        <v>68</v>
      </c>
      <c r="S5707" s="22" t="s">
        <v>6902</v>
      </c>
      <c r="T5707" s="22">
        <f t="shared" si="491"/>
        <v>11</v>
      </c>
      <c r="U5707" s="22">
        <f t="shared" si="492"/>
        <v>2022</v>
      </c>
      <c r="V5707" s="22" t="str">
        <f t="shared" si="493"/>
        <v>METROPOLITANA</v>
      </c>
    </row>
    <row r="5708" spans="1:22" x14ac:dyDescent="0.2">
      <c r="A5708" s="23" t="s">
        <v>6899</v>
      </c>
      <c r="B5708" s="22" t="s">
        <v>33</v>
      </c>
      <c r="C5708" s="22" t="s">
        <v>29</v>
      </c>
      <c r="D5708" s="22" t="s">
        <v>41</v>
      </c>
      <c r="E5708" s="24" t="s">
        <v>25</v>
      </c>
      <c r="F5708" s="22" t="s">
        <v>39</v>
      </c>
      <c r="G5708" s="25">
        <v>7893.6000000000022</v>
      </c>
      <c r="H5708" s="22" t="s">
        <v>43</v>
      </c>
      <c r="I5708" s="22">
        <v>0</v>
      </c>
      <c r="J5708" s="22" t="s">
        <v>39</v>
      </c>
      <c r="K5708" s="22" t="s">
        <v>23</v>
      </c>
      <c r="L5708" s="22">
        <v>1</v>
      </c>
      <c r="M5708" s="26">
        <v>86830</v>
      </c>
      <c r="N5708" s="26">
        <v>0</v>
      </c>
      <c r="O5708" s="15">
        <f t="shared" si="489"/>
        <v>86830</v>
      </c>
      <c r="P5708" s="15">
        <f t="shared" si="490"/>
        <v>11.000050673963715</v>
      </c>
      <c r="Q5708" s="25">
        <v>5000</v>
      </c>
      <c r="R5708" s="22">
        <v>100</v>
      </c>
      <c r="S5708" s="22" t="s">
        <v>6903</v>
      </c>
      <c r="T5708" s="22">
        <f t="shared" si="491"/>
        <v>11</v>
      </c>
      <c r="U5708" s="22">
        <f t="shared" si="492"/>
        <v>2022</v>
      </c>
      <c r="V5708" s="22" t="str">
        <f t="shared" si="493"/>
        <v>METROPOLITANA</v>
      </c>
    </row>
    <row r="5709" spans="1:22" x14ac:dyDescent="0.2">
      <c r="A5709" s="23" t="s">
        <v>6899</v>
      </c>
      <c r="B5709" s="22" t="s">
        <v>33</v>
      </c>
      <c r="C5709" s="22" t="s">
        <v>29</v>
      </c>
      <c r="D5709" s="22" t="s">
        <v>164</v>
      </c>
      <c r="E5709" s="24" t="s">
        <v>1576</v>
      </c>
      <c r="F5709" s="22" t="s">
        <v>39</v>
      </c>
      <c r="G5709" s="25">
        <v>7672.2000000000025</v>
      </c>
      <c r="H5709" s="22" t="s">
        <v>22</v>
      </c>
      <c r="I5709" s="22">
        <v>1</v>
      </c>
      <c r="J5709" s="22" t="s">
        <v>39</v>
      </c>
      <c r="K5709" s="22" t="s">
        <v>23</v>
      </c>
      <c r="L5709" s="22">
        <v>1</v>
      </c>
      <c r="M5709" s="26">
        <v>84394</v>
      </c>
      <c r="N5709" s="26">
        <v>0</v>
      </c>
      <c r="O5709" s="15">
        <f t="shared" si="489"/>
        <v>84394</v>
      </c>
      <c r="P5709" s="15">
        <f t="shared" si="490"/>
        <v>10.999973931857873</v>
      </c>
      <c r="Q5709" s="25">
        <v>5000</v>
      </c>
      <c r="R5709" s="22">
        <v>100</v>
      </c>
      <c r="S5709" s="22" t="s">
        <v>6904</v>
      </c>
      <c r="T5709" s="22">
        <f t="shared" si="491"/>
        <v>11</v>
      </c>
      <c r="U5709" s="22">
        <f t="shared" si="492"/>
        <v>2022</v>
      </c>
      <c r="V5709" s="22" t="str">
        <f t="shared" si="493"/>
        <v>METROPOLITANA</v>
      </c>
    </row>
    <row r="5710" spans="1:22" x14ac:dyDescent="0.2">
      <c r="A5710" s="23" t="s">
        <v>6899</v>
      </c>
      <c r="B5710" s="22" t="s">
        <v>33</v>
      </c>
      <c r="C5710" s="22" t="s">
        <v>29</v>
      </c>
      <c r="D5710" s="22" t="s">
        <v>20</v>
      </c>
      <c r="E5710" s="24" t="s">
        <v>21</v>
      </c>
      <c r="F5710" s="22" t="s">
        <v>173</v>
      </c>
      <c r="G5710" s="25">
        <v>4137.6000000000004</v>
      </c>
      <c r="H5710" s="22" t="s">
        <v>22</v>
      </c>
      <c r="I5710" s="22">
        <v>0</v>
      </c>
      <c r="J5710" s="22" t="s">
        <v>173</v>
      </c>
      <c r="K5710" s="22" t="s">
        <v>23</v>
      </c>
      <c r="L5710" s="22">
        <v>5</v>
      </c>
      <c r="M5710" s="26">
        <v>90000</v>
      </c>
      <c r="N5710" s="26">
        <v>0</v>
      </c>
      <c r="O5710" s="15">
        <f t="shared" si="489"/>
        <v>90000</v>
      </c>
      <c r="P5710" s="15">
        <f t="shared" si="490"/>
        <v>21.751740139211137</v>
      </c>
      <c r="Q5710" s="25">
        <v>10000</v>
      </c>
      <c r="R5710" s="22">
        <v>41</v>
      </c>
      <c r="S5710" s="22" t="s">
        <v>6905</v>
      </c>
      <c r="T5710" s="22">
        <f t="shared" si="491"/>
        <v>11</v>
      </c>
      <c r="U5710" s="22">
        <f t="shared" si="492"/>
        <v>2022</v>
      </c>
      <c r="V5710" s="22" t="str">
        <f t="shared" si="493"/>
        <v>METROPOLITANA</v>
      </c>
    </row>
    <row r="5711" spans="1:22" x14ac:dyDescent="0.2">
      <c r="A5711" s="23" t="s">
        <v>6899</v>
      </c>
      <c r="B5711" s="22" t="s">
        <v>33</v>
      </c>
      <c r="C5711" s="22" t="s">
        <v>2698</v>
      </c>
      <c r="D5711" s="22" t="s">
        <v>20</v>
      </c>
      <c r="E5711" s="24" t="s">
        <v>21</v>
      </c>
      <c r="F5711" s="22" t="s">
        <v>51</v>
      </c>
      <c r="G5711" s="25">
        <v>6161.5999999999995</v>
      </c>
      <c r="H5711" s="22" t="s">
        <v>22</v>
      </c>
      <c r="I5711" s="22">
        <v>0</v>
      </c>
      <c r="J5711" s="22" t="s">
        <v>51</v>
      </c>
      <c r="K5711" s="22" t="s">
        <v>23</v>
      </c>
      <c r="L5711" s="22">
        <v>4</v>
      </c>
      <c r="M5711" s="26">
        <v>67778</v>
      </c>
      <c r="N5711" s="26">
        <v>0</v>
      </c>
      <c r="O5711" s="15">
        <f t="shared" si="489"/>
        <v>67778</v>
      </c>
      <c r="P5711" s="15">
        <f t="shared" si="490"/>
        <v>11.000064918203066</v>
      </c>
      <c r="Q5711" s="25">
        <v>5000</v>
      </c>
      <c r="R5711" s="22">
        <v>100</v>
      </c>
      <c r="S5711" s="22" t="s">
        <v>6906</v>
      </c>
      <c r="T5711" s="22">
        <f t="shared" si="491"/>
        <v>11</v>
      </c>
      <c r="U5711" s="22">
        <f t="shared" si="492"/>
        <v>2022</v>
      </c>
      <c r="V5711" s="22" t="str">
        <f t="shared" si="493"/>
        <v>METROPOLITANA</v>
      </c>
    </row>
    <row r="5712" spans="1:22" x14ac:dyDescent="0.2">
      <c r="A5712" s="23" t="s">
        <v>6899</v>
      </c>
      <c r="B5712" s="22" t="s">
        <v>33</v>
      </c>
      <c r="C5712" s="22" t="s">
        <v>44</v>
      </c>
      <c r="D5712" s="22" t="s">
        <v>2825</v>
      </c>
      <c r="E5712" s="24" t="s">
        <v>639</v>
      </c>
      <c r="F5712" s="22" t="s">
        <v>66</v>
      </c>
      <c r="G5712" s="25">
        <v>6971.46</v>
      </c>
      <c r="H5712" s="22" t="s">
        <v>24</v>
      </c>
      <c r="I5712" s="22">
        <v>1</v>
      </c>
      <c r="J5712" s="22" t="s">
        <v>66</v>
      </c>
      <c r="K5712" s="22" t="s">
        <v>75</v>
      </c>
      <c r="L5712" s="22">
        <v>0</v>
      </c>
      <c r="M5712" s="26">
        <v>430000</v>
      </c>
      <c r="N5712" s="26">
        <v>0</v>
      </c>
      <c r="O5712" s="15">
        <f t="shared" si="489"/>
        <v>430000</v>
      </c>
      <c r="P5712" s="15">
        <f t="shared" si="490"/>
        <v>61.680049803054168</v>
      </c>
      <c r="Q5712" s="25">
        <v>20000</v>
      </c>
      <c r="R5712" s="22">
        <v>35</v>
      </c>
      <c r="S5712" s="22" t="s">
        <v>6907</v>
      </c>
      <c r="T5712" s="22">
        <f t="shared" si="491"/>
        <v>11</v>
      </c>
      <c r="U5712" s="22">
        <f t="shared" si="492"/>
        <v>2022</v>
      </c>
      <c r="V5712" s="22" t="str">
        <f t="shared" si="493"/>
        <v>REGIONES</v>
      </c>
    </row>
    <row r="5713" spans="1:22" x14ac:dyDescent="0.2">
      <c r="A5713" s="23" t="s">
        <v>6899</v>
      </c>
      <c r="B5713" s="22" t="s">
        <v>33</v>
      </c>
      <c r="C5713" s="22" t="s">
        <v>44</v>
      </c>
      <c r="D5713" s="22" t="s">
        <v>37</v>
      </c>
      <c r="E5713" s="24" t="s">
        <v>40</v>
      </c>
      <c r="F5713" s="22" t="s">
        <v>48</v>
      </c>
      <c r="G5713" s="25">
        <v>3972.7300000000009</v>
      </c>
      <c r="H5713" s="22" t="s">
        <v>22</v>
      </c>
      <c r="I5713" s="22">
        <v>0</v>
      </c>
      <c r="J5713" s="22" t="s">
        <v>48</v>
      </c>
      <c r="K5713" s="22" t="s">
        <v>23</v>
      </c>
      <c r="L5713" s="22">
        <v>1</v>
      </c>
      <c r="M5713" s="26">
        <v>55000</v>
      </c>
      <c r="N5713" s="26">
        <v>0</v>
      </c>
      <c r="O5713" s="15">
        <f t="shared" si="489"/>
        <v>55000</v>
      </c>
      <c r="P5713" s="15">
        <f t="shared" si="490"/>
        <v>13.844384088523507</v>
      </c>
      <c r="Q5713" s="25">
        <v>5000</v>
      </c>
      <c r="R5713" s="22">
        <v>79</v>
      </c>
      <c r="S5713" s="22" t="s">
        <v>6908</v>
      </c>
      <c r="T5713" s="22">
        <f t="shared" si="491"/>
        <v>11</v>
      </c>
      <c r="U5713" s="22">
        <f t="shared" si="492"/>
        <v>2022</v>
      </c>
      <c r="V5713" s="22" t="str">
        <f t="shared" si="493"/>
        <v>METROPOLITANA</v>
      </c>
    </row>
    <row r="5714" spans="1:22" x14ac:dyDescent="0.2">
      <c r="A5714" s="23" t="s">
        <v>6899</v>
      </c>
      <c r="B5714" s="22" t="s">
        <v>33</v>
      </c>
      <c r="C5714" s="22" t="s">
        <v>44</v>
      </c>
      <c r="D5714" s="22" t="s">
        <v>6909</v>
      </c>
      <c r="E5714" s="24" t="s">
        <v>3843</v>
      </c>
      <c r="F5714" s="22" t="s">
        <v>114</v>
      </c>
      <c r="G5714" s="25">
        <v>10337.030000000001</v>
      </c>
      <c r="H5714" s="22" t="s">
        <v>24</v>
      </c>
      <c r="I5714" s="22">
        <v>1</v>
      </c>
      <c r="J5714" s="22" t="s">
        <v>114</v>
      </c>
      <c r="K5714" s="22" t="s">
        <v>75</v>
      </c>
      <c r="L5714" s="22">
        <v>0</v>
      </c>
      <c r="M5714" s="26">
        <v>480000</v>
      </c>
      <c r="N5714" s="26">
        <v>0</v>
      </c>
      <c r="O5714" s="15">
        <f t="shared" si="489"/>
        <v>480000</v>
      </c>
      <c r="P5714" s="15">
        <f t="shared" si="490"/>
        <v>46.435001156038048</v>
      </c>
      <c r="Q5714" s="25">
        <v>20000</v>
      </c>
      <c r="R5714" s="22">
        <v>52</v>
      </c>
      <c r="S5714" s="22" t="s">
        <v>6910</v>
      </c>
      <c r="T5714" s="22">
        <f t="shared" si="491"/>
        <v>11</v>
      </c>
      <c r="U5714" s="22">
        <f t="shared" si="492"/>
        <v>2022</v>
      </c>
      <c r="V5714" s="22" t="str">
        <f t="shared" si="493"/>
        <v>REGIONES</v>
      </c>
    </row>
    <row r="5715" spans="1:22" x14ac:dyDescent="0.2">
      <c r="A5715" s="11" t="s">
        <v>6913</v>
      </c>
      <c r="B5715" s="12" t="s">
        <v>18</v>
      </c>
      <c r="C5715" s="12" t="s">
        <v>160</v>
      </c>
      <c r="D5715" s="12" t="s">
        <v>164</v>
      </c>
      <c r="E5715" s="13" t="s">
        <v>1576</v>
      </c>
      <c r="F5715" s="12" t="s">
        <v>120</v>
      </c>
      <c r="G5715" s="14">
        <v>16854.669999999998</v>
      </c>
      <c r="H5715" s="12" t="s">
        <v>22</v>
      </c>
      <c r="I5715" s="12">
        <v>1</v>
      </c>
      <c r="J5715" s="12" t="s">
        <v>120</v>
      </c>
      <c r="K5715" s="12" t="s">
        <v>23</v>
      </c>
      <c r="L5715" s="12">
        <v>5</v>
      </c>
      <c r="M5715" s="15">
        <v>120000</v>
      </c>
      <c r="N5715" s="15">
        <v>0</v>
      </c>
      <c r="O5715" s="15">
        <f t="shared" ref="O5715:O5778" si="494">SUM(M5715:N5715)</f>
        <v>120000</v>
      </c>
      <c r="P5715" s="15">
        <f t="shared" si="490"/>
        <v>7.1196884898962729</v>
      </c>
      <c r="Q5715" s="14">
        <v>10000</v>
      </c>
      <c r="R5715" s="12">
        <v>100</v>
      </c>
      <c r="S5715" s="12" t="s">
        <v>6914</v>
      </c>
      <c r="T5715" s="22">
        <f t="shared" si="491"/>
        <v>11</v>
      </c>
      <c r="U5715" s="22">
        <f t="shared" si="492"/>
        <v>2022</v>
      </c>
      <c r="V5715" s="22" t="str">
        <f t="shared" si="493"/>
        <v>METROPOLITANA</v>
      </c>
    </row>
    <row r="5716" spans="1:22" x14ac:dyDescent="0.2">
      <c r="A5716" s="11" t="s">
        <v>6913</v>
      </c>
      <c r="B5716" s="12" t="s">
        <v>33</v>
      </c>
      <c r="C5716" s="12" t="s">
        <v>60</v>
      </c>
      <c r="D5716" s="12" t="s">
        <v>20</v>
      </c>
      <c r="E5716" s="13" t="s">
        <v>21</v>
      </c>
      <c r="F5716" s="12" t="s">
        <v>161</v>
      </c>
      <c r="G5716" s="14">
        <v>3714.4</v>
      </c>
      <c r="H5716" s="12" t="s">
        <v>22</v>
      </c>
      <c r="I5716" s="12">
        <v>0</v>
      </c>
      <c r="J5716" s="12" t="s">
        <v>161</v>
      </c>
      <c r="K5716" s="12" t="s">
        <v>23</v>
      </c>
      <c r="L5716" s="12">
        <v>5</v>
      </c>
      <c r="M5716" s="15">
        <v>70000</v>
      </c>
      <c r="N5716" s="15">
        <v>0</v>
      </c>
      <c r="O5716" s="15">
        <f t="shared" si="494"/>
        <v>70000</v>
      </c>
      <c r="P5716" s="15">
        <f t="shared" si="490"/>
        <v>18.845573982339005</v>
      </c>
      <c r="Q5716" s="14">
        <v>10000</v>
      </c>
      <c r="R5716" s="12">
        <v>37</v>
      </c>
      <c r="S5716" s="12" t="s">
        <v>6915</v>
      </c>
      <c r="T5716" s="22">
        <f t="shared" si="491"/>
        <v>11</v>
      </c>
      <c r="U5716" s="22">
        <f t="shared" si="492"/>
        <v>2022</v>
      </c>
      <c r="V5716" s="22" t="str">
        <f t="shared" si="493"/>
        <v>METROPOLITANA</v>
      </c>
    </row>
    <row r="5717" spans="1:22" x14ac:dyDescent="0.2">
      <c r="A5717" s="11" t="s">
        <v>6913</v>
      </c>
      <c r="B5717" s="12" t="s">
        <v>33</v>
      </c>
      <c r="C5717" s="12" t="s">
        <v>128</v>
      </c>
      <c r="D5717" s="12" t="s">
        <v>2955</v>
      </c>
      <c r="E5717" s="13" t="s">
        <v>2956</v>
      </c>
      <c r="F5717" s="12" t="s">
        <v>34</v>
      </c>
      <c r="G5717" s="14">
        <f>9234.53+1270+275+750</f>
        <v>11529.53</v>
      </c>
      <c r="H5717" s="12" t="s">
        <v>24</v>
      </c>
      <c r="I5717" s="12">
        <v>1</v>
      </c>
      <c r="J5717" s="12" t="s">
        <v>34</v>
      </c>
      <c r="K5717" s="12" t="s">
        <v>23</v>
      </c>
      <c r="L5717" s="12">
        <v>1</v>
      </c>
      <c r="M5717" s="15">
        <v>101580</v>
      </c>
      <c r="N5717" s="15">
        <v>0</v>
      </c>
      <c r="O5717" s="15">
        <f t="shared" si="494"/>
        <v>101580</v>
      </c>
      <c r="P5717" s="15">
        <f t="shared" si="490"/>
        <v>8.8104198523270245</v>
      </c>
      <c r="Q5717" s="14">
        <v>5000</v>
      </c>
      <c r="R5717" s="12">
        <v>100</v>
      </c>
      <c r="S5717" s="12" t="s">
        <v>6923</v>
      </c>
      <c r="T5717" s="22">
        <f t="shared" si="491"/>
        <v>11</v>
      </c>
      <c r="U5717" s="22">
        <f t="shared" si="492"/>
        <v>2022</v>
      </c>
      <c r="V5717" s="22" t="str">
        <f t="shared" si="493"/>
        <v>METROPOLITANA</v>
      </c>
    </row>
    <row r="5718" spans="1:22" x14ac:dyDescent="0.2">
      <c r="A5718" s="11" t="s">
        <v>6913</v>
      </c>
      <c r="B5718" s="12" t="s">
        <v>33</v>
      </c>
      <c r="C5718" s="12" t="s">
        <v>29</v>
      </c>
      <c r="D5718" s="12" t="s">
        <v>37</v>
      </c>
      <c r="E5718" s="13" t="s">
        <v>40</v>
      </c>
      <c r="F5718" s="12" t="s">
        <v>134</v>
      </c>
      <c r="G5718" s="14">
        <v>7660.8500000000022</v>
      </c>
      <c r="H5718" s="12" t="s">
        <v>22</v>
      </c>
      <c r="I5718" s="12">
        <v>0</v>
      </c>
      <c r="J5718" s="12" t="s">
        <v>134</v>
      </c>
      <c r="K5718" s="12" t="s">
        <v>23</v>
      </c>
      <c r="L5718" s="12">
        <v>2</v>
      </c>
      <c r="M5718" s="15">
        <v>84269</v>
      </c>
      <c r="N5718" s="15">
        <v>0</v>
      </c>
      <c r="O5718" s="15">
        <f t="shared" si="494"/>
        <v>84269</v>
      </c>
      <c r="P5718" s="15">
        <f t="shared" si="490"/>
        <v>10.999954313163681</v>
      </c>
      <c r="Q5718" s="14">
        <v>5000</v>
      </c>
      <c r="R5718" s="12">
        <v>100</v>
      </c>
      <c r="S5718" s="12" t="s">
        <v>6916</v>
      </c>
      <c r="T5718" s="22">
        <f t="shared" si="491"/>
        <v>11</v>
      </c>
      <c r="U5718" s="22">
        <f t="shared" si="492"/>
        <v>2022</v>
      </c>
      <c r="V5718" s="22" t="str">
        <f t="shared" si="493"/>
        <v>METROPOLITANA</v>
      </c>
    </row>
    <row r="5719" spans="1:22" x14ac:dyDescent="0.2">
      <c r="A5719" s="11" t="s">
        <v>6913</v>
      </c>
      <c r="B5719" s="12" t="s">
        <v>33</v>
      </c>
      <c r="C5719" s="12" t="s">
        <v>29</v>
      </c>
      <c r="D5719" s="12" t="s">
        <v>41</v>
      </c>
      <c r="E5719" s="13" t="s">
        <v>25</v>
      </c>
      <c r="F5719" s="12" t="s">
        <v>173</v>
      </c>
      <c r="G5719" s="14">
        <f>4174.8+275</f>
        <v>4449.8</v>
      </c>
      <c r="H5719" s="12" t="s">
        <v>43</v>
      </c>
      <c r="I5719" s="12">
        <v>0</v>
      </c>
      <c r="J5719" s="12" t="s">
        <v>173</v>
      </c>
      <c r="K5719" s="12" t="s">
        <v>23</v>
      </c>
      <c r="L5719" s="12">
        <v>5</v>
      </c>
      <c r="M5719" s="15">
        <v>90000</v>
      </c>
      <c r="N5719" s="15">
        <v>0</v>
      </c>
      <c r="O5719" s="15">
        <f t="shared" si="494"/>
        <v>90000</v>
      </c>
      <c r="P5719" s="15">
        <f t="shared" si="490"/>
        <v>20.225628118117669</v>
      </c>
      <c r="Q5719" s="14">
        <v>10000</v>
      </c>
      <c r="R5719" s="12">
        <v>55</v>
      </c>
      <c r="S5719" s="12" t="s">
        <v>6924</v>
      </c>
      <c r="T5719" s="22">
        <f t="shared" si="491"/>
        <v>11</v>
      </c>
      <c r="U5719" s="22">
        <f t="shared" si="492"/>
        <v>2022</v>
      </c>
      <c r="V5719" s="22" t="str">
        <f t="shared" si="493"/>
        <v>METROPOLITANA</v>
      </c>
    </row>
    <row r="5720" spans="1:22" x14ac:dyDescent="0.2">
      <c r="A5720" s="11" t="s">
        <v>6913</v>
      </c>
      <c r="B5720" s="12" t="s">
        <v>33</v>
      </c>
      <c r="C5720" s="12" t="s">
        <v>29</v>
      </c>
      <c r="D5720" s="12" t="s">
        <v>41</v>
      </c>
      <c r="E5720" s="13" t="s">
        <v>25</v>
      </c>
      <c r="F5720" s="12" t="s">
        <v>134</v>
      </c>
      <c r="G5720" s="14">
        <v>7503.9999999999973</v>
      </c>
      <c r="H5720" s="12" t="s">
        <v>43</v>
      </c>
      <c r="I5720" s="12">
        <v>0</v>
      </c>
      <c r="J5720" s="12" t="s">
        <v>134</v>
      </c>
      <c r="K5720" s="12" t="s">
        <v>23</v>
      </c>
      <c r="L5720" s="12">
        <v>2</v>
      </c>
      <c r="M5720" s="15">
        <v>82544</v>
      </c>
      <c r="N5720" s="15">
        <v>0</v>
      </c>
      <c r="O5720" s="15">
        <f t="shared" si="494"/>
        <v>82544</v>
      </c>
      <c r="P5720" s="15">
        <f t="shared" si="490"/>
        <v>11.000000000000004</v>
      </c>
      <c r="Q5720" s="14">
        <v>5000</v>
      </c>
      <c r="R5720" s="12">
        <v>100</v>
      </c>
      <c r="S5720" s="12" t="s">
        <v>6917</v>
      </c>
      <c r="T5720" s="22">
        <f t="shared" si="491"/>
        <v>11</v>
      </c>
      <c r="U5720" s="22">
        <f t="shared" si="492"/>
        <v>2022</v>
      </c>
      <c r="V5720" s="22" t="str">
        <f t="shared" si="493"/>
        <v>METROPOLITANA</v>
      </c>
    </row>
    <row r="5721" spans="1:22" x14ac:dyDescent="0.2">
      <c r="A5721" s="11" t="s">
        <v>6913</v>
      </c>
      <c r="B5721" s="12" t="s">
        <v>33</v>
      </c>
      <c r="C5721" s="12" t="s">
        <v>44</v>
      </c>
      <c r="D5721" s="12" t="s">
        <v>38</v>
      </c>
      <c r="E5721" s="13" t="s">
        <v>42</v>
      </c>
      <c r="F5721" s="12" t="s">
        <v>134</v>
      </c>
      <c r="G5721" s="14">
        <v>2918.6000000000008</v>
      </c>
      <c r="H5721" s="12" t="s">
        <v>43</v>
      </c>
      <c r="I5721" s="12">
        <v>0</v>
      </c>
      <c r="J5721" s="12" t="s">
        <v>134</v>
      </c>
      <c r="K5721" s="12" t="s">
        <v>23</v>
      </c>
      <c r="L5721" s="12">
        <v>2</v>
      </c>
      <c r="M5721" s="15">
        <v>55000</v>
      </c>
      <c r="N5721" s="15">
        <v>0</v>
      </c>
      <c r="O5721" s="15">
        <f t="shared" si="494"/>
        <v>55000</v>
      </c>
      <c r="P5721" s="15">
        <f t="shared" si="490"/>
        <v>18.844651545261421</v>
      </c>
      <c r="Q5721" s="14">
        <v>5000</v>
      </c>
      <c r="R5721" s="12">
        <v>58</v>
      </c>
      <c r="S5721" s="12" t="s">
        <v>6918</v>
      </c>
      <c r="T5721" s="22">
        <f t="shared" si="491"/>
        <v>11</v>
      </c>
      <c r="U5721" s="22">
        <f t="shared" si="492"/>
        <v>2022</v>
      </c>
      <c r="V5721" s="22" t="str">
        <f t="shared" si="493"/>
        <v>METROPOLITANA</v>
      </c>
    </row>
    <row r="5722" spans="1:22" x14ac:dyDescent="0.2">
      <c r="A5722" s="11" t="s">
        <v>6913</v>
      </c>
      <c r="B5722" s="12" t="s">
        <v>33</v>
      </c>
      <c r="C5722" s="12" t="s">
        <v>44</v>
      </c>
      <c r="D5722" s="12" t="s">
        <v>37</v>
      </c>
      <c r="E5722" s="13" t="s">
        <v>40</v>
      </c>
      <c r="F5722" s="12" t="s">
        <v>95</v>
      </c>
      <c r="G5722" s="14">
        <v>2630.42</v>
      </c>
      <c r="H5722" s="12" t="s">
        <v>22</v>
      </c>
      <c r="I5722" s="12">
        <v>0</v>
      </c>
      <c r="J5722" s="12" t="s">
        <v>95</v>
      </c>
      <c r="K5722" s="12" t="s">
        <v>23</v>
      </c>
      <c r="L5722" s="12">
        <v>4</v>
      </c>
      <c r="M5722" s="15">
        <v>55000</v>
      </c>
      <c r="N5722" s="15">
        <v>0</v>
      </c>
      <c r="O5722" s="15">
        <f t="shared" si="494"/>
        <v>55000</v>
      </c>
      <c r="P5722" s="15">
        <f t="shared" si="490"/>
        <v>20.909208415386136</v>
      </c>
      <c r="Q5722" s="14">
        <v>5000</v>
      </c>
      <c r="R5722" s="12">
        <v>53</v>
      </c>
      <c r="S5722" s="12" t="s">
        <v>6919</v>
      </c>
      <c r="T5722" s="22">
        <f t="shared" si="491"/>
        <v>11</v>
      </c>
      <c r="U5722" s="22">
        <f t="shared" si="492"/>
        <v>2022</v>
      </c>
      <c r="V5722" s="22" t="str">
        <f t="shared" si="493"/>
        <v>METROPOLITANA</v>
      </c>
    </row>
    <row r="5723" spans="1:22" x14ac:dyDescent="0.2">
      <c r="A5723" s="11" t="s">
        <v>6913</v>
      </c>
      <c r="B5723" s="12" t="s">
        <v>33</v>
      </c>
      <c r="C5723" s="12" t="s">
        <v>44</v>
      </c>
      <c r="D5723" s="12" t="s">
        <v>45</v>
      </c>
      <c r="E5723" s="13" t="s">
        <v>52</v>
      </c>
      <c r="F5723" s="12" t="s">
        <v>225</v>
      </c>
      <c r="G5723" s="14">
        <v>3097.82</v>
      </c>
      <c r="H5723" s="12" t="s">
        <v>22</v>
      </c>
      <c r="I5723" s="12">
        <v>0</v>
      </c>
      <c r="J5723" s="12" t="s">
        <v>225</v>
      </c>
      <c r="K5723" s="12" t="s">
        <v>23</v>
      </c>
      <c r="L5723" s="12">
        <v>3</v>
      </c>
      <c r="M5723" s="15">
        <v>55000</v>
      </c>
      <c r="N5723" s="15">
        <v>0</v>
      </c>
      <c r="O5723" s="15">
        <f t="shared" si="494"/>
        <v>55000</v>
      </c>
      <c r="P5723" s="15">
        <f t="shared" si="490"/>
        <v>17.754420850791846</v>
      </c>
      <c r="Q5723" s="14">
        <v>5000</v>
      </c>
      <c r="R5723" s="12">
        <v>62</v>
      </c>
      <c r="S5723" s="12" t="s">
        <v>6920</v>
      </c>
      <c r="T5723" s="22">
        <f t="shared" si="491"/>
        <v>11</v>
      </c>
      <c r="U5723" s="22">
        <f t="shared" si="492"/>
        <v>2022</v>
      </c>
      <c r="V5723" s="22" t="str">
        <f t="shared" si="493"/>
        <v>METROPOLITANA</v>
      </c>
    </row>
    <row r="5724" spans="1:22" x14ac:dyDescent="0.2">
      <c r="A5724" s="11" t="s">
        <v>6913</v>
      </c>
      <c r="B5724" s="12" t="s">
        <v>33</v>
      </c>
      <c r="C5724" s="12" t="s">
        <v>44</v>
      </c>
      <c r="D5724" s="12" t="s">
        <v>47</v>
      </c>
      <c r="E5724" s="13" t="s">
        <v>49</v>
      </c>
      <c r="F5724" s="12" t="s">
        <v>46</v>
      </c>
      <c r="G5724" s="14">
        <v>2914.4</v>
      </c>
      <c r="H5724" s="12" t="s">
        <v>22</v>
      </c>
      <c r="I5724" s="12">
        <v>0</v>
      </c>
      <c r="J5724" s="12" t="s">
        <v>46</v>
      </c>
      <c r="K5724" s="12" t="s">
        <v>23</v>
      </c>
      <c r="L5724" s="12">
        <v>2</v>
      </c>
      <c r="M5724" s="15">
        <v>55000</v>
      </c>
      <c r="N5724" s="15">
        <v>0</v>
      </c>
      <c r="O5724" s="15">
        <f t="shared" si="494"/>
        <v>55000</v>
      </c>
      <c r="P5724" s="15">
        <f t="shared" si="490"/>
        <v>18.871808948668679</v>
      </c>
      <c r="Q5724" s="14">
        <v>5000</v>
      </c>
      <c r="R5724" s="12">
        <v>58</v>
      </c>
      <c r="S5724" s="12" t="s">
        <v>6921</v>
      </c>
      <c r="T5724" s="22">
        <f t="shared" si="491"/>
        <v>11</v>
      </c>
      <c r="U5724" s="22">
        <f t="shared" si="492"/>
        <v>2022</v>
      </c>
      <c r="V5724" s="22" t="str">
        <f t="shared" si="493"/>
        <v>METROPOLITANA</v>
      </c>
    </row>
    <row r="5725" spans="1:22" x14ac:dyDescent="0.2">
      <c r="A5725" s="11" t="s">
        <v>6913</v>
      </c>
      <c r="B5725" s="12" t="s">
        <v>33</v>
      </c>
      <c r="C5725" s="12" t="s">
        <v>44</v>
      </c>
      <c r="D5725" s="12" t="s">
        <v>20</v>
      </c>
      <c r="E5725" s="13" t="s">
        <v>21</v>
      </c>
      <c r="F5725" s="12" t="s">
        <v>53</v>
      </c>
      <c r="G5725" s="14">
        <v>2686.2200000000012</v>
      </c>
      <c r="H5725" s="12" t="s">
        <v>22</v>
      </c>
      <c r="I5725" s="12">
        <v>0</v>
      </c>
      <c r="J5725" s="12" t="s">
        <v>53</v>
      </c>
      <c r="K5725" s="12" t="s">
        <v>23</v>
      </c>
      <c r="L5725" s="12">
        <v>3</v>
      </c>
      <c r="M5725" s="15">
        <v>55000</v>
      </c>
      <c r="N5725" s="15">
        <v>0</v>
      </c>
      <c r="O5725" s="15">
        <f t="shared" si="494"/>
        <v>55000</v>
      </c>
      <c r="P5725" s="15">
        <f t="shared" si="490"/>
        <v>20.474868030168778</v>
      </c>
      <c r="Q5725" s="14">
        <v>5000</v>
      </c>
      <c r="R5725" s="12">
        <v>54</v>
      </c>
      <c r="S5725" s="12" t="s">
        <v>6922</v>
      </c>
      <c r="T5725" s="22">
        <f t="shared" si="491"/>
        <v>11</v>
      </c>
      <c r="U5725" s="22">
        <f t="shared" si="492"/>
        <v>2022</v>
      </c>
      <c r="V5725" s="22" t="str">
        <f t="shared" si="493"/>
        <v>METROPOLITANA</v>
      </c>
    </row>
    <row r="5726" spans="1:22" x14ac:dyDescent="0.2">
      <c r="A5726" s="23" t="s">
        <v>6925</v>
      </c>
      <c r="B5726" s="22" t="s">
        <v>18</v>
      </c>
      <c r="C5726" s="22" t="s">
        <v>1997</v>
      </c>
      <c r="D5726" s="22" t="s">
        <v>30</v>
      </c>
      <c r="E5726" s="24" t="s">
        <v>31</v>
      </c>
      <c r="F5726" s="22" t="s">
        <v>58</v>
      </c>
      <c r="G5726" s="25">
        <v>7670.54</v>
      </c>
      <c r="H5726" s="22" t="s">
        <v>32</v>
      </c>
      <c r="I5726" s="22">
        <v>0</v>
      </c>
      <c r="J5726" s="22" t="s">
        <v>58</v>
      </c>
      <c r="K5726" s="22" t="s">
        <v>23</v>
      </c>
      <c r="L5726" s="22">
        <v>5</v>
      </c>
      <c r="M5726" s="26">
        <v>70000</v>
      </c>
      <c r="N5726" s="26">
        <v>0</v>
      </c>
      <c r="O5726" s="15">
        <f t="shared" si="494"/>
        <v>70000</v>
      </c>
      <c r="P5726" s="15">
        <f t="shared" si="490"/>
        <v>9.1258242574838278</v>
      </c>
      <c r="Q5726" s="25">
        <v>10000</v>
      </c>
      <c r="R5726" s="22">
        <v>77</v>
      </c>
      <c r="S5726" s="22" t="s">
        <v>6926</v>
      </c>
      <c r="T5726" s="22">
        <f t="shared" si="491"/>
        <v>11</v>
      </c>
      <c r="U5726" s="22">
        <f t="shared" si="492"/>
        <v>2022</v>
      </c>
      <c r="V5726" s="22" t="str">
        <f t="shared" si="493"/>
        <v>METROPOLITANA</v>
      </c>
    </row>
    <row r="5727" spans="1:22" x14ac:dyDescent="0.2">
      <c r="A5727" s="23" t="s">
        <v>6925</v>
      </c>
      <c r="B5727" s="22" t="s">
        <v>33</v>
      </c>
      <c r="C5727" s="22" t="s">
        <v>60</v>
      </c>
      <c r="D5727" s="22" t="s">
        <v>41</v>
      </c>
      <c r="E5727" s="24" t="s">
        <v>25</v>
      </c>
      <c r="F5727" s="22" t="s">
        <v>194</v>
      </c>
      <c r="G5727" s="25">
        <f>1944+2600</f>
        <v>4544</v>
      </c>
      <c r="H5727" s="22" t="s">
        <v>43</v>
      </c>
      <c r="I5727" s="22">
        <v>0</v>
      </c>
      <c r="J5727" s="22" t="s">
        <v>194</v>
      </c>
      <c r="K5727" s="22" t="s">
        <v>23</v>
      </c>
      <c r="L5727" s="22">
        <v>4</v>
      </c>
      <c r="M5727" s="26">
        <v>55000</v>
      </c>
      <c r="N5727" s="26">
        <v>0</v>
      </c>
      <c r="O5727" s="15">
        <f t="shared" si="494"/>
        <v>55000</v>
      </c>
      <c r="P5727" s="15">
        <f t="shared" si="490"/>
        <v>12.10387323943662</v>
      </c>
      <c r="Q5727" s="25">
        <v>5000</v>
      </c>
      <c r="R5727" s="22">
        <v>65</v>
      </c>
      <c r="S5727" s="22" t="s">
        <v>6934</v>
      </c>
      <c r="T5727" s="22">
        <f t="shared" si="491"/>
        <v>11</v>
      </c>
      <c r="U5727" s="22">
        <f t="shared" si="492"/>
        <v>2022</v>
      </c>
      <c r="V5727" s="22" t="str">
        <f t="shared" si="493"/>
        <v>METROPOLITANA</v>
      </c>
    </row>
    <row r="5728" spans="1:22" x14ac:dyDescent="0.2">
      <c r="A5728" s="23" t="s">
        <v>6925</v>
      </c>
      <c r="B5728" s="22" t="s">
        <v>33</v>
      </c>
      <c r="C5728" s="22" t="s">
        <v>128</v>
      </c>
      <c r="D5728" s="22" t="s">
        <v>786</v>
      </c>
      <c r="E5728" s="24" t="s">
        <v>787</v>
      </c>
      <c r="F5728" s="22" t="s">
        <v>34</v>
      </c>
      <c r="G5728" s="25">
        <v>8875.489999999998</v>
      </c>
      <c r="H5728" s="22" t="s">
        <v>788</v>
      </c>
      <c r="I5728" s="22">
        <v>1</v>
      </c>
      <c r="J5728" s="22" t="s">
        <v>34</v>
      </c>
      <c r="K5728" s="22" t="s">
        <v>23</v>
      </c>
      <c r="L5728" s="22">
        <v>1</v>
      </c>
      <c r="M5728" s="26">
        <v>97630</v>
      </c>
      <c r="N5728" s="26">
        <v>0</v>
      </c>
      <c r="O5728" s="15">
        <f t="shared" si="494"/>
        <v>97630</v>
      </c>
      <c r="P5728" s="15">
        <f t="shared" si="490"/>
        <v>10.999956058764083</v>
      </c>
      <c r="Q5728" s="25">
        <v>5000</v>
      </c>
      <c r="R5728" s="22">
        <v>100</v>
      </c>
      <c r="S5728" s="22" t="s">
        <v>6927</v>
      </c>
      <c r="T5728" s="22">
        <f t="shared" si="491"/>
        <v>11</v>
      </c>
      <c r="U5728" s="22">
        <f t="shared" si="492"/>
        <v>2022</v>
      </c>
      <c r="V5728" s="22" t="str">
        <f t="shared" si="493"/>
        <v>METROPOLITANA</v>
      </c>
    </row>
    <row r="5729" spans="1:22" x14ac:dyDescent="0.2">
      <c r="A5729" s="23" t="s">
        <v>6925</v>
      </c>
      <c r="B5729" s="22" t="s">
        <v>33</v>
      </c>
      <c r="C5729" s="22" t="s">
        <v>36</v>
      </c>
      <c r="D5729" s="22" t="s">
        <v>30</v>
      </c>
      <c r="E5729" s="24" t="s">
        <v>31</v>
      </c>
      <c r="F5729" s="22" t="s">
        <v>225</v>
      </c>
      <c r="G5729" s="25">
        <f>3476.8+1226</f>
        <v>4702.8</v>
      </c>
      <c r="H5729" s="22" t="s">
        <v>32</v>
      </c>
      <c r="I5729" s="22">
        <v>0</v>
      </c>
      <c r="J5729" s="22" t="s">
        <v>225</v>
      </c>
      <c r="K5729" s="22" t="s">
        <v>23</v>
      </c>
      <c r="L5729" s="22">
        <v>3</v>
      </c>
      <c r="M5729" s="26">
        <v>55000</v>
      </c>
      <c r="N5729" s="26">
        <v>0</v>
      </c>
      <c r="O5729" s="15">
        <f t="shared" si="494"/>
        <v>55000</v>
      </c>
      <c r="P5729" s="15">
        <f t="shared" ref="P5729:P5792" si="495">O5729/G5729</f>
        <v>11.69516033001616</v>
      </c>
      <c r="Q5729" s="25">
        <v>5000</v>
      </c>
      <c r="R5729" s="22">
        <v>95</v>
      </c>
      <c r="S5729" s="22" t="s">
        <v>6935</v>
      </c>
      <c r="T5729" s="22">
        <f t="shared" si="491"/>
        <v>11</v>
      </c>
      <c r="U5729" s="22">
        <f t="shared" si="492"/>
        <v>2022</v>
      </c>
      <c r="V5729" s="22" t="str">
        <f t="shared" si="493"/>
        <v>METROPOLITANA</v>
      </c>
    </row>
    <row r="5730" spans="1:22" x14ac:dyDescent="0.2">
      <c r="A5730" s="23" t="s">
        <v>6925</v>
      </c>
      <c r="B5730" s="22" t="s">
        <v>33</v>
      </c>
      <c r="C5730" s="22" t="s">
        <v>36</v>
      </c>
      <c r="D5730" s="22" t="s">
        <v>45</v>
      </c>
      <c r="E5730" s="24" t="s">
        <v>52</v>
      </c>
      <c r="F5730" s="22" t="s">
        <v>376</v>
      </c>
      <c r="G5730" s="25">
        <v>2574.8000000000002</v>
      </c>
      <c r="H5730" s="22" t="s">
        <v>22</v>
      </c>
      <c r="I5730" s="22">
        <v>0</v>
      </c>
      <c r="J5730" s="22" t="s">
        <v>377</v>
      </c>
      <c r="K5730" s="22" t="s">
        <v>23</v>
      </c>
      <c r="L5730" s="22">
        <v>4</v>
      </c>
      <c r="M5730" s="26">
        <v>55000</v>
      </c>
      <c r="N5730" s="26">
        <v>0</v>
      </c>
      <c r="O5730" s="15">
        <f t="shared" si="494"/>
        <v>55000</v>
      </c>
      <c r="P5730" s="15">
        <f t="shared" si="495"/>
        <v>21.360882398632903</v>
      </c>
      <c r="Q5730" s="25">
        <v>5000</v>
      </c>
      <c r="R5730" s="22">
        <v>51</v>
      </c>
      <c r="S5730" s="22" t="s">
        <v>6928</v>
      </c>
      <c r="T5730" s="22">
        <f t="shared" si="491"/>
        <v>11</v>
      </c>
      <c r="U5730" s="22">
        <f t="shared" si="492"/>
        <v>2022</v>
      </c>
      <c r="V5730" s="22" t="str">
        <f t="shared" si="493"/>
        <v>METROPOLITANA</v>
      </c>
    </row>
    <row r="5731" spans="1:22" x14ac:dyDescent="0.2">
      <c r="A5731" s="23" t="s">
        <v>6925</v>
      </c>
      <c r="B5731" s="22" t="s">
        <v>33</v>
      </c>
      <c r="C5731" s="22" t="s">
        <v>29</v>
      </c>
      <c r="D5731" s="22" t="s">
        <v>38</v>
      </c>
      <c r="E5731" s="24" t="s">
        <v>42</v>
      </c>
      <c r="F5731" s="22" t="s">
        <v>39</v>
      </c>
      <c r="G5731" s="25">
        <f>6201.8+3722</f>
        <v>9923.7999999999993</v>
      </c>
      <c r="H5731" s="22" t="s">
        <v>43</v>
      </c>
      <c r="I5731" s="22">
        <v>0</v>
      </c>
      <c r="J5731" s="22" t="s">
        <v>39</v>
      </c>
      <c r="K5731" s="22" t="s">
        <v>23</v>
      </c>
      <c r="L5731" s="22">
        <v>1</v>
      </c>
      <c r="M5731" s="26">
        <v>68220</v>
      </c>
      <c r="N5731" s="26">
        <v>0</v>
      </c>
      <c r="O5731" s="15">
        <f t="shared" si="494"/>
        <v>68220</v>
      </c>
      <c r="P5731" s="15">
        <f t="shared" si="495"/>
        <v>6.8743827969124736</v>
      </c>
      <c r="Q5731" s="25">
        <v>5000</v>
      </c>
      <c r="R5731" s="22">
        <v>100</v>
      </c>
      <c r="S5731" s="22" t="s">
        <v>6936</v>
      </c>
      <c r="T5731" s="22">
        <f t="shared" si="491"/>
        <v>11</v>
      </c>
      <c r="U5731" s="22">
        <f t="shared" si="492"/>
        <v>2022</v>
      </c>
      <c r="V5731" s="22" t="str">
        <f t="shared" si="493"/>
        <v>METROPOLITANA</v>
      </c>
    </row>
    <row r="5732" spans="1:22" x14ac:dyDescent="0.2">
      <c r="A5732" s="23" t="s">
        <v>6925</v>
      </c>
      <c r="B5732" s="22" t="s">
        <v>33</v>
      </c>
      <c r="C5732" s="22" t="s">
        <v>29</v>
      </c>
      <c r="D5732" s="22" t="s">
        <v>37</v>
      </c>
      <c r="E5732" s="24" t="s">
        <v>40</v>
      </c>
      <c r="F5732" s="22" t="s">
        <v>39</v>
      </c>
      <c r="G5732" s="25">
        <v>6123.14</v>
      </c>
      <c r="H5732" s="22" t="s">
        <v>22</v>
      </c>
      <c r="I5732" s="22">
        <v>0</v>
      </c>
      <c r="J5732" s="22" t="s">
        <v>39</v>
      </c>
      <c r="K5732" s="22" t="s">
        <v>23</v>
      </c>
      <c r="L5732" s="22">
        <v>1</v>
      </c>
      <c r="M5732" s="26">
        <v>67355</v>
      </c>
      <c r="N5732" s="26">
        <v>0</v>
      </c>
      <c r="O5732" s="15">
        <f t="shared" si="494"/>
        <v>67355</v>
      </c>
      <c r="P5732" s="15">
        <f t="shared" si="495"/>
        <v>11.000075124854241</v>
      </c>
      <c r="Q5732" s="25">
        <v>5000</v>
      </c>
      <c r="R5732" s="22">
        <v>100</v>
      </c>
      <c r="S5732" s="22" t="s">
        <v>6929</v>
      </c>
      <c r="T5732" s="22">
        <f t="shared" si="491"/>
        <v>11</v>
      </c>
      <c r="U5732" s="22">
        <f t="shared" si="492"/>
        <v>2022</v>
      </c>
      <c r="V5732" s="22" t="str">
        <f t="shared" si="493"/>
        <v>METROPOLITANA</v>
      </c>
    </row>
    <row r="5733" spans="1:22" x14ac:dyDescent="0.2">
      <c r="A5733" s="23" t="s">
        <v>6925</v>
      </c>
      <c r="B5733" s="22" t="s">
        <v>33</v>
      </c>
      <c r="C5733" s="22" t="s">
        <v>29</v>
      </c>
      <c r="D5733" s="22" t="s">
        <v>164</v>
      </c>
      <c r="E5733" s="24" t="s">
        <v>1576</v>
      </c>
      <c r="F5733" s="22" t="s">
        <v>39</v>
      </c>
      <c r="G5733" s="25">
        <v>10365.92</v>
      </c>
      <c r="H5733" s="22" t="s">
        <v>22</v>
      </c>
      <c r="I5733" s="22">
        <v>1</v>
      </c>
      <c r="J5733" s="22" t="s">
        <v>39</v>
      </c>
      <c r="K5733" s="22" t="s">
        <v>23</v>
      </c>
      <c r="L5733" s="22">
        <v>1</v>
      </c>
      <c r="M5733" s="26">
        <v>114025</v>
      </c>
      <c r="N5733" s="26">
        <v>0</v>
      </c>
      <c r="O5733" s="15">
        <f t="shared" si="494"/>
        <v>114025</v>
      </c>
      <c r="P5733" s="15">
        <f t="shared" si="495"/>
        <v>10.999988423603501</v>
      </c>
      <c r="Q5733" s="25">
        <v>5000</v>
      </c>
      <c r="R5733" s="22">
        <v>100</v>
      </c>
      <c r="S5733" s="22" t="s">
        <v>6930</v>
      </c>
      <c r="T5733" s="22">
        <f t="shared" si="491"/>
        <v>11</v>
      </c>
      <c r="U5733" s="22">
        <f t="shared" si="492"/>
        <v>2022</v>
      </c>
      <c r="V5733" s="22" t="str">
        <f t="shared" si="493"/>
        <v>METROPOLITANA</v>
      </c>
    </row>
    <row r="5734" spans="1:22" x14ac:dyDescent="0.2">
      <c r="A5734" s="23" t="s">
        <v>6925</v>
      </c>
      <c r="B5734" s="22" t="s">
        <v>33</v>
      </c>
      <c r="C5734" s="22" t="s">
        <v>29</v>
      </c>
      <c r="D5734" s="22" t="s">
        <v>20</v>
      </c>
      <c r="E5734" s="24" t="s">
        <v>21</v>
      </c>
      <c r="F5734" s="22" t="s">
        <v>134</v>
      </c>
      <c r="G5734" s="25">
        <v>7019.06</v>
      </c>
      <c r="H5734" s="22" t="s">
        <v>22</v>
      </c>
      <c r="I5734" s="22">
        <v>0</v>
      </c>
      <c r="J5734" s="22" t="s">
        <v>134</v>
      </c>
      <c r="K5734" s="22" t="s">
        <v>23</v>
      </c>
      <c r="L5734" s="22">
        <v>2</v>
      </c>
      <c r="M5734" s="26">
        <v>77210</v>
      </c>
      <c r="N5734" s="26">
        <v>0</v>
      </c>
      <c r="O5734" s="15">
        <f t="shared" si="494"/>
        <v>77210</v>
      </c>
      <c r="P5734" s="15">
        <f t="shared" si="495"/>
        <v>11.000048439534638</v>
      </c>
      <c r="Q5734" s="25">
        <v>5000</v>
      </c>
      <c r="R5734" s="22">
        <v>100</v>
      </c>
      <c r="S5734" s="22" t="s">
        <v>6931</v>
      </c>
      <c r="T5734" s="22">
        <f t="shared" si="491"/>
        <v>11</v>
      </c>
      <c r="U5734" s="22">
        <f t="shared" si="492"/>
        <v>2022</v>
      </c>
      <c r="V5734" s="22" t="str">
        <f t="shared" si="493"/>
        <v>METROPOLITANA</v>
      </c>
    </row>
    <row r="5735" spans="1:22" x14ac:dyDescent="0.2">
      <c r="A5735" s="23" t="s">
        <v>6925</v>
      </c>
      <c r="B5735" s="22" t="s">
        <v>33</v>
      </c>
      <c r="C5735" s="22" t="s">
        <v>44</v>
      </c>
      <c r="D5735" s="22" t="s">
        <v>47</v>
      </c>
      <c r="E5735" s="24" t="s">
        <v>49</v>
      </c>
      <c r="F5735" s="22" t="s">
        <v>48</v>
      </c>
      <c r="G5735" s="25">
        <v>6541.85</v>
      </c>
      <c r="H5735" s="22" t="s">
        <v>22</v>
      </c>
      <c r="I5735" s="22">
        <v>0</v>
      </c>
      <c r="J5735" s="22" t="s">
        <v>48</v>
      </c>
      <c r="K5735" s="22" t="s">
        <v>23</v>
      </c>
      <c r="L5735" s="22">
        <v>1</v>
      </c>
      <c r="M5735" s="26">
        <v>71960</v>
      </c>
      <c r="N5735" s="26">
        <v>0</v>
      </c>
      <c r="O5735" s="15">
        <f t="shared" si="494"/>
        <v>71960</v>
      </c>
      <c r="P5735" s="15">
        <f t="shared" si="495"/>
        <v>10.999946498314696</v>
      </c>
      <c r="Q5735" s="25">
        <v>5000</v>
      </c>
      <c r="R5735" s="22">
        <v>100</v>
      </c>
      <c r="S5735" s="22" t="s">
        <v>6932</v>
      </c>
      <c r="T5735" s="22">
        <f t="shared" si="491"/>
        <v>11</v>
      </c>
      <c r="U5735" s="22">
        <f t="shared" si="492"/>
        <v>2022</v>
      </c>
      <c r="V5735" s="22" t="str">
        <f t="shared" si="493"/>
        <v>METROPOLITANA</v>
      </c>
    </row>
    <row r="5736" spans="1:22" x14ac:dyDescent="0.2">
      <c r="A5736" s="23" t="s">
        <v>6925</v>
      </c>
      <c r="B5736" s="22" t="s">
        <v>33</v>
      </c>
      <c r="C5736" s="22" t="s">
        <v>44</v>
      </c>
      <c r="D5736" s="22" t="s">
        <v>20</v>
      </c>
      <c r="E5736" s="24" t="s">
        <v>21</v>
      </c>
      <c r="F5736" s="22" t="s">
        <v>51</v>
      </c>
      <c r="G5736" s="25">
        <v>3228.74</v>
      </c>
      <c r="H5736" s="22" t="s">
        <v>22</v>
      </c>
      <c r="I5736" s="22">
        <v>0</v>
      </c>
      <c r="J5736" s="22" t="s">
        <v>51</v>
      </c>
      <c r="K5736" s="22" t="s">
        <v>23</v>
      </c>
      <c r="L5736" s="22">
        <v>4</v>
      </c>
      <c r="M5736" s="26">
        <v>55000</v>
      </c>
      <c r="N5736" s="26">
        <v>0</v>
      </c>
      <c r="O5736" s="15">
        <f t="shared" si="494"/>
        <v>55000</v>
      </c>
      <c r="P5736" s="15">
        <f t="shared" si="495"/>
        <v>17.034508817681203</v>
      </c>
      <c r="Q5736" s="25">
        <v>5000</v>
      </c>
      <c r="R5736" s="22">
        <v>65</v>
      </c>
      <c r="S5736" s="22" t="s">
        <v>6933</v>
      </c>
      <c r="T5736" s="22">
        <f t="shared" si="491"/>
        <v>11</v>
      </c>
      <c r="U5736" s="22">
        <f t="shared" si="492"/>
        <v>2022</v>
      </c>
      <c r="V5736" s="22" t="str">
        <f t="shared" si="493"/>
        <v>METROPOLITANA</v>
      </c>
    </row>
    <row r="5737" spans="1:22" x14ac:dyDescent="0.2">
      <c r="A5737" s="11" t="s">
        <v>6937</v>
      </c>
      <c r="B5737" s="12" t="s">
        <v>18</v>
      </c>
      <c r="C5737" s="12" t="s">
        <v>1997</v>
      </c>
      <c r="D5737" s="12" t="s">
        <v>37</v>
      </c>
      <c r="E5737" s="13" t="s">
        <v>1457</v>
      </c>
      <c r="F5737" s="12" t="s">
        <v>58</v>
      </c>
      <c r="G5737" s="14">
        <v>7284.3099999999977</v>
      </c>
      <c r="H5737" s="12" t="s">
        <v>22</v>
      </c>
      <c r="I5737" s="12">
        <v>0</v>
      </c>
      <c r="J5737" s="12" t="s">
        <v>58</v>
      </c>
      <c r="K5737" s="12" t="s">
        <v>23</v>
      </c>
      <c r="L5737" s="12">
        <v>5</v>
      </c>
      <c r="M5737" s="15">
        <v>70000</v>
      </c>
      <c r="N5737" s="15">
        <v>0</v>
      </c>
      <c r="O5737" s="15">
        <f t="shared" si="494"/>
        <v>70000</v>
      </c>
      <c r="P5737" s="15">
        <f t="shared" si="495"/>
        <v>9.6096953589289882</v>
      </c>
      <c r="Q5737" s="14">
        <v>10000</v>
      </c>
      <c r="R5737" s="12">
        <v>73</v>
      </c>
      <c r="S5737" s="12" t="s">
        <v>6938</v>
      </c>
      <c r="T5737" s="22">
        <f t="shared" si="491"/>
        <v>11</v>
      </c>
      <c r="U5737" s="22">
        <f t="shared" si="492"/>
        <v>2022</v>
      </c>
      <c r="V5737" s="22" t="str">
        <f t="shared" si="493"/>
        <v>METROPOLITANA</v>
      </c>
    </row>
    <row r="5738" spans="1:22" x14ac:dyDescent="0.2">
      <c r="A5738" s="11" t="s">
        <v>6937</v>
      </c>
      <c r="B5738" s="12" t="s">
        <v>33</v>
      </c>
      <c r="C5738" s="12" t="s">
        <v>6617</v>
      </c>
      <c r="D5738" s="12" t="s">
        <v>38</v>
      </c>
      <c r="E5738" s="13" t="s">
        <v>1872</v>
      </c>
      <c r="F5738" s="12" t="s">
        <v>51</v>
      </c>
      <c r="G5738" s="14">
        <v>11390.46</v>
      </c>
      <c r="H5738" s="12" t="s">
        <v>43</v>
      </c>
      <c r="I5738" s="12">
        <v>0</v>
      </c>
      <c r="J5738" s="12" t="s">
        <v>51</v>
      </c>
      <c r="K5738" s="12" t="s">
        <v>23</v>
      </c>
      <c r="L5738" s="12">
        <v>4</v>
      </c>
      <c r="M5738" s="15">
        <v>125295</v>
      </c>
      <c r="N5738" s="15">
        <v>0</v>
      </c>
      <c r="O5738" s="15">
        <f t="shared" si="494"/>
        <v>125295</v>
      </c>
      <c r="P5738" s="15">
        <f t="shared" si="495"/>
        <v>10.999994732433985</v>
      </c>
      <c r="Q5738" s="14">
        <v>5000</v>
      </c>
      <c r="R5738" s="12">
        <v>100</v>
      </c>
      <c r="S5738" s="12" t="s">
        <v>6939</v>
      </c>
      <c r="T5738" s="22">
        <f t="shared" si="491"/>
        <v>11</v>
      </c>
      <c r="U5738" s="22">
        <f t="shared" si="492"/>
        <v>2022</v>
      </c>
      <c r="V5738" s="22" t="str">
        <f t="shared" si="493"/>
        <v>METROPOLITANA</v>
      </c>
    </row>
    <row r="5739" spans="1:22" x14ac:dyDescent="0.2">
      <c r="A5739" s="11" t="s">
        <v>6937</v>
      </c>
      <c r="B5739" s="12" t="s">
        <v>33</v>
      </c>
      <c r="C5739" s="12" t="s">
        <v>29</v>
      </c>
      <c r="D5739" s="12" t="s">
        <v>41</v>
      </c>
      <c r="E5739" s="13" t="s">
        <v>25</v>
      </c>
      <c r="F5739" s="12" t="s">
        <v>39</v>
      </c>
      <c r="G5739" s="14">
        <v>7291.760000000002</v>
      </c>
      <c r="H5739" s="12" t="s">
        <v>43</v>
      </c>
      <c r="I5739" s="12">
        <v>0</v>
      </c>
      <c r="J5739" s="12" t="s">
        <v>39</v>
      </c>
      <c r="K5739" s="12" t="s">
        <v>23</v>
      </c>
      <c r="L5739" s="12">
        <v>1</v>
      </c>
      <c r="M5739" s="15">
        <v>80209</v>
      </c>
      <c r="N5739" s="15">
        <v>0</v>
      </c>
      <c r="O5739" s="15">
        <f t="shared" si="494"/>
        <v>80209</v>
      </c>
      <c r="P5739" s="15">
        <f t="shared" si="495"/>
        <v>10.999950629203372</v>
      </c>
      <c r="Q5739" s="14">
        <v>5000</v>
      </c>
      <c r="R5739" s="12">
        <v>100</v>
      </c>
      <c r="S5739" s="12" t="s">
        <v>6940</v>
      </c>
      <c r="T5739" s="22">
        <f t="shared" si="491"/>
        <v>11</v>
      </c>
      <c r="U5739" s="22">
        <f t="shared" si="492"/>
        <v>2022</v>
      </c>
      <c r="V5739" s="22" t="str">
        <f t="shared" si="493"/>
        <v>METROPOLITANA</v>
      </c>
    </row>
    <row r="5740" spans="1:22" x14ac:dyDescent="0.2">
      <c r="A5740" s="11" t="s">
        <v>6937</v>
      </c>
      <c r="B5740" s="12" t="s">
        <v>33</v>
      </c>
      <c r="C5740" s="12" t="s">
        <v>29</v>
      </c>
      <c r="D5740" s="12" t="s">
        <v>164</v>
      </c>
      <c r="E5740" s="13" t="s">
        <v>1576</v>
      </c>
      <c r="F5740" s="12" t="s">
        <v>39</v>
      </c>
      <c r="G5740" s="14">
        <v>13569.499999999991</v>
      </c>
      <c r="H5740" s="12" t="s">
        <v>22</v>
      </c>
      <c r="I5740" s="12">
        <v>1</v>
      </c>
      <c r="J5740" s="12" t="s">
        <v>39</v>
      </c>
      <c r="K5740" s="12" t="s">
        <v>23</v>
      </c>
      <c r="L5740" s="12">
        <v>1</v>
      </c>
      <c r="M5740" s="15">
        <v>149264</v>
      </c>
      <c r="N5740" s="15">
        <v>0</v>
      </c>
      <c r="O5740" s="15">
        <f t="shared" si="494"/>
        <v>149264</v>
      </c>
      <c r="P5740" s="15">
        <f t="shared" si="495"/>
        <v>10.999963152658543</v>
      </c>
      <c r="Q5740" s="14">
        <v>5000</v>
      </c>
      <c r="R5740" s="12">
        <v>100</v>
      </c>
      <c r="S5740" s="12" t="s">
        <v>6941</v>
      </c>
      <c r="T5740" s="22">
        <f t="shared" si="491"/>
        <v>11</v>
      </c>
      <c r="U5740" s="22">
        <f t="shared" si="492"/>
        <v>2022</v>
      </c>
      <c r="V5740" s="22" t="str">
        <f t="shared" si="493"/>
        <v>METROPOLITANA</v>
      </c>
    </row>
    <row r="5741" spans="1:22" x14ac:dyDescent="0.2">
      <c r="A5741" s="11" t="s">
        <v>6937</v>
      </c>
      <c r="B5741" s="12" t="s">
        <v>33</v>
      </c>
      <c r="C5741" s="12" t="s">
        <v>29</v>
      </c>
      <c r="D5741" s="12" t="s">
        <v>20</v>
      </c>
      <c r="E5741" s="13" t="s">
        <v>21</v>
      </c>
      <c r="F5741" s="12" t="s">
        <v>39</v>
      </c>
      <c r="G5741" s="14">
        <v>5998</v>
      </c>
      <c r="H5741" s="12" t="s">
        <v>22</v>
      </c>
      <c r="I5741" s="12">
        <v>0</v>
      </c>
      <c r="J5741" s="12" t="s">
        <v>39</v>
      </c>
      <c r="K5741" s="12" t="s">
        <v>23</v>
      </c>
      <c r="L5741" s="12">
        <v>1</v>
      </c>
      <c r="M5741" s="15">
        <v>65978</v>
      </c>
      <c r="N5741" s="15">
        <v>0</v>
      </c>
      <c r="O5741" s="15">
        <f t="shared" si="494"/>
        <v>65978</v>
      </c>
      <c r="P5741" s="15">
        <f t="shared" si="495"/>
        <v>11</v>
      </c>
      <c r="Q5741" s="14">
        <v>5000</v>
      </c>
      <c r="R5741" s="12">
        <v>100</v>
      </c>
      <c r="S5741" s="12" t="s">
        <v>6942</v>
      </c>
      <c r="T5741" s="22">
        <f t="shared" si="491"/>
        <v>11</v>
      </c>
      <c r="U5741" s="22">
        <f t="shared" si="492"/>
        <v>2022</v>
      </c>
      <c r="V5741" s="22" t="str">
        <f t="shared" si="493"/>
        <v>METROPOLITANA</v>
      </c>
    </row>
    <row r="5742" spans="1:22" x14ac:dyDescent="0.2">
      <c r="A5742" s="11" t="s">
        <v>6937</v>
      </c>
      <c r="B5742" s="12" t="s">
        <v>33</v>
      </c>
      <c r="C5742" s="12" t="s">
        <v>44</v>
      </c>
      <c r="D5742" s="12" t="s">
        <v>4569</v>
      </c>
      <c r="E5742" s="13" t="s">
        <v>868</v>
      </c>
      <c r="F5742" s="12" t="s">
        <v>3438</v>
      </c>
      <c r="G5742" s="14">
        <f>9536.22+2441</f>
        <v>11977.22</v>
      </c>
      <c r="H5742" s="12" t="s">
        <v>24</v>
      </c>
      <c r="I5742" s="12">
        <v>1</v>
      </c>
      <c r="J5742" s="12" t="s">
        <v>3438</v>
      </c>
      <c r="K5742" s="12" t="s">
        <v>93</v>
      </c>
      <c r="L5742" s="12">
        <v>0</v>
      </c>
      <c r="M5742" s="15">
        <v>800000</v>
      </c>
      <c r="N5742" s="15">
        <v>0</v>
      </c>
      <c r="O5742" s="15">
        <f t="shared" si="494"/>
        <v>800000</v>
      </c>
      <c r="P5742" s="15">
        <f t="shared" si="495"/>
        <v>66.79346292378365</v>
      </c>
      <c r="Q5742" s="14">
        <v>20000</v>
      </c>
      <c r="R5742" s="12">
        <v>68</v>
      </c>
      <c r="S5742" s="12" t="s">
        <v>6948</v>
      </c>
      <c r="T5742" s="22">
        <f t="shared" si="491"/>
        <v>11</v>
      </c>
      <c r="U5742" s="22">
        <f t="shared" si="492"/>
        <v>2022</v>
      </c>
      <c r="V5742" s="22" t="str">
        <f t="shared" si="493"/>
        <v>REGIONES</v>
      </c>
    </row>
    <row r="5743" spans="1:22" x14ac:dyDescent="0.2">
      <c r="A5743" s="11" t="s">
        <v>6937</v>
      </c>
      <c r="B5743" s="12" t="s">
        <v>33</v>
      </c>
      <c r="C5743" s="12" t="s">
        <v>44</v>
      </c>
      <c r="D5743" s="12" t="s">
        <v>191</v>
      </c>
      <c r="E5743" s="13" t="s">
        <v>192</v>
      </c>
      <c r="F5743" s="12" t="s">
        <v>132</v>
      </c>
      <c r="G5743" s="14">
        <v>8901.5199999999986</v>
      </c>
      <c r="H5743" s="12" t="s">
        <v>85</v>
      </c>
      <c r="I5743" s="12">
        <v>1</v>
      </c>
      <c r="J5743" s="12" t="s">
        <v>132</v>
      </c>
      <c r="K5743" s="12" t="s">
        <v>124</v>
      </c>
      <c r="L5743" s="12">
        <v>0</v>
      </c>
      <c r="M5743" s="15">
        <v>400000</v>
      </c>
      <c r="N5743" s="15">
        <v>0</v>
      </c>
      <c r="O5743" s="15">
        <f t="shared" si="494"/>
        <v>400000</v>
      </c>
      <c r="P5743" s="15">
        <f t="shared" si="495"/>
        <v>44.936145736907861</v>
      </c>
      <c r="Q5743" s="14">
        <v>20000</v>
      </c>
      <c r="R5743" s="12">
        <v>45</v>
      </c>
      <c r="S5743" s="12" t="s">
        <v>6943</v>
      </c>
      <c r="T5743" s="22">
        <f t="shared" si="491"/>
        <v>11</v>
      </c>
      <c r="U5743" s="22">
        <f t="shared" si="492"/>
        <v>2022</v>
      </c>
      <c r="V5743" s="22" t="str">
        <f t="shared" si="493"/>
        <v>REGIONES</v>
      </c>
    </row>
    <row r="5744" spans="1:22" x14ac:dyDescent="0.2">
      <c r="A5744" s="11" t="s">
        <v>6937</v>
      </c>
      <c r="B5744" s="12" t="s">
        <v>33</v>
      </c>
      <c r="C5744" s="12" t="s">
        <v>44</v>
      </c>
      <c r="D5744" s="12" t="s">
        <v>30</v>
      </c>
      <c r="E5744" s="13" t="s">
        <v>31</v>
      </c>
      <c r="F5744" s="12" t="s">
        <v>94</v>
      </c>
      <c r="G5744" s="14">
        <v>6862.9199999999973</v>
      </c>
      <c r="H5744" s="12" t="s">
        <v>32</v>
      </c>
      <c r="I5744" s="12">
        <v>0</v>
      </c>
      <c r="J5744" s="12" t="s">
        <v>59</v>
      </c>
      <c r="K5744" s="12" t="s">
        <v>78</v>
      </c>
      <c r="L5744" s="12">
        <v>0</v>
      </c>
      <c r="M5744" s="15">
        <v>203000</v>
      </c>
      <c r="N5744" s="15">
        <v>0</v>
      </c>
      <c r="O5744" s="15">
        <f t="shared" si="494"/>
        <v>203000</v>
      </c>
      <c r="P5744" s="15">
        <f t="shared" si="495"/>
        <v>29.579246151783799</v>
      </c>
      <c r="Q5744" s="14">
        <v>20000</v>
      </c>
      <c r="R5744" s="12">
        <v>34</v>
      </c>
      <c r="S5744" s="12" t="s">
        <v>6944</v>
      </c>
      <c r="T5744" s="22">
        <f t="shared" si="491"/>
        <v>11</v>
      </c>
      <c r="U5744" s="22">
        <f t="shared" si="492"/>
        <v>2022</v>
      </c>
      <c r="V5744" s="22" t="str">
        <f t="shared" si="493"/>
        <v>REGIONES</v>
      </c>
    </row>
    <row r="5745" spans="1:22" x14ac:dyDescent="0.2">
      <c r="A5745" s="11" t="s">
        <v>6937</v>
      </c>
      <c r="B5745" s="12" t="s">
        <v>33</v>
      </c>
      <c r="C5745" s="12" t="s">
        <v>44</v>
      </c>
      <c r="D5745" s="12" t="s">
        <v>45</v>
      </c>
      <c r="E5745" s="13" t="s">
        <v>52</v>
      </c>
      <c r="F5745" s="12" t="s">
        <v>67</v>
      </c>
      <c r="G5745" s="14">
        <v>2585.2600000000002</v>
      </c>
      <c r="H5745" s="12" t="s">
        <v>22</v>
      </c>
      <c r="I5745" s="12">
        <v>0</v>
      </c>
      <c r="J5745" s="12" t="s">
        <v>67</v>
      </c>
      <c r="K5745" s="12" t="s">
        <v>23</v>
      </c>
      <c r="L5745" s="12">
        <v>2</v>
      </c>
      <c r="M5745" s="15">
        <v>55000</v>
      </c>
      <c r="N5745" s="15">
        <v>0</v>
      </c>
      <c r="O5745" s="15">
        <f t="shared" si="494"/>
        <v>55000</v>
      </c>
      <c r="P5745" s="15">
        <f t="shared" si="495"/>
        <v>21.274455954140006</v>
      </c>
      <c r="Q5745" s="14">
        <v>5000</v>
      </c>
      <c r="R5745" s="12">
        <v>52</v>
      </c>
      <c r="S5745" s="12" t="s">
        <v>6945</v>
      </c>
      <c r="T5745" s="22">
        <f t="shared" si="491"/>
        <v>11</v>
      </c>
      <c r="U5745" s="22">
        <f t="shared" si="492"/>
        <v>2022</v>
      </c>
      <c r="V5745" s="22" t="str">
        <f t="shared" si="493"/>
        <v>METROPOLITANA</v>
      </c>
    </row>
    <row r="5746" spans="1:22" x14ac:dyDescent="0.2">
      <c r="A5746" s="11" t="s">
        <v>6937</v>
      </c>
      <c r="B5746" s="12" t="s">
        <v>33</v>
      </c>
      <c r="C5746" s="12" t="s">
        <v>6946</v>
      </c>
      <c r="D5746" s="12" t="s">
        <v>20</v>
      </c>
      <c r="E5746" s="13" t="s">
        <v>21</v>
      </c>
      <c r="F5746" s="12" t="s">
        <v>129</v>
      </c>
      <c r="G5746" s="14">
        <v>5971.8399999999983</v>
      </c>
      <c r="H5746" s="12" t="s">
        <v>22</v>
      </c>
      <c r="I5746" s="12">
        <v>0</v>
      </c>
      <c r="J5746" s="12" t="s">
        <v>129</v>
      </c>
      <c r="K5746" s="12" t="s">
        <v>23</v>
      </c>
      <c r="L5746" s="12">
        <v>1</v>
      </c>
      <c r="M5746" s="15">
        <v>65690</v>
      </c>
      <c r="N5746" s="15">
        <v>0</v>
      </c>
      <c r="O5746" s="15">
        <f t="shared" si="494"/>
        <v>65690</v>
      </c>
      <c r="P5746" s="15">
        <f t="shared" si="495"/>
        <v>10.999959811381419</v>
      </c>
      <c r="Q5746" s="14">
        <v>5000</v>
      </c>
      <c r="R5746" s="12">
        <v>100</v>
      </c>
      <c r="S5746" s="12" t="s">
        <v>6947</v>
      </c>
      <c r="T5746" s="22">
        <f t="shared" si="491"/>
        <v>11</v>
      </c>
      <c r="U5746" s="22">
        <f t="shared" si="492"/>
        <v>2022</v>
      </c>
      <c r="V5746" s="22" t="str">
        <f t="shared" si="493"/>
        <v>METROPOLITANA</v>
      </c>
    </row>
    <row r="5747" spans="1:22" x14ac:dyDescent="0.2">
      <c r="A5747" s="23" t="s">
        <v>6949</v>
      </c>
      <c r="B5747" s="22" t="s">
        <v>18</v>
      </c>
      <c r="C5747" s="22" t="s">
        <v>19</v>
      </c>
      <c r="D5747" s="22" t="s">
        <v>786</v>
      </c>
      <c r="E5747" s="24" t="s">
        <v>787</v>
      </c>
      <c r="F5747" s="22" t="s">
        <v>407</v>
      </c>
      <c r="G5747" s="25">
        <v>18802.45</v>
      </c>
      <c r="H5747" s="22" t="s">
        <v>788</v>
      </c>
      <c r="I5747" s="22">
        <v>1</v>
      </c>
      <c r="J5747" s="22" t="s">
        <v>407</v>
      </c>
      <c r="K5747" s="22" t="s">
        <v>408</v>
      </c>
      <c r="L5747" s="22">
        <v>0</v>
      </c>
      <c r="M5747" s="26">
        <v>700000</v>
      </c>
      <c r="N5747" s="26">
        <v>0</v>
      </c>
      <c r="O5747" s="15">
        <f t="shared" si="494"/>
        <v>700000</v>
      </c>
      <c r="P5747" s="15">
        <f t="shared" si="495"/>
        <v>37.22919087672085</v>
      </c>
      <c r="Q5747" s="25">
        <v>20000</v>
      </c>
      <c r="R5747" s="22">
        <v>94</v>
      </c>
      <c r="S5747" s="22" t="s">
        <v>6950</v>
      </c>
      <c r="T5747" s="22">
        <f t="shared" si="491"/>
        <v>11</v>
      </c>
      <c r="U5747" s="22">
        <f t="shared" si="492"/>
        <v>2022</v>
      </c>
      <c r="V5747" s="22" t="str">
        <f t="shared" si="493"/>
        <v>REGIONES</v>
      </c>
    </row>
    <row r="5748" spans="1:22" x14ac:dyDescent="0.2">
      <c r="A5748" s="23" t="s">
        <v>6949</v>
      </c>
      <c r="B5748" s="22" t="s">
        <v>33</v>
      </c>
      <c r="C5748" s="22" t="s">
        <v>1642</v>
      </c>
      <c r="D5748" s="22" t="s">
        <v>6425</v>
      </c>
      <c r="E5748" s="24" t="s">
        <v>6596</v>
      </c>
      <c r="F5748" s="22" t="s">
        <v>2308</v>
      </c>
      <c r="G5748" s="25">
        <f>2981.15+9788</f>
        <v>12769.15</v>
      </c>
      <c r="H5748" s="22" t="s">
        <v>24</v>
      </c>
      <c r="I5748" s="22">
        <v>1</v>
      </c>
      <c r="J5748" s="22" t="s">
        <v>2308</v>
      </c>
      <c r="K5748" s="22" t="s">
        <v>2309</v>
      </c>
      <c r="L5748" s="22">
        <v>0</v>
      </c>
      <c r="M5748" s="26">
        <v>900000</v>
      </c>
      <c r="N5748" s="26">
        <v>0</v>
      </c>
      <c r="O5748" s="15">
        <f t="shared" si="494"/>
        <v>900000</v>
      </c>
      <c r="P5748" s="15">
        <f t="shared" si="495"/>
        <v>70.482373533085607</v>
      </c>
      <c r="Q5748" s="25">
        <v>20000</v>
      </c>
      <c r="R5748" s="22">
        <v>85</v>
      </c>
      <c r="S5748" s="22" t="s">
        <v>6959</v>
      </c>
      <c r="T5748" s="22">
        <f t="shared" si="491"/>
        <v>11</v>
      </c>
      <c r="U5748" s="22">
        <f t="shared" si="492"/>
        <v>2022</v>
      </c>
      <c r="V5748" s="22" t="str">
        <f t="shared" si="493"/>
        <v>REGIONES</v>
      </c>
    </row>
    <row r="5749" spans="1:22" x14ac:dyDescent="0.2">
      <c r="A5749" s="23" t="s">
        <v>6949</v>
      </c>
      <c r="B5749" s="22" t="s">
        <v>33</v>
      </c>
      <c r="C5749" s="22" t="s">
        <v>187</v>
      </c>
      <c r="D5749" s="22" t="s">
        <v>20</v>
      </c>
      <c r="E5749" s="24" t="s">
        <v>21</v>
      </c>
      <c r="F5749" s="22" t="s">
        <v>129</v>
      </c>
      <c r="G5749" s="25">
        <v>1950</v>
      </c>
      <c r="H5749" s="22" t="s">
        <v>22</v>
      </c>
      <c r="I5749" s="22">
        <v>0</v>
      </c>
      <c r="J5749" s="22" t="s">
        <v>129</v>
      </c>
      <c r="K5749" s="22" t="s">
        <v>23</v>
      </c>
      <c r="L5749" s="22">
        <v>1</v>
      </c>
      <c r="M5749" s="26">
        <v>55000</v>
      </c>
      <c r="N5749" s="26">
        <v>0</v>
      </c>
      <c r="O5749" s="15">
        <f t="shared" si="494"/>
        <v>55000</v>
      </c>
      <c r="P5749" s="15">
        <f t="shared" si="495"/>
        <v>28.205128205128204</v>
      </c>
      <c r="Q5749" s="25">
        <v>5000</v>
      </c>
      <c r="R5749" s="22">
        <v>39</v>
      </c>
      <c r="S5749" s="22" t="s">
        <v>6951</v>
      </c>
      <c r="T5749" s="22">
        <f t="shared" si="491"/>
        <v>11</v>
      </c>
      <c r="U5749" s="22">
        <f t="shared" si="492"/>
        <v>2022</v>
      </c>
      <c r="V5749" s="22" t="str">
        <f t="shared" si="493"/>
        <v>METROPOLITANA</v>
      </c>
    </row>
    <row r="5750" spans="1:22" x14ac:dyDescent="0.2">
      <c r="A5750" s="23" t="s">
        <v>6949</v>
      </c>
      <c r="B5750" s="22" t="s">
        <v>33</v>
      </c>
      <c r="C5750" s="22" t="s">
        <v>36</v>
      </c>
      <c r="D5750" s="51" t="s">
        <v>956</v>
      </c>
      <c r="E5750" s="24" t="s">
        <v>6952</v>
      </c>
      <c r="F5750" s="22" t="s">
        <v>92</v>
      </c>
      <c r="G5750" s="25">
        <f>3362.46+5223</f>
        <v>8585.4599999999991</v>
      </c>
      <c r="H5750" s="22" t="s">
        <v>85</v>
      </c>
      <c r="I5750" s="22">
        <v>1</v>
      </c>
      <c r="J5750" s="22" t="s">
        <v>92</v>
      </c>
      <c r="K5750" s="22" t="s">
        <v>93</v>
      </c>
      <c r="L5750" s="22">
        <v>0</v>
      </c>
      <c r="M5750" s="26">
        <v>700000</v>
      </c>
      <c r="N5750" s="26">
        <v>0</v>
      </c>
      <c r="O5750" s="15">
        <f t="shared" si="494"/>
        <v>700000</v>
      </c>
      <c r="P5750" s="15">
        <f t="shared" si="495"/>
        <v>81.533196823466653</v>
      </c>
      <c r="Q5750" s="25">
        <v>20000</v>
      </c>
      <c r="R5750" s="22">
        <v>55</v>
      </c>
      <c r="S5750" s="22" t="s">
        <v>6962</v>
      </c>
      <c r="T5750" s="22">
        <f t="shared" si="491"/>
        <v>11</v>
      </c>
      <c r="U5750" s="22">
        <f t="shared" si="492"/>
        <v>2022</v>
      </c>
      <c r="V5750" s="22" t="str">
        <f t="shared" si="493"/>
        <v>REGIONES</v>
      </c>
    </row>
    <row r="5751" spans="1:22" x14ac:dyDescent="0.2">
      <c r="A5751" s="23" t="s">
        <v>6949</v>
      </c>
      <c r="B5751" s="22" t="s">
        <v>33</v>
      </c>
      <c r="C5751" s="22" t="s">
        <v>36</v>
      </c>
      <c r="D5751" s="22" t="s">
        <v>30</v>
      </c>
      <c r="E5751" s="24" t="s">
        <v>31</v>
      </c>
      <c r="F5751" s="22" t="s">
        <v>308</v>
      </c>
      <c r="G5751" s="25">
        <f>3481.71789</f>
        <v>3481.7178899999999</v>
      </c>
      <c r="H5751" s="22" t="s">
        <v>32</v>
      </c>
      <c r="I5751" s="22">
        <v>0</v>
      </c>
      <c r="J5751" s="22" t="s">
        <v>308</v>
      </c>
      <c r="K5751" s="22" t="s">
        <v>78</v>
      </c>
      <c r="L5751" s="22">
        <v>0</v>
      </c>
      <c r="M5751" s="26">
        <v>203000</v>
      </c>
      <c r="N5751" s="26">
        <v>0</v>
      </c>
      <c r="O5751" s="15">
        <f t="shared" si="494"/>
        <v>203000</v>
      </c>
      <c r="P5751" s="15">
        <f t="shared" si="495"/>
        <v>58.304551492539218</v>
      </c>
      <c r="Q5751" s="25">
        <v>20000</v>
      </c>
      <c r="R5751" s="22">
        <v>55</v>
      </c>
      <c r="S5751" s="22" t="s">
        <v>6960</v>
      </c>
      <c r="T5751" s="22">
        <f t="shared" si="491"/>
        <v>11</v>
      </c>
      <c r="U5751" s="22">
        <f t="shared" si="492"/>
        <v>2022</v>
      </c>
      <c r="V5751" s="22" t="str">
        <f t="shared" si="493"/>
        <v>REGIONES</v>
      </c>
    </row>
    <row r="5752" spans="1:22" x14ac:dyDescent="0.2">
      <c r="A5752" s="23" t="s">
        <v>6949</v>
      </c>
      <c r="B5752" s="22" t="s">
        <v>33</v>
      </c>
      <c r="C5752" s="22" t="s">
        <v>36</v>
      </c>
      <c r="D5752" s="22" t="s">
        <v>47</v>
      </c>
      <c r="E5752" s="24" t="s">
        <v>49</v>
      </c>
      <c r="F5752" s="22" t="s">
        <v>59</v>
      </c>
      <c r="G5752" s="25">
        <v>3598</v>
      </c>
      <c r="H5752" s="22" t="s">
        <v>22</v>
      </c>
      <c r="I5752" s="22">
        <v>0</v>
      </c>
      <c r="J5752" s="22" t="s">
        <v>59</v>
      </c>
      <c r="K5752" s="22" t="s">
        <v>78</v>
      </c>
      <c r="L5752" s="22">
        <v>0</v>
      </c>
      <c r="M5752" s="26">
        <v>203000</v>
      </c>
      <c r="N5752" s="26">
        <v>0</v>
      </c>
      <c r="O5752" s="15">
        <f t="shared" si="494"/>
        <v>203000</v>
      </c>
      <c r="P5752" s="15">
        <f t="shared" si="495"/>
        <v>56.420233463035018</v>
      </c>
      <c r="Q5752" s="25">
        <v>20000</v>
      </c>
      <c r="R5752" s="22">
        <v>18</v>
      </c>
      <c r="S5752" s="22" t="s">
        <v>6953</v>
      </c>
      <c r="T5752" s="22">
        <f t="shared" si="491"/>
        <v>11</v>
      </c>
      <c r="U5752" s="22">
        <f t="shared" si="492"/>
        <v>2022</v>
      </c>
      <c r="V5752" s="22" t="str">
        <f t="shared" si="493"/>
        <v>REGIONES</v>
      </c>
    </row>
    <row r="5753" spans="1:22" x14ac:dyDescent="0.2">
      <c r="A5753" s="23" t="s">
        <v>6949</v>
      </c>
      <c r="B5753" s="22" t="s">
        <v>33</v>
      </c>
      <c r="C5753" s="22" t="s">
        <v>29</v>
      </c>
      <c r="D5753" s="22" t="s">
        <v>5478</v>
      </c>
      <c r="E5753" s="24" t="s">
        <v>83</v>
      </c>
      <c r="F5753" s="22" t="s">
        <v>132</v>
      </c>
      <c r="G5753" s="25">
        <v>8935.84</v>
      </c>
      <c r="H5753" s="22" t="s">
        <v>24</v>
      </c>
      <c r="I5753" s="22">
        <v>1</v>
      </c>
      <c r="J5753" s="22" t="s">
        <v>132</v>
      </c>
      <c r="K5753" s="22" t="s">
        <v>124</v>
      </c>
      <c r="L5753" s="22">
        <v>0</v>
      </c>
      <c r="M5753" s="26">
        <v>400000</v>
      </c>
      <c r="N5753" s="26">
        <v>0</v>
      </c>
      <c r="O5753" s="15">
        <f t="shared" si="494"/>
        <v>400000</v>
      </c>
      <c r="P5753" s="15">
        <f t="shared" si="495"/>
        <v>44.763558881985354</v>
      </c>
      <c r="Q5753" s="25">
        <v>20000</v>
      </c>
      <c r="R5753" s="22">
        <v>45</v>
      </c>
      <c r="S5753" s="22" t="s">
        <v>6954</v>
      </c>
      <c r="T5753" s="22">
        <f t="shared" si="491"/>
        <v>11</v>
      </c>
      <c r="U5753" s="22">
        <f t="shared" si="492"/>
        <v>2022</v>
      </c>
      <c r="V5753" s="22" t="str">
        <f t="shared" si="493"/>
        <v>REGIONES</v>
      </c>
    </row>
    <row r="5754" spans="1:22" x14ac:dyDescent="0.2">
      <c r="A5754" s="23" t="s">
        <v>6949</v>
      </c>
      <c r="B5754" s="22" t="s">
        <v>33</v>
      </c>
      <c r="C5754" s="22" t="s">
        <v>29</v>
      </c>
      <c r="D5754" s="22" t="s">
        <v>37</v>
      </c>
      <c r="E5754" s="24" t="s">
        <v>40</v>
      </c>
      <c r="F5754" s="22" t="s">
        <v>39</v>
      </c>
      <c r="G5754" s="25">
        <f>6287.2+1620</f>
        <v>7907.2</v>
      </c>
      <c r="H5754" s="22" t="s">
        <v>22</v>
      </c>
      <c r="I5754" s="22">
        <v>0</v>
      </c>
      <c r="J5754" s="22" t="s">
        <v>39</v>
      </c>
      <c r="K5754" s="22" t="s">
        <v>23</v>
      </c>
      <c r="L5754" s="22">
        <v>1</v>
      </c>
      <c r="M5754" s="26">
        <v>69159</v>
      </c>
      <c r="N5754" s="26">
        <v>0</v>
      </c>
      <c r="O5754" s="15">
        <f t="shared" si="494"/>
        <v>69159</v>
      </c>
      <c r="P5754" s="15">
        <f t="shared" si="495"/>
        <v>8.7463324564953471</v>
      </c>
      <c r="Q5754" s="25">
        <v>5000</v>
      </c>
      <c r="R5754" s="22">
        <v>100</v>
      </c>
      <c r="S5754" s="22" t="s">
        <v>6961</v>
      </c>
      <c r="T5754" s="22">
        <f t="shared" si="491"/>
        <v>11</v>
      </c>
      <c r="U5754" s="22">
        <f t="shared" si="492"/>
        <v>2022</v>
      </c>
      <c r="V5754" s="22" t="str">
        <f t="shared" si="493"/>
        <v>METROPOLITANA</v>
      </c>
    </row>
    <row r="5755" spans="1:22" x14ac:dyDescent="0.2">
      <c r="A5755" s="23" t="s">
        <v>6949</v>
      </c>
      <c r="B5755" s="22" t="s">
        <v>33</v>
      </c>
      <c r="C5755" s="22" t="s">
        <v>29</v>
      </c>
      <c r="D5755" s="22" t="s">
        <v>47</v>
      </c>
      <c r="E5755" s="24" t="s">
        <v>49</v>
      </c>
      <c r="F5755" s="22" t="s">
        <v>134</v>
      </c>
      <c r="G5755" s="25">
        <v>6366.4900000000016</v>
      </c>
      <c r="H5755" s="22" t="s">
        <v>22</v>
      </c>
      <c r="I5755" s="22">
        <v>0</v>
      </c>
      <c r="J5755" s="22" t="s">
        <v>134</v>
      </c>
      <c r="K5755" s="22" t="s">
        <v>23</v>
      </c>
      <c r="L5755" s="22">
        <v>2</v>
      </c>
      <c r="M5755" s="26">
        <v>70031</v>
      </c>
      <c r="N5755" s="26">
        <v>0</v>
      </c>
      <c r="O5755" s="15">
        <f t="shared" si="494"/>
        <v>70031</v>
      </c>
      <c r="P5755" s="15">
        <f t="shared" si="495"/>
        <v>10.999938741755658</v>
      </c>
      <c r="Q5755" s="25">
        <v>5000</v>
      </c>
      <c r="R5755" s="22">
        <v>100</v>
      </c>
      <c r="S5755" s="22" t="s">
        <v>6955</v>
      </c>
      <c r="T5755" s="22">
        <f t="shared" si="491"/>
        <v>11</v>
      </c>
      <c r="U5755" s="22">
        <f t="shared" si="492"/>
        <v>2022</v>
      </c>
      <c r="V5755" s="22" t="str">
        <f t="shared" si="493"/>
        <v>METROPOLITANA</v>
      </c>
    </row>
    <row r="5756" spans="1:22" x14ac:dyDescent="0.2">
      <c r="A5756" s="23" t="s">
        <v>6949</v>
      </c>
      <c r="B5756" s="22" t="s">
        <v>33</v>
      </c>
      <c r="C5756" s="22" t="s">
        <v>29</v>
      </c>
      <c r="D5756" s="22" t="s">
        <v>41</v>
      </c>
      <c r="E5756" s="24" t="s">
        <v>25</v>
      </c>
      <c r="F5756" s="22" t="s">
        <v>134</v>
      </c>
      <c r="G5756" s="25">
        <v>6494.5</v>
      </c>
      <c r="H5756" s="22" t="s">
        <v>43</v>
      </c>
      <c r="I5756" s="22">
        <v>0</v>
      </c>
      <c r="J5756" s="22" t="s">
        <v>134</v>
      </c>
      <c r="K5756" s="22" t="s">
        <v>23</v>
      </c>
      <c r="L5756" s="22">
        <v>2</v>
      </c>
      <c r="M5756" s="26">
        <v>71440</v>
      </c>
      <c r="N5756" s="26">
        <v>0</v>
      </c>
      <c r="O5756" s="15">
        <f t="shared" si="494"/>
        <v>71440</v>
      </c>
      <c r="P5756" s="15">
        <f t="shared" si="495"/>
        <v>11.000076988220803</v>
      </c>
      <c r="Q5756" s="25">
        <v>5000</v>
      </c>
      <c r="R5756" s="22">
        <v>100</v>
      </c>
      <c r="S5756" s="22" t="s">
        <v>6956</v>
      </c>
      <c r="T5756" s="22">
        <f t="shared" si="491"/>
        <v>11</v>
      </c>
      <c r="U5756" s="22">
        <f t="shared" si="492"/>
        <v>2022</v>
      </c>
      <c r="V5756" s="22" t="str">
        <f t="shared" si="493"/>
        <v>METROPOLITANA</v>
      </c>
    </row>
    <row r="5757" spans="1:22" x14ac:dyDescent="0.2">
      <c r="A5757" s="23" t="s">
        <v>6949</v>
      </c>
      <c r="B5757" s="22" t="s">
        <v>33</v>
      </c>
      <c r="C5757" s="22" t="s">
        <v>29</v>
      </c>
      <c r="D5757" s="22" t="s">
        <v>164</v>
      </c>
      <c r="E5757" s="24" t="s">
        <v>1576</v>
      </c>
      <c r="F5757" s="22" t="s">
        <v>39</v>
      </c>
      <c r="G5757" s="25">
        <v>15575.400000000011</v>
      </c>
      <c r="H5757" s="22" t="s">
        <v>22</v>
      </c>
      <c r="I5757" s="22">
        <v>1</v>
      </c>
      <c r="J5757" s="22" t="s">
        <v>39</v>
      </c>
      <c r="K5757" s="22" t="s">
        <v>23</v>
      </c>
      <c r="L5757" s="22">
        <v>1</v>
      </c>
      <c r="M5757" s="26">
        <v>171329</v>
      </c>
      <c r="N5757" s="26">
        <v>0</v>
      </c>
      <c r="O5757" s="15">
        <f t="shared" si="494"/>
        <v>171329</v>
      </c>
      <c r="P5757" s="15">
        <f t="shared" si="495"/>
        <v>10.999974318476564</v>
      </c>
      <c r="Q5757" s="25">
        <v>5000</v>
      </c>
      <c r="R5757" s="22">
        <v>100</v>
      </c>
      <c r="S5757" s="22" t="s">
        <v>6957</v>
      </c>
      <c r="T5757" s="22">
        <f t="shared" si="491"/>
        <v>11</v>
      </c>
      <c r="U5757" s="22">
        <f t="shared" si="492"/>
        <v>2022</v>
      </c>
      <c r="V5757" s="22" t="str">
        <f t="shared" si="493"/>
        <v>METROPOLITANA</v>
      </c>
    </row>
    <row r="5758" spans="1:22" x14ac:dyDescent="0.2">
      <c r="A5758" s="23" t="s">
        <v>6949</v>
      </c>
      <c r="B5758" s="22" t="s">
        <v>33</v>
      </c>
      <c r="C5758" s="22" t="s">
        <v>44</v>
      </c>
      <c r="D5758" s="22" t="s">
        <v>45</v>
      </c>
      <c r="E5758" s="24" t="s">
        <v>52</v>
      </c>
      <c r="F5758" s="22" t="s">
        <v>53</v>
      </c>
      <c r="G5758" s="25">
        <v>2935.82</v>
      </c>
      <c r="H5758" s="22" t="s">
        <v>22</v>
      </c>
      <c r="I5758" s="22">
        <v>0</v>
      </c>
      <c r="J5758" s="22" t="s">
        <v>53</v>
      </c>
      <c r="K5758" s="22" t="s">
        <v>23</v>
      </c>
      <c r="L5758" s="22">
        <v>3</v>
      </c>
      <c r="M5758" s="26">
        <v>55000</v>
      </c>
      <c r="N5758" s="26">
        <v>0</v>
      </c>
      <c r="O5758" s="15">
        <f t="shared" si="494"/>
        <v>55000</v>
      </c>
      <c r="P5758" s="15">
        <f t="shared" si="495"/>
        <v>18.734118576751978</v>
      </c>
      <c r="Q5758" s="25">
        <v>5000</v>
      </c>
      <c r="R5758" s="22">
        <v>59</v>
      </c>
      <c r="S5758" s="22" t="s">
        <v>6958</v>
      </c>
      <c r="T5758" s="22">
        <f t="shared" si="491"/>
        <v>11</v>
      </c>
      <c r="U5758" s="22">
        <f t="shared" si="492"/>
        <v>2022</v>
      </c>
      <c r="V5758" s="22" t="str">
        <f t="shared" si="493"/>
        <v>METROPOLITANA</v>
      </c>
    </row>
    <row r="5759" spans="1:22" x14ac:dyDescent="0.2">
      <c r="A5759" s="11" t="s">
        <v>6963</v>
      </c>
      <c r="B5759" s="12" t="s">
        <v>18</v>
      </c>
      <c r="C5759" s="12" t="s">
        <v>1997</v>
      </c>
      <c r="D5759" s="12" t="s">
        <v>6964</v>
      </c>
      <c r="E5759" s="13" t="s">
        <v>40</v>
      </c>
      <c r="F5759" s="12" t="s">
        <v>58</v>
      </c>
      <c r="G5759" s="14">
        <v>10819.46</v>
      </c>
      <c r="H5759" s="12" t="s">
        <v>24</v>
      </c>
      <c r="I5759" s="12">
        <v>1</v>
      </c>
      <c r="J5759" s="12" t="s">
        <v>58</v>
      </c>
      <c r="K5759" s="12" t="s">
        <v>23</v>
      </c>
      <c r="L5759" s="12">
        <v>5</v>
      </c>
      <c r="M5759" s="15">
        <v>120000</v>
      </c>
      <c r="N5759" s="15">
        <v>0</v>
      </c>
      <c r="O5759" s="15">
        <f t="shared" si="494"/>
        <v>120000</v>
      </c>
      <c r="P5759" s="15">
        <f t="shared" si="495"/>
        <v>11.091126544208308</v>
      </c>
      <c r="Q5759" s="14">
        <v>10000</v>
      </c>
      <c r="R5759" s="12">
        <v>100</v>
      </c>
      <c r="S5759" s="12" t="s">
        <v>6965</v>
      </c>
      <c r="T5759" s="22">
        <f t="shared" si="491"/>
        <v>11</v>
      </c>
      <c r="U5759" s="22">
        <f t="shared" si="492"/>
        <v>2022</v>
      </c>
      <c r="V5759" s="22" t="str">
        <f t="shared" si="493"/>
        <v>METROPOLITANA</v>
      </c>
    </row>
    <row r="5760" spans="1:22" x14ac:dyDescent="0.2">
      <c r="A5760" s="11" t="s">
        <v>6963</v>
      </c>
      <c r="B5760" s="12" t="s">
        <v>33</v>
      </c>
      <c r="C5760" s="12" t="s">
        <v>128</v>
      </c>
      <c r="D5760" s="12" t="s">
        <v>38</v>
      </c>
      <c r="E5760" s="13" t="s">
        <v>42</v>
      </c>
      <c r="F5760" s="12" t="s">
        <v>34</v>
      </c>
      <c r="G5760" s="14">
        <f>6513.62+750</f>
        <v>7263.62</v>
      </c>
      <c r="H5760" s="12" t="s">
        <v>43</v>
      </c>
      <c r="I5760" s="12">
        <v>0</v>
      </c>
      <c r="J5760" s="12" t="s">
        <v>34</v>
      </c>
      <c r="K5760" s="12" t="s">
        <v>23</v>
      </c>
      <c r="L5760" s="12">
        <v>1</v>
      </c>
      <c r="M5760" s="15">
        <v>71650</v>
      </c>
      <c r="N5760" s="15">
        <v>0</v>
      </c>
      <c r="O5760" s="15">
        <f t="shared" si="494"/>
        <v>71650</v>
      </c>
      <c r="P5760" s="15">
        <f t="shared" si="495"/>
        <v>9.8642274788604034</v>
      </c>
      <c r="Q5760" s="14">
        <v>5000</v>
      </c>
      <c r="R5760" s="12">
        <v>100</v>
      </c>
      <c r="S5760" s="12" t="s">
        <v>6985</v>
      </c>
      <c r="T5760" s="22">
        <f t="shared" si="491"/>
        <v>11</v>
      </c>
      <c r="U5760" s="22">
        <f t="shared" si="492"/>
        <v>2022</v>
      </c>
      <c r="V5760" s="22" t="str">
        <f t="shared" si="493"/>
        <v>METROPOLITANA</v>
      </c>
    </row>
    <row r="5761" spans="1:22" x14ac:dyDescent="0.2">
      <c r="A5761" s="11" t="s">
        <v>6963</v>
      </c>
      <c r="B5761" s="12" t="s">
        <v>33</v>
      </c>
      <c r="C5761" s="12" t="s">
        <v>36</v>
      </c>
      <c r="D5761" s="12" t="s">
        <v>6966</v>
      </c>
      <c r="E5761" s="13" t="s">
        <v>6967</v>
      </c>
      <c r="F5761" s="12" t="s">
        <v>1105</v>
      </c>
      <c r="G5761" s="14">
        <v>11498.08</v>
      </c>
      <c r="H5761" s="12" t="s">
        <v>24</v>
      </c>
      <c r="I5761" s="12">
        <v>1</v>
      </c>
      <c r="J5761" s="12" t="s">
        <v>1105</v>
      </c>
      <c r="K5761" s="12" t="s">
        <v>873</v>
      </c>
      <c r="L5761" s="12">
        <v>0</v>
      </c>
      <c r="M5761" s="15">
        <v>950000</v>
      </c>
      <c r="N5761" s="15">
        <v>0</v>
      </c>
      <c r="O5761" s="15">
        <f t="shared" si="494"/>
        <v>950000</v>
      </c>
      <c r="P5761" s="15">
        <f t="shared" si="495"/>
        <v>82.622490015724367</v>
      </c>
      <c r="Q5761" s="14">
        <v>20000</v>
      </c>
      <c r="R5761" s="12">
        <v>57</v>
      </c>
      <c r="S5761" s="12" t="s">
        <v>6968</v>
      </c>
      <c r="T5761" s="22">
        <f t="shared" si="491"/>
        <v>11</v>
      </c>
      <c r="U5761" s="22">
        <f t="shared" si="492"/>
        <v>2022</v>
      </c>
      <c r="V5761" s="22" t="str">
        <f t="shared" si="493"/>
        <v>REGIONES</v>
      </c>
    </row>
    <row r="5762" spans="1:22" x14ac:dyDescent="0.2">
      <c r="A5762" s="11" t="s">
        <v>6963</v>
      </c>
      <c r="B5762" s="12" t="s">
        <v>33</v>
      </c>
      <c r="C5762" s="12" t="s">
        <v>36</v>
      </c>
      <c r="D5762" s="12" t="s">
        <v>6969</v>
      </c>
      <c r="E5762" s="13" t="s">
        <v>6970</v>
      </c>
      <c r="F5762" s="12" t="s">
        <v>132</v>
      </c>
      <c r="G5762" s="14">
        <v>5463.6000000000022</v>
      </c>
      <c r="H5762" s="12" t="s">
        <v>24</v>
      </c>
      <c r="I5762" s="12">
        <v>1</v>
      </c>
      <c r="J5762" s="12" t="s">
        <v>132</v>
      </c>
      <c r="K5762" s="12" t="s">
        <v>124</v>
      </c>
      <c r="L5762" s="12">
        <v>0</v>
      </c>
      <c r="M5762" s="15">
        <v>400000</v>
      </c>
      <c r="N5762" s="15">
        <v>0</v>
      </c>
      <c r="O5762" s="15">
        <f t="shared" si="494"/>
        <v>400000</v>
      </c>
      <c r="P5762" s="15">
        <f t="shared" si="495"/>
        <v>73.211801742440855</v>
      </c>
      <c r="Q5762" s="14">
        <v>20000</v>
      </c>
      <c r="R5762" s="12">
        <v>27</v>
      </c>
      <c r="S5762" s="12" t="s">
        <v>6971</v>
      </c>
      <c r="T5762" s="22">
        <f t="shared" si="491"/>
        <v>11</v>
      </c>
      <c r="U5762" s="22">
        <f t="shared" si="492"/>
        <v>2022</v>
      </c>
      <c r="V5762" s="22" t="str">
        <f t="shared" si="493"/>
        <v>REGIONES</v>
      </c>
    </row>
    <row r="5763" spans="1:22" x14ac:dyDescent="0.2">
      <c r="A5763" s="11" t="s">
        <v>6963</v>
      </c>
      <c r="B5763" s="12" t="s">
        <v>33</v>
      </c>
      <c r="C5763" s="12" t="s">
        <v>36</v>
      </c>
      <c r="D5763" s="12" t="s">
        <v>30</v>
      </c>
      <c r="E5763" s="13" t="s">
        <v>31</v>
      </c>
      <c r="F5763" s="12" t="s">
        <v>855</v>
      </c>
      <c r="G5763" s="14">
        <v>7253.66</v>
      </c>
      <c r="H5763" s="12" t="s">
        <v>32</v>
      </c>
      <c r="I5763" s="12">
        <v>0</v>
      </c>
      <c r="J5763" s="12" t="s">
        <v>855</v>
      </c>
      <c r="K5763" s="12" t="s">
        <v>78</v>
      </c>
      <c r="L5763" s="12">
        <v>0</v>
      </c>
      <c r="M5763" s="15">
        <v>203000</v>
      </c>
      <c r="N5763" s="15">
        <v>0</v>
      </c>
      <c r="O5763" s="15">
        <f t="shared" si="494"/>
        <v>203000</v>
      </c>
      <c r="P5763" s="15">
        <f t="shared" si="495"/>
        <v>27.985871959810634</v>
      </c>
      <c r="Q5763" s="14">
        <v>20000</v>
      </c>
      <c r="R5763" s="12">
        <v>36</v>
      </c>
      <c r="S5763" s="12" t="s">
        <v>6972</v>
      </c>
      <c r="T5763" s="22">
        <f t="shared" si="491"/>
        <v>11</v>
      </c>
      <c r="U5763" s="22">
        <f t="shared" si="492"/>
        <v>2022</v>
      </c>
      <c r="V5763" s="22" t="str">
        <f t="shared" si="493"/>
        <v>REGIONES</v>
      </c>
    </row>
    <row r="5764" spans="1:22" x14ac:dyDescent="0.2">
      <c r="A5764" s="11" t="s">
        <v>6963</v>
      </c>
      <c r="B5764" s="12" t="s">
        <v>33</v>
      </c>
      <c r="C5764" s="12" t="s">
        <v>36</v>
      </c>
      <c r="D5764" s="12" t="s">
        <v>20</v>
      </c>
      <c r="E5764" s="13" t="s">
        <v>21</v>
      </c>
      <c r="F5764" s="12" t="s">
        <v>127</v>
      </c>
      <c r="G5764" s="14">
        <v>4802.8600000000006</v>
      </c>
      <c r="H5764" s="12" t="s">
        <v>22</v>
      </c>
      <c r="I5764" s="12">
        <v>0</v>
      </c>
      <c r="J5764" s="12" t="s">
        <v>127</v>
      </c>
      <c r="K5764" s="12" t="s">
        <v>78</v>
      </c>
      <c r="L5764" s="12">
        <v>0</v>
      </c>
      <c r="M5764" s="15">
        <v>203000</v>
      </c>
      <c r="N5764" s="15">
        <v>0</v>
      </c>
      <c r="O5764" s="15">
        <f t="shared" si="494"/>
        <v>203000</v>
      </c>
      <c r="P5764" s="15">
        <f t="shared" si="495"/>
        <v>42.266482887279658</v>
      </c>
      <c r="Q5764" s="14">
        <v>20000</v>
      </c>
      <c r="R5764" s="12">
        <v>24</v>
      </c>
      <c r="S5764" s="12" t="s">
        <v>6973</v>
      </c>
      <c r="T5764" s="22">
        <f t="shared" si="491"/>
        <v>11</v>
      </c>
      <c r="U5764" s="22">
        <f t="shared" si="492"/>
        <v>2022</v>
      </c>
      <c r="V5764" s="22" t="str">
        <f t="shared" si="493"/>
        <v>REGIONES</v>
      </c>
    </row>
    <row r="5765" spans="1:22" x14ac:dyDescent="0.2">
      <c r="A5765" s="11" t="s">
        <v>6963</v>
      </c>
      <c r="B5765" s="12" t="s">
        <v>33</v>
      </c>
      <c r="C5765" s="12" t="s">
        <v>2862</v>
      </c>
      <c r="D5765" s="12" t="s">
        <v>2955</v>
      </c>
      <c r="E5765" s="13" t="s">
        <v>2956</v>
      </c>
      <c r="F5765" s="12" t="s">
        <v>251</v>
      </c>
      <c r="G5765" s="14">
        <v>8447.5999999999985</v>
      </c>
      <c r="H5765" s="12" t="s">
        <v>24</v>
      </c>
      <c r="I5765" s="12">
        <v>1</v>
      </c>
      <c r="J5765" s="12" t="s">
        <v>251</v>
      </c>
      <c r="K5765" s="12" t="s">
        <v>78</v>
      </c>
      <c r="L5765" s="12">
        <v>0</v>
      </c>
      <c r="M5765" s="15">
        <v>260000</v>
      </c>
      <c r="N5765" s="15">
        <v>0</v>
      </c>
      <c r="O5765" s="15">
        <f t="shared" si="494"/>
        <v>260000</v>
      </c>
      <c r="P5765" s="15">
        <f t="shared" si="495"/>
        <v>30.777972441876987</v>
      </c>
      <c r="Q5765" s="14">
        <v>20000</v>
      </c>
      <c r="R5765" s="12">
        <v>42</v>
      </c>
      <c r="S5765" s="12" t="s">
        <v>6974</v>
      </c>
      <c r="T5765" s="22">
        <f t="shared" si="491"/>
        <v>11</v>
      </c>
      <c r="U5765" s="22">
        <f t="shared" si="492"/>
        <v>2022</v>
      </c>
      <c r="V5765" s="22" t="str">
        <f t="shared" si="493"/>
        <v>REGIONES</v>
      </c>
    </row>
    <row r="5766" spans="1:22" x14ac:dyDescent="0.2">
      <c r="A5766" s="11" t="s">
        <v>6963</v>
      </c>
      <c r="B5766" s="12" t="s">
        <v>33</v>
      </c>
      <c r="C5766" s="12" t="s">
        <v>29</v>
      </c>
      <c r="D5766" s="12" t="s">
        <v>37</v>
      </c>
      <c r="E5766" s="13" t="s">
        <v>40</v>
      </c>
      <c r="F5766" s="12" t="s">
        <v>39</v>
      </c>
      <c r="G5766" s="14">
        <v>3649.8</v>
      </c>
      <c r="H5766" s="12" t="s">
        <v>22</v>
      </c>
      <c r="I5766" s="12">
        <v>0</v>
      </c>
      <c r="J5766" s="12" t="s">
        <v>39</v>
      </c>
      <c r="K5766" s="12" t="s">
        <v>23</v>
      </c>
      <c r="L5766" s="12">
        <v>1</v>
      </c>
      <c r="M5766" s="15">
        <v>55000</v>
      </c>
      <c r="N5766" s="15">
        <v>0</v>
      </c>
      <c r="O5766" s="15">
        <f t="shared" si="494"/>
        <v>55000</v>
      </c>
      <c r="P5766" s="15">
        <f t="shared" si="495"/>
        <v>15.069318866787221</v>
      </c>
      <c r="Q5766" s="14">
        <v>5000</v>
      </c>
      <c r="R5766" s="12">
        <v>73</v>
      </c>
      <c r="S5766" s="12" t="s">
        <v>6975</v>
      </c>
      <c r="T5766" s="22">
        <f t="shared" si="491"/>
        <v>11</v>
      </c>
      <c r="U5766" s="22">
        <f t="shared" si="492"/>
        <v>2022</v>
      </c>
      <c r="V5766" s="22" t="str">
        <f t="shared" si="493"/>
        <v>METROPOLITANA</v>
      </c>
    </row>
    <row r="5767" spans="1:22" x14ac:dyDescent="0.2">
      <c r="A5767" s="11" t="s">
        <v>6963</v>
      </c>
      <c r="B5767" s="12" t="s">
        <v>33</v>
      </c>
      <c r="C5767" s="12" t="s">
        <v>29</v>
      </c>
      <c r="D5767" s="12" t="s">
        <v>41</v>
      </c>
      <c r="E5767" s="13" t="s">
        <v>25</v>
      </c>
      <c r="F5767" s="12" t="s">
        <v>39</v>
      </c>
      <c r="G5767" s="14">
        <v>9438</v>
      </c>
      <c r="H5767" s="12" t="s">
        <v>43</v>
      </c>
      <c r="I5767" s="12">
        <v>0</v>
      </c>
      <c r="J5767" s="12" t="s">
        <v>39</v>
      </c>
      <c r="K5767" s="12" t="s">
        <v>23</v>
      </c>
      <c r="L5767" s="12">
        <v>1</v>
      </c>
      <c r="M5767" s="15">
        <v>103818</v>
      </c>
      <c r="N5767" s="15">
        <v>0</v>
      </c>
      <c r="O5767" s="15">
        <f t="shared" si="494"/>
        <v>103818</v>
      </c>
      <c r="P5767" s="15">
        <f t="shared" si="495"/>
        <v>11</v>
      </c>
      <c r="Q5767" s="14">
        <v>5000</v>
      </c>
      <c r="R5767" s="12">
        <v>100</v>
      </c>
      <c r="S5767" s="12" t="s">
        <v>6976</v>
      </c>
      <c r="T5767" s="22">
        <f t="shared" ref="T5767:T5830" si="496">MONTH(A5767)</f>
        <v>11</v>
      </c>
      <c r="U5767" s="22">
        <f t="shared" ref="U5767:U5830" si="497">YEAR(A5767)</f>
        <v>2022</v>
      </c>
      <c r="V5767" s="22" t="str">
        <f t="shared" ref="V5767:V5830" si="498">IF(K5767="METROPOLITANA DE SANTIAGO","METROPOLITANA","REGIONES")</f>
        <v>METROPOLITANA</v>
      </c>
    </row>
    <row r="5768" spans="1:22" x14ac:dyDescent="0.2">
      <c r="A5768" s="11" t="s">
        <v>6963</v>
      </c>
      <c r="B5768" s="12" t="s">
        <v>33</v>
      </c>
      <c r="C5768" s="12" t="s">
        <v>29</v>
      </c>
      <c r="D5768" s="12" t="s">
        <v>164</v>
      </c>
      <c r="E5768" s="13" t="s">
        <v>1576</v>
      </c>
      <c r="F5768" s="12" t="s">
        <v>39</v>
      </c>
      <c r="G5768" s="14">
        <v>21694.21000000001</v>
      </c>
      <c r="H5768" s="12" t="s">
        <v>22</v>
      </c>
      <c r="I5768" s="12">
        <v>1</v>
      </c>
      <c r="J5768" s="12" t="s">
        <v>39</v>
      </c>
      <c r="K5768" s="12" t="s">
        <v>23</v>
      </c>
      <c r="L5768" s="12">
        <v>1</v>
      </c>
      <c r="M5768" s="15">
        <v>238636</v>
      </c>
      <c r="N5768" s="15">
        <v>0</v>
      </c>
      <c r="O5768" s="15">
        <f t="shared" si="494"/>
        <v>238636</v>
      </c>
      <c r="P5768" s="15">
        <f t="shared" si="495"/>
        <v>10.999985710472973</v>
      </c>
      <c r="Q5768" s="14">
        <v>5000</v>
      </c>
      <c r="R5768" s="12">
        <v>100</v>
      </c>
      <c r="S5768" s="12" t="s">
        <v>6977</v>
      </c>
      <c r="T5768" s="22">
        <f t="shared" si="496"/>
        <v>11</v>
      </c>
      <c r="U5768" s="22">
        <f t="shared" si="497"/>
        <v>2022</v>
      </c>
      <c r="V5768" s="22" t="str">
        <f t="shared" si="498"/>
        <v>METROPOLITANA</v>
      </c>
    </row>
    <row r="5769" spans="1:22" x14ac:dyDescent="0.2">
      <c r="A5769" s="11" t="s">
        <v>6963</v>
      </c>
      <c r="B5769" s="12" t="s">
        <v>33</v>
      </c>
      <c r="C5769" s="12" t="s">
        <v>44</v>
      </c>
      <c r="D5769" s="12" t="s">
        <v>6978</v>
      </c>
      <c r="E5769" s="13" t="s">
        <v>6979</v>
      </c>
      <c r="F5769" s="12" t="s">
        <v>66</v>
      </c>
      <c r="G5769" s="14">
        <v>9548.7999999999993</v>
      </c>
      <c r="H5769" s="12" t="s">
        <v>24</v>
      </c>
      <c r="I5769" s="12">
        <v>1</v>
      </c>
      <c r="J5769" s="12" t="s">
        <v>66</v>
      </c>
      <c r="K5769" s="12" t="s">
        <v>75</v>
      </c>
      <c r="L5769" s="12">
        <v>0</v>
      </c>
      <c r="M5769" s="15">
        <v>430000</v>
      </c>
      <c r="N5769" s="15">
        <v>0</v>
      </c>
      <c r="O5769" s="15">
        <f t="shared" si="494"/>
        <v>430000</v>
      </c>
      <c r="P5769" s="15">
        <f t="shared" si="495"/>
        <v>45.031836461126012</v>
      </c>
      <c r="Q5769" s="14">
        <v>20000</v>
      </c>
      <c r="R5769" s="12">
        <v>48</v>
      </c>
      <c r="S5769" s="12" t="s">
        <v>6980</v>
      </c>
      <c r="T5769" s="22">
        <f t="shared" si="496"/>
        <v>11</v>
      </c>
      <c r="U5769" s="22">
        <f t="shared" si="497"/>
        <v>2022</v>
      </c>
      <c r="V5769" s="22" t="str">
        <f t="shared" si="498"/>
        <v>REGIONES</v>
      </c>
    </row>
    <row r="5770" spans="1:22" x14ac:dyDescent="0.2">
      <c r="A5770" s="11" t="s">
        <v>6963</v>
      </c>
      <c r="B5770" s="12" t="s">
        <v>33</v>
      </c>
      <c r="C5770" s="12" t="s">
        <v>44</v>
      </c>
      <c r="D5770" s="12" t="s">
        <v>37</v>
      </c>
      <c r="E5770" s="13" t="s">
        <v>40</v>
      </c>
      <c r="F5770" s="12" t="s">
        <v>48</v>
      </c>
      <c r="G5770" s="14">
        <v>7868.1600000000017</v>
      </c>
      <c r="H5770" s="12" t="s">
        <v>22</v>
      </c>
      <c r="I5770" s="12">
        <v>0</v>
      </c>
      <c r="J5770" s="12" t="s">
        <v>48</v>
      </c>
      <c r="K5770" s="12" t="s">
        <v>23</v>
      </c>
      <c r="L5770" s="12">
        <v>1</v>
      </c>
      <c r="M5770" s="15">
        <v>86550</v>
      </c>
      <c r="N5770" s="15">
        <v>0</v>
      </c>
      <c r="O5770" s="15">
        <f t="shared" si="494"/>
        <v>86550</v>
      </c>
      <c r="P5770" s="15">
        <f t="shared" si="495"/>
        <v>11.000030502684234</v>
      </c>
      <c r="Q5770" s="14">
        <v>5000</v>
      </c>
      <c r="R5770" s="12">
        <v>100</v>
      </c>
      <c r="S5770" s="12" t="s">
        <v>6981</v>
      </c>
      <c r="T5770" s="22">
        <f t="shared" si="496"/>
        <v>11</v>
      </c>
      <c r="U5770" s="22">
        <f t="shared" si="497"/>
        <v>2022</v>
      </c>
      <c r="V5770" s="22" t="str">
        <f t="shared" si="498"/>
        <v>METROPOLITANA</v>
      </c>
    </row>
    <row r="5771" spans="1:22" x14ac:dyDescent="0.2">
      <c r="A5771" s="11" t="s">
        <v>6963</v>
      </c>
      <c r="B5771" s="12" t="s">
        <v>33</v>
      </c>
      <c r="C5771" s="12" t="s">
        <v>44</v>
      </c>
      <c r="D5771" s="12" t="s">
        <v>45</v>
      </c>
      <c r="E5771" s="13" t="s">
        <v>6982</v>
      </c>
      <c r="F5771" s="12" t="s">
        <v>137</v>
      </c>
      <c r="G5771" s="14">
        <v>3752</v>
      </c>
      <c r="H5771" s="12" t="s">
        <v>22</v>
      </c>
      <c r="I5771" s="12">
        <v>0</v>
      </c>
      <c r="J5771" s="12" t="s">
        <v>137</v>
      </c>
      <c r="K5771" s="12" t="s">
        <v>23</v>
      </c>
      <c r="L5771" s="12">
        <v>1</v>
      </c>
      <c r="M5771" s="15">
        <v>55000</v>
      </c>
      <c r="N5771" s="15">
        <v>0</v>
      </c>
      <c r="O5771" s="15">
        <f t="shared" si="494"/>
        <v>55000</v>
      </c>
      <c r="P5771" s="15">
        <f t="shared" si="495"/>
        <v>14.658848614072495</v>
      </c>
      <c r="Q5771" s="14">
        <v>5000</v>
      </c>
      <c r="R5771" s="12">
        <v>75</v>
      </c>
      <c r="S5771" s="12" t="s">
        <v>6983</v>
      </c>
      <c r="T5771" s="22">
        <f t="shared" si="496"/>
        <v>11</v>
      </c>
      <c r="U5771" s="22">
        <f t="shared" si="497"/>
        <v>2022</v>
      </c>
      <c r="V5771" s="22" t="str">
        <f t="shared" si="498"/>
        <v>METROPOLITANA</v>
      </c>
    </row>
    <row r="5772" spans="1:22" x14ac:dyDescent="0.2">
      <c r="A5772" s="11" t="s">
        <v>6963</v>
      </c>
      <c r="B5772" s="12" t="s">
        <v>33</v>
      </c>
      <c r="C5772" s="12" t="s">
        <v>44</v>
      </c>
      <c r="D5772" s="12" t="s">
        <v>47</v>
      </c>
      <c r="E5772" s="13" t="s">
        <v>49</v>
      </c>
      <c r="F5772" s="12" t="s">
        <v>48</v>
      </c>
      <c r="G5772" s="14">
        <v>8567.7199999999993</v>
      </c>
      <c r="H5772" s="12" t="s">
        <v>22</v>
      </c>
      <c r="I5772" s="12">
        <v>0</v>
      </c>
      <c r="J5772" s="12" t="s">
        <v>48</v>
      </c>
      <c r="K5772" s="12" t="s">
        <v>23</v>
      </c>
      <c r="L5772" s="12">
        <v>1</v>
      </c>
      <c r="M5772" s="15">
        <v>94245</v>
      </c>
      <c r="N5772" s="15">
        <v>0</v>
      </c>
      <c r="O5772" s="15">
        <f t="shared" si="494"/>
        <v>94245</v>
      </c>
      <c r="P5772" s="15">
        <f t="shared" si="495"/>
        <v>11.000009337373305</v>
      </c>
      <c r="Q5772" s="14">
        <v>5000</v>
      </c>
      <c r="R5772" s="12">
        <v>100</v>
      </c>
      <c r="S5772" s="12" t="s">
        <v>6984</v>
      </c>
      <c r="T5772" s="22">
        <f t="shared" si="496"/>
        <v>11</v>
      </c>
      <c r="U5772" s="22">
        <f t="shared" si="497"/>
        <v>2022</v>
      </c>
      <c r="V5772" s="22" t="str">
        <f t="shared" si="498"/>
        <v>METROPOLITANA</v>
      </c>
    </row>
    <row r="5773" spans="1:22" x14ac:dyDescent="0.2">
      <c r="A5773" s="23" t="s">
        <v>6986</v>
      </c>
      <c r="B5773" s="22" t="s">
        <v>33</v>
      </c>
      <c r="C5773" s="22" t="s">
        <v>29</v>
      </c>
      <c r="D5773" s="22" t="s">
        <v>38</v>
      </c>
      <c r="E5773" s="24">
        <v>53173292</v>
      </c>
      <c r="F5773" s="22" t="s">
        <v>39</v>
      </c>
      <c r="G5773" s="25">
        <f>7276.2+238</f>
        <v>7514.2</v>
      </c>
      <c r="H5773" s="22" t="s">
        <v>43</v>
      </c>
      <c r="I5773" s="22">
        <v>0</v>
      </c>
      <c r="J5773" s="22" t="s">
        <v>39</v>
      </c>
      <c r="K5773" s="22" t="s">
        <v>23</v>
      </c>
      <c r="L5773" s="22">
        <v>1</v>
      </c>
      <c r="M5773" s="26">
        <v>80038</v>
      </c>
      <c r="N5773" s="26">
        <v>0</v>
      </c>
      <c r="O5773" s="15">
        <f t="shared" si="494"/>
        <v>80038</v>
      </c>
      <c r="P5773" s="15">
        <f t="shared" si="495"/>
        <v>10.651566367677198</v>
      </c>
      <c r="Q5773" s="25">
        <v>5000</v>
      </c>
      <c r="R5773" s="22">
        <v>100</v>
      </c>
      <c r="S5773" s="22" t="s">
        <v>6993</v>
      </c>
      <c r="T5773" s="22">
        <f t="shared" si="496"/>
        <v>11</v>
      </c>
      <c r="U5773" s="22">
        <f t="shared" si="497"/>
        <v>2022</v>
      </c>
      <c r="V5773" s="22" t="str">
        <f t="shared" si="498"/>
        <v>METROPOLITANA</v>
      </c>
    </row>
    <row r="5774" spans="1:22" x14ac:dyDescent="0.2">
      <c r="A5774" s="23" t="s">
        <v>6986</v>
      </c>
      <c r="B5774" s="22" t="s">
        <v>33</v>
      </c>
      <c r="C5774" s="22" t="s">
        <v>29</v>
      </c>
      <c r="D5774" s="22" t="s">
        <v>30</v>
      </c>
      <c r="E5774" s="24">
        <v>72564391</v>
      </c>
      <c r="F5774" s="22" t="s">
        <v>129</v>
      </c>
      <c r="G5774" s="25">
        <f>1578.03+988</f>
        <v>2566.0299999999997</v>
      </c>
      <c r="H5774" s="22" t="s">
        <v>32</v>
      </c>
      <c r="I5774" s="22">
        <v>0</v>
      </c>
      <c r="J5774" s="22" t="s">
        <v>129</v>
      </c>
      <c r="K5774" s="22" t="s">
        <v>23</v>
      </c>
      <c r="L5774" s="22">
        <v>1</v>
      </c>
      <c r="M5774" s="26">
        <v>55000</v>
      </c>
      <c r="N5774" s="26">
        <v>0</v>
      </c>
      <c r="O5774" s="15">
        <f t="shared" si="494"/>
        <v>55000</v>
      </c>
      <c r="P5774" s="15">
        <f t="shared" si="495"/>
        <v>21.433888146280442</v>
      </c>
      <c r="Q5774" s="25">
        <v>5000</v>
      </c>
      <c r="R5774" s="22">
        <v>85</v>
      </c>
      <c r="S5774" s="22" t="s">
        <v>6994</v>
      </c>
      <c r="T5774" s="22">
        <f t="shared" si="496"/>
        <v>11</v>
      </c>
      <c r="U5774" s="22">
        <f t="shared" si="497"/>
        <v>2022</v>
      </c>
      <c r="V5774" s="22" t="str">
        <f t="shared" si="498"/>
        <v>METROPOLITANA</v>
      </c>
    </row>
    <row r="5775" spans="1:22" x14ac:dyDescent="0.2">
      <c r="A5775" s="23" t="s">
        <v>6986</v>
      </c>
      <c r="B5775" s="22" t="s">
        <v>33</v>
      </c>
      <c r="C5775" s="22" t="s">
        <v>29</v>
      </c>
      <c r="D5775" s="22" t="s">
        <v>47</v>
      </c>
      <c r="E5775" s="24">
        <v>107643206</v>
      </c>
      <c r="F5775" s="22" t="s">
        <v>134</v>
      </c>
      <c r="G5775" s="25">
        <v>3400.8</v>
      </c>
      <c r="H5775" s="22" t="s">
        <v>22</v>
      </c>
      <c r="I5775" s="22">
        <v>0</v>
      </c>
      <c r="J5775" s="22" t="s">
        <v>134</v>
      </c>
      <c r="K5775" s="22" t="s">
        <v>23</v>
      </c>
      <c r="L5775" s="22">
        <v>2</v>
      </c>
      <c r="M5775" s="26">
        <v>55000</v>
      </c>
      <c r="N5775" s="26">
        <v>0</v>
      </c>
      <c r="O5775" s="15">
        <f t="shared" si="494"/>
        <v>55000</v>
      </c>
      <c r="P5775" s="15">
        <f t="shared" si="495"/>
        <v>16.172665255234062</v>
      </c>
      <c r="Q5775" s="25">
        <v>5000</v>
      </c>
      <c r="R5775" s="22">
        <v>68</v>
      </c>
      <c r="S5775" s="22" t="s">
        <v>6987</v>
      </c>
      <c r="T5775" s="22">
        <f t="shared" si="496"/>
        <v>11</v>
      </c>
      <c r="U5775" s="22">
        <f t="shared" si="497"/>
        <v>2022</v>
      </c>
      <c r="V5775" s="22" t="str">
        <f t="shared" si="498"/>
        <v>METROPOLITANA</v>
      </c>
    </row>
    <row r="5776" spans="1:22" x14ac:dyDescent="0.2">
      <c r="A5776" s="23" t="s">
        <v>6986</v>
      </c>
      <c r="B5776" s="22" t="s">
        <v>33</v>
      </c>
      <c r="C5776" s="22" t="s">
        <v>29</v>
      </c>
      <c r="D5776" s="22" t="s">
        <v>164</v>
      </c>
      <c r="E5776" s="24">
        <v>154837728</v>
      </c>
      <c r="F5776" s="22" t="s">
        <v>39</v>
      </c>
      <c r="G5776" s="25">
        <v>21502.06</v>
      </c>
      <c r="H5776" s="22" t="s">
        <v>22</v>
      </c>
      <c r="I5776" s="22">
        <v>1</v>
      </c>
      <c r="J5776" s="22" t="s">
        <v>39</v>
      </c>
      <c r="K5776" s="22" t="s">
        <v>23</v>
      </c>
      <c r="L5776" s="22">
        <v>1</v>
      </c>
      <c r="M5776" s="26">
        <v>236523</v>
      </c>
      <c r="N5776" s="26">
        <v>0</v>
      </c>
      <c r="O5776" s="15">
        <f t="shared" si="494"/>
        <v>236523</v>
      </c>
      <c r="P5776" s="15">
        <f t="shared" si="495"/>
        <v>11.000015812438436</v>
      </c>
      <c r="Q5776" s="25">
        <v>5000</v>
      </c>
      <c r="R5776" s="22">
        <v>100</v>
      </c>
      <c r="S5776" s="22" t="s">
        <v>6988</v>
      </c>
      <c r="T5776" s="22">
        <f t="shared" si="496"/>
        <v>11</v>
      </c>
      <c r="U5776" s="22">
        <f t="shared" si="497"/>
        <v>2022</v>
      </c>
      <c r="V5776" s="22" t="str">
        <f t="shared" si="498"/>
        <v>METROPOLITANA</v>
      </c>
    </row>
    <row r="5777" spans="1:22" x14ac:dyDescent="0.2">
      <c r="A5777" s="23" t="s">
        <v>6986</v>
      </c>
      <c r="B5777" s="22" t="s">
        <v>33</v>
      </c>
      <c r="C5777" s="22" t="s">
        <v>44</v>
      </c>
      <c r="D5777" s="22" t="s">
        <v>6989</v>
      </c>
      <c r="E5777" s="24">
        <v>172861164</v>
      </c>
      <c r="F5777" s="22" t="s">
        <v>132</v>
      </c>
      <c r="G5777" s="25">
        <v>20569.5</v>
      </c>
      <c r="H5777" s="22" t="s">
        <v>24</v>
      </c>
      <c r="I5777" s="22">
        <v>1</v>
      </c>
      <c r="J5777" s="22" t="s">
        <v>132</v>
      </c>
      <c r="K5777" s="22" t="s">
        <v>124</v>
      </c>
      <c r="L5777" s="22">
        <v>0</v>
      </c>
      <c r="M5777" s="26">
        <v>400000</v>
      </c>
      <c r="N5777" s="26">
        <v>0</v>
      </c>
      <c r="O5777" s="15">
        <f t="shared" si="494"/>
        <v>400000</v>
      </c>
      <c r="P5777" s="15">
        <f t="shared" si="495"/>
        <v>19.446267532025573</v>
      </c>
      <c r="Q5777" s="25">
        <v>20000</v>
      </c>
      <c r="R5777" s="22">
        <v>100</v>
      </c>
      <c r="S5777" s="22" t="s">
        <v>6990</v>
      </c>
      <c r="T5777" s="22">
        <f t="shared" si="496"/>
        <v>11</v>
      </c>
      <c r="U5777" s="22">
        <f t="shared" si="497"/>
        <v>2022</v>
      </c>
      <c r="V5777" s="22" t="str">
        <f t="shared" si="498"/>
        <v>REGIONES</v>
      </c>
    </row>
    <row r="5778" spans="1:22" x14ac:dyDescent="0.2">
      <c r="A5778" s="23" t="s">
        <v>6986</v>
      </c>
      <c r="B5778" s="22" t="s">
        <v>33</v>
      </c>
      <c r="C5778" s="22" t="s">
        <v>44</v>
      </c>
      <c r="D5778" s="22" t="s">
        <v>45</v>
      </c>
      <c r="E5778" s="24">
        <v>99626232</v>
      </c>
      <c r="F5778" s="22" t="s">
        <v>225</v>
      </c>
      <c r="G5778" s="25">
        <v>2572.0300000000002</v>
      </c>
      <c r="H5778" s="22" t="s">
        <v>22</v>
      </c>
      <c r="I5778" s="22">
        <v>0</v>
      </c>
      <c r="J5778" s="22" t="s">
        <v>225</v>
      </c>
      <c r="K5778" s="22" t="s">
        <v>23</v>
      </c>
      <c r="L5778" s="22">
        <v>3</v>
      </c>
      <c r="M5778" s="26">
        <v>55000</v>
      </c>
      <c r="N5778" s="26">
        <v>0</v>
      </c>
      <c r="O5778" s="15">
        <f t="shared" si="494"/>
        <v>55000</v>
      </c>
      <c r="P5778" s="15">
        <f t="shared" si="495"/>
        <v>21.38388743521654</v>
      </c>
      <c r="Q5778" s="25">
        <v>5000</v>
      </c>
      <c r="R5778" s="22">
        <v>51</v>
      </c>
      <c r="S5778" s="22" t="s">
        <v>6991</v>
      </c>
      <c r="T5778" s="22">
        <f t="shared" si="496"/>
        <v>11</v>
      </c>
      <c r="U5778" s="22">
        <f t="shared" si="497"/>
        <v>2022</v>
      </c>
      <c r="V5778" s="22" t="str">
        <f t="shared" si="498"/>
        <v>METROPOLITANA</v>
      </c>
    </row>
    <row r="5779" spans="1:22" x14ac:dyDescent="0.2">
      <c r="A5779" s="23" t="s">
        <v>6986</v>
      </c>
      <c r="B5779" s="22" t="s">
        <v>33</v>
      </c>
      <c r="C5779" s="22" t="s">
        <v>44</v>
      </c>
      <c r="D5779" s="22" t="s">
        <v>47</v>
      </c>
      <c r="E5779" s="24">
        <v>107643206</v>
      </c>
      <c r="F5779" s="22" t="s">
        <v>554</v>
      </c>
      <c r="G5779" s="25">
        <v>2955.8</v>
      </c>
      <c r="H5779" s="22" t="s">
        <v>22</v>
      </c>
      <c r="I5779" s="22">
        <v>0</v>
      </c>
      <c r="J5779" s="22" t="s">
        <v>554</v>
      </c>
      <c r="K5779" s="22" t="s">
        <v>23</v>
      </c>
      <c r="L5779" s="22">
        <v>4</v>
      </c>
      <c r="M5779" s="26">
        <v>55000</v>
      </c>
      <c r="N5779" s="26">
        <v>0</v>
      </c>
      <c r="O5779" s="15">
        <f t="shared" ref="O5779:O5842" si="499">SUM(M5779:N5779)</f>
        <v>55000</v>
      </c>
      <c r="P5779" s="15">
        <f t="shared" si="495"/>
        <v>18.60748359158265</v>
      </c>
      <c r="Q5779" s="25">
        <v>5000</v>
      </c>
      <c r="R5779" s="22">
        <v>59</v>
      </c>
      <c r="S5779" s="22" t="s">
        <v>6992</v>
      </c>
      <c r="T5779" s="22">
        <f t="shared" si="496"/>
        <v>11</v>
      </c>
      <c r="U5779" s="22">
        <f t="shared" si="497"/>
        <v>2022</v>
      </c>
      <c r="V5779" s="22" t="str">
        <f t="shared" si="498"/>
        <v>METROPOLITANA</v>
      </c>
    </row>
    <row r="5780" spans="1:22" x14ac:dyDescent="0.2">
      <c r="A5780" s="11" t="s">
        <v>6995</v>
      </c>
      <c r="B5780" s="12" t="s">
        <v>18</v>
      </c>
      <c r="C5780" s="12" t="s">
        <v>4252</v>
      </c>
      <c r="D5780" s="12" t="s">
        <v>6790</v>
      </c>
      <c r="E5780" s="13" t="s">
        <v>6996</v>
      </c>
      <c r="F5780" s="12" t="s">
        <v>6258</v>
      </c>
      <c r="G5780" s="14">
        <v>18082.97</v>
      </c>
      <c r="H5780" s="12" t="s">
        <v>24</v>
      </c>
      <c r="I5780" s="12">
        <v>1</v>
      </c>
      <c r="J5780" s="12" t="s">
        <v>6258</v>
      </c>
      <c r="K5780" s="12" t="s">
        <v>437</v>
      </c>
      <c r="L5780" s="12">
        <v>0</v>
      </c>
      <c r="M5780" s="15">
        <v>2500000</v>
      </c>
      <c r="N5780" s="15">
        <v>0</v>
      </c>
      <c r="O5780" s="15">
        <f t="shared" si="499"/>
        <v>2500000</v>
      </c>
      <c r="P5780" s="15">
        <f t="shared" si="495"/>
        <v>138.25162570086661</v>
      </c>
      <c r="Q5780" s="14">
        <v>20000</v>
      </c>
      <c r="R5780" s="12">
        <v>90</v>
      </c>
      <c r="S5780" s="12" t="s">
        <v>6997</v>
      </c>
      <c r="T5780" s="22">
        <f t="shared" si="496"/>
        <v>11</v>
      </c>
      <c r="U5780" s="22">
        <f t="shared" si="497"/>
        <v>2022</v>
      </c>
      <c r="V5780" s="22" t="str">
        <f t="shared" si="498"/>
        <v>REGIONES</v>
      </c>
    </row>
    <row r="5781" spans="1:22" x14ac:dyDescent="0.2">
      <c r="A5781" s="11" t="s">
        <v>6995</v>
      </c>
      <c r="B5781" s="12" t="s">
        <v>33</v>
      </c>
      <c r="C5781" s="12" t="s">
        <v>270</v>
      </c>
      <c r="D5781" s="12" t="s">
        <v>2955</v>
      </c>
      <c r="E5781" s="13" t="s">
        <v>2956</v>
      </c>
      <c r="F5781" s="12" t="s">
        <v>120</v>
      </c>
      <c r="G5781" s="14">
        <f>17689.9+803</f>
        <v>18492.900000000001</v>
      </c>
      <c r="H5781" s="12" t="s">
        <v>24</v>
      </c>
      <c r="I5781" s="12">
        <v>1</v>
      </c>
      <c r="J5781" s="12" t="s">
        <v>120</v>
      </c>
      <c r="K5781" s="12" t="s">
        <v>23</v>
      </c>
      <c r="L5781" s="12">
        <v>5</v>
      </c>
      <c r="M5781" s="15">
        <v>120000</v>
      </c>
      <c r="N5781" s="15">
        <v>0</v>
      </c>
      <c r="O5781" s="15">
        <f t="shared" si="499"/>
        <v>120000</v>
      </c>
      <c r="P5781" s="15">
        <f t="shared" si="495"/>
        <v>6.4889768505750851</v>
      </c>
      <c r="Q5781" s="14">
        <v>10000</v>
      </c>
      <c r="R5781" s="12">
        <v>100</v>
      </c>
      <c r="S5781" s="12" t="s">
        <v>7016</v>
      </c>
      <c r="T5781" s="22">
        <f t="shared" si="496"/>
        <v>11</v>
      </c>
      <c r="U5781" s="22">
        <f t="shared" si="497"/>
        <v>2022</v>
      </c>
      <c r="V5781" s="22" t="str">
        <f t="shared" si="498"/>
        <v>METROPOLITANA</v>
      </c>
    </row>
    <row r="5782" spans="1:22" x14ac:dyDescent="0.2">
      <c r="A5782" s="11" t="s">
        <v>6995</v>
      </c>
      <c r="B5782" s="12" t="s">
        <v>33</v>
      </c>
      <c r="C5782" s="12" t="s">
        <v>60</v>
      </c>
      <c r="D5782" s="12" t="s">
        <v>4569</v>
      </c>
      <c r="E5782" s="13" t="s">
        <v>868</v>
      </c>
      <c r="F5782" s="12" t="s">
        <v>6998</v>
      </c>
      <c r="G5782" s="14">
        <v>8139.6000000000022</v>
      </c>
      <c r="H5782" s="12" t="s">
        <v>24</v>
      </c>
      <c r="I5782" s="12">
        <v>1</v>
      </c>
      <c r="J5782" s="12" t="s">
        <v>6998</v>
      </c>
      <c r="K5782" s="12" t="s">
        <v>93</v>
      </c>
      <c r="L5782" s="12">
        <v>0</v>
      </c>
      <c r="M5782" s="15">
        <v>800000</v>
      </c>
      <c r="N5782" s="15">
        <v>0</v>
      </c>
      <c r="O5782" s="15">
        <f t="shared" si="499"/>
        <v>800000</v>
      </c>
      <c r="P5782" s="15">
        <f t="shared" si="495"/>
        <v>98.284928006290215</v>
      </c>
      <c r="Q5782" s="14">
        <v>20000</v>
      </c>
      <c r="R5782" s="12">
        <v>41</v>
      </c>
      <c r="S5782" s="12" t="s">
        <v>6999</v>
      </c>
      <c r="T5782" s="22">
        <f t="shared" si="496"/>
        <v>11</v>
      </c>
      <c r="U5782" s="22">
        <f t="shared" si="497"/>
        <v>2022</v>
      </c>
      <c r="V5782" s="22" t="str">
        <f t="shared" si="498"/>
        <v>REGIONES</v>
      </c>
    </row>
    <row r="5783" spans="1:22" x14ac:dyDescent="0.2">
      <c r="A5783" s="11" t="s">
        <v>6995</v>
      </c>
      <c r="B5783" s="12" t="s">
        <v>33</v>
      </c>
      <c r="C5783" s="12" t="s">
        <v>540</v>
      </c>
      <c r="D5783" s="12" t="s">
        <v>30</v>
      </c>
      <c r="E5783" s="13" t="s">
        <v>31</v>
      </c>
      <c r="F5783" s="12" t="s">
        <v>995</v>
      </c>
      <c r="G5783" s="14">
        <v>4004</v>
      </c>
      <c r="H5783" s="12" t="s">
        <v>32</v>
      </c>
      <c r="I5783" s="12">
        <v>0</v>
      </c>
      <c r="J5783" s="12" t="s">
        <v>995</v>
      </c>
      <c r="K5783" s="12" t="s">
        <v>23</v>
      </c>
      <c r="L5783" s="12">
        <v>1</v>
      </c>
      <c r="M5783" s="15">
        <v>55000</v>
      </c>
      <c r="N5783" s="15">
        <v>0</v>
      </c>
      <c r="O5783" s="15">
        <f t="shared" si="499"/>
        <v>55000</v>
      </c>
      <c r="P5783" s="15">
        <f t="shared" si="495"/>
        <v>13.736263736263735</v>
      </c>
      <c r="Q5783" s="14">
        <v>5000</v>
      </c>
      <c r="R5783" s="12">
        <v>80</v>
      </c>
      <c r="S5783" s="12" t="s">
        <v>7000</v>
      </c>
      <c r="T5783" s="22">
        <f t="shared" si="496"/>
        <v>11</v>
      </c>
      <c r="U5783" s="22">
        <f t="shared" si="497"/>
        <v>2022</v>
      </c>
      <c r="V5783" s="22" t="str">
        <f t="shared" si="498"/>
        <v>METROPOLITANA</v>
      </c>
    </row>
    <row r="5784" spans="1:22" x14ac:dyDescent="0.2">
      <c r="A5784" s="11" t="s">
        <v>6995</v>
      </c>
      <c r="B5784" s="12" t="s">
        <v>33</v>
      </c>
      <c r="C5784" s="12" t="s">
        <v>128</v>
      </c>
      <c r="D5784" s="12" t="s">
        <v>164</v>
      </c>
      <c r="E5784" s="13" t="s">
        <v>7001</v>
      </c>
      <c r="F5784" s="12" t="s">
        <v>129</v>
      </c>
      <c r="G5784" s="14">
        <f>11256+3598</f>
        <v>14854</v>
      </c>
      <c r="H5784" s="12" t="s">
        <v>22</v>
      </c>
      <c r="I5784" s="12">
        <v>1</v>
      </c>
      <c r="J5784" s="12" t="s">
        <v>129</v>
      </c>
      <c r="K5784" s="12" t="s">
        <v>23</v>
      </c>
      <c r="L5784" s="12">
        <v>1</v>
      </c>
      <c r="M5784" s="15">
        <v>123816</v>
      </c>
      <c r="N5784" s="15">
        <v>0</v>
      </c>
      <c r="O5784" s="15">
        <f t="shared" si="499"/>
        <v>123816</v>
      </c>
      <c r="P5784" s="15">
        <f t="shared" si="495"/>
        <v>8.3355325164938741</v>
      </c>
      <c r="Q5784" s="14">
        <v>5000</v>
      </c>
      <c r="R5784" s="12">
        <v>100</v>
      </c>
      <c r="S5784" s="12" t="s">
        <v>7017</v>
      </c>
      <c r="T5784" s="22">
        <f t="shared" si="496"/>
        <v>11</v>
      </c>
      <c r="U5784" s="22">
        <f t="shared" si="497"/>
        <v>2022</v>
      </c>
      <c r="V5784" s="22" t="str">
        <f t="shared" si="498"/>
        <v>METROPOLITANA</v>
      </c>
    </row>
    <row r="5785" spans="1:22" x14ac:dyDescent="0.2">
      <c r="A5785" s="11" t="s">
        <v>6995</v>
      </c>
      <c r="B5785" s="12" t="s">
        <v>33</v>
      </c>
      <c r="C5785" s="12" t="s">
        <v>417</v>
      </c>
      <c r="D5785" s="12" t="s">
        <v>2955</v>
      </c>
      <c r="E5785" s="13" t="s">
        <v>2956</v>
      </c>
      <c r="F5785" s="12" t="s">
        <v>418</v>
      </c>
      <c r="G5785" s="14">
        <v>7723.5000000000045</v>
      </c>
      <c r="H5785" s="12" t="s">
        <v>24</v>
      </c>
      <c r="I5785" s="12">
        <v>1</v>
      </c>
      <c r="J5785" s="12" t="s">
        <v>418</v>
      </c>
      <c r="K5785" s="12" t="s">
        <v>171</v>
      </c>
      <c r="L5785" s="12">
        <v>0</v>
      </c>
      <c r="M5785" s="15">
        <v>280000</v>
      </c>
      <c r="N5785" s="15">
        <v>0</v>
      </c>
      <c r="O5785" s="15">
        <f t="shared" si="499"/>
        <v>280000</v>
      </c>
      <c r="P5785" s="15">
        <f t="shared" si="495"/>
        <v>36.252994108888437</v>
      </c>
      <c r="Q5785" s="14">
        <v>20000</v>
      </c>
      <c r="R5785" s="12">
        <v>39</v>
      </c>
      <c r="S5785" s="12" t="s">
        <v>7002</v>
      </c>
      <c r="T5785" s="22">
        <f t="shared" si="496"/>
        <v>11</v>
      </c>
      <c r="U5785" s="22">
        <f t="shared" si="497"/>
        <v>2022</v>
      </c>
      <c r="V5785" s="22" t="str">
        <f t="shared" si="498"/>
        <v>REGIONES</v>
      </c>
    </row>
    <row r="5786" spans="1:22" x14ac:dyDescent="0.2">
      <c r="A5786" s="11" t="s">
        <v>6995</v>
      </c>
      <c r="B5786" s="12" t="s">
        <v>33</v>
      </c>
      <c r="C5786" s="12" t="s">
        <v>36</v>
      </c>
      <c r="D5786" s="12" t="s">
        <v>6871</v>
      </c>
      <c r="E5786" s="13" t="s">
        <v>7003</v>
      </c>
      <c r="F5786" s="12" t="s">
        <v>893</v>
      </c>
      <c r="G5786" s="14">
        <v>11960.8</v>
      </c>
      <c r="H5786" s="12" t="s">
        <v>24</v>
      </c>
      <c r="I5786" s="12">
        <v>1</v>
      </c>
      <c r="J5786" s="12" t="s">
        <v>893</v>
      </c>
      <c r="K5786" s="12" t="s">
        <v>437</v>
      </c>
      <c r="L5786" s="12">
        <v>0</v>
      </c>
      <c r="M5786" s="15">
        <v>1000000</v>
      </c>
      <c r="N5786" s="15">
        <v>0</v>
      </c>
      <c r="O5786" s="15">
        <f t="shared" si="499"/>
        <v>1000000</v>
      </c>
      <c r="P5786" s="15">
        <f t="shared" si="495"/>
        <v>83.606447729248885</v>
      </c>
      <c r="Q5786" s="14">
        <v>20000</v>
      </c>
      <c r="R5786" s="12">
        <v>60</v>
      </c>
      <c r="S5786" s="12" t="s">
        <v>7004</v>
      </c>
      <c r="T5786" s="22">
        <f t="shared" si="496"/>
        <v>11</v>
      </c>
      <c r="U5786" s="22">
        <f t="shared" si="497"/>
        <v>2022</v>
      </c>
      <c r="V5786" s="22" t="str">
        <f t="shared" si="498"/>
        <v>REGIONES</v>
      </c>
    </row>
    <row r="5787" spans="1:22" x14ac:dyDescent="0.2">
      <c r="A5787" s="11" t="s">
        <v>6995</v>
      </c>
      <c r="B5787" s="12" t="s">
        <v>33</v>
      </c>
      <c r="C5787" s="12" t="s">
        <v>36</v>
      </c>
      <c r="D5787" s="12" t="s">
        <v>7005</v>
      </c>
      <c r="E5787" s="13" t="s">
        <v>7006</v>
      </c>
      <c r="F5787" s="12" t="s">
        <v>2744</v>
      </c>
      <c r="G5787" s="14">
        <v>11861.099999999989</v>
      </c>
      <c r="H5787" s="12" t="s">
        <v>24</v>
      </c>
      <c r="I5787" s="12">
        <v>1</v>
      </c>
      <c r="J5787" s="12" t="s">
        <v>2744</v>
      </c>
      <c r="K5787" s="12" t="s">
        <v>75</v>
      </c>
      <c r="L5787" s="12">
        <v>0</v>
      </c>
      <c r="M5787" s="15">
        <v>420000</v>
      </c>
      <c r="N5787" s="15">
        <v>0</v>
      </c>
      <c r="O5787" s="15">
        <f t="shared" si="499"/>
        <v>420000</v>
      </c>
      <c r="P5787" s="15">
        <f t="shared" si="495"/>
        <v>35.409869236411495</v>
      </c>
      <c r="Q5787" s="14">
        <v>20000</v>
      </c>
      <c r="R5787" s="12">
        <v>59</v>
      </c>
      <c r="S5787" s="12" t="s">
        <v>7007</v>
      </c>
      <c r="T5787" s="22">
        <f t="shared" si="496"/>
        <v>11</v>
      </c>
      <c r="U5787" s="22">
        <f t="shared" si="497"/>
        <v>2022</v>
      </c>
      <c r="V5787" s="22" t="str">
        <f t="shared" si="498"/>
        <v>REGIONES</v>
      </c>
    </row>
    <row r="5788" spans="1:22" x14ac:dyDescent="0.2">
      <c r="A5788" s="11" t="s">
        <v>6995</v>
      </c>
      <c r="B5788" s="12" t="s">
        <v>33</v>
      </c>
      <c r="C5788" s="12" t="s">
        <v>36</v>
      </c>
      <c r="D5788" s="12" t="s">
        <v>45</v>
      </c>
      <c r="E5788" s="13" t="s">
        <v>52</v>
      </c>
      <c r="F5788" s="12" t="s">
        <v>53</v>
      </c>
      <c r="G5788" s="14">
        <v>3959.6000000000008</v>
      </c>
      <c r="H5788" s="12" t="s">
        <v>22</v>
      </c>
      <c r="I5788" s="12">
        <v>0</v>
      </c>
      <c r="J5788" s="12" t="s">
        <v>53</v>
      </c>
      <c r="K5788" s="12" t="s">
        <v>23</v>
      </c>
      <c r="L5788" s="12">
        <v>3</v>
      </c>
      <c r="M5788" s="15">
        <v>55000</v>
      </c>
      <c r="N5788" s="15">
        <v>0</v>
      </c>
      <c r="O5788" s="15">
        <f t="shared" si="499"/>
        <v>55000</v>
      </c>
      <c r="P5788" s="15">
        <f t="shared" si="495"/>
        <v>13.890291948681682</v>
      </c>
      <c r="Q5788" s="14">
        <v>5000</v>
      </c>
      <c r="R5788" s="12">
        <v>79</v>
      </c>
      <c r="S5788" s="12" t="s">
        <v>7008</v>
      </c>
      <c r="T5788" s="22">
        <f t="shared" si="496"/>
        <v>11</v>
      </c>
      <c r="U5788" s="22">
        <f t="shared" si="497"/>
        <v>2022</v>
      </c>
      <c r="V5788" s="22" t="str">
        <f t="shared" si="498"/>
        <v>METROPOLITANA</v>
      </c>
    </row>
    <row r="5789" spans="1:22" x14ac:dyDescent="0.2">
      <c r="A5789" s="11" t="s">
        <v>6995</v>
      </c>
      <c r="B5789" s="12" t="s">
        <v>33</v>
      </c>
      <c r="C5789" s="12" t="s">
        <v>29</v>
      </c>
      <c r="D5789" s="12" t="s">
        <v>38</v>
      </c>
      <c r="E5789" s="13" t="s">
        <v>42</v>
      </c>
      <c r="F5789" s="12" t="s">
        <v>173</v>
      </c>
      <c r="G5789" s="14">
        <v>5399.6000000000022</v>
      </c>
      <c r="H5789" s="12" t="s">
        <v>43</v>
      </c>
      <c r="I5789" s="12">
        <v>0</v>
      </c>
      <c r="J5789" s="12" t="s">
        <v>173</v>
      </c>
      <c r="K5789" s="12" t="s">
        <v>23</v>
      </c>
      <c r="L5789" s="12">
        <v>5</v>
      </c>
      <c r="M5789" s="15">
        <v>90000</v>
      </c>
      <c r="N5789" s="15">
        <v>0</v>
      </c>
      <c r="O5789" s="15">
        <f t="shared" si="499"/>
        <v>90000</v>
      </c>
      <c r="P5789" s="15">
        <f t="shared" si="495"/>
        <v>16.667901326024143</v>
      </c>
      <c r="Q5789" s="14">
        <v>10000</v>
      </c>
      <c r="R5789" s="12">
        <v>54</v>
      </c>
      <c r="S5789" s="12" t="s">
        <v>7009</v>
      </c>
      <c r="T5789" s="22">
        <f t="shared" si="496"/>
        <v>11</v>
      </c>
      <c r="U5789" s="22">
        <f t="shared" si="497"/>
        <v>2022</v>
      </c>
      <c r="V5789" s="22" t="str">
        <f t="shared" si="498"/>
        <v>METROPOLITANA</v>
      </c>
    </row>
    <row r="5790" spans="1:22" x14ac:dyDescent="0.2">
      <c r="A5790" s="11" t="s">
        <v>6995</v>
      </c>
      <c r="B5790" s="12" t="s">
        <v>33</v>
      </c>
      <c r="C5790" s="12" t="s">
        <v>29</v>
      </c>
      <c r="D5790" s="12" t="s">
        <v>41</v>
      </c>
      <c r="E5790" s="13" t="s">
        <v>25</v>
      </c>
      <c r="F5790" s="12" t="s">
        <v>39</v>
      </c>
      <c r="G5790" s="14">
        <v>8253.3000000000011</v>
      </c>
      <c r="H5790" s="12" t="s">
        <v>43</v>
      </c>
      <c r="I5790" s="12">
        <v>0</v>
      </c>
      <c r="J5790" s="12" t="s">
        <v>39</v>
      </c>
      <c r="K5790" s="12" t="s">
        <v>23</v>
      </c>
      <c r="L5790" s="12">
        <v>1</v>
      </c>
      <c r="M5790" s="15">
        <v>90786</v>
      </c>
      <c r="N5790" s="15">
        <v>0</v>
      </c>
      <c r="O5790" s="15">
        <f t="shared" si="499"/>
        <v>90786</v>
      </c>
      <c r="P5790" s="15">
        <f t="shared" si="495"/>
        <v>10.999963650903274</v>
      </c>
      <c r="Q5790" s="14">
        <v>5000</v>
      </c>
      <c r="R5790" s="12">
        <v>100</v>
      </c>
      <c r="S5790" s="12" t="s">
        <v>7010</v>
      </c>
      <c r="T5790" s="22">
        <f t="shared" si="496"/>
        <v>11</v>
      </c>
      <c r="U5790" s="22">
        <f t="shared" si="497"/>
        <v>2022</v>
      </c>
      <c r="V5790" s="22" t="str">
        <f t="shared" si="498"/>
        <v>METROPOLITANA</v>
      </c>
    </row>
    <row r="5791" spans="1:22" x14ac:dyDescent="0.2">
      <c r="A5791" s="11" t="s">
        <v>6995</v>
      </c>
      <c r="B5791" s="12" t="s">
        <v>33</v>
      </c>
      <c r="C5791" s="12" t="s">
        <v>44</v>
      </c>
      <c r="D5791" s="12" t="s">
        <v>37</v>
      </c>
      <c r="E5791" s="13" t="s">
        <v>40</v>
      </c>
      <c r="F5791" s="12" t="s">
        <v>48</v>
      </c>
      <c r="G5791" s="14">
        <v>2851.8</v>
      </c>
      <c r="H5791" s="12" t="s">
        <v>22</v>
      </c>
      <c r="I5791" s="12">
        <v>0</v>
      </c>
      <c r="J5791" s="12" t="s">
        <v>48</v>
      </c>
      <c r="K5791" s="12" t="s">
        <v>23</v>
      </c>
      <c r="L5791" s="12">
        <v>1</v>
      </c>
      <c r="M5791" s="15">
        <v>55000</v>
      </c>
      <c r="N5791" s="15">
        <v>0</v>
      </c>
      <c r="O5791" s="15">
        <f t="shared" si="499"/>
        <v>55000</v>
      </c>
      <c r="P5791" s="15">
        <f t="shared" si="495"/>
        <v>19.286064941440493</v>
      </c>
      <c r="Q5791" s="14">
        <v>5000</v>
      </c>
      <c r="R5791" s="12">
        <v>57</v>
      </c>
      <c r="S5791" s="12" t="s">
        <v>7011</v>
      </c>
      <c r="T5791" s="22">
        <f t="shared" si="496"/>
        <v>11</v>
      </c>
      <c r="U5791" s="22">
        <f t="shared" si="497"/>
        <v>2022</v>
      </c>
      <c r="V5791" s="22" t="str">
        <f t="shared" si="498"/>
        <v>METROPOLITANA</v>
      </c>
    </row>
    <row r="5792" spans="1:22" x14ac:dyDescent="0.2">
      <c r="A5792" s="11" t="s">
        <v>6995</v>
      </c>
      <c r="B5792" s="12" t="s">
        <v>33</v>
      </c>
      <c r="C5792" s="12" t="s">
        <v>44</v>
      </c>
      <c r="D5792" s="12" t="s">
        <v>7012</v>
      </c>
      <c r="E5792" s="13" t="s">
        <v>6760</v>
      </c>
      <c r="F5792" s="12" t="s">
        <v>815</v>
      </c>
      <c r="G5792" s="14">
        <f>4688.36+4739</f>
        <v>9427.36</v>
      </c>
      <c r="H5792" s="12" t="s">
        <v>24</v>
      </c>
      <c r="I5792" s="12">
        <v>1</v>
      </c>
      <c r="J5792" s="12" t="s">
        <v>815</v>
      </c>
      <c r="K5792" s="12" t="s">
        <v>75</v>
      </c>
      <c r="L5792" s="12">
        <v>0</v>
      </c>
      <c r="M5792" s="15">
        <v>460000</v>
      </c>
      <c r="N5792" s="15">
        <v>0</v>
      </c>
      <c r="O5792" s="15">
        <f t="shared" si="499"/>
        <v>460000</v>
      </c>
      <c r="P5792" s="15">
        <f t="shared" si="495"/>
        <v>48.794148096603926</v>
      </c>
      <c r="Q5792" s="14">
        <v>20000</v>
      </c>
      <c r="R5792" s="12">
        <v>75</v>
      </c>
      <c r="S5792" s="12" t="s">
        <v>7018</v>
      </c>
      <c r="T5792" s="22">
        <f t="shared" si="496"/>
        <v>11</v>
      </c>
      <c r="U5792" s="22">
        <f t="shared" si="497"/>
        <v>2022</v>
      </c>
      <c r="V5792" s="22" t="str">
        <f t="shared" si="498"/>
        <v>REGIONES</v>
      </c>
    </row>
    <row r="5793" spans="1:22" x14ac:dyDescent="0.2">
      <c r="A5793" s="11" t="s">
        <v>6995</v>
      </c>
      <c r="B5793" s="12" t="s">
        <v>33</v>
      </c>
      <c r="C5793" s="12" t="s">
        <v>44</v>
      </c>
      <c r="D5793" s="12" t="s">
        <v>30</v>
      </c>
      <c r="E5793" s="13" t="s">
        <v>31</v>
      </c>
      <c r="F5793" s="12" t="s">
        <v>182</v>
      </c>
      <c r="G5793" s="14">
        <v>3122.56</v>
      </c>
      <c r="H5793" s="12" t="s">
        <v>32</v>
      </c>
      <c r="I5793" s="12">
        <v>0</v>
      </c>
      <c r="J5793" s="12" t="s">
        <v>182</v>
      </c>
      <c r="K5793" s="12" t="s">
        <v>23</v>
      </c>
      <c r="L5793" s="12">
        <v>4</v>
      </c>
      <c r="M5793" s="15">
        <v>55000</v>
      </c>
      <c r="N5793" s="15">
        <v>0</v>
      </c>
      <c r="O5793" s="15">
        <f t="shared" si="499"/>
        <v>55000</v>
      </c>
      <c r="P5793" s="15">
        <f t="shared" ref="P5793:P5856" si="500">O5793/G5793</f>
        <v>17.613752818200449</v>
      </c>
      <c r="Q5793" s="14">
        <v>5000</v>
      </c>
      <c r="R5793" s="12">
        <v>62</v>
      </c>
      <c r="S5793" s="12" t="s">
        <v>7013</v>
      </c>
      <c r="T5793" s="22">
        <f t="shared" si="496"/>
        <v>11</v>
      </c>
      <c r="U5793" s="22">
        <f t="shared" si="497"/>
        <v>2022</v>
      </c>
      <c r="V5793" s="22" t="str">
        <f t="shared" si="498"/>
        <v>METROPOLITANA</v>
      </c>
    </row>
    <row r="5794" spans="1:22" x14ac:dyDescent="0.2">
      <c r="A5794" s="11" t="s">
        <v>6995</v>
      </c>
      <c r="B5794" s="12" t="s">
        <v>33</v>
      </c>
      <c r="C5794" s="12" t="s">
        <v>44</v>
      </c>
      <c r="D5794" s="12" t="s">
        <v>47</v>
      </c>
      <c r="E5794" s="13" t="s">
        <v>49</v>
      </c>
      <c r="F5794" s="12" t="s">
        <v>182</v>
      </c>
      <c r="G5794" s="14">
        <v>2450</v>
      </c>
      <c r="H5794" s="12" t="s">
        <v>22</v>
      </c>
      <c r="I5794" s="12">
        <v>0</v>
      </c>
      <c r="J5794" s="12" t="s">
        <v>182</v>
      </c>
      <c r="K5794" s="12" t="s">
        <v>23</v>
      </c>
      <c r="L5794" s="12">
        <v>4</v>
      </c>
      <c r="M5794" s="15">
        <v>55000</v>
      </c>
      <c r="N5794" s="15">
        <v>0</v>
      </c>
      <c r="O5794" s="15">
        <f t="shared" si="499"/>
        <v>55000</v>
      </c>
      <c r="P5794" s="15">
        <f t="shared" si="500"/>
        <v>22.448979591836736</v>
      </c>
      <c r="Q5794" s="14">
        <v>5000</v>
      </c>
      <c r="R5794" s="12">
        <v>49</v>
      </c>
      <c r="S5794" s="12" t="s">
        <v>7014</v>
      </c>
      <c r="T5794" s="22">
        <f t="shared" si="496"/>
        <v>11</v>
      </c>
      <c r="U5794" s="22">
        <f t="shared" si="497"/>
        <v>2022</v>
      </c>
      <c r="V5794" s="22" t="str">
        <f t="shared" si="498"/>
        <v>METROPOLITANA</v>
      </c>
    </row>
    <row r="5795" spans="1:22" x14ac:dyDescent="0.2">
      <c r="A5795" s="11" t="s">
        <v>6995</v>
      </c>
      <c r="B5795" s="12" t="s">
        <v>33</v>
      </c>
      <c r="C5795" s="12" t="s">
        <v>44</v>
      </c>
      <c r="D5795" s="12" t="s">
        <v>20</v>
      </c>
      <c r="E5795" s="13" t="s">
        <v>21</v>
      </c>
      <c r="F5795" s="12" t="s">
        <v>51</v>
      </c>
      <c r="G5795" s="14">
        <v>2968.2200000000012</v>
      </c>
      <c r="H5795" s="12" t="s">
        <v>22</v>
      </c>
      <c r="I5795" s="12">
        <v>0</v>
      </c>
      <c r="J5795" s="12" t="s">
        <v>51</v>
      </c>
      <c r="K5795" s="12" t="s">
        <v>23</v>
      </c>
      <c r="L5795" s="12">
        <v>4</v>
      </c>
      <c r="M5795" s="15">
        <v>55000</v>
      </c>
      <c r="N5795" s="15">
        <v>0</v>
      </c>
      <c r="O5795" s="15">
        <f t="shared" si="499"/>
        <v>55000</v>
      </c>
      <c r="P5795" s="15">
        <f t="shared" si="500"/>
        <v>18.529623814946323</v>
      </c>
      <c r="Q5795" s="14">
        <v>5000</v>
      </c>
      <c r="R5795" s="12">
        <v>59</v>
      </c>
      <c r="S5795" s="12" t="s">
        <v>7015</v>
      </c>
      <c r="T5795" s="22">
        <f t="shared" si="496"/>
        <v>11</v>
      </c>
      <c r="U5795" s="22">
        <f t="shared" si="497"/>
        <v>2022</v>
      </c>
      <c r="V5795" s="22" t="str">
        <f t="shared" si="498"/>
        <v>METROPOLITANA</v>
      </c>
    </row>
    <row r="5796" spans="1:22" x14ac:dyDescent="0.2">
      <c r="A5796" s="23" t="s">
        <v>7019</v>
      </c>
      <c r="B5796" s="22" t="s">
        <v>18</v>
      </c>
      <c r="C5796" s="22" t="s">
        <v>508</v>
      </c>
      <c r="D5796" s="22" t="s">
        <v>37</v>
      </c>
      <c r="E5796" s="24" t="s">
        <v>40</v>
      </c>
      <c r="F5796" s="22" t="s">
        <v>182</v>
      </c>
      <c r="G5796" s="25">
        <v>13919.97</v>
      </c>
      <c r="H5796" s="22" t="s">
        <v>22</v>
      </c>
      <c r="I5796" s="22">
        <v>0</v>
      </c>
      <c r="J5796" s="22" t="s">
        <v>182</v>
      </c>
      <c r="K5796" s="22" t="s">
        <v>23</v>
      </c>
      <c r="L5796" s="22">
        <v>4</v>
      </c>
      <c r="M5796" s="26">
        <v>153120</v>
      </c>
      <c r="N5796" s="26">
        <v>0</v>
      </c>
      <c r="O5796" s="15">
        <f t="shared" si="499"/>
        <v>153120</v>
      </c>
      <c r="P5796" s="15">
        <f t="shared" si="500"/>
        <v>11.000023706947644</v>
      </c>
      <c r="Q5796" s="25">
        <v>5000</v>
      </c>
      <c r="R5796" s="22">
        <v>100</v>
      </c>
      <c r="S5796" s="22" t="s">
        <v>7020</v>
      </c>
      <c r="T5796" s="22">
        <f t="shared" si="496"/>
        <v>11</v>
      </c>
      <c r="U5796" s="22">
        <f t="shared" si="497"/>
        <v>2022</v>
      </c>
      <c r="V5796" s="22" t="str">
        <f t="shared" si="498"/>
        <v>METROPOLITANA</v>
      </c>
    </row>
    <row r="5797" spans="1:22" x14ac:dyDescent="0.2">
      <c r="A5797" s="23" t="s">
        <v>7019</v>
      </c>
      <c r="B5797" s="22" t="s">
        <v>18</v>
      </c>
      <c r="C5797" s="22" t="s">
        <v>508</v>
      </c>
      <c r="D5797" s="22" t="s">
        <v>20</v>
      </c>
      <c r="E5797" s="24" t="s">
        <v>21</v>
      </c>
      <c r="F5797" s="22" t="s">
        <v>182</v>
      </c>
      <c r="G5797" s="25">
        <v>11587.38</v>
      </c>
      <c r="H5797" s="22" t="s">
        <v>22</v>
      </c>
      <c r="I5797" s="22">
        <v>0</v>
      </c>
      <c r="J5797" s="22" t="s">
        <v>182</v>
      </c>
      <c r="K5797" s="22" t="s">
        <v>23</v>
      </c>
      <c r="L5797" s="22">
        <v>4</v>
      </c>
      <c r="M5797" s="26">
        <v>127461</v>
      </c>
      <c r="N5797" s="26">
        <v>0</v>
      </c>
      <c r="O5797" s="15">
        <f t="shared" si="499"/>
        <v>127461</v>
      </c>
      <c r="P5797" s="15">
        <f t="shared" si="500"/>
        <v>10.999984465858548</v>
      </c>
      <c r="Q5797" s="25">
        <v>5000</v>
      </c>
      <c r="R5797" s="22">
        <v>100</v>
      </c>
      <c r="S5797" s="22" t="s">
        <v>7021</v>
      </c>
      <c r="T5797" s="22">
        <f t="shared" si="496"/>
        <v>11</v>
      </c>
      <c r="U5797" s="22">
        <f t="shared" si="497"/>
        <v>2022</v>
      </c>
      <c r="V5797" s="22" t="str">
        <f t="shared" si="498"/>
        <v>METROPOLITANA</v>
      </c>
    </row>
    <row r="5798" spans="1:22" x14ac:dyDescent="0.2">
      <c r="A5798" s="23" t="s">
        <v>7019</v>
      </c>
      <c r="B5798" s="22" t="s">
        <v>33</v>
      </c>
      <c r="C5798" s="22" t="s">
        <v>128</v>
      </c>
      <c r="D5798" s="22" t="s">
        <v>30</v>
      </c>
      <c r="E5798" s="24" t="s">
        <v>31</v>
      </c>
      <c r="F5798" s="22" t="s">
        <v>129</v>
      </c>
      <c r="G5798" s="25">
        <v>9755.1999999999971</v>
      </c>
      <c r="H5798" s="22" t="s">
        <v>32</v>
      </c>
      <c r="I5798" s="22">
        <v>0</v>
      </c>
      <c r="J5798" s="22" t="s">
        <v>129</v>
      </c>
      <c r="K5798" s="22" t="s">
        <v>23</v>
      </c>
      <c r="L5798" s="22">
        <v>1</v>
      </c>
      <c r="M5798" s="26">
        <v>107307</v>
      </c>
      <c r="N5798" s="26">
        <v>0</v>
      </c>
      <c r="O5798" s="15">
        <f t="shared" si="499"/>
        <v>107307</v>
      </c>
      <c r="P5798" s="15">
        <f t="shared" si="500"/>
        <v>10.999979498113829</v>
      </c>
      <c r="Q5798" s="25">
        <v>5000</v>
      </c>
      <c r="R5798" s="22">
        <v>100</v>
      </c>
      <c r="S5798" s="22" t="s">
        <v>7022</v>
      </c>
      <c r="T5798" s="22">
        <f t="shared" si="496"/>
        <v>11</v>
      </c>
      <c r="U5798" s="22">
        <f t="shared" si="497"/>
        <v>2022</v>
      </c>
      <c r="V5798" s="22" t="str">
        <f t="shared" si="498"/>
        <v>METROPOLITANA</v>
      </c>
    </row>
    <row r="5799" spans="1:22" x14ac:dyDescent="0.2">
      <c r="A5799" s="23" t="s">
        <v>7019</v>
      </c>
      <c r="B5799" s="22" t="s">
        <v>33</v>
      </c>
      <c r="C5799" s="22" t="s">
        <v>128</v>
      </c>
      <c r="D5799" s="22" t="s">
        <v>45</v>
      </c>
      <c r="E5799" s="24" t="s">
        <v>52</v>
      </c>
      <c r="F5799" s="22" t="s">
        <v>129</v>
      </c>
      <c r="G5799" s="25">
        <v>4502.3999999999996</v>
      </c>
      <c r="H5799" s="22" t="s">
        <v>22</v>
      </c>
      <c r="I5799" s="22">
        <v>0</v>
      </c>
      <c r="J5799" s="22" t="s">
        <v>129</v>
      </c>
      <c r="K5799" s="22" t="s">
        <v>23</v>
      </c>
      <c r="L5799" s="22">
        <v>1</v>
      </c>
      <c r="M5799" s="26">
        <v>55000</v>
      </c>
      <c r="N5799" s="26">
        <v>0</v>
      </c>
      <c r="O5799" s="15">
        <f t="shared" si="499"/>
        <v>55000</v>
      </c>
      <c r="P5799" s="15">
        <f t="shared" si="500"/>
        <v>12.215707178393746</v>
      </c>
      <c r="Q5799" s="25">
        <v>5000</v>
      </c>
      <c r="R5799" s="22">
        <v>90</v>
      </c>
      <c r="S5799" s="22" t="s">
        <v>7023</v>
      </c>
      <c r="T5799" s="22">
        <f t="shared" si="496"/>
        <v>11</v>
      </c>
      <c r="U5799" s="22">
        <f t="shared" si="497"/>
        <v>2022</v>
      </c>
      <c r="V5799" s="22" t="str">
        <f t="shared" si="498"/>
        <v>METROPOLITANA</v>
      </c>
    </row>
    <row r="5800" spans="1:22" x14ac:dyDescent="0.2">
      <c r="A5800" s="23" t="s">
        <v>7019</v>
      </c>
      <c r="B5800" s="22" t="s">
        <v>33</v>
      </c>
      <c r="C5800" s="22" t="s">
        <v>128</v>
      </c>
      <c r="D5800" s="22" t="s">
        <v>47</v>
      </c>
      <c r="E5800" s="24" t="s">
        <v>49</v>
      </c>
      <c r="F5800" s="22" t="s">
        <v>173</v>
      </c>
      <c r="G5800" s="25">
        <v>5695.2000000000016</v>
      </c>
      <c r="H5800" s="22" t="s">
        <v>22</v>
      </c>
      <c r="I5800" s="22">
        <v>0</v>
      </c>
      <c r="J5800" s="22" t="s">
        <v>173</v>
      </c>
      <c r="K5800" s="22" t="s">
        <v>23</v>
      </c>
      <c r="L5800" s="22">
        <v>5</v>
      </c>
      <c r="M5800" s="26">
        <v>90000</v>
      </c>
      <c r="N5800" s="26">
        <v>0</v>
      </c>
      <c r="O5800" s="15">
        <f t="shared" si="499"/>
        <v>90000</v>
      </c>
      <c r="P5800" s="15">
        <f t="shared" si="500"/>
        <v>15.802781289506949</v>
      </c>
      <c r="Q5800" s="25">
        <v>10000</v>
      </c>
      <c r="R5800" s="22">
        <v>57</v>
      </c>
      <c r="S5800" s="22" t="s">
        <v>7024</v>
      </c>
      <c r="T5800" s="22">
        <f t="shared" si="496"/>
        <v>11</v>
      </c>
      <c r="U5800" s="22">
        <f t="shared" si="497"/>
        <v>2022</v>
      </c>
      <c r="V5800" s="22" t="str">
        <f t="shared" si="498"/>
        <v>METROPOLITANA</v>
      </c>
    </row>
    <row r="5801" spans="1:22" x14ac:dyDescent="0.2">
      <c r="A5801" s="23" t="s">
        <v>7019</v>
      </c>
      <c r="B5801" s="22" t="s">
        <v>33</v>
      </c>
      <c r="C5801" s="22" t="s">
        <v>87</v>
      </c>
      <c r="D5801" s="22" t="s">
        <v>30</v>
      </c>
      <c r="E5801" s="24" t="s">
        <v>31</v>
      </c>
      <c r="F5801" s="22" t="s">
        <v>51</v>
      </c>
      <c r="G5801" s="25">
        <v>11336</v>
      </c>
      <c r="H5801" s="22" t="s">
        <v>32</v>
      </c>
      <c r="I5801" s="22">
        <v>0</v>
      </c>
      <c r="J5801" s="22" t="s">
        <v>51</v>
      </c>
      <c r="K5801" s="22" t="s">
        <v>23</v>
      </c>
      <c r="L5801" s="22">
        <v>4</v>
      </c>
      <c r="M5801" s="26">
        <v>124696</v>
      </c>
      <c r="N5801" s="26">
        <v>0</v>
      </c>
      <c r="O5801" s="15">
        <f t="shared" si="499"/>
        <v>124696</v>
      </c>
      <c r="P5801" s="15">
        <f t="shared" si="500"/>
        <v>11</v>
      </c>
      <c r="Q5801" s="25">
        <v>5000</v>
      </c>
      <c r="R5801" s="22">
        <v>100</v>
      </c>
      <c r="S5801" s="22" t="s">
        <v>7025</v>
      </c>
      <c r="T5801" s="22">
        <f t="shared" si="496"/>
        <v>11</v>
      </c>
      <c r="U5801" s="22">
        <f t="shared" si="497"/>
        <v>2022</v>
      </c>
      <c r="V5801" s="22" t="str">
        <f t="shared" si="498"/>
        <v>METROPOLITANA</v>
      </c>
    </row>
    <row r="5802" spans="1:22" x14ac:dyDescent="0.2">
      <c r="A5802" s="23" t="s">
        <v>7019</v>
      </c>
      <c r="B5802" s="22" t="s">
        <v>33</v>
      </c>
      <c r="C5802" s="22" t="s">
        <v>29</v>
      </c>
      <c r="D5802" s="22" t="s">
        <v>41</v>
      </c>
      <c r="E5802" s="24" t="s">
        <v>25</v>
      </c>
      <c r="F5802" s="22" t="s">
        <v>173</v>
      </c>
      <c r="G5802" s="25">
        <v>3974.0000000000009</v>
      </c>
      <c r="H5802" s="22" t="s">
        <v>43</v>
      </c>
      <c r="I5802" s="22">
        <v>0</v>
      </c>
      <c r="J5802" s="22" t="s">
        <v>173</v>
      </c>
      <c r="K5802" s="22" t="s">
        <v>23</v>
      </c>
      <c r="L5802" s="22">
        <v>5</v>
      </c>
      <c r="M5802" s="26">
        <v>90000</v>
      </c>
      <c r="N5802" s="26">
        <v>0</v>
      </c>
      <c r="O5802" s="15">
        <f t="shared" si="499"/>
        <v>90000</v>
      </c>
      <c r="P5802" s="15">
        <f t="shared" si="500"/>
        <v>22.647206844489176</v>
      </c>
      <c r="Q5802" s="25">
        <v>10000</v>
      </c>
      <c r="R5802" s="22">
        <v>40</v>
      </c>
      <c r="S5802" s="22" t="s">
        <v>7026</v>
      </c>
      <c r="T5802" s="22">
        <f t="shared" si="496"/>
        <v>11</v>
      </c>
      <c r="U5802" s="22">
        <f t="shared" si="497"/>
        <v>2022</v>
      </c>
      <c r="V5802" s="22" t="str">
        <f t="shared" si="498"/>
        <v>METROPOLITANA</v>
      </c>
    </row>
    <row r="5803" spans="1:22" x14ac:dyDescent="0.2">
      <c r="A5803" s="23" t="s">
        <v>7019</v>
      </c>
      <c r="B5803" s="22" t="s">
        <v>33</v>
      </c>
      <c r="C5803" s="22" t="s">
        <v>44</v>
      </c>
      <c r="D5803" s="22" t="s">
        <v>7027</v>
      </c>
      <c r="E5803" s="24" t="s">
        <v>7028</v>
      </c>
      <c r="F5803" s="22" t="s">
        <v>2308</v>
      </c>
      <c r="G5803" s="25">
        <f>4416.93+4111</f>
        <v>8527.93</v>
      </c>
      <c r="H5803" s="22" t="s">
        <v>24</v>
      </c>
      <c r="I5803" s="22">
        <v>1</v>
      </c>
      <c r="J5803" s="22" t="s">
        <v>2308</v>
      </c>
      <c r="K5803" s="22" t="s">
        <v>2309</v>
      </c>
      <c r="L5803" s="22">
        <v>0</v>
      </c>
      <c r="M5803" s="26">
        <v>900000</v>
      </c>
      <c r="N5803" s="26">
        <v>0</v>
      </c>
      <c r="O5803" s="15">
        <f t="shared" si="499"/>
        <v>900000</v>
      </c>
      <c r="P5803" s="15">
        <f t="shared" si="500"/>
        <v>105.53557545617753</v>
      </c>
      <c r="Q5803" s="25">
        <v>20000</v>
      </c>
      <c r="R5803" s="22">
        <v>55</v>
      </c>
      <c r="S5803" s="22" t="s">
        <v>7029</v>
      </c>
      <c r="T5803" s="22">
        <f t="shared" si="496"/>
        <v>11</v>
      </c>
      <c r="U5803" s="22">
        <f t="shared" si="497"/>
        <v>2022</v>
      </c>
      <c r="V5803" s="22" t="str">
        <f t="shared" si="498"/>
        <v>REGIONES</v>
      </c>
    </row>
    <row r="5804" spans="1:22" x14ac:dyDescent="0.2">
      <c r="A5804" s="11" t="s">
        <v>7030</v>
      </c>
      <c r="B5804" s="12" t="s">
        <v>18</v>
      </c>
      <c r="C5804" s="12" t="s">
        <v>270</v>
      </c>
      <c r="D5804" s="12" t="s">
        <v>41</v>
      </c>
      <c r="E5804" s="13" t="s">
        <v>25</v>
      </c>
      <c r="F5804" s="12" t="s">
        <v>120</v>
      </c>
      <c r="G5804" s="14">
        <f>6635.96+4389</f>
        <v>11024.96</v>
      </c>
      <c r="H5804" s="12" t="s">
        <v>43</v>
      </c>
      <c r="I5804" s="12">
        <v>0</v>
      </c>
      <c r="J5804" s="12" t="s">
        <v>120</v>
      </c>
      <c r="K5804" s="12" t="s">
        <v>23</v>
      </c>
      <c r="L5804" s="12">
        <v>5</v>
      </c>
      <c r="M5804" s="15">
        <v>70000</v>
      </c>
      <c r="N5804" s="15">
        <v>0</v>
      </c>
      <c r="O5804" s="15">
        <f t="shared" si="499"/>
        <v>70000</v>
      </c>
      <c r="P5804" s="15">
        <f t="shared" si="500"/>
        <v>6.3492293849592203</v>
      </c>
      <c r="Q5804" s="14">
        <v>10000</v>
      </c>
      <c r="R5804" s="12">
        <v>100</v>
      </c>
      <c r="S5804" s="12" t="s">
        <v>7037</v>
      </c>
      <c r="T5804" s="22">
        <f t="shared" si="496"/>
        <v>11</v>
      </c>
      <c r="U5804" s="22">
        <f t="shared" si="497"/>
        <v>2022</v>
      </c>
      <c r="V5804" s="22" t="str">
        <f t="shared" si="498"/>
        <v>METROPOLITANA</v>
      </c>
    </row>
    <row r="5805" spans="1:22" x14ac:dyDescent="0.2">
      <c r="A5805" s="11" t="s">
        <v>7030</v>
      </c>
      <c r="B5805" s="12" t="s">
        <v>33</v>
      </c>
      <c r="C5805" s="12" t="s">
        <v>87</v>
      </c>
      <c r="D5805" s="12" t="s">
        <v>38</v>
      </c>
      <c r="E5805" s="13" t="s">
        <v>42</v>
      </c>
      <c r="F5805" s="12" t="s">
        <v>51</v>
      </c>
      <c r="G5805" s="14">
        <v>2877.6</v>
      </c>
      <c r="H5805" s="12" t="s">
        <v>43</v>
      </c>
      <c r="I5805" s="12">
        <v>0</v>
      </c>
      <c r="J5805" s="12" t="s">
        <v>51</v>
      </c>
      <c r="K5805" s="12" t="s">
        <v>23</v>
      </c>
      <c r="L5805" s="12">
        <v>4</v>
      </c>
      <c r="M5805" s="15">
        <v>55000</v>
      </c>
      <c r="N5805" s="15">
        <v>0</v>
      </c>
      <c r="O5805" s="15">
        <f t="shared" si="499"/>
        <v>55000</v>
      </c>
      <c r="P5805" s="15">
        <f t="shared" si="500"/>
        <v>19.113149847094803</v>
      </c>
      <c r="Q5805" s="14">
        <v>5000</v>
      </c>
      <c r="R5805" s="12">
        <v>58</v>
      </c>
      <c r="S5805" s="12" t="s">
        <v>7031</v>
      </c>
      <c r="T5805" s="22">
        <f t="shared" si="496"/>
        <v>11</v>
      </c>
      <c r="U5805" s="22">
        <f t="shared" si="497"/>
        <v>2022</v>
      </c>
      <c r="V5805" s="22" t="str">
        <f t="shared" si="498"/>
        <v>METROPOLITANA</v>
      </c>
    </row>
    <row r="5806" spans="1:22" x14ac:dyDescent="0.2">
      <c r="A5806" s="11" t="s">
        <v>7030</v>
      </c>
      <c r="B5806" s="12" t="s">
        <v>33</v>
      </c>
      <c r="C5806" s="12" t="s">
        <v>29</v>
      </c>
      <c r="D5806" s="12" t="s">
        <v>37</v>
      </c>
      <c r="E5806" s="13" t="s">
        <v>40</v>
      </c>
      <c r="F5806" s="12" t="s">
        <v>173</v>
      </c>
      <c r="G5806" s="14">
        <v>3751.2</v>
      </c>
      <c r="H5806" s="12" t="s">
        <v>22</v>
      </c>
      <c r="I5806" s="12">
        <v>0</v>
      </c>
      <c r="J5806" s="12" t="s">
        <v>173</v>
      </c>
      <c r="K5806" s="12" t="s">
        <v>23</v>
      </c>
      <c r="L5806" s="12">
        <v>5</v>
      </c>
      <c r="M5806" s="15">
        <v>90000</v>
      </c>
      <c r="N5806" s="15">
        <v>0</v>
      </c>
      <c r="O5806" s="15">
        <f t="shared" si="499"/>
        <v>90000</v>
      </c>
      <c r="P5806" s="15">
        <f t="shared" si="500"/>
        <v>23.99232245681382</v>
      </c>
      <c r="Q5806" s="14">
        <v>10000</v>
      </c>
      <c r="R5806" s="12">
        <v>38</v>
      </c>
      <c r="S5806" s="12" t="s">
        <v>7032</v>
      </c>
      <c r="T5806" s="22">
        <f t="shared" si="496"/>
        <v>11</v>
      </c>
      <c r="U5806" s="22">
        <f t="shared" si="497"/>
        <v>2022</v>
      </c>
      <c r="V5806" s="22" t="str">
        <f t="shared" si="498"/>
        <v>METROPOLITANA</v>
      </c>
    </row>
    <row r="5807" spans="1:22" x14ac:dyDescent="0.2">
      <c r="A5807" s="11" t="s">
        <v>7030</v>
      </c>
      <c r="B5807" s="12" t="s">
        <v>33</v>
      </c>
      <c r="C5807" s="12" t="s">
        <v>29</v>
      </c>
      <c r="D5807" s="12" t="s">
        <v>20</v>
      </c>
      <c r="E5807" s="13" t="s">
        <v>21</v>
      </c>
      <c r="F5807" s="12" t="s">
        <v>129</v>
      </c>
      <c r="G5807" s="14">
        <v>3768.08</v>
      </c>
      <c r="H5807" s="12" t="s">
        <v>22</v>
      </c>
      <c r="I5807" s="12">
        <v>0</v>
      </c>
      <c r="J5807" s="12" t="s">
        <v>129</v>
      </c>
      <c r="K5807" s="12" t="s">
        <v>23</v>
      </c>
      <c r="L5807" s="12">
        <v>1</v>
      </c>
      <c r="M5807" s="15">
        <v>55000</v>
      </c>
      <c r="N5807" s="15">
        <v>0</v>
      </c>
      <c r="O5807" s="15">
        <f t="shared" si="499"/>
        <v>55000</v>
      </c>
      <c r="P5807" s="15">
        <f t="shared" si="500"/>
        <v>14.596293072333921</v>
      </c>
      <c r="Q5807" s="14">
        <v>5000</v>
      </c>
      <c r="R5807" s="12">
        <v>75</v>
      </c>
      <c r="S5807" s="12" t="s">
        <v>7033</v>
      </c>
      <c r="T5807" s="22">
        <f t="shared" si="496"/>
        <v>11</v>
      </c>
      <c r="U5807" s="22">
        <f t="shared" si="497"/>
        <v>2022</v>
      </c>
      <c r="V5807" s="22" t="str">
        <f t="shared" si="498"/>
        <v>METROPOLITANA</v>
      </c>
    </row>
    <row r="5808" spans="1:22" x14ac:dyDescent="0.2">
      <c r="A5808" s="11" t="s">
        <v>7030</v>
      </c>
      <c r="B5808" s="12" t="s">
        <v>33</v>
      </c>
      <c r="C5808" s="12" t="s">
        <v>44</v>
      </c>
      <c r="D5808" s="12" t="s">
        <v>45</v>
      </c>
      <c r="E5808" s="13" t="s">
        <v>52</v>
      </c>
      <c r="F5808" s="12" t="s">
        <v>229</v>
      </c>
      <c r="G5808" s="14">
        <v>2618.4</v>
      </c>
      <c r="H5808" s="12" t="s">
        <v>22</v>
      </c>
      <c r="I5808" s="12">
        <v>0</v>
      </c>
      <c r="J5808" s="12" t="s">
        <v>230</v>
      </c>
      <c r="K5808" s="12" t="s">
        <v>23</v>
      </c>
      <c r="L5808" s="12">
        <v>4</v>
      </c>
      <c r="M5808" s="15">
        <v>55000</v>
      </c>
      <c r="N5808" s="15">
        <v>0</v>
      </c>
      <c r="O5808" s="15">
        <f t="shared" si="499"/>
        <v>55000</v>
      </c>
      <c r="P5808" s="15">
        <f t="shared" si="500"/>
        <v>21.005194011610143</v>
      </c>
      <c r="Q5808" s="14">
        <v>5000</v>
      </c>
      <c r="R5808" s="12">
        <v>52</v>
      </c>
      <c r="S5808" s="12" t="s">
        <v>7034</v>
      </c>
      <c r="T5808" s="22">
        <f t="shared" si="496"/>
        <v>11</v>
      </c>
      <c r="U5808" s="22">
        <f t="shared" si="497"/>
        <v>2022</v>
      </c>
      <c r="V5808" s="22" t="str">
        <f t="shared" si="498"/>
        <v>METROPOLITANA</v>
      </c>
    </row>
    <row r="5809" spans="1:22" x14ac:dyDescent="0.2">
      <c r="A5809" s="11" t="s">
        <v>7030</v>
      </c>
      <c r="B5809" s="12" t="s">
        <v>33</v>
      </c>
      <c r="C5809" s="12" t="s">
        <v>44</v>
      </c>
      <c r="D5809" s="12" t="s">
        <v>47</v>
      </c>
      <c r="E5809" s="13" t="s">
        <v>49</v>
      </c>
      <c r="F5809" s="12" t="s">
        <v>48</v>
      </c>
      <c r="G5809" s="14">
        <v>10271.82</v>
      </c>
      <c r="H5809" s="12" t="s">
        <v>22</v>
      </c>
      <c r="I5809" s="12">
        <v>0</v>
      </c>
      <c r="J5809" s="12" t="s">
        <v>48</v>
      </c>
      <c r="K5809" s="12" t="s">
        <v>23</v>
      </c>
      <c r="L5809" s="12">
        <v>1</v>
      </c>
      <c r="M5809" s="15">
        <v>112990</v>
      </c>
      <c r="N5809" s="15">
        <v>0</v>
      </c>
      <c r="O5809" s="15">
        <f t="shared" si="499"/>
        <v>112990</v>
      </c>
      <c r="P5809" s="15">
        <f t="shared" si="500"/>
        <v>10.999998052925383</v>
      </c>
      <c r="Q5809" s="14">
        <v>5000</v>
      </c>
      <c r="R5809" s="12">
        <v>100</v>
      </c>
      <c r="S5809" s="12" t="s">
        <v>7035</v>
      </c>
      <c r="T5809" s="22">
        <f t="shared" si="496"/>
        <v>11</v>
      </c>
      <c r="U5809" s="22">
        <f t="shared" si="497"/>
        <v>2022</v>
      </c>
      <c r="V5809" s="22" t="str">
        <f t="shared" si="498"/>
        <v>METROPOLITANA</v>
      </c>
    </row>
    <row r="5810" spans="1:22" x14ac:dyDescent="0.2">
      <c r="A5810" s="11" t="s">
        <v>7030</v>
      </c>
      <c r="B5810" s="12" t="s">
        <v>33</v>
      </c>
      <c r="C5810" s="12" t="s">
        <v>44</v>
      </c>
      <c r="D5810" s="12" t="s">
        <v>20</v>
      </c>
      <c r="E5810" s="13" t="s">
        <v>21</v>
      </c>
      <c r="F5810" s="12" t="s">
        <v>34</v>
      </c>
      <c r="G5810" s="14">
        <v>2520.0100000000002</v>
      </c>
      <c r="H5810" s="12" t="s">
        <v>22</v>
      </c>
      <c r="I5810" s="12">
        <v>0</v>
      </c>
      <c r="J5810" s="12" t="s">
        <v>34</v>
      </c>
      <c r="K5810" s="12" t="s">
        <v>23</v>
      </c>
      <c r="L5810" s="12">
        <v>1</v>
      </c>
      <c r="M5810" s="15">
        <v>55000</v>
      </c>
      <c r="N5810" s="15">
        <v>0</v>
      </c>
      <c r="O5810" s="15">
        <f t="shared" si="499"/>
        <v>55000</v>
      </c>
      <c r="P5810" s="15">
        <f t="shared" si="500"/>
        <v>21.825310217022945</v>
      </c>
      <c r="Q5810" s="14">
        <v>5000</v>
      </c>
      <c r="R5810" s="12">
        <v>50</v>
      </c>
      <c r="S5810" s="12" t="s">
        <v>7036</v>
      </c>
      <c r="T5810" s="22">
        <f t="shared" si="496"/>
        <v>11</v>
      </c>
      <c r="U5810" s="22">
        <f t="shared" si="497"/>
        <v>2022</v>
      </c>
      <c r="V5810" s="22" t="str">
        <f t="shared" si="498"/>
        <v>METROPOLITANA</v>
      </c>
    </row>
    <row r="5811" spans="1:22" x14ac:dyDescent="0.2">
      <c r="A5811" s="23" t="s">
        <v>7038</v>
      </c>
      <c r="B5811" s="22" t="s">
        <v>18</v>
      </c>
      <c r="C5811" s="22" t="s">
        <v>29</v>
      </c>
      <c r="D5811" s="22" t="s">
        <v>6218</v>
      </c>
      <c r="E5811" s="24" t="s">
        <v>5696</v>
      </c>
      <c r="F5811" s="22" t="s">
        <v>305</v>
      </c>
      <c r="G5811" s="25">
        <v>26057.600000000009</v>
      </c>
      <c r="H5811" s="22" t="s">
        <v>24</v>
      </c>
      <c r="I5811" s="22">
        <v>1</v>
      </c>
      <c r="J5811" s="22" t="s">
        <v>305</v>
      </c>
      <c r="K5811" s="22" t="s">
        <v>306</v>
      </c>
      <c r="L5811" s="22">
        <v>0</v>
      </c>
      <c r="M5811" s="26">
        <v>1600000</v>
      </c>
      <c r="N5811" s="26">
        <v>0</v>
      </c>
      <c r="O5811" s="15">
        <f t="shared" si="499"/>
        <v>1600000</v>
      </c>
      <c r="P5811" s="15">
        <f t="shared" si="500"/>
        <v>61.402431536288816</v>
      </c>
      <c r="Q5811" s="25">
        <v>20000</v>
      </c>
      <c r="R5811" s="22">
        <v>100</v>
      </c>
      <c r="S5811" s="22" t="s">
        <v>7039</v>
      </c>
      <c r="T5811" s="22">
        <f t="shared" si="496"/>
        <v>11</v>
      </c>
      <c r="U5811" s="22">
        <f t="shared" si="497"/>
        <v>2022</v>
      </c>
      <c r="V5811" s="22" t="str">
        <f t="shared" si="498"/>
        <v>REGIONES</v>
      </c>
    </row>
    <row r="5812" spans="1:22" x14ac:dyDescent="0.2">
      <c r="A5812" s="23" t="s">
        <v>7038</v>
      </c>
      <c r="B5812" s="22" t="s">
        <v>33</v>
      </c>
      <c r="C5812" s="22" t="s">
        <v>5573</v>
      </c>
      <c r="D5812" s="22" t="s">
        <v>30</v>
      </c>
      <c r="E5812" s="24" t="s">
        <v>31</v>
      </c>
      <c r="F5812" s="22" t="s">
        <v>129</v>
      </c>
      <c r="G5812" s="25">
        <v>8275.6999999999989</v>
      </c>
      <c r="H5812" s="22" t="s">
        <v>32</v>
      </c>
      <c r="I5812" s="22">
        <v>0</v>
      </c>
      <c r="J5812" s="22" t="s">
        <v>129</v>
      </c>
      <c r="K5812" s="22" t="s">
        <v>23</v>
      </c>
      <c r="L5812" s="22">
        <v>1</v>
      </c>
      <c r="M5812" s="26">
        <v>91033</v>
      </c>
      <c r="N5812" s="26">
        <v>0</v>
      </c>
      <c r="O5812" s="15">
        <f t="shared" si="499"/>
        <v>91033</v>
      </c>
      <c r="P5812" s="15">
        <f t="shared" si="500"/>
        <v>11.000036250709911</v>
      </c>
      <c r="Q5812" s="25">
        <v>5000</v>
      </c>
      <c r="R5812" s="22">
        <v>100</v>
      </c>
      <c r="S5812" s="22" t="s">
        <v>7040</v>
      </c>
      <c r="T5812" s="22">
        <f t="shared" si="496"/>
        <v>11</v>
      </c>
      <c r="U5812" s="22">
        <f t="shared" si="497"/>
        <v>2022</v>
      </c>
      <c r="V5812" s="22" t="str">
        <f t="shared" si="498"/>
        <v>METROPOLITANA</v>
      </c>
    </row>
    <row r="5813" spans="1:22" x14ac:dyDescent="0.2">
      <c r="A5813" s="23" t="s">
        <v>7038</v>
      </c>
      <c r="B5813" s="22" t="s">
        <v>33</v>
      </c>
      <c r="C5813" s="22" t="s">
        <v>44</v>
      </c>
      <c r="D5813" s="22" t="s">
        <v>38</v>
      </c>
      <c r="E5813" s="24" t="s">
        <v>42</v>
      </c>
      <c r="F5813" s="22" t="s">
        <v>53</v>
      </c>
      <c r="G5813" s="25">
        <v>2758.8</v>
      </c>
      <c r="H5813" s="22" t="s">
        <v>43</v>
      </c>
      <c r="I5813" s="22">
        <v>0</v>
      </c>
      <c r="J5813" s="22" t="s">
        <v>53</v>
      </c>
      <c r="K5813" s="22" t="s">
        <v>23</v>
      </c>
      <c r="L5813" s="22">
        <v>3</v>
      </c>
      <c r="M5813" s="26">
        <v>55000</v>
      </c>
      <c r="N5813" s="26">
        <v>0</v>
      </c>
      <c r="O5813" s="15">
        <f t="shared" si="499"/>
        <v>55000</v>
      </c>
      <c r="P5813" s="15">
        <f t="shared" si="500"/>
        <v>19.936204146730461</v>
      </c>
      <c r="Q5813" s="25">
        <v>5000</v>
      </c>
      <c r="R5813" s="22">
        <v>55</v>
      </c>
      <c r="S5813" s="22" t="s">
        <v>7041</v>
      </c>
      <c r="T5813" s="22">
        <f t="shared" si="496"/>
        <v>11</v>
      </c>
      <c r="U5813" s="22">
        <f t="shared" si="497"/>
        <v>2022</v>
      </c>
      <c r="V5813" s="22" t="str">
        <f t="shared" si="498"/>
        <v>METROPOLITANA</v>
      </c>
    </row>
    <row r="5814" spans="1:22" x14ac:dyDescent="0.2">
      <c r="A5814" s="23" t="s">
        <v>7038</v>
      </c>
      <c r="B5814" s="22" t="s">
        <v>33</v>
      </c>
      <c r="C5814" s="22" t="s">
        <v>44</v>
      </c>
      <c r="D5814" s="22" t="s">
        <v>37</v>
      </c>
      <c r="E5814" s="24" t="s">
        <v>40</v>
      </c>
      <c r="F5814" s="22" t="s">
        <v>26</v>
      </c>
      <c r="G5814" s="25">
        <v>2580.52</v>
      </c>
      <c r="H5814" s="22" t="s">
        <v>22</v>
      </c>
      <c r="I5814" s="22">
        <v>0</v>
      </c>
      <c r="J5814" s="22" t="s">
        <v>26</v>
      </c>
      <c r="K5814" s="22" t="s">
        <v>23</v>
      </c>
      <c r="L5814" s="22">
        <v>4</v>
      </c>
      <c r="M5814" s="26">
        <v>55000</v>
      </c>
      <c r="N5814" s="26">
        <v>0</v>
      </c>
      <c r="O5814" s="15">
        <f t="shared" si="499"/>
        <v>55000</v>
      </c>
      <c r="P5814" s="15">
        <f t="shared" si="500"/>
        <v>21.31353370638476</v>
      </c>
      <c r="Q5814" s="25">
        <v>5000</v>
      </c>
      <c r="R5814" s="22">
        <v>52</v>
      </c>
      <c r="S5814" s="22" t="s">
        <v>7042</v>
      </c>
      <c r="T5814" s="22">
        <f t="shared" si="496"/>
        <v>11</v>
      </c>
      <c r="U5814" s="22">
        <f t="shared" si="497"/>
        <v>2022</v>
      </c>
      <c r="V5814" s="22" t="str">
        <f t="shared" si="498"/>
        <v>METROPOLITANA</v>
      </c>
    </row>
    <row r="5815" spans="1:22" x14ac:dyDescent="0.2">
      <c r="A5815" s="23" t="s">
        <v>7038</v>
      </c>
      <c r="B5815" s="22" t="s">
        <v>33</v>
      </c>
      <c r="C5815" s="22" t="s">
        <v>44</v>
      </c>
      <c r="D5815" s="22" t="s">
        <v>30</v>
      </c>
      <c r="E5815" s="24" t="s">
        <v>31</v>
      </c>
      <c r="F5815" s="22" t="s">
        <v>94</v>
      </c>
      <c r="G5815" s="25">
        <v>4251.42</v>
      </c>
      <c r="H5815" s="22" t="s">
        <v>32</v>
      </c>
      <c r="I5815" s="22">
        <v>0</v>
      </c>
      <c r="J5815" s="22" t="s">
        <v>59</v>
      </c>
      <c r="K5815" s="22" t="s">
        <v>78</v>
      </c>
      <c r="L5815" s="22">
        <v>0</v>
      </c>
      <c r="M5815" s="26">
        <v>203000</v>
      </c>
      <c r="N5815" s="26">
        <v>0</v>
      </c>
      <c r="O5815" s="15">
        <f t="shared" si="499"/>
        <v>203000</v>
      </c>
      <c r="P5815" s="15">
        <f t="shared" si="500"/>
        <v>47.74875218162402</v>
      </c>
      <c r="Q5815" s="25">
        <v>20000</v>
      </c>
      <c r="R5815" s="22">
        <v>21</v>
      </c>
      <c r="S5815" s="22" t="s">
        <v>7043</v>
      </c>
      <c r="T5815" s="22">
        <f t="shared" si="496"/>
        <v>11</v>
      </c>
      <c r="U5815" s="22">
        <f t="shared" si="497"/>
        <v>2022</v>
      </c>
      <c r="V5815" s="22" t="str">
        <f t="shared" si="498"/>
        <v>REGIONES</v>
      </c>
    </row>
    <row r="5816" spans="1:22" x14ac:dyDescent="0.2">
      <c r="A5816" s="23" t="s">
        <v>7038</v>
      </c>
      <c r="B5816" s="22" t="s">
        <v>33</v>
      </c>
      <c r="C5816" s="22" t="s">
        <v>44</v>
      </c>
      <c r="D5816" s="22" t="s">
        <v>45</v>
      </c>
      <c r="E5816" s="24" t="s">
        <v>52</v>
      </c>
      <c r="F5816" s="22" t="s">
        <v>95</v>
      </c>
      <c r="G5816" s="25">
        <v>2674.4300000000012</v>
      </c>
      <c r="H5816" s="22" t="s">
        <v>22</v>
      </c>
      <c r="I5816" s="22">
        <v>0</v>
      </c>
      <c r="J5816" s="22" t="s">
        <v>95</v>
      </c>
      <c r="K5816" s="22" t="s">
        <v>23</v>
      </c>
      <c r="L5816" s="22">
        <v>4</v>
      </c>
      <c r="M5816" s="26">
        <v>55000</v>
      </c>
      <c r="N5816" s="26">
        <v>0</v>
      </c>
      <c r="O5816" s="15">
        <f t="shared" si="499"/>
        <v>55000</v>
      </c>
      <c r="P5816" s="15">
        <f t="shared" si="500"/>
        <v>20.565129765968813</v>
      </c>
      <c r="Q5816" s="25">
        <v>5000</v>
      </c>
      <c r="R5816" s="22">
        <v>53</v>
      </c>
      <c r="S5816" s="22" t="s">
        <v>7044</v>
      </c>
      <c r="T5816" s="22">
        <f t="shared" si="496"/>
        <v>11</v>
      </c>
      <c r="U5816" s="22">
        <f t="shared" si="497"/>
        <v>2022</v>
      </c>
      <c r="V5816" s="22" t="str">
        <f t="shared" si="498"/>
        <v>METROPOLITANA</v>
      </c>
    </row>
    <row r="5817" spans="1:22" x14ac:dyDescent="0.2">
      <c r="A5817" s="23" t="s">
        <v>7038</v>
      </c>
      <c r="B5817" s="22" t="s">
        <v>33</v>
      </c>
      <c r="C5817" s="22" t="s">
        <v>44</v>
      </c>
      <c r="D5817" s="22" t="s">
        <v>20</v>
      </c>
      <c r="E5817" s="24" t="s">
        <v>21</v>
      </c>
      <c r="F5817" s="22" t="s">
        <v>225</v>
      </c>
      <c r="G5817" s="25">
        <v>2653.4</v>
      </c>
      <c r="H5817" s="22" t="s">
        <v>22</v>
      </c>
      <c r="I5817" s="22">
        <v>0</v>
      </c>
      <c r="J5817" s="22" t="s">
        <v>225</v>
      </c>
      <c r="K5817" s="22" t="s">
        <v>23</v>
      </c>
      <c r="L5817" s="22">
        <v>3</v>
      </c>
      <c r="M5817" s="26">
        <v>55000</v>
      </c>
      <c r="N5817" s="26">
        <v>0</v>
      </c>
      <c r="O5817" s="15">
        <f t="shared" si="499"/>
        <v>55000</v>
      </c>
      <c r="P5817" s="15">
        <f t="shared" si="500"/>
        <v>20.728122408984699</v>
      </c>
      <c r="Q5817" s="25">
        <v>5000</v>
      </c>
      <c r="R5817" s="22">
        <v>53</v>
      </c>
      <c r="S5817" s="22" t="s">
        <v>7045</v>
      </c>
      <c r="T5817" s="22">
        <f t="shared" si="496"/>
        <v>11</v>
      </c>
      <c r="U5817" s="22">
        <f t="shared" si="497"/>
        <v>2022</v>
      </c>
      <c r="V5817" s="22" t="str">
        <f t="shared" si="498"/>
        <v>METROPOLITANA</v>
      </c>
    </row>
    <row r="5818" spans="1:22" x14ac:dyDescent="0.2">
      <c r="A5818" s="11" t="s">
        <v>7046</v>
      </c>
      <c r="B5818" s="12" t="s">
        <v>18</v>
      </c>
      <c r="C5818" s="12" t="s">
        <v>508</v>
      </c>
      <c r="D5818" s="12" t="s">
        <v>37</v>
      </c>
      <c r="E5818" s="13" t="s">
        <v>40</v>
      </c>
      <c r="F5818" s="12" t="s">
        <v>182</v>
      </c>
      <c r="G5818" s="14">
        <v>4424.2299999999996</v>
      </c>
      <c r="H5818" s="12" t="s">
        <v>22</v>
      </c>
      <c r="I5818" s="12">
        <v>0</v>
      </c>
      <c r="J5818" s="12" t="s">
        <v>182</v>
      </c>
      <c r="K5818" s="12" t="s">
        <v>23</v>
      </c>
      <c r="L5818" s="12">
        <v>4</v>
      </c>
      <c r="M5818" s="15">
        <v>55000</v>
      </c>
      <c r="N5818" s="15">
        <v>0</v>
      </c>
      <c r="O5818" s="15">
        <f t="shared" si="499"/>
        <v>55000</v>
      </c>
      <c r="P5818" s="15">
        <f t="shared" si="500"/>
        <v>12.431541759809052</v>
      </c>
      <c r="Q5818" s="14">
        <v>5000</v>
      </c>
      <c r="R5818" s="12">
        <v>88</v>
      </c>
      <c r="S5818" s="12" t="s">
        <v>7047</v>
      </c>
      <c r="T5818" s="22">
        <f t="shared" si="496"/>
        <v>11</v>
      </c>
      <c r="U5818" s="22">
        <f t="shared" si="497"/>
        <v>2022</v>
      </c>
      <c r="V5818" s="22" t="str">
        <f t="shared" si="498"/>
        <v>METROPOLITANA</v>
      </c>
    </row>
    <row r="5819" spans="1:22" x14ac:dyDescent="0.2">
      <c r="A5819" s="11" t="s">
        <v>7046</v>
      </c>
      <c r="B5819" s="12" t="s">
        <v>33</v>
      </c>
      <c r="C5819" s="12" t="s">
        <v>128</v>
      </c>
      <c r="D5819" s="12" t="s">
        <v>41</v>
      </c>
      <c r="E5819" s="13" t="s">
        <v>25</v>
      </c>
      <c r="F5819" s="12" t="s">
        <v>120</v>
      </c>
      <c r="G5819" s="14">
        <v>3111.6000000000008</v>
      </c>
      <c r="H5819" s="12" t="s">
        <v>43</v>
      </c>
      <c r="I5819" s="12">
        <v>0</v>
      </c>
      <c r="J5819" s="12" t="s">
        <v>120</v>
      </c>
      <c r="K5819" s="12" t="s">
        <v>23</v>
      </c>
      <c r="L5819" s="12">
        <v>5</v>
      </c>
      <c r="M5819" s="15">
        <v>70000</v>
      </c>
      <c r="N5819" s="15">
        <v>0</v>
      </c>
      <c r="O5819" s="15">
        <f t="shared" si="499"/>
        <v>70000</v>
      </c>
      <c r="P5819" s="15">
        <f t="shared" si="500"/>
        <v>22.496464841239227</v>
      </c>
      <c r="Q5819" s="14">
        <v>10000</v>
      </c>
      <c r="R5819" s="12">
        <v>31</v>
      </c>
      <c r="S5819" s="12" t="s">
        <v>7048</v>
      </c>
      <c r="T5819" s="22">
        <f t="shared" si="496"/>
        <v>11</v>
      </c>
      <c r="U5819" s="22">
        <f t="shared" si="497"/>
        <v>2022</v>
      </c>
      <c r="V5819" s="22" t="str">
        <f t="shared" si="498"/>
        <v>METROPOLITANA</v>
      </c>
    </row>
    <row r="5820" spans="1:22" x14ac:dyDescent="0.2">
      <c r="A5820" s="11" t="s">
        <v>7046</v>
      </c>
      <c r="B5820" s="12" t="s">
        <v>33</v>
      </c>
      <c r="C5820" s="12" t="s">
        <v>2862</v>
      </c>
      <c r="D5820" s="12" t="s">
        <v>130</v>
      </c>
      <c r="E5820" s="13" t="s">
        <v>131</v>
      </c>
      <c r="F5820" s="12" t="s">
        <v>129</v>
      </c>
      <c r="G5820" s="14">
        <v>20460.400000000001</v>
      </c>
      <c r="H5820" s="12" t="s">
        <v>85</v>
      </c>
      <c r="I5820" s="12">
        <v>1</v>
      </c>
      <c r="J5820" s="12" t="s">
        <v>129</v>
      </c>
      <c r="K5820" s="12" t="s">
        <v>23</v>
      </c>
      <c r="L5820" s="12">
        <v>1</v>
      </c>
      <c r="M5820" s="15">
        <v>225064</v>
      </c>
      <c r="N5820" s="15">
        <v>0</v>
      </c>
      <c r="O5820" s="15">
        <f t="shared" si="499"/>
        <v>225064</v>
      </c>
      <c r="P5820" s="15">
        <f t="shared" si="500"/>
        <v>10.999980450040077</v>
      </c>
      <c r="Q5820" s="14">
        <v>5000</v>
      </c>
      <c r="R5820" s="12">
        <v>100</v>
      </c>
      <c r="S5820" s="12" t="s">
        <v>7049</v>
      </c>
      <c r="T5820" s="22">
        <f t="shared" si="496"/>
        <v>11</v>
      </c>
      <c r="U5820" s="22">
        <f t="shared" si="497"/>
        <v>2022</v>
      </c>
      <c r="V5820" s="22" t="str">
        <f t="shared" si="498"/>
        <v>METROPOLITANA</v>
      </c>
    </row>
    <row r="5821" spans="1:22" x14ac:dyDescent="0.2">
      <c r="A5821" s="11" t="s">
        <v>7046</v>
      </c>
      <c r="B5821" s="12" t="s">
        <v>33</v>
      </c>
      <c r="C5821" s="12" t="s">
        <v>29</v>
      </c>
      <c r="D5821" s="12" t="s">
        <v>38</v>
      </c>
      <c r="E5821" s="13" t="s">
        <v>42</v>
      </c>
      <c r="F5821" s="12" t="s">
        <v>39</v>
      </c>
      <c r="G5821" s="14">
        <f>9518.1+324</f>
        <v>9842.1</v>
      </c>
      <c r="H5821" s="12" t="s">
        <v>43</v>
      </c>
      <c r="I5821" s="12">
        <v>0</v>
      </c>
      <c r="J5821" s="12" t="s">
        <v>39</v>
      </c>
      <c r="K5821" s="12" t="s">
        <v>23</v>
      </c>
      <c r="L5821" s="12">
        <v>1</v>
      </c>
      <c r="M5821" s="15">
        <v>104699</v>
      </c>
      <c r="N5821" s="15">
        <v>0</v>
      </c>
      <c r="O5821" s="15">
        <f t="shared" si="499"/>
        <v>104699</v>
      </c>
      <c r="P5821" s="15">
        <f t="shared" si="500"/>
        <v>10.637871998862032</v>
      </c>
      <c r="Q5821" s="14">
        <v>5000</v>
      </c>
      <c r="R5821" s="12">
        <v>100</v>
      </c>
      <c r="S5821" s="12" t="s">
        <v>7057</v>
      </c>
      <c r="T5821" s="22">
        <f t="shared" si="496"/>
        <v>11</v>
      </c>
      <c r="U5821" s="22">
        <f t="shared" si="497"/>
        <v>2022</v>
      </c>
      <c r="V5821" s="22" t="str">
        <f t="shared" si="498"/>
        <v>METROPOLITANA</v>
      </c>
    </row>
    <row r="5822" spans="1:22" x14ac:dyDescent="0.2">
      <c r="A5822" s="11" t="s">
        <v>7046</v>
      </c>
      <c r="B5822" s="12" t="s">
        <v>33</v>
      </c>
      <c r="C5822" s="12" t="s">
        <v>29</v>
      </c>
      <c r="D5822" s="12" t="s">
        <v>7050</v>
      </c>
      <c r="E5822" s="13" t="s">
        <v>40</v>
      </c>
      <c r="F5822" s="12" t="s">
        <v>173</v>
      </c>
      <c r="G5822" s="14">
        <f>2526+1300</f>
        <v>3826</v>
      </c>
      <c r="H5822" s="12" t="s">
        <v>24</v>
      </c>
      <c r="I5822" s="12">
        <v>1</v>
      </c>
      <c r="J5822" s="12" t="s">
        <v>173</v>
      </c>
      <c r="K5822" s="12" t="s">
        <v>23</v>
      </c>
      <c r="L5822" s="12">
        <v>5</v>
      </c>
      <c r="M5822" s="15">
        <v>120000</v>
      </c>
      <c r="N5822" s="15">
        <v>0</v>
      </c>
      <c r="O5822" s="15">
        <f t="shared" si="499"/>
        <v>120000</v>
      </c>
      <c r="P5822" s="15">
        <f t="shared" si="500"/>
        <v>31.364349189754314</v>
      </c>
      <c r="Q5822" s="14">
        <v>10000</v>
      </c>
      <c r="R5822" s="12">
        <v>55</v>
      </c>
      <c r="S5822" s="12" t="s">
        <v>7058</v>
      </c>
      <c r="T5822" s="22">
        <f t="shared" si="496"/>
        <v>11</v>
      </c>
      <c r="U5822" s="22">
        <f t="shared" si="497"/>
        <v>2022</v>
      </c>
      <c r="V5822" s="22" t="str">
        <f t="shared" si="498"/>
        <v>METROPOLITANA</v>
      </c>
    </row>
    <row r="5823" spans="1:22" x14ac:dyDescent="0.2">
      <c r="A5823" s="11" t="s">
        <v>7046</v>
      </c>
      <c r="B5823" s="12" t="s">
        <v>33</v>
      </c>
      <c r="C5823" s="12" t="s">
        <v>29</v>
      </c>
      <c r="D5823" s="12" t="s">
        <v>6793</v>
      </c>
      <c r="E5823" s="13" t="s">
        <v>6794</v>
      </c>
      <c r="F5823" s="12" t="s">
        <v>114</v>
      </c>
      <c r="G5823" s="14">
        <v>8244.0000000000036</v>
      </c>
      <c r="H5823" s="12" t="s">
        <v>24</v>
      </c>
      <c r="I5823" s="12">
        <v>1</v>
      </c>
      <c r="J5823" s="12" t="s">
        <v>114</v>
      </c>
      <c r="K5823" s="12" t="s">
        <v>75</v>
      </c>
      <c r="L5823" s="12">
        <v>0</v>
      </c>
      <c r="M5823" s="15">
        <v>480000</v>
      </c>
      <c r="N5823" s="15">
        <v>0</v>
      </c>
      <c r="O5823" s="15">
        <f t="shared" si="499"/>
        <v>480000</v>
      </c>
      <c r="P5823" s="15">
        <f t="shared" si="500"/>
        <v>58.224163027656452</v>
      </c>
      <c r="Q5823" s="14">
        <v>20000</v>
      </c>
      <c r="R5823" s="12">
        <v>41</v>
      </c>
      <c r="S5823" s="12" t="s">
        <v>7051</v>
      </c>
      <c r="T5823" s="22">
        <f t="shared" si="496"/>
        <v>11</v>
      </c>
      <c r="U5823" s="22">
        <f t="shared" si="497"/>
        <v>2022</v>
      </c>
      <c r="V5823" s="22" t="str">
        <f t="shared" si="498"/>
        <v>REGIONES</v>
      </c>
    </row>
    <row r="5824" spans="1:22" x14ac:dyDescent="0.2">
      <c r="A5824" s="11" t="s">
        <v>7046</v>
      </c>
      <c r="B5824" s="12" t="s">
        <v>33</v>
      </c>
      <c r="C5824" s="12" t="s">
        <v>29</v>
      </c>
      <c r="D5824" s="12" t="s">
        <v>164</v>
      </c>
      <c r="E5824" s="13" t="s">
        <v>1576</v>
      </c>
      <c r="F5824" s="12" t="s">
        <v>39</v>
      </c>
      <c r="G5824" s="14">
        <v>16326.8</v>
      </c>
      <c r="H5824" s="12" t="s">
        <v>22</v>
      </c>
      <c r="I5824" s="12">
        <v>1</v>
      </c>
      <c r="J5824" s="12" t="s">
        <v>39</v>
      </c>
      <c r="K5824" s="12" t="s">
        <v>23</v>
      </c>
      <c r="L5824" s="12">
        <v>1</v>
      </c>
      <c r="M5824" s="15">
        <v>179595</v>
      </c>
      <c r="N5824" s="15">
        <v>0</v>
      </c>
      <c r="O5824" s="15">
        <f t="shared" si="499"/>
        <v>179595</v>
      </c>
      <c r="P5824" s="15">
        <f t="shared" si="500"/>
        <v>11.000012249797878</v>
      </c>
      <c r="Q5824" s="14">
        <v>5000</v>
      </c>
      <c r="R5824" s="12">
        <v>100</v>
      </c>
      <c r="S5824" s="12" t="s">
        <v>7052</v>
      </c>
      <c r="T5824" s="22">
        <f t="shared" si="496"/>
        <v>11</v>
      </c>
      <c r="U5824" s="22">
        <f t="shared" si="497"/>
        <v>2022</v>
      </c>
      <c r="V5824" s="22" t="str">
        <f t="shared" si="498"/>
        <v>METROPOLITANA</v>
      </c>
    </row>
    <row r="5825" spans="1:22" x14ac:dyDescent="0.2">
      <c r="A5825" s="11" t="s">
        <v>7046</v>
      </c>
      <c r="B5825" s="12" t="s">
        <v>33</v>
      </c>
      <c r="C5825" s="12" t="s">
        <v>2698</v>
      </c>
      <c r="D5825" s="12" t="s">
        <v>45</v>
      </c>
      <c r="E5825" s="13" t="s">
        <v>52</v>
      </c>
      <c r="F5825" s="12" t="s">
        <v>34</v>
      </c>
      <c r="G5825" s="14">
        <v>3511.2</v>
      </c>
      <c r="H5825" s="12" t="s">
        <v>22</v>
      </c>
      <c r="I5825" s="12">
        <v>0</v>
      </c>
      <c r="J5825" s="12" t="s">
        <v>34</v>
      </c>
      <c r="K5825" s="12" t="s">
        <v>23</v>
      </c>
      <c r="L5825" s="12">
        <v>1</v>
      </c>
      <c r="M5825" s="15">
        <v>55000</v>
      </c>
      <c r="N5825" s="15">
        <v>0</v>
      </c>
      <c r="O5825" s="15">
        <f t="shared" si="499"/>
        <v>55000</v>
      </c>
      <c r="P5825" s="15">
        <f t="shared" si="500"/>
        <v>15.664160401002507</v>
      </c>
      <c r="Q5825" s="14">
        <v>5000</v>
      </c>
      <c r="R5825" s="12">
        <v>70</v>
      </c>
      <c r="S5825" s="12" t="s">
        <v>7053</v>
      </c>
      <c r="T5825" s="22">
        <f t="shared" si="496"/>
        <v>11</v>
      </c>
      <c r="U5825" s="22">
        <f t="shared" si="497"/>
        <v>2022</v>
      </c>
      <c r="V5825" s="22" t="str">
        <f t="shared" si="498"/>
        <v>METROPOLITANA</v>
      </c>
    </row>
    <row r="5826" spans="1:22" x14ac:dyDescent="0.2">
      <c r="A5826" s="11" t="s">
        <v>7046</v>
      </c>
      <c r="B5826" s="12" t="s">
        <v>33</v>
      </c>
      <c r="C5826" s="12" t="s">
        <v>2698</v>
      </c>
      <c r="D5826" s="12" t="s">
        <v>20</v>
      </c>
      <c r="E5826" s="13" t="s">
        <v>21</v>
      </c>
      <c r="F5826" s="12" t="s">
        <v>51</v>
      </c>
      <c r="G5826" s="14">
        <v>6402.4</v>
      </c>
      <c r="H5826" s="12" t="s">
        <v>22</v>
      </c>
      <c r="I5826" s="12">
        <v>0</v>
      </c>
      <c r="J5826" s="12" t="s">
        <v>51</v>
      </c>
      <c r="K5826" s="12" t="s">
        <v>23</v>
      </c>
      <c r="L5826" s="12">
        <v>4</v>
      </c>
      <c r="M5826" s="15">
        <v>70426</v>
      </c>
      <c r="N5826" s="15">
        <v>0</v>
      </c>
      <c r="O5826" s="15">
        <f t="shared" si="499"/>
        <v>70426</v>
      </c>
      <c r="P5826" s="15">
        <f t="shared" si="500"/>
        <v>10.999937523428715</v>
      </c>
      <c r="Q5826" s="14">
        <v>5000</v>
      </c>
      <c r="R5826" s="12">
        <v>100</v>
      </c>
      <c r="S5826" s="12" t="s">
        <v>7054</v>
      </c>
      <c r="T5826" s="22">
        <f t="shared" si="496"/>
        <v>11</v>
      </c>
      <c r="U5826" s="22">
        <f t="shared" si="497"/>
        <v>2022</v>
      </c>
      <c r="V5826" s="22" t="str">
        <f t="shared" si="498"/>
        <v>METROPOLITANA</v>
      </c>
    </row>
    <row r="5827" spans="1:22" x14ac:dyDescent="0.2">
      <c r="A5827" s="11" t="s">
        <v>7046</v>
      </c>
      <c r="B5827" s="12" t="s">
        <v>33</v>
      </c>
      <c r="C5827" s="12" t="s">
        <v>44</v>
      </c>
      <c r="D5827" s="12" t="s">
        <v>38</v>
      </c>
      <c r="E5827" s="13" t="s">
        <v>42</v>
      </c>
      <c r="F5827" s="12" t="s">
        <v>46</v>
      </c>
      <c r="G5827" s="14">
        <v>3484.31</v>
      </c>
      <c r="H5827" s="12" t="s">
        <v>43</v>
      </c>
      <c r="I5827" s="12">
        <v>0</v>
      </c>
      <c r="J5827" s="12" t="s">
        <v>46</v>
      </c>
      <c r="K5827" s="12" t="s">
        <v>23</v>
      </c>
      <c r="L5827" s="12">
        <v>2</v>
      </c>
      <c r="M5827" s="15">
        <v>55000</v>
      </c>
      <c r="N5827" s="15">
        <v>0</v>
      </c>
      <c r="O5827" s="15">
        <f t="shared" si="499"/>
        <v>55000</v>
      </c>
      <c r="P5827" s="15">
        <f t="shared" si="500"/>
        <v>15.785047828694921</v>
      </c>
      <c r="Q5827" s="14">
        <v>5000</v>
      </c>
      <c r="R5827" s="12">
        <v>70</v>
      </c>
      <c r="S5827" s="12" t="s">
        <v>7055</v>
      </c>
      <c r="T5827" s="22">
        <f t="shared" si="496"/>
        <v>11</v>
      </c>
      <c r="U5827" s="22">
        <f t="shared" si="497"/>
        <v>2022</v>
      </c>
      <c r="V5827" s="22" t="str">
        <f t="shared" si="498"/>
        <v>METROPOLITANA</v>
      </c>
    </row>
    <row r="5828" spans="1:22" x14ac:dyDescent="0.2">
      <c r="A5828" s="11" t="s">
        <v>7046</v>
      </c>
      <c r="B5828" s="12" t="s">
        <v>33</v>
      </c>
      <c r="C5828" s="12" t="s">
        <v>44</v>
      </c>
      <c r="D5828" s="12" t="s">
        <v>2825</v>
      </c>
      <c r="E5828" s="13" t="s">
        <v>639</v>
      </c>
      <c r="F5828" s="12" t="s">
        <v>84</v>
      </c>
      <c r="G5828" s="14">
        <f>5541.34+1944</f>
        <v>7485.34</v>
      </c>
      <c r="H5828" s="12" t="s">
        <v>24</v>
      </c>
      <c r="I5828" s="12">
        <v>1</v>
      </c>
      <c r="J5828" s="12" t="s">
        <v>84</v>
      </c>
      <c r="K5828" s="12" t="s">
        <v>86</v>
      </c>
      <c r="L5828" s="12">
        <v>0</v>
      </c>
      <c r="M5828" s="15">
        <v>360000</v>
      </c>
      <c r="N5828" s="15">
        <v>0</v>
      </c>
      <c r="O5828" s="15">
        <f t="shared" si="499"/>
        <v>360000</v>
      </c>
      <c r="P5828" s="15">
        <f t="shared" si="500"/>
        <v>48.094007753822808</v>
      </c>
      <c r="Q5828" s="14">
        <v>20000</v>
      </c>
      <c r="R5828" s="12">
        <v>55</v>
      </c>
      <c r="S5828" s="12" t="s">
        <v>7059</v>
      </c>
      <c r="T5828" s="22">
        <f t="shared" si="496"/>
        <v>11</v>
      </c>
      <c r="U5828" s="22">
        <f t="shared" si="497"/>
        <v>2022</v>
      </c>
      <c r="V5828" s="22" t="str">
        <f t="shared" si="498"/>
        <v>REGIONES</v>
      </c>
    </row>
    <row r="5829" spans="1:22" x14ac:dyDescent="0.2">
      <c r="A5829" s="11" t="s">
        <v>7046</v>
      </c>
      <c r="B5829" s="12" t="s">
        <v>33</v>
      </c>
      <c r="C5829" s="12" t="s">
        <v>44</v>
      </c>
      <c r="D5829" s="12" t="s">
        <v>30</v>
      </c>
      <c r="E5829" s="13" t="s">
        <v>31</v>
      </c>
      <c r="F5829" s="12" t="s">
        <v>182</v>
      </c>
      <c r="G5829" s="14">
        <v>2588.6</v>
      </c>
      <c r="H5829" s="12" t="s">
        <v>32</v>
      </c>
      <c r="I5829" s="12">
        <v>0</v>
      </c>
      <c r="J5829" s="12" t="s">
        <v>182</v>
      </c>
      <c r="K5829" s="12" t="s">
        <v>23</v>
      </c>
      <c r="L5829" s="12">
        <v>4</v>
      </c>
      <c r="M5829" s="15">
        <v>55000</v>
      </c>
      <c r="N5829" s="15">
        <v>0</v>
      </c>
      <c r="O5829" s="15">
        <f t="shared" si="499"/>
        <v>55000</v>
      </c>
      <c r="P5829" s="15">
        <f t="shared" si="500"/>
        <v>21.24700610368539</v>
      </c>
      <c r="Q5829" s="14">
        <v>5000</v>
      </c>
      <c r="R5829" s="12">
        <v>52</v>
      </c>
      <c r="S5829" s="12" t="s">
        <v>7056</v>
      </c>
      <c r="T5829" s="22">
        <f t="shared" si="496"/>
        <v>11</v>
      </c>
      <c r="U5829" s="22">
        <f t="shared" si="497"/>
        <v>2022</v>
      </c>
      <c r="V5829" s="22" t="str">
        <f t="shared" si="498"/>
        <v>METROPOLITANA</v>
      </c>
    </row>
    <row r="5830" spans="1:22" x14ac:dyDescent="0.2">
      <c r="A5830" s="23" t="s">
        <v>7060</v>
      </c>
      <c r="B5830" s="22" t="s">
        <v>33</v>
      </c>
      <c r="C5830" s="22" t="s">
        <v>128</v>
      </c>
      <c r="D5830" s="22" t="s">
        <v>38</v>
      </c>
      <c r="E5830" s="24" t="s">
        <v>7061</v>
      </c>
      <c r="F5830" s="22" t="s">
        <v>129</v>
      </c>
      <c r="G5830" s="25">
        <v>3400.8</v>
      </c>
      <c r="H5830" s="22" t="s">
        <v>43</v>
      </c>
      <c r="I5830" s="22">
        <v>0</v>
      </c>
      <c r="J5830" s="22" t="s">
        <v>129</v>
      </c>
      <c r="K5830" s="22" t="s">
        <v>23</v>
      </c>
      <c r="L5830" s="22">
        <v>1</v>
      </c>
      <c r="M5830" s="26">
        <v>55000</v>
      </c>
      <c r="N5830" s="26">
        <v>0</v>
      </c>
      <c r="O5830" s="15">
        <f t="shared" si="499"/>
        <v>55000</v>
      </c>
      <c r="P5830" s="15">
        <f t="shared" si="500"/>
        <v>16.172665255234062</v>
      </c>
      <c r="Q5830" s="25">
        <v>5000</v>
      </c>
      <c r="R5830" s="22">
        <v>68</v>
      </c>
      <c r="S5830" s="22" t="s">
        <v>7062</v>
      </c>
      <c r="T5830" s="22">
        <f t="shared" si="496"/>
        <v>11</v>
      </c>
      <c r="U5830" s="22">
        <f t="shared" si="497"/>
        <v>2022</v>
      </c>
      <c r="V5830" s="22" t="str">
        <f t="shared" si="498"/>
        <v>METROPOLITANA</v>
      </c>
    </row>
    <row r="5831" spans="1:22" x14ac:dyDescent="0.2">
      <c r="A5831" s="23" t="s">
        <v>7060</v>
      </c>
      <c r="B5831" s="22" t="s">
        <v>33</v>
      </c>
      <c r="C5831" s="22" t="s">
        <v>128</v>
      </c>
      <c r="D5831" s="22" t="s">
        <v>2955</v>
      </c>
      <c r="E5831" s="24" t="s">
        <v>2956</v>
      </c>
      <c r="F5831" s="22" t="s">
        <v>34</v>
      </c>
      <c r="G5831" s="25">
        <v>6307.8799999999974</v>
      </c>
      <c r="H5831" s="22" t="s">
        <v>24</v>
      </c>
      <c r="I5831" s="22">
        <v>1</v>
      </c>
      <c r="J5831" s="22" t="s">
        <v>34</v>
      </c>
      <c r="K5831" s="22" t="s">
        <v>23</v>
      </c>
      <c r="L5831" s="22">
        <v>1</v>
      </c>
      <c r="M5831" s="26">
        <v>69387</v>
      </c>
      <c r="N5831" s="26">
        <v>0</v>
      </c>
      <c r="O5831" s="15">
        <f t="shared" si="499"/>
        <v>69387</v>
      </c>
      <c r="P5831" s="15">
        <f t="shared" si="500"/>
        <v>11.000050730197788</v>
      </c>
      <c r="Q5831" s="25">
        <v>5000</v>
      </c>
      <c r="R5831" s="22">
        <v>100</v>
      </c>
      <c r="S5831" s="22" t="s">
        <v>7063</v>
      </c>
      <c r="T5831" s="22">
        <f t="shared" ref="T5831:T5894" si="501">MONTH(A5831)</f>
        <v>11</v>
      </c>
      <c r="U5831" s="22">
        <f t="shared" ref="U5831:U5894" si="502">YEAR(A5831)</f>
        <v>2022</v>
      </c>
      <c r="V5831" s="22" t="str">
        <f t="shared" ref="V5831:V5894" si="503">IF(K5831="METROPOLITANA DE SANTIAGO","METROPOLITANA","REGIONES")</f>
        <v>METROPOLITANA</v>
      </c>
    </row>
    <row r="5832" spans="1:22" x14ac:dyDescent="0.2">
      <c r="A5832" s="23" t="s">
        <v>7060</v>
      </c>
      <c r="B5832" s="22" t="s">
        <v>33</v>
      </c>
      <c r="C5832" s="22" t="s">
        <v>128</v>
      </c>
      <c r="D5832" s="22" t="s">
        <v>30</v>
      </c>
      <c r="E5832" s="24" t="s">
        <v>31</v>
      </c>
      <c r="F5832" s="22" t="s">
        <v>34</v>
      </c>
      <c r="G5832" s="25">
        <v>7409.3000000000011</v>
      </c>
      <c r="H5832" s="22" t="s">
        <v>32</v>
      </c>
      <c r="I5832" s="22">
        <v>0</v>
      </c>
      <c r="J5832" s="22" t="s">
        <v>34</v>
      </c>
      <c r="K5832" s="22" t="s">
        <v>23</v>
      </c>
      <c r="L5832" s="22">
        <v>1</v>
      </c>
      <c r="M5832" s="26">
        <v>81502</v>
      </c>
      <c r="N5832" s="26">
        <v>0</v>
      </c>
      <c r="O5832" s="15">
        <f t="shared" si="499"/>
        <v>81502</v>
      </c>
      <c r="P5832" s="15">
        <f t="shared" si="500"/>
        <v>10.999959510345105</v>
      </c>
      <c r="Q5832" s="25">
        <v>5000</v>
      </c>
      <c r="R5832" s="22">
        <v>100</v>
      </c>
      <c r="S5832" s="22" t="s">
        <v>7064</v>
      </c>
      <c r="T5832" s="22">
        <f t="shared" si="501"/>
        <v>11</v>
      </c>
      <c r="U5832" s="22">
        <f t="shared" si="502"/>
        <v>2022</v>
      </c>
      <c r="V5832" s="22" t="str">
        <f t="shared" si="503"/>
        <v>METROPOLITANA</v>
      </c>
    </row>
    <row r="5833" spans="1:22" x14ac:dyDescent="0.2">
      <c r="A5833" s="23" t="s">
        <v>7060</v>
      </c>
      <c r="B5833" s="22" t="s">
        <v>33</v>
      </c>
      <c r="C5833" s="22" t="s">
        <v>7065</v>
      </c>
      <c r="D5833" s="22" t="s">
        <v>20</v>
      </c>
      <c r="E5833" s="24" t="s">
        <v>21</v>
      </c>
      <c r="F5833" s="22" t="s">
        <v>129</v>
      </c>
      <c r="G5833" s="25">
        <v>5627.9999999999991</v>
      </c>
      <c r="H5833" s="22" t="s">
        <v>22</v>
      </c>
      <c r="I5833" s="22">
        <v>0</v>
      </c>
      <c r="J5833" s="22" t="s">
        <v>129</v>
      </c>
      <c r="K5833" s="22" t="s">
        <v>23</v>
      </c>
      <c r="L5833" s="22">
        <v>1</v>
      </c>
      <c r="M5833" s="26">
        <v>61908</v>
      </c>
      <c r="N5833" s="26">
        <v>0</v>
      </c>
      <c r="O5833" s="15">
        <f t="shared" si="499"/>
        <v>61908</v>
      </c>
      <c r="P5833" s="15">
        <f t="shared" si="500"/>
        <v>11.000000000000002</v>
      </c>
      <c r="Q5833" s="25">
        <v>5000</v>
      </c>
      <c r="R5833" s="22">
        <v>100</v>
      </c>
      <c r="S5833" s="22" t="s">
        <v>7066</v>
      </c>
      <c r="T5833" s="22">
        <f t="shared" si="501"/>
        <v>11</v>
      </c>
      <c r="U5833" s="22">
        <f t="shared" si="502"/>
        <v>2022</v>
      </c>
      <c r="V5833" s="22" t="str">
        <f t="shared" si="503"/>
        <v>METROPOLITANA</v>
      </c>
    </row>
    <row r="5834" spans="1:22" x14ac:dyDescent="0.2">
      <c r="A5834" s="23" t="s">
        <v>7060</v>
      </c>
      <c r="B5834" s="22" t="s">
        <v>33</v>
      </c>
      <c r="C5834" s="22" t="s">
        <v>29</v>
      </c>
      <c r="D5834" s="22" t="s">
        <v>38</v>
      </c>
      <c r="E5834" s="24" t="s">
        <v>42</v>
      </c>
      <c r="F5834" s="22" t="s">
        <v>39</v>
      </c>
      <c r="G5834" s="25">
        <v>7102.4</v>
      </c>
      <c r="H5834" s="22" t="s">
        <v>43</v>
      </c>
      <c r="I5834" s="22">
        <v>0</v>
      </c>
      <c r="J5834" s="22" t="s">
        <v>39</v>
      </c>
      <c r="K5834" s="22" t="s">
        <v>23</v>
      </c>
      <c r="L5834" s="22">
        <v>1</v>
      </c>
      <c r="M5834" s="26">
        <v>78126</v>
      </c>
      <c r="N5834" s="26">
        <v>0</v>
      </c>
      <c r="O5834" s="15">
        <f t="shared" si="499"/>
        <v>78126</v>
      </c>
      <c r="P5834" s="15">
        <f t="shared" si="500"/>
        <v>10.999943681009237</v>
      </c>
      <c r="Q5834" s="25">
        <v>5000</v>
      </c>
      <c r="R5834" s="22">
        <v>100</v>
      </c>
      <c r="S5834" s="22" t="s">
        <v>7067</v>
      </c>
      <c r="T5834" s="22">
        <f t="shared" si="501"/>
        <v>11</v>
      </c>
      <c r="U5834" s="22">
        <f t="shared" si="502"/>
        <v>2022</v>
      </c>
      <c r="V5834" s="22" t="str">
        <f t="shared" si="503"/>
        <v>METROPOLITANA</v>
      </c>
    </row>
    <row r="5835" spans="1:22" x14ac:dyDescent="0.2">
      <c r="A5835" s="23" t="s">
        <v>7060</v>
      </c>
      <c r="B5835" s="22" t="s">
        <v>33</v>
      </c>
      <c r="C5835" s="22" t="s">
        <v>29</v>
      </c>
      <c r="D5835" s="22" t="s">
        <v>164</v>
      </c>
      <c r="E5835" s="24" t="s">
        <v>1576</v>
      </c>
      <c r="F5835" s="22" t="s">
        <v>39</v>
      </c>
      <c r="G5835" s="25">
        <v>14459.099999999989</v>
      </c>
      <c r="H5835" s="22" t="s">
        <v>22</v>
      </c>
      <c r="I5835" s="22">
        <v>1</v>
      </c>
      <c r="J5835" s="22" t="s">
        <v>39</v>
      </c>
      <c r="K5835" s="22" t="s">
        <v>23</v>
      </c>
      <c r="L5835" s="22">
        <v>1</v>
      </c>
      <c r="M5835" s="26">
        <v>159050</v>
      </c>
      <c r="N5835" s="26">
        <v>0</v>
      </c>
      <c r="O5835" s="15">
        <f t="shared" si="499"/>
        <v>159050</v>
      </c>
      <c r="P5835" s="15">
        <f t="shared" si="500"/>
        <v>10.999993083940225</v>
      </c>
      <c r="Q5835" s="25">
        <v>5000</v>
      </c>
      <c r="R5835" s="22">
        <v>100</v>
      </c>
      <c r="S5835" s="22" t="s">
        <v>7068</v>
      </c>
      <c r="T5835" s="22">
        <f t="shared" si="501"/>
        <v>11</v>
      </c>
      <c r="U5835" s="22">
        <f t="shared" si="502"/>
        <v>2022</v>
      </c>
      <c r="V5835" s="22" t="str">
        <f t="shared" si="503"/>
        <v>METROPOLITANA</v>
      </c>
    </row>
    <row r="5836" spans="1:22" x14ac:dyDescent="0.2">
      <c r="A5836" s="23" t="s">
        <v>7060</v>
      </c>
      <c r="B5836" s="22" t="s">
        <v>33</v>
      </c>
      <c r="C5836" s="22" t="s">
        <v>44</v>
      </c>
      <c r="D5836" s="22" t="s">
        <v>45</v>
      </c>
      <c r="E5836" s="24" t="s">
        <v>52</v>
      </c>
      <c r="F5836" s="22" t="s">
        <v>26</v>
      </c>
      <c r="G5836" s="25">
        <f>3520+2928</f>
        <v>6448</v>
      </c>
      <c r="H5836" s="22" t="s">
        <v>22</v>
      </c>
      <c r="I5836" s="22">
        <v>0</v>
      </c>
      <c r="J5836" s="22" t="s">
        <v>26</v>
      </c>
      <c r="K5836" s="22" t="s">
        <v>23</v>
      </c>
      <c r="L5836" s="22">
        <v>4</v>
      </c>
      <c r="M5836" s="26">
        <v>55000</v>
      </c>
      <c r="N5836" s="26">
        <v>0</v>
      </c>
      <c r="O5836" s="15">
        <f t="shared" si="499"/>
        <v>55000</v>
      </c>
      <c r="P5836" s="15">
        <f t="shared" si="500"/>
        <v>8.5297766749379651</v>
      </c>
      <c r="Q5836" s="25">
        <v>5000</v>
      </c>
      <c r="R5836" s="22">
        <v>100</v>
      </c>
      <c r="S5836" s="22" t="s">
        <v>7070</v>
      </c>
      <c r="T5836" s="22">
        <f t="shared" si="501"/>
        <v>11</v>
      </c>
      <c r="U5836" s="22">
        <f t="shared" si="502"/>
        <v>2022</v>
      </c>
      <c r="V5836" s="22" t="str">
        <f t="shared" si="503"/>
        <v>METROPOLITANA</v>
      </c>
    </row>
    <row r="5837" spans="1:22" x14ac:dyDescent="0.2">
      <c r="A5837" s="23" t="s">
        <v>7060</v>
      </c>
      <c r="B5837" s="22" t="s">
        <v>33</v>
      </c>
      <c r="C5837" s="22" t="s">
        <v>44</v>
      </c>
      <c r="D5837" s="22" t="s">
        <v>20</v>
      </c>
      <c r="E5837" s="24" t="s">
        <v>21</v>
      </c>
      <c r="F5837" s="22" t="s">
        <v>34</v>
      </c>
      <c r="G5837" s="25">
        <v>2621</v>
      </c>
      <c r="H5837" s="22" t="s">
        <v>22</v>
      </c>
      <c r="I5837" s="22">
        <v>0</v>
      </c>
      <c r="J5837" s="22" t="s">
        <v>34</v>
      </c>
      <c r="K5837" s="22" t="s">
        <v>23</v>
      </c>
      <c r="L5837" s="22">
        <v>1</v>
      </c>
      <c r="M5837" s="26">
        <v>55000</v>
      </c>
      <c r="N5837" s="26">
        <v>0</v>
      </c>
      <c r="O5837" s="15">
        <f t="shared" si="499"/>
        <v>55000</v>
      </c>
      <c r="P5837" s="15">
        <f t="shared" si="500"/>
        <v>20.98435711560473</v>
      </c>
      <c r="Q5837" s="25">
        <v>5000</v>
      </c>
      <c r="R5837" s="22">
        <v>52</v>
      </c>
      <c r="S5837" s="22" t="s">
        <v>7069</v>
      </c>
      <c r="T5837" s="22">
        <f t="shared" si="501"/>
        <v>11</v>
      </c>
      <c r="U5837" s="22">
        <f t="shared" si="502"/>
        <v>2022</v>
      </c>
      <c r="V5837" s="22" t="str">
        <f t="shared" si="503"/>
        <v>METROPOLITANA</v>
      </c>
    </row>
    <row r="5838" spans="1:22" x14ac:dyDescent="0.2">
      <c r="A5838" s="11" t="s">
        <v>7071</v>
      </c>
      <c r="B5838" s="12" t="s">
        <v>33</v>
      </c>
      <c r="C5838" s="12" t="s">
        <v>7072</v>
      </c>
      <c r="D5838" s="12" t="s">
        <v>30</v>
      </c>
      <c r="E5838" s="13" t="s">
        <v>31</v>
      </c>
      <c r="F5838" s="12" t="s">
        <v>129</v>
      </c>
      <c r="G5838" s="14">
        <v>6905.5999999999995</v>
      </c>
      <c r="H5838" s="12" t="s">
        <v>32</v>
      </c>
      <c r="I5838" s="12">
        <v>0</v>
      </c>
      <c r="J5838" s="12" t="s">
        <v>129</v>
      </c>
      <c r="K5838" s="12" t="s">
        <v>23</v>
      </c>
      <c r="L5838" s="12">
        <v>1</v>
      </c>
      <c r="M5838" s="15">
        <v>75962</v>
      </c>
      <c r="N5838" s="15">
        <v>0</v>
      </c>
      <c r="O5838" s="15">
        <f t="shared" si="499"/>
        <v>75962</v>
      </c>
      <c r="P5838" s="15">
        <f t="shared" si="500"/>
        <v>11.000057924003707</v>
      </c>
      <c r="Q5838" s="14">
        <v>5000</v>
      </c>
      <c r="R5838" s="12">
        <v>100</v>
      </c>
      <c r="S5838" s="12" t="s">
        <v>7073</v>
      </c>
      <c r="T5838" s="22">
        <f t="shared" si="501"/>
        <v>11</v>
      </c>
      <c r="U5838" s="22">
        <f t="shared" si="502"/>
        <v>2022</v>
      </c>
      <c r="V5838" s="22" t="str">
        <f t="shared" si="503"/>
        <v>METROPOLITANA</v>
      </c>
    </row>
    <row r="5839" spans="1:22" x14ac:dyDescent="0.2">
      <c r="A5839" s="11" t="s">
        <v>7071</v>
      </c>
      <c r="B5839" s="12" t="s">
        <v>33</v>
      </c>
      <c r="C5839" s="12" t="s">
        <v>29</v>
      </c>
      <c r="D5839" s="12" t="s">
        <v>38</v>
      </c>
      <c r="E5839" s="13" t="s">
        <v>7074</v>
      </c>
      <c r="F5839" s="12" t="s">
        <v>39</v>
      </c>
      <c r="G5839" s="14">
        <f>4851.2+2251</f>
        <v>7102.2</v>
      </c>
      <c r="H5839" s="12" t="s">
        <v>43</v>
      </c>
      <c r="I5839" s="12">
        <v>0</v>
      </c>
      <c r="J5839" s="12" t="s">
        <v>39</v>
      </c>
      <c r="K5839" s="12" t="s">
        <v>23</v>
      </c>
      <c r="L5839" s="12">
        <v>1</v>
      </c>
      <c r="M5839" s="15">
        <v>55000</v>
      </c>
      <c r="N5839" s="15">
        <v>0</v>
      </c>
      <c r="O5839" s="15">
        <f t="shared" si="499"/>
        <v>55000</v>
      </c>
      <c r="P5839" s="15">
        <f t="shared" si="500"/>
        <v>7.744079299372026</v>
      </c>
      <c r="Q5839" s="14">
        <v>5000</v>
      </c>
      <c r="R5839" s="12">
        <v>100</v>
      </c>
      <c r="S5839" s="12" t="s">
        <v>7083</v>
      </c>
      <c r="T5839" s="22">
        <f t="shared" si="501"/>
        <v>11</v>
      </c>
      <c r="U5839" s="22">
        <f t="shared" si="502"/>
        <v>2022</v>
      </c>
      <c r="V5839" s="22" t="str">
        <f t="shared" si="503"/>
        <v>METROPOLITANA</v>
      </c>
    </row>
    <row r="5840" spans="1:22" x14ac:dyDescent="0.2">
      <c r="A5840" s="11" t="s">
        <v>7071</v>
      </c>
      <c r="B5840" s="12" t="s">
        <v>33</v>
      </c>
      <c r="C5840" s="12" t="s">
        <v>29</v>
      </c>
      <c r="D5840" s="12" t="s">
        <v>7075</v>
      </c>
      <c r="E5840" s="13" t="s">
        <v>7076</v>
      </c>
      <c r="F5840" s="12" t="s">
        <v>66</v>
      </c>
      <c r="G5840" s="14">
        <v>23762.400000000001</v>
      </c>
      <c r="H5840" s="12" t="s">
        <v>24</v>
      </c>
      <c r="I5840" s="12">
        <v>1</v>
      </c>
      <c r="J5840" s="12" t="s">
        <v>66</v>
      </c>
      <c r="K5840" s="12" t="s">
        <v>75</v>
      </c>
      <c r="L5840" s="12">
        <v>0</v>
      </c>
      <c r="M5840" s="15">
        <v>430000</v>
      </c>
      <c r="N5840" s="15">
        <v>0</v>
      </c>
      <c r="O5840" s="15">
        <f t="shared" si="499"/>
        <v>430000</v>
      </c>
      <c r="P5840" s="15">
        <f t="shared" si="500"/>
        <v>18.095815237518096</v>
      </c>
      <c r="Q5840" s="14">
        <v>20000</v>
      </c>
      <c r="R5840" s="12">
        <v>100</v>
      </c>
      <c r="S5840" s="12" t="s">
        <v>7077</v>
      </c>
      <c r="T5840" s="22">
        <f t="shared" si="501"/>
        <v>11</v>
      </c>
      <c r="U5840" s="22">
        <f t="shared" si="502"/>
        <v>2022</v>
      </c>
      <c r="V5840" s="22" t="str">
        <f t="shared" si="503"/>
        <v>REGIONES</v>
      </c>
    </row>
    <row r="5841" spans="1:22" x14ac:dyDescent="0.2">
      <c r="A5841" s="11" t="s">
        <v>7071</v>
      </c>
      <c r="B5841" s="12" t="s">
        <v>33</v>
      </c>
      <c r="C5841" s="12" t="s">
        <v>29</v>
      </c>
      <c r="D5841" s="12" t="s">
        <v>41</v>
      </c>
      <c r="E5841" s="13" t="s">
        <v>25</v>
      </c>
      <c r="F5841" s="12" t="s">
        <v>129</v>
      </c>
      <c r="G5841" s="14">
        <f>3940.3875</f>
        <v>3940.3874999999998</v>
      </c>
      <c r="H5841" s="12" t="s">
        <v>43</v>
      </c>
      <c r="I5841" s="12">
        <v>0</v>
      </c>
      <c r="J5841" s="12" t="s">
        <v>129</v>
      </c>
      <c r="K5841" s="12" t="s">
        <v>23</v>
      </c>
      <c r="L5841" s="12">
        <v>1</v>
      </c>
      <c r="M5841" s="15">
        <v>55000</v>
      </c>
      <c r="N5841" s="15">
        <v>0</v>
      </c>
      <c r="O5841" s="15">
        <f t="shared" si="499"/>
        <v>55000</v>
      </c>
      <c r="P5841" s="15">
        <f t="shared" si="500"/>
        <v>13.958018088322532</v>
      </c>
      <c r="Q5841" s="14">
        <v>5000</v>
      </c>
      <c r="R5841" s="12">
        <v>95</v>
      </c>
      <c r="S5841" s="12" t="s">
        <v>7082</v>
      </c>
      <c r="T5841" s="22">
        <f t="shared" si="501"/>
        <v>11</v>
      </c>
      <c r="U5841" s="22">
        <f t="shared" si="502"/>
        <v>2022</v>
      </c>
      <c r="V5841" s="22" t="str">
        <f t="shared" si="503"/>
        <v>METROPOLITANA</v>
      </c>
    </row>
    <row r="5842" spans="1:22" x14ac:dyDescent="0.2">
      <c r="A5842" s="11" t="s">
        <v>7071</v>
      </c>
      <c r="B5842" s="12" t="s">
        <v>33</v>
      </c>
      <c r="C5842" s="12" t="s">
        <v>29</v>
      </c>
      <c r="D5842" s="12" t="s">
        <v>164</v>
      </c>
      <c r="E5842" s="13" t="s">
        <v>1576</v>
      </c>
      <c r="F5842" s="12" t="s">
        <v>39</v>
      </c>
      <c r="G5842" s="14">
        <v>16508.8</v>
      </c>
      <c r="H5842" s="12" t="s">
        <v>22</v>
      </c>
      <c r="I5842" s="12">
        <v>1</v>
      </c>
      <c r="J5842" s="12" t="s">
        <v>39</v>
      </c>
      <c r="K5842" s="12" t="s">
        <v>23</v>
      </c>
      <c r="L5842" s="12">
        <v>1</v>
      </c>
      <c r="M5842" s="15">
        <v>181597</v>
      </c>
      <c r="N5842" s="15">
        <v>0</v>
      </c>
      <c r="O5842" s="15">
        <f t="shared" si="499"/>
        <v>181597</v>
      </c>
      <c r="P5842" s="15">
        <f t="shared" si="500"/>
        <v>11.000012114750922</v>
      </c>
      <c r="Q5842" s="14">
        <v>5000</v>
      </c>
      <c r="R5842" s="12">
        <v>100</v>
      </c>
      <c r="S5842" s="12" t="s">
        <v>7078</v>
      </c>
      <c r="T5842" s="22">
        <f t="shared" si="501"/>
        <v>11</v>
      </c>
      <c r="U5842" s="22">
        <f t="shared" si="502"/>
        <v>2022</v>
      </c>
      <c r="V5842" s="22" t="str">
        <f t="shared" si="503"/>
        <v>METROPOLITANA</v>
      </c>
    </row>
    <row r="5843" spans="1:22" x14ac:dyDescent="0.2">
      <c r="A5843" s="11" t="s">
        <v>7071</v>
      </c>
      <c r="B5843" s="12" t="s">
        <v>33</v>
      </c>
      <c r="C5843" s="12" t="s">
        <v>44</v>
      </c>
      <c r="D5843" s="12" t="s">
        <v>37</v>
      </c>
      <c r="E5843" s="13" t="s">
        <v>40</v>
      </c>
      <c r="F5843" s="12" t="s">
        <v>48</v>
      </c>
      <c r="G5843" s="14">
        <v>7786.5999999999976</v>
      </c>
      <c r="H5843" s="12" t="s">
        <v>22</v>
      </c>
      <c r="I5843" s="12">
        <v>0</v>
      </c>
      <c r="J5843" s="12" t="s">
        <v>48</v>
      </c>
      <c r="K5843" s="12" t="s">
        <v>23</v>
      </c>
      <c r="L5843" s="12">
        <v>1</v>
      </c>
      <c r="M5843" s="15">
        <v>85653</v>
      </c>
      <c r="N5843" s="15">
        <v>0</v>
      </c>
      <c r="O5843" s="15">
        <f t="shared" ref="O5843:O5906" si="504">SUM(M5843:N5843)</f>
        <v>85653</v>
      </c>
      <c r="P5843" s="15">
        <f t="shared" si="500"/>
        <v>11.000051370302831</v>
      </c>
      <c r="Q5843" s="14">
        <v>5000</v>
      </c>
      <c r="R5843" s="12">
        <v>100</v>
      </c>
      <c r="S5843" s="12" t="s">
        <v>7079</v>
      </c>
      <c r="T5843" s="22">
        <f t="shared" si="501"/>
        <v>11</v>
      </c>
      <c r="U5843" s="22">
        <f t="shared" si="502"/>
        <v>2022</v>
      </c>
      <c r="V5843" s="22" t="str">
        <f t="shared" si="503"/>
        <v>METROPOLITANA</v>
      </c>
    </row>
    <row r="5844" spans="1:22" x14ac:dyDescent="0.2">
      <c r="A5844" s="11" t="s">
        <v>7071</v>
      </c>
      <c r="B5844" s="12" t="s">
        <v>33</v>
      </c>
      <c r="C5844" s="12" t="s">
        <v>44</v>
      </c>
      <c r="D5844" s="12" t="s">
        <v>45</v>
      </c>
      <c r="E5844" s="13" t="s">
        <v>52</v>
      </c>
      <c r="F5844" s="12" t="s">
        <v>53</v>
      </c>
      <c r="G5844" s="14">
        <v>2658.21</v>
      </c>
      <c r="H5844" s="12" t="s">
        <v>22</v>
      </c>
      <c r="I5844" s="12">
        <v>0</v>
      </c>
      <c r="J5844" s="12" t="s">
        <v>53</v>
      </c>
      <c r="K5844" s="12" t="s">
        <v>23</v>
      </c>
      <c r="L5844" s="12">
        <v>3</v>
      </c>
      <c r="M5844" s="15">
        <v>55000</v>
      </c>
      <c r="N5844" s="15">
        <v>0</v>
      </c>
      <c r="O5844" s="15">
        <f t="shared" si="504"/>
        <v>55000</v>
      </c>
      <c r="P5844" s="15">
        <f t="shared" si="500"/>
        <v>20.690615113177664</v>
      </c>
      <c r="Q5844" s="14">
        <v>5000</v>
      </c>
      <c r="R5844" s="12">
        <v>53</v>
      </c>
      <c r="S5844" s="12" t="s">
        <v>7080</v>
      </c>
      <c r="T5844" s="22">
        <f t="shared" si="501"/>
        <v>11</v>
      </c>
      <c r="U5844" s="22">
        <f t="shared" si="502"/>
        <v>2022</v>
      </c>
      <c r="V5844" s="22" t="str">
        <f t="shared" si="503"/>
        <v>METROPOLITANA</v>
      </c>
    </row>
    <row r="5845" spans="1:22" x14ac:dyDescent="0.2">
      <c r="A5845" s="11" t="s">
        <v>7071</v>
      </c>
      <c r="B5845" s="12" t="s">
        <v>33</v>
      </c>
      <c r="C5845" s="12" t="s">
        <v>44</v>
      </c>
      <c r="D5845" s="12" t="s">
        <v>20</v>
      </c>
      <c r="E5845" s="13" t="s">
        <v>21</v>
      </c>
      <c r="F5845" s="12" t="s">
        <v>67</v>
      </c>
      <c r="G5845" s="14">
        <v>2742.4</v>
      </c>
      <c r="H5845" s="12" t="s">
        <v>22</v>
      </c>
      <c r="I5845" s="12">
        <v>0</v>
      </c>
      <c r="J5845" s="12" t="s">
        <v>67</v>
      </c>
      <c r="K5845" s="12" t="s">
        <v>23</v>
      </c>
      <c r="L5845" s="12">
        <v>2</v>
      </c>
      <c r="M5845" s="15">
        <v>55000</v>
      </c>
      <c r="N5845" s="15">
        <v>0</v>
      </c>
      <c r="O5845" s="15">
        <f t="shared" si="504"/>
        <v>55000</v>
      </c>
      <c r="P5845" s="15">
        <f t="shared" si="500"/>
        <v>20.055425904317385</v>
      </c>
      <c r="Q5845" s="14">
        <v>5000</v>
      </c>
      <c r="R5845" s="12">
        <v>55</v>
      </c>
      <c r="S5845" s="12" t="s">
        <v>7081</v>
      </c>
      <c r="T5845" s="22">
        <f t="shared" si="501"/>
        <v>11</v>
      </c>
      <c r="U5845" s="22">
        <f t="shared" si="502"/>
        <v>2022</v>
      </c>
      <c r="V5845" s="22" t="str">
        <f t="shared" si="503"/>
        <v>METROPOLITANA</v>
      </c>
    </row>
    <row r="5846" spans="1:22" x14ac:dyDescent="0.2">
      <c r="A5846" s="23" t="s">
        <v>7084</v>
      </c>
      <c r="B5846" s="22" t="s">
        <v>33</v>
      </c>
      <c r="C5846" s="22" t="s">
        <v>1669</v>
      </c>
      <c r="D5846" s="22" t="s">
        <v>45</v>
      </c>
      <c r="E5846" s="24" t="s">
        <v>52</v>
      </c>
      <c r="F5846" s="22" t="s">
        <v>58</v>
      </c>
      <c r="G5846" s="25">
        <v>2707.85</v>
      </c>
      <c r="H5846" s="22" t="s">
        <v>22</v>
      </c>
      <c r="I5846" s="22">
        <v>0</v>
      </c>
      <c r="J5846" s="22" t="s">
        <v>58</v>
      </c>
      <c r="K5846" s="22" t="s">
        <v>23</v>
      </c>
      <c r="L5846" s="22">
        <v>5</v>
      </c>
      <c r="M5846" s="26">
        <v>70000</v>
      </c>
      <c r="N5846" s="26">
        <v>0</v>
      </c>
      <c r="O5846" s="15">
        <f t="shared" si="504"/>
        <v>70000</v>
      </c>
      <c r="P5846" s="15">
        <f t="shared" si="500"/>
        <v>25.850767213841241</v>
      </c>
      <c r="Q5846" s="25">
        <v>10000</v>
      </c>
      <c r="R5846" s="22">
        <v>27</v>
      </c>
      <c r="S5846" s="22" t="s">
        <v>7085</v>
      </c>
      <c r="T5846" s="22">
        <f t="shared" si="501"/>
        <v>11</v>
      </c>
      <c r="U5846" s="22">
        <f t="shared" si="502"/>
        <v>2022</v>
      </c>
      <c r="V5846" s="22" t="str">
        <f t="shared" si="503"/>
        <v>METROPOLITANA</v>
      </c>
    </row>
    <row r="5847" spans="1:22" x14ac:dyDescent="0.2">
      <c r="A5847" s="23" t="s">
        <v>7084</v>
      </c>
      <c r="B5847" s="22" t="s">
        <v>33</v>
      </c>
      <c r="C5847" s="22" t="s">
        <v>29</v>
      </c>
      <c r="D5847" s="22" t="s">
        <v>37</v>
      </c>
      <c r="E5847" s="24" t="s">
        <v>40</v>
      </c>
      <c r="F5847" s="22" t="s">
        <v>39</v>
      </c>
      <c r="G5847" s="25">
        <f>8767.61+388+218</f>
        <v>9373.61</v>
      </c>
      <c r="H5847" s="22" t="s">
        <v>22</v>
      </c>
      <c r="I5847" s="22">
        <v>0</v>
      </c>
      <c r="J5847" s="22" t="s">
        <v>39</v>
      </c>
      <c r="K5847" s="22" t="s">
        <v>23</v>
      </c>
      <c r="L5847" s="22">
        <v>1</v>
      </c>
      <c r="M5847" s="26">
        <v>96444</v>
      </c>
      <c r="N5847" s="26">
        <v>0</v>
      </c>
      <c r="O5847" s="15">
        <f t="shared" si="504"/>
        <v>96444</v>
      </c>
      <c r="P5847" s="15">
        <f t="shared" si="500"/>
        <v>10.288885498756615</v>
      </c>
      <c r="Q5847" s="25">
        <v>5000</v>
      </c>
      <c r="R5847" s="22">
        <v>100</v>
      </c>
      <c r="S5847" s="22" t="s">
        <v>7096</v>
      </c>
      <c r="T5847" s="22">
        <f t="shared" si="501"/>
        <v>11</v>
      </c>
      <c r="U5847" s="22">
        <f t="shared" si="502"/>
        <v>2022</v>
      </c>
      <c r="V5847" s="22" t="str">
        <f t="shared" si="503"/>
        <v>METROPOLITANA</v>
      </c>
    </row>
    <row r="5848" spans="1:22" x14ac:dyDescent="0.2">
      <c r="A5848" s="23" t="s">
        <v>7084</v>
      </c>
      <c r="B5848" s="22" t="s">
        <v>33</v>
      </c>
      <c r="C5848" s="22" t="s">
        <v>29</v>
      </c>
      <c r="D5848" s="22" t="s">
        <v>7086</v>
      </c>
      <c r="E5848" s="24" t="s">
        <v>7087</v>
      </c>
      <c r="F5848" s="22" t="s">
        <v>66</v>
      </c>
      <c r="G5848" s="25">
        <v>16010.69</v>
      </c>
      <c r="H5848" s="22" t="s">
        <v>24</v>
      </c>
      <c r="I5848" s="22">
        <v>1</v>
      </c>
      <c r="J5848" s="22" t="s">
        <v>66</v>
      </c>
      <c r="K5848" s="22" t="s">
        <v>75</v>
      </c>
      <c r="L5848" s="22">
        <v>0</v>
      </c>
      <c r="M5848" s="26">
        <v>430000</v>
      </c>
      <c r="N5848" s="26">
        <v>0</v>
      </c>
      <c r="O5848" s="15">
        <f t="shared" si="504"/>
        <v>430000</v>
      </c>
      <c r="P5848" s="15">
        <f t="shared" si="500"/>
        <v>26.857056129373561</v>
      </c>
      <c r="Q5848" s="25">
        <v>20000</v>
      </c>
      <c r="R5848" s="22">
        <v>80</v>
      </c>
      <c r="S5848" s="22" t="s">
        <v>7088</v>
      </c>
      <c r="T5848" s="22">
        <f t="shared" si="501"/>
        <v>11</v>
      </c>
      <c r="U5848" s="22">
        <f t="shared" si="502"/>
        <v>2022</v>
      </c>
      <c r="V5848" s="22" t="str">
        <f t="shared" si="503"/>
        <v>REGIONES</v>
      </c>
    </row>
    <row r="5849" spans="1:22" x14ac:dyDescent="0.2">
      <c r="A5849" s="23" t="s">
        <v>7084</v>
      </c>
      <c r="B5849" s="22" t="s">
        <v>33</v>
      </c>
      <c r="C5849" s="22" t="s">
        <v>29</v>
      </c>
      <c r="D5849" s="22" t="s">
        <v>7089</v>
      </c>
      <c r="E5849" s="24" t="s">
        <v>6967</v>
      </c>
      <c r="F5849" s="22" t="s">
        <v>66</v>
      </c>
      <c r="G5849" s="25">
        <v>23059</v>
      </c>
      <c r="H5849" s="22" t="s">
        <v>24</v>
      </c>
      <c r="I5849" s="22">
        <v>1</v>
      </c>
      <c r="J5849" s="22" t="s">
        <v>66</v>
      </c>
      <c r="K5849" s="22" t="s">
        <v>75</v>
      </c>
      <c r="L5849" s="22">
        <v>0</v>
      </c>
      <c r="M5849" s="26">
        <v>430000</v>
      </c>
      <c r="N5849" s="26">
        <v>0</v>
      </c>
      <c r="O5849" s="15">
        <f t="shared" si="504"/>
        <v>430000</v>
      </c>
      <c r="P5849" s="15">
        <f t="shared" si="500"/>
        <v>18.647816470792314</v>
      </c>
      <c r="Q5849" s="25">
        <v>20000</v>
      </c>
      <c r="R5849" s="22">
        <v>100</v>
      </c>
      <c r="S5849" s="22" t="s">
        <v>7090</v>
      </c>
      <c r="T5849" s="22">
        <f t="shared" si="501"/>
        <v>11</v>
      </c>
      <c r="U5849" s="22">
        <f t="shared" si="502"/>
        <v>2022</v>
      </c>
      <c r="V5849" s="22" t="str">
        <f t="shared" si="503"/>
        <v>REGIONES</v>
      </c>
    </row>
    <row r="5850" spans="1:22" x14ac:dyDescent="0.2">
      <c r="A5850" s="23" t="s">
        <v>7084</v>
      </c>
      <c r="B5850" s="22" t="s">
        <v>33</v>
      </c>
      <c r="C5850" s="22" t="s">
        <v>29</v>
      </c>
      <c r="D5850" s="22" t="s">
        <v>30</v>
      </c>
      <c r="E5850" s="24" t="s">
        <v>31</v>
      </c>
      <c r="F5850" s="22" t="s">
        <v>173</v>
      </c>
      <c r="G5850" s="25">
        <v>5083.5</v>
      </c>
      <c r="H5850" s="22" t="s">
        <v>32</v>
      </c>
      <c r="I5850" s="22">
        <v>0</v>
      </c>
      <c r="J5850" s="22" t="s">
        <v>173</v>
      </c>
      <c r="K5850" s="22" t="s">
        <v>23</v>
      </c>
      <c r="L5850" s="22">
        <v>5</v>
      </c>
      <c r="M5850" s="26">
        <v>90000</v>
      </c>
      <c r="N5850" s="26">
        <v>0</v>
      </c>
      <c r="O5850" s="15">
        <f t="shared" si="504"/>
        <v>90000</v>
      </c>
      <c r="P5850" s="15">
        <f t="shared" si="500"/>
        <v>17.704337562702861</v>
      </c>
      <c r="Q5850" s="25">
        <v>10000</v>
      </c>
      <c r="R5850" s="22">
        <v>51</v>
      </c>
      <c r="S5850" s="22" t="s">
        <v>7091</v>
      </c>
      <c r="T5850" s="22">
        <f t="shared" si="501"/>
        <v>11</v>
      </c>
      <c r="U5850" s="22">
        <f t="shared" si="502"/>
        <v>2022</v>
      </c>
      <c r="V5850" s="22" t="str">
        <f t="shared" si="503"/>
        <v>METROPOLITANA</v>
      </c>
    </row>
    <row r="5851" spans="1:22" x14ac:dyDescent="0.2">
      <c r="A5851" s="23" t="s">
        <v>7084</v>
      </c>
      <c r="B5851" s="22" t="s">
        <v>33</v>
      </c>
      <c r="C5851" s="22" t="s">
        <v>29</v>
      </c>
      <c r="D5851" s="22" t="s">
        <v>164</v>
      </c>
      <c r="E5851" s="24" t="s">
        <v>1576</v>
      </c>
      <c r="F5851" s="22" t="s">
        <v>39</v>
      </c>
      <c r="G5851" s="25">
        <v>19879.30000000001</v>
      </c>
      <c r="H5851" s="22" t="s">
        <v>22</v>
      </c>
      <c r="I5851" s="22">
        <v>1</v>
      </c>
      <c r="J5851" s="22" t="s">
        <v>39</v>
      </c>
      <c r="K5851" s="22" t="s">
        <v>23</v>
      </c>
      <c r="L5851" s="22">
        <v>1</v>
      </c>
      <c r="M5851" s="26">
        <v>218672</v>
      </c>
      <c r="N5851" s="26">
        <v>0</v>
      </c>
      <c r="O5851" s="15">
        <f t="shared" si="504"/>
        <v>218672</v>
      </c>
      <c r="P5851" s="15">
        <f t="shared" si="500"/>
        <v>10.999984908925359</v>
      </c>
      <c r="Q5851" s="25">
        <v>5000</v>
      </c>
      <c r="R5851" s="22">
        <v>100</v>
      </c>
      <c r="S5851" s="22" t="s">
        <v>7092</v>
      </c>
      <c r="T5851" s="22">
        <f t="shared" si="501"/>
        <v>11</v>
      </c>
      <c r="U5851" s="22">
        <f t="shared" si="502"/>
        <v>2022</v>
      </c>
      <c r="V5851" s="22" t="str">
        <f t="shared" si="503"/>
        <v>METROPOLITANA</v>
      </c>
    </row>
    <row r="5852" spans="1:22" x14ac:dyDescent="0.2">
      <c r="A5852" s="23" t="s">
        <v>7084</v>
      </c>
      <c r="B5852" s="22" t="s">
        <v>33</v>
      </c>
      <c r="C5852" s="22" t="s">
        <v>44</v>
      </c>
      <c r="D5852" s="22" t="s">
        <v>38</v>
      </c>
      <c r="E5852" s="24" t="s">
        <v>42</v>
      </c>
      <c r="F5852" s="22" t="s">
        <v>554</v>
      </c>
      <c r="G5852" s="25">
        <v>2946.2799999999988</v>
      </c>
      <c r="H5852" s="22" t="s">
        <v>43</v>
      </c>
      <c r="I5852" s="22">
        <v>0</v>
      </c>
      <c r="J5852" s="22" t="s">
        <v>554</v>
      </c>
      <c r="K5852" s="22" t="s">
        <v>23</v>
      </c>
      <c r="L5852" s="22">
        <v>4</v>
      </c>
      <c r="M5852" s="26">
        <v>55000</v>
      </c>
      <c r="N5852" s="26">
        <v>0</v>
      </c>
      <c r="O5852" s="15">
        <f t="shared" si="504"/>
        <v>55000</v>
      </c>
      <c r="P5852" s="15">
        <f t="shared" si="500"/>
        <v>18.667607966656266</v>
      </c>
      <c r="Q5852" s="25">
        <v>5000</v>
      </c>
      <c r="R5852" s="22">
        <v>59</v>
      </c>
      <c r="S5852" s="22" t="s">
        <v>7093</v>
      </c>
      <c r="T5852" s="22">
        <f t="shared" si="501"/>
        <v>11</v>
      </c>
      <c r="U5852" s="22">
        <f t="shared" si="502"/>
        <v>2022</v>
      </c>
      <c r="V5852" s="22" t="str">
        <f t="shared" si="503"/>
        <v>METROPOLITANA</v>
      </c>
    </row>
    <row r="5853" spans="1:22" x14ac:dyDescent="0.2">
      <c r="A5853" s="23" t="s">
        <v>7084</v>
      </c>
      <c r="B5853" s="22" t="s">
        <v>33</v>
      </c>
      <c r="C5853" s="22" t="s">
        <v>44</v>
      </c>
      <c r="D5853" s="22" t="s">
        <v>45</v>
      </c>
      <c r="E5853" s="24" t="s">
        <v>52</v>
      </c>
      <c r="F5853" s="22" t="s">
        <v>26</v>
      </c>
      <c r="G5853" s="25">
        <v>2606.23</v>
      </c>
      <c r="H5853" s="22" t="s">
        <v>22</v>
      </c>
      <c r="I5853" s="22">
        <v>0</v>
      </c>
      <c r="J5853" s="22" t="s">
        <v>26</v>
      </c>
      <c r="K5853" s="22" t="s">
        <v>23</v>
      </c>
      <c r="L5853" s="22">
        <v>4</v>
      </c>
      <c r="M5853" s="26">
        <v>55000</v>
      </c>
      <c r="N5853" s="26">
        <v>0</v>
      </c>
      <c r="O5853" s="15">
        <f t="shared" si="504"/>
        <v>55000</v>
      </c>
      <c r="P5853" s="15">
        <f t="shared" si="500"/>
        <v>21.103279449626474</v>
      </c>
      <c r="Q5853" s="25">
        <v>5000</v>
      </c>
      <c r="R5853" s="22">
        <v>52</v>
      </c>
      <c r="S5853" s="22" t="s">
        <v>7094</v>
      </c>
      <c r="T5853" s="22">
        <f t="shared" si="501"/>
        <v>11</v>
      </c>
      <c r="U5853" s="22">
        <f t="shared" si="502"/>
        <v>2022</v>
      </c>
      <c r="V5853" s="22" t="str">
        <f t="shared" si="503"/>
        <v>METROPOLITANA</v>
      </c>
    </row>
    <row r="5854" spans="1:22" x14ac:dyDescent="0.2">
      <c r="A5854" s="23" t="s">
        <v>7084</v>
      </c>
      <c r="B5854" s="22" t="s">
        <v>33</v>
      </c>
      <c r="C5854" s="22" t="s">
        <v>44</v>
      </c>
      <c r="D5854" s="22" t="s">
        <v>20</v>
      </c>
      <c r="E5854" s="24" t="s">
        <v>21</v>
      </c>
      <c r="F5854" s="22" t="s">
        <v>95</v>
      </c>
      <c r="G5854" s="25">
        <v>2536.63</v>
      </c>
      <c r="H5854" s="22" t="s">
        <v>22</v>
      </c>
      <c r="I5854" s="22">
        <v>0</v>
      </c>
      <c r="J5854" s="22" t="s">
        <v>95</v>
      </c>
      <c r="K5854" s="22" t="s">
        <v>23</v>
      </c>
      <c r="L5854" s="22">
        <v>4</v>
      </c>
      <c r="M5854" s="26">
        <v>55000</v>
      </c>
      <c r="N5854" s="26">
        <v>0</v>
      </c>
      <c r="O5854" s="15">
        <f t="shared" si="504"/>
        <v>55000</v>
      </c>
      <c r="P5854" s="15">
        <f t="shared" si="500"/>
        <v>21.682310782416039</v>
      </c>
      <c r="Q5854" s="25">
        <v>5000</v>
      </c>
      <c r="R5854" s="22">
        <v>51</v>
      </c>
      <c r="S5854" s="22" t="s">
        <v>7095</v>
      </c>
      <c r="T5854" s="22">
        <f t="shared" si="501"/>
        <v>11</v>
      </c>
      <c r="U5854" s="22">
        <f t="shared" si="502"/>
        <v>2022</v>
      </c>
      <c r="V5854" s="22" t="str">
        <f t="shared" si="503"/>
        <v>METROPOLITANA</v>
      </c>
    </row>
    <row r="5855" spans="1:22" x14ac:dyDescent="0.2">
      <c r="A5855" s="11" t="s">
        <v>7097</v>
      </c>
      <c r="B5855" s="12" t="s">
        <v>18</v>
      </c>
      <c r="C5855" s="12" t="s">
        <v>57</v>
      </c>
      <c r="D5855" s="12" t="s">
        <v>5478</v>
      </c>
      <c r="E5855" s="13" t="s">
        <v>83</v>
      </c>
      <c r="F5855" s="12" t="s">
        <v>1026</v>
      </c>
      <c r="G5855" s="14">
        <v>12518.41</v>
      </c>
      <c r="H5855" s="12" t="s">
        <v>24</v>
      </c>
      <c r="I5855" s="12">
        <v>1</v>
      </c>
      <c r="J5855" s="12" t="s">
        <v>1026</v>
      </c>
      <c r="K5855" s="12" t="s">
        <v>408</v>
      </c>
      <c r="L5855" s="12">
        <v>0</v>
      </c>
      <c r="M5855" s="15">
        <v>650000</v>
      </c>
      <c r="N5855" s="15">
        <v>0</v>
      </c>
      <c r="O5855" s="15">
        <f t="shared" si="504"/>
        <v>650000</v>
      </c>
      <c r="P5855" s="15">
        <f t="shared" si="500"/>
        <v>51.92352702939111</v>
      </c>
      <c r="Q5855" s="14">
        <v>20000</v>
      </c>
      <c r="R5855" s="12">
        <v>63</v>
      </c>
      <c r="S5855" s="12" t="s">
        <v>7098</v>
      </c>
      <c r="T5855" s="22">
        <f t="shared" si="501"/>
        <v>11</v>
      </c>
      <c r="U5855" s="22">
        <f t="shared" si="502"/>
        <v>2022</v>
      </c>
      <c r="V5855" s="22" t="str">
        <f t="shared" si="503"/>
        <v>REGIONES</v>
      </c>
    </row>
    <row r="5856" spans="1:22" x14ac:dyDescent="0.2">
      <c r="A5856" s="11" t="s">
        <v>7097</v>
      </c>
      <c r="B5856" s="12" t="s">
        <v>18</v>
      </c>
      <c r="C5856" s="12" t="s">
        <v>29</v>
      </c>
      <c r="D5856" s="12" t="s">
        <v>6218</v>
      </c>
      <c r="E5856" s="13" t="s">
        <v>5696</v>
      </c>
      <c r="F5856" s="12" t="s">
        <v>305</v>
      </c>
      <c r="G5856" s="14">
        <v>26057.600000000009</v>
      </c>
      <c r="H5856" s="12" t="s">
        <v>24</v>
      </c>
      <c r="I5856" s="12">
        <v>1</v>
      </c>
      <c r="J5856" s="12" t="s">
        <v>305</v>
      </c>
      <c r="K5856" s="12" t="s">
        <v>306</v>
      </c>
      <c r="L5856" s="12">
        <v>0</v>
      </c>
      <c r="M5856" s="15">
        <v>1600000</v>
      </c>
      <c r="N5856" s="15">
        <v>0</v>
      </c>
      <c r="O5856" s="15">
        <f t="shared" si="504"/>
        <v>1600000</v>
      </c>
      <c r="P5856" s="15">
        <f t="shared" si="500"/>
        <v>61.402431536288816</v>
      </c>
      <c r="Q5856" s="14">
        <v>20000</v>
      </c>
      <c r="R5856" s="12">
        <v>100</v>
      </c>
      <c r="S5856" s="12" t="s">
        <v>7099</v>
      </c>
      <c r="T5856" s="22">
        <f t="shared" si="501"/>
        <v>11</v>
      </c>
      <c r="U5856" s="22">
        <f t="shared" si="502"/>
        <v>2022</v>
      </c>
      <c r="V5856" s="22" t="str">
        <f t="shared" si="503"/>
        <v>REGIONES</v>
      </c>
    </row>
    <row r="5857" spans="1:22" x14ac:dyDescent="0.2">
      <c r="A5857" s="11" t="s">
        <v>7097</v>
      </c>
      <c r="B5857" s="12" t="s">
        <v>18</v>
      </c>
      <c r="C5857" s="12" t="s">
        <v>29</v>
      </c>
      <c r="D5857" s="12" t="s">
        <v>6221</v>
      </c>
      <c r="E5857" s="13" t="s">
        <v>7100</v>
      </c>
      <c r="F5857" s="12" t="s">
        <v>305</v>
      </c>
      <c r="G5857" s="14">
        <v>26057.600000000009</v>
      </c>
      <c r="H5857" s="12" t="s">
        <v>24</v>
      </c>
      <c r="I5857" s="12">
        <v>1</v>
      </c>
      <c r="J5857" s="12" t="s">
        <v>305</v>
      </c>
      <c r="K5857" s="12" t="s">
        <v>306</v>
      </c>
      <c r="L5857" s="12">
        <v>0</v>
      </c>
      <c r="M5857" s="15">
        <v>1600000</v>
      </c>
      <c r="N5857" s="15">
        <v>0</v>
      </c>
      <c r="O5857" s="15">
        <f t="shared" si="504"/>
        <v>1600000</v>
      </c>
      <c r="P5857" s="15">
        <f t="shared" ref="P5857:P5920" si="505">O5857/G5857</f>
        <v>61.402431536288816</v>
      </c>
      <c r="Q5857" s="14">
        <v>20000</v>
      </c>
      <c r="R5857" s="12">
        <v>100</v>
      </c>
      <c r="S5857" s="12" t="s">
        <v>7101</v>
      </c>
      <c r="T5857" s="22">
        <f t="shared" si="501"/>
        <v>11</v>
      </c>
      <c r="U5857" s="22">
        <f t="shared" si="502"/>
        <v>2022</v>
      </c>
      <c r="V5857" s="22" t="str">
        <f t="shared" si="503"/>
        <v>REGIONES</v>
      </c>
    </row>
    <row r="5858" spans="1:22" x14ac:dyDescent="0.2">
      <c r="A5858" s="11" t="s">
        <v>7097</v>
      </c>
      <c r="B5858" s="12" t="s">
        <v>18</v>
      </c>
      <c r="C5858" s="12" t="s">
        <v>508</v>
      </c>
      <c r="D5858" s="12" t="s">
        <v>38</v>
      </c>
      <c r="E5858" s="13" t="s">
        <v>42</v>
      </c>
      <c r="F5858" s="12" t="s">
        <v>182</v>
      </c>
      <c r="G5858" s="14">
        <v>14074.64</v>
      </c>
      <c r="H5858" s="12" t="s">
        <v>43</v>
      </c>
      <c r="I5858" s="12">
        <v>0</v>
      </c>
      <c r="J5858" s="12" t="s">
        <v>182</v>
      </c>
      <c r="K5858" s="12" t="s">
        <v>23</v>
      </c>
      <c r="L5858" s="12">
        <v>4</v>
      </c>
      <c r="M5858" s="15">
        <v>154821</v>
      </c>
      <c r="N5858" s="15">
        <v>0</v>
      </c>
      <c r="O5858" s="15">
        <f t="shared" si="504"/>
        <v>154821</v>
      </c>
      <c r="P5858" s="15">
        <f t="shared" si="505"/>
        <v>10.999997158009016</v>
      </c>
      <c r="Q5858" s="14">
        <v>5000</v>
      </c>
      <c r="R5858" s="12">
        <v>100</v>
      </c>
      <c r="S5858" s="12" t="s">
        <v>7102</v>
      </c>
      <c r="T5858" s="22">
        <f t="shared" si="501"/>
        <v>11</v>
      </c>
      <c r="U5858" s="22">
        <f t="shared" si="502"/>
        <v>2022</v>
      </c>
      <c r="V5858" s="22" t="str">
        <f t="shared" si="503"/>
        <v>METROPOLITANA</v>
      </c>
    </row>
    <row r="5859" spans="1:22" x14ac:dyDescent="0.2">
      <c r="A5859" s="11" t="s">
        <v>7097</v>
      </c>
      <c r="B5859" s="12" t="s">
        <v>18</v>
      </c>
      <c r="C5859" s="12" t="s">
        <v>508</v>
      </c>
      <c r="D5859" s="12" t="s">
        <v>37</v>
      </c>
      <c r="E5859" s="13" t="s">
        <v>40</v>
      </c>
      <c r="F5859" s="12" t="s">
        <v>182</v>
      </c>
      <c r="G5859" s="14">
        <v>15010.11</v>
      </c>
      <c r="H5859" s="12" t="s">
        <v>22</v>
      </c>
      <c r="I5859" s="12">
        <v>0</v>
      </c>
      <c r="J5859" s="12" t="s">
        <v>182</v>
      </c>
      <c r="K5859" s="12" t="s">
        <v>23</v>
      </c>
      <c r="L5859" s="12">
        <v>4</v>
      </c>
      <c r="M5859" s="15">
        <v>165111</v>
      </c>
      <c r="N5859" s="15">
        <v>0</v>
      </c>
      <c r="O5859" s="15">
        <f t="shared" si="504"/>
        <v>165111</v>
      </c>
      <c r="P5859" s="15">
        <f t="shared" si="505"/>
        <v>10.999986009429644</v>
      </c>
      <c r="Q5859" s="14">
        <v>5000</v>
      </c>
      <c r="R5859" s="12">
        <v>100</v>
      </c>
      <c r="S5859" s="12" t="s">
        <v>7103</v>
      </c>
      <c r="T5859" s="22">
        <f t="shared" si="501"/>
        <v>11</v>
      </c>
      <c r="U5859" s="22">
        <f t="shared" si="502"/>
        <v>2022</v>
      </c>
      <c r="V5859" s="22" t="str">
        <f t="shared" si="503"/>
        <v>METROPOLITANA</v>
      </c>
    </row>
    <row r="5860" spans="1:22" x14ac:dyDescent="0.2">
      <c r="A5860" s="11" t="s">
        <v>7097</v>
      </c>
      <c r="B5860" s="12" t="s">
        <v>33</v>
      </c>
      <c r="C5860" s="12" t="s">
        <v>1233</v>
      </c>
      <c r="D5860" s="12" t="s">
        <v>41</v>
      </c>
      <c r="E5860" s="13" t="s">
        <v>25</v>
      </c>
      <c r="F5860" s="12" t="s">
        <v>1234</v>
      </c>
      <c r="G5860" s="14">
        <v>3261.6000000000008</v>
      </c>
      <c r="H5860" s="12" t="s">
        <v>43</v>
      </c>
      <c r="I5860" s="12">
        <v>0</v>
      </c>
      <c r="J5860" s="12" t="s">
        <v>1234</v>
      </c>
      <c r="K5860" s="12" t="s">
        <v>23</v>
      </c>
      <c r="L5860" s="12">
        <v>3</v>
      </c>
      <c r="M5860" s="15">
        <v>55000</v>
      </c>
      <c r="N5860" s="15">
        <v>0</v>
      </c>
      <c r="O5860" s="15">
        <f t="shared" si="504"/>
        <v>55000</v>
      </c>
      <c r="P5860" s="15">
        <f t="shared" si="505"/>
        <v>16.862889379445665</v>
      </c>
      <c r="Q5860" s="14">
        <v>5000</v>
      </c>
      <c r="R5860" s="12">
        <v>65</v>
      </c>
      <c r="S5860" s="12" t="s">
        <v>7104</v>
      </c>
      <c r="T5860" s="22">
        <f t="shared" si="501"/>
        <v>11</v>
      </c>
      <c r="U5860" s="22">
        <f t="shared" si="502"/>
        <v>2022</v>
      </c>
      <c r="V5860" s="22" t="str">
        <f t="shared" si="503"/>
        <v>METROPOLITANA</v>
      </c>
    </row>
    <row r="5861" spans="1:22" x14ac:dyDescent="0.2">
      <c r="A5861" s="11" t="s">
        <v>7097</v>
      </c>
      <c r="B5861" s="12" t="s">
        <v>33</v>
      </c>
      <c r="C5861" s="12" t="s">
        <v>128</v>
      </c>
      <c r="D5861" s="12" t="s">
        <v>2955</v>
      </c>
      <c r="E5861" s="13" t="s">
        <v>2956</v>
      </c>
      <c r="F5861" s="12" t="s">
        <v>170</v>
      </c>
      <c r="G5861" s="14">
        <v>14137.009999999989</v>
      </c>
      <c r="H5861" s="12" t="s">
        <v>24</v>
      </c>
      <c r="I5861" s="12">
        <v>1</v>
      </c>
      <c r="J5861" s="12" t="s">
        <v>170</v>
      </c>
      <c r="K5861" s="12" t="s">
        <v>171</v>
      </c>
      <c r="L5861" s="12">
        <v>0</v>
      </c>
      <c r="M5861" s="15">
        <v>250000</v>
      </c>
      <c r="N5861" s="15">
        <v>0</v>
      </c>
      <c r="O5861" s="15">
        <f t="shared" si="504"/>
        <v>250000</v>
      </c>
      <c r="P5861" s="15">
        <f t="shared" si="505"/>
        <v>17.684078882309638</v>
      </c>
      <c r="Q5861" s="14">
        <v>20000</v>
      </c>
      <c r="R5861" s="12">
        <v>71</v>
      </c>
      <c r="S5861" s="12" t="s">
        <v>7105</v>
      </c>
      <c r="T5861" s="22">
        <f t="shared" si="501"/>
        <v>11</v>
      </c>
      <c r="U5861" s="22">
        <f t="shared" si="502"/>
        <v>2022</v>
      </c>
      <c r="V5861" s="22" t="str">
        <f t="shared" si="503"/>
        <v>REGIONES</v>
      </c>
    </row>
    <row r="5862" spans="1:22" x14ac:dyDescent="0.2">
      <c r="A5862" s="11" t="s">
        <v>7097</v>
      </c>
      <c r="B5862" s="12" t="s">
        <v>33</v>
      </c>
      <c r="C5862" s="12" t="s">
        <v>128</v>
      </c>
      <c r="D5862" s="12" t="s">
        <v>41</v>
      </c>
      <c r="E5862" s="13" t="s">
        <v>25</v>
      </c>
      <c r="F5862" s="12" t="s">
        <v>129</v>
      </c>
      <c r="G5862" s="14">
        <v>7626</v>
      </c>
      <c r="H5862" s="12" t="s">
        <v>43</v>
      </c>
      <c r="I5862" s="12">
        <v>0</v>
      </c>
      <c r="J5862" s="12" t="s">
        <v>129</v>
      </c>
      <c r="K5862" s="12" t="s">
        <v>23</v>
      </c>
      <c r="L5862" s="12">
        <v>1</v>
      </c>
      <c r="M5862" s="15">
        <v>83886</v>
      </c>
      <c r="N5862" s="15">
        <v>0</v>
      </c>
      <c r="O5862" s="15">
        <f t="shared" si="504"/>
        <v>83886</v>
      </c>
      <c r="P5862" s="15">
        <f t="shared" si="505"/>
        <v>11</v>
      </c>
      <c r="Q5862" s="14">
        <v>5000</v>
      </c>
      <c r="R5862" s="12">
        <v>100</v>
      </c>
      <c r="S5862" s="12" t="s">
        <v>7106</v>
      </c>
      <c r="T5862" s="22">
        <f t="shared" si="501"/>
        <v>11</v>
      </c>
      <c r="U5862" s="22">
        <f t="shared" si="502"/>
        <v>2022</v>
      </c>
      <c r="V5862" s="22" t="str">
        <f t="shared" si="503"/>
        <v>METROPOLITANA</v>
      </c>
    </row>
    <row r="5863" spans="1:22" x14ac:dyDescent="0.2">
      <c r="A5863" s="11" t="s">
        <v>7097</v>
      </c>
      <c r="B5863" s="12" t="s">
        <v>33</v>
      </c>
      <c r="C5863" s="12" t="s">
        <v>29</v>
      </c>
      <c r="D5863" s="12" t="s">
        <v>30</v>
      </c>
      <c r="E5863" s="13" t="s">
        <v>31</v>
      </c>
      <c r="F5863" s="12" t="s">
        <v>134</v>
      </c>
      <c r="G5863" s="14">
        <f>9244.5+3154</f>
        <v>12398.5</v>
      </c>
      <c r="H5863" s="12" t="s">
        <v>32</v>
      </c>
      <c r="I5863" s="12">
        <v>0</v>
      </c>
      <c r="J5863" s="12" t="s">
        <v>134</v>
      </c>
      <c r="K5863" s="12" t="s">
        <v>23</v>
      </c>
      <c r="L5863" s="12">
        <v>2</v>
      </c>
      <c r="M5863" s="15">
        <v>101690</v>
      </c>
      <c r="N5863" s="15">
        <v>0</v>
      </c>
      <c r="O5863" s="15">
        <f t="shared" si="504"/>
        <v>101690</v>
      </c>
      <c r="P5863" s="15">
        <f t="shared" si="505"/>
        <v>8.2017986046699196</v>
      </c>
      <c r="Q5863" s="14">
        <v>5000</v>
      </c>
      <c r="R5863" s="12">
        <v>100</v>
      </c>
      <c r="S5863" s="12" t="s">
        <v>7107</v>
      </c>
      <c r="T5863" s="22">
        <f t="shared" si="501"/>
        <v>11</v>
      </c>
      <c r="U5863" s="22">
        <f t="shared" si="502"/>
        <v>2022</v>
      </c>
      <c r="V5863" s="22" t="str">
        <f t="shared" si="503"/>
        <v>METROPOLITANA</v>
      </c>
    </row>
    <row r="5864" spans="1:22" x14ac:dyDescent="0.2">
      <c r="A5864" s="23" t="s">
        <v>7108</v>
      </c>
      <c r="B5864" s="22" t="s">
        <v>18</v>
      </c>
      <c r="C5864" s="22" t="s">
        <v>57</v>
      </c>
      <c r="D5864" s="22" t="s">
        <v>1869</v>
      </c>
      <c r="E5864" s="24" t="s">
        <v>1870</v>
      </c>
      <c r="F5864" s="22" t="s">
        <v>1026</v>
      </c>
      <c r="G5864" s="25">
        <f>7355.92+3240</f>
        <v>10595.92</v>
      </c>
      <c r="H5864" s="22" t="s">
        <v>24</v>
      </c>
      <c r="I5864" s="22">
        <v>1</v>
      </c>
      <c r="J5864" s="22" t="s">
        <v>1026</v>
      </c>
      <c r="K5864" s="22" t="s">
        <v>408</v>
      </c>
      <c r="L5864" s="22">
        <v>0</v>
      </c>
      <c r="M5864" s="26">
        <v>650000</v>
      </c>
      <c r="N5864" s="26">
        <v>0</v>
      </c>
      <c r="O5864" s="15">
        <f t="shared" si="504"/>
        <v>650000</v>
      </c>
      <c r="P5864" s="15">
        <f t="shared" si="505"/>
        <v>61.344366510883432</v>
      </c>
      <c r="Q5864" s="25">
        <v>20000</v>
      </c>
      <c r="R5864" s="22">
        <v>65</v>
      </c>
      <c r="S5864" s="22" t="s">
        <v>7118</v>
      </c>
      <c r="T5864" s="22">
        <f t="shared" si="501"/>
        <v>12</v>
      </c>
      <c r="U5864" s="22">
        <f t="shared" si="502"/>
        <v>2022</v>
      </c>
      <c r="V5864" s="22" t="str">
        <f t="shared" si="503"/>
        <v>REGIONES</v>
      </c>
    </row>
    <row r="5865" spans="1:22" x14ac:dyDescent="0.2">
      <c r="A5865" s="23" t="s">
        <v>7108</v>
      </c>
      <c r="B5865" s="22" t="s">
        <v>33</v>
      </c>
      <c r="C5865" s="22" t="s">
        <v>128</v>
      </c>
      <c r="D5865" s="22" t="s">
        <v>786</v>
      </c>
      <c r="E5865" s="24" t="s">
        <v>787</v>
      </c>
      <c r="F5865" s="22" t="s">
        <v>34</v>
      </c>
      <c r="G5865" s="25">
        <v>7973.79</v>
      </c>
      <c r="H5865" s="22" t="s">
        <v>788</v>
      </c>
      <c r="I5865" s="22">
        <v>1</v>
      </c>
      <c r="J5865" s="22" t="s">
        <v>34</v>
      </c>
      <c r="K5865" s="22" t="s">
        <v>23</v>
      </c>
      <c r="L5865" s="22">
        <v>1</v>
      </c>
      <c r="M5865" s="26">
        <v>87712</v>
      </c>
      <c r="N5865" s="26">
        <v>0</v>
      </c>
      <c r="O5865" s="15">
        <f t="shared" si="504"/>
        <v>87712</v>
      </c>
      <c r="P5865" s="15">
        <f t="shared" si="505"/>
        <v>11.00003887737199</v>
      </c>
      <c r="Q5865" s="25">
        <v>5000</v>
      </c>
      <c r="R5865" s="22">
        <v>100</v>
      </c>
      <c r="S5865" s="22" t="s">
        <v>7109</v>
      </c>
      <c r="T5865" s="22">
        <f t="shared" si="501"/>
        <v>12</v>
      </c>
      <c r="U5865" s="22">
        <f t="shared" si="502"/>
        <v>2022</v>
      </c>
      <c r="V5865" s="22" t="str">
        <f t="shared" si="503"/>
        <v>METROPOLITANA</v>
      </c>
    </row>
    <row r="5866" spans="1:22" x14ac:dyDescent="0.2">
      <c r="A5866" s="23" t="s">
        <v>7108</v>
      </c>
      <c r="B5866" s="22" t="s">
        <v>33</v>
      </c>
      <c r="C5866" s="22" t="s">
        <v>128</v>
      </c>
      <c r="D5866" s="22" t="s">
        <v>2955</v>
      </c>
      <c r="E5866" s="24" t="s">
        <v>787</v>
      </c>
      <c r="F5866" s="22" t="s">
        <v>34</v>
      </c>
      <c r="G5866" s="25">
        <v>3504.4</v>
      </c>
      <c r="H5866" s="22" t="s">
        <v>24</v>
      </c>
      <c r="I5866" s="22">
        <v>1</v>
      </c>
      <c r="J5866" s="22" t="s">
        <v>34</v>
      </c>
      <c r="K5866" s="22" t="s">
        <v>23</v>
      </c>
      <c r="L5866" s="22">
        <v>1</v>
      </c>
      <c r="M5866" s="26">
        <v>55000</v>
      </c>
      <c r="N5866" s="26">
        <v>0</v>
      </c>
      <c r="O5866" s="15">
        <f t="shared" si="504"/>
        <v>55000</v>
      </c>
      <c r="P5866" s="15">
        <f t="shared" si="505"/>
        <v>15.694555416048395</v>
      </c>
      <c r="Q5866" s="25">
        <v>5000</v>
      </c>
      <c r="R5866" s="22">
        <v>70</v>
      </c>
      <c r="S5866" s="22" t="s">
        <v>7110</v>
      </c>
      <c r="T5866" s="22">
        <f t="shared" si="501"/>
        <v>12</v>
      </c>
      <c r="U5866" s="22">
        <f t="shared" si="502"/>
        <v>2022</v>
      </c>
      <c r="V5866" s="22" t="str">
        <f t="shared" si="503"/>
        <v>METROPOLITANA</v>
      </c>
    </row>
    <row r="5867" spans="1:22" x14ac:dyDescent="0.2">
      <c r="A5867" s="23" t="s">
        <v>7108</v>
      </c>
      <c r="B5867" s="22" t="s">
        <v>33</v>
      </c>
      <c r="C5867" s="22" t="s">
        <v>29</v>
      </c>
      <c r="D5867" s="22" t="s">
        <v>5478</v>
      </c>
      <c r="E5867" s="24" t="s">
        <v>83</v>
      </c>
      <c r="F5867" s="22" t="s">
        <v>114</v>
      </c>
      <c r="G5867" s="25">
        <v>8244.0000000000036</v>
      </c>
      <c r="H5867" s="22" t="s">
        <v>24</v>
      </c>
      <c r="I5867" s="22">
        <v>1</v>
      </c>
      <c r="J5867" s="22" t="s">
        <v>114</v>
      </c>
      <c r="K5867" s="22" t="s">
        <v>75</v>
      </c>
      <c r="L5867" s="22">
        <v>0</v>
      </c>
      <c r="M5867" s="26">
        <v>480000</v>
      </c>
      <c r="N5867" s="26">
        <v>0</v>
      </c>
      <c r="O5867" s="15">
        <f t="shared" si="504"/>
        <v>480000</v>
      </c>
      <c r="P5867" s="15">
        <f t="shared" si="505"/>
        <v>58.224163027656452</v>
      </c>
      <c r="Q5867" s="25">
        <v>20000</v>
      </c>
      <c r="R5867" s="22">
        <v>41</v>
      </c>
      <c r="S5867" s="22" t="s">
        <v>7111</v>
      </c>
      <c r="T5867" s="22">
        <f t="shared" si="501"/>
        <v>12</v>
      </c>
      <c r="U5867" s="22">
        <f t="shared" si="502"/>
        <v>2022</v>
      </c>
      <c r="V5867" s="22" t="str">
        <f t="shared" si="503"/>
        <v>REGIONES</v>
      </c>
    </row>
    <row r="5868" spans="1:22" x14ac:dyDescent="0.2">
      <c r="A5868" s="23" t="s">
        <v>7108</v>
      </c>
      <c r="B5868" s="22" t="s">
        <v>33</v>
      </c>
      <c r="C5868" s="22" t="s">
        <v>29</v>
      </c>
      <c r="D5868" s="22" t="s">
        <v>7112</v>
      </c>
      <c r="E5868" s="24" t="s">
        <v>4359</v>
      </c>
      <c r="F5868" s="22" t="s">
        <v>114</v>
      </c>
      <c r="G5868" s="25">
        <v>8244.0000000000036</v>
      </c>
      <c r="H5868" s="22" t="s">
        <v>24</v>
      </c>
      <c r="I5868" s="22">
        <v>1</v>
      </c>
      <c r="J5868" s="22" t="s">
        <v>114</v>
      </c>
      <c r="K5868" s="22" t="s">
        <v>75</v>
      </c>
      <c r="L5868" s="22">
        <v>0</v>
      </c>
      <c r="M5868" s="26">
        <v>480000</v>
      </c>
      <c r="N5868" s="26">
        <v>0</v>
      </c>
      <c r="O5868" s="15">
        <f t="shared" si="504"/>
        <v>480000</v>
      </c>
      <c r="P5868" s="15">
        <f t="shared" si="505"/>
        <v>58.224163027656452</v>
      </c>
      <c r="Q5868" s="25">
        <v>20000</v>
      </c>
      <c r="R5868" s="22">
        <v>41</v>
      </c>
      <c r="S5868" s="22" t="s">
        <v>7113</v>
      </c>
      <c r="T5868" s="22">
        <f t="shared" si="501"/>
        <v>12</v>
      </c>
      <c r="U5868" s="22">
        <f t="shared" si="502"/>
        <v>2022</v>
      </c>
      <c r="V5868" s="22" t="str">
        <f t="shared" si="503"/>
        <v>REGIONES</v>
      </c>
    </row>
    <row r="5869" spans="1:22" x14ac:dyDescent="0.2">
      <c r="A5869" s="23" t="s">
        <v>7108</v>
      </c>
      <c r="B5869" s="22" t="s">
        <v>33</v>
      </c>
      <c r="C5869" s="22" t="s">
        <v>29</v>
      </c>
      <c r="D5869" s="22" t="s">
        <v>37</v>
      </c>
      <c r="E5869" s="24" t="s">
        <v>40</v>
      </c>
      <c r="F5869" s="22" t="s">
        <v>39</v>
      </c>
      <c r="G5869" s="25">
        <v>10701.6</v>
      </c>
      <c r="H5869" s="22" t="s">
        <v>22</v>
      </c>
      <c r="I5869" s="22">
        <v>0</v>
      </c>
      <c r="J5869" s="22" t="s">
        <v>39</v>
      </c>
      <c r="K5869" s="22" t="s">
        <v>23</v>
      </c>
      <c r="L5869" s="22">
        <v>1</v>
      </c>
      <c r="M5869" s="26">
        <v>117718</v>
      </c>
      <c r="N5869" s="26">
        <v>0</v>
      </c>
      <c r="O5869" s="15">
        <f t="shared" si="504"/>
        <v>117718</v>
      </c>
      <c r="P5869" s="15">
        <f t="shared" si="505"/>
        <v>11.000037377588397</v>
      </c>
      <c r="Q5869" s="25">
        <v>5000</v>
      </c>
      <c r="R5869" s="22">
        <v>100</v>
      </c>
      <c r="S5869" s="22" t="s">
        <v>7114</v>
      </c>
      <c r="T5869" s="22">
        <f t="shared" si="501"/>
        <v>12</v>
      </c>
      <c r="U5869" s="22">
        <f t="shared" si="502"/>
        <v>2022</v>
      </c>
      <c r="V5869" s="22" t="str">
        <f t="shared" si="503"/>
        <v>METROPOLITANA</v>
      </c>
    </row>
    <row r="5870" spans="1:22" x14ac:dyDescent="0.2">
      <c r="A5870" s="23" t="s">
        <v>7108</v>
      </c>
      <c r="B5870" s="22" t="s">
        <v>33</v>
      </c>
      <c r="C5870" s="22" t="s">
        <v>29</v>
      </c>
      <c r="D5870" s="22" t="s">
        <v>164</v>
      </c>
      <c r="E5870" s="24" t="s">
        <v>1576</v>
      </c>
      <c r="F5870" s="22" t="s">
        <v>39</v>
      </c>
      <c r="G5870" s="25">
        <v>13922.7</v>
      </c>
      <c r="H5870" s="22" t="s">
        <v>22</v>
      </c>
      <c r="I5870" s="22">
        <v>1</v>
      </c>
      <c r="J5870" s="22" t="s">
        <v>39</v>
      </c>
      <c r="K5870" s="22" t="s">
        <v>23</v>
      </c>
      <c r="L5870" s="22">
        <v>1</v>
      </c>
      <c r="M5870" s="26">
        <v>153150</v>
      </c>
      <c r="N5870" s="26">
        <v>0</v>
      </c>
      <c r="O5870" s="15">
        <f t="shared" si="504"/>
        <v>153150</v>
      </c>
      <c r="P5870" s="15">
        <f t="shared" si="505"/>
        <v>11.000021547544657</v>
      </c>
      <c r="Q5870" s="25">
        <v>5000</v>
      </c>
      <c r="R5870" s="22">
        <v>100</v>
      </c>
      <c r="S5870" s="22" t="s">
        <v>7115</v>
      </c>
      <c r="T5870" s="22">
        <f t="shared" si="501"/>
        <v>12</v>
      </c>
      <c r="U5870" s="22">
        <f t="shared" si="502"/>
        <v>2022</v>
      </c>
      <c r="V5870" s="22" t="str">
        <f t="shared" si="503"/>
        <v>METROPOLITANA</v>
      </c>
    </row>
    <row r="5871" spans="1:22" x14ac:dyDescent="0.2">
      <c r="A5871" s="23" t="s">
        <v>7108</v>
      </c>
      <c r="B5871" s="22" t="s">
        <v>33</v>
      </c>
      <c r="C5871" s="22" t="s">
        <v>44</v>
      </c>
      <c r="D5871" s="22" t="s">
        <v>45</v>
      </c>
      <c r="E5871" s="24" t="s">
        <v>52</v>
      </c>
      <c r="F5871" s="22" t="s">
        <v>182</v>
      </c>
      <c r="G5871" s="25">
        <v>3266</v>
      </c>
      <c r="H5871" s="22" t="s">
        <v>22</v>
      </c>
      <c r="I5871" s="22">
        <v>0</v>
      </c>
      <c r="J5871" s="22" t="s">
        <v>182</v>
      </c>
      <c r="K5871" s="22" t="s">
        <v>23</v>
      </c>
      <c r="L5871" s="22">
        <v>4</v>
      </c>
      <c r="M5871" s="26">
        <v>55000</v>
      </c>
      <c r="N5871" s="26">
        <v>0</v>
      </c>
      <c r="O5871" s="15">
        <f t="shared" si="504"/>
        <v>55000</v>
      </c>
      <c r="P5871" s="15">
        <f t="shared" si="505"/>
        <v>16.840171463563994</v>
      </c>
      <c r="Q5871" s="25">
        <v>5000</v>
      </c>
      <c r="R5871" s="22">
        <v>65</v>
      </c>
      <c r="S5871" s="22" t="s">
        <v>7116</v>
      </c>
      <c r="T5871" s="22">
        <f t="shared" si="501"/>
        <v>12</v>
      </c>
      <c r="U5871" s="22">
        <f t="shared" si="502"/>
        <v>2022</v>
      </c>
      <c r="V5871" s="22" t="str">
        <f t="shared" si="503"/>
        <v>METROPOLITANA</v>
      </c>
    </row>
    <row r="5872" spans="1:22" x14ac:dyDescent="0.2">
      <c r="A5872" s="23" t="s">
        <v>7108</v>
      </c>
      <c r="B5872" s="22" t="s">
        <v>33</v>
      </c>
      <c r="C5872" s="22" t="s">
        <v>44</v>
      </c>
      <c r="D5872" s="22" t="s">
        <v>47</v>
      </c>
      <c r="E5872" s="24" t="s">
        <v>49</v>
      </c>
      <c r="F5872" s="22" t="s">
        <v>34</v>
      </c>
      <c r="G5872" s="25">
        <v>3331.62</v>
      </c>
      <c r="H5872" s="22" t="s">
        <v>22</v>
      </c>
      <c r="I5872" s="22">
        <v>0</v>
      </c>
      <c r="J5872" s="22" t="s">
        <v>34</v>
      </c>
      <c r="K5872" s="22" t="s">
        <v>23</v>
      </c>
      <c r="L5872" s="22">
        <v>1</v>
      </c>
      <c r="M5872" s="26">
        <v>55000</v>
      </c>
      <c r="N5872" s="26">
        <v>0</v>
      </c>
      <c r="O5872" s="15">
        <f t="shared" si="504"/>
        <v>55000</v>
      </c>
      <c r="P5872" s="15">
        <f t="shared" si="505"/>
        <v>16.508485361475799</v>
      </c>
      <c r="Q5872" s="25">
        <v>5000</v>
      </c>
      <c r="R5872" s="22">
        <v>67</v>
      </c>
      <c r="S5872" s="22" t="s">
        <v>7117</v>
      </c>
      <c r="T5872" s="22">
        <f t="shared" si="501"/>
        <v>12</v>
      </c>
      <c r="U5872" s="22">
        <f t="shared" si="502"/>
        <v>2022</v>
      </c>
      <c r="V5872" s="22" t="str">
        <f t="shared" si="503"/>
        <v>METROPOLITANA</v>
      </c>
    </row>
    <row r="5873" spans="1:22" x14ac:dyDescent="0.2">
      <c r="A5873" s="11" t="s">
        <v>7119</v>
      </c>
      <c r="B5873" s="12" t="s">
        <v>33</v>
      </c>
      <c r="C5873" s="12" t="s">
        <v>128</v>
      </c>
      <c r="D5873" s="12" t="s">
        <v>37</v>
      </c>
      <c r="E5873" s="13" t="s">
        <v>40</v>
      </c>
      <c r="F5873" s="12" t="s">
        <v>170</v>
      </c>
      <c r="G5873" s="14">
        <v>6071.86</v>
      </c>
      <c r="H5873" s="12" t="s">
        <v>22</v>
      </c>
      <c r="I5873" s="12">
        <v>0</v>
      </c>
      <c r="J5873" s="12" t="s">
        <v>170</v>
      </c>
      <c r="K5873" s="12" t="s">
        <v>171</v>
      </c>
      <c r="L5873" s="12">
        <v>0</v>
      </c>
      <c r="M5873" s="15">
        <v>180000</v>
      </c>
      <c r="N5873" s="15">
        <v>0</v>
      </c>
      <c r="O5873" s="15">
        <f t="shared" si="504"/>
        <v>180000</v>
      </c>
      <c r="P5873" s="15">
        <f t="shared" si="505"/>
        <v>29.644952288096235</v>
      </c>
      <c r="Q5873" s="14">
        <v>20000</v>
      </c>
      <c r="R5873" s="12">
        <v>30</v>
      </c>
      <c r="S5873" s="12" t="s">
        <v>7120</v>
      </c>
      <c r="T5873" s="22">
        <f t="shared" si="501"/>
        <v>12</v>
      </c>
      <c r="U5873" s="22">
        <f t="shared" si="502"/>
        <v>2022</v>
      </c>
      <c r="V5873" s="22" t="str">
        <f t="shared" si="503"/>
        <v>REGIONES</v>
      </c>
    </row>
    <row r="5874" spans="1:22" x14ac:dyDescent="0.2">
      <c r="A5874" s="11" t="s">
        <v>7119</v>
      </c>
      <c r="B5874" s="12" t="s">
        <v>33</v>
      </c>
      <c r="C5874" s="12" t="s">
        <v>2862</v>
      </c>
      <c r="D5874" s="12" t="s">
        <v>30</v>
      </c>
      <c r="E5874" s="13" t="s">
        <v>31</v>
      </c>
      <c r="F5874" s="12" t="s">
        <v>67</v>
      </c>
      <c r="G5874" s="14">
        <v>9755.1999999999971</v>
      </c>
      <c r="H5874" s="12" t="s">
        <v>32</v>
      </c>
      <c r="I5874" s="12">
        <v>0</v>
      </c>
      <c r="J5874" s="12" t="s">
        <v>67</v>
      </c>
      <c r="K5874" s="12" t="s">
        <v>23</v>
      </c>
      <c r="L5874" s="12">
        <v>2</v>
      </c>
      <c r="M5874" s="15">
        <v>107307</v>
      </c>
      <c r="N5874" s="15">
        <v>0</v>
      </c>
      <c r="O5874" s="15">
        <f t="shared" si="504"/>
        <v>107307</v>
      </c>
      <c r="P5874" s="15">
        <f t="shared" si="505"/>
        <v>10.999979498113829</v>
      </c>
      <c r="Q5874" s="14">
        <v>5000</v>
      </c>
      <c r="R5874" s="12">
        <v>100</v>
      </c>
      <c r="S5874" s="12" t="s">
        <v>7121</v>
      </c>
      <c r="T5874" s="22">
        <f t="shared" si="501"/>
        <v>12</v>
      </c>
      <c r="U5874" s="22">
        <f t="shared" si="502"/>
        <v>2022</v>
      </c>
      <c r="V5874" s="22" t="str">
        <f t="shared" si="503"/>
        <v>METROPOLITANA</v>
      </c>
    </row>
    <row r="5875" spans="1:22" x14ac:dyDescent="0.2">
      <c r="A5875" s="11" t="s">
        <v>7119</v>
      </c>
      <c r="B5875" s="12" t="s">
        <v>33</v>
      </c>
      <c r="C5875" s="12" t="s">
        <v>29</v>
      </c>
      <c r="D5875" s="12" t="s">
        <v>191</v>
      </c>
      <c r="E5875" s="13" t="s">
        <v>192</v>
      </c>
      <c r="F5875" s="12" t="s">
        <v>114</v>
      </c>
      <c r="G5875" s="14">
        <v>7987.1999999999989</v>
      </c>
      <c r="H5875" s="12" t="s">
        <v>85</v>
      </c>
      <c r="I5875" s="12">
        <v>1</v>
      </c>
      <c r="J5875" s="12" t="s">
        <v>114</v>
      </c>
      <c r="K5875" s="12" t="s">
        <v>75</v>
      </c>
      <c r="L5875" s="12">
        <v>0</v>
      </c>
      <c r="M5875" s="15">
        <v>480000</v>
      </c>
      <c r="N5875" s="15">
        <v>0</v>
      </c>
      <c r="O5875" s="15">
        <f t="shared" si="504"/>
        <v>480000</v>
      </c>
      <c r="P5875" s="15">
        <f t="shared" si="505"/>
        <v>60.096153846153854</v>
      </c>
      <c r="Q5875" s="14">
        <v>20000</v>
      </c>
      <c r="R5875" s="12">
        <v>40</v>
      </c>
      <c r="S5875" s="12" t="s">
        <v>7122</v>
      </c>
      <c r="T5875" s="22">
        <f t="shared" si="501"/>
        <v>12</v>
      </c>
      <c r="U5875" s="22">
        <f t="shared" si="502"/>
        <v>2022</v>
      </c>
      <c r="V5875" s="22" t="str">
        <f t="shared" si="503"/>
        <v>REGIONES</v>
      </c>
    </row>
    <row r="5876" spans="1:22" x14ac:dyDescent="0.2">
      <c r="A5876" s="11" t="s">
        <v>7119</v>
      </c>
      <c r="B5876" s="12" t="s">
        <v>33</v>
      </c>
      <c r="C5876" s="12" t="s">
        <v>29</v>
      </c>
      <c r="D5876" s="12" t="s">
        <v>130</v>
      </c>
      <c r="E5876" s="13" t="s">
        <v>131</v>
      </c>
      <c r="F5876" s="12" t="s">
        <v>114</v>
      </c>
      <c r="G5876" s="14">
        <v>8702.7000000000025</v>
      </c>
      <c r="H5876" s="12" t="s">
        <v>85</v>
      </c>
      <c r="I5876" s="12">
        <v>1</v>
      </c>
      <c r="J5876" s="12" t="s">
        <v>114</v>
      </c>
      <c r="K5876" s="12" t="s">
        <v>75</v>
      </c>
      <c r="L5876" s="12">
        <v>0</v>
      </c>
      <c r="M5876" s="15">
        <v>480000</v>
      </c>
      <c r="N5876" s="15">
        <v>0</v>
      </c>
      <c r="O5876" s="15">
        <f t="shared" si="504"/>
        <v>480000</v>
      </c>
      <c r="P5876" s="15">
        <f t="shared" si="505"/>
        <v>55.155296632079683</v>
      </c>
      <c r="Q5876" s="14">
        <v>20000</v>
      </c>
      <c r="R5876" s="12">
        <v>44</v>
      </c>
      <c r="S5876" s="12" t="s">
        <v>7123</v>
      </c>
      <c r="T5876" s="22">
        <f t="shared" si="501"/>
        <v>12</v>
      </c>
      <c r="U5876" s="22">
        <f t="shared" si="502"/>
        <v>2022</v>
      </c>
      <c r="V5876" s="22" t="str">
        <f t="shared" si="503"/>
        <v>REGIONES</v>
      </c>
    </row>
    <row r="5877" spans="1:22" x14ac:dyDescent="0.2">
      <c r="A5877" s="11" t="s">
        <v>7119</v>
      </c>
      <c r="B5877" s="12" t="s">
        <v>33</v>
      </c>
      <c r="C5877" s="12" t="s">
        <v>29</v>
      </c>
      <c r="D5877" s="12" t="s">
        <v>38</v>
      </c>
      <c r="E5877" s="13" t="s">
        <v>42</v>
      </c>
      <c r="F5877" s="12" t="s">
        <v>39</v>
      </c>
      <c r="G5877" s="14">
        <v>6748.4</v>
      </c>
      <c r="H5877" s="12" t="s">
        <v>43</v>
      </c>
      <c r="I5877" s="12">
        <v>0</v>
      </c>
      <c r="J5877" s="12" t="s">
        <v>39</v>
      </c>
      <c r="K5877" s="12" t="s">
        <v>23</v>
      </c>
      <c r="L5877" s="12">
        <v>1</v>
      </c>
      <c r="M5877" s="15">
        <v>74232</v>
      </c>
      <c r="N5877" s="15">
        <v>0</v>
      </c>
      <c r="O5877" s="15">
        <f t="shared" si="504"/>
        <v>74232</v>
      </c>
      <c r="P5877" s="15">
        <f t="shared" si="505"/>
        <v>10.999940726690772</v>
      </c>
      <c r="Q5877" s="14">
        <v>5000</v>
      </c>
      <c r="R5877" s="12">
        <v>100</v>
      </c>
      <c r="S5877" s="12" t="s">
        <v>7124</v>
      </c>
      <c r="T5877" s="22">
        <f t="shared" si="501"/>
        <v>12</v>
      </c>
      <c r="U5877" s="22">
        <f t="shared" si="502"/>
        <v>2022</v>
      </c>
      <c r="V5877" s="22" t="str">
        <f t="shared" si="503"/>
        <v>METROPOLITANA</v>
      </c>
    </row>
    <row r="5878" spans="1:22" x14ac:dyDescent="0.2">
      <c r="A5878" s="11" t="s">
        <v>7119</v>
      </c>
      <c r="B5878" s="12" t="s">
        <v>33</v>
      </c>
      <c r="C5878" s="12" t="s">
        <v>29</v>
      </c>
      <c r="D5878" s="12" t="s">
        <v>164</v>
      </c>
      <c r="E5878" s="13" t="s">
        <v>1576</v>
      </c>
      <c r="F5878" s="12" t="s">
        <v>39</v>
      </c>
      <c r="G5878" s="14">
        <v>17507.599999999999</v>
      </c>
      <c r="H5878" s="12" t="s">
        <v>22</v>
      </c>
      <c r="I5878" s="12">
        <v>1</v>
      </c>
      <c r="J5878" s="12" t="s">
        <v>39</v>
      </c>
      <c r="K5878" s="12" t="s">
        <v>23</v>
      </c>
      <c r="L5878" s="12">
        <v>1</v>
      </c>
      <c r="M5878" s="15">
        <v>192584</v>
      </c>
      <c r="N5878" s="15">
        <v>0</v>
      </c>
      <c r="O5878" s="15">
        <f t="shared" si="504"/>
        <v>192584</v>
      </c>
      <c r="P5878" s="15">
        <f t="shared" si="505"/>
        <v>11.000022847220636</v>
      </c>
      <c r="Q5878" s="14">
        <v>5000</v>
      </c>
      <c r="R5878" s="12">
        <v>100</v>
      </c>
      <c r="S5878" s="12" t="s">
        <v>7125</v>
      </c>
      <c r="T5878" s="22">
        <f t="shared" si="501"/>
        <v>12</v>
      </c>
      <c r="U5878" s="22">
        <f t="shared" si="502"/>
        <v>2022</v>
      </c>
      <c r="V5878" s="22" t="str">
        <f t="shared" si="503"/>
        <v>METROPOLITANA</v>
      </c>
    </row>
    <row r="5879" spans="1:22" x14ac:dyDescent="0.2">
      <c r="A5879" s="11" t="s">
        <v>7119</v>
      </c>
      <c r="B5879" s="12" t="s">
        <v>33</v>
      </c>
      <c r="C5879" s="12" t="s">
        <v>44</v>
      </c>
      <c r="D5879" s="12" t="s">
        <v>45</v>
      </c>
      <c r="E5879" s="13" t="s">
        <v>52</v>
      </c>
      <c r="F5879" s="12" t="s">
        <v>53</v>
      </c>
      <c r="G5879" s="14">
        <v>3802.66</v>
      </c>
      <c r="H5879" s="12" t="s">
        <v>22</v>
      </c>
      <c r="I5879" s="12">
        <v>0</v>
      </c>
      <c r="J5879" s="12" t="s">
        <v>53</v>
      </c>
      <c r="K5879" s="12" t="s">
        <v>23</v>
      </c>
      <c r="L5879" s="12">
        <v>3</v>
      </c>
      <c r="M5879" s="15">
        <v>55000</v>
      </c>
      <c r="N5879" s="15">
        <v>0</v>
      </c>
      <c r="O5879" s="15">
        <f t="shared" si="504"/>
        <v>55000</v>
      </c>
      <c r="P5879" s="15">
        <f t="shared" si="505"/>
        <v>14.463559718723211</v>
      </c>
      <c r="Q5879" s="14">
        <v>5000</v>
      </c>
      <c r="R5879" s="12">
        <v>76</v>
      </c>
      <c r="S5879" s="12" t="s">
        <v>7126</v>
      </c>
      <c r="T5879" s="22">
        <f t="shared" si="501"/>
        <v>12</v>
      </c>
      <c r="U5879" s="22">
        <f t="shared" si="502"/>
        <v>2022</v>
      </c>
      <c r="V5879" s="22" t="str">
        <f t="shared" si="503"/>
        <v>METROPOLITANA</v>
      </c>
    </row>
    <row r="5880" spans="1:22" x14ac:dyDescent="0.2">
      <c r="A5880" s="11" t="s">
        <v>7119</v>
      </c>
      <c r="B5880" s="12" t="s">
        <v>33</v>
      </c>
      <c r="C5880" s="12" t="s">
        <v>44</v>
      </c>
      <c r="D5880" s="12" t="s">
        <v>47</v>
      </c>
      <c r="E5880" s="13" t="s">
        <v>49</v>
      </c>
      <c r="F5880" s="12" t="s">
        <v>48</v>
      </c>
      <c r="G5880" s="14">
        <v>4209.2199999999984</v>
      </c>
      <c r="H5880" s="12" t="s">
        <v>22</v>
      </c>
      <c r="I5880" s="12">
        <v>0</v>
      </c>
      <c r="J5880" s="12" t="s">
        <v>48</v>
      </c>
      <c r="K5880" s="12" t="s">
        <v>23</v>
      </c>
      <c r="L5880" s="12">
        <v>1</v>
      </c>
      <c r="M5880" s="15">
        <v>55000</v>
      </c>
      <c r="N5880" s="15">
        <v>0</v>
      </c>
      <c r="O5880" s="15">
        <f t="shared" si="504"/>
        <v>55000</v>
      </c>
      <c r="P5880" s="15">
        <f t="shared" si="505"/>
        <v>13.066553898346967</v>
      </c>
      <c r="Q5880" s="14">
        <v>5000</v>
      </c>
      <c r="R5880" s="12">
        <v>84</v>
      </c>
      <c r="S5880" s="12" t="s">
        <v>7127</v>
      </c>
      <c r="T5880" s="22">
        <f t="shared" si="501"/>
        <v>12</v>
      </c>
      <c r="U5880" s="22">
        <f t="shared" si="502"/>
        <v>2022</v>
      </c>
      <c r="V5880" s="22" t="str">
        <f t="shared" si="503"/>
        <v>METROPOLITANA</v>
      </c>
    </row>
    <row r="5881" spans="1:22" x14ac:dyDescent="0.2">
      <c r="A5881" s="23" t="s">
        <v>7128</v>
      </c>
      <c r="B5881" s="22" t="s">
        <v>18</v>
      </c>
      <c r="C5881" s="22" t="s">
        <v>19</v>
      </c>
      <c r="D5881" s="22" t="s">
        <v>6790</v>
      </c>
      <c r="E5881" s="24" t="s">
        <v>6996</v>
      </c>
      <c r="F5881" s="22" t="s">
        <v>407</v>
      </c>
      <c r="G5881" s="25">
        <v>20038.36</v>
      </c>
      <c r="H5881" s="22" t="s">
        <v>24</v>
      </c>
      <c r="I5881" s="22">
        <v>1</v>
      </c>
      <c r="J5881" s="22" t="s">
        <v>407</v>
      </c>
      <c r="K5881" s="22" t="s">
        <v>408</v>
      </c>
      <c r="L5881" s="22">
        <v>0</v>
      </c>
      <c r="M5881" s="26">
        <v>1100000</v>
      </c>
      <c r="N5881" s="26">
        <v>0</v>
      </c>
      <c r="O5881" s="15">
        <f t="shared" si="504"/>
        <v>1100000</v>
      </c>
      <c r="P5881" s="15">
        <f t="shared" si="505"/>
        <v>54.894711942494297</v>
      </c>
      <c r="Q5881" s="25">
        <v>20000</v>
      </c>
      <c r="R5881" s="22">
        <v>100</v>
      </c>
      <c r="S5881" s="22" t="s">
        <v>7129</v>
      </c>
      <c r="T5881" s="22">
        <f t="shared" si="501"/>
        <v>12</v>
      </c>
      <c r="U5881" s="22">
        <f t="shared" si="502"/>
        <v>2022</v>
      </c>
      <c r="V5881" s="22" t="str">
        <f t="shared" si="503"/>
        <v>REGIONES</v>
      </c>
    </row>
    <row r="5882" spans="1:22" x14ac:dyDescent="0.2">
      <c r="A5882" s="23" t="s">
        <v>7128</v>
      </c>
      <c r="B5882" s="22" t="s">
        <v>33</v>
      </c>
      <c r="C5882" s="22" t="s">
        <v>128</v>
      </c>
      <c r="D5882" s="22" t="s">
        <v>37</v>
      </c>
      <c r="E5882" s="24" t="s">
        <v>40</v>
      </c>
      <c r="F5882" s="22" t="s">
        <v>1783</v>
      </c>
      <c r="G5882" s="25">
        <v>2971.52</v>
      </c>
      <c r="H5882" s="22" t="s">
        <v>22</v>
      </c>
      <c r="I5882" s="22">
        <v>0</v>
      </c>
      <c r="J5882" s="22" t="s">
        <v>1784</v>
      </c>
      <c r="K5882" s="22" t="s">
        <v>23</v>
      </c>
      <c r="L5882" s="22">
        <v>5</v>
      </c>
      <c r="M5882" s="26">
        <v>90000</v>
      </c>
      <c r="N5882" s="26">
        <v>0</v>
      </c>
      <c r="O5882" s="15">
        <f t="shared" si="504"/>
        <v>90000</v>
      </c>
      <c r="P5882" s="15">
        <f t="shared" si="505"/>
        <v>30.287529614473399</v>
      </c>
      <c r="Q5882" s="25">
        <v>10000</v>
      </c>
      <c r="R5882" s="22">
        <v>30</v>
      </c>
      <c r="S5882" s="22" t="s">
        <v>7130</v>
      </c>
      <c r="T5882" s="22">
        <f t="shared" si="501"/>
        <v>12</v>
      </c>
      <c r="U5882" s="22">
        <f t="shared" si="502"/>
        <v>2022</v>
      </c>
      <c r="V5882" s="22" t="str">
        <f t="shared" si="503"/>
        <v>METROPOLITANA</v>
      </c>
    </row>
    <row r="5883" spans="1:22" x14ac:dyDescent="0.2">
      <c r="A5883" s="23" t="s">
        <v>7128</v>
      </c>
      <c r="B5883" s="22" t="s">
        <v>33</v>
      </c>
      <c r="C5883" s="22" t="s">
        <v>128</v>
      </c>
      <c r="D5883" s="22" t="s">
        <v>786</v>
      </c>
      <c r="E5883" s="24" t="s">
        <v>787</v>
      </c>
      <c r="F5883" s="22" t="s">
        <v>34</v>
      </c>
      <c r="G5883" s="25">
        <v>11499.69</v>
      </c>
      <c r="H5883" s="22" t="s">
        <v>788</v>
      </c>
      <c r="I5883" s="22">
        <v>1</v>
      </c>
      <c r="J5883" s="22" t="s">
        <v>34</v>
      </c>
      <c r="K5883" s="22" t="s">
        <v>23</v>
      </c>
      <c r="L5883" s="22">
        <v>1</v>
      </c>
      <c r="M5883" s="26">
        <v>126497</v>
      </c>
      <c r="N5883" s="26">
        <v>0</v>
      </c>
      <c r="O5883" s="15">
        <f t="shared" si="504"/>
        <v>126497</v>
      </c>
      <c r="P5883" s="15">
        <f t="shared" si="505"/>
        <v>11.000035653134997</v>
      </c>
      <c r="Q5883" s="25">
        <v>5000</v>
      </c>
      <c r="R5883" s="22">
        <v>100</v>
      </c>
      <c r="S5883" s="22" t="s">
        <v>7131</v>
      </c>
      <c r="T5883" s="22">
        <f t="shared" si="501"/>
        <v>12</v>
      </c>
      <c r="U5883" s="22">
        <f t="shared" si="502"/>
        <v>2022</v>
      </c>
      <c r="V5883" s="22" t="str">
        <f t="shared" si="503"/>
        <v>METROPOLITANA</v>
      </c>
    </row>
    <row r="5884" spans="1:22" x14ac:dyDescent="0.2">
      <c r="A5884" s="23" t="s">
        <v>7128</v>
      </c>
      <c r="B5884" s="22" t="s">
        <v>33</v>
      </c>
      <c r="C5884" s="22" t="s">
        <v>417</v>
      </c>
      <c r="D5884" s="22" t="s">
        <v>786</v>
      </c>
      <c r="E5884" s="24" t="s">
        <v>787</v>
      </c>
      <c r="F5884" s="22" t="s">
        <v>418</v>
      </c>
      <c r="G5884" s="25">
        <v>13716.999999999991</v>
      </c>
      <c r="H5884" s="22" t="s">
        <v>788</v>
      </c>
      <c r="I5884" s="22">
        <v>1</v>
      </c>
      <c r="J5884" s="22" t="s">
        <v>418</v>
      </c>
      <c r="K5884" s="22" t="s">
        <v>171</v>
      </c>
      <c r="L5884" s="22">
        <v>0</v>
      </c>
      <c r="M5884" s="26">
        <v>280000</v>
      </c>
      <c r="N5884" s="26">
        <v>0</v>
      </c>
      <c r="O5884" s="15">
        <f t="shared" si="504"/>
        <v>280000</v>
      </c>
      <c r="P5884" s="15">
        <f t="shared" si="505"/>
        <v>20.412626667638712</v>
      </c>
      <c r="Q5884" s="25">
        <v>20000</v>
      </c>
      <c r="R5884" s="22">
        <v>69</v>
      </c>
      <c r="S5884" s="22" t="s">
        <v>7132</v>
      </c>
      <c r="T5884" s="22">
        <f t="shared" si="501"/>
        <v>12</v>
      </c>
      <c r="U5884" s="22">
        <f t="shared" si="502"/>
        <v>2022</v>
      </c>
      <c r="V5884" s="22" t="str">
        <f t="shared" si="503"/>
        <v>REGIONES</v>
      </c>
    </row>
    <row r="5885" spans="1:22" x14ac:dyDescent="0.2">
      <c r="A5885" s="23" t="s">
        <v>7128</v>
      </c>
      <c r="B5885" s="22" t="s">
        <v>33</v>
      </c>
      <c r="C5885" s="22" t="s">
        <v>223</v>
      </c>
      <c r="D5885" s="22" t="s">
        <v>37</v>
      </c>
      <c r="E5885" s="24" t="s">
        <v>40</v>
      </c>
      <c r="F5885" s="22" t="s">
        <v>51</v>
      </c>
      <c r="G5885" s="25">
        <v>8953</v>
      </c>
      <c r="H5885" s="22" t="s">
        <v>22</v>
      </c>
      <c r="I5885" s="22">
        <v>0</v>
      </c>
      <c r="J5885" s="22" t="s">
        <v>51</v>
      </c>
      <c r="K5885" s="22" t="s">
        <v>23</v>
      </c>
      <c r="L5885" s="22">
        <v>4</v>
      </c>
      <c r="M5885" s="26">
        <v>98483</v>
      </c>
      <c r="N5885" s="26">
        <v>0</v>
      </c>
      <c r="O5885" s="15">
        <f t="shared" si="504"/>
        <v>98483</v>
      </c>
      <c r="P5885" s="15">
        <f t="shared" si="505"/>
        <v>11</v>
      </c>
      <c r="Q5885" s="25">
        <v>5000</v>
      </c>
      <c r="R5885" s="22">
        <v>100</v>
      </c>
      <c r="S5885" s="22" t="s">
        <v>7133</v>
      </c>
      <c r="T5885" s="22">
        <f t="shared" si="501"/>
        <v>12</v>
      </c>
      <c r="U5885" s="22">
        <f t="shared" si="502"/>
        <v>2022</v>
      </c>
      <c r="V5885" s="22" t="str">
        <f t="shared" si="503"/>
        <v>METROPOLITANA</v>
      </c>
    </row>
    <row r="5886" spans="1:22" x14ac:dyDescent="0.2">
      <c r="A5886" s="23" t="s">
        <v>7128</v>
      </c>
      <c r="B5886" s="22" t="s">
        <v>33</v>
      </c>
      <c r="C5886" s="22" t="s">
        <v>223</v>
      </c>
      <c r="D5886" s="22" t="s">
        <v>7134</v>
      </c>
      <c r="E5886" s="24" t="s">
        <v>7135</v>
      </c>
      <c r="F5886" s="22" t="s">
        <v>92</v>
      </c>
      <c r="G5886" s="25">
        <v>8244.0000000000036</v>
      </c>
      <c r="H5886" s="22" t="s">
        <v>24</v>
      </c>
      <c r="I5886" s="22">
        <v>1</v>
      </c>
      <c r="J5886" s="22" t="s">
        <v>92</v>
      </c>
      <c r="K5886" s="22" t="s">
        <v>93</v>
      </c>
      <c r="L5886" s="22">
        <v>0</v>
      </c>
      <c r="M5886" s="26">
        <v>700000</v>
      </c>
      <c r="N5886" s="26">
        <v>0</v>
      </c>
      <c r="O5886" s="15">
        <f t="shared" si="504"/>
        <v>700000</v>
      </c>
      <c r="P5886" s="15">
        <f t="shared" si="505"/>
        <v>84.910237748665665</v>
      </c>
      <c r="Q5886" s="25">
        <v>20000</v>
      </c>
      <c r="R5886" s="22">
        <v>41</v>
      </c>
      <c r="S5886" s="22" t="s">
        <v>7136</v>
      </c>
      <c r="T5886" s="22">
        <f t="shared" si="501"/>
        <v>12</v>
      </c>
      <c r="U5886" s="22">
        <f t="shared" si="502"/>
        <v>2022</v>
      </c>
      <c r="V5886" s="22" t="str">
        <f t="shared" si="503"/>
        <v>REGIONES</v>
      </c>
    </row>
    <row r="5887" spans="1:22" x14ac:dyDescent="0.2">
      <c r="A5887" s="23" t="s">
        <v>7128</v>
      </c>
      <c r="B5887" s="22" t="s">
        <v>33</v>
      </c>
      <c r="C5887" s="22" t="s">
        <v>29</v>
      </c>
      <c r="D5887" s="22" t="s">
        <v>38</v>
      </c>
      <c r="E5887" s="24" t="s">
        <v>42</v>
      </c>
      <c r="F5887" s="22" t="s">
        <v>173</v>
      </c>
      <c r="G5887" s="25">
        <v>4591.8</v>
      </c>
      <c r="H5887" s="22" t="s">
        <v>43</v>
      </c>
      <c r="I5887" s="22">
        <v>0</v>
      </c>
      <c r="J5887" s="22" t="s">
        <v>173</v>
      </c>
      <c r="K5887" s="22" t="s">
        <v>23</v>
      </c>
      <c r="L5887" s="22">
        <v>5</v>
      </c>
      <c r="M5887" s="26">
        <v>90000</v>
      </c>
      <c r="N5887" s="26">
        <v>0</v>
      </c>
      <c r="O5887" s="15">
        <f t="shared" si="504"/>
        <v>90000</v>
      </c>
      <c r="P5887" s="15">
        <f t="shared" si="505"/>
        <v>19.600156801254411</v>
      </c>
      <c r="Q5887" s="25">
        <v>10000</v>
      </c>
      <c r="R5887" s="22">
        <v>46</v>
      </c>
      <c r="S5887" s="22" t="s">
        <v>7137</v>
      </c>
      <c r="T5887" s="22">
        <f t="shared" si="501"/>
        <v>12</v>
      </c>
      <c r="U5887" s="22">
        <f t="shared" si="502"/>
        <v>2022</v>
      </c>
      <c r="V5887" s="22" t="str">
        <f t="shared" si="503"/>
        <v>METROPOLITANA</v>
      </c>
    </row>
    <row r="5888" spans="1:22" x14ac:dyDescent="0.2">
      <c r="A5888" s="23" t="s">
        <v>7128</v>
      </c>
      <c r="B5888" s="22" t="s">
        <v>33</v>
      </c>
      <c r="C5888" s="22" t="s">
        <v>29</v>
      </c>
      <c r="D5888" s="22" t="s">
        <v>41</v>
      </c>
      <c r="E5888" s="24" t="s">
        <v>25</v>
      </c>
      <c r="F5888" s="22" t="s">
        <v>129</v>
      </c>
      <c r="G5888" s="25">
        <v>5335.15</v>
      </c>
      <c r="H5888" s="22" t="s">
        <v>43</v>
      </c>
      <c r="I5888" s="22">
        <v>0</v>
      </c>
      <c r="J5888" s="22" t="s">
        <v>129</v>
      </c>
      <c r="K5888" s="22" t="s">
        <v>23</v>
      </c>
      <c r="L5888" s="22">
        <v>1</v>
      </c>
      <c r="M5888" s="26">
        <v>58687</v>
      </c>
      <c r="N5888" s="26">
        <v>0</v>
      </c>
      <c r="O5888" s="15">
        <f t="shared" si="504"/>
        <v>58687</v>
      </c>
      <c r="P5888" s="15">
        <f t="shared" si="505"/>
        <v>11.000065602654097</v>
      </c>
      <c r="Q5888" s="25">
        <v>5000</v>
      </c>
      <c r="R5888" s="22">
        <v>100</v>
      </c>
      <c r="S5888" s="22" t="s">
        <v>7138</v>
      </c>
      <c r="T5888" s="22">
        <f t="shared" si="501"/>
        <v>12</v>
      </c>
      <c r="U5888" s="22">
        <f t="shared" si="502"/>
        <v>2022</v>
      </c>
      <c r="V5888" s="22" t="str">
        <f t="shared" si="503"/>
        <v>METROPOLITANA</v>
      </c>
    </row>
    <row r="5889" spans="1:22" x14ac:dyDescent="0.2">
      <c r="A5889" s="23" t="s">
        <v>7128</v>
      </c>
      <c r="B5889" s="22" t="s">
        <v>33</v>
      </c>
      <c r="C5889" s="22" t="s">
        <v>29</v>
      </c>
      <c r="D5889" s="22" t="s">
        <v>164</v>
      </c>
      <c r="E5889" s="24" t="s">
        <v>1576</v>
      </c>
      <c r="F5889" s="22" t="s">
        <v>39</v>
      </c>
      <c r="G5889" s="25">
        <v>18057.2</v>
      </c>
      <c r="H5889" s="22" t="s">
        <v>22</v>
      </c>
      <c r="I5889" s="22">
        <v>1</v>
      </c>
      <c r="J5889" s="22" t="s">
        <v>39</v>
      </c>
      <c r="K5889" s="22" t="s">
        <v>23</v>
      </c>
      <c r="L5889" s="22">
        <v>1</v>
      </c>
      <c r="M5889" s="26">
        <v>198629</v>
      </c>
      <c r="N5889" s="26">
        <v>0</v>
      </c>
      <c r="O5889" s="15">
        <f t="shared" si="504"/>
        <v>198629</v>
      </c>
      <c r="P5889" s="15">
        <f t="shared" si="505"/>
        <v>10.999988924085683</v>
      </c>
      <c r="Q5889" s="25">
        <v>5000</v>
      </c>
      <c r="R5889" s="22">
        <v>100</v>
      </c>
      <c r="S5889" s="22" t="s">
        <v>7139</v>
      </c>
      <c r="T5889" s="22">
        <f t="shared" si="501"/>
        <v>12</v>
      </c>
      <c r="U5889" s="22">
        <f t="shared" si="502"/>
        <v>2022</v>
      </c>
      <c r="V5889" s="22" t="str">
        <f t="shared" si="503"/>
        <v>METROPOLITANA</v>
      </c>
    </row>
    <row r="5890" spans="1:22" x14ac:dyDescent="0.2">
      <c r="A5890" s="23" t="s">
        <v>7128</v>
      </c>
      <c r="B5890" s="22" t="s">
        <v>33</v>
      </c>
      <c r="C5890" s="22" t="s">
        <v>29</v>
      </c>
      <c r="D5890" s="22" t="s">
        <v>20</v>
      </c>
      <c r="E5890" s="24" t="s">
        <v>21</v>
      </c>
      <c r="F5890" s="22" t="s">
        <v>39</v>
      </c>
      <c r="G5890" s="25">
        <v>8502</v>
      </c>
      <c r="H5890" s="22" t="s">
        <v>22</v>
      </c>
      <c r="I5890" s="22">
        <v>0</v>
      </c>
      <c r="J5890" s="22" t="s">
        <v>39</v>
      </c>
      <c r="K5890" s="22" t="s">
        <v>23</v>
      </c>
      <c r="L5890" s="22">
        <v>1</v>
      </c>
      <c r="M5890" s="26">
        <v>93522</v>
      </c>
      <c r="N5890" s="26">
        <v>0</v>
      </c>
      <c r="O5890" s="15">
        <f t="shared" si="504"/>
        <v>93522</v>
      </c>
      <c r="P5890" s="15">
        <f t="shared" si="505"/>
        <v>11</v>
      </c>
      <c r="Q5890" s="25">
        <v>5000</v>
      </c>
      <c r="R5890" s="22">
        <v>100</v>
      </c>
      <c r="S5890" s="22" t="s">
        <v>7140</v>
      </c>
      <c r="T5890" s="22">
        <f t="shared" si="501"/>
        <v>12</v>
      </c>
      <c r="U5890" s="22">
        <f t="shared" si="502"/>
        <v>2022</v>
      </c>
      <c r="V5890" s="22" t="str">
        <f t="shared" si="503"/>
        <v>METROPOLITANA</v>
      </c>
    </row>
    <row r="5891" spans="1:22" x14ac:dyDescent="0.2">
      <c r="A5891" s="23" t="s">
        <v>7128</v>
      </c>
      <c r="B5891" s="22" t="s">
        <v>33</v>
      </c>
      <c r="C5891" s="22" t="s">
        <v>44</v>
      </c>
      <c r="D5891" s="22" t="s">
        <v>191</v>
      </c>
      <c r="E5891" s="24" t="s">
        <v>192</v>
      </c>
      <c r="F5891" s="22" t="s">
        <v>3139</v>
      </c>
      <c r="G5891" s="25">
        <v>7776.0799999999972</v>
      </c>
      <c r="H5891" s="22" t="s">
        <v>85</v>
      </c>
      <c r="I5891" s="22">
        <v>1</v>
      </c>
      <c r="J5891" s="22" t="s">
        <v>3139</v>
      </c>
      <c r="K5891" s="22" t="s">
        <v>93</v>
      </c>
      <c r="L5891" s="22">
        <v>0</v>
      </c>
      <c r="M5891" s="26">
        <v>530000</v>
      </c>
      <c r="N5891" s="26">
        <v>0</v>
      </c>
      <c r="O5891" s="15">
        <f t="shared" si="504"/>
        <v>530000</v>
      </c>
      <c r="P5891" s="15">
        <f t="shared" si="505"/>
        <v>68.157735002726341</v>
      </c>
      <c r="Q5891" s="25">
        <v>20000</v>
      </c>
      <c r="R5891" s="22">
        <v>39</v>
      </c>
      <c r="S5891" s="22" t="s">
        <v>7141</v>
      </c>
      <c r="T5891" s="22">
        <f t="shared" si="501"/>
        <v>12</v>
      </c>
      <c r="U5891" s="22">
        <f t="shared" si="502"/>
        <v>2022</v>
      </c>
      <c r="V5891" s="22" t="str">
        <f t="shared" si="503"/>
        <v>REGIONES</v>
      </c>
    </row>
    <row r="5892" spans="1:22" x14ac:dyDescent="0.2">
      <c r="A5892" s="23" t="s">
        <v>7128</v>
      </c>
      <c r="B5892" s="22" t="s">
        <v>33</v>
      </c>
      <c r="C5892" s="22" t="s">
        <v>44</v>
      </c>
      <c r="D5892" s="22" t="s">
        <v>7075</v>
      </c>
      <c r="E5892" s="24" t="s">
        <v>7076</v>
      </c>
      <c r="F5892" s="22" t="s">
        <v>3438</v>
      </c>
      <c r="G5892" s="25">
        <v>5042.62</v>
      </c>
      <c r="H5892" s="22" t="s">
        <v>24</v>
      </c>
      <c r="I5892" s="22">
        <v>1</v>
      </c>
      <c r="J5892" s="22" t="s">
        <v>3438</v>
      </c>
      <c r="K5892" s="22" t="s">
        <v>93</v>
      </c>
      <c r="L5892" s="22">
        <v>0</v>
      </c>
      <c r="M5892" s="26">
        <v>800000</v>
      </c>
      <c r="N5892" s="26">
        <v>0</v>
      </c>
      <c r="O5892" s="15">
        <f t="shared" si="504"/>
        <v>800000</v>
      </c>
      <c r="P5892" s="15">
        <f t="shared" si="505"/>
        <v>158.64768711503149</v>
      </c>
      <c r="Q5892" s="25">
        <v>20000</v>
      </c>
      <c r="R5892" s="22">
        <v>25</v>
      </c>
      <c r="S5892" s="22" t="s">
        <v>7142</v>
      </c>
      <c r="T5892" s="22">
        <f t="shared" si="501"/>
        <v>12</v>
      </c>
      <c r="U5892" s="22">
        <f t="shared" si="502"/>
        <v>2022</v>
      </c>
      <c r="V5892" s="22" t="str">
        <f t="shared" si="503"/>
        <v>REGIONES</v>
      </c>
    </row>
    <row r="5893" spans="1:22" x14ac:dyDescent="0.2">
      <c r="A5893" s="23" t="s">
        <v>7128</v>
      </c>
      <c r="B5893" s="22" t="s">
        <v>33</v>
      </c>
      <c r="C5893" s="22" t="s">
        <v>44</v>
      </c>
      <c r="D5893" s="22" t="s">
        <v>30</v>
      </c>
      <c r="E5893" s="24" t="s">
        <v>7143</v>
      </c>
      <c r="F5893" s="22" t="s">
        <v>182</v>
      </c>
      <c r="G5893" s="25">
        <v>2513.8200000000002</v>
      </c>
      <c r="H5893" s="22" t="s">
        <v>32</v>
      </c>
      <c r="I5893" s="22">
        <v>0</v>
      </c>
      <c r="J5893" s="22" t="s">
        <v>182</v>
      </c>
      <c r="K5893" s="22" t="s">
        <v>23</v>
      </c>
      <c r="L5893" s="22">
        <v>4</v>
      </c>
      <c r="M5893" s="26">
        <v>55000</v>
      </c>
      <c r="N5893" s="26">
        <v>0</v>
      </c>
      <c r="O5893" s="15">
        <f t="shared" si="504"/>
        <v>55000</v>
      </c>
      <c r="P5893" s="15">
        <f t="shared" si="505"/>
        <v>21.879052597242442</v>
      </c>
      <c r="Q5893" s="25">
        <v>5000</v>
      </c>
      <c r="R5893" s="22">
        <v>50</v>
      </c>
      <c r="S5893" s="22" t="s">
        <v>7144</v>
      </c>
      <c r="T5893" s="22">
        <f t="shared" si="501"/>
        <v>12</v>
      </c>
      <c r="U5893" s="22">
        <f t="shared" si="502"/>
        <v>2022</v>
      </c>
      <c r="V5893" s="22" t="str">
        <f t="shared" si="503"/>
        <v>METROPOLITANA</v>
      </c>
    </row>
    <row r="5894" spans="1:22" x14ac:dyDescent="0.2">
      <c r="A5894" s="23" t="s">
        <v>7128</v>
      </c>
      <c r="B5894" s="22" t="s">
        <v>33</v>
      </c>
      <c r="C5894" s="22" t="s">
        <v>44</v>
      </c>
      <c r="D5894" s="22" t="s">
        <v>45</v>
      </c>
      <c r="E5894" s="24" t="s">
        <v>52</v>
      </c>
      <c r="F5894" s="22" t="s">
        <v>138</v>
      </c>
      <c r="G5894" s="25">
        <v>2683.2000000000012</v>
      </c>
      <c r="H5894" s="22" t="s">
        <v>22</v>
      </c>
      <c r="I5894" s="22">
        <v>0</v>
      </c>
      <c r="J5894" s="22" t="s">
        <v>138</v>
      </c>
      <c r="K5894" s="22" t="s">
        <v>23</v>
      </c>
      <c r="L5894" s="22">
        <v>3</v>
      </c>
      <c r="M5894" s="26">
        <v>55000</v>
      </c>
      <c r="N5894" s="26">
        <v>0</v>
      </c>
      <c r="O5894" s="15">
        <f t="shared" si="504"/>
        <v>55000</v>
      </c>
      <c r="P5894" s="15">
        <f t="shared" si="505"/>
        <v>20.497912939773396</v>
      </c>
      <c r="Q5894" s="25">
        <v>5000</v>
      </c>
      <c r="R5894" s="22">
        <v>54</v>
      </c>
      <c r="S5894" s="22" t="s">
        <v>7145</v>
      </c>
      <c r="T5894" s="22">
        <f t="shared" si="501"/>
        <v>12</v>
      </c>
      <c r="U5894" s="22">
        <f t="shared" si="502"/>
        <v>2022</v>
      </c>
      <c r="V5894" s="22" t="str">
        <f t="shared" si="503"/>
        <v>METROPOLITANA</v>
      </c>
    </row>
    <row r="5895" spans="1:22" x14ac:dyDescent="0.2">
      <c r="A5895" s="23" t="s">
        <v>7128</v>
      </c>
      <c r="B5895" s="22" t="s">
        <v>33</v>
      </c>
      <c r="C5895" s="22" t="s">
        <v>44</v>
      </c>
      <c r="D5895" s="22" t="s">
        <v>47</v>
      </c>
      <c r="E5895" s="24" t="s">
        <v>49</v>
      </c>
      <c r="F5895" s="22" t="s">
        <v>51</v>
      </c>
      <c r="G5895" s="25">
        <v>3094.09</v>
      </c>
      <c r="H5895" s="22" t="s">
        <v>22</v>
      </c>
      <c r="I5895" s="22">
        <v>0</v>
      </c>
      <c r="J5895" s="22" t="s">
        <v>51</v>
      </c>
      <c r="K5895" s="22" t="s">
        <v>23</v>
      </c>
      <c r="L5895" s="22">
        <v>4</v>
      </c>
      <c r="M5895" s="26">
        <v>55000</v>
      </c>
      <c r="N5895" s="26">
        <v>0</v>
      </c>
      <c r="O5895" s="15">
        <f t="shared" si="504"/>
        <v>55000</v>
      </c>
      <c r="P5895" s="15">
        <f t="shared" si="505"/>
        <v>17.775824232649988</v>
      </c>
      <c r="Q5895" s="25">
        <v>5000</v>
      </c>
      <c r="R5895" s="22">
        <v>62</v>
      </c>
      <c r="S5895" s="22" t="s">
        <v>7146</v>
      </c>
      <c r="T5895" s="22">
        <f t="shared" ref="T5895:T5958" si="506">MONTH(A5895)</f>
        <v>12</v>
      </c>
      <c r="U5895" s="22">
        <f t="shared" ref="U5895:U5958" si="507">YEAR(A5895)</f>
        <v>2022</v>
      </c>
      <c r="V5895" s="22" t="str">
        <f t="shared" ref="V5895:V5958" si="508">IF(K5895="METROPOLITANA DE SANTIAGO","METROPOLITANA","REGIONES")</f>
        <v>METROPOLITANA</v>
      </c>
    </row>
    <row r="5896" spans="1:22" x14ac:dyDescent="0.2">
      <c r="A5896" s="11" t="s">
        <v>7147</v>
      </c>
      <c r="B5896" s="12" t="s">
        <v>18</v>
      </c>
      <c r="C5896" s="12" t="s">
        <v>7148</v>
      </c>
      <c r="D5896" s="12" t="s">
        <v>7149</v>
      </c>
      <c r="E5896" s="13" t="s">
        <v>7150</v>
      </c>
      <c r="F5896" s="12" t="s">
        <v>129</v>
      </c>
      <c r="G5896" s="14">
        <v>4798.05</v>
      </c>
      <c r="H5896" s="12" t="s">
        <v>24</v>
      </c>
      <c r="I5896" s="12">
        <v>1</v>
      </c>
      <c r="J5896" s="12" t="s">
        <v>129</v>
      </c>
      <c r="K5896" s="12" t="s">
        <v>23</v>
      </c>
      <c r="L5896" s="12">
        <v>1</v>
      </c>
      <c r="M5896" s="15">
        <v>55000</v>
      </c>
      <c r="N5896" s="15">
        <v>0</v>
      </c>
      <c r="O5896" s="15">
        <f t="shared" si="504"/>
        <v>55000</v>
      </c>
      <c r="P5896" s="15">
        <f t="shared" si="505"/>
        <v>11.462990173091152</v>
      </c>
      <c r="Q5896" s="14">
        <v>5000</v>
      </c>
      <c r="R5896" s="12">
        <v>96</v>
      </c>
      <c r="S5896" s="12" t="s">
        <v>7151</v>
      </c>
      <c r="T5896" s="22">
        <f t="shared" si="506"/>
        <v>12</v>
      </c>
      <c r="U5896" s="22">
        <f t="shared" si="507"/>
        <v>2022</v>
      </c>
      <c r="V5896" s="22" t="str">
        <f t="shared" si="508"/>
        <v>METROPOLITANA</v>
      </c>
    </row>
    <row r="5897" spans="1:22" x14ac:dyDescent="0.2">
      <c r="A5897" s="11" t="s">
        <v>7147</v>
      </c>
      <c r="B5897" s="12" t="s">
        <v>18</v>
      </c>
      <c r="C5897" s="12" t="s">
        <v>29</v>
      </c>
      <c r="D5897" s="12" t="s">
        <v>41</v>
      </c>
      <c r="E5897" s="13" t="s">
        <v>25</v>
      </c>
      <c r="F5897" s="12" t="s">
        <v>39</v>
      </c>
      <c r="G5897" s="14">
        <v>6027.1200000000008</v>
      </c>
      <c r="H5897" s="12" t="s">
        <v>43</v>
      </c>
      <c r="I5897" s="12">
        <v>0</v>
      </c>
      <c r="J5897" s="12" t="s">
        <v>39</v>
      </c>
      <c r="K5897" s="12" t="s">
        <v>23</v>
      </c>
      <c r="L5897" s="12">
        <v>1</v>
      </c>
      <c r="M5897" s="15">
        <v>66298</v>
      </c>
      <c r="N5897" s="15">
        <v>0</v>
      </c>
      <c r="O5897" s="15">
        <f t="shared" si="504"/>
        <v>66298</v>
      </c>
      <c r="P5897" s="15">
        <f t="shared" si="505"/>
        <v>10.999946906648614</v>
      </c>
      <c r="Q5897" s="14">
        <v>5000</v>
      </c>
      <c r="R5897" s="12">
        <v>100</v>
      </c>
      <c r="S5897" s="12" t="s">
        <v>7152</v>
      </c>
      <c r="T5897" s="22">
        <f t="shared" si="506"/>
        <v>12</v>
      </c>
      <c r="U5897" s="22">
        <f t="shared" si="507"/>
        <v>2022</v>
      </c>
      <c r="V5897" s="22" t="str">
        <f t="shared" si="508"/>
        <v>METROPOLITANA</v>
      </c>
    </row>
    <row r="5898" spans="1:22" x14ac:dyDescent="0.2">
      <c r="A5898" s="11" t="s">
        <v>7147</v>
      </c>
      <c r="B5898" s="12" t="s">
        <v>33</v>
      </c>
      <c r="C5898" s="12" t="s">
        <v>36</v>
      </c>
      <c r="D5898" s="12" t="s">
        <v>7149</v>
      </c>
      <c r="E5898" s="13" t="s">
        <v>7150</v>
      </c>
      <c r="F5898" s="12" t="s">
        <v>815</v>
      </c>
      <c r="G5898" s="14">
        <v>5071.2</v>
      </c>
      <c r="H5898" s="12" t="s">
        <v>24</v>
      </c>
      <c r="I5898" s="12">
        <v>1</v>
      </c>
      <c r="J5898" s="12" t="s">
        <v>815</v>
      </c>
      <c r="K5898" s="12" t="s">
        <v>75</v>
      </c>
      <c r="L5898" s="12">
        <v>0</v>
      </c>
      <c r="M5898" s="15">
        <v>460000</v>
      </c>
      <c r="N5898" s="15">
        <v>0</v>
      </c>
      <c r="O5898" s="15">
        <f t="shared" si="504"/>
        <v>460000</v>
      </c>
      <c r="P5898" s="15">
        <f t="shared" si="505"/>
        <v>90.708313614134724</v>
      </c>
      <c r="Q5898" s="14">
        <v>20000</v>
      </c>
      <c r="R5898" s="12">
        <v>25</v>
      </c>
      <c r="S5898" s="12" t="s">
        <v>7153</v>
      </c>
      <c r="T5898" s="22">
        <f t="shared" si="506"/>
        <v>12</v>
      </c>
      <c r="U5898" s="22">
        <f t="shared" si="507"/>
        <v>2022</v>
      </c>
      <c r="V5898" s="22" t="str">
        <f t="shared" si="508"/>
        <v>REGIONES</v>
      </c>
    </row>
    <row r="5899" spans="1:22" x14ac:dyDescent="0.2">
      <c r="A5899" s="11" t="s">
        <v>7147</v>
      </c>
      <c r="B5899" s="12" t="s">
        <v>33</v>
      </c>
      <c r="C5899" s="12" t="s">
        <v>36</v>
      </c>
      <c r="D5899" s="12" t="s">
        <v>38</v>
      </c>
      <c r="E5899" s="13" t="s">
        <v>42</v>
      </c>
      <c r="F5899" s="12" t="s">
        <v>182</v>
      </c>
      <c r="G5899" s="14">
        <v>3438.4</v>
      </c>
      <c r="H5899" s="12" t="s">
        <v>43</v>
      </c>
      <c r="I5899" s="12">
        <v>0</v>
      </c>
      <c r="J5899" s="12" t="s">
        <v>182</v>
      </c>
      <c r="K5899" s="12" t="s">
        <v>23</v>
      </c>
      <c r="L5899" s="12">
        <v>4</v>
      </c>
      <c r="M5899" s="15">
        <v>55000</v>
      </c>
      <c r="N5899" s="15">
        <v>0</v>
      </c>
      <c r="O5899" s="15">
        <f t="shared" si="504"/>
        <v>55000</v>
      </c>
      <c r="P5899" s="15">
        <f t="shared" si="505"/>
        <v>15.995812005583993</v>
      </c>
      <c r="Q5899" s="14">
        <v>5000</v>
      </c>
      <c r="R5899" s="12">
        <v>69</v>
      </c>
      <c r="S5899" s="12" t="s">
        <v>7154</v>
      </c>
      <c r="T5899" s="22">
        <f t="shared" si="506"/>
        <v>12</v>
      </c>
      <c r="U5899" s="22">
        <f t="shared" si="507"/>
        <v>2022</v>
      </c>
      <c r="V5899" s="22" t="str">
        <f t="shared" si="508"/>
        <v>METROPOLITANA</v>
      </c>
    </row>
    <row r="5900" spans="1:22" x14ac:dyDescent="0.2">
      <c r="A5900" s="11" t="s">
        <v>7147</v>
      </c>
      <c r="B5900" s="12" t="s">
        <v>33</v>
      </c>
      <c r="C5900" s="12" t="s">
        <v>36</v>
      </c>
      <c r="D5900" s="12" t="s">
        <v>47</v>
      </c>
      <c r="E5900" s="13" t="s">
        <v>49</v>
      </c>
      <c r="F5900" s="12" t="s">
        <v>376</v>
      </c>
      <c r="G5900" s="14">
        <v>4902.26</v>
      </c>
      <c r="H5900" s="12" t="s">
        <v>22</v>
      </c>
      <c r="I5900" s="12">
        <v>0</v>
      </c>
      <c r="J5900" s="12" t="s">
        <v>377</v>
      </c>
      <c r="K5900" s="12" t="s">
        <v>23</v>
      </c>
      <c r="L5900" s="12">
        <v>4</v>
      </c>
      <c r="M5900" s="15">
        <v>55000</v>
      </c>
      <c r="N5900" s="15">
        <v>0</v>
      </c>
      <c r="O5900" s="15">
        <f t="shared" si="504"/>
        <v>55000</v>
      </c>
      <c r="P5900" s="15">
        <f t="shared" si="505"/>
        <v>11.21931517300184</v>
      </c>
      <c r="Q5900" s="14">
        <v>5000</v>
      </c>
      <c r="R5900" s="12">
        <v>98</v>
      </c>
      <c r="S5900" s="12" t="s">
        <v>7155</v>
      </c>
      <c r="T5900" s="22">
        <f t="shared" si="506"/>
        <v>12</v>
      </c>
      <c r="U5900" s="22">
        <f t="shared" si="507"/>
        <v>2022</v>
      </c>
      <c r="V5900" s="22" t="str">
        <f t="shared" si="508"/>
        <v>METROPOLITANA</v>
      </c>
    </row>
    <row r="5901" spans="1:22" x14ac:dyDescent="0.2">
      <c r="A5901" s="11" t="s">
        <v>7147</v>
      </c>
      <c r="B5901" s="12" t="s">
        <v>33</v>
      </c>
      <c r="C5901" s="12" t="s">
        <v>36</v>
      </c>
      <c r="D5901" s="12" t="s">
        <v>20</v>
      </c>
      <c r="E5901" s="13" t="s">
        <v>21</v>
      </c>
      <c r="F5901" s="12" t="s">
        <v>46</v>
      </c>
      <c r="G5901" s="14">
        <v>5773.6400000000012</v>
      </c>
      <c r="H5901" s="12" t="s">
        <v>22</v>
      </c>
      <c r="I5901" s="12">
        <v>0</v>
      </c>
      <c r="J5901" s="12" t="s">
        <v>46</v>
      </c>
      <c r="K5901" s="12" t="s">
        <v>23</v>
      </c>
      <c r="L5901" s="12">
        <v>2</v>
      </c>
      <c r="M5901" s="15">
        <v>63510</v>
      </c>
      <c r="N5901" s="15">
        <v>0</v>
      </c>
      <c r="O5901" s="15">
        <f t="shared" si="504"/>
        <v>63510</v>
      </c>
      <c r="P5901" s="15">
        <f t="shared" si="505"/>
        <v>10.999993071961534</v>
      </c>
      <c r="Q5901" s="14">
        <v>5000</v>
      </c>
      <c r="R5901" s="12">
        <v>100</v>
      </c>
      <c r="S5901" s="12" t="s">
        <v>7156</v>
      </c>
      <c r="T5901" s="22">
        <f t="shared" si="506"/>
        <v>12</v>
      </c>
      <c r="U5901" s="22">
        <f t="shared" si="507"/>
        <v>2022</v>
      </c>
      <c r="V5901" s="22" t="str">
        <f t="shared" si="508"/>
        <v>METROPOLITANA</v>
      </c>
    </row>
    <row r="5902" spans="1:22" x14ac:dyDescent="0.2">
      <c r="A5902" s="11" t="s">
        <v>7147</v>
      </c>
      <c r="B5902" s="12" t="s">
        <v>33</v>
      </c>
      <c r="C5902" s="12" t="s">
        <v>87</v>
      </c>
      <c r="D5902" s="12" t="s">
        <v>2955</v>
      </c>
      <c r="E5902" s="13" t="s">
        <v>2956</v>
      </c>
      <c r="F5902" s="12" t="s">
        <v>51</v>
      </c>
      <c r="G5902" s="14">
        <v>23434</v>
      </c>
      <c r="H5902" s="12" t="s">
        <v>24</v>
      </c>
      <c r="I5902" s="12">
        <v>1</v>
      </c>
      <c r="J5902" s="12" t="s">
        <v>51</v>
      </c>
      <c r="K5902" s="12" t="s">
        <v>23</v>
      </c>
      <c r="L5902" s="12">
        <v>4</v>
      </c>
      <c r="M5902" s="15">
        <v>257774</v>
      </c>
      <c r="N5902" s="15">
        <v>0</v>
      </c>
      <c r="O5902" s="15">
        <f t="shared" si="504"/>
        <v>257774</v>
      </c>
      <c r="P5902" s="15">
        <f t="shared" si="505"/>
        <v>11</v>
      </c>
      <c r="Q5902" s="14">
        <v>5000</v>
      </c>
      <c r="R5902" s="12">
        <v>100</v>
      </c>
      <c r="S5902" s="12" t="s">
        <v>7157</v>
      </c>
      <c r="T5902" s="22">
        <f t="shared" si="506"/>
        <v>12</v>
      </c>
      <c r="U5902" s="22">
        <f t="shared" si="507"/>
        <v>2022</v>
      </c>
      <c r="V5902" s="22" t="str">
        <f t="shared" si="508"/>
        <v>METROPOLITANA</v>
      </c>
    </row>
    <row r="5903" spans="1:22" x14ac:dyDescent="0.2">
      <c r="A5903" s="11" t="s">
        <v>7147</v>
      </c>
      <c r="B5903" s="12" t="s">
        <v>33</v>
      </c>
      <c r="C5903" s="12" t="s">
        <v>29</v>
      </c>
      <c r="D5903" s="12" t="s">
        <v>41</v>
      </c>
      <c r="E5903" s="13" t="s">
        <v>25</v>
      </c>
      <c r="F5903" s="12" t="s">
        <v>39</v>
      </c>
      <c r="G5903" s="14">
        <v>6826.2999999999975</v>
      </c>
      <c r="H5903" s="12" t="s">
        <v>43</v>
      </c>
      <c r="I5903" s="12">
        <v>0</v>
      </c>
      <c r="J5903" s="12" t="s">
        <v>39</v>
      </c>
      <c r="K5903" s="12" t="s">
        <v>23</v>
      </c>
      <c r="L5903" s="12">
        <v>1</v>
      </c>
      <c r="M5903" s="15">
        <v>75089</v>
      </c>
      <c r="N5903" s="15">
        <v>0</v>
      </c>
      <c r="O5903" s="15">
        <f t="shared" si="504"/>
        <v>75089</v>
      </c>
      <c r="P5903" s="15">
        <f t="shared" si="505"/>
        <v>10.999956052327033</v>
      </c>
      <c r="Q5903" s="14">
        <v>5000</v>
      </c>
      <c r="R5903" s="12">
        <v>100</v>
      </c>
      <c r="S5903" s="12" t="s">
        <v>7158</v>
      </c>
      <c r="T5903" s="22">
        <f t="shared" si="506"/>
        <v>12</v>
      </c>
      <c r="U5903" s="22">
        <f t="shared" si="507"/>
        <v>2022</v>
      </c>
      <c r="V5903" s="22" t="str">
        <f t="shared" si="508"/>
        <v>METROPOLITANA</v>
      </c>
    </row>
    <row r="5904" spans="1:22" x14ac:dyDescent="0.2">
      <c r="A5904" s="11" t="s">
        <v>7147</v>
      </c>
      <c r="B5904" s="12" t="s">
        <v>33</v>
      </c>
      <c r="C5904" s="12" t="s">
        <v>29</v>
      </c>
      <c r="D5904" s="12" t="s">
        <v>164</v>
      </c>
      <c r="E5904" s="13" t="s">
        <v>1576</v>
      </c>
      <c r="F5904" s="12" t="s">
        <v>39</v>
      </c>
      <c r="G5904" s="14">
        <v>10218.879999999999</v>
      </c>
      <c r="H5904" s="12" t="s">
        <v>22</v>
      </c>
      <c r="I5904" s="12">
        <v>1</v>
      </c>
      <c r="J5904" s="12" t="s">
        <v>39</v>
      </c>
      <c r="K5904" s="12" t="s">
        <v>23</v>
      </c>
      <c r="L5904" s="12">
        <v>1</v>
      </c>
      <c r="M5904" s="15">
        <v>112408</v>
      </c>
      <c r="N5904" s="15">
        <v>0</v>
      </c>
      <c r="O5904" s="15">
        <f t="shared" si="504"/>
        <v>112408</v>
      </c>
      <c r="P5904" s="15">
        <f t="shared" si="505"/>
        <v>11.000031314586336</v>
      </c>
      <c r="Q5904" s="14">
        <v>5000</v>
      </c>
      <c r="R5904" s="12">
        <v>100</v>
      </c>
      <c r="S5904" s="12" t="s">
        <v>7159</v>
      </c>
      <c r="T5904" s="22">
        <f t="shared" si="506"/>
        <v>12</v>
      </c>
      <c r="U5904" s="22">
        <f t="shared" si="507"/>
        <v>2022</v>
      </c>
      <c r="V5904" s="22" t="str">
        <f t="shared" si="508"/>
        <v>METROPOLITANA</v>
      </c>
    </row>
    <row r="5905" spans="1:22" x14ac:dyDescent="0.2">
      <c r="A5905" s="11" t="s">
        <v>7147</v>
      </c>
      <c r="B5905" s="12" t="s">
        <v>33</v>
      </c>
      <c r="C5905" s="12" t="s">
        <v>44</v>
      </c>
      <c r="D5905" s="12" t="s">
        <v>5478</v>
      </c>
      <c r="E5905" s="13" t="s">
        <v>83</v>
      </c>
      <c r="F5905" s="12" t="s">
        <v>84</v>
      </c>
      <c r="G5905" s="14">
        <v>6592.4099999999989</v>
      </c>
      <c r="H5905" s="12" t="s">
        <v>24</v>
      </c>
      <c r="I5905" s="12">
        <v>1</v>
      </c>
      <c r="J5905" s="12" t="s">
        <v>84</v>
      </c>
      <c r="K5905" s="12" t="s">
        <v>86</v>
      </c>
      <c r="L5905" s="12">
        <v>0</v>
      </c>
      <c r="M5905" s="15">
        <v>360000</v>
      </c>
      <c r="N5905" s="15">
        <v>0</v>
      </c>
      <c r="O5905" s="15">
        <f t="shared" si="504"/>
        <v>360000</v>
      </c>
      <c r="P5905" s="15">
        <f t="shared" si="505"/>
        <v>54.608254037597789</v>
      </c>
      <c r="Q5905" s="14">
        <v>20000</v>
      </c>
      <c r="R5905" s="12">
        <v>33</v>
      </c>
      <c r="S5905" s="12" t="s">
        <v>7160</v>
      </c>
      <c r="T5905" s="22">
        <f t="shared" si="506"/>
        <v>12</v>
      </c>
      <c r="U5905" s="22">
        <f t="shared" si="507"/>
        <v>2022</v>
      </c>
      <c r="V5905" s="22" t="str">
        <f t="shared" si="508"/>
        <v>REGIONES</v>
      </c>
    </row>
    <row r="5906" spans="1:22" x14ac:dyDescent="0.2">
      <c r="A5906" s="11" t="s">
        <v>7147</v>
      </c>
      <c r="B5906" s="12" t="s">
        <v>33</v>
      </c>
      <c r="C5906" s="12" t="s">
        <v>44</v>
      </c>
      <c r="D5906" s="12" t="s">
        <v>37</v>
      </c>
      <c r="E5906" s="13" t="s">
        <v>40</v>
      </c>
      <c r="F5906" s="12" t="s">
        <v>48</v>
      </c>
      <c r="G5906" s="14">
        <v>7670.3199999999988</v>
      </c>
      <c r="H5906" s="12" t="s">
        <v>22</v>
      </c>
      <c r="I5906" s="12">
        <v>0</v>
      </c>
      <c r="J5906" s="12" t="s">
        <v>48</v>
      </c>
      <c r="K5906" s="12" t="s">
        <v>23</v>
      </c>
      <c r="L5906" s="12">
        <v>1</v>
      </c>
      <c r="M5906" s="15">
        <v>84374</v>
      </c>
      <c r="N5906" s="15">
        <v>0</v>
      </c>
      <c r="O5906" s="15">
        <f t="shared" si="504"/>
        <v>84374</v>
      </c>
      <c r="P5906" s="15">
        <f t="shared" si="505"/>
        <v>11.000062578875459</v>
      </c>
      <c r="Q5906" s="14">
        <v>5000</v>
      </c>
      <c r="R5906" s="12">
        <v>100</v>
      </c>
      <c r="S5906" s="12" t="s">
        <v>7161</v>
      </c>
      <c r="T5906" s="22">
        <f t="shared" si="506"/>
        <v>12</v>
      </c>
      <c r="U5906" s="22">
        <f t="shared" si="507"/>
        <v>2022</v>
      </c>
      <c r="V5906" s="22" t="str">
        <f t="shared" si="508"/>
        <v>METROPOLITANA</v>
      </c>
    </row>
    <row r="5907" spans="1:22" x14ac:dyDescent="0.2">
      <c r="A5907" s="11" t="s">
        <v>7147</v>
      </c>
      <c r="B5907" s="12" t="s">
        <v>33</v>
      </c>
      <c r="C5907" s="12" t="s">
        <v>44</v>
      </c>
      <c r="D5907" s="12" t="s">
        <v>45</v>
      </c>
      <c r="E5907" s="13" t="s">
        <v>52</v>
      </c>
      <c r="F5907" s="12" t="s">
        <v>95</v>
      </c>
      <c r="G5907" s="14">
        <v>3148.52</v>
      </c>
      <c r="H5907" s="12" t="s">
        <v>22</v>
      </c>
      <c r="I5907" s="12">
        <v>0</v>
      </c>
      <c r="J5907" s="12" t="s">
        <v>95</v>
      </c>
      <c r="K5907" s="12" t="s">
        <v>23</v>
      </c>
      <c r="L5907" s="12">
        <v>4</v>
      </c>
      <c r="M5907" s="15">
        <v>55000</v>
      </c>
      <c r="N5907" s="15">
        <v>0</v>
      </c>
      <c r="O5907" s="15">
        <f t="shared" ref="O5907:O5970" si="509">SUM(M5907:N5907)</f>
        <v>55000</v>
      </c>
      <c r="P5907" s="15">
        <f t="shared" si="505"/>
        <v>17.468524894236023</v>
      </c>
      <c r="Q5907" s="14">
        <v>5000</v>
      </c>
      <c r="R5907" s="12">
        <v>63</v>
      </c>
      <c r="S5907" s="12" t="s">
        <v>7162</v>
      </c>
      <c r="T5907" s="22">
        <f t="shared" si="506"/>
        <v>12</v>
      </c>
      <c r="U5907" s="22">
        <f t="shared" si="507"/>
        <v>2022</v>
      </c>
      <c r="V5907" s="22" t="str">
        <f t="shared" si="508"/>
        <v>METROPOLITANA</v>
      </c>
    </row>
    <row r="5908" spans="1:22" x14ac:dyDescent="0.2">
      <c r="A5908" s="23" t="s">
        <v>7163</v>
      </c>
      <c r="B5908" s="22" t="s">
        <v>33</v>
      </c>
      <c r="C5908" s="22" t="s">
        <v>128</v>
      </c>
      <c r="D5908" s="22" t="s">
        <v>41</v>
      </c>
      <c r="E5908" s="24" t="s">
        <v>25</v>
      </c>
      <c r="F5908" s="22" t="s">
        <v>129</v>
      </c>
      <c r="G5908" s="25">
        <v>2800.8</v>
      </c>
      <c r="H5908" s="22" t="s">
        <v>43</v>
      </c>
      <c r="I5908" s="22">
        <v>0</v>
      </c>
      <c r="J5908" s="22" t="s">
        <v>129</v>
      </c>
      <c r="K5908" s="22" t="s">
        <v>23</v>
      </c>
      <c r="L5908" s="22">
        <v>1</v>
      </c>
      <c r="M5908" s="26">
        <v>55000</v>
      </c>
      <c r="N5908" s="26">
        <v>0</v>
      </c>
      <c r="O5908" s="15">
        <f t="shared" si="509"/>
        <v>55000</v>
      </c>
      <c r="P5908" s="15">
        <f t="shared" si="505"/>
        <v>19.637246500999712</v>
      </c>
      <c r="Q5908" s="25">
        <v>5000</v>
      </c>
      <c r="R5908" s="22">
        <v>56</v>
      </c>
      <c r="S5908" s="22" t="s">
        <v>7164</v>
      </c>
      <c r="T5908" s="22">
        <f t="shared" si="506"/>
        <v>12</v>
      </c>
      <c r="U5908" s="22">
        <f t="shared" si="507"/>
        <v>2022</v>
      </c>
      <c r="V5908" s="22" t="str">
        <f t="shared" si="508"/>
        <v>METROPOLITANA</v>
      </c>
    </row>
    <row r="5909" spans="1:22" x14ac:dyDescent="0.2">
      <c r="A5909" s="23" t="s">
        <v>7163</v>
      </c>
      <c r="B5909" s="22" t="s">
        <v>33</v>
      </c>
      <c r="C5909" s="22" t="s">
        <v>36</v>
      </c>
      <c r="D5909" s="22" t="s">
        <v>45</v>
      </c>
      <c r="E5909" s="24" t="s">
        <v>52</v>
      </c>
      <c r="F5909" s="22" t="s">
        <v>53</v>
      </c>
      <c r="G5909" s="25">
        <v>2296.4</v>
      </c>
      <c r="H5909" s="22" t="s">
        <v>22</v>
      </c>
      <c r="I5909" s="22">
        <v>0</v>
      </c>
      <c r="J5909" s="22" t="s">
        <v>53</v>
      </c>
      <c r="K5909" s="22" t="s">
        <v>23</v>
      </c>
      <c r="L5909" s="22">
        <v>3</v>
      </c>
      <c r="M5909" s="26">
        <v>55000</v>
      </c>
      <c r="N5909" s="26">
        <v>0</v>
      </c>
      <c r="O5909" s="15">
        <f t="shared" si="509"/>
        <v>55000</v>
      </c>
      <c r="P5909" s="15">
        <f t="shared" si="505"/>
        <v>23.950531266329907</v>
      </c>
      <c r="Q5909" s="25">
        <v>5000</v>
      </c>
      <c r="R5909" s="22">
        <v>46</v>
      </c>
      <c r="S5909" s="22" t="s">
        <v>7165</v>
      </c>
      <c r="T5909" s="22">
        <f t="shared" si="506"/>
        <v>12</v>
      </c>
      <c r="U5909" s="22">
        <f t="shared" si="507"/>
        <v>2022</v>
      </c>
      <c r="V5909" s="22" t="str">
        <f t="shared" si="508"/>
        <v>METROPOLITANA</v>
      </c>
    </row>
    <row r="5910" spans="1:22" x14ac:dyDescent="0.2">
      <c r="A5910" s="23" t="s">
        <v>7163</v>
      </c>
      <c r="B5910" s="22" t="s">
        <v>33</v>
      </c>
      <c r="C5910" s="22" t="s">
        <v>36</v>
      </c>
      <c r="D5910" s="22" t="s">
        <v>20</v>
      </c>
      <c r="E5910" s="24" t="s">
        <v>21</v>
      </c>
      <c r="F5910" s="22" t="s">
        <v>2919</v>
      </c>
      <c r="G5910" s="25">
        <v>4762.1000000000004</v>
      </c>
      <c r="H5910" s="22" t="s">
        <v>22</v>
      </c>
      <c r="I5910" s="22">
        <v>0</v>
      </c>
      <c r="J5910" s="22" t="s">
        <v>2919</v>
      </c>
      <c r="K5910" s="22" t="s">
        <v>23</v>
      </c>
      <c r="L5910" s="22">
        <v>3</v>
      </c>
      <c r="M5910" s="26">
        <v>55000</v>
      </c>
      <c r="N5910" s="26">
        <v>0</v>
      </c>
      <c r="O5910" s="15">
        <f t="shared" si="509"/>
        <v>55000</v>
      </c>
      <c r="P5910" s="15">
        <f t="shared" si="505"/>
        <v>11.549526469414753</v>
      </c>
      <c r="Q5910" s="25">
        <v>5000</v>
      </c>
      <c r="R5910" s="22">
        <v>95</v>
      </c>
      <c r="S5910" s="22" t="s">
        <v>7166</v>
      </c>
      <c r="T5910" s="22">
        <f t="shared" si="506"/>
        <v>12</v>
      </c>
      <c r="U5910" s="22">
        <f t="shared" si="507"/>
        <v>2022</v>
      </c>
      <c r="V5910" s="22" t="str">
        <f t="shared" si="508"/>
        <v>METROPOLITANA</v>
      </c>
    </row>
    <row r="5911" spans="1:22" x14ac:dyDescent="0.2">
      <c r="A5911" s="23" t="s">
        <v>7163</v>
      </c>
      <c r="B5911" s="22" t="s">
        <v>33</v>
      </c>
      <c r="C5911" s="22" t="s">
        <v>29</v>
      </c>
      <c r="D5911" s="22" t="s">
        <v>38</v>
      </c>
      <c r="E5911" s="24" t="s">
        <v>42</v>
      </c>
      <c r="F5911" s="22" t="s">
        <v>39</v>
      </c>
      <c r="G5911" s="25">
        <v>9606.4</v>
      </c>
      <c r="H5911" s="22" t="s">
        <v>43</v>
      </c>
      <c r="I5911" s="22">
        <v>0</v>
      </c>
      <c r="J5911" s="22" t="s">
        <v>39</v>
      </c>
      <c r="K5911" s="22" t="s">
        <v>23</v>
      </c>
      <c r="L5911" s="22">
        <v>1</v>
      </c>
      <c r="M5911" s="26">
        <v>105670</v>
      </c>
      <c r="N5911" s="26">
        <v>0</v>
      </c>
      <c r="O5911" s="15">
        <f t="shared" si="509"/>
        <v>105670</v>
      </c>
      <c r="P5911" s="15">
        <f t="shared" si="505"/>
        <v>10.999958361092606</v>
      </c>
      <c r="Q5911" s="25">
        <v>5000</v>
      </c>
      <c r="R5911" s="22">
        <v>100</v>
      </c>
      <c r="S5911" s="22" t="s">
        <v>7167</v>
      </c>
      <c r="T5911" s="22">
        <f t="shared" si="506"/>
        <v>12</v>
      </c>
      <c r="U5911" s="22">
        <f t="shared" si="507"/>
        <v>2022</v>
      </c>
      <c r="V5911" s="22" t="str">
        <f t="shared" si="508"/>
        <v>METROPOLITANA</v>
      </c>
    </row>
    <row r="5912" spans="1:22" x14ac:dyDescent="0.2">
      <c r="A5912" s="23" t="s">
        <v>7163</v>
      </c>
      <c r="B5912" s="22" t="s">
        <v>33</v>
      </c>
      <c r="C5912" s="22" t="s">
        <v>29</v>
      </c>
      <c r="D5912" s="22" t="s">
        <v>164</v>
      </c>
      <c r="E5912" s="24" t="s">
        <v>1576</v>
      </c>
      <c r="F5912" s="22" t="s">
        <v>39</v>
      </c>
      <c r="G5912" s="25">
        <v>8244.0000000000036</v>
      </c>
      <c r="H5912" s="22" t="s">
        <v>22</v>
      </c>
      <c r="I5912" s="22">
        <v>1</v>
      </c>
      <c r="J5912" s="22" t="s">
        <v>39</v>
      </c>
      <c r="K5912" s="22" t="s">
        <v>23</v>
      </c>
      <c r="L5912" s="22">
        <v>1</v>
      </c>
      <c r="M5912" s="26">
        <v>90684</v>
      </c>
      <c r="N5912" s="26">
        <v>0</v>
      </c>
      <c r="O5912" s="15">
        <f t="shared" si="509"/>
        <v>90684</v>
      </c>
      <c r="P5912" s="15">
        <f t="shared" si="505"/>
        <v>10.999999999999995</v>
      </c>
      <c r="Q5912" s="25">
        <v>5000</v>
      </c>
      <c r="R5912" s="22">
        <v>100</v>
      </c>
      <c r="S5912" s="22" t="s">
        <v>7168</v>
      </c>
      <c r="T5912" s="22">
        <f t="shared" si="506"/>
        <v>12</v>
      </c>
      <c r="U5912" s="22">
        <f t="shared" si="507"/>
        <v>2022</v>
      </c>
      <c r="V5912" s="22" t="str">
        <f t="shared" si="508"/>
        <v>METROPOLITANA</v>
      </c>
    </row>
    <row r="5913" spans="1:22" x14ac:dyDescent="0.2">
      <c r="A5913" s="23" t="s">
        <v>7163</v>
      </c>
      <c r="B5913" s="22" t="s">
        <v>33</v>
      </c>
      <c r="C5913" s="22" t="s">
        <v>44</v>
      </c>
      <c r="D5913" s="22" t="s">
        <v>5478</v>
      </c>
      <c r="E5913" s="24" t="s">
        <v>83</v>
      </c>
      <c r="F5913" s="22" t="s">
        <v>1105</v>
      </c>
      <c r="G5913" s="25">
        <v>11223.32</v>
      </c>
      <c r="H5913" s="22" t="s">
        <v>24</v>
      </c>
      <c r="I5913" s="22">
        <v>1</v>
      </c>
      <c r="J5913" s="22" t="s">
        <v>1105</v>
      </c>
      <c r="K5913" s="22" t="s">
        <v>873</v>
      </c>
      <c r="L5913" s="22">
        <v>0</v>
      </c>
      <c r="M5913" s="26">
        <v>950000</v>
      </c>
      <c r="N5913" s="26">
        <v>0</v>
      </c>
      <c r="O5913" s="15">
        <f t="shared" si="509"/>
        <v>950000</v>
      </c>
      <c r="P5913" s="15">
        <f t="shared" si="505"/>
        <v>84.645185203665221</v>
      </c>
      <c r="Q5913" s="25">
        <v>20000</v>
      </c>
      <c r="R5913" s="22">
        <v>56</v>
      </c>
      <c r="S5913" s="22" t="s">
        <v>7169</v>
      </c>
      <c r="T5913" s="22">
        <f t="shared" si="506"/>
        <v>12</v>
      </c>
      <c r="U5913" s="22">
        <f t="shared" si="507"/>
        <v>2022</v>
      </c>
      <c r="V5913" s="22" t="str">
        <f t="shared" si="508"/>
        <v>REGIONES</v>
      </c>
    </row>
    <row r="5914" spans="1:22" x14ac:dyDescent="0.2">
      <c r="A5914" s="23" t="s">
        <v>7163</v>
      </c>
      <c r="B5914" s="22" t="s">
        <v>33</v>
      </c>
      <c r="C5914" s="22" t="s">
        <v>44</v>
      </c>
      <c r="D5914" s="22" t="s">
        <v>37</v>
      </c>
      <c r="E5914" s="24" t="s">
        <v>40</v>
      </c>
      <c r="F5914" s="22" t="s">
        <v>48</v>
      </c>
      <c r="G5914" s="25">
        <v>11099.099999999989</v>
      </c>
      <c r="H5914" s="22" t="s">
        <v>22</v>
      </c>
      <c r="I5914" s="22">
        <v>0</v>
      </c>
      <c r="J5914" s="22" t="s">
        <v>48</v>
      </c>
      <c r="K5914" s="22" t="s">
        <v>23</v>
      </c>
      <c r="L5914" s="22">
        <v>1</v>
      </c>
      <c r="M5914" s="26">
        <v>122090</v>
      </c>
      <c r="N5914" s="26">
        <v>0</v>
      </c>
      <c r="O5914" s="15">
        <f t="shared" si="509"/>
        <v>122090</v>
      </c>
      <c r="P5914" s="15">
        <f t="shared" si="505"/>
        <v>10.999990990260482</v>
      </c>
      <c r="Q5914" s="25">
        <v>5000</v>
      </c>
      <c r="R5914" s="22">
        <v>100</v>
      </c>
      <c r="S5914" s="22" t="s">
        <v>7170</v>
      </c>
      <c r="T5914" s="22">
        <f t="shared" si="506"/>
        <v>12</v>
      </c>
      <c r="U5914" s="22">
        <f t="shared" si="507"/>
        <v>2022</v>
      </c>
      <c r="V5914" s="22" t="str">
        <f t="shared" si="508"/>
        <v>METROPOLITANA</v>
      </c>
    </row>
    <row r="5915" spans="1:22" x14ac:dyDescent="0.2">
      <c r="A5915" s="23" t="s">
        <v>7163</v>
      </c>
      <c r="B5915" s="22" t="s">
        <v>33</v>
      </c>
      <c r="C5915" s="22" t="s">
        <v>44</v>
      </c>
      <c r="D5915" s="22" t="s">
        <v>30</v>
      </c>
      <c r="E5915" s="24" t="s">
        <v>31</v>
      </c>
      <c r="F5915" s="22" t="s">
        <v>182</v>
      </c>
      <c r="G5915" s="25">
        <v>2621</v>
      </c>
      <c r="H5915" s="22" t="s">
        <v>32</v>
      </c>
      <c r="I5915" s="22">
        <v>0</v>
      </c>
      <c r="J5915" s="22" t="s">
        <v>182</v>
      </c>
      <c r="K5915" s="22" t="s">
        <v>23</v>
      </c>
      <c r="L5915" s="22">
        <v>4</v>
      </c>
      <c r="M5915" s="26">
        <v>55000</v>
      </c>
      <c r="N5915" s="26">
        <v>0</v>
      </c>
      <c r="O5915" s="15">
        <f t="shared" si="509"/>
        <v>55000</v>
      </c>
      <c r="P5915" s="15">
        <f t="shared" si="505"/>
        <v>20.98435711560473</v>
      </c>
      <c r="Q5915" s="25">
        <v>5000</v>
      </c>
      <c r="R5915" s="22">
        <v>52</v>
      </c>
      <c r="S5915" s="22" t="s">
        <v>7171</v>
      </c>
      <c r="T5915" s="22">
        <f t="shared" si="506"/>
        <v>12</v>
      </c>
      <c r="U5915" s="22">
        <f t="shared" si="507"/>
        <v>2022</v>
      </c>
      <c r="V5915" s="22" t="str">
        <f t="shared" si="508"/>
        <v>METROPOLITANA</v>
      </c>
    </row>
    <row r="5916" spans="1:22" x14ac:dyDescent="0.2">
      <c r="A5916" s="11" t="s">
        <v>7172</v>
      </c>
      <c r="B5916" s="12" t="s">
        <v>18</v>
      </c>
      <c r="C5916" s="12" t="s">
        <v>4252</v>
      </c>
      <c r="D5916" s="12" t="s">
        <v>6455</v>
      </c>
      <c r="E5916" s="13" t="s">
        <v>6456</v>
      </c>
      <c r="F5916" s="12" t="s">
        <v>6258</v>
      </c>
      <c r="G5916" s="14">
        <v>22825.759999999998</v>
      </c>
      <c r="H5916" s="12" t="s">
        <v>24</v>
      </c>
      <c r="I5916" s="12">
        <v>1</v>
      </c>
      <c r="J5916" s="12" t="s">
        <v>6258</v>
      </c>
      <c r="K5916" s="12" t="s">
        <v>437</v>
      </c>
      <c r="L5916" s="12">
        <v>0</v>
      </c>
      <c r="M5916" s="15">
        <v>2500000</v>
      </c>
      <c r="N5916" s="15">
        <v>0</v>
      </c>
      <c r="O5916" s="15">
        <f t="shared" si="509"/>
        <v>2500000</v>
      </c>
      <c r="P5916" s="15">
        <f t="shared" si="505"/>
        <v>109.52537834446696</v>
      </c>
      <c r="Q5916" s="14">
        <v>20000</v>
      </c>
      <c r="R5916" s="12">
        <v>100</v>
      </c>
      <c r="S5916" s="12" t="s">
        <v>7173</v>
      </c>
      <c r="T5916" s="22">
        <f t="shared" si="506"/>
        <v>12</v>
      </c>
      <c r="U5916" s="22">
        <f t="shared" si="507"/>
        <v>2022</v>
      </c>
      <c r="V5916" s="22" t="str">
        <f t="shared" si="508"/>
        <v>REGIONES</v>
      </c>
    </row>
    <row r="5917" spans="1:22" x14ac:dyDescent="0.2">
      <c r="A5917" s="11" t="s">
        <v>7172</v>
      </c>
      <c r="B5917" s="12" t="s">
        <v>18</v>
      </c>
      <c r="C5917" s="12" t="s">
        <v>4252</v>
      </c>
      <c r="D5917" s="12" t="s">
        <v>7174</v>
      </c>
      <c r="E5917" s="13" t="s">
        <v>7175</v>
      </c>
      <c r="F5917" s="12" t="s">
        <v>6258</v>
      </c>
      <c r="G5917" s="14">
        <v>25283.07999999998</v>
      </c>
      <c r="H5917" s="12" t="s">
        <v>24</v>
      </c>
      <c r="I5917" s="12">
        <v>1</v>
      </c>
      <c r="J5917" s="12" t="s">
        <v>6258</v>
      </c>
      <c r="K5917" s="12" t="s">
        <v>437</v>
      </c>
      <c r="L5917" s="12">
        <v>0</v>
      </c>
      <c r="M5917" s="15">
        <v>2500000</v>
      </c>
      <c r="N5917" s="15">
        <v>0</v>
      </c>
      <c r="O5917" s="15">
        <f t="shared" si="509"/>
        <v>2500000</v>
      </c>
      <c r="P5917" s="15">
        <f t="shared" si="505"/>
        <v>98.880357931074926</v>
      </c>
      <c r="Q5917" s="14">
        <v>20000</v>
      </c>
      <c r="R5917" s="12">
        <v>100</v>
      </c>
      <c r="S5917" s="12" t="s">
        <v>7176</v>
      </c>
      <c r="T5917" s="22">
        <f t="shared" si="506"/>
        <v>12</v>
      </c>
      <c r="U5917" s="22">
        <f t="shared" si="507"/>
        <v>2022</v>
      </c>
      <c r="V5917" s="22" t="str">
        <f t="shared" si="508"/>
        <v>REGIONES</v>
      </c>
    </row>
    <row r="5918" spans="1:22" x14ac:dyDescent="0.2">
      <c r="A5918" s="11" t="s">
        <v>7172</v>
      </c>
      <c r="B5918" s="12" t="s">
        <v>18</v>
      </c>
      <c r="C5918" s="12" t="s">
        <v>29</v>
      </c>
      <c r="D5918" s="12" t="s">
        <v>6218</v>
      </c>
      <c r="E5918" s="13" t="s">
        <v>7177</v>
      </c>
      <c r="F5918" s="12" t="s">
        <v>305</v>
      </c>
      <c r="G5918" s="14">
        <v>26057.600000000009</v>
      </c>
      <c r="H5918" s="12" t="s">
        <v>24</v>
      </c>
      <c r="I5918" s="12">
        <v>1</v>
      </c>
      <c r="J5918" s="12" t="s">
        <v>305</v>
      </c>
      <c r="K5918" s="12" t="s">
        <v>306</v>
      </c>
      <c r="L5918" s="12">
        <v>0</v>
      </c>
      <c r="M5918" s="15">
        <v>1600000</v>
      </c>
      <c r="N5918" s="15">
        <v>0</v>
      </c>
      <c r="O5918" s="15">
        <f t="shared" si="509"/>
        <v>1600000</v>
      </c>
      <c r="P5918" s="15">
        <f t="shared" si="505"/>
        <v>61.402431536288816</v>
      </c>
      <c r="Q5918" s="14">
        <v>20000</v>
      </c>
      <c r="R5918" s="12">
        <v>100</v>
      </c>
      <c r="S5918" s="12" t="s">
        <v>7178</v>
      </c>
      <c r="T5918" s="22">
        <f t="shared" si="506"/>
        <v>12</v>
      </c>
      <c r="U5918" s="22">
        <f t="shared" si="507"/>
        <v>2022</v>
      </c>
      <c r="V5918" s="22" t="str">
        <f t="shared" si="508"/>
        <v>REGIONES</v>
      </c>
    </row>
    <row r="5919" spans="1:22" x14ac:dyDescent="0.2">
      <c r="A5919" s="11" t="s">
        <v>7172</v>
      </c>
      <c r="B5919" s="12" t="s">
        <v>18</v>
      </c>
      <c r="C5919" s="12" t="s">
        <v>29</v>
      </c>
      <c r="D5919" s="12" t="s">
        <v>6221</v>
      </c>
      <c r="E5919" s="13" t="s">
        <v>6567</v>
      </c>
      <c r="F5919" s="12" t="s">
        <v>305</v>
      </c>
      <c r="G5919" s="14">
        <v>26057.600000000009</v>
      </c>
      <c r="H5919" s="12" t="s">
        <v>24</v>
      </c>
      <c r="I5919" s="12">
        <v>1</v>
      </c>
      <c r="J5919" s="12" t="s">
        <v>305</v>
      </c>
      <c r="K5919" s="12" t="s">
        <v>306</v>
      </c>
      <c r="L5919" s="12">
        <v>0</v>
      </c>
      <c r="M5919" s="15">
        <v>1600000</v>
      </c>
      <c r="N5919" s="15">
        <v>0</v>
      </c>
      <c r="O5919" s="15">
        <f t="shared" si="509"/>
        <v>1600000</v>
      </c>
      <c r="P5919" s="15">
        <f t="shared" si="505"/>
        <v>61.402431536288816</v>
      </c>
      <c r="Q5919" s="14">
        <v>20000</v>
      </c>
      <c r="R5919" s="12">
        <v>100</v>
      </c>
      <c r="S5919" s="12" t="s">
        <v>7179</v>
      </c>
      <c r="T5919" s="22">
        <f t="shared" si="506"/>
        <v>12</v>
      </c>
      <c r="U5919" s="22">
        <f t="shared" si="507"/>
        <v>2022</v>
      </c>
      <c r="V5919" s="22" t="str">
        <f t="shared" si="508"/>
        <v>REGIONES</v>
      </c>
    </row>
    <row r="5920" spans="1:22" x14ac:dyDescent="0.2">
      <c r="A5920" s="11" t="s">
        <v>7172</v>
      </c>
      <c r="B5920" s="12" t="s">
        <v>33</v>
      </c>
      <c r="C5920" s="12" t="s">
        <v>60</v>
      </c>
      <c r="D5920" s="12" t="s">
        <v>38</v>
      </c>
      <c r="E5920" s="13" t="s">
        <v>42</v>
      </c>
      <c r="F5920" s="12" t="s">
        <v>51</v>
      </c>
      <c r="G5920" s="14">
        <f>2600+7152</f>
        <v>9752</v>
      </c>
      <c r="H5920" s="12" t="s">
        <v>43</v>
      </c>
      <c r="I5920" s="12">
        <v>0</v>
      </c>
      <c r="J5920" s="12" t="s">
        <v>51</v>
      </c>
      <c r="K5920" s="12" t="s">
        <v>23</v>
      </c>
      <c r="L5920" s="12">
        <v>4</v>
      </c>
      <c r="M5920" s="15">
        <v>55000</v>
      </c>
      <c r="N5920" s="15">
        <v>0</v>
      </c>
      <c r="O5920" s="15">
        <f t="shared" si="509"/>
        <v>55000</v>
      </c>
      <c r="P5920" s="15">
        <f t="shared" si="505"/>
        <v>5.6398687448728468</v>
      </c>
      <c r="Q5920" s="14">
        <v>5000</v>
      </c>
      <c r="R5920" s="12">
        <v>52</v>
      </c>
      <c r="S5920" s="12" t="s">
        <v>7193</v>
      </c>
      <c r="T5920" s="22">
        <f t="shared" si="506"/>
        <v>12</v>
      </c>
      <c r="U5920" s="22">
        <f t="shared" si="507"/>
        <v>2022</v>
      </c>
      <c r="V5920" s="22" t="str">
        <f t="shared" si="508"/>
        <v>METROPOLITANA</v>
      </c>
    </row>
    <row r="5921" spans="1:22" x14ac:dyDescent="0.2">
      <c r="A5921" s="11" t="s">
        <v>7172</v>
      </c>
      <c r="B5921" s="12" t="s">
        <v>33</v>
      </c>
      <c r="C5921" s="12" t="s">
        <v>128</v>
      </c>
      <c r="D5921" s="12" t="s">
        <v>786</v>
      </c>
      <c r="E5921" s="13" t="s">
        <v>787</v>
      </c>
      <c r="F5921" s="12" t="s">
        <v>34</v>
      </c>
      <c r="G5921" s="14">
        <f>8102.6+850</f>
        <v>8952.6</v>
      </c>
      <c r="H5921" s="12" t="s">
        <v>788</v>
      </c>
      <c r="I5921" s="12">
        <v>1</v>
      </c>
      <c r="J5921" s="12" t="s">
        <v>34</v>
      </c>
      <c r="K5921" s="12" t="s">
        <v>23</v>
      </c>
      <c r="L5921" s="12">
        <v>1</v>
      </c>
      <c r="M5921" s="15">
        <v>89129</v>
      </c>
      <c r="N5921" s="15">
        <v>0</v>
      </c>
      <c r="O5921" s="15">
        <f t="shared" si="509"/>
        <v>89129</v>
      </c>
      <c r="P5921" s="15">
        <f t="shared" ref="P5921:P5984" si="510">O5921/G5921</f>
        <v>9.9556553403480557</v>
      </c>
      <c r="Q5921" s="14">
        <v>5000</v>
      </c>
      <c r="R5921" s="12">
        <v>100</v>
      </c>
      <c r="S5921" s="12" t="s">
        <v>7194</v>
      </c>
      <c r="T5921" s="22">
        <f t="shared" si="506"/>
        <v>12</v>
      </c>
      <c r="U5921" s="22">
        <f t="shared" si="507"/>
        <v>2022</v>
      </c>
      <c r="V5921" s="22" t="str">
        <f t="shared" si="508"/>
        <v>METROPOLITANA</v>
      </c>
    </row>
    <row r="5922" spans="1:22" x14ac:dyDescent="0.2">
      <c r="A5922" s="11" t="s">
        <v>7172</v>
      </c>
      <c r="B5922" s="12" t="s">
        <v>33</v>
      </c>
      <c r="C5922" s="12" t="s">
        <v>5690</v>
      </c>
      <c r="D5922" s="12" t="s">
        <v>30</v>
      </c>
      <c r="E5922" s="13" t="s">
        <v>31</v>
      </c>
      <c r="F5922" s="12" t="s">
        <v>34</v>
      </c>
      <c r="G5922" s="14">
        <v>6943.9999999999973</v>
      </c>
      <c r="H5922" s="12" t="s">
        <v>32</v>
      </c>
      <c r="I5922" s="12">
        <v>0</v>
      </c>
      <c r="J5922" s="12" t="s">
        <v>34</v>
      </c>
      <c r="K5922" s="12" t="s">
        <v>23</v>
      </c>
      <c r="L5922" s="12">
        <v>1</v>
      </c>
      <c r="M5922" s="15">
        <v>76384</v>
      </c>
      <c r="N5922" s="15">
        <v>0</v>
      </c>
      <c r="O5922" s="15">
        <f t="shared" si="509"/>
        <v>76384</v>
      </c>
      <c r="P5922" s="15">
        <f t="shared" si="510"/>
        <v>11.000000000000004</v>
      </c>
      <c r="Q5922" s="14">
        <v>5000</v>
      </c>
      <c r="R5922" s="12">
        <v>100</v>
      </c>
      <c r="S5922" s="12" t="s">
        <v>7180</v>
      </c>
      <c r="T5922" s="22">
        <f t="shared" si="506"/>
        <v>12</v>
      </c>
      <c r="U5922" s="22">
        <f t="shared" si="507"/>
        <v>2022</v>
      </c>
      <c r="V5922" s="22" t="str">
        <f t="shared" si="508"/>
        <v>METROPOLITANA</v>
      </c>
    </row>
    <row r="5923" spans="1:22" x14ac:dyDescent="0.2">
      <c r="A5923" s="11" t="s">
        <v>7172</v>
      </c>
      <c r="B5923" s="12" t="s">
        <v>33</v>
      </c>
      <c r="C5923" s="12" t="s">
        <v>29</v>
      </c>
      <c r="D5923" s="12" t="s">
        <v>7181</v>
      </c>
      <c r="E5923" s="13" t="s">
        <v>7182</v>
      </c>
      <c r="F5923" s="12" t="s">
        <v>114</v>
      </c>
      <c r="G5923" s="14">
        <v>8244.0000000000036</v>
      </c>
      <c r="H5923" s="12" t="s">
        <v>85</v>
      </c>
      <c r="I5923" s="12">
        <v>1</v>
      </c>
      <c r="J5923" s="12" t="s">
        <v>114</v>
      </c>
      <c r="K5923" s="12" t="s">
        <v>75</v>
      </c>
      <c r="L5923" s="12">
        <v>0</v>
      </c>
      <c r="M5923" s="15">
        <v>480000</v>
      </c>
      <c r="N5923" s="15">
        <v>0</v>
      </c>
      <c r="O5923" s="15">
        <f t="shared" si="509"/>
        <v>480000</v>
      </c>
      <c r="P5923" s="15">
        <f t="shared" si="510"/>
        <v>58.224163027656452</v>
      </c>
      <c r="Q5923" s="14">
        <v>20000</v>
      </c>
      <c r="R5923" s="12">
        <v>41</v>
      </c>
      <c r="S5923" s="12" t="s">
        <v>7183</v>
      </c>
      <c r="T5923" s="22">
        <f t="shared" si="506"/>
        <v>12</v>
      </c>
      <c r="U5923" s="22">
        <f t="shared" si="507"/>
        <v>2022</v>
      </c>
      <c r="V5923" s="22" t="str">
        <f t="shared" si="508"/>
        <v>REGIONES</v>
      </c>
    </row>
    <row r="5924" spans="1:22" x14ac:dyDescent="0.2">
      <c r="A5924" s="11" t="s">
        <v>7172</v>
      </c>
      <c r="B5924" s="12" t="s">
        <v>33</v>
      </c>
      <c r="C5924" s="12" t="s">
        <v>29</v>
      </c>
      <c r="D5924" s="12" t="s">
        <v>7075</v>
      </c>
      <c r="E5924" s="13" t="s">
        <v>7076</v>
      </c>
      <c r="F5924" s="12" t="s">
        <v>114</v>
      </c>
      <c r="G5924" s="14">
        <v>8244.0000000000036</v>
      </c>
      <c r="H5924" s="12" t="s">
        <v>24</v>
      </c>
      <c r="I5924" s="12">
        <v>1</v>
      </c>
      <c r="J5924" s="12" t="s">
        <v>114</v>
      </c>
      <c r="K5924" s="12" t="s">
        <v>75</v>
      </c>
      <c r="L5924" s="12">
        <v>0</v>
      </c>
      <c r="M5924" s="15">
        <v>480000</v>
      </c>
      <c r="N5924" s="15">
        <v>0</v>
      </c>
      <c r="O5924" s="15">
        <f t="shared" si="509"/>
        <v>480000</v>
      </c>
      <c r="P5924" s="15">
        <f t="shared" si="510"/>
        <v>58.224163027656452</v>
      </c>
      <c r="Q5924" s="14">
        <v>20000</v>
      </c>
      <c r="R5924" s="12">
        <v>41</v>
      </c>
      <c r="S5924" s="12" t="s">
        <v>7184</v>
      </c>
      <c r="T5924" s="22">
        <f t="shared" si="506"/>
        <v>12</v>
      </c>
      <c r="U5924" s="22">
        <f t="shared" si="507"/>
        <v>2022</v>
      </c>
      <c r="V5924" s="22" t="str">
        <f t="shared" si="508"/>
        <v>REGIONES</v>
      </c>
    </row>
    <row r="5925" spans="1:22" x14ac:dyDescent="0.2">
      <c r="A5925" s="11" t="s">
        <v>7172</v>
      </c>
      <c r="B5925" s="12" t="s">
        <v>33</v>
      </c>
      <c r="C5925" s="12" t="s">
        <v>29</v>
      </c>
      <c r="D5925" s="12" t="s">
        <v>956</v>
      </c>
      <c r="E5925" s="13" t="s">
        <v>6952</v>
      </c>
      <c r="F5925" s="12" t="s">
        <v>114</v>
      </c>
      <c r="G5925" s="14">
        <v>9876.0000000000091</v>
      </c>
      <c r="H5925" s="12" t="s">
        <v>85</v>
      </c>
      <c r="I5925" s="12">
        <v>1</v>
      </c>
      <c r="J5925" s="12" t="s">
        <v>114</v>
      </c>
      <c r="K5925" s="12" t="s">
        <v>75</v>
      </c>
      <c r="L5925" s="12">
        <v>0</v>
      </c>
      <c r="M5925" s="15">
        <v>480000</v>
      </c>
      <c r="N5925" s="15">
        <v>0</v>
      </c>
      <c r="O5925" s="15">
        <f t="shared" si="509"/>
        <v>480000</v>
      </c>
      <c r="P5925" s="15">
        <f t="shared" si="510"/>
        <v>48.60267314702304</v>
      </c>
      <c r="Q5925" s="14">
        <v>20000</v>
      </c>
      <c r="R5925" s="12">
        <v>49</v>
      </c>
      <c r="S5925" s="12" t="s">
        <v>7185</v>
      </c>
      <c r="T5925" s="22">
        <f t="shared" si="506"/>
        <v>12</v>
      </c>
      <c r="U5925" s="22">
        <f t="shared" si="507"/>
        <v>2022</v>
      </c>
      <c r="V5925" s="22" t="str">
        <f t="shared" si="508"/>
        <v>REGIONES</v>
      </c>
    </row>
    <row r="5926" spans="1:22" x14ac:dyDescent="0.2">
      <c r="A5926" s="11" t="s">
        <v>7172</v>
      </c>
      <c r="B5926" s="12" t="s">
        <v>33</v>
      </c>
      <c r="C5926" s="12" t="s">
        <v>29</v>
      </c>
      <c r="D5926" s="12" t="s">
        <v>41</v>
      </c>
      <c r="E5926" s="13" t="s">
        <v>25</v>
      </c>
      <c r="F5926" s="12" t="s">
        <v>39</v>
      </c>
      <c r="G5926" s="14">
        <v>8211</v>
      </c>
      <c r="H5926" s="12" t="s">
        <v>43</v>
      </c>
      <c r="I5926" s="12">
        <v>0</v>
      </c>
      <c r="J5926" s="12" t="s">
        <v>39</v>
      </c>
      <c r="K5926" s="12" t="s">
        <v>23</v>
      </c>
      <c r="L5926" s="12">
        <v>1</v>
      </c>
      <c r="M5926" s="15">
        <v>90321</v>
      </c>
      <c r="N5926" s="15">
        <v>0</v>
      </c>
      <c r="O5926" s="15">
        <f t="shared" si="509"/>
        <v>90321</v>
      </c>
      <c r="P5926" s="15">
        <f t="shared" si="510"/>
        <v>11</v>
      </c>
      <c r="Q5926" s="14">
        <v>5000</v>
      </c>
      <c r="R5926" s="12">
        <v>100</v>
      </c>
      <c r="S5926" s="12" t="s">
        <v>7186</v>
      </c>
      <c r="T5926" s="22">
        <f t="shared" si="506"/>
        <v>12</v>
      </c>
      <c r="U5926" s="22">
        <f t="shared" si="507"/>
        <v>2022</v>
      </c>
      <c r="V5926" s="22" t="str">
        <f t="shared" si="508"/>
        <v>METROPOLITANA</v>
      </c>
    </row>
    <row r="5927" spans="1:22" x14ac:dyDescent="0.2">
      <c r="A5927" s="11" t="s">
        <v>7172</v>
      </c>
      <c r="B5927" s="12" t="s">
        <v>33</v>
      </c>
      <c r="C5927" s="12" t="s">
        <v>29</v>
      </c>
      <c r="D5927" s="12" t="s">
        <v>164</v>
      </c>
      <c r="E5927" s="13" t="s">
        <v>1576</v>
      </c>
      <c r="F5927" s="12" t="s">
        <v>39</v>
      </c>
      <c r="G5927" s="14">
        <f>15467.54+850</f>
        <v>16317.54</v>
      </c>
      <c r="H5927" s="12" t="s">
        <v>22</v>
      </c>
      <c r="I5927" s="12">
        <v>1</v>
      </c>
      <c r="J5927" s="12" t="s">
        <v>39</v>
      </c>
      <c r="K5927" s="12" t="s">
        <v>23</v>
      </c>
      <c r="L5927" s="12">
        <v>1</v>
      </c>
      <c r="M5927" s="15">
        <v>170143</v>
      </c>
      <c r="N5927" s="15">
        <v>0</v>
      </c>
      <c r="O5927" s="15">
        <f t="shared" si="509"/>
        <v>170143</v>
      </c>
      <c r="P5927" s="15">
        <f t="shared" si="510"/>
        <v>10.427000638576647</v>
      </c>
      <c r="Q5927" s="14">
        <v>5000</v>
      </c>
      <c r="R5927" s="12">
        <v>100</v>
      </c>
      <c r="S5927" s="12" t="s">
        <v>7195</v>
      </c>
      <c r="T5927" s="22">
        <f t="shared" si="506"/>
        <v>12</v>
      </c>
      <c r="U5927" s="22">
        <f t="shared" si="507"/>
        <v>2022</v>
      </c>
      <c r="V5927" s="22" t="str">
        <f t="shared" si="508"/>
        <v>METROPOLITANA</v>
      </c>
    </row>
    <row r="5928" spans="1:22" x14ac:dyDescent="0.2">
      <c r="A5928" s="11" t="s">
        <v>7172</v>
      </c>
      <c r="B5928" s="12" t="s">
        <v>33</v>
      </c>
      <c r="C5928" s="12" t="s">
        <v>44</v>
      </c>
      <c r="D5928" s="12" t="s">
        <v>191</v>
      </c>
      <c r="E5928" s="13" t="s">
        <v>192</v>
      </c>
      <c r="F5928" s="12" t="s">
        <v>3438</v>
      </c>
      <c r="G5928" s="14">
        <v>8049.5999999999976</v>
      </c>
      <c r="H5928" s="12" t="s">
        <v>85</v>
      </c>
      <c r="I5928" s="12">
        <v>1</v>
      </c>
      <c r="J5928" s="12" t="s">
        <v>3438</v>
      </c>
      <c r="K5928" s="12" t="s">
        <v>93</v>
      </c>
      <c r="L5928" s="12">
        <v>0</v>
      </c>
      <c r="M5928" s="15">
        <v>800000</v>
      </c>
      <c r="N5928" s="15">
        <v>0</v>
      </c>
      <c r="O5928" s="15">
        <f t="shared" si="509"/>
        <v>800000</v>
      </c>
      <c r="P5928" s="15">
        <f t="shared" si="510"/>
        <v>99.383820314052898</v>
      </c>
      <c r="Q5928" s="14">
        <v>20000</v>
      </c>
      <c r="R5928" s="12">
        <v>40</v>
      </c>
      <c r="S5928" s="12" t="s">
        <v>7187</v>
      </c>
      <c r="T5928" s="22">
        <f t="shared" si="506"/>
        <v>12</v>
      </c>
      <c r="U5928" s="22">
        <f t="shared" si="507"/>
        <v>2022</v>
      </c>
      <c r="V5928" s="22" t="str">
        <f t="shared" si="508"/>
        <v>REGIONES</v>
      </c>
    </row>
    <row r="5929" spans="1:22" x14ac:dyDescent="0.2">
      <c r="A5929" s="11" t="s">
        <v>7172</v>
      </c>
      <c r="B5929" s="12" t="s">
        <v>33</v>
      </c>
      <c r="C5929" s="12" t="s">
        <v>44</v>
      </c>
      <c r="D5929" s="12" t="s">
        <v>37</v>
      </c>
      <c r="E5929" s="13" t="s">
        <v>40</v>
      </c>
      <c r="F5929" s="12" t="s">
        <v>95</v>
      </c>
      <c r="G5929" s="14">
        <v>3951.6</v>
      </c>
      <c r="H5929" s="12" t="s">
        <v>22</v>
      </c>
      <c r="I5929" s="12">
        <v>0</v>
      </c>
      <c r="J5929" s="12" t="s">
        <v>95</v>
      </c>
      <c r="K5929" s="12" t="s">
        <v>23</v>
      </c>
      <c r="L5929" s="12">
        <v>4</v>
      </c>
      <c r="M5929" s="15">
        <v>55000</v>
      </c>
      <c r="N5929" s="15">
        <v>0</v>
      </c>
      <c r="O5929" s="15">
        <f t="shared" si="509"/>
        <v>55000</v>
      </c>
      <c r="P5929" s="15">
        <f t="shared" si="510"/>
        <v>13.918412794817289</v>
      </c>
      <c r="Q5929" s="14">
        <v>5000</v>
      </c>
      <c r="R5929" s="12">
        <v>79</v>
      </c>
      <c r="S5929" s="12" t="s">
        <v>7188</v>
      </c>
      <c r="T5929" s="22">
        <f t="shared" si="506"/>
        <v>12</v>
      </c>
      <c r="U5929" s="22">
        <f t="shared" si="507"/>
        <v>2022</v>
      </c>
      <c r="V5929" s="22" t="str">
        <f t="shared" si="508"/>
        <v>METROPOLITANA</v>
      </c>
    </row>
    <row r="5930" spans="1:22" x14ac:dyDescent="0.2">
      <c r="A5930" s="11" t="s">
        <v>7172</v>
      </c>
      <c r="B5930" s="12" t="s">
        <v>33</v>
      </c>
      <c r="C5930" s="12" t="s">
        <v>44</v>
      </c>
      <c r="D5930" s="12" t="s">
        <v>30</v>
      </c>
      <c r="E5930" s="13" t="s">
        <v>7189</v>
      </c>
      <c r="F5930" s="12" t="s">
        <v>94</v>
      </c>
      <c r="G5930" s="14">
        <v>4061.8</v>
      </c>
      <c r="H5930" s="12" t="s">
        <v>32</v>
      </c>
      <c r="I5930" s="12">
        <v>0</v>
      </c>
      <c r="J5930" s="12" t="s">
        <v>59</v>
      </c>
      <c r="K5930" s="12" t="s">
        <v>78</v>
      </c>
      <c r="L5930" s="12">
        <v>0</v>
      </c>
      <c r="M5930" s="15">
        <v>203000</v>
      </c>
      <c r="N5930" s="15">
        <v>0</v>
      </c>
      <c r="O5930" s="15">
        <f t="shared" si="509"/>
        <v>203000</v>
      </c>
      <c r="P5930" s="15">
        <f t="shared" si="510"/>
        <v>49.977842335910182</v>
      </c>
      <c r="Q5930" s="14">
        <v>20000</v>
      </c>
      <c r="R5930" s="12">
        <v>20</v>
      </c>
      <c r="S5930" s="12" t="s">
        <v>7190</v>
      </c>
      <c r="T5930" s="22">
        <f t="shared" si="506"/>
        <v>12</v>
      </c>
      <c r="U5930" s="22">
        <f t="shared" si="507"/>
        <v>2022</v>
      </c>
      <c r="V5930" s="22" t="str">
        <f t="shared" si="508"/>
        <v>REGIONES</v>
      </c>
    </row>
    <row r="5931" spans="1:22" x14ac:dyDescent="0.2">
      <c r="A5931" s="11" t="s">
        <v>7172</v>
      </c>
      <c r="B5931" s="12" t="s">
        <v>33</v>
      </c>
      <c r="C5931" s="12" t="s">
        <v>44</v>
      </c>
      <c r="D5931" s="12" t="s">
        <v>45</v>
      </c>
      <c r="E5931" s="13" t="s">
        <v>52</v>
      </c>
      <c r="F5931" s="12" t="s">
        <v>67</v>
      </c>
      <c r="G5931" s="14">
        <v>2745.2</v>
      </c>
      <c r="H5931" s="12" t="s">
        <v>22</v>
      </c>
      <c r="I5931" s="12">
        <v>0</v>
      </c>
      <c r="J5931" s="12" t="s">
        <v>67</v>
      </c>
      <c r="K5931" s="12" t="s">
        <v>23</v>
      </c>
      <c r="L5931" s="12">
        <v>2</v>
      </c>
      <c r="M5931" s="15">
        <v>55000</v>
      </c>
      <c r="N5931" s="15">
        <v>0</v>
      </c>
      <c r="O5931" s="15">
        <f t="shared" si="509"/>
        <v>55000</v>
      </c>
      <c r="P5931" s="15">
        <f t="shared" si="510"/>
        <v>20.0349701296809</v>
      </c>
      <c r="Q5931" s="14">
        <v>5000</v>
      </c>
      <c r="R5931" s="12">
        <v>55</v>
      </c>
      <c r="S5931" s="12" t="s">
        <v>7191</v>
      </c>
      <c r="T5931" s="22">
        <f t="shared" si="506"/>
        <v>12</v>
      </c>
      <c r="U5931" s="22">
        <f t="shared" si="507"/>
        <v>2022</v>
      </c>
      <c r="V5931" s="22" t="str">
        <f t="shared" si="508"/>
        <v>METROPOLITANA</v>
      </c>
    </row>
    <row r="5932" spans="1:22" x14ac:dyDescent="0.2">
      <c r="A5932" s="11" t="s">
        <v>7172</v>
      </c>
      <c r="B5932" s="12" t="s">
        <v>33</v>
      </c>
      <c r="C5932" s="12" t="s">
        <v>44</v>
      </c>
      <c r="D5932" s="12" t="s">
        <v>20</v>
      </c>
      <c r="E5932" s="13" t="s">
        <v>21</v>
      </c>
      <c r="F5932" s="12" t="s">
        <v>34</v>
      </c>
      <c r="G5932" s="14">
        <v>3085</v>
      </c>
      <c r="H5932" s="12" t="s">
        <v>22</v>
      </c>
      <c r="I5932" s="12">
        <v>0</v>
      </c>
      <c r="J5932" s="12" t="s">
        <v>34</v>
      </c>
      <c r="K5932" s="12" t="s">
        <v>23</v>
      </c>
      <c r="L5932" s="12">
        <v>1</v>
      </c>
      <c r="M5932" s="15">
        <v>55000</v>
      </c>
      <c r="N5932" s="15">
        <v>0</v>
      </c>
      <c r="O5932" s="15">
        <f t="shared" si="509"/>
        <v>55000</v>
      </c>
      <c r="P5932" s="15">
        <f t="shared" si="510"/>
        <v>17.828200972447327</v>
      </c>
      <c r="Q5932" s="14">
        <v>5000</v>
      </c>
      <c r="R5932" s="12">
        <v>62</v>
      </c>
      <c r="S5932" s="12" t="s">
        <v>7192</v>
      </c>
      <c r="T5932" s="22">
        <f t="shared" si="506"/>
        <v>12</v>
      </c>
      <c r="U5932" s="22">
        <f t="shared" si="507"/>
        <v>2022</v>
      </c>
      <c r="V5932" s="22" t="str">
        <f t="shared" si="508"/>
        <v>METROPOLITANA</v>
      </c>
    </row>
    <row r="5933" spans="1:22" x14ac:dyDescent="0.2">
      <c r="A5933" s="23" t="s">
        <v>7196</v>
      </c>
      <c r="B5933" s="22" t="s">
        <v>18</v>
      </c>
      <c r="C5933" s="22" t="s">
        <v>57</v>
      </c>
      <c r="D5933" s="22" t="s">
        <v>1869</v>
      </c>
      <c r="E5933" s="24" t="s">
        <v>1870</v>
      </c>
      <c r="F5933" s="22" t="s">
        <v>1026</v>
      </c>
      <c r="G5933" s="25">
        <v>12665.12</v>
      </c>
      <c r="H5933" s="22" t="s">
        <v>24</v>
      </c>
      <c r="I5933" s="22">
        <v>1</v>
      </c>
      <c r="J5933" s="22" t="s">
        <v>1026</v>
      </c>
      <c r="K5933" s="22" t="s">
        <v>408</v>
      </c>
      <c r="L5933" s="22">
        <v>0</v>
      </c>
      <c r="M5933" s="26">
        <v>650000</v>
      </c>
      <c r="N5933" s="26">
        <v>0</v>
      </c>
      <c r="O5933" s="15">
        <f t="shared" si="509"/>
        <v>650000</v>
      </c>
      <c r="P5933" s="15">
        <f t="shared" si="510"/>
        <v>51.322056166858268</v>
      </c>
      <c r="Q5933" s="25">
        <v>20000</v>
      </c>
      <c r="R5933" s="22">
        <v>63</v>
      </c>
      <c r="S5933" s="22" t="s">
        <v>7197</v>
      </c>
      <c r="T5933" s="22">
        <f t="shared" si="506"/>
        <v>12</v>
      </c>
      <c r="U5933" s="22">
        <f t="shared" si="507"/>
        <v>2022</v>
      </c>
      <c r="V5933" s="22" t="str">
        <f t="shared" si="508"/>
        <v>REGIONES</v>
      </c>
    </row>
    <row r="5934" spans="1:22" x14ac:dyDescent="0.2">
      <c r="A5934" s="23" t="s">
        <v>7196</v>
      </c>
      <c r="B5934" s="22" t="s">
        <v>18</v>
      </c>
      <c r="C5934" s="22" t="s">
        <v>29</v>
      </c>
      <c r="D5934" s="22" t="s">
        <v>5128</v>
      </c>
      <c r="E5934" s="24" t="s">
        <v>7198</v>
      </c>
      <c r="F5934" s="22" t="s">
        <v>39</v>
      </c>
      <c r="G5934" s="25">
        <v>26666.639999999981</v>
      </c>
      <c r="H5934" s="22" t="s">
        <v>24</v>
      </c>
      <c r="I5934" s="22">
        <v>1</v>
      </c>
      <c r="J5934" s="22" t="s">
        <v>39</v>
      </c>
      <c r="K5934" s="22" t="s">
        <v>23</v>
      </c>
      <c r="L5934" s="22">
        <v>1</v>
      </c>
      <c r="M5934" s="26">
        <v>293333</v>
      </c>
      <c r="N5934" s="26">
        <v>0</v>
      </c>
      <c r="O5934" s="15">
        <f t="shared" si="509"/>
        <v>293333</v>
      </c>
      <c r="P5934" s="15">
        <f t="shared" si="510"/>
        <v>10.999998499998508</v>
      </c>
      <c r="Q5934" s="25">
        <v>5000</v>
      </c>
      <c r="R5934" s="22">
        <v>100</v>
      </c>
      <c r="S5934" s="22" t="s">
        <v>7199</v>
      </c>
      <c r="T5934" s="22">
        <f t="shared" si="506"/>
        <v>12</v>
      </c>
      <c r="U5934" s="22">
        <f t="shared" si="507"/>
        <v>2022</v>
      </c>
      <c r="V5934" s="22" t="str">
        <f t="shared" si="508"/>
        <v>METROPOLITANA</v>
      </c>
    </row>
    <row r="5935" spans="1:22" x14ac:dyDescent="0.2">
      <c r="A5935" s="23" t="s">
        <v>7196</v>
      </c>
      <c r="B5935" s="22" t="s">
        <v>33</v>
      </c>
      <c r="C5935" s="22" t="s">
        <v>1997</v>
      </c>
      <c r="D5935" s="22" t="s">
        <v>45</v>
      </c>
      <c r="E5935" s="24" t="s">
        <v>7200</v>
      </c>
      <c r="F5935" s="22" t="s">
        <v>58</v>
      </c>
      <c r="G5935" s="25">
        <v>3325</v>
      </c>
      <c r="H5935" s="22" t="s">
        <v>22</v>
      </c>
      <c r="I5935" s="22">
        <v>0</v>
      </c>
      <c r="J5935" s="22" t="s">
        <v>58</v>
      </c>
      <c r="K5935" s="22" t="s">
        <v>23</v>
      </c>
      <c r="L5935" s="22">
        <v>5</v>
      </c>
      <c r="M5935" s="26">
        <v>70000</v>
      </c>
      <c r="N5935" s="26">
        <v>0</v>
      </c>
      <c r="O5935" s="15">
        <f t="shared" si="509"/>
        <v>70000</v>
      </c>
      <c r="P5935" s="15">
        <f t="shared" si="510"/>
        <v>21.05263157894737</v>
      </c>
      <c r="Q5935" s="25">
        <v>10000</v>
      </c>
      <c r="R5935" s="22">
        <v>33</v>
      </c>
      <c r="S5935" s="22" t="s">
        <v>7201</v>
      </c>
      <c r="T5935" s="22">
        <f t="shared" si="506"/>
        <v>12</v>
      </c>
      <c r="U5935" s="22">
        <f t="shared" si="507"/>
        <v>2022</v>
      </c>
      <c r="V5935" s="22" t="str">
        <f t="shared" si="508"/>
        <v>METROPOLITANA</v>
      </c>
    </row>
    <row r="5936" spans="1:22" x14ac:dyDescent="0.2">
      <c r="A5936" s="23" t="s">
        <v>7196</v>
      </c>
      <c r="B5936" s="22" t="s">
        <v>33</v>
      </c>
      <c r="C5936" s="22" t="s">
        <v>36</v>
      </c>
      <c r="D5936" s="22" t="s">
        <v>38</v>
      </c>
      <c r="E5936" s="24" t="s">
        <v>42</v>
      </c>
      <c r="F5936" s="22" t="s">
        <v>225</v>
      </c>
      <c r="G5936" s="25">
        <v>3575.8</v>
      </c>
      <c r="H5936" s="22" t="s">
        <v>43</v>
      </c>
      <c r="I5936" s="22">
        <v>0</v>
      </c>
      <c r="J5936" s="22" t="s">
        <v>225</v>
      </c>
      <c r="K5936" s="22" t="s">
        <v>23</v>
      </c>
      <c r="L5936" s="22">
        <v>3</v>
      </c>
      <c r="M5936" s="26">
        <v>55000</v>
      </c>
      <c r="N5936" s="26">
        <v>0</v>
      </c>
      <c r="O5936" s="15">
        <f t="shared" si="509"/>
        <v>55000</v>
      </c>
      <c r="P5936" s="15">
        <f t="shared" si="510"/>
        <v>15.381173443704904</v>
      </c>
      <c r="Q5936" s="25">
        <v>5000</v>
      </c>
      <c r="R5936" s="22">
        <v>72</v>
      </c>
      <c r="S5936" s="22" t="s">
        <v>7202</v>
      </c>
      <c r="T5936" s="22">
        <f t="shared" si="506"/>
        <v>12</v>
      </c>
      <c r="U5936" s="22">
        <f t="shared" si="507"/>
        <v>2022</v>
      </c>
      <c r="V5936" s="22" t="str">
        <f t="shared" si="508"/>
        <v>METROPOLITANA</v>
      </c>
    </row>
    <row r="5937" spans="1:22" x14ac:dyDescent="0.2">
      <c r="A5937" s="23" t="s">
        <v>7196</v>
      </c>
      <c r="B5937" s="22" t="s">
        <v>33</v>
      </c>
      <c r="C5937" s="22" t="s">
        <v>36</v>
      </c>
      <c r="D5937" s="22" t="s">
        <v>37</v>
      </c>
      <c r="E5937" s="24" t="s">
        <v>40</v>
      </c>
      <c r="F5937" s="22" t="s">
        <v>170</v>
      </c>
      <c r="G5937" s="25">
        <v>3150.2</v>
      </c>
      <c r="H5937" s="22" t="s">
        <v>22</v>
      </c>
      <c r="I5937" s="22">
        <v>0</v>
      </c>
      <c r="J5937" s="22" t="s">
        <v>170</v>
      </c>
      <c r="K5937" s="22" t="s">
        <v>171</v>
      </c>
      <c r="L5937" s="22">
        <v>0</v>
      </c>
      <c r="M5937" s="26">
        <v>180000</v>
      </c>
      <c r="N5937" s="26">
        <v>0</v>
      </c>
      <c r="O5937" s="15">
        <f t="shared" si="509"/>
        <v>180000</v>
      </c>
      <c r="P5937" s="15">
        <f t="shared" si="510"/>
        <v>57.139229255285379</v>
      </c>
      <c r="Q5937" s="25">
        <v>20000</v>
      </c>
      <c r="R5937" s="22">
        <v>16</v>
      </c>
      <c r="S5937" s="22" t="s">
        <v>7205</v>
      </c>
      <c r="T5937" s="22">
        <f t="shared" si="506"/>
        <v>12</v>
      </c>
      <c r="U5937" s="22">
        <f t="shared" si="507"/>
        <v>2022</v>
      </c>
      <c r="V5937" s="22" t="str">
        <f t="shared" si="508"/>
        <v>REGIONES</v>
      </c>
    </row>
    <row r="5938" spans="1:22" x14ac:dyDescent="0.2">
      <c r="A5938" s="23" t="s">
        <v>7196</v>
      </c>
      <c r="B5938" s="22" t="s">
        <v>33</v>
      </c>
      <c r="C5938" s="22" t="s">
        <v>36</v>
      </c>
      <c r="D5938" s="22" t="s">
        <v>30</v>
      </c>
      <c r="E5938" s="24" t="s">
        <v>31</v>
      </c>
      <c r="F5938" s="22" t="s">
        <v>308</v>
      </c>
      <c r="G5938" s="25">
        <v>4026.4</v>
      </c>
      <c r="H5938" s="22" t="s">
        <v>32</v>
      </c>
      <c r="I5938" s="22">
        <v>0</v>
      </c>
      <c r="J5938" s="22" t="s">
        <v>308</v>
      </c>
      <c r="K5938" s="22" t="s">
        <v>78</v>
      </c>
      <c r="L5938" s="22">
        <v>0</v>
      </c>
      <c r="M5938" s="26">
        <v>203000</v>
      </c>
      <c r="N5938" s="26">
        <v>0</v>
      </c>
      <c r="O5938" s="15">
        <f t="shared" si="509"/>
        <v>203000</v>
      </c>
      <c r="P5938" s="15">
        <f t="shared" si="510"/>
        <v>50.417246175243392</v>
      </c>
      <c r="Q5938" s="25">
        <v>20000</v>
      </c>
      <c r="R5938" s="22">
        <v>20</v>
      </c>
      <c r="S5938" s="22" t="s">
        <v>7206</v>
      </c>
      <c r="T5938" s="22">
        <f t="shared" si="506"/>
        <v>12</v>
      </c>
      <c r="U5938" s="22">
        <f t="shared" si="507"/>
        <v>2022</v>
      </c>
      <c r="V5938" s="22" t="str">
        <f t="shared" si="508"/>
        <v>REGIONES</v>
      </c>
    </row>
    <row r="5939" spans="1:22" x14ac:dyDescent="0.2">
      <c r="A5939" s="23" t="s">
        <v>7196</v>
      </c>
      <c r="B5939" s="22" t="s">
        <v>33</v>
      </c>
      <c r="C5939" s="22" t="s">
        <v>36</v>
      </c>
      <c r="D5939" s="22" t="s">
        <v>45</v>
      </c>
      <c r="E5939" s="24" t="s">
        <v>52</v>
      </c>
      <c r="F5939" s="22" t="s">
        <v>129</v>
      </c>
      <c r="G5939" s="25">
        <v>2440.4</v>
      </c>
      <c r="H5939" s="22" t="s">
        <v>22</v>
      </c>
      <c r="I5939" s="22">
        <v>0</v>
      </c>
      <c r="J5939" s="22" t="s">
        <v>129</v>
      </c>
      <c r="K5939" s="22" t="s">
        <v>23</v>
      </c>
      <c r="L5939" s="22">
        <v>1</v>
      </c>
      <c r="M5939" s="26">
        <v>55000</v>
      </c>
      <c r="N5939" s="26">
        <v>0</v>
      </c>
      <c r="O5939" s="15">
        <f t="shared" si="509"/>
        <v>55000</v>
      </c>
      <c r="P5939" s="15">
        <f t="shared" si="510"/>
        <v>22.537288969021471</v>
      </c>
      <c r="Q5939" s="25">
        <v>5000</v>
      </c>
      <c r="R5939" s="22">
        <v>49</v>
      </c>
      <c r="S5939" s="22" t="s">
        <v>7207</v>
      </c>
      <c r="T5939" s="22">
        <f t="shared" si="506"/>
        <v>12</v>
      </c>
      <c r="U5939" s="22">
        <f t="shared" si="507"/>
        <v>2022</v>
      </c>
      <c r="V5939" s="22" t="str">
        <f t="shared" si="508"/>
        <v>METROPOLITANA</v>
      </c>
    </row>
    <row r="5940" spans="1:22" x14ac:dyDescent="0.2">
      <c r="A5940" s="23" t="s">
        <v>7196</v>
      </c>
      <c r="B5940" s="22" t="s">
        <v>33</v>
      </c>
      <c r="C5940" s="22" t="s">
        <v>29</v>
      </c>
      <c r="D5940" s="22" t="s">
        <v>41</v>
      </c>
      <c r="E5940" s="24" t="s">
        <v>25</v>
      </c>
      <c r="F5940" s="22" t="s">
        <v>39</v>
      </c>
      <c r="G5940" s="25">
        <v>7828.8600000000006</v>
      </c>
      <c r="H5940" s="22" t="s">
        <v>43</v>
      </c>
      <c r="I5940" s="22">
        <v>0</v>
      </c>
      <c r="J5940" s="22" t="s">
        <v>39</v>
      </c>
      <c r="K5940" s="22" t="s">
        <v>23</v>
      </c>
      <c r="L5940" s="22">
        <v>1</v>
      </c>
      <c r="M5940" s="26">
        <v>86117</v>
      </c>
      <c r="N5940" s="26">
        <v>0</v>
      </c>
      <c r="O5940" s="15">
        <f t="shared" si="509"/>
        <v>86117</v>
      </c>
      <c r="P5940" s="15">
        <f t="shared" si="510"/>
        <v>10.99994124304177</v>
      </c>
      <c r="Q5940" s="25">
        <v>5000</v>
      </c>
      <c r="R5940" s="22">
        <v>100</v>
      </c>
      <c r="S5940" s="22" t="s">
        <v>7208</v>
      </c>
      <c r="T5940" s="22">
        <f t="shared" si="506"/>
        <v>12</v>
      </c>
      <c r="U5940" s="22">
        <f t="shared" si="507"/>
        <v>2022</v>
      </c>
      <c r="V5940" s="22" t="str">
        <f t="shared" si="508"/>
        <v>METROPOLITANA</v>
      </c>
    </row>
    <row r="5941" spans="1:22" x14ac:dyDescent="0.2">
      <c r="A5941" s="23" t="s">
        <v>7196</v>
      </c>
      <c r="B5941" s="22" t="s">
        <v>33</v>
      </c>
      <c r="C5941" s="22" t="s">
        <v>29</v>
      </c>
      <c r="D5941" s="22" t="s">
        <v>1205</v>
      </c>
      <c r="E5941" s="24" t="s">
        <v>7209</v>
      </c>
      <c r="F5941" s="22" t="s">
        <v>39</v>
      </c>
      <c r="G5941" s="25">
        <v>1188</v>
      </c>
      <c r="H5941" s="22" t="s">
        <v>24</v>
      </c>
      <c r="I5941" s="22">
        <v>1</v>
      </c>
      <c r="J5941" s="22" t="s">
        <v>39</v>
      </c>
      <c r="K5941" s="22" t="s">
        <v>23</v>
      </c>
      <c r="L5941" s="22">
        <v>1</v>
      </c>
      <c r="M5941" s="26">
        <v>55000</v>
      </c>
      <c r="N5941" s="26">
        <v>0</v>
      </c>
      <c r="O5941" s="15">
        <f t="shared" si="509"/>
        <v>55000</v>
      </c>
      <c r="P5941" s="15">
        <f t="shared" si="510"/>
        <v>46.296296296296298</v>
      </c>
      <c r="Q5941" s="25">
        <v>5000</v>
      </c>
      <c r="R5941" s="22">
        <v>24</v>
      </c>
      <c r="S5941" s="22" t="s">
        <v>7210</v>
      </c>
      <c r="T5941" s="22">
        <f t="shared" si="506"/>
        <v>12</v>
      </c>
      <c r="U5941" s="22">
        <f t="shared" si="507"/>
        <v>2022</v>
      </c>
      <c r="V5941" s="22" t="str">
        <f t="shared" si="508"/>
        <v>METROPOLITANA</v>
      </c>
    </row>
    <row r="5942" spans="1:22" x14ac:dyDescent="0.2">
      <c r="A5942" s="23" t="s">
        <v>7196</v>
      </c>
      <c r="B5942" s="22" t="s">
        <v>33</v>
      </c>
      <c r="C5942" s="22" t="s">
        <v>29</v>
      </c>
      <c r="D5942" s="22" t="s">
        <v>164</v>
      </c>
      <c r="E5942" s="24" t="s">
        <v>1576</v>
      </c>
      <c r="F5942" s="22" t="s">
        <v>39</v>
      </c>
      <c r="G5942" s="25">
        <v>18137.8</v>
      </c>
      <c r="H5942" s="22" t="s">
        <v>22</v>
      </c>
      <c r="I5942" s="22">
        <v>1</v>
      </c>
      <c r="J5942" s="22" t="s">
        <v>39</v>
      </c>
      <c r="K5942" s="22" t="s">
        <v>23</v>
      </c>
      <c r="L5942" s="22">
        <v>1</v>
      </c>
      <c r="M5942" s="26">
        <v>199516</v>
      </c>
      <c r="N5942" s="26">
        <v>0</v>
      </c>
      <c r="O5942" s="15">
        <f t="shared" si="509"/>
        <v>199516</v>
      </c>
      <c r="P5942" s="15">
        <f t="shared" si="510"/>
        <v>11.000011026695631</v>
      </c>
      <c r="Q5942" s="25">
        <v>5000</v>
      </c>
      <c r="R5942" s="22">
        <v>100</v>
      </c>
      <c r="S5942" s="22" t="s">
        <v>7211</v>
      </c>
      <c r="T5942" s="22">
        <f t="shared" si="506"/>
        <v>12</v>
      </c>
      <c r="U5942" s="22">
        <f t="shared" si="507"/>
        <v>2022</v>
      </c>
      <c r="V5942" s="22" t="str">
        <f t="shared" si="508"/>
        <v>METROPOLITANA</v>
      </c>
    </row>
    <row r="5943" spans="1:22" x14ac:dyDescent="0.2">
      <c r="A5943" s="23" t="s">
        <v>7196</v>
      </c>
      <c r="B5943" s="22" t="s">
        <v>33</v>
      </c>
      <c r="C5943" s="22" t="s">
        <v>44</v>
      </c>
      <c r="D5943" s="22" t="s">
        <v>7203</v>
      </c>
      <c r="E5943" s="24" t="s">
        <v>7204</v>
      </c>
      <c r="F5943" s="22" t="s">
        <v>691</v>
      </c>
      <c r="G5943" s="25">
        <f>5860.8+6740</f>
        <v>12600.8</v>
      </c>
      <c r="H5943" s="22" t="s">
        <v>24</v>
      </c>
      <c r="I5943" s="22">
        <v>1</v>
      </c>
      <c r="J5943" s="22" t="s">
        <v>691</v>
      </c>
      <c r="K5943" s="22" t="s">
        <v>873</v>
      </c>
      <c r="L5943" s="22">
        <v>0</v>
      </c>
      <c r="M5943" s="26">
        <v>1100000</v>
      </c>
      <c r="N5943" s="26">
        <v>0</v>
      </c>
      <c r="O5943" s="15">
        <f t="shared" si="509"/>
        <v>1100000</v>
      </c>
      <c r="P5943" s="15">
        <f t="shared" si="510"/>
        <v>87.296044695574892</v>
      </c>
      <c r="Q5943" s="25">
        <v>20000</v>
      </c>
      <c r="R5943" s="22">
        <v>65</v>
      </c>
      <c r="S5943" s="22" t="s">
        <v>7213</v>
      </c>
      <c r="T5943" s="22">
        <f t="shared" si="506"/>
        <v>12</v>
      </c>
      <c r="U5943" s="22">
        <f t="shared" si="507"/>
        <v>2022</v>
      </c>
      <c r="V5943" s="22" t="str">
        <f t="shared" si="508"/>
        <v>REGIONES</v>
      </c>
    </row>
    <row r="5944" spans="1:22" x14ac:dyDescent="0.2">
      <c r="A5944" s="23" t="s">
        <v>7196</v>
      </c>
      <c r="B5944" s="22" t="s">
        <v>33</v>
      </c>
      <c r="C5944" s="22" t="s">
        <v>44</v>
      </c>
      <c r="D5944" s="22" t="s">
        <v>20</v>
      </c>
      <c r="E5944" s="24" t="s">
        <v>21</v>
      </c>
      <c r="F5944" s="22" t="s">
        <v>51</v>
      </c>
      <c r="G5944" s="25">
        <v>4037.2</v>
      </c>
      <c r="H5944" s="22" t="s">
        <v>22</v>
      </c>
      <c r="I5944" s="22">
        <v>0</v>
      </c>
      <c r="J5944" s="22" t="s">
        <v>51</v>
      </c>
      <c r="K5944" s="22" t="s">
        <v>23</v>
      </c>
      <c r="L5944" s="22">
        <v>4</v>
      </c>
      <c r="M5944" s="26">
        <v>55000</v>
      </c>
      <c r="N5944" s="26">
        <v>0</v>
      </c>
      <c r="O5944" s="15">
        <f t="shared" si="509"/>
        <v>55000</v>
      </c>
      <c r="P5944" s="15">
        <f t="shared" si="510"/>
        <v>13.623303279500645</v>
      </c>
      <c r="Q5944" s="25">
        <v>5000</v>
      </c>
      <c r="R5944" s="22">
        <v>81</v>
      </c>
      <c r="S5944" s="22" t="s">
        <v>7212</v>
      </c>
      <c r="T5944" s="22">
        <f t="shared" si="506"/>
        <v>12</v>
      </c>
      <c r="U5944" s="22">
        <f t="shared" si="507"/>
        <v>2022</v>
      </c>
      <c r="V5944" s="22" t="str">
        <f t="shared" si="508"/>
        <v>METROPOLITANA</v>
      </c>
    </row>
    <row r="5945" spans="1:22" x14ac:dyDescent="0.2">
      <c r="A5945" s="11" t="s">
        <v>7214</v>
      </c>
      <c r="B5945" s="12" t="s">
        <v>33</v>
      </c>
      <c r="C5945" s="12" t="s">
        <v>187</v>
      </c>
      <c r="D5945" s="12" t="s">
        <v>45</v>
      </c>
      <c r="E5945" s="13" t="s">
        <v>52</v>
      </c>
      <c r="F5945" s="12" t="s">
        <v>129</v>
      </c>
      <c r="G5945" s="14">
        <v>1950</v>
      </c>
      <c r="H5945" s="12" t="s">
        <v>22</v>
      </c>
      <c r="I5945" s="12">
        <v>0</v>
      </c>
      <c r="J5945" s="12" t="s">
        <v>129</v>
      </c>
      <c r="K5945" s="12" t="s">
        <v>23</v>
      </c>
      <c r="L5945" s="12">
        <v>1</v>
      </c>
      <c r="M5945" s="15">
        <v>55000</v>
      </c>
      <c r="N5945" s="15">
        <v>0</v>
      </c>
      <c r="O5945" s="15">
        <f t="shared" si="509"/>
        <v>55000</v>
      </c>
      <c r="P5945" s="15">
        <f t="shared" si="510"/>
        <v>28.205128205128204</v>
      </c>
      <c r="Q5945" s="14">
        <v>5000</v>
      </c>
      <c r="R5945" s="12">
        <v>39</v>
      </c>
      <c r="S5945" s="12" t="s">
        <v>7215</v>
      </c>
      <c r="T5945" s="22">
        <f t="shared" si="506"/>
        <v>12</v>
      </c>
      <c r="U5945" s="22">
        <f t="shared" si="507"/>
        <v>2022</v>
      </c>
      <c r="V5945" s="22" t="str">
        <f t="shared" si="508"/>
        <v>METROPOLITANA</v>
      </c>
    </row>
    <row r="5946" spans="1:22" x14ac:dyDescent="0.2">
      <c r="A5946" s="11" t="s">
        <v>7214</v>
      </c>
      <c r="B5946" s="12" t="s">
        <v>33</v>
      </c>
      <c r="C5946" s="12" t="s">
        <v>128</v>
      </c>
      <c r="D5946" s="12" t="s">
        <v>37</v>
      </c>
      <c r="E5946" s="13" t="s">
        <v>40</v>
      </c>
      <c r="F5946" s="12" t="s">
        <v>170</v>
      </c>
      <c r="G5946" s="14">
        <v>4142.1000000000004</v>
      </c>
      <c r="H5946" s="12" t="s">
        <v>22</v>
      </c>
      <c r="I5946" s="12">
        <v>0</v>
      </c>
      <c r="J5946" s="12" t="s">
        <v>170</v>
      </c>
      <c r="K5946" s="12" t="s">
        <v>171</v>
      </c>
      <c r="L5946" s="12">
        <v>0</v>
      </c>
      <c r="M5946" s="15">
        <v>180000</v>
      </c>
      <c r="N5946" s="15">
        <v>0</v>
      </c>
      <c r="O5946" s="15">
        <f t="shared" si="509"/>
        <v>180000</v>
      </c>
      <c r="P5946" s="15">
        <f t="shared" si="510"/>
        <v>43.456217860505539</v>
      </c>
      <c r="Q5946" s="14">
        <v>20000</v>
      </c>
      <c r="R5946" s="12">
        <v>21</v>
      </c>
      <c r="S5946" s="12" t="s">
        <v>7216</v>
      </c>
      <c r="T5946" s="22">
        <f t="shared" si="506"/>
        <v>12</v>
      </c>
      <c r="U5946" s="22">
        <f t="shared" si="507"/>
        <v>2022</v>
      </c>
      <c r="V5946" s="22" t="str">
        <f t="shared" si="508"/>
        <v>REGIONES</v>
      </c>
    </row>
    <row r="5947" spans="1:22" x14ac:dyDescent="0.2">
      <c r="A5947" s="11" t="s">
        <v>7214</v>
      </c>
      <c r="B5947" s="12" t="s">
        <v>33</v>
      </c>
      <c r="C5947" s="12" t="s">
        <v>5851</v>
      </c>
      <c r="D5947" s="12" t="s">
        <v>2955</v>
      </c>
      <c r="E5947" s="13" t="s">
        <v>2956</v>
      </c>
      <c r="F5947" s="12" t="s">
        <v>274</v>
      </c>
      <c r="G5947" s="14">
        <v>18539.400000000001</v>
      </c>
      <c r="H5947" s="12" t="s">
        <v>24</v>
      </c>
      <c r="I5947" s="12">
        <v>1</v>
      </c>
      <c r="J5947" s="12" t="s">
        <v>274</v>
      </c>
      <c r="K5947" s="12" t="s">
        <v>78</v>
      </c>
      <c r="L5947" s="12">
        <v>0</v>
      </c>
      <c r="M5947" s="15">
        <v>275000</v>
      </c>
      <c r="N5947" s="15">
        <v>0</v>
      </c>
      <c r="O5947" s="15">
        <f t="shared" si="509"/>
        <v>275000</v>
      </c>
      <c r="P5947" s="15">
        <f t="shared" si="510"/>
        <v>14.833274000237331</v>
      </c>
      <c r="Q5947" s="14">
        <v>20000</v>
      </c>
      <c r="R5947" s="12">
        <v>93</v>
      </c>
      <c r="S5947" s="12" t="s">
        <v>7217</v>
      </c>
      <c r="T5947" s="22">
        <f t="shared" si="506"/>
        <v>12</v>
      </c>
      <c r="U5947" s="22">
        <f t="shared" si="507"/>
        <v>2022</v>
      </c>
      <c r="V5947" s="22" t="str">
        <f t="shared" si="508"/>
        <v>REGIONES</v>
      </c>
    </row>
    <row r="5948" spans="1:22" x14ac:dyDescent="0.2">
      <c r="A5948" s="11" t="s">
        <v>7214</v>
      </c>
      <c r="B5948" s="12" t="s">
        <v>33</v>
      </c>
      <c r="C5948" s="12" t="s">
        <v>36</v>
      </c>
      <c r="D5948" s="12" t="s">
        <v>30</v>
      </c>
      <c r="E5948" s="13" t="s">
        <v>31</v>
      </c>
      <c r="F5948" s="12" t="s">
        <v>59</v>
      </c>
      <c r="G5948" s="14">
        <f>3476.8+1262</f>
        <v>4738.8</v>
      </c>
      <c r="H5948" s="12" t="s">
        <v>32</v>
      </c>
      <c r="I5948" s="12">
        <v>0</v>
      </c>
      <c r="J5948" s="12" t="s">
        <v>59</v>
      </c>
      <c r="K5948" s="12" t="s">
        <v>78</v>
      </c>
      <c r="L5948" s="12">
        <v>0</v>
      </c>
      <c r="M5948" s="15">
        <v>203000</v>
      </c>
      <c r="N5948" s="15">
        <v>0</v>
      </c>
      <c r="O5948" s="15">
        <f t="shared" si="509"/>
        <v>203000</v>
      </c>
      <c r="P5948" s="15">
        <f t="shared" si="510"/>
        <v>42.837849244534482</v>
      </c>
      <c r="Q5948" s="14">
        <v>20000</v>
      </c>
      <c r="R5948" s="12">
        <v>17</v>
      </c>
      <c r="S5948" s="12" t="s">
        <v>7221</v>
      </c>
      <c r="T5948" s="22">
        <f t="shared" si="506"/>
        <v>12</v>
      </c>
      <c r="U5948" s="22">
        <f t="shared" si="507"/>
        <v>2022</v>
      </c>
      <c r="V5948" s="22" t="str">
        <f t="shared" si="508"/>
        <v>REGIONES</v>
      </c>
    </row>
    <row r="5949" spans="1:22" x14ac:dyDescent="0.2">
      <c r="A5949" s="11" t="s">
        <v>7214</v>
      </c>
      <c r="B5949" s="12" t="s">
        <v>33</v>
      </c>
      <c r="C5949" s="12" t="s">
        <v>29</v>
      </c>
      <c r="D5949" s="12" t="s">
        <v>38</v>
      </c>
      <c r="E5949" s="13" t="s">
        <v>42</v>
      </c>
      <c r="F5949" s="12" t="s">
        <v>39</v>
      </c>
      <c r="G5949" s="14">
        <v>8507.8000000000011</v>
      </c>
      <c r="H5949" s="12" t="s">
        <v>43</v>
      </c>
      <c r="I5949" s="12">
        <v>0</v>
      </c>
      <c r="J5949" s="12" t="s">
        <v>39</v>
      </c>
      <c r="K5949" s="12" t="s">
        <v>23</v>
      </c>
      <c r="L5949" s="12">
        <v>1</v>
      </c>
      <c r="M5949" s="15">
        <v>93586</v>
      </c>
      <c r="N5949" s="15">
        <v>0</v>
      </c>
      <c r="O5949" s="15">
        <f t="shared" si="509"/>
        <v>93586</v>
      </c>
      <c r="P5949" s="15">
        <f t="shared" si="510"/>
        <v>11.000023507839863</v>
      </c>
      <c r="Q5949" s="14">
        <v>5000</v>
      </c>
      <c r="R5949" s="12">
        <v>100</v>
      </c>
      <c r="S5949" s="12" t="s">
        <v>7218</v>
      </c>
      <c r="T5949" s="22">
        <f t="shared" si="506"/>
        <v>12</v>
      </c>
      <c r="U5949" s="22">
        <f t="shared" si="507"/>
        <v>2022</v>
      </c>
      <c r="V5949" s="22" t="str">
        <f t="shared" si="508"/>
        <v>METROPOLITANA</v>
      </c>
    </row>
    <row r="5950" spans="1:22" x14ac:dyDescent="0.2">
      <c r="A5950" s="11" t="s">
        <v>7214</v>
      </c>
      <c r="B5950" s="12" t="s">
        <v>33</v>
      </c>
      <c r="C5950" s="12" t="s">
        <v>29</v>
      </c>
      <c r="D5950" s="12" t="s">
        <v>2955</v>
      </c>
      <c r="E5950" s="13" t="s">
        <v>1576</v>
      </c>
      <c r="F5950" s="12" t="s">
        <v>39</v>
      </c>
      <c r="G5950" s="14">
        <v>1574.8</v>
      </c>
      <c r="H5950" s="12" t="s">
        <v>24</v>
      </c>
      <c r="I5950" s="12">
        <v>1</v>
      </c>
      <c r="J5950" s="12" t="s">
        <v>39</v>
      </c>
      <c r="K5950" s="12" t="s">
        <v>23</v>
      </c>
      <c r="L5950" s="12">
        <v>1</v>
      </c>
      <c r="M5950" s="15">
        <v>55000</v>
      </c>
      <c r="N5950" s="15">
        <v>0</v>
      </c>
      <c r="O5950" s="15">
        <f t="shared" si="509"/>
        <v>55000</v>
      </c>
      <c r="P5950" s="15">
        <f t="shared" si="510"/>
        <v>34.9250698501397</v>
      </c>
      <c r="Q5950" s="14">
        <v>5000</v>
      </c>
      <c r="R5950" s="12">
        <v>31</v>
      </c>
      <c r="S5950" s="12" t="s">
        <v>7219</v>
      </c>
      <c r="T5950" s="22">
        <f t="shared" si="506"/>
        <v>12</v>
      </c>
      <c r="U5950" s="22">
        <f t="shared" si="507"/>
        <v>2022</v>
      </c>
      <c r="V5950" s="22" t="str">
        <f t="shared" si="508"/>
        <v>METROPOLITANA</v>
      </c>
    </row>
    <row r="5951" spans="1:22" x14ac:dyDescent="0.2">
      <c r="A5951" s="11" t="s">
        <v>7214</v>
      </c>
      <c r="B5951" s="12" t="s">
        <v>33</v>
      </c>
      <c r="C5951" s="12" t="s">
        <v>29</v>
      </c>
      <c r="D5951" s="12" t="s">
        <v>164</v>
      </c>
      <c r="E5951" s="13" t="s">
        <v>1576</v>
      </c>
      <c r="F5951" s="12" t="s">
        <v>39</v>
      </c>
      <c r="G5951" s="14">
        <v>16462.209999999988</v>
      </c>
      <c r="H5951" s="12" t="s">
        <v>22</v>
      </c>
      <c r="I5951" s="12">
        <v>1</v>
      </c>
      <c r="J5951" s="12" t="s">
        <v>39</v>
      </c>
      <c r="K5951" s="12" t="s">
        <v>23</v>
      </c>
      <c r="L5951" s="12">
        <v>1</v>
      </c>
      <c r="M5951" s="15">
        <v>181084</v>
      </c>
      <c r="N5951" s="15">
        <v>0</v>
      </c>
      <c r="O5951" s="15">
        <f t="shared" si="509"/>
        <v>181084</v>
      </c>
      <c r="P5951" s="15">
        <f t="shared" si="510"/>
        <v>10.999981168992507</v>
      </c>
      <c r="Q5951" s="14">
        <v>5000</v>
      </c>
      <c r="R5951" s="12">
        <v>100</v>
      </c>
      <c r="S5951" s="12" t="s">
        <v>7220</v>
      </c>
      <c r="T5951" s="22">
        <f t="shared" si="506"/>
        <v>12</v>
      </c>
      <c r="U5951" s="22">
        <f t="shared" si="507"/>
        <v>2022</v>
      </c>
      <c r="V5951" s="22" t="str">
        <f t="shared" si="508"/>
        <v>METROPOLITANA</v>
      </c>
    </row>
    <row r="5952" spans="1:22" x14ac:dyDescent="0.2">
      <c r="A5952" s="23" t="s">
        <v>7222</v>
      </c>
      <c r="B5952" s="22" t="s">
        <v>18</v>
      </c>
      <c r="C5952" s="22" t="s">
        <v>475</v>
      </c>
      <c r="D5952" s="22" t="s">
        <v>5478</v>
      </c>
      <c r="E5952" s="24" t="s">
        <v>83</v>
      </c>
      <c r="F5952" s="22" t="s">
        <v>2639</v>
      </c>
      <c r="G5952" s="25">
        <v>17441.41</v>
      </c>
      <c r="H5952" s="22" t="s">
        <v>24</v>
      </c>
      <c r="I5952" s="22">
        <v>1</v>
      </c>
      <c r="J5952" s="22" t="s">
        <v>2639</v>
      </c>
      <c r="K5952" s="22" t="s">
        <v>75</v>
      </c>
      <c r="L5952" s="22">
        <v>0</v>
      </c>
      <c r="M5952" s="26">
        <v>460000</v>
      </c>
      <c r="N5952" s="26">
        <v>0</v>
      </c>
      <c r="O5952" s="15">
        <f t="shared" si="509"/>
        <v>460000</v>
      </c>
      <c r="P5952" s="15">
        <f t="shared" si="510"/>
        <v>26.374014486214129</v>
      </c>
      <c r="Q5952" s="25">
        <v>20000</v>
      </c>
      <c r="R5952" s="22">
        <v>87</v>
      </c>
      <c r="S5952" s="22" t="s">
        <v>7223</v>
      </c>
      <c r="T5952" s="22">
        <f t="shared" si="506"/>
        <v>12</v>
      </c>
      <c r="U5952" s="22">
        <f t="shared" si="507"/>
        <v>2022</v>
      </c>
      <c r="V5952" s="22" t="str">
        <f t="shared" si="508"/>
        <v>REGIONES</v>
      </c>
    </row>
    <row r="5953" spans="1:22" x14ac:dyDescent="0.2">
      <c r="A5953" s="23" t="s">
        <v>7222</v>
      </c>
      <c r="B5953" s="22" t="s">
        <v>18</v>
      </c>
      <c r="C5953" s="22" t="s">
        <v>57</v>
      </c>
      <c r="D5953" s="22" t="s">
        <v>1869</v>
      </c>
      <c r="E5953" s="24" t="s">
        <v>7224</v>
      </c>
      <c r="F5953" s="22" t="s">
        <v>1026</v>
      </c>
      <c r="G5953" s="25">
        <v>10241.94</v>
      </c>
      <c r="H5953" s="22" t="s">
        <v>24</v>
      </c>
      <c r="I5953" s="22">
        <v>1</v>
      </c>
      <c r="J5953" s="22" t="s">
        <v>1026</v>
      </c>
      <c r="K5953" s="22" t="s">
        <v>408</v>
      </c>
      <c r="L5953" s="22">
        <v>0</v>
      </c>
      <c r="M5953" s="26">
        <v>650000</v>
      </c>
      <c r="N5953" s="26">
        <v>0</v>
      </c>
      <c r="O5953" s="15">
        <f t="shared" si="509"/>
        <v>650000</v>
      </c>
      <c r="P5953" s="15">
        <f t="shared" si="510"/>
        <v>63.464538944770226</v>
      </c>
      <c r="Q5953" s="25">
        <v>20000</v>
      </c>
      <c r="R5953" s="22">
        <v>51</v>
      </c>
      <c r="S5953" s="22" t="s">
        <v>7225</v>
      </c>
      <c r="T5953" s="22">
        <f t="shared" si="506"/>
        <v>12</v>
      </c>
      <c r="U5953" s="22">
        <f t="shared" si="507"/>
        <v>2022</v>
      </c>
      <c r="V5953" s="22" t="str">
        <f t="shared" si="508"/>
        <v>REGIONES</v>
      </c>
    </row>
    <row r="5954" spans="1:22" x14ac:dyDescent="0.2">
      <c r="A5954" s="23" t="s">
        <v>7222</v>
      </c>
      <c r="B5954" s="22" t="s">
        <v>18</v>
      </c>
      <c r="C5954" s="22" t="s">
        <v>57</v>
      </c>
      <c r="D5954" s="22" t="s">
        <v>786</v>
      </c>
      <c r="E5954" s="24" t="s">
        <v>787</v>
      </c>
      <c r="F5954" s="22" t="s">
        <v>1026</v>
      </c>
      <c r="G5954" s="25">
        <v>9619.2800000000007</v>
      </c>
      <c r="H5954" s="22" t="s">
        <v>788</v>
      </c>
      <c r="I5954" s="22">
        <v>1</v>
      </c>
      <c r="J5954" s="22" t="s">
        <v>1026</v>
      </c>
      <c r="K5954" s="22" t="s">
        <v>408</v>
      </c>
      <c r="L5954" s="22">
        <v>0</v>
      </c>
      <c r="M5954" s="26">
        <v>650000</v>
      </c>
      <c r="N5954" s="26">
        <v>0</v>
      </c>
      <c r="O5954" s="15">
        <f t="shared" si="509"/>
        <v>650000</v>
      </c>
      <c r="P5954" s="15">
        <f t="shared" si="510"/>
        <v>67.572624978168847</v>
      </c>
      <c r="Q5954" s="25">
        <v>20000</v>
      </c>
      <c r="R5954" s="22">
        <v>48</v>
      </c>
      <c r="S5954" s="22" t="s">
        <v>7226</v>
      </c>
      <c r="T5954" s="22">
        <f t="shared" si="506"/>
        <v>12</v>
      </c>
      <c r="U5954" s="22">
        <f t="shared" si="507"/>
        <v>2022</v>
      </c>
      <c r="V5954" s="22" t="str">
        <f t="shared" si="508"/>
        <v>REGIONES</v>
      </c>
    </row>
    <row r="5955" spans="1:22" x14ac:dyDescent="0.2">
      <c r="A5955" s="23" t="s">
        <v>7222</v>
      </c>
      <c r="B5955" s="22" t="s">
        <v>33</v>
      </c>
      <c r="C5955" s="22" t="s">
        <v>128</v>
      </c>
      <c r="D5955" s="22" t="s">
        <v>41</v>
      </c>
      <c r="E5955" s="24" t="s">
        <v>25</v>
      </c>
      <c r="F5955" s="22" t="s">
        <v>95</v>
      </c>
      <c r="G5955" s="25">
        <v>2251.1999999999998</v>
      </c>
      <c r="H5955" s="22" t="s">
        <v>43</v>
      </c>
      <c r="I5955" s="22">
        <v>0</v>
      </c>
      <c r="J5955" s="22" t="s">
        <v>95</v>
      </c>
      <c r="K5955" s="22" t="s">
        <v>23</v>
      </c>
      <c r="L5955" s="22">
        <v>4</v>
      </c>
      <c r="M5955" s="26">
        <v>55000</v>
      </c>
      <c r="N5955" s="26">
        <v>0</v>
      </c>
      <c r="O5955" s="15">
        <f t="shared" si="509"/>
        <v>55000</v>
      </c>
      <c r="P5955" s="15">
        <f t="shared" si="510"/>
        <v>24.431414356787492</v>
      </c>
      <c r="Q5955" s="25">
        <v>5000</v>
      </c>
      <c r="R5955" s="22">
        <v>45</v>
      </c>
      <c r="S5955" s="22" t="s">
        <v>7227</v>
      </c>
      <c r="T5955" s="22">
        <f t="shared" si="506"/>
        <v>12</v>
      </c>
      <c r="U5955" s="22">
        <f t="shared" si="507"/>
        <v>2022</v>
      </c>
      <c r="V5955" s="22" t="str">
        <f t="shared" si="508"/>
        <v>METROPOLITANA</v>
      </c>
    </row>
    <row r="5956" spans="1:22" x14ac:dyDescent="0.2">
      <c r="A5956" s="23" t="s">
        <v>7222</v>
      </c>
      <c r="B5956" s="22" t="s">
        <v>33</v>
      </c>
      <c r="C5956" s="22" t="s">
        <v>7228</v>
      </c>
      <c r="D5956" s="22" t="s">
        <v>30</v>
      </c>
      <c r="E5956" s="24" t="s">
        <v>31</v>
      </c>
      <c r="F5956" s="22" t="s">
        <v>129</v>
      </c>
      <c r="G5956" s="25">
        <v>7432.6000000000013</v>
      </c>
      <c r="H5956" s="22" t="s">
        <v>32</v>
      </c>
      <c r="I5956" s="22">
        <v>0</v>
      </c>
      <c r="J5956" s="22" t="s">
        <v>129</v>
      </c>
      <c r="K5956" s="22" t="s">
        <v>23</v>
      </c>
      <c r="L5956" s="22">
        <v>1</v>
      </c>
      <c r="M5956" s="26">
        <v>81759</v>
      </c>
      <c r="N5956" s="26">
        <v>0</v>
      </c>
      <c r="O5956" s="15">
        <f t="shared" si="509"/>
        <v>81759</v>
      </c>
      <c r="P5956" s="15">
        <f t="shared" si="510"/>
        <v>11.000053816968489</v>
      </c>
      <c r="Q5956" s="25">
        <v>5000</v>
      </c>
      <c r="R5956" s="22">
        <v>100</v>
      </c>
      <c r="S5956" s="22" t="s">
        <v>7229</v>
      </c>
      <c r="T5956" s="22">
        <f t="shared" si="506"/>
        <v>12</v>
      </c>
      <c r="U5956" s="22">
        <f t="shared" si="507"/>
        <v>2022</v>
      </c>
      <c r="V5956" s="22" t="str">
        <f t="shared" si="508"/>
        <v>METROPOLITANA</v>
      </c>
    </row>
    <row r="5957" spans="1:22" x14ac:dyDescent="0.2">
      <c r="A5957" s="23" t="s">
        <v>7222</v>
      </c>
      <c r="B5957" s="22" t="s">
        <v>33</v>
      </c>
      <c r="C5957" s="22" t="s">
        <v>29</v>
      </c>
      <c r="D5957" s="22" t="s">
        <v>45</v>
      </c>
      <c r="E5957" s="24" t="s">
        <v>52</v>
      </c>
      <c r="F5957" s="22" t="s">
        <v>134</v>
      </c>
      <c r="G5957" s="25">
        <v>3560.51</v>
      </c>
      <c r="H5957" s="22" t="s">
        <v>22</v>
      </c>
      <c r="I5957" s="22">
        <v>0</v>
      </c>
      <c r="J5957" s="22" t="s">
        <v>134</v>
      </c>
      <c r="K5957" s="22" t="s">
        <v>23</v>
      </c>
      <c r="L5957" s="22">
        <v>2</v>
      </c>
      <c r="M5957" s="26">
        <v>55000</v>
      </c>
      <c r="N5957" s="26">
        <v>0</v>
      </c>
      <c r="O5957" s="15">
        <f t="shared" si="509"/>
        <v>55000</v>
      </c>
      <c r="P5957" s="15">
        <f t="shared" si="510"/>
        <v>15.447225257055869</v>
      </c>
      <c r="Q5957" s="25">
        <v>5000</v>
      </c>
      <c r="R5957" s="22">
        <v>71</v>
      </c>
      <c r="S5957" s="22" t="s">
        <v>7230</v>
      </c>
      <c r="T5957" s="22">
        <f t="shared" si="506"/>
        <v>12</v>
      </c>
      <c r="U5957" s="22">
        <f t="shared" si="507"/>
        <v>2022</v>
      </c>
      <c r="V5957" s="22" t="str">
        <f t="shared" si="508"/>
        <v>METROPOLITANA</v>
      </c>
    </row>
    <row r="5958" spans="1:22" x14ac:dyDescent="0.2">
      <c r="A5958" s="23" t="s">
        <v>7222</v>
      </c>
      <c r="B5958" s="22" t="s">
        <v>33</v>
      </c>
      <c r="C5958" s="22" t="s">
        <v>29</v>
      </c>
      <c r="D5958" s="22" t="s">
        <v>41</v>
      </c>
      <c r="E5958" s="24" t="s">
        <v>1576</v>
      </c>
      <c r="F5958" s="22" t="s">
        <v>39</v>
      </c>
      <c r="G5958" s="25">
        <v>1500.8</v>
      </c>
      <c r="H5958" s="22" t="s">
        <v>43</v>
      </c>
      <c r="I5958" s="22">
        <v>0</v>
      </c>
      <c r="J5958" s="22" t="s">
        <v>39</v>
      </c>
      <c r="K5958" s="22" t="s">
        <v>23</v>
      </c>
      <c r="L5958" s="22">
        <v>1</v>
      </c>
      <c r="M5958" s="26">
        <v>55000</v>
      </c>
      <c r="N5958" s="26">
        <v>0</v>
      </c>
      <c r="O5958" s="15">
        <f t="shared" si="509"/>
        <v>55000</v>
      </c>
      <c r="P5958" s="15">
        <f t="shared" si="510"/>
        <v>36.647121535181235</v>
      </c>
      <c r="Q5958" s="25">
        <v>5000</v>
      </c>
      <c r="R5958" s="22">
        <v>30</v>
      </c>
      <c r="S5958" s="22" t="s">
        <v>7231</v>
      </c>
      <c r="T5958" s="22">
        <f t="shared" si="506"/>
        <v>12</v>
      </c>
      <c r="U5958" s="22">
        <f t="shared" si="507"/>
        <v>2022</v>
      </c>
      <c r="V5958" s="22" t="str">
        <f t="shared" si="508"/>
        <v>METROPOLITANA</v>
      </c>
    </row>
    <row r="5959" spans="1:22" x14ac:dyDescent="0.2">
      <c r="A5959" s="23" t="s">
        <v>7222</v>
      </c>
      <c r="B5959" s="22" t="s">
        <v>33</v>
      </c>
      <c r="C5959" s="22" t="s">
        <v>29</v>
      </c>
      <c r="D5959" s="22" t="s">
        <v>164</v>
      </c>
      <c r="E5959" s="24" t="s">
        <v>1576</v>
      </c>
      <c r="F5959" s="22" t="s">
        <v>39</v>
      </c>
      <c r="G5959" s="25">
        <v>22314.7</v>
      </c>
      <c r="H5959" s="22" t="s">
        <v>22</v>
      </c>
      <c r="I5959" s="22">
        <v>1</v>
      </c>
      <c r="J5959" s="22" t="s">
        <v>39</v>
      </c>
      <c r="K5959" s="22" t="s">
        <v>23</v>
      </c>
      <c r="L5959" s="22">
        <v>1</v>
      </c>
      <c r="M5959" s="26">
        <v>245462</v>
      </c>
      <c r="N5959" s="26">
        <v>0</v>
      </c>
      <c r="O5959" s="15">
        <f t="shared" si="509"/>
        <v>245462</v>
      </c>
      <c r="P5959" s="15">
        <f t="shared" si="510"/>
        <v>11.000013444052575</v>
      </c>
      <c r="Q5959" s="25">
        <v>5000</v>
      </c>
      <c r="R5959" s="22">
        <v>100</v>
      </c>
      <c r="S5959" s="22" t="s">
        <v>7232</v>
      </c>
      <c r="T5959" s="22">
        <f t="shared" ref="T5959:T6022" si="511">MONTH(A5959)</f>
        <v>12</v>
      </c>
      <c r="U5959" s="22">
        <f t="shared" ref="U5959:U6022" si="512">YEAR(A5959)</f>
        <v>2022</v>
      </c>
      <c r="V5959" s="22" t="str">
        <f t="shared" ref="V5959:V6022" si="513">IF(K5959="METROPOLITANA DE SANTIAGO","METROPOLITANA","REGIONES")</f>
        <v>METROPOLITANA</v>
      </c>
    </row>
    <row r="5960" spans="1:22" x14ac:dyDescent="0.2">
      <c r="A5960" s="23" t="s">
        <v>7222</v>
      </c>
      <c r="B5960" s="22" t="s">
        <v>33</v>
      </c>
      <c r="C5960" s="22" t="s">
        <v>29</v>
      </c>
      <c r="D5960" s="22" t="s">
        <v>20</v>
      </c>
      <c r="E5960" s="24" t="s">
        <v>21</v>
      </c>
      <c r="F5960" s="22" t="s">
        <v>39</v>
      </c>
      <c r="G5960" s="25">
        <v>12350</v>
      </c>
      <c r="H5960" s="22" t="s">
        <v>22</v>
      </c>
      <c r="I5960" s="22">
        <v>0</v>
      </c>
      <c r="J5960" s="22" t="s">
        <v>39</v>
      </c>
      <c r="K5960" s="22" t="s">
        <v>23</v>
      </c>
      <c r="L5960" s="22">
        <v>1</v>
      </c>
      <c r="M5960" s="26">
        <v>135850</v>
      </c>
      <c r="N5960" s="26">
        <v>0</v>
      </c>
      <c r="O5960" s="15">
        <f t="shared" si="509"/>
        <v>135850</v>
      </c>
      <c r="P5960" s="15">
        <f t="shared" si="510"/>
        <v>11</v>
      </c>
      <c r="Q5960" s="25">
        <v>5000</v>
      </c>
      <c r="R5960" s="22">
        <v>100</v>
      </c>
      <c r="S5960" s="22" t="s">
        <v>7233</v>
      </c>
      <c r="T5960" s="22">
        <f t="shared" si="511"/>
        <v>12</v>
      </c>
      <c r="U5960" s="22">
        <f t="shared" si="512"/>
        <v>2022</v>
      </c>
      <c r="V5960" s="22" t="str">
        <f t="shared" si="513"/>
        <v>METROPOLITANA</v>
      </c>
    </row>
    <row r="5961" spans="1:22" x14ac:dyDescent="0.2">
      <c r="A5961" s="23" t="s">
        <v>7222</v>
      </c>
      <c r="B5961" s="22" t="s">
        <v>33</v>
      </c>
      <c r="C5961" s="22" t="s">
        <v>44</v>
      </c>
      <c r="D5961" s="22" t="s">
        <v>38</v>
      </c>
      <c r="E5961" s="24" t="s">
        <v>42</v>
      </c>
      <c r="F5961" s="22" t="s">
        <v>53</v>
      </c>
      <c r="G5961" s="25">
        <v>2549.8000000000002</v>
      </c>
      <c r="H5961" s="22" t="s">
        <v>43</v>
      </c>
      <c r="I5961" s="22">
        <v>0</v>
      </c>
      <c r="J5961" s="22" t="s">
        <v>53</v>
      </c>
      <c r="K5961" s="22" t="s">
        <v>23</v>
      </c>
      <c r="L5961" s="22">
        <v>3</v>
      </c>
      <c r="M5961" s="26">
        <v>55000</v>
      </c>
      <c r="N5961" s="26">
        <v>0</v>
      </c>
      <c r="O5961" s="15">
        <f t="shared" si="509"/>
        <v>55000</v>
      </c>
      <c r="P5961" s="15">
        <f t="shared" si="510"/>
        <v>21.570319240724761</v>
      </c>
      <c r="Q5961" s="25">
        <v>5000</v>
      </c>
      <c r="R5961" s="22">
        <v>51</v>
      </c>
      <c r="S5961" s="22" t="s">
        <v>7234</v>
      </c>
      <c r="T5961" s="22">
        <f t="shared" si="511"/>
        <v>12</v>
      </c>
      <c r="U5961" s="22">
        <f t="shared" si="512"/>
        <v>2022</v>
      </c>
      <c r="V5961" s="22" t="str">
        <f t="shared" si="513"/>
        <v>METROPOLITANA</v>
      </c>
    </row>
    <row r="5962" spans="1:22" x14ac:dyDescent="0.2">
      <c r="A5962" s="23" t="s">
        <v>7222</v>
      </c>
      <c r="B5962" s="22" t="s">
        <v>33</v>
      </c>
      <c r="C5962" s="22" t="s">
        <v>44</v>
      </c>
      <c r="D5962" s="22" t="s">
        <v>37</v>
      </c>
      <c r="E5962" s="24" t="s">
        <v>40</v>
      </c>
      <c r="F5962" s="22" t="s">
        <v>48</v>
      </c>
      <c r="G5962" s="25">
        <v>8245.5</v>
      </c>
      <c r="H5962" s="22" t="s">
        <v>22</v>
      </c>
      <c r="I5962" s="22">
        <v>0</v>
      </c>
      <c r="J5962" s="22" t="s">
        <v>48</v>
      </c>
      <c r="K5962" s="22" t="s">
        <v>23</v>
      </c>
      <c r="L5962" s="22">
        <v>1</v>
      </c>
      <c r="M5962" s="26">
        <v>90700</v>
      </c>
      <c r="N5962" s="26">
        <v>0</v>
      </c>
      <c r="O5962" s="15">
        <f t="shared" si="509"/>
        <v>90700</v>
      </c>
      <c r="P5962" s="15">
        <f t="shared" si="510"/>
        <v>10.999939360863502</v>
      </c>
      <c r="Q5962" s="25">
        <v>5000</v>
      </c>
      <c r="R5962" s="22">
        <v>100</v>
      </c>
      <c r="S5962" s="22" t="s">
        <v>7235</v>
      </c>
      <c r="T5962" s="22">
        <f t="shared" si="511"/>
        <v>12</v>
      </c>
      <c r="U5962" s="22">
        <f t="shared" si="512"/>
        <v>2022</v>
      </c>
      <c r="V5962" s="22" t="str">
        <f t="shared" si="513"/>
        <v>METROPOLITANA</v>
      </c>
    </row>
    <row r="5963" spans="1:22" x14ac:dyDescent="0.2">
      <c r="A5963" s="23" t="s">
        <v>7222</v>
      </c>
      <c r="B5963" s="22" t="s">
        <v>33</v>
      </c>
      <c r="C5963" s="22" t="s">
        <v>44</v>
      </c>
      <c r="D5963" s="22" t="s">
        <v>45</v>
      </c>
      <c r="E5963" s="24" t="s">
        <v>52</v>
      </c>
      <c r="F5963" s="22" t="s">
        <v>182</v>
      </c>
      <c r="G5963" s="25">
        <v>2816.8</v>
      </c>
      <c r="H5963" s="22" t="s">
        <v>22</v>
      </c>
      <c r="I5963" s="22">
        <v>0</v>
      </c>
      <c r="J5963" s="22" t="s">
        <v>182</v>
      </c>
      <c r="K5963" s="22" t="s">
        <v>23</v>
      </c>
      <c r="L5963" s="22">
        <v>4</v>
      </c>
      <c r="M5963" s="26">
        <v>55000</v>
      </c>
      <c r="N5963" s="26">
        <v>0</v>
      </c>
      <c r="O5963" s="15">
        <f t="shared" si="509"/>
        <v>55000</v>
      </c>
      <c r="P5963" s="15">
        <f t="shared" si="510"/>
        <v>19.52570292530531</v>
      </c>
      <c r="Q5963" s="25">
        <v>5000</v>
      </c>
      <c r="R5963" s="22">
        <v>56</v>
      </c>
      <c r="S5963" s="22" t="s">
        <v>7236</v>
      </c>
      <c r="T5963" s="22">
        <f t="shared" si="511"/>
        <v>12</v>
      </c>
      <c r="U5963" s="22">
        <f t="shared" si="512"/>
        <v>2022</v>
      </c>
      <c r="V5963" s="22" t="str">
        <f t="shared" si="513"/>
        <v>METROPOLITANA</v>
      </c>
    </row>
    <row r="5964" spans="1:22" x14ac:dyDescent="0.2">
      <c r="A5964" s="11" t="s">
        <v>7237</v>
      </c>
      <c r="B5964" s="12" t="s">
        <v>18</v>
      </c>
      <c r="C5964" s="12" t="s">
        <v>29</v>
      </c>
      <c r="D5964" s="12" t="s">
        <v>6218</v>
      </c>
      <c r="E5964" s="13" t="s">
        <v>5696</v>
      </c>
      <c r="F5964" s="12" t="s">
        <v>39</v>
      </c>
      <c r="G5964" s="14">
        <v>26666.639999999981</v>
      </c>
      <c r="H5964" s="12" t="s">
        <v>24</v>
      </c>
      <c r="I5964" s="12">
        <v>1</v>
      </c>
      <c r="J5964" s="12" t="s">
        <v>39</v>
      </c>
      <c r="K5964" s="12" t="s">
        <v>23</v>
      </c>
      <c r="L5964" s="12">
        <v>1</v>
      </c>
      <c r="M5964" s="15">
        <v>293333</v>
      </c>
      <c r="N5964" s="15">
        <v>0</v>
      </c>
      <c r="O5964" s="15">
        <f t="shared" si="509"/>
        <v>293333</v>
      </c>
      <c r="P5964" s="15">
        <f t="shared" si="510"/>
        <v>10.999998499998508</v>
      </c>
      <c r="Q5964" s="14">
        <v>5000</v>
      </c>
      <c r="R5964" s="12">
        <v>100</v>
      </c>
      <c r="S5964" s="12" t="s">
        <v>7238</v>
      </c>
      <c r="T5964" s="22">
        <f t="shared" si="511"/>
        <v>12</v>
      </c>
      <c r="U5964" s="22">
        <f t="shared" si="512"/>
        <v>2022</v>
      </c>
      <c r="V5964" s="22" t="str">
        <f t="shared" si="513"/>
        <v>METROPOLITANA</v>
      </c>
    </row>
    <row r="5965" spans="1:22" x14ac:dyDescent="0.2">
      <c r="A5965" s="11" t="s">
        <v>7237</v>
      </c>
      <c r="B5965" s="12" t="s">
        <v>18</v>
      </c>
      <c r="C5965" s="12" t="s">
        <v>29</v>
      </c>
      <c r="D5965" s="12" t="s">
        <v>6221</v>
      </c>
      <c r="E5965" s="13" t="s">
        <v>6567</v>
      </c>
      <c r="F5965" s="12" t="s">
        <v>305</v>
      </c>
      <c r="G5965" s="14">
        <v>26057.600000000009</v>
      </c>
      <c r="H5965" s="12" t="s">
        <v>24</v>
      </c>
      <c r="I5965" s="12">
        <v>1</v>
      </c>
      <c r="J5965" s="12" t="s">
        <v>305</v>
      </c>
      <c r="K5965" s="12" t="s">
        <v>306</v>
      </c>
      <c r="L5965" s="12">
        <v>0</v>
      </c>
      <c r="M5965" s="15">
        <v>1600000</v>
      </c>
      <c r="N5965" s="15">
        <v>0</v>
      </c>
      <c r="O5965" s="15">
        <f t="shared" si="509"/>
        <v>1600000</v>
      </c>
      <c r="P5965" s="15">
        <f t="shared" si="510"/>
        <v>61.402431536288816</v>
      </c>
      <c r="Q5965" s="14">
        <v>20000</v>
      </c>
      <c r="R5965" s="12">
        <v>100</v>
      </c>
      <c r="S5965" s="12" t="s">
        <v>7239</v>
      </c>
      <c r="T5965" s="22">
        <f t="shared" si="511"/>
        <v>12</v>
      </c>
      <c r="U5965" s="22">
        <f t="shared" si="512"/>
        <v>2022</v>
      </c>
      <c r="V5965" s="22" t="str">
        <f t="shared" si="513"/>
        <v>REGIONES</v>
      </c>
    </row>
    <row r="5966" spans="1:22" x14ac:dyDescent="0.2">
      <c r="A5966" s="11" t="s">
        <v>7237</v>
      </c>
      <c r="B5966" s="12" t="s">
        <v>33</v>
      </c>
      <c r="C5966" s="12" t="s">
        <v>7072</v>
      </c>
      <c r="D5966" s="12" t="s">
        <v>38</v>
      </c>
      <c r="E5966" s="13" t="s">
        <v>42</v>
      </c>
      <c r="F5966" s="12" t="s">
        <v>129</v>
      </c>
      <c r="G5966" s="14">
        <v>5667.9999999999991</v>
      </c>
      <c r="H5966" s="12" t="s">
        <v>43</v>
      </c>
      <c r="I5966" s="12">
        <v>0</v>
      </c>
      <c r="J5966" s="12" t="s">
        <v>129</v>
      </c>
      <c r="K5966" s="12" t="s">
        <v>23</v>
      </c>
      <c r="L5966" s="12">
        <v>1</v>
      </c>
      <c r="M5966" s="15">
        <v>62348</v>
      </c>
      <c r="N5966" s="15">
        <v>0</v>
      </c>
      <c r="O5966" s="15">
        <f t="shared" si="509"/>
        <v>62348</v>
      </c>
      <c r="P5966" s="15">
        <f t="shared" si="510"/>
        <v>11.000000000000002</v>
      </c>
      <c r="Q5966" s="14">
        <v>5000</v>
      </c>
      <c r="R5966" s="12">
        <v>100</v>
      </c>
      <c r="S5966" s="12" t="s">
        <v>7240</v>
      </c>
      <c r="T5966" s="22">
        <f t="shared" si="511"/>
        <v>12</v>
      </c>
      <c r="U5966" s="22">
        <f t="shared" si="512"/>
        <v>2022</v>
      </c>
      <c r="V5966" s="22" t="str">
        <f t="shared" si="513"/>
        <v>METROPOLITANA</v>
      </c>
    </row>
    <row r="5967" spans="1:22" x14ac:dyDescent="0.2">
      <c r="A5967" s="11" t="s">
        <v>7237</v>
      </c>
      <c r="B5967" s="12" t="s">
        <v>33</v>
      </c>
      <c r="C5967" s="12" t="s">
        <v>29</v>
      </c>
      <c r="D5967" s="12" t="s">
        <v>37</v>
      </c>
      <c r="E5967" s="13" t="s">
        <v>40</v>
      </c>
      <c r="F5967" s="12" t="s">
        <v>39</v>
      </c>
      <c r="G5967" s="14">
        <v>7629.0399999999972</v>
      </c>
      <c r="H5967" s="12" t="s">
        <v>22</v>
      </c>
      <c r="I5967" s="12">
        <v>0</v>
      </c>
      <c r="J5967" s="12" t="s">
        <v>39</v>
      </c>
      <c r="K5967" s="12" t="s">
        <v>23</v>
      </c>
      <c r="L5967" s="12">
        <v>1</v>
      </c>
      <c r="M5967" s="15">
        <v>83919</v>
      </c>
      <c r="N5967" s="15">
        <v>0</v>
      </c>
      <c r="O5967" s="15">
        <f t="shared" si="509"/>
        <v>83919</v>
      </c>
      <c r="P5967" s="15">
        <f t="shared" si="510"/>
        <v>10.999942325639926</v>
      </c>
      <c r="Q5967" s="14">
        <v>5000</v>
      </c>
      <c r="R5967" s="12">
        <v>100</v>
      </c>
      <c r="S5967" s="12" t="s">
        <v>7241</v>
      </c>
      <c r="T5967" s="22">
        <f t="shared" si="511"/>
        <v>12</v>
      </c>
      <c r="U5967" s="22">
        <f t="shared" si="512"/>
        <v>2022</v>
      </c>
      <c r="V5967" s="22" t="str">
        <f t="shared" si="513"/>
        <v>METROPOLITANA</v>
      </c>
    </row>
    <row r="5968" spans="1:22" x14ac:dyDescent="0.2">
      <c r="A5968" s="11" t="s">
        <v>7237</v>
      </c>
      <c r="B5968" s="12" t="s">
        <v>33</v>
      </c>
      <c r="C5968" s="12" t="s">
        <v>29</v>
      </c>
      <c r="D5968" s="12" t="s">
        <v>164</v>
      </c>
      <c r="E5968" s="13" t="s">
        <v>1576</v>
      </c>
      <c r="F5968" s="12" t="s">
        <v>39</v>
      </c>
      <c r="G5968" s="14">
        <v>13535.5</v>
      </c>
      <c r="H5968" s="12" t="s">
        <v>22</v>
      </c>
      <c r="I5968" s="12">
        <v>1</v>
      </c>
      <c r="J5968" s="12" t="s">
        <v>39</v>
      </c>
      <c r="K5968" s="12" t="s">
        <v>23</v>
      </c>
      <c r="L5968" s="12">
        <v>1</v>
      </c>
      <c r="M5968" s="15">
        <v>148890</v>
      </c>
      <c r="N5968" s="15">
        <v>0</v>
      </c>
      <c r="O5968" s="15">
        <f t="shared" si="509"/>
        <v>148890</v>
      </c>
      <c r="P5968" s="15">
        <f t="shared" si="510"/>
        <v>10.999963060101216</v>
      </c>
      <c r="Q5968" s="14">
        <v>5000</v>
      </c>
      <c r="R5968" s="12">
        <v>100</v>
      </c>
      <c r="S5968" s="12" t="s">
        <v>7242</v>
      </c>
      <c r="T5968" s="22">
        <f t="shared" si="511"/>
        <v>12</v>
      </c>
      <c r="U5968" s="22">
        <f t="shared" si="512"/>
        <v>2022</v>
      </c>
      <c r="V5968" s="22" t="str">
        <f t="shared" si="513"/>
        <v>METROPOLITANA</v>
      </c>
    </row>
    <row r="5969" spans="1:22" x14ac:dyDescent="0.2">
      <c r="A5969" s="11" t="s">
        <v>7237</v>
      </c>
      <c r="B5969" s="12" t="s">
        <v>33</v>
      </c>
      <c r="C5969" s="12" t="s">
        <v>44</v>
      </c>
      <c r="D5969" s="12" t="s">
        <v>38</v>
      </c>
      <c r="E5969" s="13" t="s">
        <v>42</v>
      </c>
      <c r="F5969" s="12" t="s">
        <v>137</v>
      </c>
      <c r="G5969" s="14">
        <v>2823.2000000000012</v>
      </c>
      <c r="H5969" s="12" t="s">
        <v>43</v>
      </c>
      <c r="I5969" s="12">
        <v>0</v>
      </c>
      <c r="J5969" s="12" t="s">
        <v>137</v>
      </c>
      <c r="K5969" s="12" t="s">
        <v>23</v>
      </c>
      <c r="L5969" s="12">
        <v>1</v>
      </c>
      <c r="M5969" s="15">
        <v>55000</v>
      </c>
      <c r="N5969" s="15">
        <v>0</v>
      </c>
      <c r="O5969" s="15">
        <f t="shared" si="509"/>
        <v>55000</v>
      </c>
      <c r="P5969" s="15">
        <f t="shared" si="510"/>
        <v>19.48143950127514</v>
      </c>
      <c r="Q5969" s="14">
        <v>5000</v>
      </c>
      <c r="R5969" s="12">
        <v>56</v>
      </c>
      <c r="S5969" s="12" t="s">
        <v>7243</v>
      </c>
      <c r="T5969" s="22">
        <f t="shared" si="511"/>
        <v>12</v>
      </c>
      <c r="U5969" s="22">
        <f t="shared" si="512"/>
        <v>2022</v>
      </c>
      <c r="V5969" s="22" t="str">
        <f t="shared" si="513"/>
        <v>METROPOLITANA</v>
      </c>
    </row>
    <row r="5970" spans="1:22" x14ac:dyDescent="0.2">
      <c r="A5970" s="11" t="s">
        <v>7237</v>
      </c>
      <c r="B5970" s="12" t="s">
        <v>33</v>
      </c>
      <c r="C5970" s="12" t="s">
        <v>44</v>
      </c>
      <c r="D5970" s="12" t="s">
        <v>45</v>
      </c>
      <c r="E5970" s="13" t="s">
        <v>52</v>
      </c>
      <c r="F5970" s="12" t="s">
        <v>229</v>
      </c>
      <c r="G5970" s="14">
        <v>2618.8200000000002</v>
      </c>
      <c r="H5970" s="12" t="s">
        <v>22</v>
      </c>
      <c r="I5970" s="12">
        <v>0</v>
      </c>
      <c r="J5970" s="12" t="s">
        <v>230</v>
      </c>
      <c r="K5970" s="12" t="s">
        <v>23</v>
      </c>
      <c r="L5970" s="12">
        <v>4</v>
      </c>
      <c r="M5970" s="15">
        <v>55000</v>
      </c>
      <c r="N5970" s="15">
        <v>0</v>
      </c>
      <c r="O5970" s="15">
        <f t="shared" si="509"/>
        <v>55000</v>
      </c>
      <c r="P5970" s="15">
        <f t="shared" si="510"/>
        <v>21.001825249539866</v>
      </c>
      <c r="Q5970" s="14">
        <v>5000</v>
      </c>
      <c r="R5970" s="12">
        <v>52</v>
      </c>
      <c r="S5970" s="12" t="s">
        <v>7244</v>
      </c>
      <c r="T5970" s="22">
        <f t="shared" si="511"/>
        <v>12</v>
      </c>
      <c r="U5970" s="22">
        <f t="shared" si="512"/>
        <v>2022</v>
      </c>
      <c r="V5970" s="22" t="str">
        <f t="shared" si="513"/>
        <v>METROPOLITANA</v>
      </c>
    </row>
    <row r="5971" spans="1:22" x14ac:dyDescent="0.2">
      <c r="A5971" s="11" t="s">
        <v>7237</v>
      </c>
      <c r="B5971" s="12" t="s">
        <v>33</v>
      </c>
      <c r="C5971" s="12" t="s">
        <v>44</v>
      </c>
      <c r="D5971" s="12" t="s">
        <v>47</v>
      </c>
      <c r="E5971" s="13" t="s">
        <v>49</v>
      </c>
      <c r="F5971" s="12" t="s">
        <v>26</v>
      </c>
      <c r="G5971" s="14">
        <v>3701.64</v>
      </c>
      <c r="H5971" s="12" t="s">
        <v>22</v>
      </c>
      <c r="I5971" s="12">
        <v>0</v>
      </c>
      <c r="J5971" s="12" t="s">
        <v>26</v>
      </c>
      <c r="K5971" s="12" t="s">
        <v>23</v>
      </c>
      <c r="L5971" s="12">
        <v>4</v>
      </c>
      <c r="M5971" s="15">
        <v>55000</v>
      </c>
      <c r="N5971" s="15">
        <v>0</v>
      </c>
      <c r="O5971" s="15">
        <f t="shared" ref="O5971:O6034" si="514">SUM(M5971:N5971)</f>
        <v>55000</v>
      </c>
      <c r="P5971" s="15">
        <f t="shared" si="510"/>
        <v>14.858279033077231</v>
      </c>
      <c r="Q5971" s="14">
        <v>5000</v>
      </c>
      <c r="R5971" s="12">
        <v>74</v>
      </c>
      <c r="S5971" s="12" t="s">
        <v>7245</v>
      </c>
      <c r="T5971" s="22">
        <f t="shared" si="511"/>
        <v>12</v>
      </c>
      <c r="U5971" s="22">
        <f t="shared" si="512"/>
        <v>2022</v>
      </c>
      <c r="V5971" s="22" t="str">
        <f t="shared" si="513"/>
        <v>METROPOLITANA</v>
      </c>
    </row>
    <row r="5972" spans="1:22" x14ac:dyDescent="0.2">
      <c r="A5972" s="23" t="s">
        <v>7246</v>
      </c>
      <c r="B5972" s="22" t="s">
        <v>18</v>
      </c>
      <c r="C5972" s="22" t="s">
        <v>57</v>
      </c>
      <c r="D5972" s="22" t="s">
        <v>2955</v>
      </c>
      <c r="E5972" s="24" t="s">
        <v>2956</v>
      </c>
      <c r="F5972" s="22" t="s">
        <v>161</v>
      </c>
      <c r="G5972" s="25">
        <f>10183.23+804</f>
        <v>10987.23</v>
      </c>
      <c r="H5972" s="22" t="s">
        <v>24</v>
      </c>
      <c r="I5972" s="22">
        <v>1</v>
      </c>
      <c r="J5972" s="22" t="s">
        <v>161</v>
      </c>
      <c r="K5972" s="22" t="s">
        <v>23</v>
      </c>
      <c r="L5972" s="22">
        <v>5</v>
      </c>
      <c r="M5972" s="26">
        <v>120000</v>
      </c>
      <c r="N5972" s="26">
        <v>0</v>
      </c>
      <c r="O5972" s="15">
        <f t="shared" si="514"/>
        <v>120000</v>
      </c>
      <c r="P5972" s="15">
        <f t="shared" si="510"/>
        <v>10.921770091278693</v>
      </c>
      <c r="Q5972" s="25">
        <v>18000</v>
      </c>
      <c r="R5972" s="22">
        <v>100</v>
      </c>
      <c r="S5972" s="22" t="s">
        <v>7256</v>
      </c>
      <c r="T5972" s="22">
        <f t="shared" si="511"/>
        <v>12</v>
      </c>
      <c r="U5972" s="22">
        <f t="shared" si="512"/>
        <v>2022</v>
      </c>
      <c r="V5972" s="22" t="str">
        <f t="shared" si="513"/>
        <v>METROPOLITANA</v>
      </c>
    </row>
    <row r="5973" spans="1:22" x14ac:dyDescent="0.2">
      <c r="A5973" s="23" t="s">
        <v>7246</v>
      </c>
      <c r="B5973" s="22" t="s">
        <v>18</v>
      </c>
      <c r="C5973" s="22" t="s">
        <v>29</v>
      </c>
      <c r="D5973" s="22" t="s">
        <v>1869</v>
      </c>
      <c r="E5973" s="24" t="s">
        <v>2993</v>
      </c>
      <c r="F5973" s="22" t="s">
        <v>305</v>
      </c>
      <c r="G5973" s="25">
        <v>26057.600000000009</v>
      </c>
      <c r="H5973" s="22" t="s">
        <v>24</v>
      </c>
      <c r="I5973" s="22">
        <v>1</v>
      </c>
      <c r="J5973" s="22" t="s">
        <v>305</v>
      </c>
      <c r="K5973" s="22" t="s">
        <v>306</v>
      </c>
      <c r="L5973" s="22">
        <v>0</v>
      </c>
      <c r="M5973" s="26">
        <v>1600000</v>
      </c>
      <c r="N5973" s="26">
        <v>0</v>
      </c>
      <c r="O5973" s="15">
        <f t="shared" si="514"/>
        <v>1600000</v>
      </c>
      <c r="P5973" s="15">
        <f t="shared" si="510"/>
        <v>61.402431536288816</v>
      </c>
      <c r="Q5973" s="25">
        <v>18000</v>
      </c>
      <c r="R5973" s="22">
        <v>100</v>
      </c>
      <c r="S5973" s="22" t="s">
        <v>7247</v>
      </c>
      <c r="T5973" s="22">
        <f t="shared" si="511"/>
        <v>12</v>
      </c>
      <c r="U5973" s="22">
        <f t="shared" si="512"/>
        <v>2022</v>
      </c>
      <c r="V5973" s="22" t="str">
        <f t="shared" si="513"/>
        <v>REGIONES</v>
      </c>
    </row>
    <row r="5974" spans="1:22" x14ac:dyDescent="0.2">
      <c r="A5974" s="23" t="s">
        <v>7246</v>
      </c>
      <c r="B5974" s="22" t="s">
        <v>18</v>
      </c>
      <c r="C5974" s="22" t="s">
        <v>29</v>
      </c>
      <c r="D5974" s="22" t="s">
        <v>1170</v>
      </c>
      <c r="E5974" s="24" t="s">
        <v>81</v>
      </c>
      <c r="F5974" s="22" t="s">
        <v>39</v>
      </c>
      <c r="G5974" s="25">
        <v>26666.639999999981</v>
      </c>
      <c r="H5974" s="22" t="s">
        <v>24</v>
      </c>
      <c r="I5974" s="22">
        <v>1</v>
      </c>
      <c r="J5974" s="22" t="s">
        <v>39</v>
      </c>
      <c r="K5974" s="22" t="s">
        <v>23</v>
      </c>
      <c r="L5974" s="22">
        <v>1</v>
      </c>
      <c r="M5974" s="26">
        <v>293333</v>
      </c>
      <c r="N5974" s="26">
        <v>0</v>
      </c>
      <c r="O5974" s="15">
        <f t="shared" si="514"/>
        <v>293333</v>
      </c>
      <c r="P5974" s="15">
        <f t="shared" si="510"/>
        <v>10.999998499998508</v>
      </c>
      <c r="Q5974" s="25">
        <v>5000</v>
      </c>
      <c r="R5974" s="22">
        <v>100</v>
      </c>
      <c r="S5974" s="22" t="s">
        <v>7248</v>
      </c>
      <c r="T5974" s="22">
        <f t="shared" si="511"/>
        <v>12</v>
      </c>
      <c r="U5974" s="22">
        <f t="shared" si="512"/>
        <v>2022</v>
      </c>
      <c r="V5974" s="22" t="str">
        <f t="shared" si="513"/>
        <v>METROPOLITANA</v>
      </c>
    </row>
    <row r="5975" spans="1:22" x14ac:dyDescent="0.2">
      <c r="A5975" s="23" t="s">
        <v>7246</v>
      </c>
      <c r="B5975" s="22" t="s">
        <v>33</v>
      </c>
      <c r="C5975" s="22" t="s">
        <v>128</v>
      </c>
      <c r="D5975" s="22" t="s">
        <v>786</v>
      </c>
      <c r="E5975" s="24" t="s">
        <v>787</v>
      </c>
      <c r="F5975" s="22" t="s">
        <v>34</v>
      </c>
      <c r="G5975" s="25">
        <f>8660.2+1138+218</f>
        <v>10016.200000000001</v>
      </c>
      <c r="H5975" s="22" t="s">
        <v>788</v>
      </c>
      <c r="I5975" s="22">
        <v>1</v>
      </c>
      <c r="J5975" s="22" t="s">
        <v>34</v>
      </c>
      <c r="K5975" s="22" t="s">
        <v>23</v>
      </c>
      <c r="L5975" s="22">
        <v>1</v>
      </c>
      <c r="M5975" s="26">
        <v>95262</v>
      </c>
      <c r="N5975" s="26">
        <v>0</v>
      </c>
      <c r="O5975" s="15">
        <f t="shared" si="514"/>
        <v>95262</v>
      </c>
      <c r="P5975" s="15">
        <f t="shared" si="510"/>
        <v>9.5107925161238782</v>
      </c>
      <c r="Q5975" s="25">
        <v>5000</v>
      </c>
      <c r="R5975" s="22">
        <v>100</v>
      </c>
      <c r="S5975" s="22" t="s">
        <v>7255</v>
      </c>
      <c r="T5975" s="22">
        <f t="shared" si="511"/>
        <v>12</v>
      </c>
      <c r="U5975" s="22">
        <f t="shared" si="512"/>
        <v>2022</v>
      </c>
      <c r="V5975" s="22" t="str">
        <f t="shared" si="513"/>
        <v>METROPOLITANA</v>
      </c>
    </row>
    <row r="5976" spans="1:22" x14ac:dyDescent="0.2">
      <c r="A5976" s="23" t="s">
        <v>7246</v>
      </c>
      <c r="B5976" s="22" t="s">
        <v>33</v>
      </c>
      <c r="C5976" s="22" t="s">
        <v>128</v>
      </c>
      <c r="D5976" s="22" t="s">
        <v>20</v>
      </c>
      <c r="E5976" s="24" t="s">
        <v>21</v>
      </c>
      <c r="F5976" s="22" t="s">
        <v>120</v>
      </c>
      <c r="G5976" s="25">
        <v>3001.6</v>
      </c>
      <c r="H5976" s="22" t="s">
        <v>22</v>
      </c>
      <c r="I5976" s="22">
        <v>0</v>
      </c>
      <c r="J5976" s="22" t="s">
        <v>120</v>
      </c>
      <c r="K5976" s="22" t="s">
        <v>23</v>
      </c>
      <c r="L5976" s="22">
        <v>5</v>
      </c>
      <c r="M5976" s="26">
        <v>70000</v>
      </c>
      <c r="N5976" s="26">
        <v>0</v>
      </c>
      <c r="O5976" s="15">
        <f t="shared" si="514"/>
        <v>70000</v>
      </c>
      <c r="P5976" s="15">
        <f t="shared" si="510"/>
        <v>23.32089552238806</v>
      </c>
      <c r="Q5976" s="25">
        <v>18000</v>
      </c>
      <c r="R5976" s="22">
        <v>30</v>
      </c>
      <c r="S5976" s="22" t="s">
        <v>7249</v>
      </c>
      <c r="T5976" s="22">
        <f t="shared" si="511"/>
        <v>12</v>
      </c>
      <c r="U5976" s="22">
        <f t="shared" si="512"/>
        <v>2022</v>
      </c>
      <c r="V5976" s="22" t="str">
        <f t="shared" si="513"/>
        <v>METROPOLITANA</v>
      </c>
    </row>
    <row r="5977" spans="1:22" x14ac:dyDescent="0.2">
      <c r="A5977" s="23" t="s">
        <v>7246</v>
      </c>
      <c r="B5977" s="22" t="s">
        <v>33</v>
      </c>
      <c r="C5977" s="22" t="s">
        <v>36</v>
      </c>
      <c r="D5977" s="22" t="s">
        <v>130</v>
      </c>
      <c r="E5977" s="24" t="s">
        <v>131</v>
      </c>
      <c r="F5977" s="22" t="s">
        <v>1105</v>
      </c>
      <c r="G5977" s="25">
        <v>4301.32</v>
      </c>
      <c r="H5977" s="22" t="s">
        <v>85</v>
      </c>
      <c r="I5977" s="22">
        <v>1</v>
      </c>
      <c r="J5977" s="22" t="s">
        <v>1105</v>
      </c>
      <c r="K5977" s="22" t="s">
        <v>873</v>
      </c>
      <c r="L5977" s="22">
        <v>0</v>
      </c>
      <c r="M5977" s="26">
        <v>950000</v>
      </c>
      <c r="N5977" s="26">
        <v>0</v>
      </c>
      <c r="O5977" s="15">
        <f t="shared" si="514"/>
        <v>950000</v>
      </c>
      <c r="P5977" s="15">
        <f t="shared" si="510"/>
        <v>220.86243292756643</v>
      </c>
      <c r="Q5977" s="25">
        <v>18000</v>
      </c>
      <c r="R5977" s="22">
        <v>22</v>
      </c>
      <c r="S5977" s="22" t="s">
        <v>7250</v>
      </c>
      <c r="T5977" s="22">
        <f t="shared" si="511"/>
        <v>12</v>
      </c>
      <c r="U5977" s="22">
        <f t="shared" si="512"/>
        <v>2022</v>
      </c>
      <c r="V5977" s="22" t="str">
        <f t="shared" si="513"/>
        <v>REGIONES</v>
      </c>
    </row>
    <row r="5978" spans="1:22" x14ac:dyDescent="0.2">
      <c r="A5978" s="23" t="s">
        <v>7246</v>
      </c>
      <c r="B5978" s="22" t="s">
        <v>33</v>
      </c>
      <c r="C5978" s="22" t="s">
        <v>36</v>
      </c>
      <c r="D5978" s="22" t="s">
        <v>5478</v>
      </c>
      <c r="E5978" s="24" t="s">
        <v>83</v>
      </c>
      <c r="F5978" s="22" t="s">
        <v>84</v>
      </c>
      <c r="G5978" s="25">
        <f>4227.2+2883</f>
        <v>7110.2</v>
      </c>
      <c r="H5978" s="22" t="s">
        <v>24</v>
      </c>
      <c r="I5978" s="22">
        <v>1</v>
      </c>
      <c r="J5978" s="22" t="s">
        <v>84</v>
      </c>
      <c r="K5978" s="22" t="s">
        <v>86</v>
      </c>
      <c r="L5978" s="22">
        <v>0</v>
      </c>
      <c r="M5978" s="26">
        <v>360000</v>
      </c>
      <c r="N5978" s="26">
        <v>0</v>
      </c>
      <c r="O5978" s="15">
        <f t="shared" si="514"/>
        <v>360000</v>
      </c>
      <c r="P5978" s="15">
        <f t="shared" si="510"/>
        <v>50.631487159292284</v>
      </c>
      <c r="Q5978" s="25">
        <v>18000</v>
      </c>
      <c r="R5978" s="22">
        <v>55</v>
      </c>
      <c r="S5978" s="22" t="s">
        <v>7257</v>
      </c>
      <c r="T5978" s="22">
        <f t="shared" si="511"/>
        <v>12</v>
      </c>
      <c r="U5978" s="22">
        <f t="shared" si="512"/>
        <v>2022</v>
      </c>
      <c r="V5978" s="22" t="str">
        <f t="shared" si="513"/>
        <v>REGIONES</v>
      </c>
    </row>
    <row r="5979" spans="1:22" x14ac:dyDescent="0.2">
      <c r="A5979" s="23" t="s">
        <v>7246</v>
      </c>
      <c r="B5979" s="22" t="s">
        <v>33</v>
      </c>
      <c r="C5979" s="22" t="s">
        <v>29</v>
      </c>
      <c r="D5979" s="22" t="s">
        <v>6969</v>
      </c>
      <c r="E5979" s="24" t="s">
        <v>6970</v>
      </c>
      <c r="F5979" s="22" t="s">
        <v>114</v>
      </c>
      <c r="G5979" s="25">
        <v>6568.5599999999986</v>
      </c>
      <c r="H5979" s="22" t="s">
        <v>24</v>
      </c>
      <c r="I5979" s="22">
        <v>1</v>
      </c>
      <c r="J5979" s="22" t="s">
        <v>114</v>
      </c>
      <c r="K5979" s="22" t="s">
        <v>75</v>
      </c>
      <c r="L5979" s="22">
        <v>0</v>
      </c>
      <c r="M5979" s="26">
        <v>480000</v>
      </c>
      <c r="N5979" s="26">
        <v>0</v>
      </c>
      <c r="O5979" s="15">
        <f t="shared" si="514"/>
        <v>480000</v>
      </c>
      <c r="P5979" s="15">
        <f t="shared" si="510"/>
        <v>73.075377251635075</v>
      </c>
      <c r="Q5979" s="25">
        <v>18000</v>
      </c>
      <c r="R5979" s="22">
        <v>33</v>
      </c>
      <c r="S5979" s="22" t="s">
        <v>7251</v>
      </c>
      <c r="T5979" s="22">
        <f t="shared" si="511"/>
        <v>12</v>
      </c>
      <c r="U5979" s="22">
        <f t="shared" si="512"/>
        <v>2022</v>
      </c>
      <c r="V5979" s="22" t="str">
        <f t="shared" si="513"/>
        <v>REGIONES</v>
      </c>
    </row>
    <row r="5980" spans="1:22" x14ac:dyDescent="0.2">
      <c r="A5980" s="23" t="s">
        <v>7246</v>
      </c>
      <c r="B5980" s="22" t="s">
        <v>33</v>
      </c>
      <c r="C5980" s="22" t="s">
        <v>29</v>
      </c>
      <c r="D5980" s="22" t="s">
        <v>41</v>
      </c>
      <c r="E5980" s="24" t="s">
        <v>25</v>
      </c>
      <c r="F5980" s="22" t="s">
        <v>39</v>
      </c>
      <c r="G5980" s="25">
        <v>2748</v>
      </c>
      <c r="H5980" s="22" t="s">
        <v>43</v>
      </c>
      <c r="I5980" s="22">
        <v>0</v>
      </c>
      <c r="J5980" s="22" t="s">
        <v>39</v>
      </c>
      <c r="K5980" s="22" t="s">
        <v>23</v>
      </c>
      <c r="L5980" s="22">
        <v>1</v>
      </c>
      <c r="M5980" s="26">
        <v>55000</v>
      </c>
      <c r="N5980" s="26">
        <v>0</v>
      </c>
      <c r="O5980" s="15">
        <f t="shared" si="514"/>
        <v>55000</v>
      </c>
      <c r="P5980" s="15">
        <f t="shared" si="510"/>
        <v>20.014556040756915</v>
      </c>
      <c r="Q5980" s="25">
        <v>5000</v>
      </c>
      <c r="R5980" s="22">
        <v>55</v>
      </c>
      <c r="S5980" s="22" t="s">
        <v>7252</v>
      </c>
      <c r="T5980" s="22">
        <f t="shared" si="511"/>
        <v>12</v>
      </c>
      <c r="U5980" s="22">
        <f t="shared" si="512"/>
        <v>2022</v>
      </c>
      <c r="V5980" s="22" t="str">
        <f t="shared" si="513"/>
        <v>METROPOLITANA</v>
      </c>
    </row>
    <row r="5981" spans="1:22" x14ac:dyDescent="0.2">
      <c r="A5981" s="23" t="s">
        <v>7246</v>
      </c>
      <c r="B5981" s="22" t="s">
        <v>33</v>
      </c>
      <c r="C5981" s="22" t="s">
        <v>29</v>
      </c>
      <c r="D5981" s="22" t="s">
        <v>164</v>
      </c>
      <c r="E5981" s="24" t="s">
        <v>1576</v>
      </c>
      <c r="F5981" s="22" t="s">
        <v>39</v>
      </c>
      <c r="G5981" s="25">
        <v>6528.5999999999976</v>
      </c>
      <c r="H5981" s="22" t="s">
        <v>22</v>
      </c>
      <c r="I5981" s="22">
        <v>1</v>
      </c>
      <c r="J5981" s="22" t="s">
        <v>39</v>
      </c>
      <c r="K5981" s="22" t="s">
        <v>23</v>
      </c>
      <c r="L5981" s="22">
        <v>1</v>
      </c>
      <c r="M5981" s="26">
        <v>71815</v>
      </c>
      <c r="N5981" s="26">
        <v>0</v>
      </c>
      <c r="O5981" s="15">
        <f t="shared" si="514"/>
        <v>71815</v>
      </c>
      <c r="P5981" s="15">
        <f t="shared" si="510"/>
        <v>11.000061268878477</v>
      </c>
      <c r="Q5981" s="25">
        <v>5000</v>
      </c>
      <c r="R5981" s="22">
        <v>100</v>
      </c>
      <c r="S5981" s="22" t="s">
        <v>7253</v>
      </c>
      <c r="T5981" s="22">
        <f t="shared" si="511"/>
        <v>12</v>
      </c>
      <c r="U5981" s="22">
        <f t="shared" si="512"/>
        <v>2022</v>
      </c>
      <c r="V5981" s="22" t="str">
        <f t="shared" si="513"/>
        <v>METROPOLITANA</v>
      </c>
    </row>
    <row r="5982" spans="1:22" x14ac:dyDescent="0.2">
      <c r="A5982" s="23" t="s">
        <v>7246</v>
      </c>
      <c r="B5982" s="22" t="s">
        <v>33</v>
      </c>
      <c r="C5982" s="22" t="s">
        <v>44</v>
      </c>
      <c r="D5982" s="22" t="s">
        <v>45</v>
      </c>
      <c r="E5982" s="24" t="s">
        <v>52</v>
      </c>
      <c r="F5982" s="22" t="s">
        <v>95</v>
      </c>
      <c r="G5982" s="25">
        <v>2714.22</v>
      </c>
      <c r="H5982" s="22" t="s">
        <v>22</v>
      </c>
      <c r="I5982" s="22">
        <v>0</v>
      </c>
      <c r="J5982" s="22" t="s">
        <v>95</v>
      </c>
      <c r="K5982" s="22" t="s">
        <v>23</v>
      </c>
      <c r="L5982" s="22">
        <v>4</v>
      </c>
      <c r="M5982" s="26">
        <v>55000</v>
      </c>
      <c r="N5982" s="26">
        <v>0</v>
      </c>
      <c r="O5982" s="15">
        <f t="shared" si="514"/>
        <v>55000</v>
      </c>
      <c r="P5982" s="15">
        <f t="shared" si="510"/>
        <v>20.263648488331825</v>
      </c>
      <c r="Q5982" s="25">
        <v>5000</v>
      </c>
      <c r="R5982" s="22">
        <v>54</v>
      </c>
      <c r="S5982" s="22" t="s">
        <v>7254</v>
      </c>
      <c r="T5982" s="22">
        <f t="shared" si="511"/>
        <v>12</v>
      </c>
      <c r="U5982" s="22">
        <f t="shared" si="512"/>
        <v>2022</v>
      </c>
      <c r="V5982" s="22" t="str">
        <f t="shared" si="513"/>
        <v>METROPOLITANA</v>
      </c>
    </row>
    <row r="5983" spans="1:22" x14ac:dyDescent="0.2">
      <c r="A5983" s="23" t="s">
        <v>7246</v>
      </c>
      <c r="B5983" s="22" t="s">
        <v>33</v>
      </c>
      <c r="C5983" s="22" t="s">
        <v>4802</v>
      </c>
      <c r="D5983" s="22" t="s">
        <v>4569</v>
      </c>
      <c r="E5983" s="24" t="s">
        <v>868</v>
      </c>
      <c r="F5983" s="22" t="s">
        <v>815</v>
      </c>
      <c r="G5983" s="25">
        <f>8502+1593</f>
        <v>10095</v>
      </c>
      <c r="H5983" s="22" t="s">
        <v>24</v>
      </c>
      <c r="I5983" s="22">
        <v>1</v>
      </c>
      <c r="J5983" s="22" t="s">
        <v>815</v>
      </c>
      <c r="K5983" s="22" t="s">
        <v>75</v>
      </c>
      <c r="L5983" s="22">
        <v>0</v>
      </c>
      <c r="M5983" s="26">
        <v>460000</v>
      </c>
      <c r="N5983" s="26">
        <v>0</v>
      </c>
      <c r="O5983" s="15">
        <f t="shared" si="514"/>
        <v>460000</v>
      </c>
      <c r="P5983" s="15">
        <f t="shared" si="510"/>
        <v>45.56711243189698</v>
      </c>
      <c r="Q5983" s="25">
        <v>18000</v>
      </c>
      <c r="R5983" s="22">
        <v>43</v>
      </c>
      <c r="S5983" s="22" t="s">
        <v>7258</v>
      </c>
      <c r="T5983" s="22">
        <f t="shared" si="511"/>
        <v>12</v>
      </c>
      <c r="U5983" s="22">
        <f t="shared" si="512"/>
        <v>2022</v>
      </c>
      <c r="V5983" s="22" t="str">
        <f t="shared" si="513"/>
        <v>REGIONES</v>
      </c>
    </row>
    <row r="5984" spans="1:22" x14ac:dyDescent="0.2">
      <c r="A5984" s="11" t="s">
        <v>7266</v>
      </c>
      <c r="B5984" s="12" t="s">
        <v>33</v>
      </c>
      <c r="C5984" s="12" t="s">
        <v>128</v>
      </c>
      <c r="D5984" s="12" t="s">
        <v>41</v>
      </c>
      <c r="E5984" s="13" t="s">
        <v>25</v>
      </c>
      <c r="F5984" s="12" t="s">
        <v>129</v>
      </c>
      <c r="G5984" s="14">
        <v>9440.0399999999972</v>
      </c>
      <c r="H5984" s="12" t="s">
        <v>43</v>
      </c>
      <c r="I5984" s="12">
        <v>0</v>
      </c>
      <c r="J5984" s="12" t="s">
        <v>129</v>
      </c>
      <c r="K5984" s="12" t="s">
        <v>23</v>
      </c>
      <c r="L5984" s="12">
        <v>1</v>
      </c>
      <c r="M5984" s="15">
        <v>103840</v>
      </c>
      <c r="N5984" s="15">
        <v>0</v>
      </c>
      <c r="O5984" s="15">
        <f t="shared" si="514"/>
        <v>103840</v>
      </c>
      <c r="P5984" s="15">
        <f t="shared" si="510"/>
        <v>10.999953390028011</v>
      </c>
      <c r="Q5984" s="14">
        <v>5000</v>
      </c>
      <c r="R5984" s="12">
        <v>100</v>
      </c>
      <c r="S5984" s="12" t="s">
        <v>7267</v>
      </c>
      <c r="T5984" s="22">
        <f t="shared" si="511"/>
        <v>12</v>
      </c>
      <c r="U5984" s="22">
        <f t="shared" si="512"/>
        <v>2022</v>
      </c>
      <c r="V5984" s="22" t="str">
        <f t="shared" si="513"/>
        <v>METROPOLITANA</v>
      </c>
    </row>
    <row r="5985" spans="1:22" x14ac:dyDescent="0.2">
      <c r="A5985" s="11" t="s">
        <v>7266</v>
      </c>
      <c r="B5985" s="12" t="s">
        <v>33</v>
      </c>
      <c r="C5985" s="12" t="s">
        <v>7228</v>
      </c>
      <c r="D5985" s="12" t="s">
        <v>30</v>
      </c>
      <c r="E5985" s="13" t="s">
        <v>31</v>
      </c>
      <c r="F5985" s="12" t="s">
        <v>274</v>
      </c>
      <c r="G5985" s="14">
        <v>7432.6000000000013</v>
      </c>
      <c r="H5985" s="12" t="s">
        <v>32</v>
      </c>
      <c r="I5985" s="12">
        <v>0</v>
      </c>
      <c r="J5985" s="12" t="s">
        <v>274</v>
      </c>
      <c r="K5985" s="12" t="s">
        <v>78</v>
      </c>
      <c r="L5985" s="12">
        <v>0</v>
      </c>
      <c r="M5985" s="15">
        <v>227000</v>
      </c>
      <c r="N5985" s="15">
        <v>0</v>
      </c>
      <c r="O5985" s="15">
        <f t="shared" si="514"/>
        <v>227000</v>
      </c>
      <c r="P5985" s="15">
        <f t="shared" ref="P5985:P6048" si="515">O5985/G5985</f>
        <v>30.541129618168604</v>
      </c>
      <c r="Q5985" s="14">
        <v>5000</v>
      </c>
      <c r="R5985" s="12">
        <v>100</v>
      </c>
      <c r="S5985" s="12" t="s">
        <v>7268</v>
      </c>
      <c r="T5985" s="22">
        <f t="shared" si="511"/>
        <v>12</v>
      </c>
      <c r="U5985" s="22">
        <f t="shared" si="512"/>
        <v>2022</v>
      </c>
      <c r="V5985" s="22" t="str">
        <f t="shared" si="513"/>
        <v>REGIONES</v>
      </c>
    </row>
    <row r="5986" spans="1:22" x14ac:dyDescent="0.2">
      <c r="A5986" s="11" t="s">
        <v>7266</v>
      </c>
      <c r="B5986" s="12" t="s">
        <v>33</v>
      </c>
      <c r="C5986" s="12" t="s">
        <v>3961</v>
      </c>
      <c r="D5986" s="12" t="s">
        <v>2955</v>
      </c>
      <c r="E5986" s="13" t="s">
        <v>2956</v>
      </c>
      <c r="F5986" s="12" t="s">
        <v>1783</v>
      </c>
      <c r="G5986" s="14">
        <f>7980+1501</f>
        <v>9481</v>
      </c>
      <c r="H5986" s="12" t="s">
        <v>24</v>
      </c>
      <c r="I5986" s="12">
        <v>1</v>
      </c>
      <c r="J5986" s="12" t="s">
        <v>1784</v>
      </c>
      <c r="K5986" s="12" t="s">
        <v>23</v>
      </c>
      <c r="L5986" s="12">
        <v>5</v>
      </c>
      <c r="M5986" s="15">
        <v>187000</v>
      </c>
      <c r="N5986" s="15">
        <v>0</v>
      </c>
      <c r="O5986" s="15">
        <f t="shared" si="514"/>
        <v>187000</v>
      </c>
      <c r="P5986" s="15">
        <f t="shared" si="515"/>
        <v>19.723657841999788</v>
      </c>
      <c r="Q5986" s="14">
        <v>18000</v>
      </c>
      <c r="R5986" s="12">
        <v>100</v>
      </c>
      <c r="S5986" s="12" t="s">
        <v>7274</v>
      </c>
      <c r="T5986" s="22">
        <f t="shared" si="511"/>
        <v>12</v>
      </c>
      <c r="U5986" s="22">
        <f t="shared" si="512"/>
        <v>2022</v>
      </c>
      <c r="V5986" s="22" t="str">
        <f t="shared" si="513"/>
        <v>METROPOLITANA</v>
      </c>
    </row>
    <row r="5987" spans="1:22" x14ac:dyDescent="0.2">
      <c r="A5987" s="11" t="s">
        <v>7266</v>
      </c>
      <c r="B5987" s="12" t="s">
        <v>33</v>
      </c>
      <c r="C5987" s="12" t="s">
        <v>29</v>
      </c>
      <c r="D5987" s="12" t="s">
        <v>38</v>
      </c>
      <c r="E5987" s="13" t="s">
        <v>42</v>
      </c>
      <c r="F5987" s="12" t="s">
        <v>129</v>
      </c>
      <c r="G5987" s="14">
        <f>3510.04+550</f>
        <v>4060.04</v>
      </c>
      <c r="H5987" s="12" t="s">
        <v>43</v>
      </c>
      <c r="I5987" s="12">
        <v>0</v>
      </c>
      <c r="J5987" s="12" t="s">
        <v>129</v>
      </c>
      <c r="K5987" s="12" t="s">
        <v>23</v>
      </c>
      <c r="L5987" s="12">
        <v>1</v>
      </c>
      <c r="M5987" s="15">
        <v>55000</v>
      </c>
      <c r="N5987" s="15">
        <v>0</v>
      </c>
      <c r="O5987" s="15">
        <f t="shared" si="514"/>
        <v>55000</v>
      </c>
      <c r="P5987" s="15">
        <f t="shared" si="515"/>
        <v>13.546664564881134</v>
      </c>
      <c r="Q5987" s="14">
        <v>5000</v>
      </c>
      <c r="R5987" s="12">
        <v>88</v>
      </c>
      <c r="S5987" s="12" t="s">
        <v>7276</v>
      </c>
      <c r="T5987" s="22">
        <f t="shared" si="511"/>
        <v>12</v>
      </c>
      <c r="U5987" s="22">
        <f t="shared" si="512"/>
        <v>2022</v>
      </c>
      <c r="V5987" s="22" t="str">
        <f t="shared" si="513"/>
        <v>METROPOLITANA</v>
      </c>
    </row>
    <row r="5988" spans="1:22" x14ac:dyDescent="0.2">
      <c r="A5988" s="11" t="s">
        <v>7266</v>
      </c>
      <c r="B5988" s="12" t="s">
        <v>33</v>
      </c>
      <c r="C5988" s="12" t="s">
        <v>29</v>
      </c>
      <c r="D5988" s="12" t="s">
        <v>37</v>
      </c>
      <c r="E5988" s="13" t="s">
        <v>40</v>
      </c>
      <c r="F5988" s="12" t="s">
        <v>39</v>
      </c>
      <c r="G5988" s="14">
        <v>8457.8000000000011</v>
      </c>
      <c r="H5988" s="12" t="s">
        <v>22</v>
      </c>
      <c r="I5988" s="12">
        <v>0</v>
      </c>
      <c r="J5988" s="12" t="s">
        <v>39</v>
      </c>
      <c r="K5988" s="12" t="s">
        <v>23</v>
      </c>
      <c r="L5988" s="12">
        <v>1</v>
      </c>
      <c r="M5988" s="15">
        <v>93036</v>
      </c>
      <c r="N5988" s="15">
        <v>0</v>
      </c>
      <c r="O5988" s="15">
        <f t="shared" si="514"/>
        <v>93036</v>
      </c>
      <c r="P5988" s="15">
        <f t="shared" si="515"/>
        <v>11.000023646811226</v>
      </c>
      <c r="Q5988" s="14">
        <v>5000</v>
      </c>
      <c r="R5988" s="12">
        <v>100</v>
      </c>
      <c r="S5988" s="12" t="s">
        <v>7269</v>
      </c>
      <c r="T5988" s="22">
        <f t="shared" si="511"/>
        <v>12</v>
      </c>
      <c r="U5988" s="22">
        <f t="shared" si="512"/>
        <v>2022</v>
      </c>
      <c r="V5988" s="22" t="str">
        <f t="shared" si="513"/>
        <v>METROPOLITANA</v>
      </c>
    </row>
    <row r="5989" spans="1:22" x14ac:dyDescent="0.2">
      <c r="A5989" s="11" t="s">
        <v>7266</v>
      </c>
      <c r="B5989" s="12" t="s">
        <v>33</v>
      </c>
      <c r="C5989" s="12" t="s">
        <v>29</v>
      </c>
      <c r="D5989" s="12" t="s">
        <v>164</v>
      </c>
      <c r="E5989" s="13" t="s">
        <v>1576</v>
      </c>
      <c r="F5989" s="12" t="s">
        <v>39</v>
      </c>
      <c r="G5989" s="14">
        <v>11782.37</v>
      </c>
      <c r="H5989" s="12" t="s">
        <v>22</v>
      </c>
      <c r="I5989" s="12">
        <v>1</v>
      </c>
      <c r="J5989" s="12" t="s">
        <v>39</v>
      </c>
      <c r="K5989" s="12" t="s">
        <v>23</v>
      </c>
      <c r="L5989" s="12">
        <v>1</v>
      </c>
      <c r="M5989" s="15">
        <v>129606</v>
      </c>
      <c r="N5989" s="15">
        <v>0</v>
      </c>
      <c r="O5989" s="15">
        <f t="shared" si="514"/>
        <v>129606</v>
      </c>
      <c r="P5989" s="15">
        <f t="shared" si="515"/>
        <v>10.999994058920233</v>
      </c>
      <c r="Q5989" s="14">
        <v>5000</v>
      </c>
      <c r="R5989" s="12">
        <v>100</v>
      </c>
      <c r="S5989" s="12" t="s">
        <v>7270</v>
      </c>
      <c r="T5989" s="22">
        <f t="shared" si="511"/>
        <v>12</v>
      </c>
      <c r="U5989" s="22">
        <f t="shared" si="512"/>
        <v>2022</v>
      </c>
      <c r="V5989" s="22" t="str">
        <f t="shared" si="513"/>
        <v>METROPOLITANA</v>
      </c>
    </row>
    <row r="5990" spans="1:22" x14ac:dyDescent="0.2">
      <c r="A5990" s="11" t="s">
        <v>7266</v>
      </c>
      <c r="B5990" s="12" t="s">
        <v>33</v>
      </c>
      <c r="C5990" s="12" t="s">
        <v>29</v>
      </c>
      <c r="D5990" s="12" t="s">
        <v>20</v>
      </c>
      <c r="E5990" s="13" t="s">
        <v>21</v>
      </c>
      <c r="F5990" s="12" t="s">
        <v>173</v>
      </c>
      <c r="G5990" s="14">
        <f>6103+750</f>
        <v>6853</v>
      </c>
      <c r="H5990" s="12" t="s">
        <v>22</v>
      </c>
      <c r="I5990" s="12">
        <v>0</v>
      </c>
      <c r="J5990" s="12" t="s">
        <v>173</v>
      </c>
      <c r="K5990" s="12" t="s">
        <v>23</v>
      </c>
      <c r="L5990" s="12">
        <v>5</v>
      </c>
      <c r="M5990" s="15">
        <v>112500</v>
      </c>
      <c r="N5990" s="15">
        <v>0</v>
      </c>
      <c r="O5990" s="15">
        <f t="shared" si="514"/>
        <v>112500</v>
      </c>
      <c r="P5990" s="15">
        <f t="shared" si="515"/>
        <v>16.416168101561361</v>
      </c>
      <c r="Q5990" s="14">
        <v>10000</v>
      </c>
      <c r="R5990" s="12">
        <v>75</v>
      </c>
      <c r="S5990" s="12" t="s">
        <v>7277</v>
      </c>
      <c r="T5990" s="22">
        <f t="shared" si="511"/>
        <v>12</v>
      </c>
      <c r="U5990" s="22">
        <f t="shared" si="512"/>
        <v>2022</v>
      </c>
      <c r="V5990" s="22" t="str">
        <f t="shared" si="513"/>
        <v>METROPOLITANA</v>
      </c>
    </row>
    <row r="5991" spans="1:22" x14ac:dyDescent="0.2">
      <c r="A5991" s="11" t="s">
        <v>7266</v>
      </c>
      <c r="B5991" s="12" t="s">
        <v>33</v>
      </c>
      <c r="C5991" s="12" t="s">
        <v>44</v>
      </c>
      <c r="D5991" s="12" t="s">
        <v>191</v>
      </c>
      <c r="E5991" s="13" t="s">
        <v>192</v>
      </c>
      <c r="F5991" s="12" t="s">
        <v>3139</v>
      </c>
      <c r="G5991" s="14">
        <f>4127.12+3954</f>
        <v>8081.12</v>
      </c>
      <c r="H5991" s="12" t="s">
        <v>85</v>
      </c>
      <c r="I5991" s="12">
        <v>1</v>
      </c>
      <c r="J5991" s="12" t="s">
        <v>3139</v>
      </c>
      <c r="K5991" s="12" t="s">
        <v>93</v>
      </c>
      <c r="L5991" s="12">
        <v>0</v>
      </c>
      <c r="M5991" s="15">
        <v>583000</v>
      </c>
      <c r="N5991" s="15">
        <v>0</v>
      </c>
      <c r="O5991" s="15">
        <f t="shared" si="514"/>
        <v>583000</v>
      </c>
      <c r="P5991" s="15">
        <f t="shared" si="515"/>
        <v>72.143465262240881</v>
      </c>
      <c r="Q5991" s="14">
        <v>18000</v>
      </c>
      <c r="R5991" s="12">
        <v>65</v>
      </c>
      <c r="S5991" s="12" t="s">
        <v>7275</v>
      </c>
      <c r="T5991" s="22">
        <f t="shared" si="511"/>
        <v>12</v>
      </c>
      <c r="U5991" s="22">
        <f t="shared" si="512"/>
        <v>2022</v>
      </c>
      <c r="V5991" s="22" t="str">
        <f t="shared" si="513"/>
        <v>REGIONES</v>
      </c>
    </row>
    <row r="5992" spans="1:22" x14ac:dyDescent="0.2">
      <c r="A5992" s="11" t="s">
        <v>7266</v>
      </c>
      <c r="B5992" s="12" t="s">
        <v>33</v>
      </c>
      <c r="C5992" s="12" t="s">
        <v>44</v>
      </c>
      <c r="D5992" s="12" t="s">
        <v>37</v>
      </c>
      <c r="E5992" s="13" t="s">
        <v>40</v>
      </c>
      <c r="F5992" s="12" t="s">
        <v>6540</v>
      </c>
      <c r="G5992" s="14">
        <v>13719.4</v>
      </c>
      <c r="H5992" s="12" t="s">
        <v>22</v>
      </c>
      <c r="I5992" s="12">
        <v>0</v>
      </c>
      <c r="J5992" s="12" t="s">
        <v>6540</v>
      </c>
      <c r="K5992" s="12" t="s">
        <v>78</v>
      </c>
      <c r="L5992" s="12">
        <v>0</v>
      </c>
      <c r="M5992" s="15">
        <v>250000</v>
      </c>
      <c r="N5992" s="15">
        <v>0</v>
      </c>
      <c r="O5992" s="15">
        <f t="shared" si="514"/>
        <v>250000</v>
      </c>
      <c r="P5992" s="15">
        <f t="shared" si="515"/>
        <v>18.222371240724815</v>
      </c>
      <c r="Q5992" s="14">
        <v>18000</v>
      </c>
      <c r="R5992" s="12">
        <v>69</v>
      </c>
      <c r="S5992" s="12" t="s">
        <v>7271</v>
      </c>
      <c r="T5992" s="22">
        <f t="shared" si="511"/>
        <v>12</v>
      </c>
      <c r="U5992" s="22">
        <f t="shared" si="512"/>
        <v>2022</v>
      </c>
      <c r="V5992" s="22" t="str">
        <f t="shared" si="513"/>
        <v>REGIONES</v>
      </c>
    </row>
    <row r="5993" spans="1:22" x14ac:dyDescent="0.2">
      <c r="A5993" s="11" t="s">
        <v>7266</v>
      </c>
      <c r="B5993" s="12" t="s">
        <v>33</v>
      </c>
      <c r="C5993" s="12" t="s">
        <v>44</v>
      </c>
      <c r="D5993" s="12" t="s">
        <v>45</v>
      </c>
      <c r="E5993" s="13" t="s">
        <v>52</v>
      </c>
      <c r="F5993" s="12" t="s">
        <v>48</v>
      </c>
      <c r="G5993" s="14">
        <v>3924.880000000001</v>
      </c>
      <c r="H5993" s="12" t="s">
        <v>22</v>
      </c>
      <c r="I5993" s="12">
        <v>0</v>
      </c>
      <c r="J5993" s="12" t="s">
        <v>48</v>
      </c>
      <c r="K5993" s="12" t="s">
        <v>23</v>
      </c>
      <c r="L5993" s="12">
        <v>1</v>
      </c>
      <c r="M5993" s="15">
        <v>55000</v>
      </c>
      <c r="N5993" s="15">
        <v>0</v>
      </c>
      <c r="O5993" s="15">
        <f t="shared" si="514"/>
        <v>55000</v>
      </c>
      <c r="P5993" s="15">
        <f t="shared" si="515"/>
        <v>14.013167281547458</v>
      </c>
      <c r="Q5993" s="14">
        <v>5000</v>
      </c>
      <c r="R5993" s="12">
        <v>78</v>
      </c>
      <c r="S5993" s="12" t="s">
        <v>7272</v>
      </c>
      <c r="T5993" s="22">
        <f t="shared" si="511"/>
        <v>12</v>
      </c>
      <c r="U5993" s="22">
        <f t="shared" si="512"/>
        <v>2022</v>
      </c>
      <c r="V5993" s="22" t="str">
        <f t="shared" si="513"/>
        <v>METROPOLITANA</v>
      </c>
    </row>
    <row r="5994" spans="1:22" x14ac:dyDescent="0.2">
      <c r="A5994" s="11" t="s">
        <v>7266</v>
      </c>
      <c r="B5994" s="12" t="s">
        <v>33</v>
      </c>
      <c r="C5994" s="12" t="s">
        <v>44</v>
      </c>
      <c r="D5994" s="12" t="s">
        <v>47</v>
      </c>
      <c r="E5994" s="13" t="s">
        <v>49</v>
      </c>
      <c r="F5994" s="12" t="s">
        <v>6540</v>
      </c>
      <c r="G5994" s="14">
        <v>7930</v>
      </c>
      <c r="H5994" s="12" t="s">
        <v>22</v>
      </c>
      <c r="I5994" s="12">
        <v>0</v>
      </c>
      <c r="J5994" s="12" t="s">
        <v>6540</v>
      </c>
      <c r="K5994" s="12" t="s">
        <v>78</v>
      </c>
      <c r="L5994" s="12">
        <v>0</v>
      </c>
      <c r="M5994" s="15">
        <v>250000</v>
      </c>
      <c r="N5994" s="15">
        <v>0</v>
      </c>
      <c r="O5994" s="15">
        <f t="shared" si="514"/>
        <v>250000</v>
      </c>
      <c r="P5994" s="15">
        <f t="shared" si="515"/>
        <v>31.525851197982345</v>
      </c>
      <c r="Q5994" s="14">
        <v>18000</v>
      </c>
      <c r="R5994" s="12">
        <v>40</v>
      </c>
      <c r="S5994" s="12" t="s">
        <v>7273</v>
      </c>
      <c r="T5994" s="22">
        <f t="shared" si="511"/>
        <v>12</v>
      </c>
      <c r="U5994" s="22">
        <f t="shared" si="512"/>
        <v>2022</v>
      </c>
      <c r="V5994" s="22" t="str">
        <f t="shared" si="513"/>
        <v>REGIONES</v>
      </c>
    </row>
    <row r="5995" spans="1:22" x14ac:dyDescent="0.2">
      <c r="A5995" s="23" t="s">
        <v>7278</v>
      </c>
      <c r="B5995" s="22" t="s">
        <v>18</v>
      </c>
      <c r="C5995" s="22" t="s">
        <v>57</v>
      </c>
      <c r="D5995" s="22" t="s">
        <v>47</v>
      </c>
      <c r="E5995" s="24">
        <v>107643206</v>
      </c>
      <c r="F5995" s="22" t="s">
        <v>161</v>
      </c>
      <c r="G5995" s="25">
        <v>5170.1699999999992</v>
      </c>
      <c r="H5995" s="22" t="s">
        <v>22</v>
      </c>
      <c r="I5995" s="22">
        <v>0</v>
      </c>
      <c r="J5995" s="22" t="s">
        <v>161</v>
      </c>
      <c r="K5995" s="22" t="s">
        <v>23</v>
      </c>
      <c r="L5995" s="22">
        <v>5</v>
      </c>
      <c r="M5995" s="26">
        <v>87500</v>
      </c>
      <c r="N5995" s="26">
        <v>0</v>
      </c>
      <c r="O5995" s="15">
        <f t="shared" si="514"/>
        <v>87500</v>
      </c>
      <c r="P5995" s="15">
        <f t="shared" si="515"/>
        <v>16.924008301467847</v>
      </c>
      <c r="Q5995" s="25">
        <v>10000</v>
      </c>
      <c r="R5995" s="22">
        <v>52</v>
      </c>
      <c r="S5995" s="22" t="s">
        <v>7279</v>
      </c>
      <c r="T5995" s="22">
        <f t="shared" si="511"/>
        <v>12</v>
      </c>
      <c r="U5995" s="22">
        <f t="shared" si="512"/>
        <v>2022</v>
      </c>
      <c r="V5995" s="22" t="str">
        <f t="shared" si="513"/>
        <v>METROPOLITANA</v>
      </c>
    </row>
    <row r="5996" spans="1:22" x14ac:dyDescent="0.2">
      <c r="A5996" s="23" t="s">
        <v>7278</v>
      </c>
      <c r="B5996" s="22" t="s">
        <v>33</v>
      </c>
      <c r="C5996" s="22" t="s">
        <v>128</v>
      </c>
      <c r="D5996" s="22" t="s">
        <v>2825</v>
      </c>
      <c r="E5996" s="24">
        <v>113693568</v>
      </c>
      <c r="F5996" s="22" t="s">
        <v>66</v>
      </c>
      <c r="G5996" s="25">
        <f>2874+3002+2719+1537</f>
        <v>10132</v>
      </c>
      <c r="H5996" s="22" t="s">
        <v>24</v>
      </c>
      <c r="I5996" s="22">
        <v>1</v>
      </c>
      <c r="J5996" s="22" t="s">
        <v>66</v>
      </c>
      <c r="K5996" s="22" t="s">
        <v>75</v>
      </c>
      <c r="L5996" s="22">
        <v>0</v>
      </c>
      <c r="M5996" s="26">
        <v>506000</v>
      </c>
      <c r="N5996" s="26">
        <v>0</v>
      </c>
      <c r="O5996" s="15">
        <f t="shared" si="514"/>
        <v>506000</v>
      </c>
      <c r="P5996" s="15">
        <f t="shared" si="515"/>
        <v>49.940781681800239</v>
      </c>
      <c r="Q5996" s="25">
        <v>20000</v>
      </c>
      <c r="R5996" s="22">
        <v>80</v>
      </c>
      <c r="S5996" s="22" t="s">
        <v>7286</v>
      </c>
      <c r="T5996" s="22">
        <f t="shared" si="511"/>
        <v>12</v>
      </c>
      <c r="U5996" s="22">
        <f t="shared" si="512"/>
        <v>2022</v>
      </c>
      <c r="V5996" s="22" t="str">
        <f t="shared" si="513"/>
        <v>REGIONES</v>
      </c>
    </row>
    <row r="5997" spans="1:22" x14ac:dyDescent="0.2">
      <c r="A5997" s="23" t="s">
        <v>7278</v>
      </c>
      <c r="B5997" s="22" t="s">
        <v>33</v>
      </c>
      <c r="C5997" s="22" t="s">
        <v>7280</v>
      </c>
      <c r="D5997" s="22" t="s">
        <v>7281</v>
      </c>
      <c r="E5997" s="24">
        <v>122975819</v>
      </c>
      <c r="F5997" s="22" t="s">
        <v>7282</v>
      </c>
      <c r="G5997" s="25">
        <f>5675.6+750+1575+550+824+547</f>
        <v>9921.6</v>
      </c>
      <c r="H5997" s="22" t="s">
        <v>24</v>
      </c>
      <c r="I5997" s="22">
        <v>1</v>
      </c>
      <c r="J5997" s="22" t="s">
        <v>7282</v>
      </c>
      <c r="K5997" s="22" t="s">
        <v>873</v>
      </c>
      <c r="L5997" s="22">
        <v>0</v>
      </c>
      <c r="M5997" s="26">
        <v>950000</v>
      </c>
      <c r="N5997" s="26">
        <v>0</v>
      </c>
      <c r="O5997" s="15">
        <f t="shared" si="514"/>
        <v>950000</v>
      </c>
      <c r="P5997" s="15">
        <f t="shared" si="515"/>
        <v>95.750685373326874</v>
      </c>
      <c r="Q5997" s="25">
        <v>20000</v>
      </c>
      <c r="R5997" s="22">
        <v>90</v>
      </c>
      <c r="S5997" s="22" t="s">
        <v>7287</v>
      </c>
      <c r="T5997" s="22">
        <f t="shared" si="511"/>
        <v>12</v>
      </c>
      <c r="U5997" s="22">
        <f t="shared" si="512"/>
        <v>2022</v>
      </c>
      <c r="V5997" s="22" t="str">
        <f t="shared" si="513"/>
        <v>REGIONES</v>
      </c>
    </row>
    <row r="5998" spans="1:22" x14ac:dyDescent="0.2">
      <c r="A5998" s="23" t="s">
        <v>7278</v>
      </c>
      <c r="B5998" s="22" t="s">
        <v>33</v>
      </c>
      <c r="C5998" s="22" t="s">
        <v>29</v>
      </c>
      <c r="D5998" s="22" t="s">
        <v>4569</v>
      </c>
      <c r="E5998" s="24">
        <v>98494073</v>
      </c>
      <c r="F5998" s="22" t="s">
        <v>114</v>
      </c>
      <c r="G5998" s="25">
        <v>15455.12</v>
      </c>
      <c r="H5998" s="22" t="s">
        <v>24</v>
      </c>
      <c r="I5998" s="22">
        <v>1</v>
      </c>
      <c r="J5998" s="22" t="s">
        <v>114</v>
      </c>
      <c r="K5998" s="22" t="s">
        <v>75</v>
      </c>
      <c r="L5998" s="22">
        <v>0</v>
      </c>
      <c r="M5998" s="26">
        <v>528000</v>
      </c>
      <c r="N5998" s="26">
        <v>0</v>
      </c>
      <c r="O5998" s="15">
        <f t="shared" si="514"/>
        <v>528000</v>
      </c>
      <c r="P5998" s="15">
        <f t="shared" si="515"/>
        <v>34.163435806386488</v>
      </c>
      <c r="Q5998" s="25">
        <v>20000</v>
      </c>
      <c r="R5998" s="22">
        <v>77</v>
      </c>
      <c r="S5998" s="22" t="s">
        <v>7283</v>
      </c>
      <c r="T5998" s="22">
        <f t="shared" si="511"/>
        <v>12</v>
      </c>
      <c r="U5998" s="22">
        <f t="shared" si="512"/>
        <v>2022</v>
      </c>
      <c r="V5998" s="22" t="str">
        <f t="shared" si="513"/>
        <v>REGIONES</v>
      </c>
    </row>
    <row r="5999" spans="1:22" x14ac:dyDescent="0.2">
      <c r="A5999" s="23" t="s">
        <v>7278</v>
      </c>
      <c r="B5999" s="22" t="s">
        <v>33</v>
      </c>
      <c r="C5999" s="22" t="s">
        <v>44</v>
      </c>
      <c r="D5999" s="22" t="s">
        <v>370</v>
      </c>
      <c r="E5999" s="24">
        <v>94742285</v>
      </c>
      <c r="F5999" s="22" t="s">
        <v>114</v>
      </c>
      <c r="G5999" s="25">
        <f>4500.45+3214</f>
        <v>7714.45</v>
      </c>
      <c r="H5999" s="22" t="s">
        <v>85</v>
      </c>
      <c r="I5999" s="22">
        <v>1</v>
      </c>
      <c r="J5999" s="22" t="s">
        <v>114</v>
      </c>
      <c r="K5999" s="22" t="s">
        <v>75</v>
      </c>
      <c r="L5999" s="22">
        <v>0</v>
      </c>
      <c r="M5999" s="26">
        <v>528000</v>
      </c>
      <c r="N5999" s="26">
        <v>0</v>
      </c>
      <c r="O5999" s="15">
        <f t="shared" si="514"/>
        <v>528000</v>
      </c>
      <c r="P5999" s="15">
        <f t="shared" si="515"/>
        <v>68.442986862316829</v>
      </c>
      <c r="Q5999" s="25">
        <v>20000</v>
      </c>
      <c r="R5999" s="22">
        <v>55</v>
      </c>
      <c r="S5999" s="22" t="s">
        <v>7288</v>
      </c>
      <c r="T5999" s="22">
        <f t="shared" si="511"/>
        <v>12</v>
      </c>
      <c r="U5999" s="22">
        <f t="shared" si="512"/>
        <v>2022</v>
      </c>
      <c r="V5999" s="22" t="str">
        <f t="shared" si="513"/>
        <v>REGIONES</v>
      </c>
    </row>
    <row r="6000" spans="1:22" x14ac:dyDescent="0.2">
      <c r="A6000" s="23" t="s">
        <v>7278</v>
      </c>
      <c r="B6000" s="22" t="s">
        <v>33</v>
      </c>
      <c r="C6000" s="22" t="s">
        <v>44</v>
      </c>
      <c r="D6000" s="22" t="s">
        <v>47</v>
      </c>
      <c r="E6000" s="24">
        <v>107643206</v>
      </c>
      <c r="F6000" s="22" t="s">
        <v>94</v>
      </c>
      <c r="G6000" s="25">
        <v>5239.24</v>
      </c>
      <c r="H6000" s="22" t="s">
        <v>22</v>
      </c>
      <c r="I6000" s="22">
        <v>0</v>
      </c>
      <c r="J6000" s="22" t="s">
        <v>59</v>
      </c>
      <c r="K6000" s="22" t="s">
        <v>78</v>
      </c>
      <c r="L6000" s="22">
        <v>0</v>
      </c>
      <c r="M6000" s="26">
        <v>227000</v>
      </c>
      <c r="N6000" s="26">
        <v>0</v>
      </c>
      <c r="O6000" s="15">
        <f t="shared" si="514"/>
        <v>227000</v>
      </c>
      <c r="P6000" s="15">
        <f t="shared" si="515"/>
        <v>43.326894740458542</v>
      </c>
      <c r="Q6000" s="25">
        <v>20000</v>
      </c>
      <c r="R6000" s="22">
        <v>26</v>
      </c>
      <c r="S6000" s="22" t="s">
        <v>7284</v>
      </c>
      <c r="T6000" s="22">
        <f t="shared" si="511"/>
        <v>12</v>
      </c>
      <c r="U6000" s="22">
        <f t="shared" si="512"/>
        <v>2022</v>
      </c>
      <c r="V6000" s="22" t="str">
        <f t="shared" si="513"/>
        <v>REGIONES</v>
      </c>
    </row>
    <row r="6001" spans="1:22" x14ac:dyDescent="0.2">
      <c r="A6001" s="23" t="s">
        <v>7278</v>
      </c>
      <c r="B6001" s="22" t="s">
        <v>33</v>
      </c>
      <c r="C6001" s="22" t="s">
        <v>44</v>
      </c>
      <c r="D6001" s="22" t="s">
        <v>20</v>
      </c>
      <c r="E6001" s="24">
        <v>78907355</v>
      </c>
      <c r="F6001" s="22" t="s">
        <v>554</v>
      </c>
      <c r="G6001" s="25">
        <v>4691.4800000000014</v>
      </c>
      <c r="H6001" s="22" t="s">
        <v>22</v>
      </c>
      <c r="I6001" s="22">
        <v>0</v>
      </c>
      <c r="J6001" s="22" t="s">
        <v>554</v>
      </c>
      <c r="K6001" s="22" t="s">
        <v>23</v>
      </c>
      <c r="L6001" s="22">
        <v>4</v>
      </c>
      <c r="M6001" s="26">
        <v>55000</v>
      </c>
      <c r="N6001" s="26">
        <v>0</v>
      </c>
      <c r="O6001" s="15">
        <f t="shared" si="514"/>
        <v>55000</v>
      </c>
      <c r="P6001" s="15">
        <f t="shared" si="515"/>
        <v>11.723379402661843</v>
      </c>
      <c r="Q6001" s="25">
        <v>5000</v>
      </c>
      <c r="R6001" s="22">
        <v>94</v>
      </c>
      <c r="S6001" s="22" t="s">
        <v>7285</v>
      </c>
      <c r="T6001" s="22">
        <f t="shared" si="511"/>
        <v>12</v>
      </c>
      <c r="U6001" s="22">
        <f t="shared" si="512"/>
        <v>2022</v>
      </c>
      <c r="V6001" s="22" t="str">
        <f t="shared" si="513"/>
        <v>METROPOLITANA</v>
      </c>
    </row>
    <row r="6002" spans="1:22" x14ac:dyDescent="0.2">
      <c r="A6002" s="11" t="s">
        <v>7289</v>
      </c>
      <c r="B6002" s="12" t="s">
        <v>18</v>
      </c>
      <c r="C6002" s="12" t="s">
        <v>57</v>
      </c>
      <c r="D6002" s="12" t="s">
        <v>37</v>
      </c>
      <c r="E6002" s="13" t="s">
        <v>40</v>
      </c>
      <c r="F6002" s="12" t="s">
        <v>161</v>
      </c>
      <c r="G6002" s="14">
        <v>3439.4500000000012</v>
      </c>
      <c r="H6002" s="12" t="s">
        <v>22</v>
      </c>
      <c r="I6002" s="12">
        <v>0</v>
      </c>
      <c r="J6002" s="12" t="s">
        <v>161</v>
      </c>
      <c r="K6002" s="12" t="s">
        <v>23</v>
      </c>
      <c r="L6002" s="12">
        <v>5</v>
      </c>
      <c r="M6002" s="15">
        <v>87500</v>
      </c>
      <c r="N6002" s="15">
        <v>0</v>
      </c>
      <c r="O6002" s="15">
        <f t="shared" si="514"/>
        <v>87500</v>
      </c>
      <c r="P6002" s="15">
        <f t="shared" si="515"/>
        <v>25.440113971710584</v>
      </c>
      <c r="Q6002" s="14">
        <v>10000</v>
      </c>
      <c r="R6002" s="12">
        <v>34</v>
      </c>
      <c r="S6002" s="12" t="s">
        <v>7290</v>
      </c>
      <c r="T6002" s="22">
        <f t="shared" si="511"/>
        <v>12</v>
      </c>
      <c r="U6002" s="22">
        <f t="shared" si="512"/>
        <v>2022</v>
      </c>
      <c r="V6002" s="22" t="str">
        <f t="shared" si="513"/>
        <v>METROPOLITANA</v>
      </c>
    </row>
    <row r="6003" spans="1:22" x14ac:dyDescent="0.2">
      <c r="A6003" s="11" t="s">
        <v>7289</v>
      </c>
      <c r="B6003" s="12" t="s">
        <v>33</v>
      </c>
      <c r="C6003" s="12" t="s">
        <v>1233</v>
      </c>
      <c r="D6003" s="12" t="s">
        <v>38</v>
      </c>
      <c r="E6003" s="13" t="s">
        <v>25</v>
      </c>
      <c r="F6003" s="12" t="s">
        <v>1234</v>
      </c>
      <c r="G6003" s="14">
        <v>1700.4</v>
      </c>
      <c r="H6003" s="12" t="s">
        <v>43</v>
      </c>
      <c r="I6003" s="12">
        <v>0</v>
      </c>
      <c r="J6003" s="12" t="s">
        <v>1234</v>
      </c>
      <c r="K6003" s="12" t="s">
        <v>23</v>
      </c>
      <c r="L6003" s="12">
        <v>3</v>
      </c>
      <c r="M6003" s="15">
        <v>55000</v>
      </c>
      <c r="N6003" s="15">
        <v>0</v>
      </c>
      <c r="O6003" s="15">
        <f t="shared" si="514"/>
        <v>55000</v>
      </c>
      <c r="P6003" s="15">
        <f t="shared" si="515"/>
        <v>32.345330510468123</v>
      </c>
      <c r="Q6003" s="14">
        <v>5000</v>
      </c>
      <c r="R6003" s="12">
        <v>34</v>
      </c>
      <c r="S6003" s="12" t="s">
        <v>7291</v>
      </c>
      <c r="T6003" s="22">
        <f t="shared" si="511"/>
        <v>12</v>
      </c>
      <c r="U6003" s="22">
        <f t="shared" si="512"/>
        <v>2022</v>
      </c>
      <c r="V6003" s="22" t="str">
        <f t="shared" si="513"/>
        <v>METROPOLITANA</v>
      </c>
    </row>
    <row r="6004" spans="1:22" x14ac:dyDescent="0.2">
      <c r="A6004" s="11" t="s">
        <v>7289</v>
      </c>
      <c r="B6004" s="12" t="s">
        <v>33</v>
      </c>
      <c r="C6004" s="12" t="s">
        <v>7280</v>
      </c>
      <c r="D6004" s="12" t="s">
        <v>311</v>
      </c>
      <c r="E6004" s="13" t="s">
        <v>312</v>
      </c>
      <c r="F6004" s="12" t="s">
        <v>7292</v>
      </c>
      <c r="G6004" s="14">
        <f>1096.25+9939+547</f>
        <v>11582.25</v>
      </c>
      <c r="H6004" s="12" t="s">
        <v>85</v>
      </c>
      <c r="I6004" s="12">
        <v>1</v>
      </c>
      <c r="J6004" s="12" t="s">
        <v>7292</v>
      </c>
      <c r="K6004" s="12" t="s">
        <v>124</v>
      </c>
      <c r="L6004" s="12">
        <v>0</v>
      </c>
      <c r="M6004" s="15">
        <v>440000</v>
      </c>
      <c r="N6004" s="15">
        <v>0</v>
      </c>
      <c r="O6004" s="15">
        <f t="shared" si="514"/>
        <v>440000</v>
      </c>
      <c r="P6004" s="15">
        <f t="shared" si="515"/>
        <v>37.989164454229531</v>
      </c>
      <c r="Q6004" s="14">
        <v>20000</v>
      </c>
      <c r="R6004" s="12">
        <v>80</v>
      </c>
      <c r="S6004" s="12" t="s">
        <v>7297</v>
      </c>
      <c r="T6004" s="22">
        <f t="shared" si="511"/>
        <v>12</v>
      </c>
      <c r="U6004" s="22">
        <f t="shared" si="512"/>
        <v>2022</v>
      </c>
      <c r="V6004" s="22" t="str">
        <f t="shared" si="513"/>
        <v>REGIONES</v>
      </c>
    </row>
    <row r="6005" spans="1:22" x14ac:dyDescent="0.2">
      <c r="A6005" s="11" t="s">
        <v>7289</v>
      </c>
      <c r="B6005" s="12" t="s">
        <v>33</v>
      </c>
      <c r="C6005" s="12" t="s">
        <v>44</v>
      </c>
      <c r="D6005" s="12" t="s">
        <v>45</v>
      </c>
      <c r="E6005" s="13" t="s">
        <v>52</v>
      </c>
      <c r="F6005" s="12" t="s">
        <v>6841</v>
      </c>
      <c r="G6005" s="14">
        <v>2739.4100000000012</v>
      </c>
      <c r="H6005" s="12" t="s">
        <v>22</v>
      </c>
      <c r="I6005" s="12">
        <v>0</v>
      </c>
      <c r="J6005" s="12" t="s">
        <v>6841</v>
      </c>
      <c r="K6005" s="12" t="s">
        <v>23</v>
      </c>
      <c r="L6005" s="12">
        <v>1</v>
      </c>
      <c r="M6005" s="15">
        <v>55000</v>
      </c>
      <c r="N6005" s="15">
        <v>0</v>
      </c>
      <c r="O6005" s="15">
        <f t="shared" si="514"/>
        <v>55000</v>
      </c>
      <c r="P6005" s="15">
        <f t="shared" si="515"/>
        <v>20.077315918391179</v>
      </c>
      <c r="Q6005" s="14">
        <v>5000</v>
      </c>
      <c r="R6005" s="12">
        <v>55</v>
      </c>
      <c r="S6005" s="12" t="s">
        <v>7293</v>
      </c>
      <c r="T6005" s="22">
        <f t="shared" si="511"/>
        <v>12</v>
      </c>
      <c r="U6005" s="22">
        <f t="shared" si="512"/>
        <v>2022</v>
      </c>
      <c r="V6005" s="22" t="str">
        <f t="shared" si="513"/>
        <v>METROPOLITANA</v>
      </c>
    </row>
    <row r="6006" spans="1:22" x14ac:dyDescent="0.2">
      <c r="A6006" s="11" t="s">
        <v>7289</v>
      </c>
      <c r="B6006" s="12" t="s">
        <v>33</v>
      </c>
      <c r="C6006" s="12" t="s">
        <v>44</v>
      </c>
      <c r="D6006" s="12" t="s">
        <v>47</v>
      </c>
      <c r="E6006" s="13" t="s">
        <v>49</v>
      </c>
      <c r="F6006" s="12" t="s">
        <v>48</v>
      </c>
      <c r="G6006" s="14">
        <v>5793.13</v>
      </c>
      <c r="H6006" s="12" t="s">
        <v>22</v>
      </c>
      <c r="I6006" s="12">
        <v>0</v>
      </c>
      <c r="J6006" s="12" t="s">
        <v>48</v>
      </c>
      <c r="K6006" s="12" t="s">
        <v>23</v>
      </c>
      <c r="L6006" s="12">
        <v>1</v>
      </c>
      <c r="M6006" s="15">
        <v>63724</v>
      </c>
      <c r="N6006" s="15">
        <v>0</v>
      </c>
      <c r="O6006" s="15">
        <f t="shared" si="514"/>
        <v>63724</v>
      </c>
      <c r="P6006" s="15">
        <f t="shared" si="515"/>
        <v>10.999925774149725</v>
      </c>
      <c r="Q6006" s="14">
        <v>5000</v>
      </c>
      <c r="R6006" s="12">
        <v>100</v>
      </c>
      <c r="S6006" s="12" t="s">
        <v>7294</v>
      </c>
      <c r="T6006" s="22">
        <f t="shared" si="511"/>
        <v>12</v>
      </c>
      <c r="U6006" s="22">
        <f t="shared" si="512"/>
        <v>2022</v>
      </c>
      <c r="V6006" s="22" t="str">
        <f t="shared" si="513"/>
        <v>METROPOLITANA</v>
      </c>
    </row>
    <row r="6007" spans="1:22" x14ac:dyDescent="0.2">
      <c r="A6007" s="11" t="s">
        <v>7289</v>
      </c>
      <c r="B6007" s="12" t="s">
        <v>33</v>
      </c>
      <c r="C6007" s="12" t="s">
        <v>44</v>
      </c>
      <c r="D6007" s="12" t="s">
        <v>41</v>
      </c>
      <c r="E6007" s="13" t="s">
        <v>25</v>
      </c>
      <c r="F6007" s="12" t="s">
        <v>53</v>
      </c>
      <c r="G6007" s="14">
        <v>2618.36</v>
      </c>
      <c r="H6007" s="12" t="s">
        <v>43</v>
      </c>
      <c r="I6007" s="12">
        <v>0</v>
      </c>
      <c r="J6007" s="12" t="s">
        <v>53</v>
      </c>
      <c r="K6007" s="12" t="s">
        <v>23</v>
      </c>
      <c r="L6007" s="12">
        <v>3</v>
      </c>
      <c r="M6007" s="15">
        <v>55000</v>
      </c>
      <c r="N6007" s="15">
        <v>0</v>
      </c>
      <c r="O6007" s="15">
        <f t="shared" si="514"/>
        <v>55000</v>
      </c>
      <c r="P6007" s="15">
        <f t="shared" si="515"/>
        <v>21.005514902458025</v>
      </c>
      <c r="Q6007" s="14">
        <v>5000</v>
      </c>
      <c r="R6007" s="12">
        <v>52</v>
      </c>
      <c r="S6007" s="12" t="s">
        <v>7295</v>
      </c>
      <c r="T6007" s="22">
        <f t="shared" si="511"/>
        <v>12</v>
      </c>
      <c r="U6007" s="22">
        <f t="shared" si="512"/>
        <v>2022</v>
      </c>
      <c r="V6007" s="22" t="str">
        <f t="shared" si="513"/>
        <v>METROPOLITANA</v>
      </c>
    </row>
    <row r="6008" spans="1:22" x14ac:dyDescent="0.2">
      <c r="A6008" s="11" t="s">
        <v>7289</v>
      </c>
      <c r="B6008" s="12" t="s">
        <v>33</v>
      </c>
      <c r="C6008" s="12" t="s">
        <v>44</v>
      </c>
      <c r="D6008" s="12" t="s">
        <v>20</v>
      </c>
      <c r="E6008" s="13" t="s">
        <v>21</v>
      </c>
      <c r="F6008" s="12" t="s">
        <v>46</v>
      </c>
      <c r="G6008" s="14">
        <v>4074.7500000000009</v>
      </c>
      <c r="H6008" s="12" t="s">
        <v>22</v>
      </c>
      <c r="I6008" s="12">
        <v>0</v>
      </c>
      <c r="J6008" s="12" t="s">
        <v>46</v>
      </c>
      <c r="K6008" s="12" t="s">
        <v>23</v>
      </c>
      <c r="L6008" s="12">
        <v>2</v>
      </c>
      <c r="M6008" s="15">
        <v>55000</v>
      </c>
      <c r="N6008" s="15">
        <v>0</v>
      </c>
      <c r="O6008" s="15">
        <f t="shared" si="514"/>
        <v>55000</v>
      </c>
      <c r="P6008" s="15">
        <f t="shared" si="515"/>
        <v>13.497760598809739</v>
      </c>
      <c r="Q6008" s="14">
        <v>5000</v>
      </c>
      <c r="R6008" s="12">
        <v>81</v>
      </c>
      <c r="S6008" s="12" t="s">
        <v>7296</v>
      </c>
      <c r="T6008" s="22">
        <f t="shared" si="511"/>
        <v>12</v>
      </c>
      <c r="U6008" s="22">
        <f t="shared" si="512"/>
        <v>2022</v>
      </c>
      <c r="V6008" s="22" t="str">
        <f t="shared" si="513"/>
        <v>METROPOLITANA</v>
      </c>
    </row>
    <row r="6009" spans="1:22" x14ac:dyDescent="0.2">
      <c r="A6009" s="23" t="s">
        <v>7298</v>
      </c>
      <c r="B6009" s="22" t="s">
        <v>18</v>
      </c>
      <c r="C6009" s="22" t="s">
        <v>57</v>
      </c>
      <c r="D6009" s="22" t="s">
        <v>37</v>
      </c>
      <c r="E6009" s="24" t="s">
        <v>40</v>
      </c>
      <c r="F6009" s="22" t="s">
        <v>161</v>
      </c>
      <c r="G6009" s="25">
        <v>3440.49</v>
      </c>
      <c r="H6009" s="22" t="s">
        <v>22</v>
      </c>
      <c r="I6009" s="22">
        <v>0</v>
      </c>
      <c r="J6009" s="22" t="s">
        <v>161</v>
      </c>
      <c r="K6009" s="22" t="s">
        <v>23</v>
      </c>
      <c r="L6009" s="22">
        <v>5</v>
      </c>
      <c r="M6009" s="26">
        <v>87500</v>
      </c>
      <c r="N6009" s="26">
        <v>0</v>
      </c>
      <c r="O6009" s="15">
        <f t="shared" si="514"/>
        <v>87500</v>
      </c>
      <c r="P6009" s="15">
        <f t="shared" si="515"/>
        <v>25.43242386985575</v>
      </c>
      <c r="Q6009" s="25">
        <v>10000</v>
      </c>
      <c r="R6009" s="22">
        <v>34</v>
      </c>
      <c r="S6009" s="22" t="s">
        <v>7299</v>
      </c>
      <c r="T6009" s="22">
        <f t="shared" si="511"/>
        <v>12</v>
      </c>
      <c r="U6009" s="22">
        <f t="shared" si="512"/>
        <v>2022</v>
      </c>
      <c r="V6009" s="22" t="str">
        <f t="shared" si="513"/>
        <v>METROPOLITANA</v>
      </c>
    </row>
    <row r="6010" spans="1:22" x14ac:dyDescent="0.2">
      <c r="A6010" s="23" t="s">
        <v>7298</v>
      </c>
      <c r="B6010" s="22" t="s">
        <v>33</v>
      </c>
      <c r="C6010" s="22" t="s">
        <v>44</v>
      </c>
      <c r="D6010" s="22" t="s">
        <v>45</v>
      </c>
      <c r="E6010" s="24" t="s">
        <v>52</v>
      </c>
      <c r="F6010" s="22" t="s">
        <v>95</v>
      </c>
      <c r="G6010" s="25">
        <v>2470.3000000000002</v>
      </c>
      <c r="H6010" s="22" t="s">
        <v>22</v>
      </c>
      <c r="I6010" s="22">
        <v>0</v>
      </c>
      <c r="J6010" s="22" t="s">
        <v>95</v>
      </c>
      <c r="K6010" s="22" t="s">
        <v>23</v>
      </c>
      <c r="L6010" s="22">
        <v>4</v>
      </c>
      <c r="M6010" s="26">
        <v>55000</v>
      </c>
      <c r="N6010" s="26">
        <v>0</v>
      </c>
      <c r="O6010" s="15">
        <f t="shared" si="514"/>
        <v>55000</v>
      </c>
      <c r="P6010" s="15">
        <f t="shared" si="515"/>
        <v>22.264502287171595</v>
      </c>
      <c r="Q6010" s="25">
        <v>5000</v>
      </c>
      <c r="R6010" s="22">
        <v>49</v>
      </c>
      <c r="S6010" s="22" t="s">
        <v>7300</v>
      </c>
      <c r="T6010" s="22">
        <f t="shared" si="511"/>
        <v>12</v>
      </c>
      <c r="U6010" s="22">
        <f t="shared" si="512"/>
        <v>2022</v>
      </c>
      <c r="V6010" s="22" t="str">
        <f t="shared" si="513"/>
        <v>METROPOLITANA</v>
      </c>
    </row>
    <row r="6011" spans="1:22" x14ac:dyDescent="0.2">
      <c r="A6011" s="11" t="s">
        <v>7303</v>
      </c>
      <c r="B6011" s="12" t="s">
        <v>18</v>
      </c>
      <c r="C6011" s="12" t="s">
        <v>475</v>
      </c>
      <c r="D6011" s="12" t="s">
        <v>130</v>
      </c>
      <c r="E6011" s="13" t="s">
        <v>131</v>
      </c>
      <c r="F6011" s="12" t="s">
        <v>2639</v>
      </c>
      <c r="G6011" s="14">
        <f>7205.34+5623</f>
        <v>12828.34</v>
      </c>
      <c r="H6011" s="12" t="s">
        <v>85</v>
      </c>
      <c r="I6011" s="12">
        <v>1</v>
      </c>
      <c r="J6011" s="12" t="s">
        <v>2639</v>
      </c>
      <c r="K6011" s="12" t="s">
        <v>75</v>
      </c>
      <c r="L6011" s="12">
        <v>0</v>
      </c>
      <c r="M6011" s="15">
        <v>478000</v>
      </c>
      <c r="N6011" s="15">
        <v>0</v>
      </c>
      <c r="O6011" s="15">
        <f t="shared" si="514"/>
        <v>478000</v>
      </c>
      <c r="P6011" s="15">
        <f t="shared" si="515"/>
        <v>37.261251260880208</v>
      </c>
      <c r="Q6011" s="14">
        <v>20000</v>
      </c>
      <c r="R6011" s="12">
        <v>80</v>
      </c>
      <c r="S6011" s="12" t="s">
        <v>7314</v>
      </c>
      <c r="T6011" s="22">
        <f t="shared" si="511"/>
        <v>12</v>
      </c>
      <c r="U6011" s="22">
        <f t="shared" si="512"/>
        <v>2022</v>
      </c>
      <c r="V6011" s="22" t="str">
        <f t="shared" si="513"/>
        <v>REGIONES</v>
      </c>
    </row>
    <row r="6012" spans="1:22" x14ac:dyDescent="0.2">
      <c r="A6012" s="11" t="s">
        <v>7303</v>
      </c>
      <c r="B6012" s="12" t="s">
        <v>33</v>
      </c>
      <c r="C6012" s="12" t="s">
        <v>7065</v>
      </c>
      <c r="D6012" s="12" t="s">
        <v>37</v>
      </c>
      <c r="E6012" s="13" t="s">
        <v>40</v>
      </c>
      <c r="F6012" s="12" t="s">
        <v>129</v>
      </c>
      <c r="G6012" s="14">
        <v>13004.400000000011</v>
      </c>
      <c r="H6012" s="12" t="s">
        <v>22</v>
      </c>
      <c r="I6012" s="12">
        <v>0</v>
      </c>
      <c r="J6012" s="12" t="s">
        <v>129</v>
      </c>
      <c r="K6012" s="12" t="s">
        <v>23</v>
      </c>
      <c r="L6012" s="12">
        <v>1</v>
      </c>
      <c r="M6012" s="15">
        <v>143048</v>
      </c>
      <c r="N6012" s="15">
        <v>0</v>
      </c>
      <c r="O6012" s="15">
        <f t="shared" si="514"/>
        <v>143048</v>
      </c>
      <c r="P6012" s="15">
        <f t="shared" si="515"/>
        <v>10.999969241179899</v>
      </c>
      <c r="Q6012" s="14">
        <v>5000</v>
      </c>
      <c r="R6012" s="12">
        <v>100</v>
      </c>
      <c r="S6012" s="12" t="s">
        <v>7304</v>
      </c>
      <c r="T6012" s="22">
        <f t="shared" si="511"/>
        <v>12</v>
      </c>
      <c r="U6012" s="22">
        <f t="shared" si="512"/>
        <v>2022</v>
      </c>
      <c r="V6012" s="22" t="str">
        <f t="shared" si="513"/>
        <v>METROPOLITANA</v>
      </c>
    </row>
    <row r="6013" spans="1:22" x14ac:dyDescent="0.2">
      <c r="A6013" s="11" t="s">
        <v>7303</v>
      </c>
      <c r="B6013" s="12" t="s">
        <v>33</v>
      </c>
      <c r="C6013" s="12" t="s">
        <v>29</v>
      </c>
      <c r="D6013" s="12" t="s">
        <v>38</v>
      </c>
      <c r="E6013" s="13" t="s">
        <v>42</v>
      </c>
      <c r="F6013" s="12" t="s">
        <v>39</v>
      </c>
      <c r="G6013" s="14">
        <f>10527+275</f>
        <v>10802</v>
      </c>
      <c r="H6013" s="12" t="s">
        <v>43</v>
      </c>
      <c r="I6013" s="12">
        <v>0</v>
      </c>
      <c r="J6013" s="12" t="s">
        <v>39</v>
      </c>
      <c r="K6013" s="12" t="s">
        <v>23</v>
      </c>
      <c r="L6013" s="12">
        <v>1</v>
      </c>
      <c r="M6013" s="15">
        <v>115797</v>
      </c>
      <c r="N6013" s="15">
        <v>0</v>
      </c>
      <c r="O6013" s="15">
        <f t="shared" si="514"/>
        <v>115797</v>
      </c>
      <c r="P6013" s="15">
        <f t="shared" si="515"/>
        <v>10.719959266802444</v>
      </c>
      <c r="Q6013" s="14">
        <v>5000</v>
      </c>
      <c r="R6013" s="12">
        <v>100</v>
      </c>
      <c r="S6013" s="12" t="s">
        <v>7315</v>
      </c>
      <c r="T6013" s="22">
        <f t="shared" si="511"/>
        <v>12</v>
      </c>
      <c r="U6013" s="22">
        <f t="shared" si="512"/>
        <v>2022</v>
      </c>
      <c r="V6013" s="22" t="str">
        <f t="shared" si="513"/>
        <v>METROPOLITANA</v>
      </c>
    </row>
    <row r="6014" spans="1:22" x14ac:dyDescent="0.2">
      <c r="A6014" s="11" t="s">
        <v>7303</v>
      </c>
      <c r="B6014" s="12" t="s">
        <v>33</v>
      </c>
      <c r="C6014" s="12" t="s">
        <v>29</v>
      </c>
      <c r="D6014" s="12" t="s">
        <v>45</v>
      </c>
      <c r="E6014" s="13" t="s">
        <v>49</v>
      </c>
      <c r="F6014" s="12" t="s">
        <v>134</v>
      </c>
      <c r="G6014" s="14">
        <v>7503.9999999999973</v>
      </c>
      <c r="H6014" s="12" t="s">
        <v>22</v>
      </c>
      <c r="I6014" s="12">
        <v>0</v>
      </c>
      <c r="J6014" s="12" t="s">
        <v>134</v>
      </c>
      <c r="K6014" s="12" t="s">
        <v>23</v>
      </c>
      <c r="L6014" s="12">
        <v>2</v>
      </c>
      <c r="M6014" s="15">
        <v>82544</v>
      </c>
      <c r="N6014" s="15">
        <v>0</v>
      </c>
      <c r="O6014" s="15">
        <f t="shared" si="514"/>
        <v>82544</v>
      </c>
      <c r="P6014" s="15">
        <f t="shared" si="515"/>
        <v>11.000000000000004</v>
      </c>
      <c r="Q6014" s="14">
        <v>5000</v>
      </c>
      <c r="R6014" s="12">
        <v>100</v>
      </c>
      <c r="S6014" s="12" t="s">
        <v>7305</v>
      </c>
      <c r="T6014" s="22">
        <f t="shared" si="511"/>
        <v>12</v>
      </c>
      <c r="U6014" s="22">
        <f t="shared" si="512"/>
        <v>2022</v>
      </c>
      <c r="V6014" s="22" t="str">
        <f t="shared" si="513"/>
        <v>METROPOLITANA</v>
      </c>
    </row>
    <row r="6015" spans="1:22" x14ac:dyDescent="0.2">
      <c r="A6015" s="11" t="s">
        <v>7303</v>
      </c>
      <c r="B6015" s="12" t="s">
        <v>33</v>
      </c>
      <c r="C6015" s="12" t="s">
        <v>29</v>
      </c>
      <c r="D6015" s="12" t="s">
        <v>47</v>
      </c>
      <c r="E6015" s="13" t="s">
        <v>49</v>
      </c>
      <c r="F6015" s="12" t="s">
        <v>134</v>
      </c>
      <c r="G6015" s="14">
        <v>8254.3999999999978</v>
      </c>
      <c r="H6015" s="12" t="s">
        <v>22</v>
      </c>
      <c r="I6015" s="12">
        <v>0</v>
      </c>
      <c r="J6015" s="12" t="s">
        <v>134</v>
      </c>
      <c r="K6015" s="12" t="s">
        <v>23</v>
      </c>
      <c r="L6015" s="12">
        <v>2</v>
      </c>
      <c r="M6015" s="15">
        <v>90798</v>
      </c>
      <c r="N6015" s="15">
        <v>0</v>
      </c>
      <c r="O6015" s="15">
        <f t="shared" si="514"/>
        <v>90798</v>
      </c>
      <c r="P6015" s="15">
        <f t="shared" si="515"/>
        <v>10.999951540996321</v>
      </c>
      <c r="Q6015" s="14">
        <v>5000</v>
      </c>
      <c r="R6015" s="12">
        <v>100</v>
      </c>
      <c r="S6015" s="12" t="s">
        <v>7306</v>
      </c>
      <c r="T6015" s="22">
        <f t="shared" si="511"/>
        <v>12</v>
      </c>
      <c r="U6015" s="22">
        <f t="shared" si="512"/>
        <v>2022</v>
      </c>
      <c r="V6015" s="22" t="str">
        <f t="shared" si="513"/>
        <v>METROPOLITANA</v>
      </c>
    </row>
    <row r="6016" spans="1:22" x14ac:dyDescent="0.2">
      <c r="A6016" s="11" t="s">
        <v>7303</v>
      </c>
      <c r="B6016" s="12" t="s">
        <v>33</v>
      </c>
      <c r="C6016" s="12" t="s">
        <v>29</v>
      </c>
      <c r="D6016" s="12" t="s">
        <v>164</v>
      </c>
      <c r="E6016" s="13" t="s">
        <v>1576</v>
      </c>
      <c r="F6016" s="12" t="s">
        <v>39</v>
      </c>
      <c r="G6016" s="14">
        <v>17436.839999999989</v>
      </c>
      <c r="H6016" s="12" t="s">
        <v>22</v>
      </c>
      <c r="I6016" s="12">
        <v>1</v>
      </c>
      <c r="J6016" s="12" t="s">
        <v>39</v>
      </c>
      <c r="K6016" s="12" t="s">
        <v>23</v>
      </c>
      <c r="L6016" s="12">
        <v>1</v>
      </c>
      <c r="M6016" s="15">
        <v>191805</v>
      </c>
      <c r="N6016" s="15">
        <v>0</v>
      </c>
      <c r="O6016" s="15">
        <f t="shared" si="514"/>
        <v>191805</v>
      </c>
      <c r="P6016" s="15">
        <f t="shared" si="515"/>
        <v>10.999986236038188</v>
      </c>
      <c r="Q6016" s="14">
        <v>5000</v>
      </c>
      <c r="R6016" s="12">
        <v>100</v>
      </c>
      <c r="S6016" s="12" t="s">
        <v>7307</v>
      </c>
      <c r="T6016" s="22">
        <f t="shared" si="511"/>
        <v>12</v>
      </c>
      <c r="U6016" s="22">
        <f t="shared" si="512"/>
        <v>2022</v>
      </c>
      <c r="V6016" s="22" t="str">
        <f t="shared" si="513"/>
        <v>METROPOLITANA</v>
      </c>
    </row>
    <row r="6017" spans="1:22" x14ac:dyDescent="0.2">
      <c r="A6017" s="11" t="s">
        <v>7303</v>
      </c>
      <c r="B6017" s="12" t="s">
        <v>33</v>
      </c>
      <c r="C6017" s="12" t="s">
        <v>7308</v>
      </c>
      <c r="D6017" s="12" t="s">
        <v>38</v>
      </c>
      <c r="E6017" s="13" t="s">
        <v>42</v>
      </c>
      <c r="F6017" s="12" t="s">
        <v>129</v>
      </c>
      <c r="G6017" s="14">
        <v>11403.8</v>
      </c>
      <c r="H6017" s="12" t="s">
        <v>43</v>
      </c>
      <c r="I6017" s="12">
        <v>0</v>
      </c>
      <c r="J6017" s="12" t="s">
        <v>129</v>
      </c>
      <c r="K6017" s="12" t="s">
        <v>23</v>
      </c>
      <c r="L6017" s="12">
        <v>1</v>
      </c>
      <c r="M6017" s="15">
        <v>125442</v>
      </c>
      <c r="N6017" s="15">
        <v>0</v>
      </c>
      <c r="O6017" s="15">
        <f t="shared" si="514"/>
        <v>125442</v>
      </c>
      <c r="P6017" s="15">
        <f t="shared" si="515"/>
        <v>11.000017538013646</v>
      </c>
      <c r="Q6017" s="14">
        <v>5000</v>
      </c>
      <c r="R6017" s="12">
        <v>100</v>
      </c>
      <c r="S6017" s="12" t="s">
        <v>7309</v>
      </c>
      <c r="T6017" s="22">
        <f t="shared" si="511"/>
        <v>12</v>
      </c>
      <c r="U6017" s="22">
        <f t="shared" si="512"/>
        <v>2022</v>
      </c>
      <c r="V6017" s="22" t="str">
        <f t="shared" si="513"/>
        <v>METROPOLITANA</v>
      </c>
    </row>
    <row r="6018" spans="1:22" x14ac:dyDescent="0.2">
      <c r="A6018" s="11" t="s">
        <v>7303</v>
      </c>
      <c r="B6018" s="12" t="s">
        <v>33</v>
      </c>
      <c r="C6018" s="12" t="s">
        <v>7308</v>
      </c>
      <c r="D6018" s="12" t="s">
        <v>37</v>
      </c>
      <c r="E6018" s="13" t="s">
        <v>40</v>
      </c>
      <c r="F6018" s="12" t="s">
        <v>129</v>
      </c>
      <c r="G6018" s="14">
        <v>11403.8</v>
      </c>
      <c r="H6018" s="12" t="s">
        <v>22</v>
      </c>
      <c r="I6018" s="12">
        <v>0</v>
      </c>
      <c r="J6018" s="12" t="s">
        <v>129</v>
      </c>
      <c r="K6018" s="12" t="s">
        <v>23</v>
      </c>
      <c r="L6018" s="12">
        <v>1</v>
      </c>
      <c r="M6018" s="15">
        <v>125442</v>
      </c>
      <c r="N6018" s="15">
        <v>0</v>
      </c>
      <c r="O6018" s="15">
        <f t="shared" si="514"/>
        <v>125442</v>
      </c>
      <c r="P6018" s="15">
        <f t="shared" si="515"/>
        <v>11.000017538013646</v>
      </c>
      <c r="Q6018" s="14">
        <v>5000</v>
      </c>
      <c r="R6018" s="12">
        <v>100</v>
      </c>
      <c r="S6018" s="12" t="s">
        <v>7310</v>
      </c>
      <c r="T6018" s="22">
        <f t="shared" si="511"/>
        <v>12</v>
      </c>
      <c r="U6018" s="22">
        <f t="shared" si="512"/>
        <v>2022</v>
      </c>
      <c r="V6018" s="22" t="str">
        <f t="shared" si="513"/>
        <v>METROPOLITANA</v>
      </c>
    </row>
    <row r="6019" spans="1:22" x14ac:dyDescent="0.2">
      <c r="A6019" s="11" t="s">
        <v>7303</v>
      </c>
      <c r="B6019" s="12" t="s">
        <v>33</v>
      </c>
      <c r="C6019" s="12" t="s">
        <v>7308</v>
      </c>
      <c r="D6019" s="12" t="s">
        <v>41</v>
      </c>
      <c r="E6019" s="13" t="s">
        <v>25</v>
      </c>
      <c r="F6019" s="12" t="s">
        <v>129</v>
      </c>
      <c r="G6019" s="14">
        <v>11306.9</v>
      </c>
      <c r="H6019" s="12" t="s">
        <v>43</v>
      </c>
      <c r="I6019" s="12">
        <v>0</v>
      </c>
      <c r="J6019" s="12" t="s">
        <v>129</v>
      </c>
      <c r="K6019" s="12" t="s">
        <v>23</v>
      </c>
      <c r="L6019" s="12">
        <v>1</v>
      </c>
      <c r="M6019" s="15">
        <v>124376</v>
      </c>
      <c r="N6019" s="15">
        <v>0</v>
      </c>
      <c r="O6019" s="15">
        <f t="shared" si="514"/>
        <v>124376</v>
      </c>
      <c r="P6019" s="15">
        <f t="shared" si="515"/>
        <v>11.000008844157108</v>
      </c>
      <c r="Q6019" s="14">
        <v>5000</v>
      </c>
      <c r="R6019" s="12">
        <v>100</v>
      </c>
      <c r="S6019" s="12" t="s">
        <v>7311</v>
      </c>
      <c r="T6019" s="22">
        <f t="shared" si="511"/>
        <v>12</v>
      </c>
      <c r="U6019" s="22">
        <f t="shared" si="512"/>
        <v>2022</v>
      </c>
      <c r="V6019" s="22" t="str">
        <f t="shared" si="513"/>
        <v>METROPOLITANA</v>
      </c>
    </row>
    <row r="6020" spans="1:22" x14ac:dyDescent="0.2">
      <c r="A6020" s="11" t="s">
        <v>7303</v>
      </c>
      <c r="B6020" s="12" t="s">
        <v>33</v>
      </c>
      <c r="C6020" s="12" t="s">
        <v>44</v>
      </c>
      <c r="D6020" s="12" t="s">
        <v>20</v>
      </c>
      <c r="E6020" s="13" t="s">
        <v>21</v>
      </c>
      <c r="F6020" s="12" t="s">
        <v>182</v>
      </c>
      <c r="G6020" s="14">
        <v>3283.18</v>
      </c>
      <c r="H6020" s="12" t="s">
        <v>22</v>
      </c>
      <c r="I6020" s="12">
        <v>0</v>
      </c>
      <c r="J6020" s="12" t="s">
        <v>182</v>
      </c>
      <c r="K6020" s="12" t="s">
        <v>23</v>
      </c>
      <c r="L6020" s="12">
        <v>4</v>
      </c>
      <c r="M6020" s="15">
        <v>55000</v>
      </c>
      <c r="N6020" s="15">
        <v>0</v>
      </c>
      <c r="O6020" s="15">
        <f t="shared" si="514"/>
        <v>55000</v>
      </c>
      <c r="P6020" s="15">
        <f t="shared" si="515"/>
        <v>16.752051364835314</v>
      </c>
      <c r="Q6020" s="14">
        <v>5000</v>
      </c>
      <c r="R6020" s="12">
        <v>66</v>
      </c>
      <c r="S6020" s="12" t="s">
        <v>7312</v>
      </c>
      <c r="T6020" s="22">
        <f t="shared" si="511"/>
        <v>12</v>
      </c>
      <c r="U6020" s="22">
        <f t="shared" si="512"/>
        <v>2022</v>
      </c>
      <c r="V6020" s="22" t="str">
        <f t="shared" si="513"/>
        <v>METROPOLITANA</v>
      </c>
    </row>
    <row r="6021" spans="1:22" x14ac:dyDescent="0.2">
      <c r="A6021" s="11" t="s">
        <v>7303</v>
      </c>
      <c r="B6021" s="12" t="s">
        <v>33</v>
      </c>
      <c r="C6021" s="12" t="s">
        <v>4802</v>
      </c>
      <c r="D6021" s="12" t="s">
        <v>1869</v>
      </c>
      <c r="E6021" s="13" t="s">
        <v>1870</v>
      </c>
      <c r="F6021" s="12" t="s">
        <v>815</v>
      </c>
      <c r="G6021" s="14">
        <v>17680</v>
      </c>
      <c r="H6021" s="12" t="s">
        <v>24</v>
      </c>
      <c r="I6021" s="12">
        <v>1</v>
      </c>
      <c r="J6021" s="12" t="s">
        <v>815</v>
      </c>
      <c r="K6021" s="12" t="s">
        <v>75</v>
      </c>
      <c r="L6021" s="12">
        <v>0</v>
      </c>
      <c r="M6021" s="15">
        <v>528000</v>
      </c>
      <c r="N6021" s="15">
        <v>0</v>
      </c>
      <c r="O6021" s="15">
        <f t="shared" si="514"/>
        <v>528000</v>
      </c>
      <c r="P6021" s="15">
        <f t="shared" si="515"/>
        <v>29.864253393665159</v>
      </c>
      <c r="Q6021" s="14">
        <v>20000</v>
      </c>
      <c r="R6021" s="12">
        <v>88</v>
      </c>
      <c r="S6021" s="12" t="s">
        <v>7313</v>
      </c>
      <c r="T6021" s="22">
        <f t="shared" si="511"/>
        <v>12</v>
      </c>
      <c r="U6021" s="22">
        <f t="shared" si="512"/>
        <v>2022</v>
      </c>
      <c r="V6021" s="22" t="str">
        <f t="shared" si="513"/>
        <v>REGIONES</v>
      </c>
    </row>
    <row r="6022" spans="1:22" x14ac:dyDescent="0.2">
      <c r="A6022" s="23" t="s">
        <v>7316</v>
      </c>
      <c r="B6022" s="22" t="s">
        <v>33</v>
      </c>
      <c r="C6022" s="22" t="s">
        <v>128</v>
      </c>
      <c r="D6022" s="22" t="s">
        <v>38</v>
      </c>
      <c r="E6022" s="24" t="s">
        <v>42</v>
      </c>
      <c r="F6022" s="22" t="s">
        <v>34</v>
      </c>
      <c r="G6022" s="25">
        <v>8690.4200000000019</v>
      </c>
      <c r="H6022" s="22" t="s">
        <v>43</v>
      </c>
      <c r="I6022" s="22">
        <v>0</v>
      </c>
      <c r="J6022" s="22" t="s">
        <v>34</v>
      </c>
      <c r="K6022" s="22" t="s">
        <v>23</v>
      </c>
      <c r="L6022" s="22">
        <v>1</v>
      </c>
      <c r="M6022" s="26">
        <v>95595</v>
      </c>
      <c r="N6022" s="26">
        <v>0</v>
      </c>
      <c r="O6022" s="15">
        <f t="shared" si="514"/>
        <v>95595</v>
      </c>
      <c r="P6022" s="15">
        <f t="shared" si="515"/>
        <v>11.000043726310118</v>
      </c>
      <c r="Q6022" s="25">
        <v>5000</v>
      </c>
      <c r="R6022" s="22">
        <v>100</v>
      </c>
      <c r="S6022" s="22" t="s">
        <v>7317</v>
      </c>
      <c r="T6022" s="22">
        <f t="shared" si="511"/>
        <v>12</v>
      </c>
      <c r="U6022" s="22">
        <f t="shared" si="512"/>
        <v>2022</v>
      </c>
      <c r="V6022" s="22" t="str">
        <f t="shared" si="513"/>
        <v>METROPOLITANA</v>
      </c>
    </row>
    <row r="6023" spans="1:22" x14ac:dyDescent="0.2">
      <c r="A6023" s="23" t="s">
        <v>7316</v>
      </c>
      <c r="B6023" s="22" t="s">
        <v>33</v>
      </c>
      <c r="C6023" s="22" t="s">
        <v>128</v>
      </c>
      <c r="D6023" s="22" t="s">
        <v>20</v>
      </c>
      <c r="E6023" s="24" t="s">
        <v>21</v>
      </c>
      <c r="F6023" s="22" t="s">
        <v>34</v>
      </c>
      <c r="G6023" s="25">
        <v>5126.92</v>
      </c>
      <c r="H6023" s="22" t="s">
        <v>22</v>
      </c>
      <c r="I6023" s="22">
        <v>0</v>
      </c>
      <c r="J6023" s="22" t="s">
        <v>34</v>
      </c>
      <c r="K6023" s="22" t="s">
        <v>23</v>
      </c>
      <c r="L6023" s="22">
        <v>1</v>
      </c>
      <c r="M6023" s="26">
        <v>56396</v>
      </c>
      <c r="N6023" s="26">
        <v>0</v>
      </c>
      <c r="O6023" s="15">
        <f t="shared" si="514"/>
        <v>56396</v>
      </c>
      <c r="P6023" s="15">
        <f t="shared" si="515"/>
        <v>10.999976594134489</v>
      </c>
      <c r="Q6023" s="25">
        <v>5000</v>
      </c>
      <c r="R6023" s="22">
        <v>100</v>
      </c>
      <c r="S6023" s="22" t="s">
        <v>7318</v>
      </c>
      <c r="T6023" s="22">
        <f t="shared" ref="T6023:T6086" si="516">MONTH(A6023)</f>
        <v>12</v>
      </c>
      <c r="U6023" s="22">
        <f t="shared" ref="U6023:U6086" si="517">YEAR(A6023)</f>
        <v>2022</v>
      </c>
      <c r="V6023" s="22" t="str">
        <f t="shared" ref="V6023:V6086" si="518">IF(K6023="METROPOLITANA DE SANTIAGO","METROPOLITANA","REGIONES")</f>
        <v>METROPOLITANA</v>
      </c>
    </row>
    <row r="6024" spans="1:22" x14ac:dyDescent="0.2">
      <c r="A6024" s="23" t="s">
        <v>7316</v>
      </c>
      <c r="B6024" s="22" t="s">
        <v>33</v>
      </c>
      <c r="C6024" s="22" t="s">
        <v>7228</v>
      </c>
      <c r="D6024" s="22" t="s">
        <v>37</v>
      </c>
      <c r="E6024" s="24" t="s">
        <v>40</v>
      </c>
      <c r="F6024" s="22" t="s">
        <v>129</v>
      </c>
      <c r="G6024" s="25">
        <v>5309</v>
      </c>
      <c r="H6024" s="22" t="s">
        <v>22</v>
      </c>
      <c r="I6024" s="22">
        <v>0</v>
      </c>
      <c r="J6024" s="22" t="s">
        <v>129</v>
      </c>
      <c r="K6024" s="22" t="s">
        <v>23</v>
      </c>
      <c r="L6024" s="22">
        <v>1</v>
      </c>
      <c r="M6024" s="26">
        <v>58399</v>
      </c>
      <c r="N6024" s="26">
        <v>0</v>
      </c>
      <c r="O6024" s="15">
        <f t="shared" si="514"/>
        <v>58399</v>
      </c>
      <c r="P6024" s="15">
        <f t="shared" si="515"/>
        <v>11</v>
      </c>
      <c r="Q6024" s="25">
        <v>5000</v>
      </c>
      <c r="R6024" s="22">
        <v>100</v>
      </c>
      <c r="S6024" s="22" t="s">
        <v>7319</v>
      </c>
      <c r="T6024" s="22">
        <f t="shared" si="516"/>
        <v>12</v>
      </c>
      <c r="U6024" s="22">
        <f t="shared" si="517"/>
        <v>2022</v>
      </c>
      <c r="V6024" s="22" t="str">
        <f t="shared" si="518"/>
        <v>METROPOLITANA</v>
      </c>
    </row>
    <row r="6025" spans="1:22" x14ac:dyDescent="0.2">
      <c r="A6025" s="23" t="s">
        <v>7316</v>
      </c>
      <c r="B6025" s="22" t="s">
        <v>33</v>
      </c>
      <c r="C6025" s="22" t="s">
        <v>29</v>
      </c>
      <c r="D6025" s="22" t="s">
        <v>41</v>
      </c>
      <c r="E6025" s="24" t="s">
        <v>25</v>
      </c>
      <c r="F6025" s="22" t="s">
        <v>39</v>
      </c>
      <c r="G6025" s="25">
        <v>8391</v>
      </c>
      <c r="H6025" s="22" t="s">
        <v>43</v>
      </c>
      <c r="I6025" s="22">
        <v>0</v>
      </c>
      <c r="J6025" s="22" t="s">
        <v>39</v>
      </c>
      <c r="K6025" s="22" t="s">
        <v>23</v>
      </c>
      <c r="L6025" s="22">
        <v>1</v>
      </c>
      <c r="M6025" s="26">
        <v>92301</v>
      </c>
      <c r="N6025" s="26">
        <v>0</v>
      </c>
      <c r="O6025" s="15">
        <f t="shared" si="514"/>
        <v>92301</v>
      </c>
      <c r="P6025" s="15">
        <f t="shared" si="515"/>
        <v>11</v>
      </c>
      <c r="Q6025" s="25">
        <v>5000</v>
      </c>
      <c r="R6025" s="22">
        <v>100</v>
      </c>
      <c r="S6025" s="22" t="s">
        <v>7320</v>
      </c>
      <c r="T6025" s="22">
        <f t="shared" si="516"/>
        <v>12</v>
      </c>
      <c r="U6025" s="22">
        <f t="shared" si="517"/>
        <v>2022</v>
      </c>
      <c r="V6025" s="22" t="str">
        <f t="shared" si="518"/>
        <v>METROPOLITANA</v>
      </c>
    </row>
    <row r="6026" spans="1:22" x14ac:dyDescent="0.2">
      <c r="A6026" s="23" t="s">
        <v>7316</v>
      </c>
      <c r="B6026" s="22" t="s">
        <v>33</v>
      </c>
      <c r="C6026" s="22" t="s">
        <v>29</v>
      </c>
      <c r="D6026" s="22" t="s">
        <v>164</v>
      </c>
      <c r="E6026" s="24" t="s">
        <v>1576</v>
      </c>
      <c r="F6026" s="22" t="s">
        <v>39</v>
      </c>
      <c r="G6026" s="25">
        <v>13223.79</v>
      </c>
      <c r="H6026" s="22" t="s">
        <v>22</v>
      </c>
      <c r="I6026" s="22">
        <v>1</v>
      </c>
      <c r="J6026" s="22" t="s">
        <v>39</v>
      </c>
      <c r="K6026" s="22" t="s">
        <v>23</v>
      </c>
      <c r="L6026" s="22">
        <v>1</v>
      </c>
      <c r="M6026" s="26">
        <v>145462</v>
      </c>
      <c r="N6026" s="26">
        <v>0</v>
      </c>
      <c r="O6026" s="15">
        <f t="shared" si="514"/>
        <v>145462</v>
      </c>
      <c r="P6026" s="15">
        <f t="shared" si="515"/>
        <v>11.000023442598527</v>
      </c>
      <c r="Q6026" s="25">
        <v>5000</v>
      </c>
      <c r="R6026" s="22">
        <v>100</v>
      </c>
      <c r="S6026" s="22" t="s">
        <v>7321</v>
      </c>
      <c r="T6026" s="22">
        <f t="shared" si="516"/>
        <v>12</v>
      </c>
      <c r="U6026" s="22">
        <f t="shared" si="517"/>
        <v>2022</v>
      </c>
      <c r="V6026" s="22" t="str">
        <f t="shared" si="518"/>
        <v>METROPOLITANA</v>
      </c>
    </row>
    <row r="6027" spans="1:22" x14ac:dyDescent="0.2">
      <c r="A6027" s="23" t="s">
        <v>7316</v>
      </c>
      <c r="B6027" s="22" t="s">
        <v>33</v>
      </c>
      <c r="C6027" s="22" t="s">
        <v>29</v>
      </c>
      <c r="D6027" s="22" t="s">
        <v>20</v>
      </c>
      <c r="E6027" s="24" t="s">
        <v>21</v>
      </c>
      <c r="F6027" s="22" t="s">
        <v>134</v>
      </c>
      <c r="G6027" s="25">
        <f>5229.27+801</f>
        <v>6030.27</v>
      </c>
      <c r="H6027" s="22" t="s">
        <v>22</v>
      </c>
      <c r="I6027" s="22">
        <v>0</v>
      </c>
      <c r="J6027" s="22" t="s">
        <v>134</v>
      </c>
      <c r="K6027" s="22" t="s">
        <v>23</v>
      </c>
      <c r="L6027" s="22">
        <v>2</v>
      </c>
      <c r="M6027" s="26">
        <v>57522</v>
      </c>
      <c r="N6027" s="26">
        <v>0</v>
      </c>
      <c r="O6027" s="15">
        <f t="shared" si="514"/>
        <v>57522</v>
      </c>
      <c r="P6027" s="15">
        <f t="shared" si="515"/>
        <v>9.5388763687198086</v>
      </c>
      <c r="Q6027" s="25">
        <v>5000</v>
      </c>
      <c r="R6027" s="22">
        <v>100</v>
      </c>
      <c r="S6027" s="22" t="s">
        <v>7325</v>
      </c>
      <c r="T6027" s="22">
        <f t="shared" si="516"/>
        <v>12</v>
      </c>
      <c r="U6027" s="22">
        <f t="shared" si="517"/>
        <v>2022</v>
      </c>
      <c r="V6027" s="22" t="str">
        <f t="shared" si="518"/>
        <v>METROPOLITANA</v>
      </c>
    </row>
    <row r="6028" spans="1:22" x14ac:dyDescent="0.2">
      <c r="A6028" s="23" t="s">
        <v>7316</v>
      </c>
      <c r="B6028" s="22" t="s">
        <v>33</v>
      </c>
      <c r="C6028" s="22" t="s">
        <v>44</v>
      </c>
      <c r="D6028" s="22" t="s">
        <v>37</v>
      </c>
      <c r="E6028" s="24" t="s">
        <v>40</v>
      </c>
      <c r="F6028" s="22" t="s">
        <v>51</v>
      </c>
      <c r="G6028" s="25">
        <v>3190.6800000000012</v>
      </c>
      <c r="H6028" s="22" t="s">
        <v>22</v>
      </c>
      <c r="I6028" s="22">
        <v>0</v>
      </c>
      <c r="J6028" s="22" t="s">
        <v>51</v>
      </c>
      <c r="K6028" s="22" t="s">
        <v>23</v>
      </c>
      <c r="L6028" s="22">
        <v>4</v>
      </c>
      <c r="M6028" s="26">
        <v>55000</v>
      </c>
      <c r="N6028" s="26">
        <v>0</v>
      </c>
      <c r="O6028" s="15">
        <f t="shared" si="514"/>
        <v>55000</v>
      </c>
      <c r="P6028" s="15">
        <f t="shared" si="515"/>
        <v>17.23770481527448</v>
      </c>
      <c r="Q6028" s="25">
        <v>5000</v>
      </c>
      <c r="R6028" s="22">
        <v>64</v>
      </c>
      <c r="S6028" s="22" t="s">
        <v>7322</v>
      </c>
      <c r="T6028" s="22">
        <f t="shared" si="516"/>
        <v>12</v>
      </c>
      <c r="U6028" s="22">
        <f t="shared" si="517"/>
        <v>2022</v>
      </c>
      <c r="V6028" s="22" t="str">
        <f t="shared" si="518"/>
        <v>METROPOLITANA</v>
      </c>
    </row>
    <row r="6029" spans="1:22" x14ac:dyDescent="0.2">
      <c r="A6029" s="23" t="s">
        <v>7316</v>
      </c>
      <c r="B6029" s="22" t="s">
        <v>33</v>
      </c>
      <c r="C6029" s="22" t="s">
        <v>44</v>
      </c>
      <c r="D6029" s="22" t="s">
        <v>45</v>
      </c>
      <c r="E6029" s="24" t="s">
        <v>52</v>
      </c>
      <c r="F6029" s="22" t="s">
        <v>26</v>
      </c>
      <c r="G6029" s="25">
        <v>3201.2000000000012</v>
      </c>
      <c r="H6029" s="22" t="s">
        <v>22</v>
      </c>
      <c r="I6029" s="22">
        <v>0</v>
      </c>
      <c r="J6029" s="22" t="s">
        <v>26</v>
      </c>
      <c r="K6029" s="22" t="s">
        <v>23</v>
      </c>
      <c r="L6029" s="22">
        <v>4</v>
      </c>
      <c r="M6029" s="26">
        <v>55000</v>
      </c>
      <c r="N6029" s="26">
        <v>0</v>
      </c>
      <c r="O6029" s="15">
        <f t="shared" si="514"/>
        <v>55000</v>
      </c>
      <c r="P6029" s="15">
        <f t="shared" si="515"/>
        <v>17.181057103586149</v>
      </c>
      <c r="Q6029" s="25">
        <v>5000</v>
      </c>
      <c r="R6029" s="22">
        <v>64</v>
      </c>
      <c r="S6029" s="22" t="s">
        <v>7323</v>
      </c>
      <c r="T6029" s="22">
        <f t="shared" si="516"/>
        <v>12</v>
      </c>
      <c r="U6029" s="22">
        <f t="shared" si="517"/>
        <v>2022</v>
      </c>
      <c r="V6029" s="22" t="str">
        <f t="shared" si="518"/>
        <v>METROPOLITANA</v>
      </c>
    </row>
    <row r="6030" spans="1:22" x14ac:dyDescent="0.2">
      <c r="A6030" s="23" t="s">
        <v>7316</v>
      </c>
      <c r="B6030" s="22" t="s">
        <v>33</v>
      </c>
      <c r="C6030" s="22" t="s">
        <v>44</v>
      </c>
      <c r="D6030" s="22" t="s">
        <v>47</v>
      </c>
      <c r="E6030" s="24" t="s">
        <v>49</v>
      </c>
      <c r="F6030" s="22" t="s">
        <v>48</v>
      </c>
      <c r="G6030" s="25">
        <v>6719.4999999999991</v>
      </c>
      <c r="H6030" s="22" t="s">
        <v>22</v>
      </c>
      <c r="I6030" s="22">
        <v>0</v>
      </c>
      <c r="J6030" s="22" t="s">
        <v>48</v>
      </c>
      <c r="K6030" s="22" t="s">
        <v>23</v>
      </c>
      <c r="L6030" s="22">
        <v>1</v>
      </c>
      <c r="M6030" s="26">
        <v>73914</v>
      </c>
      <c r="N6030" s="26">
        <v>0</v>
      </c>
      <c r="O6030" s="15">
        <f t="shared" si="514"/>
        <v>73914</v>
      </c>
      <c r="P6030" s="15">
        <f t="shared" si="515"/>
        <v>10.999925589701617</v>
      </c>
      <c r="Q6030" s="25">
        <v>5000</v>
      </c>
      <c r="R6030" s="22">
        <v>100</v>
      </c>
      <c r="S6030" s="22" t="s">
        <v>7324</v>
      </c>
      <c r="T6030" s="22">
        <f t="shared" si="516"/>
        <v>12</v>
      </c>
      <c r="U6030" s="22">
        <f t="shared" si="517"/>
        <v>2022</v>
      </c>
      <c r="V6030" s="22" t="str">
        <f t="shared" si="518"/>
        <v>METROPOLITANA</v>
      </c>
    </row>
    <row r="6031" spans="1:22" x14ac:dyDescent="0.2">
      <c r="A6031" s="11" t="s">
        <v>7326</v>
      </c>
      <c r="B6031" s="12" t="s">
        <v>33</v>
      </c>
      <c r="C6031" s="12" t="s">
        <v>909</v>
      </c>
      <c r="D6031" s="12" t="s">
        <v>2955</v>
      </c>
      <c r="E6031" s="13">
        <v>65941082</v>
      </c>
      <c r="F6031" s="12" t="s">
        <v>910</v>
      </c>
      <c r="G6031" s="14">
        <v>20903.80000000001</v>
      </c>
      <c r="H6031" s="12" t="s">
        <v>24</v>
      </c>
      <c r="I6031" s="12">
        <v>1</v>
      </c>
      <c r="J6031" s="12" t="s">
        <v>910</v>
      </c>
      <c r="K6031" s="12" t="s">
        <v>171</v>
      </c>
      <c r="L6031" s="12">
        <v>0</v>
      </c>
      <c r="M6031" s="15">
        <v>290000</v>
      </c>
      <c r="N6031" s="15">
        <v>0</v>
      </c>
      <c r="O6031" s="15">
        <f t="shared" si="514"/>
        <v>290000</v>
      </c>
      <c r="P6031" s="15">
        <f t="shared" si="515"/>
        <v>13.873075708722808</v>
      </c>
      <c r="Q6031" s="14">
        <v>20000</v>
      </c>
      <c r="R6031" s="12">
        <v>100</v>
      </c>
      <c r="S6031" s="12" t="s">
        <v>7327</v>
      </c>
      <c r="T6031" s="22">
        <f t="shared" si="516"/>
        <v>12</v>
      </c>
      <c r="U6031" s="22">
        <f t="shared" si="517"/>
        <v>2022</v>
      </c>
      <c r="V6031" s="22" t="str">
        <f t="shared" si="518"/>
        <v>REGIONES</v>
      </c>
    </row>
    <row r="6032" spans="1:22" x14ac:dyDescent="0.2">
      <c r="A6032" s="11" t="s">
        <v>7326</v>
      </c>
      <c r="B6032" s="12" t="s">
        <v>33</v>
      </c>
      <c r="C6032" s="12" t="s">
        <v>29</v>
      </c>
      <c r="D6032" s="12" t="s">
        <v>7328</v>
      </c>
      <c r="E6032" s="13">
        <v>101327930</v>
      </c>
      <c r="F6032" s="12" t="s">
        <v>114</v>
      </c>
      <c r="G6032" s="14">
        <f>3572.4+4672</f>
        <v>8244.4</v>
      </c>
      <c r="H6032" s="12" t="s">
        <v>24</v>
      </c>
      <c r="I6032" s="12">
        <v>1</v>
      </c>
      <c r="J6032" s="12" t="s">
        <v>114</v>
      </c>
      <c r="K6032" s="12" t="s">
        <v>75</v>
      </c>
      <c r="L6032" s="12">
        <v>0</v>
      </c>
      <c r="M6032" s="15">
        <v>528000</v>
      </c>
      <c r="N6032" s="15">
        <v>0</v>
      </c>
      <c r="O6032" s="15">
        <f t="shared" si="514"/>
        <v>528000</v>
      </c>
      <c r="P6032" s="15">
        <f t="shared" si="515"/>
        <v>64.043471932463248</v>
      </c>
      <c r="Q6032" s="14">
        <v>20000</v>
      </c>
      <c r="R6032" s="12">
        <v>60</v>
      </c>
      <c r="S6032" s="12" t="s">
        <v>7334</v>
      </c>
      <c r="T6032" s="22">
        <f t="shared" si="516"/>
        <v>12</v>
      </c>
      <c r="U6032" s="22">
        <f t="shared" si="517"/>
        <v>2022</v>
      </c>
      <c r="V6032" s="22" t="str">
        <f t="shared" si="518"/>
        <v>REGIONES</v>
      </c>
    </row>
    <row r="6033" spans="1:22" x14ac:dyDescent="0.2">
      <c r="A6033" s="11" t="s">
        <v>7326</v>
      </c>
      <c r="B6033" s="12" t="s">
        <v>33</v>
      </c>
      <c r="C6033" s="12" t="s">
        <v>29</v>
      </c>
      <c r="D6033" s="12" t="s">
        <v>47</v>
      </c>
      <c r="E6033" s="13">
        <v>107643206</v>
      </c>
      <c r="F6033" s="12" t="s">
        <v>129</v>
      </c>
      <c r="G6033" s="14">
        <v>5723.46</v>
      </c>
      <c r="H6033" s="12" t="s">
        <v>22</v>
      </c>
      <c r="I6033" s="12">
        <v>0</v>
      </c>
      <c r="J6033" s="12" t="s">
        <v>129</v>
      </c>
      <c r="K6033" s="12" t="s">
        <v>23</v>
      </c>
      <c r="L6033" s="12">
        <v>1</v>
      </c>
      <c r="M6033" s="15">
        <v>62958</v>
      </c>
      <c r="N6033" s="15">
        <v>0</v>
      </c>
      <c r="O6033" s="15">
        <f t="shared" si="514"/>
        <v>62958</v>
      </c>
      <c r="P6033" s="15">
        <f t="shared" si="515"/>
        <v>10.999989516830729</v>
      </c>
      <c r="Q6033" s="14">
        <v>5000</v>
      </c>
      <c r="R6033" s="12">
        <v>100</v>
      </c>
      <c r="S6033" s="12" t="s">
        <v>7329</v>
      </c>
      <c r="T6033" s="22">
        <f t="shared" si="516"/>
        <v>12</v>
      </c>
      <c r="U6033" s="22">
        <f t="shared" si="517"/>
        <v>2022</v>
      </c>
      <c r="V6033" s="22" t="str">
        <f t="shared" si="518"/>
        <v>METROPOLITANA</v>
      </c>
    </row>
    <row r="6034" spans="1:22" x14ac:dyDescent="0.2">
      <c r="A6034" s="11" t="s">
        <v>7326</v>
      </c>
      <c r="B6034" s="12" t="s">
        <v>33</v>
      </c>
      <c r="C6034" s="12" t="s">
        <v>29</v>
      </c>
      <c r="D6034" s="12" t="s">
        <v>41</v>
      </c>
      <c r="E6034" s="13">
        <v>125108660</v>
      </c>
      <c r="F6034" s="12" t="s">
        <v>39</v>
      </c>
      <c r="G6034" s="14">
        <v>9771.93</v>
      </c>
      <c r="H6034" s="12" t="s">
        <v>43</v>
      </c>
      <c r="I6034" s="12">
        <v>0</v>
      </c>
      <c r="J6034" s="12" t="s">
        <v>39</v>
      </c>
      <c r="K6034" s="12" t="s">
        <v>23</v>
      </c>
      <c r="L6034" s="12">
        <v>1</v>
      </c>
      <c r="M6034" s="15">
        <v>107491</v>
      </c>
      <c r="N6034" s="15">
        <v>0</v>
      </c>
      <c r="O6034" s="15">
        <f t="shared" si="514"/>
        <v>107491</v>
      </c>
      <c r="P6034" s="15">
        <f t="shared" si="515"/>
        <v>10.999976463196113</v>
      </c>
      <c r="Q6034" s="14">
        <v>5000</v>
      </c>
      <c r="R6034" s="12">
        <v>100</v>
      </c>
      <c r="S6034" s="12" t="s">
        <v>7330</v>
      </c>
      <c r="T6034" s="22">
        <f t="shared" si="516"/>
        <v>12</v>
      </c>
      <c r="U6034" s="22">
        <f t="shared" si="517"/>
        <v>2022</v>
      </c>
      <c r="V6034" s="22" t="str">
        <f t="shared" si="518"/>
        <v>METROPOLITANA</v>
      </c>
    </row>
    <row r="6035" spans="1:22" x14ac:dyDescent="0.2">
      <c r="A6035" s="11" t="s">
        <v>7326</v>
      </c>
      <c r="B6035" s="12" t="s">
        <v>33</v>
      </c>
      <c r="C6035" s="12" t="s">
        <v>29</v>
      </c>
      <c r="D6035" s="12" t="s">
        <v>164</v>
      </c>
      <c r="E6035" s="13">
        <v>154837728</v>
      </c>
      <c r="F6035" s="12" t="s">
        <v>39</v>
      </c>
      <c r="G6035" s="14">
        <v>11186.04</v>
      </c>
      <c r="H6035" s="12" t="s">
        <v>22</v>
      </c>
      <c r="I6035" s="12">
        <v>1</v>
      </c>
      <c r="J6035" s="12" t="s">
        <v>39</v>
      </c>
      <c r="K6035" s="12" t="s">
        <v>23</v>
      </c>
      <c r="L6035" s="12">
        <v>1</v>
      </c>
      <c r="M6035" s="15">
        <v>123046</v>
      </c>
      <c r="N6035" s="15">
        <v>0</v>
      </c>
      <c r="O6035" s="15">
        <f t="shared" ref="O6035:O6073" si="519">SUM(M6035:N6035)</f>
        <v>123046</v>
      </c>
      <c r="P6035" s="15">
        <f t="shared" si="515"/>
        <v>10.999960665257767</v>
      </c>
      <c r="Q6035" s="14">
        <v>5000</v>
      </c>
      <c r="R6035" s="12">
        <v>100</v>
      </c>
      <c r="S6035" s="12" t="s">
        <v>7331</v>
      </c>
      <c r="T6035" s="22">
        <f t="shared" si="516"/>
        <v>12</v>
      </c>
      <c r="U6035" s="22">
        <f t="shared" si="517"/>
        <v>2022</v>
      </c>
      <c r="V6035" s="22" t="str">
        <f t="shared" si="518"/>
        <v>METROPOLITANA</v>
      </c>
    </row>
    <row r="6036" spans="1:22" x14ac:dyDescent="0.2">
      <c r="A6036" s="11" t="s">
        <v>7326</v>
      </c>
      <c r="B6036" s="12" t="s">
        <v>33</v>
      </c>
      <c r="C6036" s="12" t="s">
        <v>29</v>
      </c>
      <c r="D6036" s="12" t="s">
        <v>20</v>
      </c>
      <c r="E6036" s="13">
        <v>78907355</v>
      </c>
      <c r="F6036" s="12" t="s">
        <v>173</v>
      </c>
      <c r="G6036" s="14">
        <v>6771.2</v>
      </c>
      <c r="H6036" s="12" t="s">
        <v>22</v>
      </c>
      <c r="I6036" s="12">
        <v>0</v>
      </c>
      <c r="J6036" s="12" t="s">
        <v>173</v>
      </c>
      <c r="K6036" s="12" t="s">
        <v>23</v>
      </c>
      <c r="L6036" s="12">
        <v>5</v>
      </c>
      <c r="M6036" s="15">
        <v>112500</v>
      </c>
      <c r="N6036" s="15">
        <v>0</v>
      </c>
      <c r="O6036" s="15">
        <f t="shared" si="519"/>
        <v>112500</v>
      </c>
      <c r="P6036" s="15">
        <f t="shared" si="515"/>
        <v>16.614484877126653</v>
      </c>
      <c r="Q6036" s="14">
        <v>10000</v>
      </c>
      <c r="R6036" s="12">
        <v>68</v>
      </c>
      <c r="S6036" s="12" t="s">
        <v>7332</v>
      </c>
      <c r="T6036" s="22">
        <f t="shared" si="516"/>
        <v>12</v>
      </c>
      <c r="U6036" s="22">
        <f t="shared" si="517"/>
        <v>2022</v>
      </c>
      <c r="V6036" s="22" t="str">
        <f t="shared" si="518"/>
        <v>METROPOLITANA</v>
      </c>
    </row>
    <row r="6037" spans="1:22" x14ac:dyDescent="0.2">
      <c r="A6037" s="11" t="s">
        <v>7326</v>
      </c>
      <c r="B6037" s="12" t="s">
        <v>33</v>
      </c>
      <c r="C6037" s="12" t="s">
        <v>29</v>
      </c>
      <c r="D6037" s="12" t="s">
        <v>20</v>
      </c>
      <c r="E6037" s="13">
        <v>78907355</v>
      </c>
      <c r="F6037" s="12" t="s">
        <v>134</v>
      </c>
      <c r="G6037" s="14">
        <v>6211.7999999999984</v>
      </c>
      <c r="H6037" s="12" t="s">
        <v>22</v>
      </c>
      <c r="I6037" s="12">
        <v>0</v>
      </c>
      <c r="J6037" s="12" t="s">
        <v>134</v>
      </c>
      <c r="K6037" s="12" t="s">
        <v>23</v>
      </c>
      <c r="L6037" s="12">
        <v>2</v>
      </c>
      <c r="M6037" s="15">
        <v>68330</v>
      </c>
      <c r="N6037" s="15">
        <v>0</v>
      </c>
      <c r="O6037" s="15">
        <f t="shared" si="519"/>
        <v>68330</v>
      </c>
      <c r="P6037" s="15">
        <f t="shared" si="515"/>
        <v>11.000032196786764</v>
      </c>
      <c r="Q6037" s="14">
        <v>5000</v>
      </c>
      <c r="R6037" s="12">
        <v>100</v>
      </c>
      <c r="S6037" s="12" t="s">
        <v>7333</v>
      </c>
      <c r="T6037" s="22">
        <f t="shared" si="516"/>
        <v>12</v>
      </c>
      <c r="U6037" s="22">
        <f t="shared" si="517"/>
        <v>2022</v>
      </c>
      <c r="V6037" s="22" t="str">
        <f t="shared" si="518"/>
        <v>METROPOLITANA</v>
      </c>
    </row>
    <row r="6038" spans="1:22" x14ac:dyDescent="0.2">
      <c r="A6038" s="23" t="s">
        <v>7335</v>
      </c>
      <c r="B6038" s="22" t="s">
        <v>18</v>
      </c>
      <c r="C6038" s="22" t="s">
        <v>57</v>
      </c>
      <c r="D6038" s="22" t="s">
        <v>164</v>
      </c>
      <c r="E6038" s="24" t="s">
        <v>1576</v>
      </c>
      <c r="F6038" s="22" t="s">
        <v>161</v>
      </c>
      <c r="G6038" s="25">
        <v>6831.5399999999991</v>
      </c>
      <c r="H6038" s="22" t="s">
        <v>22</v>
      </c>
      <c r="I6038" s="22">
        <v>1</v>
      </c>
      <c r="J6038" s="22" t="s">
        <v>161</v>
      </c>
      <c r="K6038" s="22" t="s">
        <v>23</v>
      </c>
      <c r="L6038" s="22">
        <v>5</v>
      </c>
      <c r="M6038" s="26">
        <v>187000</v>
      </c>
      <c r="N6038" s="26">
        <v>0</v>
      </c>
      <c r="O6038" s="15">
        <f t="shared" si="519"/>
        <v>187000</v>
      </c>
      <c r="P6038" s="15">
        <f t="shared" si="515"/>
        <v>27.373037411769531</v>
      </c>
      <c r="Q6038" s="25">
        <v>10000</v>
      </c>
      <c r="R6038" s="22">
        <v>68</v>
      </c>
      <c r="S6038" s="22" t="s">
        <v>7336</v>
      </c>
      <c r="T6038" s="22">
        <f t="shared" si="516"/>
        <v>1</v>
      </c>
      <c r="U6038" s="22">
        <f t="shared" si="517"/>
        <v>2023</v>
      </c>
      <c r="V6038" s="22" t="str">
        <f t="shared" si="518"/>
        <v>METROPOLITANA</v>
      </c>
    </row>
    <row r="6039" spans="1:22" x14ac:dyDescent="0.2">
      <c r="A6039" s="23" t="s">
        <v>7335</v>
      </c>
      <c r="B6039" s="22" t="s">
        <v>33</v>
      </c>
      <c r="C6039" s="22" t="s">
        <v>128</v>
      </c>
      <c r="D6039" s="22" t="s">
        <v>30</v>
      </c>
      <c r="E6039" s="24" t="s">
        <v>31</v>
      </c>
      <c r="F6039" s="22" t="s">
        <v>58</v>
      </c>
      <c r="G6039" s="25">
        <v>4364.3599999999997</v>
      </c>
      <c r="H6039" s="22" t="s">
        <v>32</v>
      </c>
      <c r="I6039" s="22">
        <v>0</v>
      </c>
      <c r="J6039" s="22" t="s">
        <v>58</v>
      </c>
      <c r="K6039" s="22" t="s">
        <v>23</v>
      </c>
      <c r="L6039" s="22">
        <v>5</v>
      </c>
      <c r="M6039" s="26">
        <v>87500</v>
      </c>
      <c r="N6039" s="26">
        <v>0</v>
      </c>
      <c r="O6039" s="15">
        <f t="shared" si="519"/>
        <v>87500</v>
      </c>
      <c r="P6039" s="15">
        <f t="shared" si="515"/>
        <v>20.048758580868675</v>
      </c>
      <c r="Q6039" s="25">
        <v>10000</v>
      </c>
      <c r="R6039" s="22">
        <v>44</v>
      </c>
      <c r="S6039" s="22" t="s">
        <v>7337</v>
      </c>
      <c r="T6039" s="22">
        <f t="shared" si="516"/>
        <v>1</v>
      </c>
      <c r="U6039" s="22">
        <f t="shared" si="517"/>
        <v>2023</v>
      </c>
      <c r="V6039" s="22" t="str">
        <f t="shared" si="518"/>
        <v>METROPOLITANA</v>
      </c>
    </row>
    <row r="6040" spans="1:22" x14ac:dyDescent="0.2">
      <c r="A6040" s="23" t="s">
        <v>7335</v>
      </c>
      <c r="B6040" s="22" t="s">
        <v>33</v>
      </c>
      <c r="C6040" s="22" t="s">
        <v>128</v>
      </c>
      <c r="D6040" s="22" t="s">
        <v>20</v>
      </c>
      <c r="E6040" s="24" t="s">
        <v>40</v>
      </c>
      <c r="F6040" s="22" t="s">
        <v>173</v>
      </c>
      <c r="G6040" s="25">
        <v>3431.84</v>
      </c>
      <c r="H6040" s="22" t="s">
        <v>22</v>
      </c>
      <c r="I6040" s="22">
        <v>0</v>
      </c>
      <c r="J6040" s="22" t="s">
        <v>173</v>
      </c>
      <c r="K6040" s="22" t="s">
        <v>23</v>
      </c>
      <c r="L6040" s="22">
        <v>5</v>
      </c>
      <c r="M6040" s="26">
        <v>112500</v>
      </c>
      <c r="N6040" s="26">
        <v>0</v>
      </c>
      <c r="O6040" s="15">
        <f t="shared" si="519"/>
        <v>112500</v>
      </c>
      <c r="P6040" s="15">
        <f t="shared" si="515"/>
        <v>32.781248543055618</v>
      </c>
      <c r="Q6040" s="25">
        <v>10000</v>
      </c>
      <c r="R6040" s="22">
        <v>34</v>
      </c>
      <c r="S6040" s="22" t="s">
        <v>7338</v>
      </c>
      <c r="T6040" s="22">
        <f t="shared" si="516"/>
        <v>1</v>
      </c>
      <c r="U6040" s="22">
        <f t="shared" si="517"/>
        <v>2023</v>
      </c>
      <c r="V6040" s="22" t="str">
        <f t="shared" si="518"/>
        <v>METROPOLITANA</v>
      </c>
    </row>
    <row r="6041" spans="1:22" x14ac:dyDescent="0.2">
      <c r="A6041" s="23" t="s">
        <v>7335</v>
      </c>
      <c r="B6041" s="22" t="s">
        <v>33</v>
      </c>
      <c r="C6041" s="22" t="s">
        <v>44</v>
      </c>
      <c r="D6041" s="22" t="s">
        <v>361</v>
      </c>
      <c r="E6041" s="24" t="s">
        <v>21</v>
      </c>
      <c r="F6041" s="22" t="s">
        <v>229</v>
      </c>
      <c r="G6041" s="25">
        <v>2905.28</v>
      </c>
      <c r="H6041" s="22" t="s">
        <v>24</v>
      </c>
      <c r="I6041" s="22">
        <v>1</v>
      </c>
      <c r="J6041" s="22" t="s">
        <v>230</v>
      </c>
      <c r="K6041" s="22" t="s">
        <v>23</v>
      </c>
      <c r="L6041" s="22">
        <v>4</v>
      </c>
      <c r="M6041" s="26">
        <v>55000</v>
      </c>
      <c r="N6041" s="26">
        <v>0</v>
      </c>
      <c r="O6041" s="15">
        <f t="shared" si="519"/>
        <v>55000</v>
      </c>
      <c r="P6041" s="15">
        <f t="shared" si="515"/>
        <v>18.931049675074345</v>
      </c>
      <c r="Q6041" s="25">
        <v>5000</v>
      </c>
      <c r="R6041" s="22">
        <v>58</v>
      </c>
      <c r="S6041" s="22" t="s">
        <v>7339</v>
      </c>
      <c r="T6041" s="22">
        <f t="shared" si="516"/>
        <v>1</v>
      </c>
      <c r="U6041" s="22">
        <f t="shared" si="517"/>
        <v>2023</v>
      </c>
      <c r="V6041" s="22" t="str">
        <f t="shared" si="518"/>
        <v>METROPOLITANA</v>
      </c>
    </row>
    <row r="6042" spans="1:22" x14ac:dyDescent="0.2">
      <c r="A6042" s="23" t="s">
        <v>7335</v>
      </c>
      <c r="B6042" s="22" t="s">
        <v>33</v>
      </c>
      <c r="C6042" s="22" t="s">
        <v>44</v>
      </c>
      <c r="D6042" s="22" t="s">
        <v>30</v>
      </c>
      <c r="E6042" s="24" t="s">
        <v>31</v>
      </c>
      <c r="F6042" s="22" t="s">
        <v>94</v>
      </c>
      <c r="G6042" s="25">
        <v>4035.78</v>
      </c>
      <c r="H6042" s="22" t="s">
        <v>32</v>
      </c>
      <c r="I6042" s="22">
        <v>0</v>
      </c>
      <c r="J6042" s="22" t="s">
        <v>59</v>
      </c>
      <c r="K6042" s="22" t="s">
        <v>78</v>
      </c>
      <c r="L6042" s="22">
        <v>0</v>
      </c>
      <c r="M6042" s="26">
        <v>227000</v>
      </c>
      <c r="N6042" s="26">
        <v>0</v>
      </c>
      <c r="O6042" s="15">
        <f t="shared" si="519"/>
        <v>227000</v>
      </c>
      <c r="P6042" s="15">
        <f t="shared" si="515"/>
        <v>56.246871732354087</v>
      </c>
      <c r="Q6042" s="25">
        <v>20000</v>
      </c>
      <c r="R6042" s="22">
        <v>50</v>
      </c>
      <c r="S6042" s="22" t="s">
        <v>7340</v>
      </c>
      <c r="T6042" s="22">
        <f t="shared" si="516"/>
        <v>1</v>
      </c>
      <c r="U6042" s="22">
        <f t="shared" si="517"/>
        <v>2023</v>
      </c>
      <c r="V6042" s="22" t="str">
        <f t="shared" si="518"/>
        <v>REGIONES</v>
      </c>
    </row>
    <row r="6043" spans="1:22" x14ac:dyDescent="0.2">
      <c r="A6043" s="23" t="s">
        <v>7335</v>
      </c>
      <c r="B6043" s="22" t="s">
        <v>33</v>
      </c>
      <c r="C6043" s="22" t="s">
        <v>44</v>
      </c>
      <c r="D6043" s="22" t="s">
        <v>47</v>
      </c>
      <c r="E6043" s="24" t="s">
        <v>49</v>
      </c>
      <c r="F6043" s="22" t="s">
        <v>48</v>
      </c>
      <c r="G6043" s="25">
        <v>5769.7400000000016</v>
      </c>
      <c r="H6043" s="22" t="s">
        <v>22</v>
      </c>
      <c r="I6043" s="22">
        <v>0</v>
      </c>
      <c r="J6043" s="22" t="s">
        <v>48</v>
      </c>
      <c r="K6043" s="22" t="s">
        <v>23</v>
      </c>
      <c r="L6043" s="22">
        <v>1</v>
      </c>
      <c r="M6043" s="26">
        <v>63467</v>
      </c>
      <c r="N6043" s="26">
        <v>0</v>
      </c>
      <c r="O6043" s="15">
        <f t="shared" si="519"/>
        <v>63467</v>
      </c>
      <c r="P6043" s="15">
        <f t="shared" si="515"/>
        <v>10.999975735475079</v>
      </c>
      <c r="Q6043" s="25">
        <v>5000</v>
      </c>
      <c r="R6043" s="22">
        <v>100</v>
      </c>
      <c r="S6043" s="22" t="s">
        <v>7341</v>
      </c>
      <c r="T6043" s="22">
        <f t="shared" si="516"/>
        <v>1</v>
      </c>
      <c r="U6043" s="22">
        <f t="shared" si="517"/>
        <v>2023</v>
      </c>
      <c r="V6043" s="22" t="str">
        <f t="shared" si="518"/>
        <v>METROPOLITANA</v>
      </c>
    </row>
    <row r="6044" spans="1:22" x14ac:dyDescent="0.2">
      <c r="A6044" s="11" t="s">
        <v>7342</v>
      </c>
      <c r="B6044" s="12" t="s">
        <v>18</v>
      </c>
      <c r="C6044" s="12" t="s">
        <v>57</v>
      </c>
      <c r="D6044" s="12" t="s">
        <v>38</v>
      </c>
      <c r="E6044" s="13">
        <v>53173292</v>
      </c>
      <c r="F6044" s="12" t="s">
        <v>161</v>
      </c>
      <c r="G6044" s="14">
        <v>10490.71</v>
      </c>
      <c r="H6044" s="12" t="s">
        <v>43</v>
      </c>
      <c r="I6044" s="12">
        <v>0</v>
      </c>
      <c r="J6044" s="12" t="s">
        <v>161</v>
      </c>
      <c r="K6044" s="12" t="s">
        <v>23</v>
      </c>
      <c r="L6044" s="12">
        <v>5</v>
      </c>
      <c r="M6044" s="15">
        <v>87500</v>
      </c>
      <c r="N6044" s="15">
        <v>0</v>
      </c>
      <c r="O6044" s="15">
        <f t="shared" si="519"/>
        <v>87500</v>
      </c>
      <c r="P6044" s="15">
        <f t="shared" si="515"/>
        <v>8.3407128783466522</v>
      </c>
      <c r="Q6044" s="14">
        <v>10000</v>
      </c>
      <c r="R6044" s="12">
        <v>100</v>
      </c>
      <c r="S6044" s="12" t="s">
        <v>7343</v>
      </c>
      <c r="T6044" s="22">
        <f t="shared" si="516"/>
        <v>1</v>
      </c>
      <c r="U6044" s="22">
        <f t="shared" si="517"/>
        <v>2023</v>
      </c>
      <c r="V6044" s="22" t="str">
        <f t="shared" si="518"/>
        <v>METROPOLITANA</v>
      </c>
    </row>
    <row r="6045" spans="1:22" x14ac:dyDescent="0.2">
      <c r="A6045" s="11" t="s">
        <v>7342</v>
      </c>
      <c r="B6045" s="12" t="s">
        <v>33</v>
      </c>
      <c r="C6045" s="12" t="s">
        <v>128</v>
      </c>
      <c r="D6045" s="12" t="s">
        <v>786</v>
      </c>
      <c r="E6045" s="13">
        <v>95707734</v>
      </c>
      <c r="F6045" s="12" t="s">
        <v>129</v>
      </c>
      <c r="G6045" s="14">
        <v>11492.239999999991</v>
      </c>
      <c r="H6045" s="12" t="s">
        <v>788</v>
      </c>
      <c r="I6045" s="12">
        <v>1</v>
      </c>
      <c r="J6045" s="12" t="s">
        <v>129</v>
      </c>
      <c r="K6045" s="12" t="s">
        <v>23</v>
      </c>
      <c r="L6045" s="12">
        <v>1</v>
      </c>
      <c r="M6045" s="15">
        <v>126415</v>
      </c>
      <c r="N6045" s="15">
        <v>0</v>
      </c>
      <c r="O6045" s="15">
        <f t="shared" si="519"/>
        <v>126415</v>
      </c>
      <c r="P6045" s="15">
        <f t="shared" si="515"/>
        <v>11.000031325485727</v>
      </c>
      <c r="Q6045" s="14">
        <v>5000</v>
      </c>
      <c r="R6045" s="12">
        <v>100</v>
      </c>
      <c r="S6045" s="12" t="s">
        <v>7344</v>
      </c>
      <c r="T6045" s="22">
        <f t="shared" si="516"/>
        <v>1</v>
      </c>
      <c r="U6045" s="22">
        <f t="shared" si="517"/>
        <v>2023</v>
      </c>
      <c r="V6045" s="22" t="str">
        <f t="shared" si="518"/>
        <v>METROPOLITANA</v>
      </c>
    </row>
    <row r="6046" spans="1:22" x14ac:dyDescent="0.2">
      <c r="A6046" s="11" t="s">
        <v>7342</v>
      </c>
      <c r="B6046" s="12" t="s">
        <v>33</v>
      </c>
      <c r="C6046" s="12" t="s">
        <v>128</v>
      </c>
      <c r="D6046" s="12" t="s">
        <v>20</v>
      </c>
      <c r="E6046" s="13">
        <v>78907355</v>
      </c>
      <c r="F6046" s="12" t="s">
        <v>129</v>
      </c>
      <c r="G6046" s="14">
        <v>5339.0999999999995</v>
      </c>
      <c r="H6046" s="12" t="s">
        <v>22</v>
      </c>
      <c r="I6046" s="12">
        <v>0</v>
      </c>
      <c r="J6046" s="12" t="s">
        <v>129</v>
      </c>
      <c r="K6046" s="12" t="s">
        <v>23</v>
      </c>
      <c r="L6046" s="12">
        <v>1</v>
      </c>
      <c r="M6046" s="15">
        <v>58730</v>
      </c>
      <c r="N6046" s="15">
        <v>0</v>
      </c>
      <c r="O6046" s="15">
        <f t="shared" si="519"/>
        <v>58730</v>
      </c>
      <c r="P6046" s="15">
        <f t="shared" si="515"/>
        <v>10.999981270251542</v>
      </c>
      <c r="Q6046" s="14">
        <v>5000</v>
      </c>
      <c r="R6046" s="12">
        <v>100</v>
      </c>
      <c r="S6046" s="12" t="s">
        <v>7345</v>
      </c>
      <c r="T6046" s="22">
        <f t="shared" si="516"/>
        <v>1</v>
      </c>
      <c r="U6046" s="22">
        <f t="shared" si="517"/>
        <v>2023</v>
      </c>
      <c r="V6046" s="22" t="str">
        <f t="shared" si="518"/>
        <v>METROPOLITANA</v>
      </c>
    </row>
    <row r="6047" spans="1:22" x14ac:dyDescent="0.2">
      <c r="A6047" s="23" t="s">
        <v>7346</v>
      </c>
      <c r="B6047" s="22" t="s">
        <v>18</v>
      </c>
      <c r="C6047" s="22" t="s">
        <v>57</v>
      </c>
      <c r="D6047" s="22" t="s">
        <v>164</v>
      </c>
      <c r="E6047" s="24" t="s">
        <v>1576</v>
      </c>
      <c r="F6047" s="22" t="s">
        <v>161</v>
      </c>
      <c r="G6047" s="25">
        <v>12265.99</v>
      </c>
      <c r="H6047" s="22" t="s">
        <v>22</v>
      </c>
      <c r="I6047" s="22">
        <v>1</v>
      </c>
      <c r="J6047" s="22" t="s">
        <v>161</v>
      </c>
      <c r="K6047" s="22" t="s">
        <v>23</v>
      </c>
      <c r="L6047" s="22">
        <v>5</v>
      </c>
      <c r="M6047" s="26">
        <v>187000</v>
      </c>
      <c r="N6047" s="26">
        <v>0</v>
      </c>
      <c r="O6047" s="15">
        <f t="shared" si="519"/>
        <v>187000</v>
      </c>
      <c r="P6047" s="15">
        <f t="shared" si="515"/>
        <v>15.245406200396381</v>
      </c>
      <c r="Q6047" s="25">
        <v>10000</v>
      </c>
      <c r="R6047" s="22">
        <v>100</v>
      </c>
      <c r="S6047" s="22" t="s">
        <v>7347</v>
      </c>
      <c r="T6047" s="22">
        <f t="shared" si="516"/>
        <v>1</v>
      </c>
      <c r="U6047" s="22">
        <f t="shared" si="517"/>
        <v>2023</v>
      </c>
      <c r="V6047" s="22" t="str">
        <f t="shared" si="518"/>
        <v>METROPOLITANA</v>
      </c>
    </row>
    <row r="6048" spans="1:22" x14ac:dyDescent="0.2">
      <c r="A6048" s="23" t="s">
        <v>7346</v>
      </c>
      <c r="B6048" s="22" t="s">
        <v>33</v>
      </c>
      <c r="C6048" s="22" t="s">
        <v>2431</v>
      </c>
      <c r="D6048" s="22" t="s">
        <v>2955</v>
      </c>
      <c r="E6048" s="24" t="s">
        <v>2956</v>
      </c>
      <c r="F6048" s="22" t="s">
        <v>67</v>
      </c>
      <c r="G6048" s="25">
        <v>11892</v>
      </c>
      <c r="H6048" s="22" t="s">
        <v>24</v>
      </c>
      <c r="I6048" s="22">
        <v>1</v>
      </c>
      <c r="J6048" s="22" t="s">
        <v>67</v>
      </c>
      <c r="K6048" s="22" t="s">
        <v>23</v>
      </c>
      <c r="L6048" s="22">
        <v>2</v>
      </c>
      <c r="M6048" s="26">
        <v>130812</v>
      </c>
      <c r="N6048" s="26">
        <v>0</v>
      </c>
      <c r="O6048" s="15">
        <f t="shared" si="519"/>
        <v>130812</v>
      </c>
      <c r="P6048" s="15">
        <f t="shared" si="515"/>
        <v>11</v>
      </c>
      <c r="Q6048" s="25">
        <v>5000</v>
      </c>
      <c r="R6048" s="22">
        <v>100</v>
      </c>
      <c r="S6048" s="22" t="s">
        <v>7348</v>
      </c>
      <c r="T6048" s="22">
        <f t="shared" si="516"/>
        <v>1</v>
      </c>
      <c r="U6048" s="22">
        <f t="shared" si="517"/>
        <v>2023</v>
      </c>
      <c r="V6048" s="22" t="str">
        <f t="shared" si="518"/>
        <v>METROPOLITANA</v>
      </c>
    </row>
    <row r="6049" spans="1:22" x14ac:dyDescent="0.2">
      <c r="A6049" s="23" t="s">
        <v>7346</v>
      </c>
      <c r="B6049" s="22" t="s">
        <v>33</v>
      </c>
      <c r="C6049" s="22" t="s">
        <v>60</v>
      </c>
      <c r="D6049" s="22" t="s">
        <v>786</v>
      </c>
      <c r="E6049" s="24" t="s">
        <v>787</v>
      </c>
      <c r="F6049" s="22" t="s">
        <v>5240</v>
      </c>
      <c r="G6049" s="25">
        <v>18760</v>
      </c>
      <c r="H6049" s="22" t="s">
        <v>788</v>
      </c>
      <c r="I6049" s="22">
        <v>1</v>
      </c>
      <c r="J6049" s="22" t="s">
        <v>5240</v>
      </c>
      <c r="K6049" s="22" t="s">
        <v>78</v>
      </c>
      <c r="L6049" s="22">
        <v>0</v>
      </c>
      <c r="M6049" s="26">
        <v>289000</v>
      </c>
      <c r="N6049" s="26">
        <v>0</v>
      </c>
      <c r="O6049" s="15">
        <f t="shared" si="519"/>
        <v>289000</v>
      </c>
      <c r="P6049" s="15">
        <f t="shared" ref="P6049:P6073" si="520">O6049/G6049</f>
        <v>15.405117270788912</v>
      </c>
      <c r="Q6049" s="25">
        <v>20000</v>
      </c>
      <c r="R6049" s="22">
        <v>94</v>
      </c>
      <c r="S6049" s="22" t="s">
        <v>7349</v>
      </c>
      <c r="T6049" s="22">
        <f t="shared" si="516"/>
        <v>1</v>
      </c>
      <c r="U6049" s="22">
        <f t="shared" si="517"/>
        <v>2023</v>
      </c>
      <c r="V6049" s="22" t="str">
        <f t="shared" si="518"/>
        <v>REGIONES</v>
      </c>
    </row>
    <row r="6050" spans="1:22" x14ac:dyDescent="0.2">
      <c r="A6050" s="23" t="s">
        <v>7346</v>
      </c>
      <c r="B6050" s="22" t="s">
        <v>33</v>
      </c>
      <c r="C6050" s="22" t="s">
        <v>4252</v>
      </c>
      <c r="D6050" s="22" t="s">
        <v>30</v>
      </c>
      <c r="E6050" s="24" t="s">
        <v>31</v>
      </c>
      <c r="F6050" s="22" t="s">
        <v>6258</v>
      </c>
      <c r="G6050" s="25">
        <v>12827.96</v>
      </c>
      <c r="H6050" s="22" t="s">
        <v>32</v>
      </c>
      <c r="I6050" s="22">
        <v>0</v>
      </c>
      <c r="J6050" s="22" t="s">
        <v>6258</v>
      </c>
      <c r="K6050" s="22" t="s">
        <v>437</v>
      </c>
      <c r="L6050" s="22">
        <v>0</v>
      </c>
      <c r="M6050" s="26">
        <v>750000</v>
      </c>
      <c r="N6050" s="26">
        <v>0</v>
      </c>
      <c r="O6050" s="15">
        <f t="shared" si="519"/>
        <v>750000</v>
      </c>
      <c r="P6050" s="15">
        <f t="shared" si="520"/>
        <v>58.466038247702677</v>
      </c>
      <c r="Q6050" s="25">
        <v>20000</v>
      </c>
      <c r="R6050" s="22">
        <v>100</v>
      </c>
      <c r="S6050" s="22" t="s">
        <v>7350</v>
      </c>
      <c r="T6050" s="22">
        <f t="shared" si="516"/>
        <v>1</v>
      </c>
      <c r="U6050" s="22">
        <f t="shared" si="517"/>
        <v>2023</v>
      </c>
      <c r="V6050" s="22" t="str">
        <f t="shared" si="518"/>
        <v>REGIONES</v>
      </c>
    </row>
    <row r="6051" spans="1:22" x14ac:dyDescent="0.2">
      <c r="A6051" s="23" t="s">
        <v>7346</v>
      </c>
      <c r="B6051" s="22" t="s">
        <v>33</v>
      </c>
      <c r="C6051" s="22" t="s">
        <v>128</v>
      </c>
      <c r="D6051" s="22" t="s">
        <v>2955</v>
      </c>
      <c r="E6051" s="24" t="s">
        <v>2956</v>
      </c>
      <c r="F6051" s="22" t="s">
        <v>34</v>
      </c>
      <c r="G6051" s="25">
        <v>13336.74</v>
      </c>
      <c r="H6051" s="22" t="s">
        <v>24</v>
      </c>
      <c r="I6051" s="22">
        <v>1</v>
      </c>
      <c r="J6051" s="22" t="s">
        <v>34</v>
      </c>
      <c r="K6051" s="22" t="s">
        <v>23</v>
      </c>
      <c r="L6051" s="22">
        <v>1</v>
      </c>
      <c r="M6051" s="26">
        <v>146704</v>
      </c>
      <c r="N6051" s="26">
        <v>0</v>
      </c>
      <c r="O6051" s="15">
        <f t="shared" si="519"/>
        <v>146704</v>
      </c>
      <c r="P6051" s="15">
        <f t="shared" si="520"/>
        <v>10.999989502682064</v>
      </c>
      <c r="Q6051" s="25">
        <v>5000</v>
      </c>
      <c r="R6051" s="22">
        <v>100</v>
      </c>
      <c r="S6051" s="22" t="s">
        <v>7351</v>
      </c>
      <c r="T6051" s="22">
        <f t="shared" si="516"/>
        <v>1</v>
      </c>
      <c r="U6051" s="22">
        <f t="shared" si="517"/>
        <v>2023</v>
      </c>
      <c r="V6051" s="22" t="str">
        <f t="shared" si="518"/>
        <v>METROPOLITANA</v>
      </c>
    </row>
    <row r="6052" spans="1:22" x14ac:dyDescent="0.2">
      <c r="A6052" s="23" t="s">
        <v>7346</v>
      </c>
      <c r="B6052" s="22" t="s">
        <v>33</v>
      </c>
      <c r="C6052" s="22" t="s">
        <v>128</v>
      </c>
      <c r="D6052" s="22" t="s">
        <v>41</v>
      </c>
      <c r="E6052" s="24" t="s">
        <v>25</v>
      </c>
      <c r="F6052" s="22" t="s">
        <v>34</v>
      </c>
      <c r="G6052" s="25">
        <v>3351</v>
      </c>
      <c r="H6052" s="22" t="s">
        <v>43</v>
      </c>
      <c r="I6052" s="22">
        <v>0</v>
      </c>
      <c r="J6052" s="22" t="s">
        <v>34</v>
      </c>
      <c r="K6052" s="22" t="s">
        <v>23</v>
      </c>
      <c r="L6052" s="22">
        <v>1</v>
      </c>
      <c r="M6052" s="26">
        <v>55000</v>
      </c>
      <c r="N6052" s="26">
        <v>0</v>
      </c>
      <c r="O6052" s="15">
        <f t="shared" si="519"/>
        <v>55000</v>
      </c>
      <c r="P6052" s="15">
        <f t="shared" si="520"/>
        <v>16.413011041480154</v>
      </c>
      <c r="Q6052" s="25">
        <v>5000</v>
      </c>
      <c r="R6052" s="22">
        <v>67</v>
      </c>
      <c r="S6052" s="22" t="s">
        <v>7352</v>
      </c>
      <c r="T6052" s="22">
        <f t="shared" si="516"/>
        <v>1</v>
      </c>
      <c r="U6052" s="22">
        <f t="shared" si="517"/>
        <v>2023</v>
      </c>
      <c r="V6052" s="22" t="str">
        <f t="shared" si="518"/>
        <v>METROPOLITANA</v>
      </c>
    </row>
    <row r="6053" spans="1:22" x14ac:dyDescent="0.2">
      <c r="A6053" s="23" t="s">
        <v>7346</v>
      </c>
      <c r="B6053" s="22" t="s">
        <v>33</v>
      </c>
      <c r="C6053" s="22" t="s">
        <v>29</v>
      </c>
      <c r="D6053" s="22" t="s">
        <v>38</v>
      </c>
      <c r="E6053" s="24" t="s">
        <v>42</v>
      </c>
      <c r="F6053" s="22" t="s">
        <v>39</v>
      </c>
      <c r="G6053" s="25">
        <v>8502</v>
      </c>
      <c r="H6053" s="22" t="s">
        <v>43</v>
      </c>
      <c r="I6053" s="22">
        <v>0</v>
      </c>
      <c r="J6053" s="22" t="s">
        <v>39</v>
      </c>
      <c r="K6053" s="22" t="s">
        <v>23</v>
      </c>
      <c r="L6053" s="22">
        <v>1</v>
      </c>
      <c r="M6053" s="26">
        <v>93522</v>
      </c>
      <c r="N6053" s="26">
        <v>0</v>
      </c>
      <c r="O6053" s="15">
        <f t="shared" si="519"/>
        <v>93522</v>
      </c>
      <c r="P6053" s="15">
        <f t="shared" si="520"/>
        <v>11</v>
      </c>
      <c r="Q6053" s="25">
        <v>5000</v>
      </c>
      <c r="R6053" s="22">
        <v>100</v>
      </c>
      <c r="S6053" s="22" t="s">
        <v>7353</v>
      </c>
      <c r="T6053" s="22">
        <f t="shared" si="516"/>
        <v>1</v>
      </c>
      <c r="U6053" s="22">
        <f t="shared" si="517"/>
        <v>2023</v>
      </c>
      <c r="V6053" s="22" t="str">
        <f t="shared" si="518"/>
        <v>METROPOLITANA</v>
      </c>
    </row>
    <row r="6054" spans="1:22" x14ac:dyDescent="0.2">
      <c r="A6054" s="23" t="s">
        <v>7346</v>
      </c>
      <c r="B6054" s="22" t="s">
        <v>33</v>
      </c>
      <c r="C6054" s="22" t="s">
        <v>29</v>
      </c>
      <c r="D6054" s="22" t="s">
        <v>164</v>
      </c>
      <c r="E6054" s="24" t="s">
        <v>1576</v>
      </c>
      <c r="F6054" s="22" t="s">
        <v>39</v>
      </c>
      <c r="G6054" s="25">
        <v>16508.8</v>
      </c>
      <c r="H6054" s="22" t="s">
        <v>22</v>
      </c>
      <c r="I6054" s="22">
        <v>1</v>
      </c>
      <c r="J6054" s="22" t="s">
        <v>39</v>
      </c>
      <c r="K6054" s="22" t="s">
        <v>23</v>
      </c>
      <c r="L6054" s="22">
        <v>1</v>
      </c>
      <c r="M6054" s="26">
        <v>181597</v>
      </c>
      <c r="N6054" s="26">
        <v>0</v>
      </c>
      <c r="O6054" s="15">
        <f t="shared" si="519"/>
        <v>181597</v>
      </c>
      <c r="P6054" s="15">
        <f t="shared" si="520"/>
        <v>11.000012114750922</v>
      </c>
      <c r="Q6054" s="25">
        <v>5000</v>
      </c>
      <c r="R6054" s="22">
        <v>100</v>
      </c>
      <c r="S6054" s="22" t="s">
        <v>7354</v>
      </c>
      <c r="T6054" s="22">
        <f t="shared" si="516"/>
        <v>1</v>
      </c>
      <c r="U6054" s="22">
        <f t="shared" si="517"/>
        <v>2023</v>
      </c>
      <c r="V6054" s="22" t="str">
        <f t="shared" si="518"/>
        <v>METROPOLITANA</v>
      </c>
    </row>
    <row r="6055" spans="1:22" x14ac:dyDescent="0.2">
      <c r="A6055" s="23" t="s">
        <v>7346</v>
      </c>
      <c r="B6055" s="22" t="s">
        <v>33</v>
      </c>
      <c r="C6055" s="22" t="s">
        <v>29</v>
      </c>
      <c r="D6055" s="22" t="s">
        <v>20</v>
      </c>
      <c r="E6055" s="24" t="s">
        <v>40</v>
      </c>
      <c r="F6055" s="22" t="s">
        <v>173</v>
      </c>
      <c r="G6055" s="25">
        <v>6853.3999999999987</v>
      </c>
      <c r="H6055" s="22" t="s">
        <v>22</v>
      </c>
      <c r="I6055" s="22">
        <v>0</v>
      </c>
      <c r="J6055" s="22" t="s">
        <v>173</v>
      </c>
      <c r="K6055" s="22" t="s">
        <v>23</v>
      </c>
      <c r="L6055" s="22">
        <v>5</v>
      </c>
      <c r="M6055" s="26">
        <v>112500</v>
      </c>
      <c r="N6055" s="26">
        <v>0</v>
      </c>
      <c r="O6055" s="15">
        <f t="shared" si="519"/>
        <v>112500</v>
      </c>
      <c r="P6055" s="15">
        <f t="shared" si="520"/>
        <v>16.415209968774626</v>
      </c>
      <c r="Q6055" s="25">
        <v>10000</v>
      </c>
      <c r="R6055" s="22">
        <v>69</v>
      </c>
      <c r="S6055" s="22" t="s">
        <v>7355</v>
      </c>
      <c r="T6055" s="22">
        <f t="shared" si="516"/>
        <v>1</v>
      </c>
      <c r="U6055" s="22">
        <f t="shared" si="517"/>
        <v>2023</v>
      </c>
      <c r="V6055" s="22" t="str">
        <f t="shared" si="518"/>
        <v>METROPOLITANA</v>
      </c>
    </row>
    <row r="6056" spans="1:22" x14ac:dyDescent="0.2">
      <c r="A6056" s="23" t="s">
        <v>7346</v>
      </c>
      <c r="B6056" s="22" t="s">
        <v>33</v>
      </c>
      <c r="C6056" s="22" t="s">
        <v>44</v>
      </c>
      <c r="D6056" s="22" t="s">
        <v>45</v>
      </c>
      <c r="E6056" s="24" t="s">
        <v>21</v>
      </c>
      <c r="F6056" s="22" t="s">
        <v>129</v>
      </c>
      <c r="G6056" s="25">
        <v>3464.6</v>
      </c>
      <c r="H6056" s="22" t="s">
        <v>22</v>
      </c>
      <c r="I6056" s="22">
        <v>0</v>
      </c>
      <c r="J6056" s="22" t="s">
        <v>129</v>
      </c>
      <c r="K6056" s="22" t="s">
        <v>23</v>
      </c>
      <c r="L6056" s="22">
        <v>1</v>
      </c>
      <c r="M6056" s="26">
        <v>55000</v>
      </c>
      <c r="N6056" s="26">
        <v>0</v>
      </c>
      <c r="O6056" s="15">
        <f t="shared" si="519"/>
        <v>55000</v>
      </c>
      <c r="P6056" s="15">
        <f t="shared" si="520"/>
        <v>15.874848467355539</v>
      </c>
      <c r="Q6056" s="25">
        <v>5000</v>
      </c>
      <c r="R6056" s="22">
        <v>69</v>
      </c>
      <c r="S6056" s="22" t="s">
        <v>7356</v>
      </c>
      <c r="T6056" s="22">
        <f t="shared" si="516"/>
        <v>1</v>
      </c>
      <c r="U6056" s="22">
        <f t="shared" si="517"/>
        <v>2023</v>
      </c>
      <c r="V6056" s="22" t="str">
        <f t="shared" si="518"/>
        <v>METROPOLITANA</v>
      </c>
    </row>
    <row r="6057" spans="1:22" x14ac:dyDescent="0.2">
      <c r="A6057" s="23" t="s">
        <v>7346</v>
      </c>
      <c r="B6057" s="22" t="s">
        <v>33</v>
      </c>
      <c r="C6057" s="22" t="s">
        <v>44</v>
      </c>
      <c r="D6057" s="22" t="s">
        <v>47</v>
      </c>
      <c r="E6057" s="24" t="s">
        <v>49</v>
      </c>
      <c r="F6057" s="22" t="s">
        <v>48</v>
      </c>
      <c r="G6057" s="25">
        <v>4586.6200000000008</v>
      </c>
      <c r="H6057" s="22" t="s">
        <v>22</v>
      </c>
      <c r="I6057" s="22">
        <v>0</v>
      </c>
      <c r="J6057" s="22" t="s">
        <v>48</v>
      </c>
      <c r="K6057" s="22" t="s">
        <v>23</v>
      </c>
      <c r="L6057" s="22">
        <v>1</v>
      </c>
      <c r="M6057" s="26">
        <v>55000</v>
      </c>
      <c r="N6057" s="26">
        <v>0</v>
      </c>
      <c r="O6057" s="15">
        <f t="shared" si="519"/>
        <v>55000</v>
      </c>
      <c r="P6057" s="15">
        <f t="shared" si="520"/>
        <v>11.991401075301637</v>
      </c>
      <c r="Q6057" s="25">
        <v>5000</v>
      </c>
      <c r="R6057" s="22">
        <v>92</v>
      </c>
      <c r="S6057" s="22" t="s">
        <v>7357</v>
      </c>
      <c r="T6057" s="22">
        <f t="shared" si="516"/>
        <v>1</v>
      </c>
      <c r="U6057" s="22">
        <f t="shared" si="517"/>
        <v>2023</v>
      </c>
      <c r="V6057" s="22" t="str">
        <f t="shared" si="518"/>
        <v>METROPOLITANA</v>
      </c>
    </row>
    <row r="6058" spans="1:22" x14ac:dyDescent="0.2">
      <c r="A6058" s="11" t="s">
        <v>7358</v>
      </c>
      <c r="B6058" s="12" t="s">
        <v>18</v>
      </c>
      <c r="C6058" s="12" t="s">
        <v>57</v>
      </c>
      <c r="D6058" s="12" t="s">
        <v>786</v>
      </c>
      <c r="E6058" s="13" t="s">
        <v>787</v>
      </c>
      <c r="F6058" s="12" t="s">
        <v>407</v>
      </c>
      <c r="G6058" s="14">
        <v>22716.720000000001</v>
      </c>
      <c r="H6058" s="12" t="s">
        <v>788</v>
      </c>
      <c r="I6058" s="12">
        <v>1</v>
      </c>
      <c r="J6058" s="12" t="s">
        <v>407</v>
      </c>
      <c r="K6058" s="12" t="s">
        <v>408</v>
      </c>
      <c r="L6058" s="12">
        <v>0</v>
      </c>
      <c r="M6058" s="15">
        <v>700000</v>
      </c>
      <c r="N6058" s="15">
        <v>0</v>
      </c>
      <c r="O6058" s="15">
        <f t="shared" si="519"/>
        <v>700000</v>
      </c>
      <c r="P6058" s="15">
        <f t="shared" si="520"/>
        <v>30.814307699350962</v>
      </c>
      <c r="Q6058" s="14">
        <v>20000</v>
      </c>
      <c r="R6058" s="12">
        <v>100</v>
      </c>
      <c r="S6058" s="12" t="s">
        <v>7359</v>
      </c>
      <c r="T6058" s="22">
        <f t="shared" si="516"/>
        <v>1</v>
      </c>
      <c r="U6058" s="22">
        <f t="shared" si="517"/>
        <v>2023</v>
      </c>
      <c r="V6058" s="22" t="str">
        <f t="shared" si="518"/>
        <v>REGIONES</v>
      </c>
    </row>
    <row r="6059" spans="1:22" x14ac:dyDescent="0.2">
      <c r="A6059" s="11" t="s">
        <v>7358</v>
      </c>
      <c r="B6059" s="12" t="s">
        <v>33</v>
      </c>
      <c r="C6059" s="12" t="s">
        <v>128</v>
      </c>
      <c r="D6059" s="12" t="s">
        <v>636</v>
      </c>
      <c r="E6059" s="13" t="s">
        <v>639</v>
      </c>
      <c r="F6059" s="12" t="s">
        <v>132</v>
      </c>
      <c r="G6059" s="14">
        <v>5131.4400000000014</v>
      </c>
      <c r="H6059" s="12" t="s">
        <v>85</v>
      </c>
      <c r="I6059" s="12">
        <v>1</v>
      </c>
      <c r="J6059" s="12" t="s">
        <v>132</v>
      </c>
      <c r="K6059" s="12" t="s">
        <v>124</v>
      </c>
      <c r="L6059" s="12">
        <v>0</v>
      </c>
      <c r="M6059" s="15">
        <v>440000</v>
      </c>
      <c r="N6059" s="15">
        <v>0</v>
      </c>
      <c r="O6059" s="15">
        <f t="shared" si="519"/>
        <v>440000</v>
      </c>
      <c r="P6059" s="15">
        <f t="shared" si="520"/>
        <v>85.745911479038995</v>
      </c>
      <c r="Q6059" s="14">
        <v>20000</v>
      </c>
      <c r="R6059" s="12">
        <v>80</v>
      </c>
      <c r="S6059" s="12" t="s">
        <v>7360</v>
      </c>
      <c r="T6059" s="22">
        <f t="shared" si="516"/>
        <v>1</v>
      </c>
      <c r="U6059" s="22">
        <f t="shared" si="517"/>
        <v>2023</v>
      </c>
      <c r="V6059" s="22" t="str">
        <f t="shared" si="518"/>
        <v>REGIONES</v>
      </c>
    </row>
    <row r="6060" spans="1:22" x14ac:dyDescent="0.2">
      <c r="A6060" s="11" t="s">
        <v>7358</v>
      </c>
      <c r="B6060" s="12" t="s">
        <v>33</v>
      </c>
      <c r="C6060" s="12" t="s">
        <v>2862</v>
      </c>
      <c r="D6060" s="12" t="s">
        <v>130</v>
      </c>
      <c r="E6060" s="13" t="s">
        <v>131</v>
      </c>
      <c r="F6060" s="12" t="s">
        <v>3438</v>
      </c>
      <c r="G6060" s="14">
        <v>22162.400000000009</v>
      </c>
      <c r="H6060" s="12" t="s">
        <v>85</v>
      </c>
      <c r="I6060" s="12">
        <v>1</v>
      </c>
      <c r="J6060" s="12" t="s">
        <v>3438</v>
      </c>
      <c r="K6060" s="12" t="s">
        <v>93</v>
      </c>
      <c r="L6060" s="12">
        <v>0</v>
      </c>
      <c r="M6060" s="15">
        <v>943000</v>
      </c>
      <c r="N6060" s="15">
        <v>0</v>
      </c>
      <c r="O6060" s="15">
        <f t="shared" si="519"/>
        <v>943000</v>
      </c>
      <c r="P6060" s="15">
        <f t="shared" si="520"/>
        <v>42.549543370754051</v>
      </c>
      <c r="Q6060" s="14">
        <v>20000</v>
      </c>
      <c r="R6060" s="12">
        <v>100</v>
      </c>
      <c r="S6060" s="12" t="s">
        <v>7361</v>
      </c>
      <c r="T6060" s="22">
        <f t="shared" si="516"/>
        <v>1</v>
      </c>
      <c r="U6060" s="22">
        <f t="shared" si="517"/>
        <v>2023</v>
      </c>
      <c r="V6060" s="22" t="str">
        <f t="shared" si="518"/>
        <v>REGIONES</v>
      </c>
    </row>
    <row r="6061" spans="1:22" x14ac:dyDescent="0.2">
      <c r="A6061" s="11" t="s">
        <v>7358</v>
      </c>
      <c r="B6061" s="12" t="s">
        <v>33</v>
      </c>
      <c r="C6061" s="12" t="s">
        <v>29</v>
      </c>
      <c r="D6061" s="12" t="s">
        <v>38</v>
      </c>
      <c r="E6061" s="13" t="s">
        <v>42</v>
      </c>
      <c r="F6061" s="12" t="s">
        <v>129</v>
      </c>
      <c r="G6061" s="14">
        <v>4472.6400000000003</v>
      </c>
      <c r="H6061" s="12" t="s">
        <v>43</v>
      </c>
      <c r="I6061" s="12">
        <v>0</v>
      </c>
      <c r="J6061" s="12" t="s">
        <v>129</v>
      </c>
      <c r="K6061" s="12" t="s">
        <v>23</v>
      </c>
      <c r="L6061" s="12">
        <v>1</v>
      </c>
      <c r="M6061" s="15">
        <v>55000</v>
      </c>
      <c r="N6061" s="15">
        <v>0</v>
      </c>
      <c r="O6061" s="15">
        <f t="shared" si="519"/>
        <v>55000</v>
      </c>
      <c r="P6061" s="15">
        <f t="shared" si="520"/>
        <v>12.296987908707161</v>
      </c>
      <c r="Q6061" s="14">
        <v>5000</v>
      </c>
      <c r="R6061" s="12">
        <v>89</v>
      </c>
      <c r="S6061" s="12" t="s">
        <v>7362</v>
      </c>
      <c r="T6061" s="22">
        <f t="shared" si="516"/>
        <v>1</v>
      </c>
      <c r="U6061" s="22">
        <f t="shared" si="517"/>
        <v>2023</v>
      </c>
      <c r="V6061" s="22" t="str">
        <f t="shared" si="518"/>
        <v>METROPOLITANA</v>
      </c>
    </row>
    <row r="6062" spans="1:22" x14ac:dyDescent="0.2">
      <c r="A6062" s="11" t="s">
        <v>7358</v>
      </c>
      <c r="B6062" s="12" t="s">
        <v>33</v>
      </c>
      <c r="C6062" s="12" t="s">
        <v>29</v>
      </c>
      <c r="D6062" s="12" t="s">
        <v>37</v>
      </c>
      <c r="E6062" s="13" t="s">
        <v>40</v>
      </c>
      <c r="F6062" s="12" t="s">
        <v>39</v>
      </c>
      <c r="G6062" s="14">
        <v>12479.2</v>
      </c>
      <c r="H6062" s="12" t="s">
        <v>22</v>
      </c>
      <c r="I6062" s="12">
        <v>0</v>
      </c>
      <c r="J6062" s="12" t="s">
        <v>39</v>
      </c>
      <c r="K6062" s="12" t="s">
        <v>23</v>
      </c>
      <c r="L6062" s="12">
        <v>1</v>
      </c>
      <c r="M6062" s="15">
        <v>137271</v>
      </c>
      <c r="N6062" s="15">
        <v>0</v>
      </c>
      <c r="O6062" s="15">
        <f t="shared" si="519"/>
        <v>137271</v>
      </c>
      <c r="P6062" s="15">
        <f t="shared" si="520"/>
        <v>10.999983973331624</v>
      </c>
      <c r="Q6062" s="14">
        <v>5000</v>
      </c>
      <c r="R6062" s="12">
        <v>100</v>
      </c>
      <c r="S6062" s="12" t="s">
        <v>7363</v>
      </c>
      <c r="T6062" s="22">
        <f t="shared" si="516"/>
        <v>1</v>
      </c>
      <c r="U6062" s="22">
        <f t="shared" si="517"/>
        <v>2023</v>
      </c>
      <c r="V6062" s="22" t="str">
        <f t="shared" si="518"/>
        <v>METROPOLITANA</v>
      </c>
    </row>
    <row r="6063" spans="1:22" x14ac:dyDescent="0.2">
      <c r="A6063" s="11" t="s">
        <v>7358</v>
      </c>
      <c r="B6063" s="12" t="s">
        <v>33</v>
      </c>
      <c r="C6063" s="12" t="s">
        <v>29</v>
      </c>
      <c r="D6063" s="12" t="s">
        <v>164</v>
      </c>
      <c r="E6063" s="13" t="s">
        <v>1576</v>
      </c>
      <c r="F6063" s="12" t="s">
        <v>39</v>
      </c>
      <c r="G6063" s="14">
        <f>10614.81+3350</f>
        <v>13964.81</v>
      </c>
      <c r="H6063" s="12" t="s">
        <v>22</v>
      </c>
      <c r="I6063" s="12">
        <v>1</v>
      </c>
      <c r="J6063" s="12" t="s">
        <v>39</v>
      </c>
      <c r="K6063" s="12" t="s">
        <v>23</v>
      </c>
      <c r="L6063" s="12">
        <v>1</v>
      </c>
      <c r="M6063" s="15">
        <v>116763</v>
      </c>
      <c r="N6063" s="15">
        <v>0</v>
      </c>
      <c r="O6063" s="15">
        <f t="shared" si="519"/>
        <v>116763</v>
      </c>
      <c r="P6063" s="15">
        <f t="shared" si="520"/>
        <v>8.3612308366529877</v>
      </c>
      <c r="Q6063" s="14">
        <v>5000</v>
      </c>
      <c r="R6063" s="12">
        <v>100</v>
      </c>
      <c r="S6063" s="12" t="s">
        <v>7366</v>
      </c>
      <c r="T6063" s="22">
        <f t="shared" si="516"/>
        <v>1</v>
      </c>
      <c r="U6063" s="22">
        <f t="shared" si="517"/>
        <v>2023</v>
      </c>
      <c r="V6063" s="22" t="str">
        <f t="shared" si="518"/>
        <v>METROPOLITANA</v>
      </c>
    </row>
    <row r="6064" spans="1:22" x14ac:dyDescent="0.2">
      <c r="A6064" s="11" t="s">
        <v>7358</v>
      </c>
      <c r="B6064" s="12" t="s">
        <v>33</v>
      </c>
      <c r="C6064" s="12" t="s">
        <v>44</v>
      </c>
      <c r="D6064" s="12" t="s">
        <v>5478</v>
      </c>
      <c r="E6064" s="13" t="s">
        <v>83</v>
      </c>
      <c r="F6064" s="12" t="s">
        <v>691</v>
      </c>
      <c r="G6064" s="14">
        <v>8594.18</v>
      </c>
      <c r="H6064" s="12" t="s">
        <v>24</v>
      </c>
      <c r="I6064" s="12">
        <v>1</v>
      </c>
      <c r="J6064" s="12" t="s">
        <v>691</v>
      </c>
      <c r="K6064" s="12" t="s">
        <v>873</v>
      </c>
      <c r="L6064" s="12">
        <v>0</v>
      </c>
      <c r="M6064" s="15">
        <v>1282000</v>
      </c>
      <c r="N6064" s="15">
        <v>0</v>
      </c>
      <c r="O6064" s="15">
        <f t="shared" si="519"/>
        <v>1282000</v>
      </c>
      <c r="P6064" s="15">
        <f t="shared" si="520"/>
        <v>149.17071785789918</v>
      </c>
      <c r="Q6064" s="14">
        <v>20000</v>
      </c>
      <c r="R6064" s="12">
        <v>43</v>
      </c>
      <c r="S6064" s="12" t="s">
        <v>7364</v>
      </c>
      <c r="T6064" s="22">
        <f t="shared" si="516"/>
        <v>1</v>
      </c>
      <c r="U6064" s="22">
        <f t="shared" si="517"/>
        <v>2023</v>
      </c>
      <c r="V6064" s="22" t="str">
        <f t="shared" si="518"/>
        <v>REGIONES</v>
      </c>
    </row>
    <row r="6065" spans="1:22" x14ac:dyDescent="0.2">
      <c r="A6065" s="11" t="s">
        <v>7358</v>
      </c>
      <c r="B6065" s="12" t="s">
        <v>33</v>
      </c>
      <c r="C6065" s="12" t="s">
        <v>44</v>
      </c>
      <c r="D6065" s="12" t="s">
        <v>45</v>
      </c>
      <c r="E6065" s="13" t="s">
        <v>21</v>
      </c>
      <c r="F6065" s="12" t="s">
        <v>53</v>
      </c>
      <c r="G6065" s="14">
        <v>3236.38</v>
      </c>
      <c r="H6065" s="12" t="s">
        <v>22</v>
      </c>
      <c r="I6065" s="12">
        <v>0</v>
      </c>
      <c r="J6065" s="12" t="s">
        <v>53</v>
      </c>
      <c r="K6065" s="12" t="s">
        <v>23</v>
      </c>
      <c r="L6065" s="12">
        <v>3</v>
      </c>
      <c r="M6065" s="15">
        <v>55000</v>
      </c>
      <c r="N6065" s="15">
        <v>0</v>
      </c>
      <c r="O6065" s="15">
        <f t="shared" si="519"/>
        <v>55000</v>
      </c>
      <c r="P6065" s="15">
        <f t="shared" si="520"/>
        <v>16.994296096255692</v>
      </c>
      <c r="Q6065" s="14">
        <v>5000</v>
      </c>
      <c r="R6065" s="12">
        <v>65</v>
      </c>
      <c r="S6065" s="12" t="s">
        <v>7365</v>
      </c>
      <c r="T6065" s="22">
        <f t="shared" si="516"/>
        <v>1</v>
      </c>
      <c r="U6065" s="22">
        <f t="shared" si="517"/>
        <v>2023</v>
      </c>
      <c r="V6065" s="22" t="str">
        <f t="shared" si="518"/>
        <v>METROPOLITANA</v>
      </c>
    </row>
    <row r="6066" spans="1:22" x14ac:dyDescent="0.2">
      <c r="A6066" s="23" t="s">
        <v>7367</v>
      </c>
      <c r="B6066" s="22" t="s">
        <v>18</v>
      </c>
      <c r="C6066" s="22" t="s">
        <v>29</v>
      </c>
      <c r="D6066" s="22" t="s">
        <v>164</v>
      </c>
      <c r="E6066" s="24" t="s">
        <v>1576</v>
      </c>
      <c r="F6066" s="22" t="s">
        <v>39</v>
      </c>
      <c r="G6066" s="25">
        <v>21094.92</v>
      </c>
      <c r="H6066" s="22" t="s">
        <v>22</v>
      </c>
      <c r="I6066" s="22">
        <v>1</v>
      </c>
      <c r="J6066" s="22" t="s">
        <v>39</v>
      </c>
      <c r="K6066" s="22" t="s">
        <v>23</v>
      </c>
      <c r="L6066" s="22">
        <v>1</v>
      </c>
      <c r="M6066" s="26">
        <v>232044</v>
      </c>
      <c r="N6066" s="26">
        <v>0</v>
      </c>
      <c r="O6066" s="15">
        <f t="shared" si="519"/>
        <v>232044</v>
      </c>
      <c r="P6066" s="15">
        <f t="shared" si="520"/>
        <v>10.999994311426638</v>
      </c>
      <c r="Q6066" s="25">
        <v>5000</v>
      </c>
      <c r="R6066" s="22">
        <v>100</v>
      </c>
      <c r="S6066" s="22" t="s">
        <v>7370</v>
      </c>
      <c r="T6066" s="22">
        <f t="shared" si="516"/>
        <v>1</v>
      </c>
      <c r="U6066" s="22">
        <f t="shared" si="517"/>
        <v>2023</v>
      </c>
      <c r="V6066" s="22" t="str">
        <f t="shared" si="518"/>
        <v>METROPOLITANA</v>
      </c>
    </row>
    <row r="6067" spans="1:22" x14ac:dyDescent="0.2">
      <c r="A6067" s="23" t="s">
        <v>7367</v>
      </c>
      <c r="B6067" s="22" t="s">
        <v>18</v>
      </c>
      <c r="C6067" s="22" t="s">
        <v>5611</v>
      </c>
      <c r="D6067" s="22" t="s">
        <v>38</v>
      </c>
      <c r="E6067" s="24" t="s">
        <v>25</v>
      </c>
      <c r="F6067" s="22" t="s">
        <v>89</v>
      </c>
      <c r="G6067" s="25">
        <v>7846.3399999999974</v>
      </c>
      <c r="H6067" s="22" t="s">
        <v>43</v>
      </c>
      <c r="I6067" s="22">
        <v>0</v>
      </c>
      <c r="J6067" s="22" t="s">
        <v>89</v>
      </c>
      <c r="K6067" s="22" t="s">
        <v>23</v>
      </c>
      <c r="L6067" s="22">
        <v>5</v>
      </c>
      <c r="M6067" s="26">
        <v>112500</v>
      </c>
      <c r="N6067" s="26">
        <v>0</v>
      </c>
      <c r="O6067" s="15">
        <f t="shared" si="519"/>
        <v>112500</v>
      </c>
      <c r="P6067" s="15">
        <f t="shared" si="520"/>
        <v>14.337895120527538</v>
      </c>
      <c r="Q6067" s="25">
        <v>10000</v>
      </c>
      <c r="R6067" s="22">
        <v>78</v>
      </c>
      <c r="S6067" s="22" t="s">
        <v>7371</v>
      </c>
      <c r="T6067" s="22">
        <f t="shared" si="516"/>
        <v>1</v>
      </c>
      <c r="U6067" s="22">
        <f t="shared" si="517"/>
        <v>2023</v>
      </c>
      <c r="V6067" s="22" t="str">
        <f t="shared" si="518"/>
        <v>METROPOLITANA</v>
      </c>
    </row>
    <row r="6068" spans="1:22" x14ac:dyDescent="0.2">
      <c r="A6068" s="23" t="s">
        <v>7367</v>
      </c>
      <c r="B6068" s="22" t="s">
        <v>33</v>
      </c>
      <c r="C6068" s="22" t="s">
        <v>57</v>
      </c>
      <c r="D6068" s="22" t="s">
        <v>7368</v>
      </c>
      <c r="E6068" s="24" t="s">
        <v>7369</v>
      </c>
      <c r="F6068" s="22" t="s">
        <v>39</v>
      </c>
      <c r="G6068" s="25">
        <f>7316.6+3368</f>
        <v>10684.6</v>
      </c>
      <c r="H6068" s="22" t="s">
        <v>24</v>
      </c>
      <c r="I6068" s="22">
        <v>1</v>
      </c>
      <c r="J6068" s="22" t="s">
        <v>39</v>
      </c>
      <c r="K6068" s="22" t="s">
        <v>23</v>
      </c>
      <c r="L6068" s="22">
        <v>1</v>
      </c>
      <c r="M6068" s="26">
        <v>80483</v>
      </c>
      <c r="N6068" s="26">
        <v>0</v>
      </c>
      <c r="O6068" s="15">
        <f t="shared" si="519"/>
        <v>80483</v>
      </c>
      <c r="P6068" s="15">
        <f t="shared" si="520"/>
        <v>7.532617037605525</v>
      </c>
      <c r="Q6068" s="25">
        <v>5000</v>
      </c>
      <c r="R6068" s="22">
        <v>100</v>
      </c>
      <c r="S6068" s="22" t="s">
        <v>7377</v>
      </c>
      <c r="T6068" s="22">
        <f t="shared" si="516"/>
        <v>1</v>
      </c>
      <c r="U6068" s="22">
        <f t="shared" si="517"/>
        <v>2023</v>
      </c>
      <c r="V6068" s="22" t="str">
        <f t="shared" si="518"/>
        <v>METROPOLITANA</v>
      </c>
    </row>
    <row r="6069" spans="1:22" x14ac:dyDescent="0.2">
      <c r="A6069" s="23" t="s">
        <v>7367</v>
      </c>
      <c r="B6069" s="22" t="s">
        <v>33</v>
      </c>
      <c r="C6069" s="22" t="s">
        <v>36</v>
      </c>
      <c r="D6069" s="22" t="s">
        <v>30</v>
      </c>
      <c r="E6069" s="24" t="s">
        <v>31</v>
      </c>
      <c r="F6069" s="22" t="s">
        <v>127</v>
      </c>
      <c r="G6069" s="25">
        <f>2284.88+3921</f>
        <v>6205.88</v>
      </c>
      <c r="H6069" s="22" t="s">
        <v>32</v>
      </c>
      <c r="I6069" s="22">
        <v>0</v>
      </c>
      <c r="J6069" s="22" t="s">
        <v>127</v>
      </c>
      <c r="K6069" s="22" t="s">
        <v>78</v>
      </c>
      <c r="L6069" s="22">
        <v>0</v>
      </c>
      <c r="M6069" s="26">
        <v>227000</v>
      </c>
      <c r="N6069" s="26">
        <v>0</v>
      </c>
      <c r="O6069" s="15">
        <f t="shared" si="519"/>
        <v>227000</v>
      </c>
      <c r="P6069" s="15">
        <f t="shared" si="520"/>
        <v>36.578212920649449</v>
      </c>
      <c r="Q6069" s="25">
        <v>5000</v>
      </c>
      <c r="R6069" s="22">
        <v>100</v>
      </c>
      <c r="S6069" s="22" t="s">
        <v>7378</v>
      </c>
      <c r="T6069" s="22">
        <f t="shared" si="516"/>
        <v>1</v>
      </c>
      <c r="U6069" s="22">
        <f t="shared" si="517"/>
        <v>2023</v>
      </c>
      <c r="V6069" s="22" t="str">
        <f t="shared" si="518"/>
        <v>REGIONES</v>
      </c>
    </row>
    <row r="6070" spans="1:22" x14ac:dyDescent="0.2">
      <c r="A6070" s="23" t="s">
        <v>7367</v>
      </c>
      <c r="B6070" s="22" t="s">
        <v>33</v>
      </c>
      <c r="C6070" s="22" t="s">
        <v>29</v>
      </c>
      <c r="D6070" s="22" t="s">
        <v>41</v>
      </c>
      <c r="E6070" s="24" t="s">
        <v>25</v>
      </c>
      <c r="F6070" s="22" t="s">
        <v>39</v>
      </c>
      <c r="G6070" s="25">
        <v>4127.22</v>
      </c>
      <c r="H6070" s="22" t="s">
        <v>43</v>
      </c>
      <c r="I6070" s="22">
        <v>0</v>
      </c>
      <c r="J6070" s="22" t="s">
        <v>39</v>
      </c>
      <c r="K6070" s="22" t="s">
        <v>23</v>
      </c>
      <c r="L6070" s="22">
        <v>1</v>
      </c>
      <c r="M6070" s="26">
        <v>55000</v>
      </c>
      <c r="N6070" s="26">
        <v>0</v>
      </c>
      <c r="O6070" s="15">
        <f t="shared" si="519"/>
        <v>55000</v>
      </c>
      <c r="P6070" s="15">
        <f t="shared" si="520"/>
        <v>13.326161435542568</v>
      </c>
      <c r="Q6070" s="25">
        <v>5000</v>
      </c>
      <c r="R6070" s="22">
        <v>83</v>
      </c>
      <c r="S6070" s="22" t="s">
        <v>7373</v>
      </c>
      <c r="T6070" s="22">
        <f t="shared" si="516"/>
        <v>1</v>
      </c>
      <c r="U6070" s="22">
        <f t="shared" si="517"/>
        <v>2023</v>
      </c>
      <c r="V6070" s="22" t="str">
        <f t="shared" si="518"/>
        <v>METROPOLITANA</v>
      </c>
    </row>
    <row r="6071" spans="1:22" x14ac:dyDescent="0.2">
      <c r="A6071" s="23" t="s">
        <v>7367</v>
      </c>
      <c r="B6071" s="22" t="s">
        <v>33</v>
      </c>
      <c r="C6071" s="22" t="s">
        <v>44</v>
      </c>
      <c r="D6071" s="22" t="s">
        <v>7372</v>
      </c>
      <c r="E6071" s="24" t="s">
        <v>1165</v>
      </c>
      <c r="F6071" s="22" t="s">
        <v>84</v>
      </c>
      <c r="G6071" s="25">
        <f>6062.25+4719</f>
        <v>10781.25</v>
      </c>
      <c r="H6071" s="22" t="s">
        <v>24</v>
      </c>
      <c r="I6071" s="22">
        <v>1</v>
      </c>
      <c r="J6071" s="22" t="s">
        <v>84</v>
      </c>
      <c r="K6071" s="22" t="s">
        <v>86</v>
      </c>
      <c r="L6071" s="22">
        <v>0</v>
      </c>
      <c r="M6071" s="26">
        <v>402000</v>
      </c>
      <c r="N6071" s="26">
        <v>0</v>
      </c>
      <c r="O6071" s="15">
        <f t="shared" si="519"/>
        <v>402000</v>
      </c>
      <c r="P6071" s="15">
        <f t="shared" si="520"/>
        <v>37.286956521739128</v>
      </c>
      <c r="Q6071" s="25">
        <v>20000</v>
      </c>
      <c r="R6071" s="22">
        <v>50</v>
      </c>
      <c r="S6071" s="22" t="s">
        <v>7379</v>
      </c>
      <c r="T6071" s="22">
        <f t="shared" si="516"/>
        <v>1</v>
      </c>
      <c r="U6071" s="22">
        <f t="shared" si="517"/>
        <v>2023</v>
      </c>
      <c r="V6071" s="22" t="str">
        <f t="shared" si="518"/>
        <v>REGIONES</v>
      </c>
    </row>
    <row r="6072" spans="1:22" x14ac:dyDescent="0.2">
      <c r="A6072" s="23" t="s">
        <v>7367</v>
      </c>
      <c r="B6072" s="22" t="s">
        <v>33</v>
      </c>
      <c r="C6072" s="22" t="s">
        <v>44</v>
      </c>
      <c r="D6072" s="22" t="s">
        <v>37</v>
      </c>
      <c r="E6072" s="24" t="s">
        <v>40</v>
      </c>
      <c r="F6072" s="22" t="s">
        <v>46</v>
      </c>
      <c r="G6072" s="25">
        <v>2518.56</v>
      </c>
      <c r="H6072" s="22" t="s">
        <v>22</v>
      </c>
      <c r="I6072" s="22">
        <v>0</v>
      </c>
      <c r="J6072" s="22" t="s">
        <v>46</v>
      </c>
      <c r="K6072" s="22" t="s">
        <v>23</v>
      </c>
      <c r="L6072" s="22">
        <v>2</v>
      </c>
      <c r="M6072" s="26">
        <v>55000</v>
      </c>
      <c r="N6072" s="26">
        <v>0</v>
      </c>
      <c r="O6072" s="15">
        <f t="shared" si="519"/>
        <v>55000</v>
      </c>
      <c r="P6072" s="15">
        <f t="shared" si="520"/>
        <v>21.837875611460518</v>
      </c>
      <c r="Q6072" s="25">
        <v>5000</v>
      </c>
      <c r="R6072" s="22">
        <v>50</v>
      </c>
      <c r="S6072" s="22" t="s">
        <v>7374</v>
      </c>
      <c r="T6072" s="22">
        <f t="shared" si="516"/>
        <v>1</v>
      </c>
      <c r="U6072" s="22">
        <f t="shared" si="517"/>
        <v>2023</v>
      </c>
      <c r="V6072" s="22" t="str">
        <f t="shared" si="518"/>
        <v>METROPOLITANA</v>
      </c>
    </row>
    <row r="6073" spans="1:22" x14ac:dyDescent="0.2">
      <c r="A6073" s="23" t="s">
        <v>7367</v>
      </c>
      <c r="B6073" s="22" t="s">
        <v>33</v>
      </c>
      <c r="C6073" s="22" t="s">
        <v>44</v>
      </c>
      <c r="D6073" s="22" t="s">
        <v>45</v>
      </c>
      <c r="E6073" s="24" t="s">
        <v>2113</v>
      </c>
      <c r="F6073" s="22" t="s">
        <v>134</v>
      </c>
      <c r="G6073" s="25">
        <v>3188.12</v>
      </c>
      <c r="H6073" s="22" t="s">
        <v>22</v>
      </c>
      <c r="I6073" s="22">
        <v>0</v>
      </c>
      <c r="J6073" s="22" t="s">
        <v>134</v>
      </c>
      <c r="K6073" s="22" t="s">
        <v>23</v>
      </c>
      <c r="L6073" s="22">
        <v>2</v>
      </c>
      <c r="M6073" s="26">
        <v>55000</v>
      </c>
      <c r="N6073" s="26">
        <v>0</v>
      </c>
      <c r="O6073" s="15">
        <f t="shared" si="519"/>
        <v>55000</v>
      </c>
      <c r="P6073" s="15">
        <f t="shared" si="520"/>
        <v>17.251546365883343</v>
      </c>
      <c r="Q6073" s="25">
        <v>5000</v>
      </c>
      <c r="R6073" s="22">
        <v>64</v>
      </c>
      <c r="S6073" s="22" t="s">
        <v>7375</v>
      </c>
      <c r="T6073" s="22">
        <f t="shared" si="516"/>
        <v>1</v>
      </c>
      <c r="U6073" s="22">
        <f t="shared" si="517"/>
        <v>2023</v>
      </c>
      <c r="V6073" s="22" t="str">
        <f t="shared" si="518"/>
        <v>METROPOLITANA</v>
      </c>
    </row>
    <row r="6074" spans="1:22" x14ac:dyDescent="0.2">
      <c r="A6074" s="23" t="s">
        <v>7367</v>
      </c>
      <c r="B6074" s="22" t="s">
        <v>33</v>
      </c>
      <c r="C6074" s="22" t="s">
        <v>44</v>
      </c>
      <c r="D6074" s="22" t="s">
        <v>47</v>
      </c>
      <c r="E6074" s="24" t="s">
        <v>49</v>
      </c>
      <c r="F6074" s="22" t="s">
        <v>129</v>
      </c>
      <c r="G6074" s="25">
        <v>1078.74</v>
      </c>
      <c r="H6074" s="22" t="s">
        <v>22</v>
      </c>
      <c r="I6074" s="22">
        <v>0</v>
      </c>
      <c r="J6074" s="22" t="s">
        <v>129</v>
      </c>
      <c r="K6074" s="22" t="s">
        <v>23</v>
      </c>
      <c r="L6074" s="22">
        <v>1</v>
      </c>
      <c r="M6074" s="26">
        <v>55000</v>
      </c>
      <c r="N6074" s="26">
        <v>0</v>
      </c>
      <c r="O6074" s="15">
        <v>0</v>
      </c>
      <c r="P6074" s="15">
        <v>11</v>
      </c>
      <c r="Q6074" s="25">
        <v>5000</v>
      </c>
      <c r="R6074" s="22">
        <v>100</v>
      </c>
      <c r="S6074" s="22" t="s">
        <v>7376</v>
      </c>
      <c r="T6074" s="22">
        <f t="shared" si="516"/>
        <v>1</v>
      </c>
      <c r="U6074" s="22">
        <f t="shared" si="517"/>
        <v>2023</v>
      </c>
      <c r="V6074" s="22" t="str">
        <f t="shared" si="518"/>
        <v>METROPOLITANA</v>
      </c>
    </row>
    <row r="6075" spans="1:22" x14ac:dyDescent="0.2">
      <c r="A6075" s="23" t="s">
        <v>7367</v>
      </c>
      <c r="B6075" s="22" t="s">
        <v>33</v>
      </c>
      <c r="C6075" s="22" t="s">
        <v>44</v>
      </c>
      <c r="D6075" s="22" t="s">
        <v>20</v>
      </c>
      <c r="E6075" s="24" t="s">
        <v>21</v>
      </c>
      <c r="F6075" s="22" t="s">
        <v>51</v>
      </c>
      <c r="G6075" s="25">
        <f>3101.4+1644</f>
        <v>4745.3999999999996</v>
      </c>
      <c r="H6075" s="22" t="s">
        <v>22</v>
      </c>
      <c r="I6075" s="22">
        <v>0</v>
      </c>
      <c r="J6075" s="22" t="s">
        <v>51</v>
      </c>
      <c r="K6075" s="22" t="s">
        <v>23</v>
      </c>
      <c r="L6075" s="22">
        <v>4</v>
      </c>
      <c r="M6075" s="26">
        <v>55000</v>
      </c>
      <c r="N6075" s="26">
        <v>0</v>
      </c>
      <c r="O6075" s="15">
        <f t="shared" ref="O6075:O6138" si="521">SUM(M6075:N6075)</f>
        <v>55000</v>
      </c>
      <c r="P6075" s="15">
        <f t="shared" ref="P6075:P6138" si="522">O6075/G6075</f>
        <v>11.590171534538712</v>
      </c>
      <c r="Q6075" s="25">
        <v>5000</v>
      </c>
      <c r="R6075" s="22">
        <v>95</v>
      </c>
      <c r="S6075" s="22" t="s">
        <v>7380</v>
      </c>
      <c r="T6075" s="22">
        <f t="shared" si="516"/>
        <v>1</v>
      </c>
      <c r="U6075" s="22">
        <f t="shared" si="517"/>
        <v>2023</v>
      </c>
      <c r="V6075" s="22" t="str">
        <f t="shared" si="518"/>
        <v>METROPOLITANA</v>
      </c>
    </row>
    <row r="6076" spans="1:22" x14ac:dyDescent="0.2">
      <c r="A6076" s="11" t="s">
        <v>7381</v>
      </c>
      <c r="B6076" s="12" t="s">
        <v>18</v>
      </c>
      <c r="C6076" s="12" t="s">
        <v>7148</v>
      </c>
      <c r="D6076" s="12" t="s">
        <v>7382</v>
      </c>
      <c r="E6076" s="13" t="s">
        <v>7383</v>
      </c>
      <c r="F6076" s="12" t="s">
        <v>129</v>
      </c>
      <c r="G6076" s="14">
        <v>1625.4</v>
      </c>
      <c r="H6076" s="12" t="s">
        <v>24</v>
      </c>
      <c r="I6076" s="12">
        <v>1</v>
      </c>
      <c r="J6076" s="12" t="s">
        <v>129</v>
      </c>
      <c r="K6076" s="12" t="s">
        <v>23</v>
      </c>
      <c r="L6076" s="12">
        <v>1</v>
      </c>
      <c r="M6076" s="15">
        <v>69173</v>
      </c>
      <c r="N6076" s="15">
        <v>0</v>
      </c>
      <c r="O6076" s="15">
        <f t="shared" si="521"/>
        <v>69173</v>
      </c>
      <c r="P6076" s="15">
        <f t="shared" si="522"/>
        <v>42.557524301710345</v>
      </c>
      <c r="Q6076" s="14">
        <v>5000</v>
      </c>
      <c r="R6076" s="12">
        <v>33</v>
      </c>
      <c r="S6076" s="12" t="s">
        <v>7384</v>
      </c>
      <c r="T6076" s="22">
        <f t="shared" si="516"/>
        <v>1</v>
      </c>
      <c r="U6076" s="22">
        <f t="shared" si="517"/>
        <v>2023</v>
      </c>
      <c r="V6076" s="22" t="str">
        <f t="shared" si="518"/>
        <v>METROPOLITANA</v>
      </c>
    </row>
    <row r="6077" spans="1:22" x14ac:dyDescent="0.2">
      <c r="A6077" s="11" t="s">
        <v>7381</v>
      </c>
      <c r="B6077" s="12" t="s">
        <v>18</v>
      </c>
      <c r="C6077" s="12" t="s">
        <v>29</v>
      </c>
      <c r="D6077" s="12" t="s">
        <v>6221</v>
      </c>
      <c r="E6077" s="13" t="s">
        <v>6567</v>
      </c>
      <c r="F6077" s="12" t="s">
        <v>305</v>
      </c>
      <c r="G6077" s="14">
        <v>27360.48000000001</v>
      </c>
      <c r="H6077" s="12" t="s">
        <v>24</v>
      </c>
      <c r="I6077" s="12">
        <v>1</v>
      </c>
      <c r="J6077" s="12" t="s">
        <v>305</v>
      </c>
      <c r="K6077" s="12" t="s">
        <v>306</v>
      </c>
      <c r="L6077" s="12">
        <v>0</v>
      </c>
      <c r="M6077" s="15">
        <v>1760000</v>
      </c>
      <c r="N6077" s="15">
        <v>0</v>
      </c>
      <c r="O6077" s="15">
        <f t="shared" si="521"/>
        <v>1760000</v>
      </c>
      <c r="P6077" s="15">
        <f t="shared" si="522"/>
        <v>64.326356847540666</v>
      </c>
      <c r="Q6077" s="14">
        <v>14000</v>
      </c>
      <c r="R6077" s="12">
        <v>100</v>
      </c>
      <c r="S6077" s="12" t="s">
        <v>7385</v>
      </c>
      <c r="T6077" s="22">
        <f t="shared" si="516"/>
        <v>1</v>
      </c>
      <c r="U6077" s="22">
        <f t="shared" si="517"/>
        <v>2023</v>
      </c>
      <c r="V6077" s="22" t="str">
        <f t="shared" si="518"/>
        <v>REGIONES</v>
      </c>
    </row>
    <row r="6078" spans="1:22" x14ac:dyDescent="0.2">
      <c r="A6078" s="11" t="s">
        <v>7381</v>
      </c>
      <c r="B6078" s="12" t="s">
        <v>33</v>
      </c>
      <c r="C6078" s="12" t="s">
        <v>60</v>
      </c>
      <c r="D6078" s="12" t="s">
        <v>20</v>
      </c>
      <c r="E6078" s="13" t="s">
        <v>21</v>
      </c>
      <c r="F6078" s="12" t="s">
        <v>2140</v>
      </c>
      <c r="G6078" s="14">
        <v>3752.0000000000009</v>
      </c>
      <c r="H6078" s="12" t="s">
        <v>22</v>
      </c>
      <c r="I6078" s="12">
        <v>0</v>
      </c>
      <c r="J6078" s="12" t="s">
        <v>2140</v>
      </c>
      <c r="K6078" s="12" t="s">
        <v>23</v>
      </c>
      <c r="L6078" s="12">
        <v>4</v>
      </c>
      <c r="M6078" s="15">
        <v>69173</v>
      </c>
      <c r="N6078" s="15">
        <v>0</v>
      </c>
      <c r="O6078" s="15">
        <f t="shared" si="521"/>
        <v>69173</v>
      </c>
      <c r="P6078" s="15">
        <f t="shared" si="522"/>
        <v>18.436300639658842</v>
      </c>
      <c r="Q6078" s="14">
        <v>5000</v>
      </c>
      <c r="R6078" s="12">
        <v>75</v>
      </c>
      <c r="S6078" s="12" t="s">
        <v>7386</v>
      </c>
      <c r="T6078" s="22">
        <f t="shared" si="516"/>
        <v>1</v>
      </c>
      <c r="U6078" s="22">
        <f t="shared" si="517"/>
        <v>2023</v>
      </c>
      <c r="V6078" s="22" t="str">
        <f t="shared" si="518"/>
        <v>METROPOLITANA</v>
      </c>
    </row>
    <row r="6079" spans="1:22" x14ac:dyDescent="0.2">
      <c r="A6079" s="11" t="s">
        <v>7381</v>
      </c>
      <c r="B6079" s="12" t="s">
        <v>33</v>
      </c>
      <c r="C6079" s="12" t="s">
        <v>2507</v>
      </c>
      <c r="D6079" s="12" t="s">
        <v>786</v>
      </c>
      <c r="E6079" s="13" t="s">
        <v>787</v>
      </c>
      <c r="F6079" s="12" t="s">
        <v>876</v>
      </c>
      <c r="G6079" s="14">
        <v>23183.87999999999</v>
      </c>
      <c r="H6079" s="12" t="s">
        <v>788</v>
      </c>
      <c r="I6079" s="12">
        <v>1</v>
      </c>
      <c r="J6079" s="12" t="s">
        <v>876</v>
      </c>
      <c r="K6079" s="12" t="s">
        <v>86</v>
      </c>
      <c r="L6079" s="12">
        <v>0</v>
      </c>
      <c r="M6079" s="15">
        <v>437500</v>
      </c>
      <c r="N6079" s="15">
        <v>0</v>
      </c>
      <c r="O6079" s="15">
        <f t="shared" si="521"/>
        <v>437500</v>
      </c>
      <c r="P6079" s="15">
        <f t="shared" si="522"/>
        <v>18.87087062217369</v>
      </c>
      <c r="Q6079" s="14">
        <v>14000</v>
      </c>
      <c r="R6079" s="12">
        <v>100</v>
      </c>
      <c r="S6079" s="12" t="s">
        <v>7387</v>
      </c>
      <c r="T6079" s="22">
        <f t="shared" si="516"/>
        <v>1</v>
      </c>
      <c r="U6079" s="22">
        <f t="shared" si="517"/>
        <v>2023</v>
      </c>
      <c r="V6079" s="22" t="str">
        <f t="shared" si="518"/>
        <v>REGIONES</v>
      </c>
    </row>
    <row r="6080" spans="1:22" x14ac:dyDescent="0.2">
      <c r="A6080" s="11" t="s">
        <v>7381</v>
      </c>
      <c r="B6080" s="12" t="s">
        <v>33</v>
      </c>
      <c r="C6080" s="12" t="s">
        <v>128</v>
      </c>
      <c r="D6080" s="12" t="s">
        <v>47</v>
      </c>
      <c r="E6080" s="13" t="s">
        <v>49</v>
      </c>
      <c r="F6080" s="12" t="s">
        <v>34</v>
      </c>
      <c r="G6080" s="14">
        <v>7306.3899999999994</v>
      </c>
      <c r="H6080" s="12" t="s">
        <v>22</v>
      </c>
      <c r="I6080" s="12">
        <v>0</v>
      </c>
      <c r="J6080" s="12" t="s">
        <v>34</v>
      </c>
      <c r="K6080" s="12" t="s">
        <v>23</v>
      </c>
      <c r="L6080" s="12">
        <v>1</v>
      </c>
      <c r="M6080" s="15">
        <v>80370</v>
      </c>
      <c r="N6080" s="15">
        <v>0</v>
      </c>
      <c r="O6080" s="15">
        <f t="shared" si="521"/>
        <v>80370</v>
      </c>
      <c r="P6080" s="15">
        <f t="shared" si="522"/>
        <v>10.999960308716069</v>
      </c>
      <c r="Q6080" s="14">
        <v>5000</v>
      </c>
      <c r="R6080" s="12">
        <v>100</v>
      </c>
      <c r="S6080" s="12" t="s">
        <v>7388</v>
      </c>
      <c r="T6080" s="22">
        <f t="shared" si="516"/>
        <v>1</v>
      </c>
      <c r="U6080" s="22">
        <f t="shared" si="517"/>
        <v>2023</v>
      </c>
      <c r="V6080" s="22" t="str">
        <f t="shared" si="518"/>
        <v>METROPOLITANA</v>
      </c>
    </row>
    <row r="6081" spans="1:22" x14ac:dyDescent="0.2">
      <c r="A6081" s="11" t="s">
        <v>7381</v>
      </c>
      <c r="B6081" s="12" t="s">
        <v>33</v>
      </c>
      <c r="C6081" s="12" t="s">
        <v>29</v>
      </c>
      <c r="D6081" s="12" t="s">
        <v>38</v>
      </c>
      <c r="E6081" s="13" t="s">
        <v>25</v>
      </c>
      <c r="F6081" s="12" t="s">
        <v>39</v>
      </c>
      <c r="G6081" s="14">
        <v>6740.47</v>
      </c>
      <c r="H6081" s="12" t="s">
        <v>43</v>
      </c>
      <c r="I6081" s="12">
        <v>0</v>
      </c>
      <c r="J6081" s="12" t="s">
        <v>39</v>
      </c>
      <c r="K6081" s="12" t="s">
        <v>23</v>
      </c>
      <c r="L6081" s="12">
        <v>1</v>
      </c>
      <c r="M6081" s="15">
        <v>74145</v>
      </c>
      <c r="N6081" s="15">
        <v>0</v>
      </c>
      <c r="O6081" s="15">
        <f t="shared" si="521"/>
        <v>74145</v>
      </c>
      <c r="P6081" s="15">
        <f t="shared" si="522"/>
        <v>10.999974779206791</v>
      </c>
      <c r="Q6081" s="14">
        <v>5000</v>
      </c>
      <c r="R6081" s="12">
        <v>100</v>
      </c>
      <c r="S6081" s="12" t="s">
        <v>7389</v>
      </c>
      <c r="T6081" s="22">
        <f t="shared" si="516"/>
        <v>1</v>
      </c>
      <c r="U6081" s="22">
        <f t="shared" si="517"/>
        <v>2023</v>
      </c>
      <c r="V6081" s="22" t="str">
        <f t="shared" si="518"/>
        <v>METROPOLITANA</v>
      </c>
    </row>
    <row r="6082" spans="1:22" x14ac:dyDescent="0.2">
      <c r="A6082" s="11" t="s">
        <v>7381</v>
      </c>
      <c r="B6082" s="12" t="s">
        <v>33</v>
      </c>
      <c r="C6082" s="12" t="s">
        <v>29</v>
      </c>
      <c r="D6082" s="12" t="s">
        <v>37</v>
      </c>
      <c r="E6082" s="13" t="s">
        <v>40</v>
      </c>
      <c r="F6082" s="12" t="s">
        <v>1783</v>
      </c>
      <c r="G6082" s="14">
        <v>9379.9999999999982</v>
      </c>
      <c r="H6082" s="12" t="s">
        <v>22</v>
      </c>
      <c r="I6082" s="12">
        <v>0</v>
      </c>
      <c r="J6082" s="12" t="s">
        <v>1784</v>
      </c>
      <c r="K6082" s="12" t="s">
        <v>23</v>
      </c>
      <c r="L6082" s="12">
        <v>5</v>
      </c>
      <c r="M6082" s="15">
        <v>112500</v>
      </c>
      <c r="N6082" s="15">
        <v>0</v>
      </c>
      <c r="O6082" s="15">
        <f t="shared" si="521"/>
        <v>112500</v>
      </c>
      <c r="P6082" s="15">
        <f t="shared" si="522"/>
        <v>11.993603411513861</v>
      </c>
      <c r="Q6082" s="14">
        <v>10000</v>
      </c>
      <c r="R6082" s="12">
        <v>94</v>
      </c>
      <c r="S6082" s="12" t="s">
        <v>7390</v>
      </c>
      <c r="T6082" s="22">
        <f t="shared" si="516"/>
        <v>1</v>
      </c>
      <c r="U6082" s="22">
        <f t="shared" si="517"/>
        <v>2023</v>
      </c>
      <c r="V6082" s="22" t="str">
        <f t="shared" si="518"/>
        <v>METROPOLITANA</v>
      </c>
    </row>
    <row r="6083" spans="1:22" x14ac:dyDescent="0.2">
      <c r="A6083" s="11" t="s">
        <v>7381</v>
      </c>
      <c r="B6083" s="12" t="s">
        <v>33</v>
      </c>
      <c r="C6083" s="12" t="s">
        <v>29</v>
      </c>
      <c r="D6083" s="12" t="s">
        <v>47</v>
      </c>
      <c r="E6083" s="13" t="s">
        <v>49</v>
      </c>
      <c r="F6083" s="12" t="s">
        <v>129</v>
      </c>
      <c r="G6083" s="14">
        <f>1600.2+1627</f>
        <v>3227.2</v>
      </c>
      <c r="H6083" s="12" t="s">
        <v>22</v>
      </c>
      <c r="I6083" s="12">
        <v>0</v>
      </c>
      <c r="J6083" s="12" t="s">
        <v>129</v>
      </c>
      <c r="K6083" s="12" t="s">
        <v>23</v>
      </c>
      <c r="L6083" s="12">
        <v>1</v>
      </c>
      <c r="M6083" s="15">
        <v>69173</v>
      </c>
      <c r="N6083" s="15">
        <v>0</v>
      </c>
      <c r="O6083" s="15">
        <f t="shared" si="521"/>
        <v>69173</v>
      </c>
      <c r="P6083" s="15">
        <f t="shared" si="522"/>
        <v>21.434370352007935</v>
      </c>
      <c r="Q6083" s="14">
        <v>5000</v>
      </c>
      <c r="R6083" s="12">
        <v>65</v>
      </c>
      <c r="S6083" s="12" t="s">
        <v>7392</v>
      </c>
      <c r="T6083" s="22">
        <f t="shared" si="516"/>
        <v>1</v>
      </c>
      <c r="U6083" s="22">
        <f t="shared" si="517"/>
        <v>2023</v>
      </c>
      <c r="V6083" s="22" t="str">
        <f t="shared" si="518"/>
        <v>METROPOLITANA</v>
      </c>
    </row>
    <row r="6084" spans="1:22" x14ac:dyDescent="0.2">
      <c r="A6084" s="11" t="s">
        <v>7381</v>
      </c>
      <c r="B6084" s="12" t="s">
        <v>33</v>
      </c>
      <c r="C6084" s="12" t="s">
        <v>29</v>
      </c>
      <c r="D6084" s="12" t="s">
        <v>164</v>
      </c>
      <c r="E6084" s="13" t="s">
        <v>1576</v>
      </c>
      <c r="F6084" s="12" t="s">
        <v>39</v>
      </c>
      <c r="G6084" s="14">
        <v>7502.3700000000026</v>
      </c>
      <c r="H6084" s="12" t="s">
        <v>22</v>
      </c>
      <c r="I6084" s="12">
        <v>1</v>
      </c>
      <c r="J6084" s="12" t="s">
        <v>39</v>
      </c>
      <c r="K6084" s="12" t="s">
        <v>23</v>
      </c>
      <c r="L6084" s="12">
        <v>1</v>
      </c>
      <c r="M6084" s="15">
        <v>82526</v>
      </c>
      <c r="N6084" s="15">
        <v>0</v>
      </c>
      <c r="O6084" s="15">
        <f t="shared" si="521"/>
        <v>82526</v>
      </c>
      <c r="P6084" s="15">
        <f t="shared" si="522"/>
        <v>10.999990669615064</v>
      </c>
      <c r="Q6084" s="14">
        <v>5000</v>
      </c>
      <c r="R6084" s="12">
        <v>100</v>
      </c>
      <c r="S6084" s="12" t="s">
        <v>7391</v>
      </c>
      <c r="T6084" s="22">
        <f t="shared" si="516"/>
        <v>1</v>
      </c>
      <c r="U6084" s="22">
        <f t="shared" si="517"/>
        <v>2023</v>
      </c>
      <c r="V6084" s="22" t="str">
        <f t="shared" si="518"/>
        <v>METROPOLITANA</v>
      </c>
    </row>
    <row r="6085" spans="1:22" x14ac:dyDescent="0.2">
      <c r="A6085" s="23" t="s">
        <v>7393</v>
      </c>
      <c r="B6085" s="22" t="s">
        <v>33</v>
      </c>
      <c r="C6085" s="22" t="s">
        <v>5851</v>
      </c>
      <c r="D6085" s="22" t="s">
        <v>786</v>
      </c>
      <c r="E6085" s="24">
        <v>75707734</v>
      </c>
      <c r="F6085" s="22" t="s">
        <v>274</v>
      </c>
      <c r="G6085" s="25">
        <v>23044</v>
      </c>
      <c r="H6085" s="22" t="s">
        <v>788</v>
      </c>
      <c r="I6085" s="22">
        <v>1</v>
      </c>
      <c r="J6085" s="22" t="s">
        <v>274</v>
      </c>
      <c r="K6085" s="22" t="s">
        <v>78</v>
      </c>
      <c r="L6085" s="22">
        <v>0</v>
      </c>
      <c r="M6085" s="26">
        <v>289000</v>
      </c>
      <c r="N6085" s="26">
        <v>0</v>
      </c>
      <c r="O6085" s="15">
        <f t="shared" si="521"/>
        <v>289000</v>
      </c>
      <c r="P6085" s="15">
        <f t="shared" si="522"/>
        <v>12.541225481687206</v>
      </c>
      <c r="Q6085" s="25">
        <v>14000</v>
      </c>
      <c r="R6085" s="22">
        <v>100</v>
      </c>
      <c r="S6085" s="22" t="s">
        <v>7394</v>
      </c>
      <c r="T6085" s="22">
        <f t="shared" si="516"/>
        <v>1</v>
      </c>
      <c r="U6085" s="22">
        <f t="shared" si="517"/>
        <v>2023</v>
      </c>
      <c r="V6085" s="22" t="str">
        <f t="shared" si="518"/>
        <v>REGIONES</v>
      </c>
    </row>
    <row r="6086" spans="1:22" x14ac:dyDescent="0.2">
      <c r="A6086" s="23" t="s">
        <v>7393</v>
      </c>
      <c r="B6086" s="22" t="s">
        <v>33</v>
      </c>
      <c r="C6086" s="22" t="s">
        <v>29</v>
      </c>
      <c r="D6086" s="22" t="s">
        <v>164</v>
      </c>
      <c r="E6086" s="24">
        <v>154837728</v>
      </c>
      <c r="F6086" s="22" t="s">
        <v>39</v>
      </c>
      <c r="G6086" s="25">
        <v>23010.600000000009</v>
      </c>
      <c r="H6086" s="22" t="s">
        <v>22</v>
      </c>
      <c r="I6086" s="22">
        <v>1</v>
      </c>
      <c r="J6086" s="22" t="s">
        <v>39</v>
      </c>
      <c r="K6086" s="22" t="s">
        <v>23</v>
      </c>
      <c r="L6086" s="22">
        <v>1</v>
      </c>
      <c r="M6086" s="26">
        <v>253117</v>
      </c>
      <c r="N6086" s="26">
        <v>0</v>
      </c>
      <c r="O6086" s="15">
        <f t="shared" si="521"/>
        <v>253117</v>
      </c>
      <c r="P6086" s="15">
        <f t="shared" si="522"/>
        <v>11.000017383292912</v>
      </c>
      <c r="Q6086" s="25">
        <v>5000</v>
      </c>
      <c r="R6086" s="22">
        <v>100</v>
      </c>
      <c r="S6086" s="22" t="s">
        <v>7395</v>
      </c>
      <c r="T6086" s="22">
        <f t="shared" si="516"/>
        <v>1</v>
      </c>
      <c r="U6086" s="22">
        <f t="shared" si="517"/>
        <v>2023</v>
      </c>
      <c r="V6086" s="22" t="str">
        <f t="shared" si="518"/>
        <v>METROPOLITANA</v>
      </c>
    </row>
    <row r="6087" spans="1:22" x14ac:dyDescent="0.2">
      <c r="A6087" s="23" t="s">
        <v>7393</v>
      </c>
      <c r="B6087" s="22" t="s">
        <v>33</v>
      </c>
      <c r="C6087" s="22" t="s">
        <v>29</v>
      </c>
      <c r="D6087" s="22" t="s">
        <v>20</v>
      </c>
      <c r="E6087" s="24">
        <v>78907355</v>
      </c>
      <c r="F6087" s="22" t="s">
        <v>39</v>
      </c>
      <c r="G6087" s="25">
        <v>9622.32</v>
      </c>
      <c r="H6087" s="22" t="s">
        <v>22</v>
      </c>
      <c r="I6087" s="22">
        <v>0</v>
      </c>
      <c r="J6087" s="22" t="s">
        <v>39</v>
      </c>
      <c r="K6087" s="22" t="s">
        <v>23</v>
      </c>
      <c r="L6087" s="22">
        <v>1</v>
      </c>
      <c r="M6087" s="26">
        <v>105846</v>
      </c>
      <c r="N6087" s="26">
        <v>0</v>
      </c>
      <c r="O6087" s="15">
        <f t="shared" si="521"/>
        <v>105846</v>
      </c>
      <c r="P6087" s="15">
        <f t="shared" si="522"/>
        <v>11.000049884019655</v>
      </c>
      <c r="Q6087" s="25">
        <v>5000</v>
      </c>
      <c r="R6087" s="22">
        <v>100</v>
      </c>
      <c r="S6087" s="22" t="s">
        <v>7396</v>
      </c>
      <c r="T6087" s="22">
        <f t="shared" ref="T6087:T6150" si="523">MONTH(A6087)</f>
        <v>1</v>
      </c>
      <c r="U6087" s="22">
        <f t="shared" ref="U6087:U6150" si="524">YEAR(A6087)</f>
        <v>2023</v>
      </c>
      <c r="V6087" s="22" t="str">
        <f t="shared" ref="V6087:V6150" si="525">IF(K6087="METROPOLITANA DE SANTIAGO","METROPOLITANA","REGIONES")</f>
        <v>METROPOLITANA</v>
      </c>
    </row>
    <row r="6088" spans="1:22" x14ac:dyDescent="0.2">
      <c r="A6088" s="23" t="s">
        <v>7393</v>
      </c>
      <c r="B6088" s="22" t="s">
        <v>33</v>
      </c>
      <c r="C6088" s="22" t="s">
        <v>44</v>
      </c>
      <c r="D6088" s="22" t="s">
        <v>2825</v>
      </c>
      <c r="E6088" s="24">
        <v>113693568</v>
      </c>
      <c r="F6088" s="22" t="s">
        <v>815</v>
      </c>
      <c r="G6088" s="25">
        <f>4176.8+5483</f>
        <v>9659.7999999999993</v>
      </c>
      <c r="H6088" s="22" t="s">
        <v>24</v>
      </c>
      <c r="I6088" s="22">
        <v>1</v>
      </c>
      <c r="J6088" s="22" t="s">
        <v>815</v>
      </c>
      <c r="K6088" s="22" t="s">
        <v>75</v>
      </c>
      <c r="L6088" s="22">
        <v>0</v>
      </c>
      <c r="M6088" s="26">
        <v>528000</v>
      </c>
      <c r="N6088" s="26">
        <v>0</v>
      </c>
      <c r="O6088" s="15">
        <f t="shared" si="521"/>
        <v>528000</v>
      </c>
      <c r="P6088" s="15">
        <f t="shared" si="522"/>
        <v>54.659516760181376</v>
      </c>
      <c r="Q6088" s="25">
        <v>14000</v>
      </c>
      <c r="R6088" s="22">
        <v>85</v>
      </c>
      <c r="S6088" s="22" t="s">
        <v>7397</v>
      </c>
      <c r="T6088" s="22">
        <f t="shared" si="523"/>
        <v>1</v>
      </c>
      <c r="U6088" s="22">
        <f t="shared" si="524"/>
        <v>2023</v>
      </c>
      <c r="V6088" s="22" t="str">
        <f t="shared" si="525"/>
        <v>REGIONES</v>
      </c>
    </row>
    <row r="6089" spans="1:22" x14ac:dyDescent="0.2">
      <c r="A6089" s="11" t="s">
        <v>7398</v>
      </c>
      <c r="B6089" s="12" t="s">
        <v>18</v>
      </c>
      <c r="C6089" s="12" t="s">
        <v>57</v>
      </c>
      <c r="D6089" s="12" t="s">
        <v>5478</v>
      </c>
      <c r="E6089" s="13" t="s">
        <v>83</v>
      </c>
      <c r="F6089" s="12" t="s">
        <v>407</v>
      </c>
      <c r="G6089" s="14">
        <v>10872.4</v>
      </c>
      <c r="H6089" s="12" t="s">
        <v>24</v>
      </c>
      <c r="I6089" s="12">
        <v>1</v>
      </c>
      <c r="J6089" s="12" t="s">
        <v>407</v>
      </c>
      <c r="K6089" s="12" t="s">
        <v>408</v>
      </c>
      <c r="L6089" s="12">
        <v>0</v>
      </c>
      <c r="M6089" s="15">
        <v>700000</v>
      </c>
      <c r="N6089" s="15">
        <v>0</v>
      </c>
      <c r="O6089" s="15">
        <f t="shared" si="521"/>
        <v>700000</v>
      </c>
      <c r="P6089" s="15">
        <f t="shared" si="522"/>
        <v>64.383208859129539</v>
      </c>
      <c r="Q6089" s="14">
        <v>14000</v>
      </c>
      <c r="R6089" s="12">
        <v>78</v>
      </c>
      <c r="S6089" s="12" t="s">
        <v>7399</v>
      </c>
      <c r="T6089" s="22">
        <f t="shared" si="523"/>
        <v>1</v>
      </c>
      <c r="U6089" s="22">
        <f t="shared" si="524"/>
        <v>2023</v>
      </c>
      <c r="V6089" s="22" t="str">
        <f t="shared" si="525"/>
        <v>REGIONES</v>
      </c>
    </row>
    <row r="6090" spans="1:22" x14ac:dyDescent="0.2">
      <c r="A6090" s="11" t="s">
        <v>7398</v>
      </c>
      <c r="B6090" s="12" t="s">
        <v>18</v>
      </c>
      <c r="C6090" s="12" t="s">
        <v>7400</v>
      </c>
      <c r="D6090" s="12" t="s">
        <v>38</v>
      </c>
      <c r="E6090" s="13" t="s">
        <v>25</v>
      </c>
      <c r="F6090" s="12" t="s">
        <v>51</v>
      </c>
      <c r="G6090" s="14">
        <v>19767.580000000002</v>
      </c>
      <c r="H6090" s="12" t="s">
        <v>43</v>
      </c>
      <c r="I6090" s="12">
        <v>0</v>
      </c>
      <c r="J6090" s="12" t="s">
        <v>51</v>
      </c>
      <c r="K6090" s="12" t="s">
        <v>23</v>
      </c>
      <c r="L6090" s="12">
        <v>4</v>
      </c>
      <c r="M6090" s="15">
        <v>217443</v>
      </c>
      <c r="N6090" s="15">
        <v>0</v>
      </c>
      <c r="O6090" s="15">
        <f t="shared" si="521"/>
        <v>217443</v>
      </c>
      <c r="P6090" s="15">
        <f t="shared" si="522"/>
        <v>10.999980776604925</v>
      </c>
      <c r="Q6090" s="14">
        <v>5000</v>
      </c>
      <c r="R6090" s="12">
        <v>100</v>
      </c>
      <c r="S6090" s="12" t="s">
        <v>7401</v>
      </c>
      <c r="T6090" s="22">
        <f t="shared" si="523"/>
        <v>1</v>
      </c>
      <c r="U6090" s="22">
        <f t="shared" si="524"/>
        <v>2023</v>
      </c>
      <c r="V6090" s="22" t="str">
        <f t="shared" si="525"/>
        <v>METROPOLITANA</v>
      </c>
    </row>
    <row r="6091" spans="1:22" x14ac:dyDescent="0.2">
      <c r="A6091" s="11" t="s">
        <v>7398</v>
      </c>
      <c r="B6091" s="12" t="s">
        <v>33</v>
      </c>
      <c r="C6091" s="12" t="s">
        <v>29</v>
      </c>
      <c r="D6091" s="12" t="s">
        <v>37</v>
      </c>
      <c r="E6091" s="13" t="s">
        <v>40</v>
      </c>
      <c r="F6091" s="12" t="s">
        <v>39</v>
      </c>
      <c r="G6091" s="14">
        <v>9096.100000000004</v>
      </c>
      <c r="H6091" s="12" t="s">
        <v>22</v>
      </c>
      <c r="I6091" s="12">
        <v>0</v>
      </c>
      <c r="J6091" s="12" t="s">
        <v>39</v>
      </c>
      <c r="K6091" s="12" t="s">
        <v>23</v>
      </c>
      <c r="L6091" s="12">
        <v>1</v>
      </c>
      <c r="M6091" s="15">
        <v>100057</v>
      </c>
      <c r="N6091" s="15">
        <v>0</v>
      </c>
      <c r="O6091" s="15">
        <f t="shared" si="521"/>
        <v>100057</v>
      </c>
      <c r="P6091" s="15">
        <f t="shared" si="522"/>
        <v>10.99998900627741</v>
      </c>
      <c r="Q6091" s="14">
        <v>5000</v>
      </c>
      <c r="R6091" s="12">
        <v>100</v>
      </c>
      <c r="S6091" s="12" t="s">
        <v>7402</v>
      </c>
      <c r="T6091" s="22">
        <f t="shared" si="523"/>
        <v>1</v>
      </c>
      <c r="U6091" s="22">
        <f t="shared" si="524"/>
        <v>2023</v>
      </c>
      <c r="V6091" s="22" t="str">
        <f t="shared" si="525"/>
        <v>METROPOLITANA</v>
      </c>
    </row>
    <row r="6092" spans="1:22" x14ac:dyDescent="0.2">
      <c r="A6092" s="11" t="s">
        <v>7398</v>
      </c>
      <c r="B6092" s="12" t="s">
        <v>33</v>
      </c>
      <c r="C6092" s="12" t="s">
        <v>29</v>
      </c>
      <c r="D6092" s="12" t="s">
        <v>164</v>
      </c>
      <c r="E6092" s="13" t="s">
        <v>1576</v>
      </c>
      <c r="F6092" s="12" t="s">
        <v>39</v>
      </c>
      <c r="G6092" s="14">
        <v>10177</v>
      </c>
      <c r="H6092" s="12" t="s">
        <v>22</v>
      </c>
      <c r="I6092" s="12">
        <v>1</v>
      </c>
      <c r="J6092" s="12" t="s">
        <v>39</v>
      </c>
      <c r="K6092" s="12" t="s">
        <v>23</v>
      </c>
      <c r="L6092" s="12">
        <v>1</v>
      </c>
      <c r="M6092" s="15">
        <v>111947</v>
      </c>
      <c r="N6092" s="15">
        <v>0</v>
      </c>
      <c r="O6092" s="15">
        <f t="shared" si="521"/>
        <v>111947</v>
      </c>
      <c r="P6092" s="15">
        <f t="shared" si="522"/>
        <v>11</v>
      </c>
      <c r="Q6092" s="14">
        <v>5000</v>
      </c>
      <c r="R6092" s="12">
        <v>100</v>
      </c>
      <c r="S6092" s="12" t="s">
        <v>7403</v>
      </c>
      <c r="T6092" s="22">
        <f t="shared" si="523"/>
        <v>1</v>
      </c>
      <c r="U6092" s="22">
        <f t="shared" si="524"/>
        <v>2023</v>
      </c>
      <c r="V6092" s="22" t="str">
        <f t="shared" si="525"/>
        <v>METROPOLITANA</v>
      </c>
    </row>
    <row r="6093" spans="1:22" x14ac:dyDescent="0.2">
      <c r="A6093" s="11" t="s">
        <v>7398</v>
      </c>
      <c r="B6093" s="12" t="s">
        <v>33</v>
      </c>
      <c r="C6093" s="12" t="s">
        <v>44</v>
      </c>
      <c r="D6093" s="12" t="s">
        <v>45</v>
      </c>
      <c r="E6093" s="13" t="s">
        <v>2113</v>
      </c>
      <c r="F6093" s="12" t="s">
        <v>67</v>
      </c>
      <c r="G6093" s="14">
        <v>2583.17</v>
      </c>
      <c r="H6093" s="12" t="s">
        <v>22</v>
      </c>
      <c r="I6093" s="12">
        <v>0</v>
      </c>
      <c r="J6093" s="12" t="s">
        <v>67</v>
      </c>
      <c r="K6093" s="12" t="s">
        <v>23</v>
      </c>
      <c r="L6093" s="12">
        <v>2</v>
      </c>
      <c r="M6093" s="15">
        <v>69173</v>
      </c>
      <c r="N6093" s="15">
        <v>0</v>
      </c>
      <c r="O6093" s="15">
        <f t="shared" si="521"/>
        <v>69173</v>
      </c>
      <c r="P6093" s="15">
        <f t="shared" si="522"/>
        <v>26.778338243321191</v>
      </c>
      <c r="Q6093" s="14">
        <v>5000</v>
      </c>
      <c r="R6093" s="12">
        <v>52</v>
      </c>
      <c r="S6093" s="12" t="s">
        <v>7404</v>
      </c>
      <c r="T6093" s="22">
        <f t="shared" si="523"/>
        <v>1</v>
      </c>
      <c r="U6093" s="22">
        <f t="shared" si="524"/>
        <v>2023</v>
      </c>
      <c r="V6093" s="22" t="str">
        <f t="shared" si="525"/>
        <v>METROPOLITANA</v>
      </c>
    </row>
    <row r="6094" spans="1:22" x14ac:dyDescent="0.2">
      <c r="A6094" s="11" t="s">
        <v>7398</v>
      </c>
      <c r="B6094" s="12" t="s">
        <v>33</v>
      </c>
      <c r="C6094" s="12" t="s">
        <v>44</v>
      </c>
      <c r="D6094" s="12" t="s">
        <v>47</v>
      </c>
      <c r="E6094" s="13" t="s">
        <v>49</v>
      </c>
      <c r="F6094" s="12" t="s">
        <v>26</v>
      </c>
      <c r="G6094" s="14">
        <v>5610.7199999999984</v>
      </c>
      <c r="H6094" s="12" t="s">
        <v>22</v>
      </c>
      <c r="I6094" s="12">
        <v>0</v>
      </c>
      <c r="J6094" s="12" t="s">
        <v>26</v>
      </c>
      <c r="K6094" s="12" t="s">
        <v>23</v>
      </c>
      <c r="L6094" s="12">
        <v>4</v>
      </c>
      <c r="M6094" s="15">
        <v>61718</v>
      </c>
      <c r="N6094" s="15">
        <v>0</v>
      </c>
      <c r="O6094" s="15">
        <f t="shared" si="521"/>
        <v>61718</v>
      </c>
      <c r="P6094" s="15">
        <f t="shared" si="522"/>
        <v>11.000014258419601</v>
      </c>
      <c r="Q6094" s="14">
        <v>5000</v>
      </c>
      <c r="R6094" s="12">
        <v>100</v>
      </c>
      <c r="S6094" s="12" t="s">
        <v>7405</v>
      </c>
      <c r="T6094" s="22">
        <f t="shared" si="523"/>
        <v>1</v>
      </c>
      <c r="U6094" s="22">
        <f t="shared" si="524"/>
        <v>2023</v>
      </c>
      <c r="V6094" s="22" t="str">
        <f t="shared" si="525"/>
        <v>METROPOLITANA</v>
      </c>
    </row>
    <row r="6095" spans="1:22" x14ac:dyDescent="0.2">
      <c r="A6095" s="11" t="s">
        <v>7398</v>
      </c>
      <c r="B6095" s="12" t="s">
        <v>33</v>
      </c>
      <c r="C6095" s="12" t="s">
        <v>44</v>
      </c>
      <c r="D6095" s="12" t="s">
        <v>7406</v>
      </c>
      <c r="E6095" s="13" t="s">
        <v>21</v>
      </c>
      <c r="F6095" s="12" t="s">
        <v>34</v>
      </c>
      <c r="G6095" s="14">
        <v>2568.42</v>
      </c>
      <c r="H6095" s="12" t="s">
        <v>24</v>
      </c>
      <c r="I6095" s="12">
        <v>1</v>
      </c>
      <c r="J6095" s="12" t="s">
        <v>34</v>
      </c>
      <c r="K6095" s="12" t="s">
        <v>23</v>
      </c>
      <c r="L6095" s="12">
        <v>1</v>
      </c>
      <c r="M6095" s="15">
        <v>69173</v>
      </c>
      <c r="N6095" s="15">
        <v>0</v>
      </c>
      <c r="O6095" s="15">
        <f t="shared" si="521"/>
        <v>69173</v>
      </c>
      <c r="P6095" s="15">
        <f t="shared" si="522"/>
        <v>26.932121693492498</v>
      </c>
      <c r="Q6095" s="14">
        <v>5000</v>
      </c>
      <c r="R6095" s="12">
        <v>51</v>
      </c>
      <c r="S6095" s="12" t="s">
        <v>7407</v>
      </c>
      <c r="T6095" s="22">
        <f t="shared" si="523"/>
        <v>1</v>
      </c>
      <c r="U6095" s="22">
        <f t="shared" si="524"/>
        <v>2023</v>
      </c>
      <c r="V6095" s="22" t="str">
        <f t="shared" si="525"/>
        <v>METROPOLITANA</v>
      </c>
    </row>
    <row r="6096" spans="1:22" x14ac:dyDescent="0.2">
      <c r="A6096" s="23" t="s">
        <v>7408</v>
      </c>
      <c r="B6096" s="22" t="s">
        <v>18</v>
      </c>
      <c r="C6096" s="22" t="s">
        <v>160</v>
      </c>
      <c r="D6096" s="22" t="s">
        <v>5478</v>
      </c>
      <c r="E6096" s="24" t="s">
        <v>83</v>
      </c>
      <c r="F6096" s="22" t="s">
        <v>2055</v>
      </c>
      <c r="G6096" s="25">
        <v>16495.18</v>
      </c>
      <c r="H6096" s="22" t="s">
        <v>24</v>
      </c>
      <c r="I6096" s="22">
        <v>1</v>
      </c>
      <c r="J6096" s="22" t="s">
        <v>2055</v>
      </c>
      <c r="K6096" s="22" t="s">
        <v>86</v>
      </c>
      <c r="L6096" s="22">
        <v>0</v>
      </c>
      <c r="M6096" s="26">
        <v>352000</v>
      </c>
      <c r="N6096" s="26">
        <v>0</v>
      </c>
      <c r="O6096" s="15">
        <f t="shared" si="521"/>
        <v>352000</v>
      </c>
      <c r="P6096" s="15">
        <f t="shared" si="522"/>
        <v>21.339567073532994</v>
      </c>
      <c r="Q6096" s="25">
        <v>14000</v>
      </c>
      <c r="R6096" s="22">
        <v>100</v>
      </c>
      <c r="S6096" s="22" t="s">
        <v>7409</v>
      </c>
      <c r="T6096" s="22">
        <f t="shared" si="523"/>
        <v>1</v>
      </c>
      <c r="U6096" s="22">
        <f t="shared" si="524"/>
        <v>2023</v>
      </c>
      <c r="V6096" s="22" t="str">
        <f t="shared" si="525"/>
        <v>REGIONES</v>
      </c>
    </row>
    <row r="6097" spans="1:22" x14ac:dyDescent="0.2">
      <c r="A6097" s="23" t="s">
        <v>7408</v>
      </c>
      <c r="B6097" s="22" t="s">
        <v>33</v>
      </c>
      <c r="C6097" s="22" t="s">
        <v>909</v>
      </c>
      <c r="D6097" s="22" t="s">
        <v>164</v>
      </c>
      <c r="E6097" s="24" t="s">
        <v>1576</v>
      </c>
      <c r="F6097" s="22" t="s">
        <v>910</v>
      </c>
      <c r="G6097" s="25">
        <f>5805.48+950+2172</f>
        <v>8927.48</v>
      </c>
      <c r="H6097" s="22" t="s">
        <v>22</v>
      </c>
      <c r="I6097" s="22">
        <v>1</v>
      </c>
      <c r="J6097" s="22" t="s">
        <v>910</v>
      </c>
      <c r="K6097" s="22" t="s">
        <v>171</v>
      </c>
      <c r="L6097" s="22">
        <v>0</v>
      </c>
      <c r="M6097" s="26">
        <v>290000</v>
      </c>
      <c r="N6097" s="26">
        <v>0</v>
      </c>
      <c r="O6097" s="15">
        <f t="shared" si="521"/>
        <v>290000</v>
      </c>
      <c r="P6097" s="15">
        <f t="shared" si="522"/>
        <v>32.483970840595553</v>
      </c>
      <c r="Q6097" s="25">
        <v>14000</v>
      </c>
      <c r="R6097" s="22">
        <v>75</v>
      </c>
      <c r="S6097" s="22" t="s">
        <v>7414</v>
      </c>
      <c r="T6097" s="22">
        <f t="shared" si="523"/>
        <v>1</v>
      </c>
      <c r="U6097" s="22">
        <f t="shared" si="524"/>
        <v>2023</v>
      </c>
      <c r="V6097" s="22" t="str">
        <f t="shared" si="525"/>
        <v>REGIONES</v>
      </c>
    </row>
    <row r="6098" spans="1:22" x14ac:dyDescent="0.2">
      <c r="A6098" s="23" t="s">
        <v>7408</v>
      </c>
      <c r="B6098" s="22" t="s">
        <v>33</v>
      </c>
      <c r="C6098" s="22" t="s">
        <v>29</v>
      </c>
      <c r="D6098" s="22" t="s">
        <v>38</v>
      </c>
      <c r="E6098" s="24" t="s">
        <v>25</v>
      </c>
      <c r="F6098" s="22" t="s">
        <v>39</v>
      </c>
      <c r="G6098" s="25">
        <v>10353</v>
      </c>
      <c r="H6098" s="22" t="s">
        <v>43</v>
      </c>
      <c r="I6098" s="22">
        <v>0</v>
      </c>
      <c r="J6098" s="22" t="s">
        <v>39</v>
      </c>
      <c r="K6098" s="22" t="s">
        <v>23</v>
      </c>
      <c r="L6098" s="22">
        <v>1</v>
      </c>
      <c r="M6098" s="26">
        <v>113883</v>
      </c>
      <c r="N6098" s="26">
        <v>0</v>
      </c>
      <c r="O6098" s="15">
        <f t="shared" si="521"/>
        <v>113883</v>
      </c>
      <c r="P6098" s="15">
        <f t="shared" si="522"/>
        <v>11</v>
      </c>
      <c r="Q6098" s="25">
        <v>5000</v>
      </c>
      <c r="R6098" s="22">
        <v>100</v>
      </c>
      <c r="S6098" s="22" t="s">
        <v>7410</v>
      </c>
      <c r="T6098" s="22">
        <f t="shared" si="523"/>
        <v>1</v>
      </c>
      <c r="U6098" s="22">
        <f t="shared" si="524"/>
        <v>2023</v>
      </c>
      <c r="V6098" s="22" t="str">
        <f t="shared" si="525"/>
        <v>METROPOLITANA</v>
      </c>
    </row>
    <row r="6099" spans="1:22" x14ac:dyDescent="0.2">
      <c r="A6099" s="23" t="s">
        <v>7408</v>
      </c>
      <c r="B6099" s="22" t="s">
        <v>33</v>
      </c>
      <c r="C6099" s="22" t="s">
        <v>44</v>
      </c>
      <c r="D6099" s="22" t="s">
        <v>37</v>
      </c>
      <c r="E6099" s="24" t="s">
        <v>40</v>
      </c>
      <c r="F6099" s="22" t="s">
        <v>48</v>
      </c>
      <c r="G6099" s="25">
        <v>6923.6600000000017</v>
      </c>
      <c r="H6099" s="22" t="s">
        <v>22</v>
      </c>
      <c r="I6099" s="22">
        <v>0</v>
      </c>
      <c r="J6099" s="22" t="s">
        <v>48</v>
      </c>
      <c r="K6099" s="22" t="s">
        <v>23</v>
      </c>
      <c r="L6099" s="22">
        <v>1</v>
      </c>
      <c r="M6099" s="26">
        <v>76160</v>
      </c>
      <c r="N6099" s="26">
        <v>0</v>
      </c>
      <c r="O6099" s="15">
        <f t="shared" si="521"/>
        <v>76160</v>
      </c>
      <c r="P6099" s="15">
        <f t="shared" si="522"/>
        <v>10.999962447607187</v>
      </c>
      <c r="Q6099" s="25">
        <v>5000</v>
      </c>
      <c r="R6099" s="22">
        <v>100</v>
      </c>
      <c r="S6099" s="22" t="s">
        <v>7411</v>
      </c>
      <c r="T6099" s="22">
        <f t="shared" si="523"/>
        <v>1</v>
      </c>
      <c r="U6099" s="22">
        <f t="shared" si="524"/>
        <v>2023</v>
      </c>
      <c r="V6099" s="22" t="str">
        <f t="shared" si="525"/>
        <v>METROPOLITANA</v>
      </c>
    </row>
    <row r="6100" spans="1:22" x14ac:dyDescent="0.2">
      <c r="A6100" s="23" t="s">
        <v>7408</v>
      </c>
      <c r="B6100" s="22" t="s">
        <v>33</v>
      </c>
      <c r="C6100" s="22" t="s">
        <v>44</v>
      </c>
      <c r="D6100" s="22" t="s">
        <v>45</v>
      </c>
      <c r="E6100" s="24" t="s">
        <v>2113</v>
      </c>
      <c r="F6100" s="22" t="s">
        <v>182</v>
      </c>
      <c r="G6100" s="25">
        <v>3846.93</v>
      </c>
      <c r="H6100" s="22" t="s">
        <v>22</v>
      </c>
      <c r="I6100" s="22">
        <v>0</v>
      </c>
      <c r="J6100" s="22" t="s">
        <v>182</v>
      </c>
      <c r="K6100" s="22" t="s">
        <v>23</v>
      </c>
      <c r="L6100" s="22">
        <v>4</v>
      </c>
      <c r="M6100" s="26">
        <v>69173</v>
      </c>
      <c r="N6100" s="26">
        <v>0</v>
      </c>
      <c r="O6100" s="15">
        <f t="shared" si="521"/>
        <v>69173</v>
      </c>
      <c r="P6100" s="15">
        <f t="shared" si="522"/>
        <v>17.981351363294888</v>
      </c>
      <c r="Q6100" s="25">
        <v>5000</v>
      </c>
      <c r="R6100" s="22">
        <v>77</v>
      </c>
      <c r="S6100" s="22" t="s">
        <v>7412</v>
      </c>
      <c r="T6100" s="22">
        <f t="shared" si="523"/>
        <v>1</v>
      </c>
      <c r="U6100" s="22">
        <f t="shared" si="524"/>
        <v>2023</v>
      </c>
      <c r="V6100" s="22" t="str">
        <f t="shared" si="525"/>
        <v>METROPOLITANA</v>
      </c>
    </row>
    <row r="6101" spans="1:22" x14ac:dyDescent="0.2">
      <c r="A6101" s="23" t="s">
        <v>7408</v>
      </c>
      <c r="B6101" s="22" t="s">
        <v>33</v>
      </c>
      <c r="C6101" s="22" t="s">
        <v>44</v>
      </c>
      <c r="D6101" s="22" t="s">
        <v>47</v>
      </c>
      <c r="E6101" s="24" t="s">
        <v>49</v>
      </c>
      <c r="F6101" s="22" t="s">
        <v>95</v>
      </c>
      <c r="G6101" s="25">
        <v>3825.25</v>
      </c>
      <c r="H6101" s="22" t="s">
        <v>22</v>
      </c>
      <c r="I6101" s="22">
        <v>0</v>
      </c>
      <c r="J6101" s="22" t="s">
        <v>95</v>
      </c>
      <c r="K6101" s="22" t="s">
        <v>23</v>
      </c>
      <c r="L6101" s="22">
        <v>4</v>
      </c>
      <c r="M6101" s="26">
        <v>69173</v>
      </c>
      <c r="N6101" s="26">
        <v>0</v>
      </c>
      <c r="O6101" s="15">
        <f t="shared" si="521"/>
        <v>69173</v>
      </c>
      <c r="P6101" s="15">
        <f t="shared" si="522"/>
        <v>18.083262531860662</v>
      </c>
      <c r="Q6101" s="25">
        <v>5000</v>
      </c>
      <c r="R6101" s="22">
        <v>77</v>
      </c>
      <c r="S6101" s="22" t="s">
        <v>7413</v>
      </c>
      <c r="T6101" s="22">
        <f t="shared" si="523"/>
        <v>1</v>
      </c>
      <c r="U6101" s="22">
        <f t="shared" si="524"/>
        <v>2023</v>
      </c>
      <c r="V6101" s="22" t="str">
        <f t="shared" si="525"/>
        <v>METROPOLITANA</v>
      </c>
    </row>
    <row r="6102" spans="1:22" x14ac:dyDescent="0.2">
      <c r="A6102" s="11" t="s">
        <v>7415</v>
      </c>
      <c r="B6102" s="12" t="s">
        <v>18</v>
      </c>
      <c r="C6102" s="12" t="s">
        <v>57</v>
      </c>
      <c r="D6102" s="12" t="s">
        <v>1869</v>
      </c>
      <c r="E6102" s="13">
        <v>125897258</v>
      </c>
      <c r="F6102" s="12" t="s">
        <v>407</v>
      </c>
      <c r="G6102" s="14">
        <v>6855.8799999999992</v>
      </c>
      <c r="H6102" s="12" t="s">
        <v>24</v>
      </c>
      <c r="I6102" s="12">
        <v>1</v>
      </c>
      <c r="J6102" s="12" t="s">
        <v>407</v>
      </c>
      <c r="K6102" s="12" t="s">
        <v>408</v>
      </c>
      <c r="L6102" s="12">
        <v>0</v>
      </c>
      <c r="M6102" s="15">
        <v>700000</v>
      </c>
      <c r="N6102" s="15">
        <v>0</v>
      </c>
      <c r="O6102" s="15">
        <f t="shared" si="521"/>
        <v>700000</v>
      </c>
      <c r="P6102" s="15">
        <f t="shared" si="522"/>
        <v>102.10213714359062</v>
      </c>
      <c r="Q6102" s="14">
        <v>14000</v>
      </c>
      <c r="R6102" s="12">
        <v>49</v>
      </c>
      <c r="S6102" s="12" t="s">
        <v>7416</v>
      </c>
      <c r="T6102" s="22">
        <f t="shared" si="523"/>
        <v>1</v>
      </c>
      <c r="U6102" s="22">
        <f t="shared" si="524"/>
        <v>2023</v>
      </c>
      <c r="V6102" s="22" t="str">
        <f t="shared" si="525"/>
        <v>REGIONES</v>
      </c>
    </row>
    <row r="6103" spans="1:22" x14ac:dyDescent="0.2">
      <c r="A6103" s="11" t="s">
        <v>7415</v>
      </c>
      <c r="B6103" s="12" t="s">
        <v>18</v>
      </c>
      <c r="C6103" s="12" t="s">
        <v>29</v>
      </c>
      <c r="D6103" s="12" t="s">
        <v>311</v>
      </c>
      <c r="E6103" s="13">
        <v>92028607</v>
      </c>
      <c r="F6103" s="12" t="s">
        <v>39</v>
      </c>
      <c r="G6103" s="14">
        <v>26666.639999999981</v>
      </c>
      <c r="H6103" s="12" t="s">
        <v>85</v>
      </c>
      <c r="I6103" s="12">
        <v>1</v>
      </c>
      <c r="J6103" s="12" t="s">
        <v>39</v>
      </c>
      <c r="K6103" s="12" t="s">
        <v>23</v>
      </c>
      <c r="L6103" s="12">
        <v>1</v>
      </c>
      <c r="M6103" s="15">
        <v>293333</v>
      </c>
      <c r="N6103" s="15">
        <v>0</v>
      </c>
      <c r="O6103" s="15">
        <f t="shared" si="521"/>
        <v>293333</v>
      </c>
      <c r="P6103" s="15">
        <f t="shared" si="522"/>
        <v>10.999998499998508</v>
      </c>
      <c r="Q6103" s="14">
        <v>5000</v>
      </c>
      <c r="R6103" s="12">
        <v>100</v>
      </c>
      <c r="S6103" s="12" t="s">
        <v>7417</v>
      </c>
      <c r="T6103" s="22">
        <f t="shared" si="523"/>
        <v>1</v>
      </c>
      <c r="U6103" s="22">
        <f t="shared" si="524"/>
        <v>2023</v>
      </c>
      <c r="V6103" s="22" t="str">
        <f t="shared" si="525"/>
        <v>METROPOLITANA</v>
      </c>
    </row>
    <row r="6104" spans="1:22" x14ac:dyDescent="0.2">
      <c r="A6104" s="11" t="s">
        <v>7415</v>
      </c>
      <c r="B6104" s="12" t="s">
        <v>18</v>
      </c>
      <c r="C6104" s="12" t="s">
        <v>29</v>
      </c>
      <c r="D6104" s="12" t="s">
        <v>6834</v>
      </c>
      <c r="E6104" s="13">
        <v>109507547</v>
      </c>
      <c r="F6104" s="12" t="s">
        <v>305</v>
      </c>
      <c r="G6104" s="14">
        <v>26057.600000000009</v>
      </c>
      <c r="H6104" s="12" t="s">
        <v>24</v>
      </c>
      <c r="I6104" s="12">
        <v>1</v>
      </c>
      <c r="J6104" s="12" t="s">
        <v>305</v>
      </c>
      <c r="K6104" s="12" t="s">
        <v>306</v>
      </c>
      <c r="L6104" s="12">
        <v>0</v>
      </c>
      <c r="M6104" s="15">
        <v>1760000</v>
      </c>
      <c r="N6104" s="15">
        <v>0</v>
      </c>
      <c r="O6104" s="15">
        <f t="shared" si="521"/>
        <v>1760000</v>
      </c>
      <c r="P6104" s="15">
        <f t="shared" si="522"/>
        <v>67.542674689917703</v>
      </c>
      <c r="Q6104" s="14">
        <v>14000</v>
      </c>
      <c r="R6104" s="12">
        <v>100</v>
      </c>
      <c r="S6104" s="12" t="s">
        <v>7418</v>
      </c>
      <c r="T6104" s="22">
        <f t="shared" si="523"/>
        <v>1</v>
      </c>
      <c r="U6104" s="22">
        <f t="shared" si="524"/>
        <v>2023</v>
      </c>
      <c r="V6104" s="22" t="str">
        <f t="shared" si="525"/>
        <v>REGIONES</v>
      </c>
    </row>
    <row r="6105" spans="1:22" x14ac:dyDescent="0.2">
      <c r="A6105" s="11" t="s">
        <v>7415</v>
      </c>
      <c r="B6105" s="12" t="s">
        <v>18</v>
      </c>
      <c r="C6105" s="12" t="s">
        <v>29</v>
      </c>
      <c r="D6105" s="12" t="s">
        <v>6218</v>
      </c>
      <c r="E6105" s="13">
        <v>90366327</v>
      </c>
      <c r="F6105" s="12" t="s">
        <v>305</v>
      </c>
      <c r="G6105" s="14">
        <v>27360.48000000001</v>
      </c>
      <c r="H6105" s="12" t="s">
        <v>24</v>
      </c>
      <c r="I6105" s="12">
        <v>1</v>
      </c>
      <c r="J6105" s="12" t="s">
        <v>305</v>
      </c>
      <c r="K6105" s="12" t="s">
        <v>306</v>
      </c>
      <c r="L6105" s="12">
        <v>0</v>
      </c>
      <c r="M6105" s="15">
        <v>1760000</v>
      </c>
      <c r="N6105" s="15">
        <v>0</v>
      </c>
      <c r="O6105" s="15">
        <f t="shared" si="521"/>
        <v>1760000</v>
      </c>
      <c r="P6105" s="15">
        <f t="shared" si="522"/>
        <v>64.326356847540666</v>
      </c>
      <c r="Q6105" s="14">
        <v>14000</v>
      </c>
      <c r="R6105" s="12">
        <v>100</v>
      </c>
      <c r="S6105" s="12" t="s">
        <v>7419</v>
      </c>
      <c r="T6105" s="22">
        <f t="shared" si="523"/>
        <v>1</v>
      </c>
      <c r="U6105" s="22">
        <f t="shared" si="524"/>
        <v>2023</v>
      </c>
      <c r="V6105" s="22" t="str">
        <f t="shared" si="525"/>
        <v>REGIONES</v>
      </c>
    </row>
    <row r="6106" spans="1:22" x14ac:dyDescent="0.2">
      <c r="A6106" s="11" t="s">
        <v>7415</v>
      </c>
      <c r="B6106" s="12" t="s">
        <v>18</v>
      </c>
      <c r="C6106" s="12" t="s">
        <v>29</v>
      </c>
      <c r="D6106" s="12" t="s">
        <v>6221</v>
      </c>
      <c r="E6106" s="13">
        <v>177846392</v>
      </c>
      <c r="F6106" s="12" t="s">
        <v>39</v>
      </c>
      <c r="G6106" s="14">
        <v>27878.75999999998</v>
      </c>
      <c r="H6106" s="12" t="s">
        <v>24</v>
      </c>
      <c r="I6106" s="12">
        <v>1</v>
      </c>
      <c r="J6106" s="12" t="s">
        <v>39</v>
      </c>
      <c r="K6106" s="12" t="s">
        <v>23</v>
      </c>
      <c r="L6106" s="12">
        <v>1</v>
      </c>
      <c r="M6106" s="15">
        <v>306666</v>
      </c>
      <c r="N6106" s="15">
        <v>0</v>
      </c>
      <c r="O6106" s="15">
        <f t="shared" si="521"/>
        <v>306666</v>
      </c>
      <c r="P6106" s="15">
        <f t="shared" si="522"/>
        <v>10.999987086943616</v>
      </c>
      <c r="Q6106" s="14">
        <v>5000</v>
      </c>
      <c r="R6106" s="12">
        <v>100</v>
      </c>
      <c r="S6106" s="12" t="s">
        <v>7420</v>
      </c>
      <c r="T6106" s="22">
        <f t="shared" si="523"/>
        <v>1</v>
      </c>
      <c r="U6106" s="22">
        <f t="shared" si="524"/>
        <v>2023</v>
      </c>
      <c r="V6106" s="22" t="str">
        <f t="shared" si="525"/>
        <v>METROPOLITANA</v>
      </c>
    </row>
    <row r="6107" spans="1:22" x14ac:dyDescent="0.2">
      <c r="A6107" s="11" t="s">
        <v>7415</v>
      </c>
      <c r="B6107" s="12" t="s">
        <v>33</v>
      </c>
      <c r="C6107" s="12" t="s">
        <v>36</v>
      </c>
      <c r="D6107" s="12" t="s">
        <v>5478</v>
      </c>
      <c r="E6107" s="13">
        <v>122975819</v>
      </c>
      <c r="F6107" s="12" t="s">
        <v>876</v>
      </c>
      <c r="G6107" s="14">
        <f>6918.08+3713</f>
        <v>10631.08</v>
      </c>
      <c r="H6107" s="12" t="s">
        <v>24</v>
      </c>
      <c r="I6107" s="12">
        <v>1</v>
      </c>
      <c r="J6107" s="12" t="s">
        <v>876</v>
      </c>
      <c r="K6107" s="12" t="s">
        <v>86</v>
      </c>
      <c r="L6107" s="12">
        <v>0</v>
      </c>
      <c r="M6107" s="15">
        <v>437500</v>
      </c>
      <c r="N6107" s="15">
        <v>0</v>
      </c>
      <c r="O6107" s="15">
        <f t="shared" si="521"/>
        <v>437500</v>
      </c>
      <c r="P6107" s="15">
        <f t="shared" si="522"/>
        <v>41.152921434134633</v>
      </c>
      <c r="Q6107" s="14">
        <v>14000</v>
      </c>
      <c r="R6107" s="12">
        <v>100</v>
      </c>
      <c r="S6107" s="12" t="s">
        <v>7426</v>
      </c>
      <c r="T6107" s="22">
        <f t="shared" si="523"/>
        <v>1</v>
      </c>
      <c r="U6107" s="22">
        <f t="shared" si="524"/>
        <v>2023</v>
      </c>
      <c r="V6107" s="22" t="str">
        <f t="shared" si="525"/>
        <v>REGIONES</v>
      </c>
    </row>
    <row r="6108" spans="1:22" x14ac:dyDescent="0.2">
      <c r="A6108" s="11" t="s">
        <v>7415</v>
      </c>
      <c r="B6108" s="12" t="s">
        <v>33</v>
      </c>
      <c r="C6108" s="12" t="s">
        <v>36</v>
      </c>
      <c r="D6108" s="12" t="s">
        <v>30</v>
      </c>
      <c r="E6108" s="13">
        <v>72564391</v>
      </c>
      <c r="F6108" s="12" t="s">
        <v>129</v>
      </c>
      <c r="G6108" s="14">
        <v>4690</v>
      </c>
      <c r="H6108" s="12" t="s">
        <v>32</v>
      </c>
      <c r="I6108" s="12">
        <v>0</v>
      </c>
      <c r="J6108" s="12" t="s">
        <v>129</v>
      </c>
      <c r="K6108" s="12" t="s">
        <v>23</v>
      </c>
      <c r="L6108" s="12">
        <v>1</v>
      </c>
      <c r="M6108" s="15">
        <v>69173</v>
      </c>
      <c r="N6108" s="15">
        <v>0</v>
      </c>
      <c r="O6108" s="15">
        <f t="shared" si="521"/>
        <v>69173</v>
      </c>
      <c r="P6108" s="15">
        <f t="shared" si="522"/>
        <v>14.749040511727079</v>
      </c>
      <c r="Q6108" s="14">
        <v>5000</v>
      </c>
      <c r="R6108" s="12">
        <v>94</v>
      </c>
      <c r="S6108" s="12" t="s">
        <v>7421</v>
      </c>
      <c r="T6108" s="22">
        <f t="shared" si="523"/>
        <v>1</v>
      </c>
      <c r="U6108" s="22">
        <f t="shared" si="524"/>
        <v>2023</v>
      </c>
      <c r="V6108" s="22" t="str">
        <f t="shared" si="525"/>
        <v>METROPOLITANA</v>
      </c>
    </row>
    <row r="6109" spans="1:22" x14ac:dyDescent="0.2">
      <c r="A6109" s="11" t="s">
        <v>7415</v>
      </c>
      <c r="B6109" s="12" t="s">
        <v>33</v>
      </c>
      <c r="C6109" s="12" t="s">
        <v>2862</v>
      </c>
      <c r="D6109" s="12" t="s">
        <v>38</v>
      </c>
      <c r="E6109" s="13">
        <v>125108660</v>
      </c>
      <c r="F6109" s="12" t="s">
        <v>129</v>
      </c>
      <c r="G6109" s="14">
        <v>3368.8</v>
      </c>
      <c r="H6109" s="12" t="s">
        <v>43</v>
      </c>
      <c r="I6109" s="12">
        <v>0</v>
      </c>
      <c r="J6109" s="12" t="s">
        <v>129</v>
      </c>
      <c r="K6109" s="12" t="s">
        <v>23</v>
      </c>
      <c r="L6109" s="12">
        <v>1</v>
      </c>
      <c r="M6109" s="15">
        <v>69173</v>
      </c>
      <c r="N6109" s="15">
        <v>0</v>
      </c>
      <c r="O6109" s="15">
        <f t="shared" si="521"/>
        <v>69173</v>
      </c>
      <c r="P6109" s="15">
        <f t="shared" si="522"/>
        <v>20.533424364758964</v>
      </c>
      <c r="Q6109" s="14">
        <v>5000</v>
      </c>
      <c r="R6109" s="12">
        <v>67</v>
      </c>
      <c r="S6109" s="12" t="s">
        <v>7422</v>
      </c>
      <c r="T6109" s="22">
        <f t="shared" si="523"/>
        <v>1</v>
      </c>
      <c r="U6109" s="22">
        <f t="shared" si="524"/>
        <v>2023</v>
      </c>
      <c r="V6109" s="22" t="str">
        <f t="shared" si="525"/>
        <v>METROPOLITANA</v>
      </c>
    </row>
    <row r="6110" spans="1:22" x14ac:dyDescent="0.2">
      <c r="A6110" s="11" t="s">
        <v>7415</v>
      </c>
      <c r="B6110" s="12" t="s">
        <v>33</v>
      </c>
      <c r="C6110" s="12" t="s">
        <v>29</v>
      </c>
      <c r="D6110" s="12" t="s">
        <v>7423</v>
      </c>
      <c r="E6110" s="13">
        <v>109995630</v>
      </c>
      <c r="F6110" s="12" t="s">
        <v>114</v>
      </c>
      <c r="G6110" s="14">
        <v>8681.9999999999982</v>
      </c>
      <c r="H6110" s="12" t="s">
        <v>24</v>
      </c>
      <c r="I6110" s="12">
        <v>1</v>
      </c>
      <c r="J6110" s="12" t="s">
        <v>114</v>
      </c>
      <c r="K6110" s="12" t="s">
        <v>75</v>
      </c>
      <c r="L6110" s="12">
        <v>0</v>
      </c>
      <c r="M6110" s="15">
        <v>528000</v>
      </c>
      <c r="N6110" s="15">
        <v>0</v>
      </c>
      <c r="O6110" s="15">
        <f t="shared" si="521"/>
        <v>528000</v>
      </c>
      <c r="P6110" s="15">
        <f t="shared" si="522"/>
        <v>60.815480304077411</v>
      </c>
      <c r="Q6110" s="14">
        <v>14000</v>
      </c>
      <c r="R6110" s="12">
        <v>62</v>
      </c>
      <c r="S6110" s="12" t="s">
        <v>7424</v>
      </c>
      <c r="T6110" s="22">
        <f t="shared" si="523"/>
        <v>1</v>
      </c>
      <c r="U6110" s="22">
        <f t="shared" si="524"/>
        <v>2023</v>
      </c>
      <c r="V6110" s="22" t="str">
        <f t="shared" si="525"/>
        <v>REGIONES</v>
      </c>
    </row>
    <row r="6111" spans="1:22" x14ac:dyDescent="0.2">
      <c r="A6111" s="11" t="s">
        <v>7415</v>
      </c>
      <c r="B6111" s="12" t="s">
        <v>33</v>
      </c>
      <c r="C6111" s="12" t="s">
        <v>44</v>
      </c>
      <c r="D6111" s="12" t="s">
        <v>47</v>
      </c>
      <c r="E6111" s="13">
        <v>107643206</v>
      </c>
      <c r="F6111" s="12" t="s">
        <v>26</v>
      </c>
      <c r="G6111" s="14">
        <v>3932.76</v>
      </c>
      <c r="H6111" s="12" t="s">
        <v>22</v>
      </c>
      <c r="I6111" s="12">
        <v>0</v>
      </c>
      <c r="J6111" s="12" t="s">
        <v>26</v>
      </c>
      <c r="K6111" s="12" t="s">
        <v>23</v>
      </c>
      <c r="L6111" s="12">
        <v>4</v>
      </c>
      <c r="M6111" s="15">
        <v>69173</v>
      </c>
      <c r="N6111" s="15">
        <v>0</v>
      </c>
      <c r="O6111" s="15">
        <f t="shared" si="521"/>
        <v>69173</v>
      </c>
      <c r="P6111" s="15">
        <f t="shared" si="522"/>
        <v>17.588919740843579</v>
      </c>
      <c r="Q6111" s="14">
        <v>5000</v>
      </c>
      <c r="R6111" s="12">
        <v>79</v>
      </c>
      <c r="S6111" s="12" t="s">
        <v>7425</v>
      </c>
      <c r="T6111" s="22">
        <f t="shared" si="523"/>
        <v>1</v>
      </c>
      <c r="U6111" s="22">
        <f t="shared" si="524"/>
        <v>2023</v>
      </c>
      <c r="V6111" s="22" t="str">
        <f t="shared" si="525"/>
        <v>METROPOLITANA</v>
      </c>
    </row>
    <row r="6112" spans="1:22" x14ac:dyDescent="0.2">
      <c r="A6112" s="23" t="s">
        <v>7427</v>
      </c>
      <c r="B6112" s="22" t="s">
        <v>18</v>
      </c>
      <c r="C6112" s="22" t="s">
        <v>1722</v>
      </c>
      <c r="D6112" s="22" t="s">
        <v>37</v>
      </c>
      <c r="E6112" s="24" t="s">
        <v>40</v>
      </c>
      <c r="F6112" s="22" t="s">
        <v>26</v>
      </c>
      <c r="G6112" s="25">
        <v>4964.0000000000018</v>
      </c>
      <c r="H6112" s="22" t="s">
        <v>22</v>
      </c>
      <c r="I6112" s="22">
        <v>0</v>
      </c>
      <c r="J6112" s="22" t="s">
        <v>26</v>
      </c>
      <c r="K6112" s="22" t="s">
        <v>23</v>
      </c>
      <c r="L6112" s="22">
        <v>4</v>
      </c>
      <c r="M6112" s="26">
        <v>69173</v>
      </c>
      <c r="N6112" s="26">
        <v>0</v>
      </c>
      <c r="O6112" s="15">
        <f t="shared" si="521"/>
        <v>69173</v>
      </c>
      <c r="P6112" s="15">
        <f t="shared" si="522"/>
        <v>13.93493150684931</v>
      </c>
      <c r="Q6112" s="25">
        <v>5000</v>
      </c>
      <c r="R6112" s="22">
        <v>99</v>
      </c>
      <c r="S6112" s="22" t="s">
        <v>7428</v>
      </c>
      <c r="T6112" s="22">
        <f t="shared" si="523"/>
        <v>1</v>
      </c>
      <c r="U6112" s="22">
        <f t="shared" si="524"/>
        <v>2023</v>
      </c>
      <c r="V6112" s="22" t="str">
        <f t="shared" si="525"/>
        <v>METROPOLITANA</v>
      </c>
    </row>
    <row r="6113" spans="1:22" x14ac:dyDescent="0.2">
      <c r="A6113" s="23" t="s">
        <v>7427</v>
      </c>
      <c r="B6113" s="22" t="s">
        <v>33</v>
      </c>
      <c r="C6113" s="22" t="s">
        <v>128</v>
      </c>
      <c r="D6113" s="22" t="s">
        <v>786</v>
      </c>
      <c r="E6113" s="24" t="s">
        <v>787</v>
      </c>
      <c r="F6113" s="22" t="s">
        <v>34</v>
      </c>
      <c r="G6113" s="25">
        <v>7287.3200000000024</v>
      </c>
      <c r="H6113" s="22" t="s">
        <v>788</v>
      </c>
      <c r="I6113" s="22">
        <v>1</v>
      </c>
      <c r="J6113" s="22" t="s">
        <v>34</v>
      </c>
      <c r="K6113" s="22" t="s">
        <v>23</v>
      </c>
      <c r="L6113" s="22">
        <v>1</v>
      </c>
      <c r="M6113" s="26">
        <v>80161</v>
      </c>
      <c r="N6113" s="26">
        <v>0</v>
      </c>
      <c r="O6113" s="15">
        <f t="shared" si="521"/>
        <v>80161</v>
      </c>
      <c r="P6113" s="15">
        <f t="shared" si="522"/>
        <v>11.000065867836183</v>
      </c>
      <c r="Q6113" s="25">
        <v>5000</v>
      </c>
      <c r="R6113" s="22">
        <v>100</v>
      </c>
      <c r="S6113" s="22" t="s">
        <v>7429</v>
      </c>
      <c r="T6113" s="22">
        <f t="shared" si="523"/>
        <v>1</v>
      </c>
      <c r="U6113" s="22">
        <f t="shared" si="524"/>
        <v>2023</v>
      </c>
      <c r="V6113" s="22" t="str">
        <f t="shared" si="525"/>
        <v>METROPOLITANA</v>
      </c>
    </row>
    <row r="6114" spans="1:22" x14ac:dyDescent="0.2">
      <c r="A6114" s="23" t="s">
        <v>7427</v>
      </c>
      <c r="B6114" s="22" t="s">
        <v>33</v>
      </c>
      <c r="C6114" s="22" t="s">
        <v>36</v>
      </c>
      <c r="D6114" s="22" t="s">
        <v>38</v>
      </c>
      <c r="E6114" s="24" t="s">
        <v>25</v>
      </c>
      <c r="F6114" s="22" t="s">
        <v>51</v>
      </c>
      <c r="G6114" s="25">
        <f>6717.68+2351+1374</f>
        <v>10442.68</v>
      </c>
      <c r="H6114" s="22" t="s">
        <v>43</v>
      </c>
      <c r="I6114" s="22">
        <v>0</v>
      </c>
      <c r="J6114" s="22" t="s">
        <v>51</v>
      </c>
      <c r="K6114" s="22" t="s">
        <v>23</v>
      </c>
      <c r="L6114" s="22">
        <v>4</v>
      </c>
      <c r="M6114" s="26">
        <v>73894</v>
      </c>
      <c r="N6114" s="26">
        <v>0</v>
      </c>
      <c r="O6114" s="15">
        <f t="shared" si="521"/>
        <v>73894</v>
      </c>
      <c r="P6114" s="15">
        <f t="shared" si="522"/>
        <v>7.0761528649733592</v>
      </c>
      <c r="Q6114" s="25">
        <v>5000</v>
      </c>
      <c r="R6114" s="22">
        <v>100</v>
      </c>
      <c r="S6114" s="22" t="s">
        <v>7434</v>
      </c>
      <c r="T6114" s="22">
        <f t="shared" si="523"/>
        <v>1</v>
      </c>
      <c r="U6114" s="22">
        <f t="shared" si="524"/>
        <v>2023</v>
      </c>
      <c r="V6114" s="22" t="str">
        <f t="shared" si="525"/>
        <v>METROPOLITANA</v>
      </c>
    </row>
    <row r="6115" spans="1:22" x14ac:dyDescent="0.2">
      <c r="A6115" s="23" t="s">
        <v>7427</v>
      </c>
      <c r="B6115" s="22" t="s">
        <v>33</v>
      </c>
      <c r="C6115" s="22" t="s">
        <v>36</v>
      </c>
      <c r="D6115" s="22" t="s">
        <v>2825</v>
      </c>
      <c r="E6115" s="24" t="s">
        <v>639</v>
      </c>
      <c r="F6115" s="22" t="s">
        <v>132</v>
      </c>
      <c r="G6115" s="25">
        <f>5721.2+3610</f>
        <v>9331.2000000000007</v>
      </c>
      <c r="H6115" s="22" t="s">
        <v>24</v>
      </c>
      <c r="I6115" s="22">
        <v>1</v>
      </c>
      <c r="J6115" s="22" t="s">
        <v>132</v>
      </c>
      <c r="K6115" s="22" t="s">
        <v>124</v>
      </c>
      <c r="L6115" s="22">
        <v>0</v>
      </c>
      <c r="M6115" s="26">
        <v>440000</v>
      </c>
      <c r="N6115" s="26">
        <v>0</v>
      </c>
      <c r="O6115" s="15">
        <f t="shared" si="521"/>
        <v>440000</v>
      </c>
      <c r="P6115" s="15">
        <f t="shared" si="522"/>
        <v>47.153635116598075</v>
      </c>
      <c r="Q6115" s="25">
        <v>14000</v>
      </c>
      <c r="R6115" s="22">
        <v>75</v>
      </c>
      <c r="S6115" s="22" t="s">
        <v>7436</v>
      </c>
      <c r="T6115" s="22">
        <f t="shared" si="523"/>
        <v>1</v>
      </c>
      <c r="U6115" s="22">
        <f t="shared" si="524"/>
        <v>2023</v>
      </c>
      <c r="V6115" s="22" t="str">
        <f t="shared" si="525"/>
        <v>REGIONES</v>
      </c>
    </row>
    <row r="6116" spans="1:22" x14ac:dyDescent="0.2">
      <c r="A6116" s="23" t="s">
        <v>7427</v>
      </c>
      <c r="B6116" s="22" t="s">
        <v>33</v>
      </c>
      <c r="C6116" s="22" t="s">
        <v>36</v>
      </c>
      <c r="D6116" s="22" t="s">
        <v>45</v>
      </c>
      <c r="E6116" s="24" t="s">
        <v>2113</v>
      </c>
      <c r="F6116" s="22" t="s">
        <v>376</v>
      </c>
      <c r="G6116" s="25">
        <v>2548.8000000000002</v>
      </c>
      <c r="H6116" s="22" t="s">
        <v>22</v>
      </c>
      <c r="I6116" s="22">
        <v>0</v>
      </c>
      <c r="J6116" s="22" t="s">
        <v>377</v>
      </c>
      <c r="K6116" s="22" t="s">
        <v>23</v>
      </c>
      <c r="L6116" s="22">
        <v>4</v>
      </c>
      <c r="M6116" s="26">
        <v>69173</v>
      </c>
      <c r="N6116" s="26">
        <v>0</v>
      </c>
      <c r="O6116" s="15">
        <f t="shared" si="521"/>
        <v>69173</v>
      </c>
      <c r="P6116" s="15">
        <f t="shared" si="522"/>
        <v>27.139438166980536</v>
      </c>
      <c r="Q6116" s="25">
        <v>5000</v>
      </c>
      <c r="R6116" s="22">
        <v>51</v>
      </c>
      <c r="S6116" s="22" t="s">
        <v>7430</v>
      </c>
      <c r="T6116" s="22">
        <f t="shared" si="523"/>
        <v>1</v>
      </c>
      <c r="U6116" s="22">
        <f t="shared" si="524"/>
        <v>2023</v>
      </c>
      <c r="V6116" s="22" t="str">
        <f t="shared" si="525"/>
        <v>METROPOLITANA</v>
      </c>
    </row>
    <row r="6117" spans="1:22" x14ac:dyDescent="0.2">
      <c r="A6117" s="23" t="s">
        <v>7427</v>
      </c>
      <c r="B6117" s="22" t="s">
        <v>33</v>
      </c>
      <c r="C6117" s="22" t="s">
        <v>36</v>
      </c>
      <c r="D6117" s="22" t="s">
        <v>47</v>
      </c>
      <c r="E6117" s="24" t="s">
        <v>21</v>
      </c>
      <c r="F6117" s="22" t="s">
        <v>46</v>
      </c>
      <c r="G6117" s="25">
        <v>2948.2000000000012</v>
      </c>
      <c r="H6117" s="22" t="s">
        <v>22</v>
      </c>
      <c r="I6117" s="22">
        <v>0</v>
      </c>
      <c r="J6117" s="22" t="s">
        <v>46</v>
      </c>
      <c r="K6117" s="22" t="s">
        <v>23</v>
      </c>
      <c r="L6117" s="22">
        <v>2</v>
      </c>
      <c r="M6117" s="26">
        <v>69173</v>
      </c>
      <c r="N6117" s="26">
        <v>0</v>
      </c>
      <c r="O6117" s="15">
        <f t="shared" si="521"/>
        <v>69173</v>
      </c>
      <c r="P6117" s="15">
        <f t="shared" si="522"/>
        <v>23.462790855437206</v>
      </c>
      <c r="Q6117" s="25">
        <v>5000</v>
      </c>
      <c r="R6117" s="22">
        <v>59</v>
      </c>
      <c r="S6117" s="22" t="s">
        <v>7431</v>
      </c>
      <c r="T6117" s="22">
        <f t="shared" si="523"/>
        <v>1</v>
      </c>
      <c r="U6117" s="22">
        <f t="shared" si="524"/>
        <v>2023</v>
      </c>
      <c r="V6117" s="22" t="str">
        <f t="shared" si="525"/>
        <v>METROPOLITANA</v>
      </c>
    </row>
    <row r="6118" spans="1:22" x14ac:dyDescent="0.2">
      <c r="A6118" s="23" t="s">
        <v>7427</v>
      </c>
      <c r="B6118" s="22" t="s">
        <v>33</v>
      </c>
      <c r="C6118" s="22" t="s">
        <v>909</v>
      </c>
      <c r="D6118" s="22" t="s">
        <v>2955</v>
      </c>
      <c r="E6118" s="24" t="s">
        <v>2956</v>
      </c>
      <c r="F6118" s="22" t="s">
        <v>910</v>
      </c>
      <c r="G6118" s="25">
        <f>6380.88+334+334</f>
        <v>7048.88</v>
      </c>
      <c r="H6118" s="22" t="s">
        <v>24</v>
      </c>
      <c r="I6118" s="22">
        <v>1</v>
      </c>
      <c r="J6118" s="22" t="s">
        <v>910</v>
      </c>
      <c r="K6118" s="22" t="s">
        <v>171</v>
      </c>
      <c r="L6118" s="22">
        <v>0</v>
      </c>
      <c r="M6118" s="26">
        <v>290000</v>
      </c>
      <c r="N6118" s="26">
        <v>0</v>
      </c>
      <c r="O6118" s="15">
        <f t="shared" si="521"/>
        <v>290000</v>
      </c>
      <c r="P6118" s="15">
        <f t="shared" si="522"/>
        <v>41.141287693931517</v>
      </c>
      <c r="Q6118" s="25">
        <v>14000</v>
      </c>
      <c r="R6118" s="22">
        <v>58</v>
      </c>
      <c r="S6118" s="22" t="s">
        <v>7435</v>
      </c>
      <c r="T6118" s="22">
        <f t="shared" si="523"/>
        <v>1</v>
      </c>
      <c r="U6118" s="22">
        <f t="shared" si="524"/>
        <v>2023</v>
      </c>
      <c r="V6118" s="22" t="str">
        <f t="shared" si="525"/>
        <v>REGIONES</v>
      </c>
    </row>
    <row r="6119" spans="1:22" x14ac:dyDescent="0.2">
      <c r="A6119" s="23" t="s">
        <v>7427</v>
      </c>
      <c r="B6119" s="22" t="s">
        <v>33</v>
      </c>
      <c r="C6119" s="22" t="s">
        <v>29</v>
      </c>
      <c r="D6119" s="22" t="s">
        <v>30</v>
      </c>
      <c r="E6119" s="24" t="s">
        <v>31</v>
      </c>
      <c r="F6119" s="22" t="s">
        <v>129</v>
      </c>
      <c r="G6119" s="25">
        <v>3476.1000000000008</v>
      </c>
      <c r="H6119" s="22" t="s">
        <v>32</v>
      </c>
      <c r="I6119" s="22">
        <v>0</v>
      </c>
      <c r="J6119" s="22" t="s">
        <v>129</v>
      </c>
      <c r="K6119" s="22" t="s">
        <v>23</v>
      </c>
      <c r="L6119" s="22">
        <v>1</v>
      </c>
      <c r="M6119" s="26">
        <v>69173</v>
      </c>
      <c r="N6119" s="26">
        <v>0</v>
      </c>
      <c r="O6119" s="15">
        <f t="shared" si="521"/>
        <v>69173</v>
      </c>
      <c r="P6119" s="15">
        <f t="shared" si="522"/>
        <v>19.899600126578633</v>
      </c>
      <c r="Q6119" s="25">
        <v>5000</v>
      </c>
      <c r="R6119" s="22">
        <v>70</v>
      </c>
      <c r="S6119" s="22" t="s">
        <v>7432</v>
      </c>
      <c r="T6119" s="22">
        <f t="shared" si="523"/>
        <v>1</v>
      </c>
      <c r="U6119" s="22">
        <f t="shared" si="524"/>
        <v>2023</v>
      </c>
      <c r="V6119" s="22" t="str">
        <f t="shared" si="525"/>
        <v>METROPOLITANA</v>
      </c>
    </row>
    <row r="6120" spans="1:22" x14ac:dyDescent="0.2">
      <c r="A6120" s="23" t="s">
        <v>7427</v>
      </c>
      <c r="B6120" s="22" t="s">
        <v>33</v>
      </c>
      <c r="C6120" s="22" t="s">
        <v>29</v>
      </c>
      <c r="D6120" s="22" t="s">
        <v>164</v>
      </c>
      <c r="E6120" s="24" t="s">
        <v>1576</v>
      </c>
      <c r="F6120" s="22" t="s">
        <v>39</v>
      </c>
      <c r="G6120" s="25">
        <v>8859.2799999999988</v>
      </c>
      <c r="H6120" s="22" t="s">
        <v>22</v>
      </c>
      <c r="I6120" s="22">
        <v>1</v>
      </c>
      <c r="J6120" s="22" t="s">
        <v>39</v>
      </c>
      <c r="K6120" s="22" t="s">
        <v>23</v>
      </c>
      <c r="L6120" s="22">
        <v>1</v>
      </c>
      <c r="M6120" s="26">
        <v>97452</v>
      </c>
      <c r="N6120" s="26">
        <v>0</v>
      </c>
      <c r="O6120" s="15">
        <f t="shared" si="521"/>
        <v>97452</v>
      </c>
      <c r="P6120" s="15">
        <f t="shared" si="522"/>
        <v>10.999990969920807</v>
      </c>
      <c r="Q6120" s="25">
        <v>5000</v>
      </c>
      <c r="R6120" s="22">
        <v>100</v>
      </c>
      <c r="S6120" s="22" t="s">
        <v>7433</v>
      </c>
      <c r="T6120" s="22">
        <f t="shared" si="523"/>
        <v>1</v>
      </c>
      <c r="U6120" s="22">
        <f t="shared" si="524"/>
        <v>2023</v>
      </c>
      <c r="V6120" s="22" t="str">
        <f t="shared" si="525"/>
        <v>METROPOLITANA</v>
      </c>
    </row>
    <row r="6121" spans="1:22" x14ac:dyDescent="0.2">
      <c r="A6121" s="11" t="s">
        <v>7437</v>
      </c>
      <c r="B6121" s="12" t="s">
        <v>18</v>
      </c>
      <c r="C6121" s="12" t="s">
        <v>7400</v>
      </c>
      <c r="D6121" s="12" t="s">
        <v>38</v>
      </c>
      <c r="E6121" s="13" t="s">
        <v>42</v>
      </c>
      <c r="F6121" s="12" t="s">
        <v>51</v>
      </c>
      <c r="G6121" s="14">
        <v>6987.95</v>
      </c>
      <c r="H6121" s="12" t="s">
        <v>43</v>
      </c>
      <c r="I6121" s="12">
        <v>0</v>
      </c>
      <c r="J6121" s="12" t="s">
        <v>51</v>
      </c>
      <c r="K6121" s="12" t="s">
        <v>23</v>
      </c>
      <c r="L6121" s="12">
        <v>4</v>
      </c>
      <c r="M6121" s="15">
        <v>76867</v>
      </c>
      <c r="N6121" s="15">
        <v>0</v>
      </c>
      <c r="O6121" s="15">
        <f t="shared" si="521"/>
        <v>76867</v>
      </c>
      <c r="P6121" s="15">
        <f t="shared" si="522"/>
        <v>10.999935603431622</v>
      </c>
      <c r="Q6121" s="14">
        <v>5000</v>
      </c>
      <c r="R6121" s="12">
        <v>100</v>
      </c>
      <c r="S6121" s="12" t="s">
        <v>7438</v>
      </c>
      <c r="T6121" s="22">
        <f t="shared" si="523"/>
        <v>1</v>
      </c>
      <c r="U6121" s="22">
        <f t="shared" si="524"/>
        <v>2023</v>
      </c>
      <c r="V6121" s="22" t="str">
        <f t="shared" si="525"/>
        <v>METROPOLITANA</v>
      </c>
    </row>
    <row r="6122" spans="1:22" x14ac:dyDescent="0.2">
      <c r="A6122" s="11" t="s">
        <v>7437</v>
      </c>
      <c r="B6122" s="12" t="s">
        <v>33</v>
      </c>
      <c r="C6122" s="12" t="s">
        <v>57</v>
      </c>
      <c r="D6122" s="12" t="s">
        <v>63</v>
      </c>
      <c r="E6122" s="13" t="s">
        <v>64</v>
      </c>
      <c r="F6122" s="12" t="s">
        <v>58</v>
      </c>
      <c r="G6122" s="14">
        <v>7023.3600000000024</v>
      </c>
      <c r="H6122" s="12" t="s">
        <v>65</v>
      </c>
      <c r="I6122" s="12">
        <v>0</v>
      </c>
      <c r="J6122" s="12" t="s">
        <v>58</v>
      </c>
      <c r="K6122" s="12" t="s">
        <v>23</v>
      </c>
      <c r="L6122" s="12">
        <v>5</v>
      </c>
      <c r="M6122" s="15">
        <v>87500</v>
      </c>
      <c r="N6122" s="15">
        <v>0</v>
      </c>
      <c r="O6122" s="15">
        <f t="shared" si="521"/>
        <v>87500</v>
      </c>
      <c r="P6122" s="15">
        <f t="shared" si="522"/>
        <v>12.458424457809363</v>
      </c>
      <c r="Q6122" s="14">
        <v>10000</v>
      </c>
      <c r="R6122" s="12">
        <v>70</v>
      </c>
      <c r="S6122" s="12" t="s">
        <v>7439</v>
      </c>
      <c r="T6122" s="22">
        <f t="shared" si="523"/>
        <v>1</v>
      </c>
      <c r="U6122" s="22">
        <f t="shared" si="524"/>
        <v>2023</v>
      </c>
      <c r="V6122" s="22" t="str">
        <f t="shared" si="525"/>
        <v>METROPOLITANA</v>
      </c>
    </row>
    <row r="6123" spans="1:22" x14ac:dyDescent="0.2">
      <c r="A6123" s="11" t="s">
        <v>7437</v>
      </c>
      <c r="B6123" s="12" t="s">
        <v>33</v>
      </c>
      <c r="C6123" s="12" t="s">
        <v>128</v>
      </c>
      <c r="D6123" s="12" t="s">
        <v>6381</v>
      </c>
      <c r="E6123" s="13" t="s">
        <v>21</v>
      </c>
      <c r="F6123" s="12" t="s">
        <v>58</v>
      </c>
      <c r="G6123" s="14">
        <v>4364.3599999999997</v>
      </c>
      <c r="H6123" s="12" t="s">
        <v>24</v>
      </c>
      <c r="I6123" s="12">
        <v>1</v>
      </c>
      <c r="J6123" s="12" t="s">
        <v>58</v>
      </c>
      <c r="K6123" s="12" t="s">
        <v>23</v>
      </c>
      <c r="L6123" s="12">
        <v>5</v>
      </c>
      <c r="M6123" s="15">
        <v>187000</v>
      </c>
      <c r="N6123" s="15">
        <v>0</v>
      </c>
      <c r="O6123" s="15">
        <f t="shared" si="521"/>
        <v>187000</v>
      </c>
      <c r="P6123" s="15">
        <f t="shared" si="522"/>
        <v>42.84706119568505</v>
      </c>
      <c r="Q6123" s="14">
        <v>10000</v>
      </c>
      <c r="R6123" s="12">
        <v>44</v>
      </c>
      <c r="S6123" s="12" t="s">
        <v>7440</v>
      </c>
      <c r="T6123" s="22">
        <f t="shared" si="523"/>
        <v>1</v>
      </c>
      <c r="U6123" s="22">
        <f t="shared" si="524"/>
        <v>2023</v>
      </c>
      <c r="V6123" s="22" t="str">
        <f t="shared" si="525"/>
        <v>METROPOLITANA</v>
      </c>
    </row>
    <row r="6124" spans="1:22" x14ac:dyDescent="0.2">
      <c r="A6124" s="11" t="s">
        <v>7437</v>
      </c>
      <c r="B6124" s="12" t="s">
        <v>33</v>
      </c>
      <c r="C6124" s="12" t="s">
        <v>36</v>
      </c>
      <c r="D6124" s="12" t="s">
        <v>37</v>
      </c>
      <c r="E6124" s="13" t="s">
        <v>40</v>
      </c>
      <c r="F6124" s="12" t="s">
        <v>170</v>
      </c>
      <c r="G6124" s="14">
        <f>8299.28+6595</f>
        <v>14894.28</v>
      </c>
      <c r="H6124" s="12" t="s">
        <v>22</v>
      </c>
      <c r="I6124" s="12">
        <v>0</v>
      </c>
      <c r="J6124" s="12" t="s">
        <v>170</v>
      </c>
      <c r="K6124" s="12" t="s">
        <v>171</v>
      </c>
      <c r="L6124" s="12">
        <v>0</v>
      </c>
      <c r="M6124" s="15">
        <v>226400</v>
      </c>
      <c r="N6124" s="15">
        <v>0</v>
      </c>
      <c r="O6124" s="15">
        <f t="shared" si="521"/>
        <v>226400</v>
      </c>
      <c r="P6124" s="15">
        <f t="shared" si="522"/>
        <v>15.200466219246582</v>
      </c>
      <c r="Q6124" s="14">
        <v>14000</v>
      </c>
      <c r="R6124" s="12">
        <v>100</v>
      </c>
      <c r="S6124" s="12" t="s">
        <v>7445</v>
      </c>
      <c r="T6124" s="22">
        <f t="shared" si="523"/>
        <v>1</v>
      </c>
      <c r="U6124" s="22">
        <f t="shared" si="524"/>
        <v>2023</v>
      </c>
      <c r="V6124" s="22" t="str">
        <f t="shared" si="525"/>
        <v>REGIONES</v>
      </c>
    </row>
    <row r="6125" spans="1:22" x14ac:dyDescent="0.2">
      <c r="A6125" s="11" t="s">
        <v>7437</v>
      </c>
      <c r="B6125" s="12" t="s">
        <v>33</v>
      </c>
      <c r="C6125" s="12" t="s">
        <v>36</v>
      </c>
      <c r="D6125" s="12" t="s">
        <v>30</v>
      </c>
      <c r="E6125" s="13" t="s">
        <v>31</v>
      </c>
      <c r="F6125" s="12" t="s">
        <v>308</v>
      </c>
      <c r="G6125" s="14">
        <v>6159.3</v>
      </c>
      <c r="H6125" s="12" t="s">
        <v>32</v>
      </c>
      <c r="I6125" s="12">
        <v>0</v>
      </c>
      <c r="J6125" s="12" t="s">
        <v>308</v>
      </c>
      <c r="K6125" s="12" t="s">
        <v>78</v>
      </c>
      <c r="L6125" s="12">
        <v>0</v>
      </c>
      <c r="M6125" s="15">
        <v>227000</v>
      </c>
      <c r="N6125" s="15">
        <v>0</v>
      </c>
      <c r="O6125" s="15">
        <f t="shared" si="521"/>
        <v>227000</v>
      </c>
      <c r="P6125" s="15">
        <f t="shared" si="522"/>
        <v>36.854837400353937</v>
      </c>
      <c r="Q6125" s="14">
        <v>14000</v>
      </c>
      <c r="R6125" s="12">
        <v>44</v>
      </c>
      <c r="S6125" s="12" t="s">
        <v>7441</v>
      </c>
      <c r="T6125" s="22">
        <f t="shared" si="523"/>
        <v>1</v>
      </c>
      <c r="U6125" s="22">
        <f t="shared" si="524"/>
        <v>2023</v>
      </c>
      <c r="V6125" s="22" t="str">
        <f t="shared" si="525"/>
        <v>REGIONES</v>
      </c>
    </row>
    <row r="6126" spans="1:22" x14ac:dyDescent="0.2">
      <c r="A6126" s="11" t="s">
        <v>7437</v>
      </c>
      <c r="B6126" s="12" t="s">
        <v>33</v>
      </c>
      <c r="C6126" s="12" t="s">
        <v>29</v>
      </c>
      <c r="D6126" s="12" t="s">
        <v>3842</v>
      </c>
      <c r="E6126" s="13" t="s">
        <v>4359</v>
      </c>
      <c r="F6126" s="12" t="s">
        <v>114</v>
      </c>
      <c r="G6126" s="14">
        <v>15108.1</v>
      </c>
      <c r="H6126" s="12" t="s">
        <v>24</v>
      </c>
      <c r="I6126" s="12">
        <v>1</v>
      </c>
      <c r="J6126" s="12" t="s">
        <v>114</v>
      </c>
      <c r="K6126" s="12" t="s">
        <v>75</v>
      </c>
      <c r="L6126" s="12">
        <v>0</v>
      </c>
      <c r="M6126" s="15">
        <v>528000</v>
      </c>
      <c r="N6126" s="15">
        <v>0</v>
      </c>
      <c r="O6126" s="15">
        <f t="shared" si="521"/>
        <v>528000</v>
      </c>
      <c r="P6126" s="15">
        <f t="shared" si="522"/>
        <v>34.948140401506478</v>
      </c>
      <c r="Q6126" s="14">
        <v>14000</v>
      </c>
      <c r="R6126" s="12">
        <v>100</v>
      </c>
      <c r="S6126" s="12" t="s">
        <v>7442</v>
      </c>
      <c r="T6126" s="22">
        <f t="shared" si="523"/>
        <v>1</v>
      </c>
      <c r="U6126" s="22">
        <f t="shared" si="524"/>
        <v>2023</v>
      </c>
      <c r="V6126" s="22" t="str">
        <f t="shared" si="525"/>
        <v>REGIONES</v>
      </c>
    </row>
    <row r="6127" spans="1:22" x14ac:dyDescent="0.2">
      <c r="A6127" s="11" t="s">
        <v>7437</v>
      </c>
      <c r="B6127" s="12" t="s">
        <v>33</v>
      </c>
      <c r="C6127" s="12" t="s">
        <v>29</v>
      </c>
      <c r="D6127" s="12" t="s">
        <v>7012</v>
      </c>
      <c r="E6127" s="13" t="s">
        <v>6760</v>
      </c>
      <c r="F6127" s="12" t="s">
        <v>114</v>
      </c>
      <c r="G6127" s="14">
        <v>13404.2</v>
      </c>
      <c r="H6127" s="12" t="s">
        <v>24</v>
      </c>
      <c r="I6127" s="12">
        <v>1</v>
      </c>
      <c r="J6127" s="12" t="s">
        <v>114</v>
      </c>
      <c r="K6127" s="12" t="s">
        <v>75</v>
      </c>
      <c r="L6127" s="12">
        <v>0</v>
      </c>
      <c r="M6127" s="15">
        <v>528000</v>
      </c>
      <c r="N6127" s="15">
        <v>0</v>
      </c>
      <c r="O6127" s="15">
        <f t="shared" si="521"/>
        <v>528000</v>
      </c>
      <c r="P6127" s="15">
        <f t="shared" si="522"/>
        <v>39.390638755017079</v>
      </c>
      <c r="Q6127" s="14">
        <v>14000</v>
      </c>
      <c r="R6127" s="12">
        <v>96</v>
      </c>
      <c r="S6127" s="12" t="s">
        <v>7443</v>
      </c>
      <c r="T6127" s="22">
        <f t="shared" si="523"/>
        <v>1</v>
      </c>
      <c r="U6127" s="22">
        <f t="shared" si="524"/>
        <v>2023</v>
      </c>
      <c r="V6127" s="22" t="str">
        <f t="shared" si="525"/>
        <v>REGIONES</v>
      </c>
    </row>
    <row r="6128" spans="1:22" x14ac:dyDescent="0.2">
      <c r="A6128" s="11" t="s">
        <v>7437</v>
      </c>
      <c r="B6128" s="12" t="s">
        <v>33</v>
      </c>
      <c r="C6128" s="12" t="s">
        <v>44</v>
      </c>
      <c r="D6128" s="12" t="s">
        <v>47</v>
      </c>
      <c r="E6128" s="13" t="s">
        <v>49</v>
      </c>
      <c r="F6128" s="12" t="s">
        <v>94</v>
      </c>
      <c r="G6128" s="14">
        <v>5831.42</v>
      </c>
      <c r="H6128" s="12" t="s">
        <v>22</v>
      </c>
      <c r="I6128" s="12">
        <v>0</v>
      </c>
      <c r="J6128" s="12" t="s">
        <v>59</v>
      </c>
      <c r="K6128" s="12" t="s">
        <v>78</v>
      </c>
      <c r="L6128" s="12">
        <v>0</v>
      </c>
      <c r="M6128" s="15">
        <v>227000</v>
      </c>
      <c r="N6128" s="15">
        <v>0</v>
      </c>
      <c r="O6128" s="15">
        <f t="shared" si="521"/>
        <v>227000</v>
      </c>
      <c r="P6128" s="15">
        <f t="shared" si="522"/>
        <v>38.927053787928152</v>
      </c>
      <c r="Q6128" s="14">
        <v>14000</v>
      </c>
      <c r="R6128" s="12">
        <v>42</v>
      </c>
      <c r="S6128" s="12" t="s">
        <v>7444</v>
      </c>
      <c r="T6128" s="22">
        <f t="shared" si="523"/>
        <v>1</v>
      </c>
      <c r="U6128" s="22">
        <f t="shared" si="524"/>
        <v>2023</v>
      </c>
      <c r="V6128" s="22" t="str">
        <f t="shared" si="525"/>
        <v>REGIONES</v>
      </c>
    </row>
    <row r="6129" spans="1:22" x14ac:dyDescent="0.2">
      <c r="A6129" s="23" t="s">
        <v>7446</v>
      </c>
      <c r="B6129" s="22" t="s">
        <v>18</v>
      </c>
      <c r="C6129" s="22" t="s">
        <v>29</v>
      </c>
      <c r="D6129" s="22" t="s">
        <v>1170</v>
      </c>
      <c r="E6129" s="24">
        <v>62704391</v>
      </c>
      <c r="F6129" s="22" t="s">
        <v>39</v>
      </c>
      <c r="G6129" s="25">
        <v>27878.75999999998</v>
      </c>
      <c r="H6129" s="22" t="s">
        <v>24</v>
      </c>
      <c r="I6129" s="22">
        <v>1</v>
      </c>
      <c r="J6129" s="22" t="s">
        <v>39</v>
      </c>
      <c r="K6129" s="22" t="s">
        <v>23</v>
      </c>
      <c r="L6129" s="22">
        <v>1</v>
      </c>
      <c r="M6129" s="26">
        <v>306666</v>
      </c>
      <c r="N6129" s="26">
        <v>0</v>
      </c>
      <c r="O6129" s="15">
        <f t="shared" si="521"/>
        <v>306666</v>
      </c>
      <c r="P6129" s="15">
        <f t="shared" si="522"/>
        <v>10.999987086943616</v>
      </c>
      <c r="Q6129" s="25">
        <v>5000</v>
      </c>
      <c r="R6129" s="22">
        <v>100</v>
      </c>
      <c r="S6129" s="22" t="s">
        <v>7447</v>
      </c>
      <c r="T6129" s="22">
        <f t="shared" si="523"/>
        <v>1</v>
      </c>
      <c r="U6129" s="22">
        <f t="shared" si="524"/>
        <v>2023</v>
      </c>
      <c r="V6129" s="22" t="str">
        <f t="shared" si="525"/>
        <v>METROPOLITANA</v>
      </c>
    </row>
    <row r="6130" spans="1:22" x14ac:dyDescent="0.2">
      <c r="A6130" s="23" t="s">
        <v>7446</v>
      </c>
      <c r="B6130" s="22" t="s">
        <v>33</v>
      </c>
      <c r="C6130" s="22" t="s">
        <v>29</v>
      </c>
      <c r="D6130" s="22" t="s">
        <v>38</v>
      </c>
      <c r="E6130" s="24">
        <v>53173292</v>
      </c>
      <c r="F6130" s="22" t="s">
        <v>39</v>
      </c>
      <c r="G6130" s="25">
        <v>7286.7200000000012</v>
      </c>
      <c r="H6130" s="22" t="s">
        <v>43</v>
      </c>
      <c r="I6130" s="22">
        <v>0</v>
      </c>
      <c r="J6130" s="22" t="s">
        <v>39</v>
      </c>
      <c r="K6130" s="22" t="s">
        <v>23</v>
      </c>
      <c r="L6130" s="22">
        <v>1</v>
      </c>
      <c r="M6130" s="26">
        <v>80154</v>
      </c>
      <c r="N6130" s="26">
        <v>0</v>
      </c>
      <c r="O6130" s="15">
        <f t="shared" si="521"/>
        <v>80154</v>
      </c>
      <c r="P6130" s="15">
        <f t="shared" si="522"/>
        <v>11.00001097887664</v>
      </c>
      <c r="Q6130" s="25">
        <v>5000</v>
      </c>
      <c r="R6130" s="22">
        <v>100</v>
      </c>
      <c r="S6130" s="22" t="s">
        <v>7448</v>
      </c>
      <c r="T6130" s="22">
        <f t="shared" si="523"/>
        <v>1</v>
      </c>
      <c r="U6130" s="22">
        <f t="shared" si="524"/>
        <v>2023</v>
      </c>
      <c r="V6130" s="22" t="str">
        <f t="shared" si="525"/>
        <v>METROPOLITANA</v>
      </c>
    </row>
    <row r="6131" spans="1:22" x14ac:dyDescent="0.2">
      <c r="A6131" s="23" t="s">
        <v>7446</v>
      </c>
      <c r="B6131" s="22" t="s">
        <v>33</v>
      </c>
      <c r="C6131" s="22" t="s">
        <v>29</v>
      </c>
      <c r="D6131" s="22" t="s">
        <v>4361</v>
      </c>
      <c r="E6131" s="24">
        <v>200217330</v>
      </c>
      <c r="F6131" s="22" t="s">
        <v>114</v>
      </c>
      <c r="G6131" s="53">
        <f>8376.24+1286+6208</f>
        <v>15870.24</v>
      </c>
      <c r="H6131" s="22" t="s">
        <v>85</v>
      </c>
      <c r="I6131" s="22">
        <v>1</v>
      </c>
      <c r="J6131" s="22" t="s">
        <v>114</v>
      </c>
      <c r="K6131" s="22" t="s">
        <v>75</v>
      </c>
      <c r="L6131" s="22">
        <v>0</v>
      </c>
      <c r="M6131" s="26">
        <v>528000</v>
      </c>
      <c r="N6131" s="26">
        <v>0</v>
      </c>
      <c r="O6131" s="15">
        <f t="shared" si="521"/>
        <v>528000</v>
      </c>
      <c r="P6131" s="15">
        <f t="shared" si="522"/>
        <v>33.269818225811328</v>
      </c>
      <c r="Q6131" s="25">
        <v>14000</v>
      </c>
      <c r="R6131" s="22">
        <v>100</v>
      </c>
      <c r="S6131" s="22" t="s">
        <v>7454</v>
      </c>
      <c r="T6131" s="22">
        <f t="shared" si="523"/>
        <v>1</v>
      </c>
      <c r="U6131" s="22">
        <f t="shared" si="524"/>
        <v>2023</v>
      </c>
      <c r="V6131" s="22" t="str">
        <f t="shared" si="525"/>
        <v>REGIONES</v>
      </c>
    </row>
    <row r="6132" spans="1:22" x14ac:dyDescent="0.2">
      <c r="A6132" s="23" t="s">
        <v>7446</v>
      </c>
      <c r="B6132" s="22" t="s">
        <v>33</v>
      </c>
      <c r="C6132" s="22" t="s">
        <v>29</v>
      </c>
      <c r="D6132" s="22" t="s">
        <v>164</v>
      </c>
      <c r="E6132" s="24">
        <v>154837728</v>
      </c>
      <c r="F6132" s="22" t="s">
        <v>39</v>
      </c>
      <c r="G6132" s="25">
        <v>18621.419999999998</v>
      </c>
      <c r="H6132" s="22" t="s">
        <v>22</v>
      </c>
      <c r="I6132" s="22">
        <v>1</v>
      </c>
      <c r="J6132" s="22" t="s">
        <v>39</v>
      </c>
      <c r="K6132" s="22" t="s">
        <v>23</v>
      </c>
      <c r="L6132" s="22">
        <v>1</v>
      </c>
      <c r="M6132" s="26">
        <v>204836</v>
      </c>
      <c r="N6132" s="26">
        <v>0</v>
      </c>
      <c r="O6132" s="15">
        <f t="shared" si="521"/>
        <v>204836</v>
      </c>
      <c r="P6132" s="15">
        <f t="shared" si="522"/>
        <v>11.000020406607016</v>
      </c>
      <c r="Q6132" s="25">
        <v>5000</v>
      </c>
      <c r="R6132" s="22">
        <v>100</v>
      </c>
      <c r="S6132" s="22" t="s">
        <v>7449</v>
      </c>
      <c r="T6132" s="22">
        <f t="shared" si="523"/>
        <v>1</v>
      </c>
      <c r="U6132" s="22">
        <f t="shared" si="524"/>
        <v>2023</v>
      </c>
      <c r="V6132" s="22" t="str">
        <f t="shared" si="525"/>
        <v>METROPOLITANA</v>
      </c>
    </row>
    <row r="6133" spans="1:22" x14ac:dyDescent="0.2">
      <c r="A6133" s="23" t="s">
        <v>7446</v>
      </c>
      <c r="B6133" s="22" t="s">
        <v>33</v>
      </c>
      <c r="C6133" s="22" t="s">
        <v>44</v>
      </c>
      <c r="D6133" s="22" t="s">
        <v>1869</v>
      </c>
      <c r="E6133" s="24">
        <v>125897258</v>
      </c>
      <c r="F6133" s="22" t="s">
        <v>132</v>
      </c>
      <c r="G6133" s="25">
        <v>9141.9999999999964</v>
      </c>
      <c r="H6133" s="22" t="s">
        <v>24</v>
      </c>
      <c r="I6133" s="22">
        <v>1</v>
      </c>
      <c r="J6133" s="22" t="s">
        <v>132</v>
      </c>
      <c r="K6133" s="22" t="s">
        <v>124</v>
      </c>
      <c r="L6133" s="22">
        <v>0</v>
      </c>
      <c r="M6133" s="26">
        <v>440000</v>
      </c>
      <c r="N6133" s="26">
        <v>0</v>
      </c>
      <c r="O6133" s="15">
        <f t="shared" si="521"/>
        <v>440000</v>
      </c>
      <c r="P6133" s="15">
        <f t="shared" si="522"/>
        <v>48.129512141763307</v>
      </c>
      <c r="Q6133" s="25">
        <v>14000</v>
      </c>
      <c r="R6133" s="22">
        <v>65</v>
      </c>
      <c r="S6133" s="22" t="s">
        <v>7450</v>
      </c>
      <c r="T6133" s="22">
        <f t="shared" si="523"/>
        <v>1</v>
      </c>
      <c r="U6133" s="22">
        <f t="shared" si="524"/>
        <v>2023</v>
      </c>
      <c r="V6133" s="22" t="str">
        <f t="shared" si="525"/>
        <v>REGIONES</v>
      </c>
    </row>
    <row r="6134" spans="1:22" x14ac:dyDescent="0.2">
      <c r="A6134" s="23" t="s">
        <v>7446</v>
      </c>
      <c r="B6134" s="22" t="s">
        <v>33</v>
      </c>
      <c r="C6134" s="22" t="s">
        <v>44</v>
      </c>
      <c r="D6134" s="22" t="s">
        <v>5478</v>
      </c>
      <c r="E6134" s="24">
        <v>122975819</v>
      </c>
      <c r="F6134" s="22" t="s">
        <v>84</v>
      </c>
      <c r="G6134" s="53">
        <f>4190.97+4083</f>
        <v>8273.9700000000012</v>
      </c>
      <c r="H6134" s="22" t="s">
        <v>24</v>
      </c>
      <c r="I6134" s="22">
        <v>1</v>
      </c>
      <c r="J6134" s="22" t="s">
        <v>84</v>
      </c>
      <c r="K6134" s="22" t="s">
        <v>86</v>
      </c>
      <c r="L6134" s="22">
        <v>0</v>
      </c>
      <c r="M6134" s="26">
        <v>402000</v>
      </c>
      <c r="N6134" s="26">
        <v>0</v>
      </c>
      <c r="O6134" s="15">
        <f t="shared" si="521"/>
        <v>402000</v>
      </c>
      <c r="P6134" s="15">
        <f t="shared" si="522"/>
        <v>48.586107998941252</v>
      </c>
      <c r="Q6134" s="25">
        <v>14000</v>
      </c>
      <c r="R6134" s="22">
        <v>55</v>
      </c>
      <c r="S6134" s="22" t="s">
        <v>7455</v>
      </c>
      <c r="T6134" s="22">
        <f t="shared" si="523"/>
        <v>1</v>
      </c>
      <c r="U6134" s="22">
        <f t="shared" si="524"/>
        <v>2023</v>
      </c>
      <c r="V6134" s="22" t="str">
        <f t="shared" si="525"/>
        <v>REGIONES</v>
      </c>
    </row>
    <row r="6135" spans="1:22" x14ac:dyDescent="0.2">
      <c r="A6135" s="23" t="s">
        <v>7446</v>
      </c>
      <c r="B6135" s="22" t="s">
        <v>33</v>
      </c>
      <c r="C6135" s="22" t="s">
        <v>44</v>
      </c>
      <c r="D6135" s="22" t="s">
        <v>63</v>
      </c>
      <c r="E6135" s="24">
        <v>138841065</v>
      </c>
      <c r="F6135" s="22" t="s">
        <v>138</v>
      </c>
      <c r="G6135" s="25">
        <v>3128.02</v>
      </c>
      <c r="H6135" s="22" t="s">
        <v>65</v>
      </c>
      <c r="I6135" s="22">
        <v>0</v>
      </c>
      <c r="J6135" s="22" t="s">
        <v>138</v>
      </c>
      <c r="K6135" s="22" t="s">
        <v>23</v>
      </c>
      <c r="L6135" s="22">
        <v>3</v>
      </c>
      <c r="M6135" s="26">
        <v>69173</v>
      </c>
      <c r="N6135" s="26">
        <v>0</v>
      </c>
      <c r="O6135" s="15">
        <f t="shared" si="521"/>
        <v>69173</v>
      </c>
      <c r="P6135" s="15">
        <f t="shared" si="522"/>
        <v>22.113989040990788</v>
      </c>
      <c r="Q6135" s="25">
        <v>5000</v>
      </c>
      <c r="R6135" s="22">
        <v>63</v>
      </c>
      <c r="S6135" s="22" t="s">
        <v>7451</v>
      </c>
      <c r="T6135" s="22">
        <f t="shared" si="523"/>
        <v>1</v>
      </c>
      <c r="U6135" s="22">
        <f t="shared" si="524"/>
        <v>2023</v>
      </c>
      <c r="V6135" s="22" t="str">
        <f t="shared" si="525"/>
        <v>METROPOLITANA</v>
      </c>
    </row>
    <row r="6136" spans="1:22" x14ac:dyDescent="0.2">
      <c r="A6136" s="23" t="s">
        <v>7446</v>
      </c>
      <c r="B6136" s="22" t="s">
        <v>33</v>
      </c>
      <c r="C6136" s="22" t="s">
        <v>44</v>
      </c>
      <c r="D6136" s="22" t="s">
        <v>45</v>
      </c>
      <c r="E6136" s="24">
        <v>103018366</v>
      </c>
      <c r="F6136" s="22" t="s">
        <v>95</v>
      </c>
      <c r="G6136" s="25">
        <v>3556.6200000000008</v>
      </c>
      <c r="H6136" s="22" t="s">
        <v>22</v>
      </c>
      <c r="I6136" s="22">
        <v>0</v>
      </c>
      <c r="J6136" s="22" t="s">
        <v>95</v>
      </c>
      <c r="K6136" s="22" t="s">
        <v>23</v>
      </c>
      <c r="L6136" s="22">
        <v>4</v>
      </c>
      <c r="M6136" s="26">
        <v>69173</v>
      </c>
      <c r="N6136" s="26">
        <v>0</v>
      </c>
      <c r="O6136" s="15">
        <f t="shared" si="521"/>
        <v>69173</v>
      </c>
      <c r="P6136" s="15">
        <f t="shared" si="522"/>
        <v>19.449083680573125</v>
      </c>
      <c r="Q6136" s="25">
        <v>5000</v>
      </c>
      <c r="R6136" s="22">
        <v>71</v>
      </c>
      <c r="S6136" s="22" t="s">
        <v>7452</v>
      </c>
      <c r="T6136" s="22">
        <f t="shared" si="523"/>
        <v>1</v>
      </c>
      <c r="U6136" s="22">
        <f t="shared" si="524"/>
        <v>2023</v>
      </c>
      <c r="V6136" s="22" t="str">
        <f t="shared" si="525"/>
        <v>METROPOLITANA</v>
      </c>
    </row>
    <row r="6137" spans="1:22" x14ac:dyDescent="0.2">
      <c r="A6137" s="23" t="s">
        <v>7446</v>
      </c>
      <c r="B6137" s="22" t="s">
        <v>33</v>
      </c>
      <c r="C6137" s="22" t="s">
        <v>44</v>
      </c>
      <c r="D6137" s="22" t="s">
        <v>47</v>
      </c>
      <c r="E6137" s="24">
        <v>107643206</v>
      </c>
      <c r="F6137" s="22" t="s">
        <v>48</v>
      </c>
      <c r="G6137" s="25">
        <v>8219.340000000002</v>
      </c>
      <c r="H6137" s="22" t="s">
        <v>22</v>
      </c>
      <c r="I6137" s="22">
        <v>0</v>
      </c>
      <c r="J6137" s="22" t="s">
        <v>48</v>
      </c>
      <c r="K6137" s="22" t="s">
        <v>23</v>
      </c>
      <c r="L6137" s="22">
        <v>1</v>
      </c>
      <c r="M6137" s="26">
        <v>90413</v>
      </c>
      <c r="N6137" s="26">
        <v>0</v>
      </c>
      <c r="O6137" s="15">
        <f t="shared" si="521"/>
        <v>90413</v>
      </c>
      <c r="P6137" s="15">
        <f t="shared" si="522"/>
        <v>11.000031632710167</v>
      </c>
      <c r="Q6137" s="25">
        <v>5000</v>
      </c>
      <c r="R6137" s="22">
        <v>100</v>
      </c>
      <c r="S6137" s="22" t="s">
        <v>7453</v>
      </c>
      <c r="T6137" s="22">
        <f t="shared" si="523"/>
        <v>1</v>
      </c>
      <c r="U6137" s="22">
        <f t="shared" si="524"/>
        <v>2023</v>
      </c>
      <c r="V6137" s="22" t="str">
        <f t="shared" si="525"/>
        <v>METROPOLITANA</v>
      </c>
    </row>
    <row r="6138" spans="1:22" x14ac:dyDescent="0.2">
      <c r="A6138" s="11" t="s">
        <v>7456</v>
      </c>
      <c r="B6138" s="12" t="s">
        <v>33</v>
      </c>
      <c r="C6138" s="12" t="s">
        <v>128</v>
      </c>
      <c r="D6138" s="12" t="s">
        <v>30</v>
      </c>
      <c r="E6138" s="13" t="s">
        <v>31</v>
      </c>
      <c r="F6138" s="12" t="s">
        <v>2055</v>
      </c>
      <c r="G6138" s="14">
        <v>6794.5700000000024</v>
      </c>
      <c r="H6138" s="12" t="s">
        <v>32</v>
      </c>
      <c r="I6138" s="12">
        <v>0</v>
      </c>
      <c r="J6138" s="12" t="s">
        <v>2055</v>
      </c>
      <c r="K6138" s="12" t="s">
        <v>86</v>
      </c>
      <c r="L6138" s="12">
        <v>0</v>
      </c>
      <c r="M6138" s="15">
        <v>270000</v>
      </c>
      <c r="N6138" s="15">
        <v>0</v>
      </c>
      <c r="O6138" s="15">
        <f t="shared" si="521"/>
        <v>270000</v>
      </c>
      <c r="P6138" s="15">
        <f t="shared" si="522"/>
        <v>39.737614006478687</v>
      </c>
      <c r="Q6138" s="14">
        <v>14000</v>
      </c>
      <c r="R6138" s="12">
        <v>65</v>
      </c>
      <c r="S6138" s="12" t="s">
        <v>7457</v>
      </c>
      <c r="T6138" s="22">
        <f t="shared" si="523"/>
        <v>1</v>
      </c>
      <c r="U6138" s="22">
        <f t="shared" si="524"/>
        <v>2023</v>
      </c>
      <c r="V6138" s="22" t="str">
        <f t="shared" si="525"/>
        <v>REGIONES</v>
      </c>
    </row>
    <row r="6139" spans="1:22" x14ac:dyDescent="0.2">
      <c r="A6139" s="11" t="s">
        <v>7456</v>
      </c>
      <c r="B6139" s="12" t="s">
        <v>33</v>
      </c>
      <c r="C6139" s="12" t="s">
        <v>36</v>
      </c>
      <c r="D6139" s="12" t="s">
        <v>37</v>
      </c>
      <c r="E6139" s="13" t="s">
        <v>40</v>
      </c>
      <c r="F6139" s="12" t="s">
        <v>59</v>
      </c>
      <c r="G6139" s="14">
        <v>4744.0600000000004</v>
      </c>
      <c r="H6139" s="12" t="s">
        <v>22</v>
      </c>
      <c r="I6139" s="12">
        <v>0</v>
      </c>
      <c r="J6139" s="12" t="s">
        <v>59</v>
      </c>
      <c r="K6139" s="12" t="s">
        <v>78</v>
      </c>
      <c r="L6139" s="12">
        <v>0</v>
      </c>
      <c r="M6139" s="15">
        <v>227000</v>
      </c>
      <c r="N6139" s="15">
        <v>0</v>
      </c>
      <c r="O6139" s="15">
        <f t="shared" ref="O6139:O6202" si="526">SUM(M6139:N6139)</f>
        <v>227000</v>
      </c>
      <c r="P6139" s="15">
        <f t="shared" ref="P6139:P6202" si="527">O6139/G6139</f>
        <v>47.849310506190896</v>
      </c>
      <c r="Q6139" s="14">
        <v>14000</v>
      </c>
      <c r="R6139" s="12">
        <v>65</v>
      </c>
      <c r="S6139" s="12" t="s">
        <v>7458</v>
      </c>
      <c r="T6139" s="22">
        <f t="shared" si="523"/>
        <v>1</v>
      </c>
      <c r="U6139" s="22">
        <f t="shared" si="524"/>
        <v>2023</v>
      </c>
      <c r="V6139" s="22" t="str">
        <f t="shared" si="525"/>
        <v>REGIONES</v>
      </c>
    </row>
    <row r="6140" spans="1:22" x14ac:dyDescent="0.2">
      <c r="A6140" s="11" t="s">
        <v>7456</v>
      </c>
      <c r="B6140" s="12" t="s">
        <v>33</v>
      </c>
      <c r="C6140" s="12" t="s">
        <v>36</v>
      </c>
      <c r="D6140" s="12" t="s">
        <v>47</v>
      </c>
      <c r="E6140" s="13" t="s">
        <v>49</v>
      </c>
      <c r="F6140" s="12" t="s">
        <v>274</v>
      </c>
      <c r="G6140" s="14">
        <v>3001.6</v>
      </c>
      <c r="H6140" s="12" t="s">
        <v>22</v>
      </c>
      <c r="I6140" s="12">
        <v>0</v>
      </c>
      <c r="J6140" s="12" t="s">
        <v>274</v>
      </c>
      <c r="K6140" s="12" t="s">
        <v>78</v>
      </c>
      <c r="L6140" s="12">
        <v>0</v>
      </c>
      <c r="M6140" s="15">
        <v>227000</v>
      </c>
      <c r="N6140" s="15">
        <v>0</v>
      </c>
      <c r="O6140" s="15">
        <f t="shared" si="526"/>
        <v>227000</v>
      </c>
      <c r="P6140" s="15">
        <f t="shared" si="527"/>
        <v>75.626332622601282</v>
      </c>
      <c r="Q6140" s="14">
        <v>14000</v>
      </c>
      <c r="R6140" s="12">
        <v>65</v>
      </c>
      <c r="S6140" s="12" t="s">
        <v>7459</v>
      </c>
      <c r="T6140" s="22">
        <f t="shared" si="523"/>
        <v>1</v>
      </c>
      <c r="U6140" s="22">
        <f t="shared" si="524"/>
        <v>2023</v>
      </c>
      <c r="V6140" s="22" t="str">
        <f t="shared" si="525"/>
        <v>REGIONES</v>
      </c>
    </row>
    <row r="6141" spans="1:22" x14ac:dyDescent="0.2">
      <c r="A6141" s="11" t="s">
        <v>7456</v>
      </c>
      <c r="B6141" s="12" t="s">
        <v>33</v>
      </c>
      <c r="C6141" s="12" t="s">
        <v>223</v>
      </c>
      <c r="D6141" s="12" t="s">
        <v>7460</v>
      </c>
      <c r="E6141" s="13" t="s">
        <v>7461</v>
      </c>
      <c r="F6141" s="12" t="s">
        <v>815</v>
      </c>
      <c r="G6141" s="14">
        <v>22857.80000000001</v>
      </c>
      <c r="H6141" s="12" t="s">
        <v>24</v>
      </c>
      <c r="I6141" s="12">
        <v>1</v>
      </c>
      <c r="J6141" s="12" t="s">
        <v>815</v>
      </c>
      <c r="K6141" s="12" t="s">
        <v>75</v>
      </c>
      <c r="L6141" s="12">
        <v>0</v>
      </c>
      <c r="M6141" s="15">
        <v>528000</v>
      </c>
      <c r="N6141" s="15">
        <v>0</v>
      </c>
      <c r="O6141" s="15">
        <f t="shared" si="526"/>
        <v>528000</v>
      </c>
      <c r="P6141" s="15">
        <f t="shared" si="527"/>
        <v>23.099335894093034</v>
      </c>
      <c r="Q6141" s="14">
        <v>14000</v>
      </c>
      <c r="R6141" s="12">
        <v>100</v>
      </c>
      <c r="S6141" s="12" t="s">
        <v>7462</v>
      </c>
      <c r="T6141" s="22">
        <f t="shared" si="523"/>
        <v>1</v>
      </c>
      <c r="U6141" s="22">
        <f t="shared" si="524"/>
        <v>2023</v>
      </c>
      <c r="V6141" s="22" t="str">
        <f t="shared" si="525"/>
        <v>REGIONES</v>
      </c>
    </row>
    <row r="6142" spans="1:22" x14ac:dyDescent="0.2">
      <c r="A6142" s="11" t="s">
        <v>7456</v>
      </c>
      <c r="B6142" s="12" t="s">
        <v>33</v>
      </c>
      <c r="C6142" s="12" t="s">
        <v>29</v>
      </c>
      <c r="D6142" s="12" t="s">
        <v>2955</v>
      </c>
      <c r="E6142" s="13" t="s">
        <v>2956</v>
      </c>
      <c r="F6142" s="12" t="s">
        <v>129</v>
      </c>
      <c r="G6142" s="14">
        <v>16840.2</v>
      </c>
      <c r="H6142" s="12" t="s">
        <v>24</v>
      </c>
      <c r="I6142" s="12">
        <v>1</v>
      </c>
      <c r="J6142" s="12" t="s">
        <v>129</v>
      </c>
      <c r="K6142" s="12" t="s">
        <v>23</v>
      </c>
      <c r="L6142" s="12">
        <v>1</v>
      </c>
      <c r="M6142" s="15">
        <v>185242</v>
      </c>
      <c r="N6142" s="15">
        <v>0</v>
      </c>
      <c r="O6142" s="15">
        <f t="shared" si="526"/>
        <v>185242</v>
      </c>
      <c r="P6142" s="15">
        <f t="shared" si="527"/>
        <v>10.999988123656488</v>
      </c>
      <c r="Q6142" s="14">
        <v>5000</v>
      </c>
      <c r="R6142" s="12">
        <v>100</v>
      </c>
      <c r="S6142" s="12" t="s">
        <v>7463</v>
      </c>
      <c r="T6142" s="22">
        <f t="shared" si="523"/>
        <v>1</v>
      </c>
      <c r="U6142" s="22">
        <f t="shared" si="524"/>
        <v>2023</v>
      </c>
      <c r="V6142" s="22" t="str">
        <f t="shared" si="525"/>
        <v>METROPOLITANA</v>
      </c>
    </row>
    <row r="6143" spans="1:22" x14ac:dyDescent="0.2">
      <c r="A6143" s="11" t="s">
        <v>7456</v>
      </c>
      <c r="B6143" s="12" t="s">
        <v>33</v>
      </c>
      <c r="C6143" s="12" t="s">
        <v>44</v>
      </c>
      <c r="D6143" s="12" t="s">
        <v>45</v>
      </c>
      <c r="E6143" s="13" t="s">
        <v>2113</v>
      </c>
      <c r="F6143" s="12" t="s">
        <v>225</v>
      </c>
      <c r="G6143" s="14">
        <v>2667.62</v>
      </c>
      <c r="H6143" s="12" t="s">
        <v>22</v>
      </c>
      <c r="I6143" s="12">
        <v>0</v>
      </c>
      <c r="J6143" s="12" t="s">
        <v>225</v>
      </c>
      <c r="K6143" s="12" t="s">
        <v>23</v>
      </c>
      <c r="L6143" s="12">
        <v>3</v>
      </c>
      <c r="M6143" s="15">
        <v>69173</v>
      </c>
      <c r="N6143" s="15">
        <v>0</v>
      </c>
      <c r="O6143" s="15">
        <f t="shared" si="526"/>
        <v>69173</v>
      </c>
      <c r="P6143" s="15">
        <f t="shared" si="527"/>
        <v>25.930604808780863</v>
      </c>
      <c r="Q6143" s="14">
        <v>5000</v>
      </c>
      <c r="R6143" s="12">
        <v>65</v>
      </c>
      <c r="S6143" s="12" t="s">
        <v>7464</v>
      </c>
      <c r="T6143" s="22">
        <f t="shared" si="523"/>
        <v>1</v>
      </c>
      <c r="U6143" s="22">
        <f t="shared" si="524"/>
        <v>2023</v>
      </c>
      <c r="V6143" s="22" t="str">
        <f t="shared" si="525"/>
        <v>METROPOLITANA</v>
      </c>
    </row>
    <row r="6144" spans="1:22" x14ac:dyDescent="0.2">
      <c r="A6144" s="11" t="s">
        <v>7456</v>
      </c>
      <c r="B6144" s="12" t="s">
        <v>33</v>
      </c>
      <c r="C6144" s="12" t="s">
        <v>44</v>
      </c>
      <c r="D6144" s="12" t="s">
        <v>20</v>
      </c>
      <c r="E6144" s="13" t="s">
        <v>21</v>
      </c>
      <c r="F6144" s="12" t="s">
        <v>46</v>
      </c>
      <c r="G6144" s="14">
        <v>3268.96</v>
      </c>
      <c r="H6144" s="12" t="s">
        <v>22</v>
      </c>
      <c r="I6144" s="12">
        <v>0</v>
      </c>
      <c r="J6144" s="12" t="s">
        <v>46</v>
      </c>
      <c r="K6144" s="12" t="s">
        <v>23</v>
      </c>
      <c r="L6144" s="12">
        <v>2</v>
      </c>
      <c r="M6144" s="15">
        <v>69173</v>
      </c>
      <c r="N6144" s="15">
        <v>0</v>
      </c>
      <c r="O6144" s="15">
        <f t="shared" si="526"/>
        <v>69173</v>
      </c>
      <c r="P6144" s="15">
        <f t="shared" si="527"/>
        <v>21.160552591649942</v>
      </c>
      <c r="Q6144" s="14">
        <v>5000</v>
      </c>
      <c r="R6144" s="12">
        <v>65</v>
      </c>
      <c r="S6144" s="12" t="s">
        <v>7465</v>
      </c>
      <c r="T6144" s="22">
        <f t="shared" si="523"/>
        <v>1</v>
      </c>
      <c r="U6144" s="22">
        <f t="shared" si="524"/>
        <v>2023</v>
      </c>
      <c r="V6144" s="22" t="str">
        <f t="shared" si="525"/>
        <v>METROPOLITANA</v>
      </c>
    </row>
    <row r="6145" spans="1:22" x14ac:dyDescent="0.2">
      <c r="A6145" s="23" t="s">
        <v>7466</v>
      </c>
      <c r="B6145" s="22" t="s">
        <v>18</v>
      </c>
      <c r="C6145" s="22" t="s">
        <v>29</v>
      </c>
      <c r="D6145" s="22" t="s">
        <v>6218</v>
      </c>
      <c r="E6145" s="24">
        <v>90366327</v>
      </c>
      <c r="F6145" s="22" t="s">
        <v>39</v>
      </c>
      <c r="G6145" s="25">
        <v>25454.51999999999</v>
      </c>
      <c r="H6145" s="22" t="s">
        <v>24</v>
      </c>
      <c r="I6145" s="22">
        <v>1</v>
      </c>
      <c r="J6145" s="22" t="s">
        <v>39</v>
      </c>
      <c r="K6145" s="22" t="s">
        <v>23</v>
      </c>
      <c r="L6145" s="22">
        <v>1</v>
      </c>
      <c r="M6145" s="26">
        <v>280000</v>
      </c>
      <c r="N6145" s="26">
        <v>0</v>
      </c>
      <c r="O6145" s="15">
        <f t="shared" si="526"/>
        <v>280000</v>
      </c>
      <c r="P6145" s="15">
        <f t="shared" si="527"/>
        <v>11.000011000011005</v>
      </c>
      <c r="Q6145" s="25">
        <v>5000</v>
      </c>
      <c r="R6145" s="22">
        <v>100</v>
      </c>
      <c r="S6145" s="22" t="s">
        <v>7467</v>
      </c>
      <c r="T6145" s="22">
        <f t="shared" si="523"/>
        <v>1</v>
      </c>
      <c r="U6145" s="22">
        <f t="shared" si="524"/>
        <v>2023</v>
      </c>
      <c r="V6145" s="22" t="str">
        <f t="shared" si="525"/>
        <v>METROPOLITANA</v>
      </c>
    </row>
    <row r="6146" spans="1:22" x14ac:dyDescent="0.2">
      <c r="A6146" s="23" t="s">
        <v>7466</v>
      </c>
      <c r="B6146" s="22" t="s">
        <v>18</v>
      </c>
      <c r="C6146" s="22" t="s">
        <v>29</v>
      </c>
      <c r="D6146" s="22" t="s">
        <v>6221</v>
      </c>
      <c r="E6146" s="24">
        <v>170846392</v>
      </c>
      <c r="F6146" s="22" t="s">
        <v>39</v>
      </c>
      <c r="G6146" s="25">
        <v>26666.639999999981</v>
      </c>
      <c r="H6146" s="22" t="s">
        <v>24</v>
      </c>
      <c r="I6146" s="22">
        <v>1</v>
      </c>
      <c r="J6146" s="22" t="s">
        <v>39</v>
      </c>
      <c r="K6146" s="22" t="s">
        <v>23</v>
      </c>
      <c r="L6146" s="22">
        <v>1</v>
      </c>
      <c r="M6146" s="26">
        <v>293333</v>
      </c>
      <c r="N6146" s="26">
        <v>0</v>
      </c>
      <c r="O6146" s="15">
        <f t="shared" si="526"/>
        <v>293333</v>
      </c>
      <c r="P6146" s="15">
        <f t="shared" si="527"/>
        <v>10.999998499998508</v>
      </c>
      <c r="Q6146" s="25">
        <v>5000</v>
      </c>
      <c r="R6146" s="22">
        <v>100</v>
      </c>
      <c r="S6146" s="22" t="s">
        <v>7468</v>
      </c>
      <c r="T6146" s="22">
        <f t="shared" si="523"/>
        <v>1</v>
      </c>
      <c r="U6146" s="22">
        <f t="shared" si="524"/>
        <v>2023</v>
      </c>
      <c r="V6146" s="22" t="str">
        <f t="shared" si="525"/>
        <v>METROPOLITANA</v>
      </c>
    </row>
    <row r="6147" spans="1:22" x14ac:dyDescent="0.2">
      <c r="A6147" s="23" t="s">
        <v>7466</v>
      </c>
      <c r="B6147" s="22" t="s">
        <v>33</v>
      </c>
      <c r="C6147" s="22" t="s">
        <v>128</v>
      </c>
      <c r="D6147" s="22" t="s">
        <v>45</v>
      </c>
      <c r="E6147" s="24">
        <v>107643206</v>
      </c>
      <c r="F6147" s="22" t="s">
        <v>129</v>
      </c>
      <c r="G6147" s="25">
        <v>4571.76</v>
      </c>
      <c r="H6147" s="22" t="s">
        <v>22</v>
      </c>
      <c r="I6147" s="22">
        <v>0</v>
      </c>
      <c r="J6147" s="22" t="s">
        <v>129</v>
      </c>
      <c r="K6147" s="22" t="s">
        <v>23</v>
      </c>
      <c r="L6147" s="22">
        <v>1</v>
      </c>
      <c r="M6147" s="26">
        <v>69173</v>
      </c>
      <c r="N6147" s="26">
        <v>0</v>
      </c>
      <c r="O6147" s="15">
        <f t="shared" si="526"/>
        <v>69173</v>
      </c>
      <c r="P6147" s="15">
        <f t="shared" si="527"/>
        <v>15.130496788982798</v>
      </c>
      <c r="Q6147" s="25">
        <v>5000</v>
      </c>
      <c r="R6147" s="22">
        <v>91</v>
      </c>
      <c r="S6147" s="22" t="s">
        <v>7469</v>
      </c>
      <c r="T6147" s="22">
        <f t="shared" si="523"/>
        <v>1</v>
      </c>
      <c r="U6147" s="22">
        <f t="shared" si="524"/>
        <v>2023</v>
      </c>
      <c r="V6147" s="22" t="str">
        <f t="shared" si="525"/>
        <v>METROPOLITANA</v>
      </c>
    </row>
    <row r="6148" spans="1:22" x14ac:dyDescent="0.2">
      <c r="A6148" s="23" t="s">
        <v>7466</v>
      </c>
      <c r="B6148" s="22" t="s">
        <v>33</v>
      </c>
      <c r="C6148" s="22" t="s">
        <v>128</v>
      </c>
      <c r="D6148" s="22" t="s">
        <v>41</v>
      </c>
      <c r="E6148" s="24">
        <v>154837728</v>
      </c>
      <c r="F6148" s="22" t="s">
        <v>34</v>
      </c>
      <c r="G6148" s="25">
        <f>8791.27+750</f>
        <v>9541.27</v>
      </c>
      <c r="H6148" s="22" t="s">
        <v>43</v>
      </c>
      <c r="I6148" s="22">
        <v>0</v>
      </c>
      <c r="J6148" s="22" t="s">
        <v>34</v>
      </c>
      <c r="K6148" s="22" t="s">
        <v>23</v>
      </c>
      <c r="L6148" s="22">
        <v>1</v>
      </c>
      <c r="M6148" s="26">
        <v>96704</v>
      </c>
      <c r="N6148" s="26">
        <v>0</v>
      </c>
      <c r="O6148" s="15">
        <f t="shared" si="526"/>
        <v>96704</v>
      </c>
      <c r="P6148" s="15">
        <f t="shared" si="527"/>
        <v>10.135338377385819</v>
      </c>
      <c r="Q6148" s="25">
        <v>5000</v>
      </c>
      <c r="R6148" s="22">
        <v>100</v>
      </c>
      <c r="S6148" s="22" t="s">
        <v>7475</v>
      </c>
      <c r="T6148" s="22">
        <f t="shared" si="523"/>
        <v>1</v>
      </c>
      <c r="U6148" s="22">
        <f t="shared" si="524"/>
        <v>2023</v>
      </c>
      <c r="V6148" s="22" t="str">
        <f t="shared" si="525"/>
        <v>METROPOLITANA</v>
      </c>
    </row>
    <row r="6149" spans="1:22" x14ac:dyDescent="0.2">
      <c r="A6149" s="23" t="s">
        <v>7466</v>
      </c>
      <c r="B6149" s="22" t="s">
        <v>33</v>
      </c>
      <c r="C6149" s="22" t="s">
        <v>7400</v>
      </c>
      <c r="D6149" s="22" t="s">
        <v>20</v>
      </c>
      <c r="E6149" s="24">
        <v>78907355</v>
      </c>
      <c r="F6149" s="22" t="s">
        <v>727</v>
      </c>
      <c r="G6149" s="25">
        <v>5309</v>
      </c>
      <c r="H6149" s="22" t="s">
        <v>22</v>
      </c>
      <c r="I6149" s="22">
        <v>0</v>
      </c>
      <c r="J6149" s="22" t="s">
        <v>727</v>
      </c>
      <c r="K6149" s="22" t="s">
        <v>23</v>
      </c>
      <c r="L6149" s="22">
        <v>2</v>
      </c>
      <c r="M6149" s="26">
        <v>58399</v>
      </c>
      <c r="N6149" s="26">
        <v>0</v>
      </c>
      <c r="O6149" s="15">
        <f t="shared" si="526"/>
        <v>58399</v>
      </c>
      <c r="P6149" s="15">
        <f t="shared" si="527"/>
        <v>11</v>
      </c>
      <c r="Q6149" s="25">
        <v>5000</v>
      </c>
      <c r="R6149" s="22">
        <v>100</v>
      </c>
      <c r="S6149" s="22" t="s">
        <v>7470</v>
      </c>
      <c r="T6149" s="22">
        <f t="shared" si="523"/>
        <v>1</v>
      </c>
      <c r="U6149" s="22">
        <f t="shared" si="524"/>
        <v>2023</v>
      </c>
      <c r="V6149" s="22" t="str">
        <f t="shared" si="525"/>
        <v>METROPOLITANA</v>
      </c>
    </row>
    <row r="6150" spans="1:22" x14ac:dyDescent="0.2">
      <c r="A6150" s="23" t="s">
        <v>7466</v>
      </c>
      <c r="B6150" s="22" t="s">
        <v>33</v>
      </c>
      <c r="C6150" s="22" t="s">
        <v>29</v>
      </c>
      <c r="D6150" s="22" t="s">
        <v>38</v>
      </c>
      <c r="E6150" s="24">
        <v>125108660</v>
      </c>
      <c r="F6150" s="22" t="s">
        <v>134</v>
      </c>
      <c r="G6150" s="25">
        <v>7823.0000000000009</v>
      </c>
      <c r="H6150" s="22" t="s">
        <v>43</v>
      </c>
      <c r="I6150" s="22">
        <v>0</v>
      </c>
      <c r="J6150" s="22" t="s">
        <v>134</v>
      </c>
      <c r="K6150" s="22" t="s">
        <v>23</v>
      </c>
      <c r="L6150" s="22">
        <v>2</v>
      </c>
      <c r="M6150" s="26">
        <v>86053</v>
      </c>
      <c r="N6150" s="26">
        <v>0</v>
      </c>
      <c r="O6150" s="15">
        <f t="shared" si="526"/>
        <v>86053</v>
      </c>
      <c r="P6150" s="15">
        <f t="shared" si="527"/>
        <v>10.999999999999998</v>
      </c>
      <c r="Q6150" s="25">
        <v>5000</v>
      </c>
      <c r="R6150" s="22">
        <v>100</v>
      </c>
      <c r="S6150" s="22" t="s">
        <v>7471</v>
      </c>
      <c r="T6150" s="22">
        <f t="shared" si="523"/>
        <v>1</v>
      </c>
      <c r="U6150" s="22">
        <f t="shared" si="524"/>
        <v>2023</v>
      </c>
      <c r="V6150" s="22" t="str">
        <f t="shared" si="525"/>
        <v>METROPOLITANA</v>
      </c>
    </row>
    <row r="6151" spans="1:22" x14ac:dyDescent="0.2">
      <c r="A6151" s="23" t="s">
        <v>7466</v>
      </c>
      <c r="B6151" s="22" t="s">
        <v>33</v>
      </c>
      <c r="C6151" s="22" t="s">
        <v>44</v>
      </c>
      <c r="D6151" s="22" t="s">
        <v>6871</v>
      </c>
      <c r="E6151" s="24">
        <v>127271194</v>
      </c>
      <c r="F6151" s="22" t="s">
        <v>114</v>
      </c>
      <c r="G6151" s="25">
        <f>3708.4+5000</f>
        <v>8708.4</v>
      </c>
      <c r="H6151" s="22" t="s">
        <v>24</v>
      </c>
      <c r="I6151" s="22">
        <v>1</v>
      </c>
      <c r="J6151" s="22" t="s">
        <v>114</v>
      </c>
      <c r="K6151" s="22" t="s">
        <v>75</v>
      </c>
      <c r="L6151" s="22">
        <v>0</v>
      </c>
      <c r="M6151" s="26">
        <v>528000</v>
      </c>
      <c r="N6151" s="26">
        <v>0</v>
      </c>
      <c r="O6151" s="15">
        <f t="shared" si="526"/>
        <v>528000</v>
      </c>
      <c r="P6151" s="15">
        <f t="shared" si="527"/>
        <v>60.631114785724129</v>
      </c>
      <c r="Q6151" s="25">
        <v>14000</v>
      </c>
      <c r="R6151" s="22">
        <v>65</v>
      </c>
      <c r="S6151" s="22" t="s">
        <v>7476</v>
      </c>
      <c r="T6151" s="22">
        <f t="shared" ref="T6151:T6214" si="528">MONTH(A6151)</f>
        <v>1</v>
      </c>
      <c r="U6151" s="22">
        <f t="shared" ref="U6151:U6214" si="529">YEAR(A6151)</f>
        <v>2023</v>
      </c>
      <c r="V6151" s="22" t="str">
        <f t="shared" ref="V6151:V6214" si="530">IF(K6151="METROPOLITANA DE SANTIAGO","METROPOLITANA","REGIONES")</f>
        <v>REGIONES</v>
      </c>
    </row>
    <row r="6152" spans="1:22" x14ac:dyDescent="0.2">
      <c r="A6152" s="23" t="s">
        <v>7466</v>
      </c>
      <c r="B6152" s="22" t="s">
        <v>33</v>
      </c>
      <c r="C6152" s="22" t="s">
        <v>7472</v>
      </c>
      <c r="D6152" s="22" t="s">
        <v>7473</v>
      </c>
      <c r="E6152" s="24">
        <v>95707734</v>
      </c>
      <c r="F6152" s="22" t="s">
        <v>129</v>
      </c>
      <c r="G6152" s="25">
        <v>27889</v>
      </c>
      <c r="H6152" s="22" t="s">
        <v>24</v>
      </c>
      <c r="I6152" s="22">
        <v>1</v>
      </c>
      <c r="J6152" s="22" t="s">
        <v>129</v>
      </c>
      <c r="K6152" s="22" t="s">
        <v>23</v>
      </c>
      <c r="L6152" s="22">
        <v>1</v>
      </c>
      <c r="M6152" s="26">
        <v>306779</v>
      </c>
      <c r="N6152" s="26">
        <v>0</v>
      </c>
      <c r="O6152" s="15">
        <f t="shared" si="526"/>
        <v>306779</v>
      </c>
      <c r="P6152" s="15">
        <f t="shared" si="527"/>
        <v>11</v>
      </c>
      <c r="Q6152" s="25">
        <v>5000</v>
      </c>
      <c r="R6152" s="22">
        <v>100</v>
      </c>
      <c r="S6152" s="22" t="s">
        <v>7474</v>
      </c>
      <c r="T6152" s="22">
        <f t="shared" si="528"/>
        <v>1</v>
      </c>
      <c r="U6152" s="22">
        <f t="shared" si="529"/>
        <v>2023</v>
      </c>
      <c r="V6152" s="22" t="str">
        <f t="shared" si="530"/>
        <v>METROPOLITANA</v>
      </c>
    </row>
    <row r="6153" spans="1:22" x14ac:dyDescent="0.2">
      <c r="A6153" s="11" t="s">
        <v>7477</v>
      </c>
      <c r="B6153" s="12" t="s">
        <v>33</v>
      </c>
      <c r="C6153" s="12" t="s">
        <v>7478</v>
      </c>
      <c r="D6153" s="12" t="s">
        <v>38</v>
      </c>
      <c r="E6153" s="13" t="s">
        <v>25</v>
      </c>
      <c r="F6153" s="12" t="s">
        <v>129</v>
      </c>
      <c r="G6153" s="14">
        <v>2070.6000000000008</v>
      </c>
      <c r="H6153" s="12" t="s">
        <v>43</v>
      </c>
      <c r="I6153" s="12">
        <v>0</v>
      </c>
      <c r="J6153" s="12" t="s">
        <v>129</v>
      </c>
      <c r="K6153" s="12" t="s">
        <v>23</v>
      </c>
      <c r="L6153" s="12">
        <v>1</v>
      </c>
      <c r="M6153" s="15">
        <v>69173</v>
      </c>
      <c r="N6153" s="15">
        <v>0</v>
      </c>
      <c r="O6153" s="15">
        <f t="shared" si="526"/>
        <v>69173</v>
      </c>
      <c r="P6153" s="15">
        <f t="shared" si="527"/>
        <v>33.407224958949087</v>
      </c>
      <c r="Q6153" s="14">
        <v>5000</v>
      </c>
      <c r="R6153" s="12">
        <v>41</v>
      </c>
      <c r="S6153" s="12" t="s">
        <v>7479</v>
      </c>
      <c r="T6153" s="22">
        <f t="shared" si="528"/>
        <v>1</v>
      </c>
      <c r="U6153" s="22">
        <f t="shared" si="529"/>
        <v>2023</v>
      </c>
      <c r="V6153" s="22" t="str">
        <f t="shared" si="530"/>
        <v>METROPOLITANA</v>
      </c>
    </row>
    <row r="6154" spans="1:22" x14ac:dyDescent="0.2">
      <c r="A6154" s="11" t="s">
        <v>7477</v>
      </c>
      <c r="B6154" s="12" t="s">
        <v>33</v>
      </c>
      <c r="C6154" s="12" t="s">
        <v>417</v>
      </c>
      <c r="D6154" s="12" t="s">
        <v>2955</v>
      </c>
      <c r="E6154" s="13" t="s">
        <v>2956</v>
      </c>
      <c r="F6154" s="12" t="s">
        <v>418</v>
      </c>
      <c r="G6154" s="14">
        <v>12101.2</v>
      </c>
      <c r="H6154" s="12" t="s">
        <v>24</v>
      </c>
      <c r="I6154" s="12">
        <v>1</v>
      </c>
      <c r="J6154" s="12" t="s">
        <v>418</v>
      </c>
      <c r="K6154" s="12" t="s">
        <v>171</v>
      </c>
      <c r="L6154" s="12">
        <v>0</v>
      </c>
      <c r="M6154" s="15">
        <v>300000</v>
      </c>
      <c r="N6154" s="15">
        <v>0</v>
      </c>
      <c r="O6154" s="15">
        <f t="shared" si="526"/>
        <v>300000</v>
      </c>
      <c r="P6154" s="15">
        <f t="shared" si="527"/>
        <v>24.790929825141308</v>
      </c>
      <c r="Q6154" s="14">
        <v>14000</v>
      </c>
      <c r="R6154" s="12">
        <v>86</v>
      </c>
      <c r="S6154" s="12" t="s">
        <v>7480</v>
      </c>
      <c r="T6154" s="22">
        <f t="shared" si="528"/>
        <v>1</v>
      </c>
      <c r="U6154" s="22">
        <f t="shared" si="529"/>
        <v>2023</v>
      </c>
      <c r="V6154" s="22" t="str">
        <f t="shared" si="530"/>
        <v>REGIONES</v>
      </c>
    </row>
    <row r="6155" spans="1:22" x14ac:dyDescent="0.2">
      <c r="A6155" s="11" t="s">
        <v>7477</v>
      </c>
      <c r="B6155" s="12" t="s">
        <v>33</v>
      </c>
      <c r="C6155" s="12" t="s">
        <v>36</v>
      </c>
      <c r="D6155" s="12" t="s">
        <v>47</v>
      </c>
      <c r="E6155" s="13" t="s">
        <v>49</v>
      </c>
      <c r="F6155" s="12" t="s">
        <v>59</v>
      </c>
      <c r="G6155" s="14">
        <v>4003.26</v>
      </c>
      <c r="H6155" s="12" t="s">
        <v>22</v>
      </c>
      <c r="I6155" s="12">
        <v>0</v>
      </c>
      <c r="J6155" s="12" t="s">
        <v>59</v>
      </c>
      <c r="K6155" s="12" t="s">
        <v>78</v>
      </c>
      <c r="L6155" s="12">
        <v>0</v>
      </c>
      <c r="M6155" s="15">
        <v>227000</v>
      </c>
      <c r="N6155" s="15">
        <v>0</v>
      </c>
      <c r="O6155" s="15">
        <f t="shared" si="526"/>
        <v>227000</v>
      </c>
      <c r="P6155" s="15">
        <f t="shared" si="527"/>
        <v>56.703786414072525</v>
      </c>
      <c r="Q6155" s="14">
        <v>14000</v>
      </c>
      <c r="R6155" s="12">
        <v>29</v>
      </c>
      <c r="S6155" s="12" t="s">
        <v>7481</v>
      </c>
      <c r="T6155" s="22">
        <f t="shared" si="528"/>
        <v>1</v>
      </c>
      <c r="U6155" s="22">
        <f t="shared" si="529"/>
        <v>2023</v>
      </c>
      <c r="V6155" s="22" t="str">
        <f t="shared" si="530"/>
        <v>REGIONES</v>
      </c>
    </row>
    <row r="6156" spans="1:22" x14ac:dyDescent="0.2">
      <c r="A6156" s="11" t="s">
        <v>7477</v>
      </c>
      <c r="B6156" s="12" t="s">
        <v>33</v>
      </c>
      <c r="C6156" s="12" t="s">
        <v>29</v>
      </c>
      <c r="D6156" s="12" t="s">
        <v>7134</v>
      </c>
      <c r="E6156" s="13" t="s">
        <v>7135</v>
      </c>
      <c r="F6156" s="12" t="s">
        <v>114</v>
      </c>
      <c r="G6156" s="14">
        <v>11413.2</v>
      </c>
      <c r="H6156" s="12" t="s">
        <v>24</v>
      </c>
      <c r="I6156" s="12">
        <v>1</v>
      </c>
      <c r="J6156" s="12" t="s">
        <v>114</v>
      </c>
      <c r="K6156" s="12" t="s">
        <v>75</v>
      </c>
      <c r="L6156" s="12">
        <v>0</v>
      </c>
      <c r="M6156" s="15">
        <v>528000</v>
      </c>
      <c r="N6156" s="15">
        <v>0</v>
      </c>
      <c r="O6156" s="15">
        <f t="shared" si="526"/>
        <v>528000</v>
      </c>
      <c r="P6156" s="15">
        <f t="shared" si="527"/>
        <v>46.262222689517401</v>
      </c>
      <c r="Q6156" s="14">
        <v>14000</v>
      </c>
      <c r="R6156" s="12">
        <v>82</v>
      </c>
      <c r="S6156" s="12" t="s">
        <v>7482</v>
      </c>
      <c r="T6156" s="22">
        <f t="shared" si="528"/>
        <v>1</v>
      </c>
      <c r="U6156" s="22">
        <f t="shared" si="529"/>
        <v>2023</v>
      </c>
      <c r="V6156" s="22" t="str">
        <f t="shared" si="530"/>
        <v>REGIONES</v>
      </c>
    </row>
    <row r="6157" spans="1:22" x14ac:dyDescent="0.2">
      <c r="A6157" s="11" t="s">
        <v>7477</v>
      </c>
      <c r="B6157" s="12" t="s">
        <v>33</v>
      </c>
      <c r="C6157" s="12" t="s">
        <v>44</v>
      </c>
      <c r="D6157" s="12" t="s">
        <v>21</v>
      </c>
      <c r="E6157" s="13" t="s">
        <v>7483</v>
      </c>
      <c r="F6157" s="12" t="s">
        <v>51</v>
      </c>
      <c r="G6157" s="14">
        <v>3761.36</v>
      </c>
      <c r="H6157" s="12" t="s">
        <v>24</v>
      </c>
      <c r="I6157" s="12">
        <v>1</v>
      </c>
      <c r="J6157" s="12" t="s">
        <v>51</v>
      </c>
      <c r="K6157" s="12" t="s">
        <v>23</v>
      </c>
      <c r="L6157" s="12">
        <v>4</v>
      </c>
      <c r="M6157" s="15">
        <v>69173</v>
      </c>
      <c r="N6157" s="15">
        <v>0</v>
      </c>
      <c r="O6157" s="15">
        <f t="shared" si="526"/>
        <v>69173</v>
      </c>
      <c r="P6157" s="15">
        <f t="shared" si="527"/>
        <v>18.390422613097389</v>
      </c>
      <c r="Q6157" s="14">
        <v>5000</v>
      </c>
      <c r="R6157" s="12">
        <v>75</v>
      </c>
      <c r="S6157" s="12" t="s">
        <v>7484</v>
      </c>
      <c r="T6157" s="22">
        <f t="shared" si="528"/>
        <v>1</v>
      </c>
      <c r="U6157" s="22">
        <f t="shared" si="529"/>
        <v>2023</v>
      </c>
      <c r="V6157" s="22" t="str">
        <f t="shared" si="530"/>
        <v>METROPOLITANA</v>
      </c>
    </row>
    <row r="6158" spans="1:22" x14ac:dyDescent="0.2">
      <c r="A6158" s="11" t="s">
        <v>7477</v>
      </c>
      <c r="B6158" s="12" t="s">
        <v>33</v>
      </c>
      <c r="C6158" s="12" t="s">
        <v>44</v>
      </c>
      <c r="D6158" s="12" t="s">
        <v>37</v>
      </c>
      <c r="E6158" s="13" t="s">
        <v>40</v>
      </c>
      <c r="F6158" s="12" t="s">
        <v>48</v>
      </c>
      <c r="G6158" s="14">
        <v>4019.36</v>
      </c>
      <c r="H6158" s="12" t="s">
        <v>22</v>
      </c>
      <c r="I6158" s="12">
        <v>0</v>
      </c>
      <c r="J6158" s="12" t="s">
        <v>48</v>
      </c>
      <c r="K6158" s="12" t="s">
        <v>23</v>
      </c>
      <c r="L6158" s="12">
        <v>1</v>
      </c>
      <c r="M6158" s="15">
        <v>69173</v>
      </c>
      <c r="N6158" s="15">
        <v>0</v>
      </c>
      <c r="O6158" s="15">
        <f t="shared" si="526"/>
        <v>69173</v>
      </c>
      <c r="P6158" s="15">
        <f t="shared" si="527"/>
        <v>17.209953823494288</v>
      </c>
      <c r="Q6158" s="14">
        <v>5000</v>
      </c>
      <c r="R6158" s="12">
        <v>80</v>
      </c>
      <c r="S6158" s="12" t="s">
        <v>7485</v>
      </c>
      <c r="T6158" s="22">
        <f t="shared" si="528"/>
        <v>1</v>
      </c>
      <c r="U6158" s="22">
        <f t="shared" si="529"/>
        <v>2023</v>
      </c>
      <c r="V6158" s="22" t="str">
        <f t="shared" si="530"/>
        <v>METROPOLITANA</v>
      </c>
    </row>
    <row r="6159" spans="1:22" x14ac:dyDescent="0.2">
      <c r="A6159" s="11" t="s">
        <v>7477</v>
      </c>
      <c r="B6159" s="12" t="s">
        <v>33</v>
      </c>
      <c r="C6159" s="12" t="s">
        <v>44</v>
      </c>
      <c r="D6159" s="12" t="s">
        <v>30</v>
      </c>
      <c r="E6159" s="13" t="s">
        <v>31</v>
      </c>
      <c r="F6159" s="12" t="s">
        <v>39</v>
      </c>
      <c r="G6159" s="14">
        <v>6953.9999999999973</v>
      </c>
      <c r="H6159" s="12" t="s">
        <v>32</v>
      </c>
      <c r="I6159" s="12">
        <v>0</v>
      </c>
      <c r="J6159" s="12" t="s">
        <v>39</v>
      </c>
      <c r="K6159" s="12" t="s">
        <v>23</v>
      </c>
      <c r="L6159" s="12">
        <v>1</v>
      </c>
      <c r="M6159" s="15">
        <v>76494</v>
      </c>
      <c r="N6159" s="15">
        <v>0</v>
      </c>
      <c r="O6159" s="15">
        <f t="shared" si="526"/>
        <v>76494</v>
      </c>
      <c r="P6159" s="15">
        <f t="shared" si="527"/>
        <v>11.000000000000004</v>
      </c>
      <c r="Q6159" s="14">
        <v>5000</v>
      </c>
      <c r="R6159" s="12">
        <v>100</v>
      </c>
      <c r="S6159" s="12" t="s">
        <v>7486</v>
      </c>
      <c r="T6159" s="22">
        <f t="shared" si="528"/>
        <v>1</v>
      </c>
      <c r="U6159" s="22">
        <f t="shared" si="529"/>
        <v>2023</v>
      </c>
      <c r="V6159" s="22" t="str">
        <f t="shared" si="530"/>
        <v>METROPOLITANA</v>
      </c>
    </row>
    <row r="6160" spans="1:22" x14ac:dyDescent="0.2">
      <c r="A6160" s="23" t="s">
        <v>7487</v>
      </c>
      <c r="B6160" s="22" t="s">
        <v>18</v>
      </c>
      <c r="C6160" s="22" t="s">
        <v>57</v>
      </c>
      <c r="D6160" s="22" t="s">
        <v>786</v>
      </c>
      <c r="E6160" s="24" t="s">
        <v>787</v>
      </c>
      <c r="F6160" s="22" t="s">
        <v>407</v>
      </c>
      <c r="G6160" s="25">
        <v>8641.6999999999989</v>
      </c>
      <c r="H6160" s="22" t="s">
        <v>788</v>
      </c>
      <c r="I6160" s="22">
        <v>1</v>
      </c>
      <c r="J6160" s="22" t="s">
        <v>407</v>
      </c>
      <c r="K6160" s="22" t="s">
        <v>408</v>
      </c>
      <c r="L6160" s="22">
        <v>0</v>
      </c>
      <c r="M6160" s="26">
        <v>800000</v>
      </c>
      <c r="N6160" s="26">
        <v>0</v>
      </c>
      <c r="O6160" s="15">
        <f t="shared" si="526"/>
        <v>800000</v>
      </c>
      <c r="P6160" s="15">
        <f t="shared" si="527"/>
        <v>92.574377726604737</v>
      </c>
      <c r="Q6160" s="25">
        <v>14000</v>
      </c>
      <c r="R6160" s="22">
        <v>100</v>
      </c>
      <c r="S6160" s="22" t="s">
        <v>7488</v>
      </c>
      <c r="T6160" s="22">
        <f t="shared" si="528"/>
        <v>1</v>
      </c>
      <c r="U6160" s="22">
        <f t="shared" si="529"/>
        <v>2023</v>
      </c>
      <c r="V6160" s="22" t="str">
        <f t="shared" si="530"/>
        <v>REGIONES</v>
      </c>
    </row>
    <row r="6161" spans="1:22" x14ac:dyDescent="0.2">
      <c r="A6161" s="23" t="s">
        <v>7487</v>
      </c>
      <c r="B6161" s="22" t="s">
        <v>18</v>
      </c>
      <c r="C6161" s="22" t="s">
        <v>7400</v>
      </c>
      <c r="D6161" s="22" t="s">
        <v>38</v>
      </c>
      <c r="E6161" s="24" t="s">
        <v>25</v>
      </c>
      <c r="F6161" s="22" t="s">
        <v>727</v>
      </c>
      <c r="G6161" s="25">
        <v>3606.6</v>
      </c>
      <c r="H6161" s="22" t="s">
        <v>43</v>
      </c>
      <c r="I6161" s="22">
        <v>0</v>
      </c>
      <c r="J6161" s="22" t="s">
        <v>727</v>
      </c>
      <c r="K6161" s="22" t="s">
        <v>23</v>
      </c>
      <c r="L6161" s="22">
        <v>2</v>
      </c>
      <c r="M6161" s="26">
        <v>69173</v>
      </c>
      <c r="N6161" s="26">
        <v>0</v>
      </c>
      <c r="O6161" s="15">
        <f t="shared" si="526"/>
        <v>69173</v>
      </c>
      <c r="P6161" s="15">
        <f t="shared" si="527"/>
        <v>19.179559696112683</v>
      </c>
      <c r="Q6161" s="25">
        <v>5000</v>
      </c>
      <c r="R6161" s="22">
        <v>72</v>
      </c>
      <c r="S6161" s="22" t="s">
        <v>7489</v>
      </c>
      <c r="T6161" s="22">
        <f t="shared" si="528"/>
        <v>1</v>
      </c>
      <c r="U6161" s="22">
        <f t="shared" si="529"/>
        <v>2023</v>
      </c>
      <c r="V6161" s="22" t="str">
        <f t="shared" si="530"/>
        <v>METROPOLITANA</v>
      </c>
    </row>
    <row r="6162" spans="1:22" x14ac:dyDescent="0.2">
      <c r="A6162" s="23" t="s">
        <v>7487</v>
      </c>
      <c r="B6162" s="22" t="s">
        <v>33</v>
      </c>
      <c r="C6162" s="22" t="s">
        <v>128</v>
      </c>
      <c r="D6162" s="22" t="s">
        <v>37</v>
      </c>
      <c r="E6162" s="24" t="s">
        <v>40</v>
      </c>
      <c r="F6162" s="22" t="s">
        <v>230</v>
      </c>
      <c r="G6162" s="25">
        <f>4878.75+2342</f>
        <v>7220.75</v>
      </c>
      <c r="H6162" s="22" t="s">
        <v>22</v>
      </c>
      <c r="I6162" s="22">
        <v>0</v>
      </c>
      <c r="J6162" s="22" t="s">
        <v>230</v>
      </c>
      <c r="K6162" s="22" t="s">
        <v>23</v>
      </c>
      <c r="L6162" s="22">
        <v>4</v>
      </c>
      <c r="M6162" s="26">
        <v>69173</v>
      </c>
      <c r="N6162" s="26">
        <v>0</v>
      </c>
      <c r="O6162" s="15">
        <f t="shared" si="526"/>
        <v>69173</v>
      </c>
      <c r="P6162" s="15">
        <f t="shared" si="527"/>
        <v>9.5797527957622126</v>
      </c>
      <c r="Q6162" s="25">
        <v>5000</v>
      </c>
      <c r="R6162" s="22">
        <v>100</v>
      </c>
      <c r="S6162" s="22" t="s">
        <v>7499</v>
      </c>
      <c r="T6162" s="22">
        <f t="shared" si="528"/>
        <v>1</v>
      </c>
      <c r="U6162" s="22">
        <f t="shared" si="529"/>
        <v>2023</v>
      </c>
      <c r="V6162" s="22" t="str">
        <f t="shared" si="530"/>
        <v>METROPOLITANA</v>
      </c>
    </row>
    <row r="6163" spans="1:22" x14ac:dyDescent="0.2">
      <c r="A6163" s="23" t="s">
        <v>7487</v>
      </c>
      <c r="B6163" s="22" t="s">
        <v>33</v>
      </c>
      <c r="C6163" s="22" t="s">
        <v>29</v>
      </c>
      <c r="D6163" s="22" t="s">
        <v>38</v>
      </c>
      <c r="E6163" s="24" t="s">
        <v>42</v>
      </c>
      <c r="F6163" s="22" t="s">
        <v>39</v>
      </c>
      <c r="G6163" s="25">
        <v>10189.92</v>
      </c>
      <c r="H6163" s="22" t="s">
        <v>43</v>
      </c>
      <c r="I6163" s="22">
        <v>0</v>
      </c>
      <c r="J6163" s="22" t="s">
        <v>39</v>
      </c>
      <c r="K6163" s="22" t="s">
        <v>23</v>
      </c>
      <c r="L6163" s="22">
        <v>1</v>
      </c>
      <c r="M6163" s="26">
        <v>112089</v>
      </c>
      <c r="N6163" s="26">
        <v>0</v>
      </c>
      <c r="O6163" s="15">
        <f t="shared" si="526"/>
        <v>112089</v>
      </c>
      <c r="P6163" s="15">
        <f t="shared" si="527"/>
        <v>10.999988223656318</v>
      </c>
      <c r="Q6163" s="25">
        <v>5000</v>
      </c>
      <c r="R6163" s="22">
        <v>100</v>
      </c>
      <c r="S6163" s="22" t="s">
        <v>7490</v>
      </c>
      <c r="T6163" s="22">
        <f t="shared" si="528"/>
        <v>1</v>
      </c>
      <c r="U6163" s="22">
        <f t="shared" si="529"/>
        <v>2023</v>
      </c>
      <c r="V6163" s="22" t="str">
        <f t="shared" si="530"/>
        <v>METROPOLITANA</v>
      </c>
    </row>
    <row r="6164" spans="1:22" x14ac:dyDescent="0.2">
      <c r="A6164" s="23" t="s">
        <v>7487</v>
      </c>
      <c r="B6164" s="22" t="s">
        <v>33</v>
      </c>
      <c r="C6164" s="22" t="s">
        <v>29</v>
      </c>
      <c r="D6164" s="22" t="s">
        <v>7491</v>
      </c>
      <c r="E6164" s="24" t="s">
        <v>7492</v>
      </c>
      <c r="F6164" s="22" t="s">
        <v>114</v>
      </c>
      <c r="G6164" s="25">
        <v>15961.599999999989</v>
      </c>
      <c r="H6164" s="22" t="s">
        <v>24</v>
      </c>
      <c r="I6164" s="22">
        <v>1</v>
      </c>
      <c r="J6164" s="22" t="s">
        <v>114</v>
      </c>
      <c r="K6164" s="22" t="s">
        <v>75</v>
      </c>
      <c r="L6164" s="22">
        <v>0</v>
      </c>
      <c r="M6164" s="26">
        <v>528000</v>
      </c>
      <c r="N6164" s="26">
        <v>0</v>
      </c>
      <c r="O6164" s="15">
        <f t="shared" si="526"/>
        <v>528000</v>
      </c>
      <c r="P6164" s="15">
        <f t="shared" si="527"/>
        <v>33.07939053728952</v>
      </c>
      <c r="Q6164" s="25">
        <v>14000</v>
      </c>
      <c r="R6164" s="22">
        <v>100</v>
      </c>
      <c r="S6164" s="22" t="s">
        <v>7493</v>
      </c>
      <c r="T6164" s="22">
        <f t="shared" si="528"/>
        <v>1</v>
      </c>
      <c r="U6164" s="22">
        <f t="shared" si="529"/>
        <v>2023</v>
      </c>
      <c r="V6164" s="22" t="str">
        <f t="shared" si="530"/>
        <v>REGIONES</v>
      </c>
    </row>
    <row r="6165" spans="1:22" x14ac:dyDescent="0.2">
      <c r="A6165" s="23" t="s">
        <v>7487</v>
      </c>
      <c r="B6165" s="22" t="s">
        <v>33</v>
      </c>
      <c r="C6165" s="22" t="s">
        <v>29</v>
      </c>
      <c r="D6165" s="22" t="s">
        <v>7494</v>
      </c>
      <c r="E6165" s="24" t="s">
        <v>312</v>
      </c>
      <c r="F6165" s="22" t="s">
        <v>114</v>
      </c>
      <c r="G6165" s="25">
        <v>15170.64</v>
      </c>
      <c r="H6165" s="22" t="s">
        <v>24</v>
      </c>
      <c r="I6165" s="22">
        <v>1</v>
      </c>
      <c r="J6165" s="22" t="s">
        <v>114</v>
      </c>
      <c r="K6165" s="22" t="s">
        <v>75</v>
      </c>
      <c r="L6165" s="22">
        <v>0</v>
      </c>
      <c r="M6165" s="26">
        <v>528000</v>
      </c>
      <c r="N6165" s="26">
        <v>0</v>
      </c>
      <c r="O6165" s="15">
        <f t="shared" si="526"/>
        <v>528000</v>
      </c>
      <c r="P6165" s="15">
        <f t="shared" si="527"/>
        <v>34.804068912056444</v>
      </c>
      <c r="Q6165" s="25">
        <v>14000</v>
      </c>
      <c r="R6165" s="22">
        <v>100</v>
      </c>
      <c r="S6165" s="22" t="s">
        <v>7495</v>
      </c>
      <c r="T6165" s="22">
        <f t="shared" si="528"/>
        <v>1</v>
      </c>
      <c r="U6165" s="22">
        <f t="shared" si="529"/>
        <v>2023</v>
      </c>
      <c r="V6165" s="22" t="str">
        <f t="shared" si="530"/>
        <v>REGIONES</v>
      </c>
    </row>
    <row r="6166" spans="1:22" x14ac:dyDescent="0.2">
      <c r="A6166" s="23" t="s">
        <v>7487</v>
      </c>
      <c r="B6166" s="22" t="s">
        <v>33</v>
      </c>
      <c r="C6166" s="22" t="s">
        <v>29</v>
      </c>
      <c r="D6166" s="22" t="s">
        <v>164</v>
      </c>
      <c r="E6166" s="24" t="s">
        <v>1576</v>
      </c>
      <c r="F6166" s="22" t="s">
        <v>39</v>
      </c>
      <c r="G6166" s="25">
        <v>11241.840000000009</v>
      </c>
      <c r="H6166" s="22" t="s">
        <v>22</v>
      </c>
      <c r="I6166" s="22">
        <v>1</v>
      </c>
      <c r="J6166" s="22" t="s">
        <v>39</v>
      </c>
      <c r="K6166" s="22" t="s">
        <v>23</v>
      </c>
      <c r="L6166" s="22">
        <v>1</v>
      </c>
      <c r="M6166" s="26">
        <v>123660</v>
      </c>
      <c r="N6166" s="26">
        <v>0</v>
      </c>
      <c r="O6166" s="15">
        <f t="shared" si="526"/>
        <v>123660</v>
      </c>
      <c r="P6166" s="15">
        <f t="shared" si="527"/>
        <v>10.999978651181648</v>
      </c>
      <c r="Q6166" s="25">
        <v>5000</v>
      </c>
      <c r="R6166" s="22">
        <v>100</v>
      </c>
      <c r="S6166" s="22" t="s">
        <v>7496</v>
      </c>
      <c r="T6166" s="22">
        <f t="shared" si="528"/>
        <v>1</v>
      </c>
      <c r="U6166" s="22">
        <f t="shared" si="529"/>
        <v>2023</v>
      </c>
      <c r="V6166" s="22" t="str">
        <f t="shared" si="530"/>
        <v>METROPOLITANA</v>
      </c>
    </row>
    <row r="6167" spans="1:22" x14ac:dyDescent="0.2">
      <c r="A6167" s="23" t="s">
        <v>7487</v>
      </c>
      <c r="B6167" s="22" t="s">
        <v>33</v>
      </c>
      <c r="C6167" s="22" t="s">
        <v>29</v>
      </c>
      <c r="D6167" s="22" t="s">
        <v>20</v>
      </c>
      <c r="E6167" s="24" t="s">
        <v>21</v>
      </c>
      <c r="F6167" s="22" t="s">
        <v>173</v>
      </c>
      <c r="G6167" s="25">
        <v>3816.2</v>
      </c>
      <c r="H6167" s="22" t="s">
        <v>22</v>
      </c>
      <c r="I6167" s="22">
        <v>0</v>
      </c>
      <c r="J6167" s="22" t="s">
        <v>173</v>
      </c>
      <c r="K6167" s="22" t="s">
        <v>23</v>
      </c>
      <c r="L6167" s="22">
        <v>5</v>
      </c>
      <c r="M6167" s="26">
        <v>112500</v>
      </c>
      <c r="N6167" s="26">
        <v>0</v>
      </c>
      <c r="O6167" s="15">
        <f t="shared" si="526"/>
        <v>112500</v>
      </c>
      <c r="P6167" s="15">
        <f t="shared" si="527"/>
        <v>29.479587023740894</v>
      </c>
      <c r="Q6167" s="25">
        <v>10000</v>
      </c>
      <c r="R6167" s="22">
        <v>38</v>
      </c>
      <c r="S6167" s="22" t="s">
        <v>7497</v>
      </c>
      <c r="T6167" s="22">
        <f t="shared" si="528"/>
        <v>1</v>
      </c>
      <c r="U6167" s="22">
        <f t="shared" si="529"/>
        <v>2023</v>
      </c>
      <c r="V6167" s="22" t="str">
        <f t="shared" si="530"/>
        <v>METROPOLITANA</v>
      </c>
    </row>
    <row r="6168" spans="1:22" x14ac:dyDescent="0.2">
      <c r="A6168" s="23" t="s">
        <v>7487</v>
      </c>
      <c r="B6168" s="22" t="s">
        <v>33</v>
      </c>
      <c r="C6168" s="22" t="s">
        <v>44</v>
      </c>
      <c r="D6168" s="22" t="s">
        <v>45</v>
      </c>
      <c r="E6168" s="24" t="s">
        <v>49</v>
      </c>
      <c r="F6168" s="22" t="s">
        <v>34</v>
      </c>
      <c r="G6168" s="25">
        <v>2936.73</v>
      </c>
      <c r="H6168" s="22" t="s">
        <v>22</v>
      </c>
      <c r="I6168" s="22">
        <v>0</v>
      </c>
      <c r="J6168" s="22" t="s">
        <v>34</v>
      </c>
      <c r="K6168" s="22" t="s">
        <v>23</v>
      </c>
      <c r="L6168" s="22">
        <v>1</v>
      </c>
      <c r="M6168" s="26">
        <v>69173</v>
      </c>
      <c r="N6168" s="26">
        <v>0</v>
      </c>
      <c r="O6168" s="15">
        <f t="shared" si="526"/>
        <v>69173</v>
      </c>
      <c r="P6168" s="15">
        <f t="shared" si="527"/>
        <v>23.554429586649096</v>
      </c>
      <c r="Q6168" s="25">
        <v>5000</v>
      </c>
      <c r="R6168" s="22">
        <v>59</v>
      </c>
      <c r="S6168" s="22" t="s">
        <v>7498</v>
      </c>
      <c r="T6168" s="22">
        <f t="shared" si="528"/>
        <v>1</v>
      </c>
      <c r="U6168" s="22">
        <f t="shared" si="529"/>
        <v>2023</v>
      </c>
      <c r="V6168" s="22" t="str">
        <f t="shared" si="530"/>
        <v>METROPOLITANA</v>
      </c>
    </row>
    <row r="6169" spans="1:22" x14ac:dyDescent="0.2">
      <c r="A6169" s="11" t="s">
        <v>7500</v>
      </c>
      <c r="B6169" s="12" t="s">
        <v>33</v>
      </c>
      <c r="C6169" s="12" t="s">
        <v>128</v>
      </c>
      <c r="D6169" s="12" t="s">
        <v>63</v>
      </c>
      <c r="E6169" s="13" t="s">
        <v>64</v>
      </c>
      <c r="F6169" s="12" t="s">
        <v>48</v>
      </c>
      <c r="G6169" s="14">
        <v>6901.9999999999991</v>
      </c>
      <c r="H6169" s="12" t="s">
        <v>65</v>
      </c>
      <c r="I6169" s="12">
        <v>0</v>
      </c>
      <c r="J6169" s="12" t="s">
        <v>48</v>
      </c>
      <c r="K6169" s="12" t="s">
        <v>23</v>
      </c>
      <c r="L6169" s="12">
        <v>1</v>
      </c>
      <c r="M6169" s="15">
        <v>75922</v>
      </c>
      <c r="N6169" s="15">
        <v>0</v>
      </c>
      <c r="O6169" s="15">
        <f t="shared" si="526"/>
        <v>75922</v>
      </c>
      <c r="P6169" s="15">
        <f t="shared" si="527"/>
        <v>11.000000000000002</v>
      </c>
      <c r="Q6169" s="14">
        <v>5000</v>
      </c>
      <c r="R6169" s="12">
        <v>100</v>
      </c>
      <c r="S6169" s="12" t="s">
        <v>7501</v>
      </c>
      <c r="T6169" s="22">
        <f t="shared" si="528"/>
        <v>1</v>
      </c>
      <c r="U6169" s="22">
        <f t="shared" si="529"/>
        <v>2023</v>
      </c>
      <c r="V6169" s="22" t="str">
        <f t="shared" si="530"/>
        <v>METROPOLITANA</v>
      </c>
    </row>
    <row r="6170" spans="1:22" x14ac:dyDescent="0.2">
      <c r="A6170" s="11" t="s">
        <v>7500</v>
      </c>
      <c r="B6170" s="12" t="s">
        <v>33</v>
      </c>
      <c r="C6170" s="12" t="s">
        <v>128</v>
      </c>
      <c r="D6170" s="12" t="s">
        <v>41</v>
      </c>
      <c r="E6170" s="13" t="s">
        <v>25</v>
      </c>
      <c r="F6170" s="12" t="s">
        <v>230</v>
      </c>
      <c r="G6170" s="14">
        <v>4878.75</v>
      </c>
      <c r="H6170" s="12" t="s">
        <v>43</v>
      </c>
      <c r="I6170" s="12">
        <v>0</v>
      </c>
      <c r="J6170" s="12" t="s">
        <v>230</v>
      </c>
      <c r="K6170" s="12" t="s">
        <v>23</v>
      </c>
      <c r="L6170" s="12">
        <v>4</v>
      </c>
      <c r="M6170" s="15">
        <v>69173</v>
      </c>
      <c r="N6170" s="15">
        <v>0</v>
      </c>
      <c r="O6170" s="15">
        <f t="shared" si="526"/>
        <v>69173</v>
      </c>
      <c r="P6170" s="15">
        <f t="shared" si="527"/>
        <v>14.178426851140149</v>
      </c>
      <c r="Q6170" s="14">
        <v>5000</v>
      </c>
      <c r="R6170" s="12">
        <v>98</v>
      </c>
      <c r="S6170" s="12" t="s">
        <v>7502</v>
      </c>
      <c r="T6170" s="22">
        <f t="shared" si="528"/>
        <v>1</v>
      </c>
      <c r="U6170" s="22">
        <f t="shared" si="529"/>
        <v>2023</v>
      </c>
      <c r="V6170" s="22" t="str">
        <f t="shared" si="530"/>
        <v>METROPOLITANA</v>
      </c>
    </row>
    <row r="6171" spans="1:22" x14ac:dyDescent="0.2">
      <c r="A6171" s="11" t="s">
        <v>7500</v>
      </c>
      <c r="B6171" s="12" t="s">
        <v>33</v>
      </c>
      <c r="C6171" s="12" t="s">
        <v>36</v>
      </c>
      <c r="D6171" s="12" t="s">
        <v>30</v>
      </c>
      <c r="E6171" s="13" t="s">
        <v>31</v>
      </c>
      <c r="F6171" s="12" t="s">
        <v>855</v>
      </c>
      <c r="G6171" s="14">
        <f>3211.6+1798</f>
        <v>5009.6000000000004</v>
      </c>
      <c r="H6171" s="12" t="s">
        <v>32</v>
      </c>
      <c r="I6171" s="12">
        <v>0</v>
      </c>
      <c r="J6171" s="12" t="s">
        <v>855</v>
      </c>
      <c r="K6171" s="12" t="s">
        <v>78</v>
      </c>
      <c r="L6171" s="12">
        <v>0</v>
      </c>
      <c r="M6171" s="15">
        <v>230000</v>
      </c>
      <c r="N6171" s="15">
        <v>0</v>
      </c>
      <c r="O6171" s="15">
        <f t="shared" si="526"/>
        <v>230000</v>
      </c>
      <c r="P6171" s="15">
        <f t="shared" si="527"/>
        <v>45.911849249441069</v>
      </c>
      <c r="Q6171" s="14">
        <v>14000</v>
      </c>
      <c r="R6171" s="12">
        <v>65</v>
      </c>
      <c r="S6171" s="12" t="s">
        <v>7509</v>
      </c>
      <c r="T6171" s="22">
        <f t="shared" si="528"/>
        <v>1</v>
      </c>
      <c r="U6171" s="22">
        <f t="shared" si="529"/>
        <v>2023</v>
      </c>
      <c r="V6171" s="22" t="str">
        <f t="shared" si="530"/>
        <v>REGIONES</v>
      </c>
    </row>
    <row r="6172" spans="1:22" x14ac:dyDescent="0.2">
      <c r="A6172" s="11" t="s">
        <v>7500</v>
      </c>
      <c r="B6172" s="12" t="s">
        <v>33</v>
      </c>
      <c r="C6172" s="12" t="s">
        <v>29</v>
      </c>
      <c r="D6172" s="12" t="s">
        <v>2955</v>
      </c>
      <c r="E6172" s="13" t="s">
        <v>2956</v>
      </c>
      <c r="F6172" s="12" t="s">
        <v>129</v>
      </c>
      <c r="G6172" s="14">
        <v>18009.599999999999</v>
      </c>
      <c r="H6172" s="12" t="s">
        <v>24</v>
      </c>
      <c r="I6172" s="12">
        <v>1</v>
      </c>
      <c r="J6172" s="12" t="s">
        <v>129</v>
      </c>
      <c r="K6172" s="12" t="s">
        <v>23</v>
      </c>
      <c r="L6172" s="12">
        <v>1</v>
      </c>
      <c r="M6172" s="15">
        <v>198106</v>
      </c>
      <c r="N6172" s="15">
        <v>0</v>
      </c>
      <c r="O6172" s="15">
        <f t="shared" si="526"/>
        <v>198106</v>
      </c>
      <c r="P6172" s="15">
        <f t="shared" si="527"/>
        <v>11.000022210376688</v>
      </c>
      <c r="Q6172" s="14">
        <v>5000</v>
      </c>
      <c r="R6172" s="12">
        <v>100</v>
      </c>
      <c r="S6172" s="12" t="s">
        <v>7503</v>
      </c>
      <c r="T6172" s="22">
        <f t="shared" si="528"/>
        <v>1</v>
      </c>
      <c r="U6172" s="22">
        <f t="shared" si="529"/>
        <v>2023</v>
      </c>
      <c r="V6172" s="22" t="str">
        <f t="shared" si="530"/>
        <v>METROPOLITANA</v>
      </c>
    </row>
    <row r="6173" spans="1:22" x14ac:dyDescent="0.2">
      <c r="A6173" s="11" t="s">
        <v>7500</v>
      </c>
      <c r="B6173" s="12" t="s">
        <v>33</v>
      </c>
      <c r="C6173" s="12" t="s">
        <v>29</v>
      </c>
      <c r="D6173" s="12" t="s">
        <v>41</v>
      </c>
      <c r="E6173" s="13" t="s">
        <v>25</v>
      </c>
      <c r="F6173" s="12" t="s">
        <v>39</v>
      </c>
      <c r="G6173" s="14">
        <v>5700.1299999999992</v>
      </c>
      <c r="H6173" s="12" t="s">
        <v>43</v>
      </c>
      <c r="I6173" s="12">
        <v>0</v>
      </c>
      <c r="J6173" s="12" t="s">
        <v>39</v>
      </c>
      <c r="K6173" s="12" t="s">
        <v>23</v>
      </c>
      <c r="L6173" s="12">
        <v>1</v>
      </c>
      <c r="M6173" s="15">
        <v>62701</v>
      </c>
      <c r="N6173" s="15">
        <v>0</v>
      </c>
      <c r="O6173" s="15">
        <f t="shared" si="526"/>
        <v>62701</v>
      </c>
      <c r="P6173" s="15">
        <f t="shared" si="527"/>
        <v>10.999924563124001</v>
      </c>
      <c r="Q6173" s="14">
        <v>5000</v>
      </c>
      <c r="R6173" s="12">
        <v>100</v>
      </c>
      <c r="S6173" s="12" t="s">
        <v>7504</v>
      </c>
      <c r="T6173" s="22">
        <f t="shared" si="528"/>
        <v>1</v>
      </c>
      <c r="U6173" s="22">
        <f t="shared" si="529"/>
        <v>2023</v>
      </c>
      <c r="V6173" s="22" t="str">
        <f t="shared" si="530"/>
        <v>METROPOLITANA</v>
      </c>
    </row>
    <row r="6174" spans="1:22" x14ac:dyDescent="0.2">
      <c r="A6174" s="11" t="s">
        <v>7500</v>
      </c>
      <c r="B6174" s="12" t="s">
        <v>33</v>
      </c>
      <c r="C6174" s="12" t="s">
        <v>29</v>
      </c>
      <c r="D6174" s="12" t="s">
        <v>164</v>
      </c>
      <c r="E6174" s="13" t="s">
        <v>1576</v>
      </c>
      <c r="F6174" s="12" t="s">
        <v>39</v>
      </c>
      <c r="G6174" s="14">
        <v>23387.200000000001</v>
      </c>
      <c r="H6174" s="12" t="s">
        <v>22</v>
      </c>
      <c r="I6174" s="12">
        <v>1</v>
      </c>
      <c r="J6174" s="12" t="s">
        <v>39</v>
      </c>
      <c r="K6174" s="12" t="s">
        <v>23</v>
      </c>
      <c r="L6174" s="12">
        <v>1</v>
      </c>
      <c r="M6174" s="15">
        <v>257259</v>
      </c>
      <c r="N6174" s="15">
        <v>0</v>
      </c>
      <c r="O6174" s="15">
        <f t="shared" si="526"/>
        <v>257259</v>
      </c>
      <c r="P6174" s="15">
        <f t="shared" si="527"/>
        <v>10.999991448313606</v>
      </c>
      <c r="Q6174" s="14">
        <v>5000</v>
      </c>
      <c r="R6174" s="12">
        <v>100</v>
      </c>
      <c r="S6174" s="12" t="s">
        <v>7505</v>
      </c>
      <c r="T6174" s="22">
        <f t="shared" si="528"/>
        <v>1</v>
      </c>
      <c r="U6174" s="22">
        <f t="shared" si="529"/>
        <v>2023</v>
      </c>
      <c r="V6174" s="22" t="str">
        <f t="shared" si="530"/>
        <v>METROPOLITANA</v>
      </c>
    </row>
    <row r="6175" spans="1:22" x14ac:dyDescent="0.2">
      <c r="A6175" s="11" t="s">
        <v>7500</v>
      </c>
      <c r="B6175" s="12" t="s">
        <v>33</v>
      </c>
      <c r="C6175" s="12" t="s">
        <v>44</v>
      </c>
      <c r="D6175" s="12" t="s">
        <v>38</v>
      </c>
      <c r="E6175" s="13" t="s">
        <v>42</v>
      </c>
      <c r="F6175" s="12" t="s">
        <v>137</v>
      </c>
      <c r="G6175" s="14">
        <v>2504.17</v>
      </c>
      <c r="H6175" s="12" t="s">
        <v>43</v>
      </c>
      <c r="I6175" s="12">
        <v>0</v>
      </c>
      <c r="J6175" s="12" t="s">
        <v>137</v>
      </c>
      <c r="K6175" s="12" t="s">
        <v>23</v>
      </c>
      <c r="L6175" s="12">
        <v>1</v>
      </c>
      <c r="M6175" s="15">
        <v>69173</v>
      </c>
      <c r="N6175" s="15">
        <v>0</v>
      </c>
      <c r="O6175" s="15">
        <f t="shared" si="526"/>
        <v>69173</v>
      </c>
      <c r="P6175" s="15">
        <f t="shared" si="527"/>
        <v>27.623124628120294</v>
      </c>
      <c r="Q6175" s="14">
        <v>5000</v>
      </c>
      <c r="R6175" s="12">
        <v>50</v>
      </c>
      <c r="S6175" s="12" t="s">
        <v>7506</v>
      </c>
      <c r="T6175" s="22">
        <f t="shared" si="528"/>
        <v>1</v>
      </c>
      <c r="U6175" s="22">
        <f t="shared" si="529"/>
        <v>2023</v>
      </c>
      <c r="V6175" s="22" t="str">
        <f t="shared" si="530"/>
        <v>METROPOLITANA</v>
      </c>
    </row>
    <row r="6176" spans="1:22" x14ac:dyDescent="0.2">
      <c r="A6176" s="11" t="s">
        <v>7500</v>
      </c>
      <c r="B6176" s="12" t="s">
        <v>33</v>
      </c>
      <c r="C6176" s="12" t="s">
        <v>44</v>
      </c>
      <c r="D6176" s="12" t="s">
        <v>2825</v>
      </c>
      <c r="E6176" s="13" t="s">
        <v>639</v>
      </c>
      <c r="F6176" s="12" t="s">
        <v>3139</v>
      </c>
      <c r="G6176" s="14">
        <f>4454.24+2461</f>
        <v>6915.24</v>
      </c>
      <c r="H6176" s="12" t="s">
        <v>24</v>
      </c>
      <c r="I6176" s="12">
        <v>1</v>
      </c>
      <c r="J6176" s="12" t="s">
        <v>3139</v>
      </c>
      <c r="K6176" s="12" t="s">
        <v>93</v>
      </c>
      <c r="L6176" s="12">
        <v>0</v>
      </c>
      <c r="M6176" s="15">
        <v>583000</v>
      </c>
      <c r="N6176" s="15">
        <v>0</v>
      </c>
      <c r="O6176" s="15">
        <f t="shared" si="526"/>
        <v>583000</v>
      </c>
      <c r="P6176" s="15">
        <f t="shared" si="527"/>
        <v>84.306546121320451</v>
      </c>
      <c r="Q6176" s="14">
        <v>14000</v>
      </c>
      <c r="R6176" s="12">
        <v>65</v>
      </c>
      <c r="S6176" s="12" t="s">
        <v>7510</v>
      </c>
      <c r="T6176" s="22">
        <f t="shared" si="528"/>
        <v>1</v>
      </c>
      <c r="U6176" s="22">
        <f t="shared" si="529"/>
        <v>2023</v>
      </c>
      <c r="V6176" s="22" t="str">
        <f t="shared" si="530"/>
        <v>REGIONES</v>
      </c>
    </row>
    <row r="6177" spans="1:22" x14ac:dyDescent="0.2">
      <c r="A6177" s="11" t="s">
        <v>7500</v>
      </c>
      <c r="B6177" s="12" t="s">
        <v>33</v>
      </c>
      <c r="C6177" s="12" t="s">
        <v>44</v>
      </c>
      <c r="D6177" s="12" t="s">
        <v>37</v>
      </c>
      <c r="E6177" s="13" t="s">
        <v>40</v>
      </c>
      <c r="F6177" s="12" t="s">
        <v>48</v>
      </c>
      <c r="G6177" s="14">
        <v>9027.6400000000031</v>
      </c>
      <c r="H6177" s="12" t="s">
        <v>22</v>
      </c>
      <c r="I6177" s="12">
        <v>0</v>
      </c>
      <c r="J6177" s="12" t="s">
        <v>48</v>
      </c>
      <c r="K6177" s="12" t="s">
        <v>23</v>
      </c>
      <c r="L6177" s="12">
        <v>1</v>
      </c>
      <c r="M6177" s="15">
        <v>99304</v>
      </c>
      <c r="N6177" s="15">
        <v>0</v>
      </c>
      <c r="O6177" s="15">
        <f t="shared" si="526"/>
        <v>99304</v>
      </c>
      <c r="P6177" s="15">
        <f t="shared" si="527"/>
        <v>10.999995569163143</v>
      </c>
      <c r="Q6177" s="14">
        <v>5000</v>
      </c>
      <c r="R6177" s="12">
        <v>100</v>
      </c>
      <c r="S6177" s="12" t="s">
        <v>7507</v>
      </c>
      <c r="T6177" s="22">
        <f t="shared" si="528"/>
        <v>1</v>
      </c>
      <c r="U6177" s="22">
        <f t="shared" si="529"/>
        <v>2023</v>
      </c>
      <c r="V6177" s="22" t="str">
        <f t="shared" si="530"/>
        <v>METROPOLITANA</v>
      </c>
    </row>
    <row r="6178" spans="1:22" x14ac:dyDescent="0.2">
      <c r="A6178" s="11" t="s">
        <v>7500</v>
      </c>
      <c r="B6178" s="12" t="s">
        <v>33</v>
      </c>
      <c r="C6178" s="12" t="s">
        <v>44</v>
      </c>
      <c r="D6178" s="12" t="s">
        <v>45</v>
      </c>
      <c r="E6178" s="13" t="s">
        <v>21</v>
      </c>
      <c r="F6178" s="12" t="s">
        <v>134</v>
      </c>
      <c r="G6178" s="14">
        <v>3001.6</v>
      </c>
      <c r="H6178" s="12" t="s">
        <v>22</v>
      </c>
      <c r="I6178" s="12">
        <v>0</v>
      </c>
      <c r="J6178" s="12" t="s">
        <v>134</v>
      </c>
      <c r="K6178" s="12" t="s">
        <v>23</v>
      </c>
      <c r="L6178" s="12">
        <v>2</v>
      </c>
      <c r="M6178" s="15">
        <v>69173</v>
      </c>
      <c r="N6178" s="15">
        <v>0</v>
      </c>
      <c r="O6178" s="15">
        <f t="shared" si="526"/>
        <v>69173</v>
      </c>
      <c r="P6178" s="15">
        <f t="shared" si="527"/>
        <v>23.045375799573563</v>
      </c>
      <c r="Q6178" s="14">
        <v>5000</v>
      </c>
      <c r="R6178" s="12">
        <v>60</v>
      </c>
      <c r="S6178" s="12" t="s">
        <v>7508</v>
      </c>
      <c r="T6178" s="22">
        <f t="shared" si="528"/>
        <v>1</v>
      </c>
      <c r="U6178" s="22">
        <f t="shared" si="529"/>
        <v>2023</v>
      </c>
      <c r="V6178" s="22" t="str">
        <f t="shared" si="530"/>
        <v>METROPOLITANA</v>
      </c>
    </row>
    <row r="6179" spans="1:22" x14ac:dyDescent="0.2">
      <c r="A6179" s="23" t="s">
        <v>7511</v>
      </c>
      <c r="B6179" s="22" t="s">
        <v>18</v>
      </c>
      <c r="C6179" s="22" t="s">
        <v>57</v>
      </c>
      <c r="D6179" s="22" t="s">
        <v>37</v>
      </c>
      <c r="E6179" s="24" t="s">
        <v>40</v>
      </c>
      <c r="F6179" s="22" t="s">
        <v>58</v>
      </c>
      <c r="G6179" s="25">
        <v>11395.98</v>
      </c>
      <c r="H6179" s="22" t="s">
        <v>22</v>
      </c>
      <c r="I6179" s="22">
        <v>0</v>
      </c>
      <c r="J6179" s="22" t="s">
        <v>58</v>
      </c>
      <c r="K6179" s="22" t="s">
        <v>23</v>
      </c>
      <c r="L6179" s="22">
        <v>5</v>
      </c>
      <c r="M6179" s="26">
        <v>87500</v>
      </c>
      <c r="N6179" s="26">
        <v>0</v>
      </c>
      <c r="O6179" s="15">
        <f t="shared" si="526"/>
        <v>87500</v>
      </c>
      <c r="P6179" s="15">
        <f t="shared" si="527"/>
        <v>7.6781461532926523</v>
      </c>
      <c r="Q6179" s="25">
        <v>10000</v>
      </c>
      <c r="R6179" s="22">
        <v>100</v>
      </c>
      <c r="S6179" s="22" t="s">
        <v>7512</v>
      </c>
      <c r="T6179" s="22">
        <f t="shared" si="528"/>
        <v>1</v>
      </c>
      <c r="U6179" s="22">
        <f t="shared" si="529"/>
        <v>2023</v>
      </c>
      <c r="V6179" s="22" t="str">
        <f t="shared" si="530"/>
        <v>METROPOLITANA</v>
      </c>
    </row>
    <row r="6180" spans="1:22" x14ac:dyDescent="0.2">
      <c r="A6180" s="23" t="s">
        <v>7511</v>
      </c>
      <c r="B6180" s="22" t="s">
        <v>33</v>
      </c>
      <c r="C6180" s="22" t="s">
        <v>44</v>
      </c>
      <c r="D6180" s="22" t="s">
        <v>38</v>
      </c>
      <c r="E6180" s="24" t="s">
        <v>42</v>
      </c>
      <c r="F6180" s="22" t="s">
        <v>138</v>
      </c>
      <c r="G6180" s="25">
        <f>2474+8190</f>
        <v>10664</v>
      </c>
      <c r="H6180" s="22" t="s">
        <v>43</v>
      </c>
      <c r="I6180" s="22">
        <v>0</v>
      </c>
      <c r="J6180" s="22" t="s">
        <v>138</v>
      </c>
      <c r="K6180" s="22" t="s">
        <v>23</v>
      </c>
      <c r="L6180" s="22">
        <v>3</v>
      </c>
      <c r="M6180" s="26">
        <v>69173</v>
      </c>
      <c r="N6180" s="26">
        <v>0</v>
      </c>
      <c r="O6180" s="15">
        <f t="shared" si="526"/>
        <v>69173</v>
      </c>
      <c r="P6180" s="15">
        <f t="shared" si="527"/>
        <v>6.4865903975994001</v>
      </c>
      <c r="Q6180" s="25">
        <v>5000</v>
      </c>
      <c r="R6180" s="22">
        <v>100</v>
      </c>
      <c r="S6180" s="22" t="s">
        <v>7519</v>
      </c>
      <c r="T6180" s="22">
        <f t="shared" si="528"/>
        <v>1</v>
      </c>
      <c r="U6180" s="22">
        <f t="shared" si="529"/>
        <v>2023</v>
      </c>
      <c r="V6180" s="22" t="str">
        <f t="shared" si="530"/>
        <v>METROPOLITANA</v>
      </c>
    </row>
    <row r="6181" spans="1:22" x14ac:dyDescent="0.2">
      <c r="A6181" s="23" t="s">
        <v>7511</v>
      </c>
      <c r="B6181" s="22" t="s">
        <v>33</v>
      </c>
      <c r="C6181" s="22" t="s">
        <v>44</v>
      </c>
      <c r="D6181" s="22" t="s">
        <v>7181</v>
      </c>
      <c r="E6181" s="24" t="s">
        <v>7182</v>
      </c>
      <c r="F6181" s="22" t="s">
        <v>2639</v>
      </c>
      <c r="G6181" s="25">
        <v>7137.0899999999983</v>
      </c>
      <c r="H6181" s="22" t="s">
        <v>85</v>
      </c>
      <c r="I6181" s="22">
        <v>1</v>
      </c>
      <c r="J6181" s="22" t="s">
        <v>2639</v>
      </c>
      <c r="K6181" s="22" t="s">
        <v>75</v>
      </c>
      <c r="L6181" s="22">
        <v>0</v>
      </c>
      <c r="M6181" s="26">
        <v>478000</v>
      </c>
      <c r="N6181" s="26">
        <v>0</v>
      </c>
      <c r="O6181" s="15">
        <f t="shared" si="526"/>
        <v>478000</v>
      </c>
      <c r="P6181" s="15">
        <f t="shared" si="527"/>
        <v>66.974074868048476</v>
      </c>
      <c r="Q6181" s="25">
        <v>14000</v>
      </c>
      <c r="R6181" s="22">
        <v>51</v>
      </c>
      <c r="S6181" s="22" t="s">
        <v>7513</v>
      </c>
      <c r="T6181" s="22">
        <f t="shared" si="528"/>
        <v>1</v>
      </c>
      <c r="U6181" s="22">
        <f t="shared" si="529"/>
        <v>2023</v>
      </c>
      <c r="V6181" s="22" t="str">
        <f t="shared" si="530"/>
        <v>REGIONES</v>
      </c>
    </row>
    <row r="6182" spans="1:22" x14ac:dyDescent="0.2">
      <c r="A6182" s="23" t="s">
        <v>7511</v>
      </c>
      <c r="B6182" s="22" t="s">
        <v>33</v>
      </c>
      <c r="C6182" s="22" t="s">
        <v>44</v>
      </c>
      <c r="D6182" s="22" t="s">
        <v>7423</v>
      </c>
      <c r="E6182" s="24" t="s">
        <v>7514</v>
      </c>
      <c r="F6182" s="22" t="s">
        <v>815</v>
      </c>
      <c r="G6182" s="25">
        <v>7872.0000000000045</v>
      </c>
      <c r="H6182" s="22" t="s">
        <v>24</v>
      </c>
      <c r="I6182" s="22">
        <v>1</v>
      </c>
      <c r="J6182" s="22" t="s">
        <v>815</v>
      </c>
      <c r="K6182" s="22" t="s">
        <v>75</v>
      </c>
      <c r="L6182" s="22">
        <v>0</v>
      </c>
      <c r="M6182" s="26">
        <v>528000</v>
      </c>
      <c r="N6182" s="26">
        <v>0</v>
      </c>
      <c r="O6182" s="15">
        <f t="shared" si="526"/>
        <v>528000</v>
      </c>
      <c r="P6182" s="15">
        <f t="shared" si="527"/>
        <v>67.073170731707279</v>
      </c>
      <c r="Q6182" s="25">
        <v>14000</v>
      </c>
      <c r="R6182" s="22">
        <v>56</v>
      </c>
      <c r="S6182" s="22" t="s">
        <v>7515</v>
      </c>
      <c r="T6182" s="22">
        <f t="shared" si="528"/>
        <v>1</v>
      </c>
      <c r="U6182" s="22">
        <f t="shared" si="529"/>
        <v>2023</v>
      </c>
      <c r="V6182" s="22" t="str">
        <f t="shared" si="530"/>
        <v>REGIONES</v>
      </c>
    </row>
    <row r="6183" spans="1:22" x14ac:dyDescent="0.2">
      <c r="A6183" s="23" t="s">
        <v>7511</v>
      </c>
      <c r="B6183" s="22" t="s">
        <v>33</v>
      </c>
      <c r="C6183" s="22" t="s">
        <v>44</v>
      </c>
      <c r="D6183" s="22" t="s">
        <v>63</v>
      </c>
      <c r="E6183" s="24" t="s">
        <v>64</v>
      </c>
      <c r="F6183" s="22" t="s">
        <v>53</v>
      </c>
      <c r="G6183" s="25">
        <v>2804.08</v>
      </c>
      <c r="H6183" s="22" t="s">
        <v>65</v>
      </c>
      <c r="I6183" s="22">
        <v>0</v>
      </c>
      <c r="J6183" s="22" t="s">
        <v>53</v>
      </c>
      <c r="K6183" s="22" t="s">
        <v>23</v>
      </c>
      <c r="L6183" s="22">
        <v>3</v>
      </c>
      <c r="M6183" s="26">
        <v>69173</v>
      </c>
      <c r="N6183" s="26">
        <v>0</v>
      </c>
      <c r="O6183" s="15">
        <f t="shared" si="526"/>
        <v>69173</v>
      </c>
      <c r="P6183" s="15">
        <f t="shared" si="527"/>
        <v>24.668697041453882</v>
      </c>
      <c r="Q6183" s="25">
        <v>5000</v>
      </c>
      <c r="R6183" s="22">
        <v>56</v>
      </c>
      <c r="S6183" s="22" t="s">
        <v>7516</v>
      </c>
      <c r="T6183" s="22">
        <f t="shared" si="528"/>
        <v>1</v>
      </c>
      <c r="U6183" s="22">
        <f t="shared" si="529"/>
        <v>2023</v>
      </c>
      <c r="V6183" s="22" t="str">
        <f t="shared" si="530"/>
        <v>METROPOLITANA</v>
      </c>
    </row>
    <row r="6184" spans="1:22" x14ac:dyDescent="0.2">
      <c r="A6184" s="23" t="s">
        <v>7511</v>
      </c>
      <c r="B6184" s="22" t="s">
        <v>33</v>
      </c>
      <c r="C6184" s="22" t="s">
        <v>44</v>
      </c>
      <c r="D6184" s="22" t="s">
        <v>45</v>
      </c>
      <c r="E6184" s="24" t="s">
        <v>49</v>
      </c>
      <c r="F6184" s="22" t="s">
        <v>6841</v>
      </c>
      <c r="G6184" s="25">
        <v>3029.96</v>
      </c>
      <c r="H6184" s="22" t="s">
        <v>22</v>
      </c>
      <c r="I6184" s="22">
        <v>0</v>
      </c>
      <c r="J6184" s="22" t="s">
        <v>6841</v>
      </c>
      <c r="K6184" s="22" t="s">
        <v>23</v>
      </c>
      <c r="L6184" s="22">
        <v>1</v>
      </c>
      <c r="M6184" s="26">
        <v>69173</v>
      </c>
      <c r="N6184" s="26">
        <v>0</v>
      </c>
      <c r="O6184" s="15">
        <f t="shared" si="526"/>
        <v>69173</v>
      </c>
      <c r="P6184" s="15">
        <f t="shared" si="527"/>
        <v>22.829674319132927</v>
      </c>
      <c r="Q6184" s="25">
        <v>5000</v>
      </c>
      <c r="R6184" s="22">
        <v>61</v>
      </c>
      <c r="S6184" s="22" t="s">
        <v>7517</v>
      </c>
      <c r="T6184" s="22">
        <f t="shared" si="528"/>
        <v>1</v>
      </c>
      <c r="U6184" s="22">
        <f t="shared" si="529"/>
        <v>2023</v>
      </c>
      <c r="V6184" s="22" t="str">
        <f t="shared" si="530"/>
        <v>METROPOLITANA</v>
      </c>
    </row>
    <row r="6185" spans="1:22" x14ac:dyDescent="0.2">
      <c r="A6185" s="23" t="s">
        <v>7511</v>
      </c>
      <c r="B6185" s="22" t="s">
        <v>33</v>
      </c>
      <c r="C6185" s="22" t="s">
        <v>44</v>
      </c>
      <c r="D6185" s="22" t="s">
        <v>20</v>
      </c>
      <c r="E6185" s="24" t="s">
        <v>21</v>
      </c>
      <c r="F6185" s="22" t="s">
        <v>26</v>
      </c>
      <c r="G6185" s="25">
        <v>3873.24</v>
      </c>
      <c r="H6185" s="22" t="s">
        <v>22</v>
      </c>
      <c r="I6185" s="22">
        <v>0</v>
      </c>
      <c r="J6185" s="22" t="s">
        <v>26</v>
      </c>
      <c r="K6185" s="22" t="s">
        <v>23</v>
      </c>
      <c r="L6185" s="22">
        <v>4</v>
      </c>
      <c r="M6185" s="26">
        <v>69173</v>
      </c>
      <c r="N6185" s="26">
        <v>0</v>
      </c>
      <c r="O6185" s="15">
        <f t="shared" si="526"/>
        <v>69173</v>
      </c>
      <c r="P6185" s="15">
        <f t="shared" si="527"/>
        <v>17.859208311387881</v>
      </c>
      <c r="Q6185" s="25">
        <v>5000</v>
      </c>
      <c r="R6185" s="22">
        <v>77</v>
      </c>
      <c r="S6185" s="22" t="s">
        <v>7518</v>
      </c>
      <c r="T6185" s="22">
        <f t="shared" si="528"/>
        <v>1</v>
      </c>
      <c r="U6185" s="22">
        <f t="shared" si="529"/>
        <v>2023</v>
      </c>
      <c r="V6185" s="22" t="str">
        <f t="shared" si="530"/>
        <v>METROPOLITANA</v>
      </c>
    </row>
    <row r="6186" spans="1:22" x14ac:dyDescent="0.2">
      <c r="A6186" s="11" t="s">
        <v>7520</v>
      </c>
      <c r="B6186" s="12" t="s">
        <v>18</v>
      </c>
      <c r="C6186" s="12" t="s">
        <v>2431</v>
      </c>
      <c r="D6186" s="12" t="s">
        <v>38</v>
      </c>
      <c r="E6186" s="13" t="s">
        <v>42</v>
      </c>
      <c r="F6186" s="12" t="s">
        <v>66</v>
      </c>
      <c r="G6186" s="14">
        <v>5460</v>
      </c>
      <c r="H6186" s="12" t="s">
        <v>43</v>
      </c>
      <c r="I6186" s="12">
        <v>0</v>
      </c>
      <c r="J6186" s="12" t="s">
        <v>66</v>
      </c>
      <c r="K6186" s="12" t="s">
        <v>75</v>
      </c>
      <c r="L6186" s="12">
        <v>0</v>
      </c>
      <c r="M6186" s="15">
        <v>69173</v>
      </c>
      <c r="N6186" s="15">
        <v>0</v>
      </c>
      <c r="O6186" s="15">
        <f t="shared" si="526"/>
        <v>69173</v>
      </c>
      <c r="P6186" s="15">
        <f t="shared" si="527"/>
        <v>12.669047619047619</v>
      </c>
      <c r="Q6186" s="14">
        <v>14000</v>
      </c>
      <c r="R6186" s="12">
        <v>100</v>
      </c>
      <c r="S6186" s="12" t="s">
        <v>7521</v>
      </c>
      <c r="T6186" s="22">
        <f t="shared" si="528"/>
        <v>1</v>
      </c>
      <c r="U6186" s="22">
        <f t="shared" si="529"/>
        <v>2023</v>
      </c>
      <c r="V6186" s="22" t="str">
        <f t="shared" si="530"/>
        <v>REGIONES</v>
      </c>
    </row>
    <row r="6187" spans="1:22" x14ac:dyDescent="0.2">
      <c r="A6187" s="11" t="s">
        <v>7520</v>
      </c>
      <c r="B6187" s="12" t="s">
        <v>18</v>
      </c>
      <c r="C6187" s="12" t="s">
        <v>4252</v>
      </c>
      <c r="D6187" s="12" t="s">
        <v>6221</v>
      </c>
      <c r="E6187" s="13" t="s">
        <v>6219</v>
      </c>
      <c r="F6187" s="12" t="s">
        <v>6258</v>
      </c>
      <c r="G6187" s="14">
        <f>13897.16+3338</f>
        <v>17235.16</v>
      </c>
      <c r="H6187" s="12" t="s">
        <v>24</v>
      </c>
      <c r="I6187" s="12">
        <v>1</v>
      </c>
      <c r="J6187" s="12" t="s">
        <v>6258</v>
      </c>
      <c r="K6187" s="12" t="s">
        <v>437</v>
      </c>
      <c r="L6187" s="12">
        <v>0</v>
      </c>
      <c r="M6187" s="15">
        <v>1500000</v>
      </c>
      <c r="N6187" s="15">
        <v>0</v>
      </c>
      <c r="O6187" s="15">
        <f t="shared" si="526"/>
        <v>1500000</v>
      </c>
      <c r="P6187" s="15">
        <f t="shared" si="527"/>
        <v>87.031393964430848</v>
      </c>
      <c r="Q6187" s="14">
        <v>14000</v>
      </c>
      <c r="R6187" s="12">
        <v>100</v>
      </c>
      <c r="S6187" s="12" t="s">
        <v>7538</v>
      </c>
      <c r="T6187" s="22">
        <f t="shared" si="528"/>
        <v>1</v>
      </c>
      <c r="U6187" s="22">
        <f t="shared" si="529"/>
        <v>2023</v>
      </c>
      <c r="V6187" s="22" t="str">
        <f t="shared" si="530"/>
        <v>REGIONES</v>
      </c>
    </row>
    <row r="6188" spans="1:22" x14ac:dyDescent="0.2">
      <c r="A6188" s="11" t="s">
        <v>7520</v>
      </c>
      <c r="B6188" s="12" t="s">
        <v>18</v>
      </c>
      <c r="C6188" s="12" t="s">
        <v>4252</v>
      </c>
      <c r="D6188" s="12" t="s">
        <v>7174</v>
      </c>
      <c r="E6188" s="13" t="s">
        <v>7175</v>
      </c>
      <c r="F6188" s="12" t="s">
        <v>6258</v>
      </c>
      <c r="G6188" s="14">
        <v>18409.37</v>
      </c>
      <c r="H6188" s="12" t="s">
        <v>24</v>
      </c>
      <c r="I6188" s="12">
        <v>1</v>
      </c>
      <c r="J6188" s="12" t="s">
        <v>6258</v>
      </c>
      <c r="K6188" s="12" t="s">
        <v>437</v>
      </c>
      <c r="L6188" s="12">
        <v>0</v>
      </c>
      <c r="M6188" s="15">
        <v>1500000</v>
      </c>
      <c r="N6188" s="15">
        <v>0</v>
      </c>
      <c r="O6188" s="15">
        <f t="shared" si="526"/>
        <v>1500000</v>
      </c>
      <c r="P6188" s="15">
        <f t="shared" si="527"/>
        <v>81.480246200711917</v>
      </c>
      <c r="Q6188" s="14">
        <v>14000</v>
      </c>
      <c r="R6188" s="12">
        <v>100</v>
      </c>
      <c r="S6188" s="12" t="s">
        <v>7522</v>
      </c>
      <c r="T6188" s="22">
        <f t="shared" si="528"/>
        <v>1</v>
      </c>
      <c r="U6188" s="22">
        <f t="shared" si="529"/>
        <v>2023</v>
      </c>
      <c r="V6188" s="22" t="str">
        <f t="shared" si="530"/>
        <v>REGIONES</v>
      </c>
    </row>
    <row r="6189" spans="1:22" x14ac:dyDescent="0.2">
      <c r="A6189" s="11" t="s">
        <v>7520</v>
      </c>
      <c r="B6189" s="12" t="s">
        <v>33</v>
      </c>
      <c r="C6189" s="12" t="s">
        <v>128</v>
      </c>
      <c r="D6189" s="12" t="s">
        <v>38</v>
      </c>
      <c r="E6189" s="13" t="s">
        <v>42</v>
      </c>
      <c r="F6189" s="12" t="s">
        <v>129</v>
      </c>
      <c r="G6189" s="14">
        <v>4134.6399999999994</v>
      </c>
      <c r="H6189" s="12" t="s">
        <v>43</v>
      </c>
      <c r="I6189" s="12">
        <v>0</v>
      </c>
      <c r="J6189" s="12" t="s">
        <v>129</v>
      </c>
      <c r="K6189" s="12" t="s">
        <v>23</v>
      </c>
      <c r="L6189" s="12">
        <v>1</v>
      </c>
      <c r="M6189" s="15">
        <v>69173</v>
      </c>
      <c r="N6189" s="15">
        <v>0</v>
      </c>
      <c r="O6189" s="15">
        <f t="shared" si="526"/>
        <v>69173</v>
      </c>
      <c r="P6189" s="15">
        <f t="shared" si="527"/>
        <v>16.730114350947122</v>
      </c>
      <c r="Q6189" s="14">
        <v>5000</v>
      </c>
      <c r="R6189" s="12">
        <v>83</v>
      </c>
      <c r="S6189" s="12" t="s">
        <v>7523</v>
      </c>
      <c r="T6189" s="22">
        <f t="shared" si="528"/>
        <v>1</v>
      </c>
      <c r="U6189" s="22">
        <f t="shared" si="529"/>
        <v>2023</v>
      </c>
      <c r="V6189" s="22" t="str">
        <f t="shared" si="530"/>
        <v>METROPOLITANA</v>
      </c>
    </row>
    <row r="6190" spans="1:22" x14ac:dyDescent="0.2">
      <c r="A6190" s="11" t="s">
        <v>7520</v>
      </c>
      <c r="B6190" s="12" t="s">
        <v>33</v>
      </c>
      <c r="C6190" s="12" t="s">
        <v>128</v>
      </c>
      <c r="D6190" s="12" t="s">
        <v>786</v>
      </c>
      <c r="E6190" s="13" t="s">
        <v>787</v>
      </c>
      <c r="F6190" s="12" t="s">
        <v>34</v>
      </c>
      <c r="G6190" s="14">
        <v>11060.02</v>
      </c>
      <c r="H6190" s="12" t="s">
        <v>788</v>
      </c>
      <c r="I6190" s="12">
        <v>1</v>
      </c>
      <c r="J6190" s="12" t="s">
        <v>34</v>
      </c>
      <c r="K6190" s="12" t="s">
        <v>23</v>
      </c>
      <c r="L6190" s="12">
        <v>1</v>
      </c>
      <c r="M6190" s="15">
        <v>121660</v>
      </c>
      <c r="N6190" s="15">
        <v>0</v>
      </c>
      <c r="O6190" s="15">
        <f t="shared" si="526"/>
        <v>121660</v>
      </c>
      <c r="P6190" s="15">
        <f t="shared" si="527"/>
        <v>10.999980108535066</v>
      </c>
      <c r="Q6190" s="14">
        <v>5000</v>
      </c>
      <c r="R6190" s="12">
        <v>100</v>
      </c>
      <c r="S6190" s="12" t="s">
        <v>7524</v>
      </c>
      <c r="T6190" s="22">
        <f t="shared" si="528"/>
        <v>1</v>
      </c>
      <c r="U6190" s="22">
        <f t="shared" si="529"/>
        <v>2023</v>
      </c>
      <c r="V6190" s="22" t="str">
        <f t="shared" si="530"/>
        <v>METROPOLITANA</v>
      </c>
    </row>
    <row r="6191" spans="1:22" x14ac:dyDescent="0.2">
      <c r="A6191" s="11" t="s">
        <v>7520</v>
      </c>
      <c r="B6191" s="12" t="s">
        <v>33</v>
      </c>
      <c r="C6191" s="12" t="s">
        <v>128</v>
      </c>
      <c r="D6191" s="12" t="s">
        <v>63</v>
      </c>
      <c r="E6191" s="13" t="s">
        <v>64</v>
      </c>
      <c r="F6191" s="12" t="s">
        <v>34</v>
      </c>
      <c r="G6191" s="14">
        <v>5891.06</v>
      </c>
      <c r="H6191" s="12" t="s">
        <v>65</v>
      </c>
      <c r="I6191" s="12">
        <v>0</v>
      </c>
      <c r="J6191" s="12" t="s">
        <v>34</v>
      </c>
      <c r="K6191" s="12" t="s">
        <v>23</v>
      </c>
      <c r="L6191" s="12">
        <v>1</v>
      </c>
      <c r="M6191" s="15">
        <v>64802</v>
      </c>
      <c r="N6191" s="15">
        <v>0</v>
      </c>
      <c r="O6191" s="15">
        <f t="shared" si="526"/>
        <v>64802</v>
      </c>
      <c r="P6191" s="15">
        <f t="shared" si="527"/>
        <v>11.000057714570891</v>
      </c>
      <c r="Q6191" s="14">
        <v>5000</v>
      </c>
      <c r="R6191" s="12">
        <v>100</v>
      </c>
      <c r="S6191" s="12" t="s">
        <v>7525</v>
      </c>
      <c r="T6191" s="22">
        <f t="shared" si="528"/>
        <v>1</v>
      </c>
      <c r="U6191" s="22">
        <f t="shared" si="529"/>
        <v>2023</v>
      </c>
      <c r="V6191" s="22" t="str">
        <f t="shared" si="530"/>
        <v>METROPOLITANA</v>
      </c>
    </row>
    <row r="6192" spans="1:22" x14ac:dyDescent="0.2">
      <c r="A6192" s="11" t="s">
        <v>7520</v>
      </c>
      <c r="B6192" s="12" t="s">
        <v>33</v>
      </c>
      <c r="C6192" s="12" t="s">
        <v>417</v>
      </c>
      <c r="D6192" s="12" t="s">
        <v>2955</v>
      </c>
      <c r="E6192" s="13" t="s">
        <v>2956</v>
      </c>
      <c r="F6192" s="12" t="s">
        <v>418</v>
      </c>
      <c r="G6192" s="14">
        <v>7805.4000000000024</v>
      </c>
      <c r="H6192" s="12" t="s">
        <v>24</v>
      </c>
      <c r="I6192" s="12">
        <v>1</v>
      </c>
      <c r="J6192" s="12" t="s">
        <v>418</v>
      </c>
      <c r="K6192" s="12" t="s">
        <v>171</v>
      </c>
      <c r="L6192" s="12">
        <v>0</v>
      </c>
      <c r="M6192" s="15">
        <v>180000</v>
      </c>
      <c r="N6192" s="15">
        <v>0</v>
      </c>
      <c r="O6192" s="15">
        <f t="shared" si="526"/>
        <v>180000</v>
      </c>
      <c r="P6192" s="15">
        <f t="shared" si="527"/>
        <v>23.060957798447223</v>
      </c>
      <c r="Q6192" s="14">
        <v>14000</v>
      </c>
      <c r="R6192" s="12">
        <v>56</v>
      </c>
      <c r="S6192" s="12" t="s">
        <v>7526</v>
      </c>
      <c r="T6192" s="22">
        <f t="shared" si="528"/>
        <v>1</v>
      </c>
      <c r="U6192" s="22">
        <f t="shared" si="529"/>
        <v>2023</v>
      </c>
      <c r="V6192" s="22" t="str">
        <f t="shared" si="530"/>
        <v>REGIONES</v>
      </c>
    </row>
    <row r="6193" spans="1:22" x14ac:dyDescent="0.2">
      <c r="A6193" s="11" t="s">
        <v>7520</v>
      </c>
      <c r="B6193" s="12" t="s">
        <v>33</v>
      </c>
      <c r="C6193" s="12" t="s">
        <v>7072</v>
      </c>
      <c r="D6193" s="12" t="s">
        <v>37</v>
      </c>
      <c r="E6193" s="13" t="s">
        <v>40</v>
      </c>
      <c r="F6193" s="12" t="s">
        <v>129</v>
      </c>
      <c r="G6193" s="14">
        <v>8661.3799999999992</v>
      </c>
      <c r="H6193" s="12" t="s">
        <v>22</v>
      </c>
      <c r="I6193" s="12">
        <v>0</v>
      </c>
      <c r="J6193" s="12" t="s">
        <v>129</v>
      </c>
      <c r="K6193" s="12" t="s">
        <v>23</v>
      </c>
      <c r="L6193" s="12">
        <v>1</v>
      </c>
      <c r="M6193" s="15">
        <v>95275</v>
      </c>
      <c r="N6193" s="15">
        <v>0</v>
      </c>
      <c r="O6193" s="15">
        <f t="shared" si="526"/>
        <v>95275</v>
      </c>
      <c r="P6193" s="15">
        <f t="shared" si="527"/>
        <v>10.999979218092268</v>
      </c>
      <c r="Q6193" s="14">
        <v>5000</v>
      </c>
      <c r="R6193" s="12">
        <v>100</v>
      </c>
      <c r="S6193" s="12" t="s">
        <v>7527</v>
      </c>
      <c r="T6193" s="22">
        <f t="shared" si="528"/>
        <v>1</v>
      </c>
      <c r="U6193" s="22">
        <f t="shared" si="529"/>
        <v>2023</v>
      </c>
      <c r="V6193" s="22" t="str">
        <f t="shared" si="530"/>
        <v>METROPOLITANA</v>
      </c>
    </row>
    <row r="6194" spans="1:22" x14ac:dyDescent="0.2">
      <c r="A6194" s="11" t="s">
        <v>7520</v>
      </c>
      <c r="B6194" s="12" t="s">
        <v>33</v>
      </c>
      <c r="C6194" s="12" t="s">
        <v>7072</v>
      </c>
      <c r="D6194" s="12" t="s">
        <v>30</v>
      </c>
      <c r="E6194" s="13" t="s">
        <v>31</v>
      </c>
      <c r="F6194" s="12" t="s">
        <v>129</v>
      </c>
      <c r="G6194" s="14">
        <v>10693.8</v>
      </c>
      <c r="H6194" s="12" t="s">
        <v>32</v>
      </c>
      <c r="I6194" s="12">
        <v>0</v>
      </c>
      <c r="J6194" s="12" t="s">
        <v>129</v>
      </c>
      <c r="K6194" s="12" t="s">
        <v>23</v>
      </c>
      <c r="L6194" s="12">
        <v>1</v>
      </c>
      <c r="M6194" s="15">
        <v>117632</v>
      </c>
      <c r="N6194" s="15">
        <v>0</v>
      </c>
      <c r="O6194" s="15">
        <f t="shared" si="526"/>
        <v>117632</v>
      </c>
      <c r="P6194" s="15">
        <f t="shared" si="527"/>
        <v>11.000018702425706</v>
      </c>
      <c r="Q6194" s="14">
        <v>5000</v>
      </c>
      <c r="R6194" s="12">
        <v>100</v>
      </c>
      <c r="S6194" s="12" t="s">
        <v>7528</v>
      </c>
      <c r="T6194" s="22">
        <f t="shared" si="528"/>
        <v>1</v>
      </c>
      <c r="U6194" s="22">
        <f t="shared" si="529"/>
        <v>2023</v>
      </c>
      <c r="V6194" s="22" t="str">
        <f t="shared" si="530"/>
        <v>METROPOLITANA</v>
      </c>
    </row>
    <row r="6195" spans="1:22" x14ac:dyDescent="0.2">
      <c r="A6195" s="11" t="s">
        <v>7520</v>
      </c>
      <c r="B6195" s="12" t="s">
        <v>33</v>
      </c>
      <c r="C6195" s="12" t="s">
        <v>29</v>
      </c>
      <c r="D6195" s="12" t="s">
        <v>38</v>
      </c>
      <c r="E6195" s="13" t="s">
        <v>25</v>
      </c>
      <c r="F6195" s="12" t="s">
        <v>134</v>
      </c>
      <c r="G6195" s="14">
        <v>5784.9999999999991</v>
      </c>
      <c r="H6195" s="12" t="s">
        <v>43</v>
      </c>
      <c r="I6195" s="12">
        <v>0</v>
      </c>
      <c r="J6195" s="12" t="s">
        <v>134</v>
      </c>
      <c r="K6195" s="12" t="s">
        <v>23</v>
      </c>
      <c r="L6195" s="12">
        <v>2</v>
      </c>
      <c r="M6195" s="15">
        <v>63635</v>
      </c>
      <c r="N6195" s="15">
        <v>0</v>
      </c>
      <c r="O6195" s="15">
        <f t="shared" si="526"/>
        <v>63635</v>
      </c>
      <c r="P6195" s="15">
        <f t="shared" si="527"/>
        <v>11.000000000000002</v>
      </c>
      <c r="Q6195" s="14">
        <v>5000</v>
      </c>
      <c r="R6195" s="12">
        <v>100</v>
      </c>
      <c r="S6195" s="12" t="s">
        <v>7529</v>
      </c>
      <c r="T6195" s="22">
        <f t="shared" si="528"/>
        <v>1</v>
      </c>
      <c r="U6195" s="22">
        <f t="shared" si="529"/>
        <v>2023</v>
      </c>
      <c r="V6195" s="22" t="str">
        <f t="shared" si="530"/>
        <v>METROPOLITANA</v>
      </c>
    </row>
    <row r="6196" spans="1:22" x14ac:dyDescent="0.2">
      <c r="A6196" s="11" t="s">
        <v>7520</v>
      </c>
      <c r="B6196" s="12" t="s">
        <v>33</v>
      </c>
      <c r="C6196" s="12" t="s">
        <v>29</v>
      </c>
      <c r="D6196" s="12" t="s">
        <v>7530</v>
      </c>
      <c r="E6196" s="13" t="s">
        <v>7531</v>
      </c>
      <c r="F6196" s="12" t="s">
        <v>114</v>
      </c>
      <c r="G6196" s="14">
        <v>12983.72</v>
      </c>
      <c r="H6196" s="12" t="s">
        <v>24</v>
      </c>
      <c r="I6196" s="12">
        <v>1</v>
      </c>
      <c r="J6196" s="12" t="s">
        <v>114</v>
      </c>
      <c r="K6196" s="12" t="s">
        <v>75</v>
      </c>
      <c r="L6196" s="12">
        <v>0</v>
      </c>
      <c r="M6196" s="15">
        <v>528000</v>
      </c>
      <c r="N6196" s="15">
        <v>0</v>
      </c>
      <c r="O6196" s="15">
        <f t="shared" si="526"/>
        <v>528000</v>
      </c>
      <c r="P6196" s="15">
        <f t="shared" si="527"/>
        <v>40.666311349905882</v>
      </c>
      <c r="Q6196" s="14">
        <v>14000</v>
      </c>
      <c r="R6196" s="12">
        <v>93</v>
      </c>
      <c r="S6196" s="12" t="s">
        <v>7532</v>
      </c>
      <c r="T6196" s="22">
        <f t="shared" si="528"/>
        <v>1</v>
      </c>
      <c r="U6196" s="22">
        <f t="shared" si="529"/>
        <v>2023</v>
      </c>
      <c r="V6196" s="22" t="str">
        <f t="shared" si="530"/>
        <v>REGIONES</v>
      </c>
    </row>
    <row r="6197" spans="1:22" x14ac:dyDescent="0.2">
      <c r="A6197" s="11" t="s">
        <v>7520</v>
      </c>
      <c r="B6197" s="12" t="s">
        <v>33</v>
      </c>
      <c r="C6197" s="12" t="s">
        <v>29</v>
      </c>
      <c r="D6197" s="12" t="s">
        <v>164</v>
      </c>
      <c r="E6197" s="13" t="s">
        <v>1576</v>
      </c>
      <c r="F6197" s="12" t="s">
        <v>39</v>
      </c>
      <c r="G6197" s="14">
        <v>13095.14</v>
      </c>
      <c r="H6197" s="12" t="s">
        <v>22</v>
      </c>
      <c r="I6197" s="12">
        <v>1</v>
      </c>
      <c r="J6197" s="12" t="s">
        <v>39</v>
      </c>
      <c r="K6197" s="12" t="s">
        <v>23</v>
      </c>
      <c r="L6197" s="12">
        <v>1</v>
      </c>
      <c r="M6197" s="15">
        <v>144047</v>
      </c>
      <c r="N6197" s="15">
        <v>0</v>
      </c>
      <c r="O6197" s="15">
        <f t="shared" si="526"/>
        <v>144047</v>
      </c>
      <c r="P6197" s="15">
        <f t="shared" si="527"/>
        <v>11.000035127535865</v>
      </c>
      <c r="Q6197" s="14">
        <v>5000</v>
      </c>
      <c r="R6197" s="12">
        <v>100</v>
      </c>
      <c r="S6197" s="12" t="s">
        <v>7533</v>
      </c>
      <c r="T6197" s="22">
        <f t="shared" si="528"/>
        <v>1</v>
      </c>
      <c r="U6197" s="22">
        <f t="shared" si="529"/>
        <v>2023</v>
      </c>
      <c r="V6197" s="22" t="str">
        <f t="shared" si="530"/>
        <v>METROPOLITANA</v>
      </c>
    </row>
    <row r="6198" spans="1:22" x14ac:dyDescent="0.2">
      <c r="A6198" s="11" t="s">
        <v>7520</v>
      </c>
      <c r="B6198" s="12" t="s">
        <v>33</v>
      </c>
      <c r="C6198" s="12" t="s">
        <v>29</v>
      </c>
      <c r="D6198" s="12" t="s">
        <v>20</v>
      </c>
      <c r="E6198" s="13" t="s">
        <v>21</v>
      </c>
      <c r="F6198" s="12" t="s">
        <v>39</v>
      </c>
      <c r="G6198" s="14">
        <v>7310.2099999999991</v>
      </c>
      <c r="H6198" s="12" t="s">
        <v>22</v>
      </c>
      <c r="I6198" s="12">
        <v>0</v>
      </c>
      <c r="J6198" s="12" t="s">
        <v>39</v>
      </c>
      <c r="K6198" s="12" t="s">
        <v>23</v>
      </c>
      <c r="L6198" s="12">
        <v>1</v>
      </c>
      <c r="M6198" s="15">
        <v>80412</v>
      </c>
      <c r="N6198" s="15">
        <v>0</v>
      </c>
      <c r="O6198" s="15">
        <f t="shared" si="526"/>
        <v>80412</v>
      </c>
      <c r="P6198" s="15">
        <f t="shared" si="527"/>
        <v>10.999957593557506</v>
      </c>
      <c r="Q6198" s="14">
        <v>5000</v>
      </c>
      <c r="R6198" s="12">
        <v>100</v>
      </c>
      <c r="S6198" s="12" t="s">
        <v>7534</v>
      </c>
      <c r="T6198" s="22">
        <f t="shared" si="528"/>
        <v>1</v>
      </c>
      <c r="U6198" s="22">
        <f t="shared" si="529"/>
        <v>2023</v>
      </c>
      <c r="V6198" s="22" t="str">
        <f t="shared" si="530"/>
        <v>METROPOLITANA</v>
      </c>
    </row>
    <row r="6199" spans="1:22" x14ac:dyDescent="0.2">
      <c r="A6199" s="11" t="s">
        <v>7520</v>
      </c>
      <c r="B6199" s="12" t="s">
        <v>33</v>
      </c>
      <c r="C6199" s="12" t="s">
        <v>44</v>
      </c>
      <c r="D6199" s="12" t="s">
        <v>7460</v>
      </c>
      <c r="E6199" s="13" t="s">
        <v>7461</v>
      </c>
      <c r="F6199" s="12" t="s">
        <v>1105</v>
      </c>
      <c r="G6199" s="14">
        <v>5843.119999999999</v>
      </c>
      <c r="H6199" s="12" t="s">
        <v>24</v>
      </c>
      <c r="I6199" s="12">
        <v>1</v>
      </c>
      <c r="J6199" s="12" t="s">
        <v>1105</v>
      </c>
      <c r="K6199" s="12" t="s">
        <v>873</v>
      </c>
      <c r="L6199" s="12">
        <v>0</v>
      </c>
      <c r="M6199" s="15">
        <v>1131000</v>
      </c>
      <c r="N6199" s="15">
        <v>0</v>
      </c>
      <c r="O6199" s="15">
        <f t="shared" si="526"/>
        <v>1131000</v>
      </c>
      <c r="P6199" s="15">
        <f t="shared" si="527"/>
        <v>193.56097427401804</v>
      </c>
      <c r="Q6199" s="14">
        <v>14000</v>
      </c>
      <c r="R6199" s="12">
        <v>42</v>
      </c>
      <c r="S6199" s="12" t="s">
        <v>7535</v>
      </c>
      <c r="T6199" s="22">
        <f t="shared" si="528"/>
        <v>1</v>
      </c>
      <c r="U6199" s="22">
        <f t="shared" si="529"/>
        <v>2023</v>
      </c>
      <c r="V6199" s="22" t="str">
        <f t="shared" si="530"/>
        <v>REGIONES</v>
      </c>
    </row>
    <row r="6200" spans="1:22" x14ac:dyDescent="0.2">
      <c r="A6200" s="11" t="s">
        <v>7520</v>
      </c>
      <c r="B6200" s="12" t="s">
        <v>33</v>
      </c>
      <c r="C6200" s="12" t="s">
        <v>44</v>
      </c>
      <c r="D6200" s="12" t="s">
        <v>956</v>
      </c>
      <c r="E6200" s="13" t="s">
        <v>6952</v>
      </c>
      <c r="F6200" s="12" t="s">
        <v>691</v>
      </c>
      <c r="G6200" s="14">
        <f>688.46+6681</f>
        <v>7369.46</v>
      </c>
      <c r="H6200" s="12" t="s">
        <v>85</v>
      </c>
      <c r="I6200" s="12">
        <v>1</v>
      </c>
      <c r="J6200" s="12" t="s">
        <v>691</v>
      </c>
      <c r="K6200" s="12" t="s">
        <v>873</v>
      </c>
      <c r="L6200" s="12">
        <v>0</v>
      </c>
      <c r="M6200" s="15">
        <v>1282000</v>
      </c>
      <c r="N6200" s="15">
        <v>0</v>
      </c>
      <c r="O6200" s="15">
        <f t="shared" si="526"/>
        <v>1282000</v>
      </c>
      <c r="P6200" s="15">
        <f t="shared" si="527"/>
        <v>173.96118575852233</v>
      </c>
      <c r="Q6200" s="14">
        <v>14000</v>
      </c>
      <c r="R6200" s="12">
        <v>75</v>
      </c>
      <c r="S6200" s="12" t="s">
        <v>7537</v>
      </c>
      <c r="T6200" s="22">
        <f t="shared" si="528"/>
        <v>1</v>
      </c>
      <c r="U6200" s="22">
        <f t="shared" si="529"/>
        <v>2023</v>
      </c>
      <c r="V6200" s="22" t="str">
        <f t="shared" si="530"/>
        <v>REGIONES</v>
      </c>
    </row>
    <row r="6201" spans="1:22" x14ac:dyDescent="0.2">
      <c r="A6201" s="11" t="s">
        <v>7520</v>
      </c>
      <c r="B6201" s="12" t="s">
        <v>33</v>
      </c>
      <c r="C6201" s="12" t="s">
        <v>44</v>
      </c>
      <c r="D6201" s="12" t="s">
        <v>30</v>
      </c>
      <c r="E6201" s="13" t="s">
        <v>31</v>
      </c>
      <c r="F6201" s="12" t="s">
        <v>182</v>
      </c>
      <c r="G6201" s="14">
        <v>2938.62</v>
      </c>
      <c r="H6201" s="12" t="s">
        <v>32</v>
      </c>
      <c r="I6201" s="12">
        <v>0</v>
      </c>
      <c r="J6201" s="12" t="s">
        <v>182</v>
      </c>
      <c r="K6201" s="12" t="s">
        <v>23</v>
      </c>
      <c r="L6201" s="12">
        <v>4</v>
      </c>
      <c r="M6201" s="15">
        <v>69173</v>
      </c>
      <c r="N6201" s="15">
        <v>0</v>
      </c>
      <c r="O6201" s="15">
        <f t="shared" si="526"/>
        <v>69173</v>
      </c>
      <c r="P6201" s="15">
        <f t="shared" si="527"/>
        <v>23.539280342473678</v>
      </c>
      <c r="Q6201" s="14">
        <v>5000</v>
      </c>
      <c r="R6201" s="12">
        <v>59</v>
      </c>
      <c r="S6201" s="12" t="s">
        <v>7536</v>
      </c>
      <c r="T6201" s="22">
        <f t="shared" si="528"/>
        <v>1</v>
      </c>
      <c r="U6201" s="22">
        <f t="shared" si="529"/>
        <v>2023</v>
      </c>
      <c r="V6201" s="22" t="str">
        <f t="shared" si="530"/>
        <v>METROPOLITANA</v>
      </c>
    </row>
    <row r="6202" spans="1:22" x14ac:dyDescent="0.2">
      <c r="A6202" s="23" t="s">
        <v>7539</v>
      </c>
      <c r="B6202" s="22" t="s">
        <v>18</v>
      </c>
      <c r="C6202" s="22" t="s">
        <v>57</v>
      </c>
      <c r="D6202" s="22" t="s">
        <v>1869</v>
      </c>
      <c r="E6202" s="24" t="s">
        <v>1870</v>
      </c>
      <c r="F6202" s="22" t="s">
        <v>407</v>
      </c>
      <c r="G6202" s="25">
        <v>7046.26</v>
      </c>
      <c r="H6202" s="22" t="s">
        <v>24</v>
      </c>
      <c r="I6202" s="22">
        <v>1</v>
      </c>
      <c r="J6202" s="22" t="s">
        <v>407</v>
      </c>
      <c r="K6202" s="22" t="s">
        <v>408</v>
      </c>
      <c r="L6202" s="22">
        <v>0</v>
      </c>
      <c r="M6202" s="26">
        <v>800000</v>
      </c>
      <c r="N6202" s="26">
        <v>0</v>
      </c>
      <c r="O6202" s="15">
        <f t="shared" si="526"/>
        <v>800000</v>
      </c>
      <c r="P6202" s="15">
        <f t="shared" si="527"/>
        <v>113.53540743600151</v>
      </c>
      <c r="Q6202" s="25">
        <v>14000</v>
      </c>
      <c r="R6202" s="22">
        <v>50</v>
      </c>
      <c r="S6202" s="22" t="s">
        <v>7540</v>
      </c>
      <c r="T6202" s="22">
        <f t="shared" si="528"/>
        <v>2</v>
      </c>
      <c r="U6202" s="22">
        <f t="shared" si="529"/>
        <v>2023</v>
      </c>
      <c r="V6202" s="22" t="str">
        <f t="shared" si="530"/>
        <v>REGIONES</v>
      </c>
    </row>
    <row r="6203" spans="1:22" x14ac:dyDescent="0.2">
      <c r="A6203" s="23" t="s">
        <v>7539</v>
      </c>
      <c r="B6203" s="22" t="s">
        <v>33</v>
      </c>
      <c r="C6203" s="22" t="s">
        <v>128</v>
      </c>
      <c r="D6203" s="22" t="s">
        <v>20</v>
      </c>
      <c r="E6203" s="24" t="s">
        <v>21</v>
      </c>
      <c r="F6203" s="22" t="s">
        <v>51</v>
      </c>
      <c r="G6203" s="25">
        <v>8282.4</v>
      </c>
      <c r="H6203" s="22" t="s">
        <v>22</v>
      </c>
      <c r="I6203" s="22">
        <v>0</v>
      </c>
      <c r="J6203" s="22" t="s">
        <v>51</v>
      </c>
      <c r="K6203" s="22" t="s">
        <v>23</v>
      </c>
      <c r="L6203" s="22">
        <v>4</v>
      </c>
      <c r="M6203" s="26">
        <v>91106</v>
      </c>
      <c r="N6203" s="26">
        <v>0</v>
      </c>
      <c r="O6203" s="15">
        <f t="shared" ref="O6203:O6266" si="531">SUM(M6203:N6203)</f>
        <v>91106</v>
      </c>
      <c r="P6203" s="15">
        <f t="shared" ref="P6203:P6266" si="532">O6203/G6203</f>
        <v>10.999951704819859</v>
      </c>
      <c r="Q6203" s="25">
        <v>5000</v>
      </c>
      <c r="R6203" s="22">
        <v>100</v>
      </c>
      <c r="S6203" s="22" t="s">
        <v>7541</v>
      </c>
      <c r="T6203" s="22">
        <f t="shared" si="528"/>
        <v>2</v>
      </c>
      <c r="U6203" s="22">
        <f t="shared" si="529"/>
        <v>2023</v>
      </c>
      <c r="V6203" s="22" t="str">
        <f t="shared" si="530"/>
        <v>METROPOLITANA</v>
      </c>
    </row>
    <row r="6204" spans="1:22" x14ac:dyDescent="0.2">
      <c r="A6204" s="23" t="s">
        <v>7539</v>
      </c>
      <c r="B6204" s="22" t="s">
        <v>33</v>
      </c>
      <c r="C6204" s="22" t="s">
        <v>5690</v>
      </c>
      <c r="D6204" s="22" t="s">
        <v>38</v>
      </c>
      <c r="E6204" s="24" t="s">
        <v>42</v>
      </c>
      <c r="F6204" s="22" t="s">
        <v>34</v>
      </c>
      <c r="G6204" s="25">
        <f>2654.5+3002</f>
        <v>5656.5</v>
      </c>
      <c r="H6204" s="22" t="s">
        <v>43</v>
      </c>
      <c r="I6204" s="22">
        <v>0</v>
      </c>
      <c r="J6204" s="22" t="s">
        <v>34</v>
      </c>
      <c r="K6204" s="22" t="s">
        <v>23</v>
      </c>
      <c r="L6204" s="22">
        <v>1</v>
      </c>
      <c r="M6204" s="26">
        <v>69173</v>
      </c>
      <c r="N6204" s="26">
        <v>0</v>
      </c>
      <c r="O6204" s="15">
        <f t="shared" si="531"/>
        <v>69173</v>
      </c>
      <c r="P6204" s="15">
        <f t="shared" si="532"/>
        <v>12.228940157341112</v>
      </c>
      <c r="Q6204" s="25">
        <v>5000</v>
      </c>
      <c r="R6204" s="22">
        <v>88</v>
      </c>
      <c r="S6204" s="22" t="s">
        <v>7549</v>
      </c>
      <c r="T6204" s="22">
        <f t="shared" si="528"/>
        <v>2</v>
      </c>
      <c r="U6204" s="22">
        <f t="shared" si="529"/>
        <v>2023</v>
      </c>
      <c r="V6204" s="22" t="str">
        <f t="shared" si="530"/>
        <v>METROPOLITANA</v>
      </c>
    </row>
    <row r="6205" spans="1:22" x14ac:dyDescent="0.2">
      <c r="A6205" s="23" t="s">
        <v>7539</v>
      </c>
      <c r="B6205" s="22" t="s">
        <v>33</v>
      </c>
      <c r="C6205" s="22" t="s">
        <v>29</v>
      </c>
      <c r="D6205" s="22" t="s">
        <v>2825</v>
      </c>
      <c r="E6205" s="24" t="s">
        <v>639</v>
      </c>
      <c r="F6205" s="22" t="s">
        <v>114</v>
      </c>
      <c r="G6205" s="25">
        <v>19038</v>
      </c>
      <c r="H6205" s="22" t="s">
        <v>24</v>
      </c>
      <c r="I6205" s="22">
        <v>1</v>
      </c>
      <c r="J6205" s="22" t="s">
        <v>114</v>
      </c>
      <c r="K6205" s="22" t="s">
        <v>75</v>
      </c>
      <c r="L6205" s="22">
        <v>0</v>
      </c>
      <c r="M6205" s="26">
        <v>528000</v>
      </c>
      <c r="N6205" s="26">
        <v>0</v>
      </c>
      <c r="O6205" s="15">
        <f t="shared" si="531"/>
        <v>528000</v>
      </c>
      <c r="P6205" s="15">
        <f t="shared" si="532"/>
        <v>27.734005672864797</v>
      </c>
      <c r="Q6205" s="25">
        <v>14000</v>
      </c>
      <c r="R6205" s="22">
        <v>100</v>
      </c>
      <c r="S6205" s="22" t="s">
        <v>7542</v>
      </c>
      <c r="T6205" s="22">
        <f t="shared" si="528"/>
        <v>2</v>
      </c>
      <c r="U6205" s="22">
        <f t="shared" si="529"/>
        <v>2023</v>
      </c>
      <c r="V6205" s="22" t="str">
        <f t="shared" si="530"/>
        <v>REGIONES</v>
      </c>
    </row>
    <row r="6206" spans="1:22" x14ac:dyDescent="0.2">
      <c r="A6206" s="23" t="s">
        <v>7539</v>
      </c>
      <c r="B6206" s="22" t="s">
        <v>33</v>
      </c>
      <c r="C6206" s="22" t="s">
        <v>29</v>
      </c>
      <c r="D6206" s="22" t="s">
        <v>6871</v>
      </c>
      <c r="E6206" s="24" t="s">
        <v>7003</v>
      </c>
      <c r="F6206" s="22" t="s">
        <v>114</v>
      </c>
      <c r="G6206" s="25">
        <v>21011.200000000001</v>
      </c>
      <c r="H6206" s="22" t="s">
        <v>24</v>
      </c>
      <c r="I6206" s="22">
        <v>1</v>
      </c>
      <c r="J6206" s="22" t="s">
        <v>114</v>
      </c>
      <c r="K6206" s="22" t="s">
        <v>75</v>
      </c>
      <c r="L6206" s="22">
        <v>0</v>
      </c>
      <c r="M6206" s="26">
        <v>528000</v>
      </c>
      <c r="N6206" s="26">
        <v>0</v>
      </c>
      <c r="O6206" s="15">
        <f t="shared" si="531"/>
        <v>528000</v>
      </c>
      <c r="P6206" s="15">
        <f t="shared" si="532"/>
        <v>25.129454766981418</v>
      </c>
      <c r="Q6206" s="25">
        <v>14000</v>
      </c>
      <c r="R6206" s="22">
        <v>100</v>
      </c>
      <c r="S6206" s="22" t="s">
        <v>7543</v>
      </c>
      <c r="T6206" s="22">
        <f t="shared" si="528"/>
        <v>2</v>
      </c>
      <c r="U6206" s="22">
        <f t="shared" si="529"/>
        <v>2023</v>
      </c>
      <c r="V6206" s="22" t="str">
        <f t="shared" si="530"/>
        <v>REGIONES</v>
      </c>
    </row>
    <row r="6207" spans="1:22" x14ac:dyDescent="0.2">
      <c r="A6207" s="23" t="s">
        <v>7539</v>
      </c>
      <c r="B6207" s="22" t="s">
        <v>33</v>
      </c>
      <c r="C6207" s="22" t="s">
        <v>29</v>
      </c>
      <c r="D6207" s="22" t="s">
        <v>45</v>
      </c>
      <c r="E6207" s="24" t="s">
        <v>49</v>
      </c>
      <c r="F6207" s="22" t="s">
        <v>134</v>
      </c>
      <c r="G6207" s="25">
        <v>6753.5999999999995</v>
      </c>
      <c r="H6207" s="22" t="s">
        <v>22</v>
      </c>
      <c r="I6207" s="22">
        <v>0</v>
      </c>
      <c r="J6207" s="22" t="s">
        <v>134</v>
      </c>
      <c r="K6207" s="22" t="s">
        <v>23</v>
      </c>
      <c r="L6207" s="22">
        <v>2</v>
      </c>
      <c r="M6207" s="26">
        <v>74290</v>
      </c>
      <c r="N6207" s="26">
        <v>0</v>
      </c>
      <c r="O6207" s="15">
        <f t="shared" si="531"/>
        <v>74290</v>
      </c>
      <c r="P6207" s="15">
        <f t="shared" si="532"/>
        <v>11.000059227671169</v>
      </c>
      <c r="Q6207" s="25">
        <v>5000</v>
      </c>
      <c r="R6207" s="22">
        <v>100</v>
      </c>
      <c r="S6207" s="22" t="s">
        <v>7544</v>
      </c>
      <c r="T6207" s="22">
        <f t="shared" si="528"/>
        <v>2</v>
      </c>
      <c r="U6207" s="22">
        <f t="shared" si="529"/>
        <v>2023</v>
      </c>
      <c r="V6207" s="22" t="str">
        <f t="shared" si="530"/>
        <v>METROPOLITANA</v>
      </c>
    </row>
    <row r="6208" spans="1:22" x14ac:dyDescent="0.2">
      <c r="A6208" s="23" t="s">
        <v>7539</v>
      </c>
      <c r="B6208" s="22" t="s">
        <v>33</v>
      </c>
      <c r="C6208" s="22" t="s">
        <v>5573</v>
      </c>
      <c r="D6208" s="22" t="s">
        <v>7545</v>
      </c>
      <c r="E6208" s="24" t="s">
        <v>7546</v>
      </c>
      <c r="F6208" s="22" t="s">
        <v>2639</v>
      </c>
      <c r="G6208" s="25">
        <v>23301.5</v>
      </c>
      <c r="H6208" s="22" t="s">
        <v>24</v>
      </c>
      <c r="I6208" s="22">
        <v>1</v>
      </c>
      <c r="J6208" s="22" t="s">
        <v>2639</v>
      </c>
      <c r="K6208" s="22" t="s">
        <v>75</v>
      </c>
      <c r="L6208" s="22">
        <v>0</v>
      </c>
      <c r="M6208" s="26">
        <v>478000</v>
      </c>
      <c r="N6208" s="26">
        <v>0</v>
      </c>
      <c r="O6208" s="15">
        <f t="shared" si="531"/>
        <v>478000</v>
      </c>
      <c r="P6208" s="15">
        <f t="shared" si="532"/>
        <v>20.51370083471021</v>
      </c>
      <c r="Q6208" s="25">
        <v>14000</v>
      </c>
      <c r="R6208" s="22">
        <v>100</v>
      </c>
      <c r="S6208" s="22" t="s">
        <v>7547</v>
      </c>
      <c r="T6208" s="22">
        <f t="shared" si="528"/>
        <v>2</v>
      </c>
      <c r="U6208" s="22">
        <f t="shared" si="529"/>
        <v>2023</v>
      </c>
      <c r="V6208" s="22" t="str">
        <f t="shared" si="530"/>
        <v>REGIONES</v>
      </c>
    </row>
    <row r="6209" spans="1:22" x14ac:dyDescent="0.2">
      <c r="A6209" s="23" t="s">
        <v>7539</v>
      </c>
      <c r="B6209" s="22" t="s">
        <v>33</v>
      </c>
      <c r="C6209" s="22" t="s">
        <v>3922</v>
      </c>
      <c r="D6209" s="22" t="s">
        <v>37</v>
      </c>
      <c r="E6209" s="24" t="s">
        <v>40</v>
      </c>
      <c r="F6209" s="22" t="s">
        <v>129</v>
      </c>
      <c r="G6209" s="25">
        <v>2834</v>
      </c>
      <c r="H6209" s="22" t="s">
        <v>22</v>
      </c>
      <c r="I6209" s="22">
        <v>0</v>
      </c>
      <c r="J6209" s="22" t="s">
        <v>129</v>
      </c>
      <c r="K6209" s="22" t="s">
        <v>23</v>
      </c>
      <c r="L6209" s="22">
        <v>1</v>
      </c>
      <c r="M6209" s="26">
        <v>69173</v>
      </c>
      <c r="N6209" s="26">
        <v>0</v>
      </c>
      <c r="O6209" s="15">
        <f t="shared" si="531"/>
        <v>69173</v>
      </c>
      <c r="P6209" s="15">
        <f t="shared" si="532"/>
        <v>24.408256880733944</v>
      </c>
      <c r="Q6209" s="25">
        <v>5000</v>
      </c>
      <c r="R6209" s="22">
        <v>57</v>
      </c>
      <c r="S6209" s="22" t="s">
        <v>7548</v>
      </c>
      <c r="T6209" s="22">
        <f t="shared" si="528"/>
        <v>2</v>
      </c>
      <c r="U6209" s="22">
        <f t="shared" si="529"/>
        <v>2023</v>
      </c>
      <c r="V6209" s="22" t="str">
        <f t="shared" si="530"/>
        <v>METROPOLITANA</v>
      </c>
    </row>
    <row r="6210" spans="1:22" x14ac:dyDescent="0.2">
      <c r="A6210" s="11" t="s">
        <v>7550</v>
      </c>
      <c r="B6210" s="12" t="s">
        <v>33</v>
      </c>
      <c r="C6210" s="12" t="s">
        <v>29</v>
      </c>
      <c r="D6210" s="12" t="s">
        <v>20</v>
      </c>
      <c r="E6210" s="13" t="s">
        <v>21</v>
      </c>
      <c r="F6210" s="12" t="s">
        <v>134</v>
      </c>
      <c r="G6210" s="14">
        <v>6563.5999999999995</v>
      </c>
      <c r="H6210" s="12" t="s">
        <v>22</v>
      </c>
      <c r="I6210" s="12">
        <v>0</v>
      </c>
      <c r="J6210" s="12" t="s">
        <v>134</v>
      </c>
      <c r="K6210" s="12" t="s">
        <v>23</v>
      </c>
      <c r="L6210" s="12">
        <v>2</v>
      </c>
      <c r="M6210" s="15">
        <v>72200</v>
      </c>
      <c r="N6210" s="15">
        <v>0</v>
      </c>
      <c r="O6210" s="15">
        <f t="shared" si="531"/>
        <v>72200</v>
      </c>
      <c r="P6210" s="15">
        <f t="shared" si="532"/>
        <v>11.000060942165886</v>
      </c>
      <c r="Q6210" s="14">
        <v>5000</v>
      </c>
      <c r="R6210" s="12">
        <v>100</v>
      </c>
      <c r="S6210" s="12" t="s">
        <v>7551</v>
      </c>
      <c r="T6210" s="22">
        <f t="shared" si="528"/>
        <v>2</v>
      </c>
      <c r="U6210" s="22">
        <f t="shared" si="529"/>
        <v>2023</v>
      </c>
      <c r="V6210" s="22" t="str">
        <f t="shared" si="530"/>
        <v>METROPOLITANA</v>
      </c>
    </row>
    <row r="6211" spans="1:22" x14ac:dyDescent="0.2">
      <c r="A6211" s="11" t="s">
        <v>7550</v>
      </c>
      <c r="B6211" s="12" t="s">
        <v>33</v>
      </c>
      <c r="C6211" s="12" t="s">
        <v>44</v>
      </c>
      <c r="D6211" s="12" t="s">
        <v>130</v>
      </c>
      <c r="E6211" s="13" t="s">
        <v>131</v>
      </c>
      <c r="F6211" s="12" t="s">
        <v>815</v>
      </c>
      <c r="G6211" s="14">
        <f>4490.94+2480</f>
        <v>6970.94</v>
      </c>
      <c r="H6211" s="12" t="s">
        <v>85</v>
      </c>
      <c r="I6211" s="12">
        <v>1</v>
      </c>
      <c r="J6211" s="12" t="s">
        <v>815</v>
      </c>
      <c r="K6211" s="12" t="s">
        <v>75</v>
      </c>
      <c r="L6211" s="12">
        <v>0</v>
      </c>
      <c r="M6211" s="15">
        <v>528000</v>
      </c>
      <c r="N6211" s="15">
        <v>0</v>
      </c>
      <c r="O6211" s="15">
        <f t="shared" si="531"/>
        <v>528000</v>
      </c>
      <c r="P6211" s="15">
        <f t="shared" si="532"/>
        <v>75.743013137396105</v>
      </c>
      <c r="Q6211" s="14">
        <v>14000</v>
      </c>
      <c r="R6211" s="12">
        <v>50</v>
      </c>
      <c r="S6211" s="12" t="s">
        <v>7554</v>
      </c>
      <c r="T6211" s="22">
        <f t="shared" si="528"/>
        <v>2</v>
      </c>
      <c r="U6211" s="22">
        <f t="shared" si="529"/>
        <v>2023</v>
      </c>
      <c r="V6211" s="22" t="str">
        <f t="shared" si="530"/>
        <v>REGIONES</v>
      </c>
    </row>
    <row r="6212" spans="1:22" x14ac:dyDescent="0.2">
      <c r="A6212" s="11" t="s">
        <v>7550</v>
      </c>
      <c r="B6212" s="12" t="s">
        <v>33</v>
      </c>
      <c r="C6212" s="12" t="s">
        <v>44</v>
      </c>
      <c r="D6212" s="12" t="s">
        <v>5478</v>
      </c>
      <c r="E6212" s="13" t="s">
        <v>83</v>
      </c>
      <c r="F6212" s="12" t="s">
        <v>815</v>
      </c>
      <c r="G6212" s="14">
        <v>8244.0000000000036</v>
      </c>
      <c r="H6212" s="12" t="s">
        <v>24</v>
      </c>
      <c r="I6212" s="12">
        <v>1</v>
      </c>
      <c r="J6212" s="12" t="s">
        <v>815</v>
      </c>
      <c r="K6212" s="12" t="s">
        <v>75</v>
      </c>
      <c r="L6212" s="12">
        <v>0</v>
      </c>
      <c r="M6212" s="15">
        <v>528000</v>
      </c>
      <c r="N6212" s="15">
        <v>0</v>
      </c>
      <c r="O6212" s="15">
        <f t="shared" si="531"/>
        <v>528000</v>
      </c>
      <c r="P6212" s="15">
        <f t="shared" si="532"/>
        <v>64.046579330422091</v>
      </c>
      <c r="Q6212" s="14">
        <v>14000</v>
      </c>
      <c r="R6212" s="12">
        <v>59</v>
      </c>
      <c r="S6212" s="12" t="s">
        <v>7552</v>
      </c>
      <c r="T6212" s="22">
        <f t="shared" si="528"/>
        <v>2</v>
      </c>
      <c r="U6212" s="22">
        <f t="shared" si="529"/>
        <v>2023</v>
      </c>
      <c r="V6212" s="22" t="str">
        <f t="shared" si="530"/>
        <v>REGIONES</v>
      </c>
    </row>
    <row r="6213" spans="1:22" x14ac:dyDescent="0.2">
      <c r="A6213" s="11" t="s">
        <v>7550</v>
      </c>
      <c r="B6213" s="12" t="s">
        <v>33</v>
      </c>
      <c r="C6213" s="12" t="s">
        <v>44</v>
      </c>
      <c r="D6213" s="12" t="s">
        <v>37</v>
      </c>
      <c r="E6213" s="13" t="s">
        <v>40</v>
      </c>
      <c r="F6213" s="12" t="s">
        <v>48</v>
      </c>
      <c r="G6213" s="14">
        <v>9805.32</v>
      </c>
      <c r="H6213" s="12" t="s">
        <v>22</v>
      </c>
      <c r="I6213" s="12">
        <v>0</v>
      </c>
      <c r="J6213" s="12" t="s">
        <v>48</v>
      </c>
      <c r="K6213" s="12" t="s">
        <v>23</v>
      </c>
      <c r="L6213" s="12">
        <v>1</v>
      </c>
      <c r="M6213" s="15">
        <v>107859</v>
      </c>
      <c r="N6213" s="15">
        <v>0</v>
      </c>
      <c r="O6213" s="15">
        <f t="shared" si="531"/>
        <v>107859</v>
      </c>
      <c r="P6213" s="15">
        <f t="shared" si="532"/>
        <v>11.000048953017341</v>
      </c>
      <c r="Q6213" s="14">
        <v>5000</v>
      </c>
      <c r="R6213" s="12">
        <v>100</v>
      </c>
      <c r="S6213" s="12" t="s">
        <v>7553</v>
      </c>
      <c r="T6213" s="22">
        <f t="shared" si="528"/>
        <v>2</v>
      </c>
      <c r="U6213" s="22">
        <f t="shared" si="529"/>
        <v>2023</v>
      </c>
      <c r="V6213" s="22" t="str">
        <f t="shared" si="530"/>
        <v>METROPOLITANA</v>
      </c>
    </row>
    <row r="6214" spans="1:22" x14ac:dyDescent="0.2">
      <c r="A6214" s="23" t="s">
        <v>7555</v>
      </c>
      <c r="B6214" s="22" t="s">
        <v>18</v>
      </c>
      <c r="C6214" s="22" t="s">
        <v>2431</v>
      </c>
      <c r="D6214" s="22" t="s">
        <v>7556</v>
      </c>
      <c r="E6214" s="24" t="s">
        <v>7557</v>
      </c>
      <c r="F6214" s="22" t="s">
        <v>66</v>
      </c>
      <c r="G6214" s="25">
        <v>4095</v>
      </c>
      <c r="H6214" s="22" t="s">
        <v>24</v>
      </c>
      <c r="I6214" s="22">
        <v>1</v>
      </c>
      <c r="J6214" s="22" t="s">
        <v>66</v>
      </c>
      <c r="K6214" s="22" t="s">
        <v>75</v>
      </c>
      <c r="L6214" s="22">
        <v>0</v>
      </c>
      <c r="M6214" s="26">
        <v>506000</v>
      </c>
      <c r="N6214" s="26">
        <v>0</v>
      </c>
      <c r="O6214" s="15">
        <f t="shared" si="531"/>
        <v>506000</v>
      </c>
      <c r="P6214" s="15">
        <f t="shared" si="532"/>
        <v>123.56532356532357</v>
      </c>
      <c r="Q6214" s="25">
        <v>14000</v>
      </c>
      <c r="R6214" s="22">
        <v>29</v>
      </c>
      <c r="S6214" s="22" t="s">
        <v>7558</v>
      </c>
      <c r="T6214" s="22">
        <f t="shared" si="528"/>
        <v>2</v>
      </c>
      <c r="U6214" s="22">
        <f t="shared" si="529"/>
        <v>2023</v>
      </c>
      <c r="V6214" s="22" t="str">
        <f t="shared" si="530"/>
        <v>REGIONES</v>
      </c>
    </row>
    <row r="6215" spans="1:22" x14ac:dyDescent="0.2">
      <c r="A6215" s="23" t="s">
        <v>7555</v>
      </c>
      <c r="B6215" s="22" t="s">
        <v>18</v>
      </c>
      <c r="C6215" s="22" t="s">
        <v>2431</v>
      </c>
      <c r="D6215" s="22" t="s">
        <v>2825</v>
      </c>
      <c r="E6215" s="24" t="s">
        <v>639</v>
      </c>
      <c r="F6215" s="22" t="s">
        <v>66</v>
      </c>
      <c r="G6215" s="25">
        <v>9100</v>
      </c>
      <c r="H6215" s="22" t="s">
        <v>24</v>
      </c>
      <c r="I6215" s="22">
        <v>1</v>
      </c>
      <c r="J6215" s="22" t="s">
        <v>66</v>
      </c>
      <c r="K6215" s="22" t="s">
        <v>75</v>
      </c>
      <c r="L6215" s="22">
        <v>0</v>
      </c>
      <c r="M6215" s="26">
        <v>506000</v>
      </c>
      <c r="N6215" s="26">
        <v>0</v>
      </c>
      <c r="O6215" s="15">
        <f t="shared" si="531"/>
        <v>506000</v>
      </c>
      <c r="P6215" s="15">
        <f t="shared" si="532"/>
        <v>55.604395604395606</v>
      </c>
      <c r="Q6215" s="25">
        <v>14000</v>
      </c>
      <c r="R6215" s="22">
        <v>65</v>
      </c>
      <c r="S6215" s="22" t="s">
        <v>7559</v>
      </c>
      <c r="T6215" s="22">
        <f t="shared" ref="T6215:T6278" si="533">MONTH(A6215)</f>
        <v>2</v>
      </c>
      <c r="U6215" s="22">
        <f t="shared" ref="U6215:U6278" si="534">YEAR(A6215)</f>
        <v>2023</v>
      </c>
      <c r="V6215" s="22" t="str">
        <f t="shared" ref="V6215:V6278" si="535">IF(K6215="METROPOLITANA DE SANTIAGO","METROPOLITANA","REGIONES")</f>
        <v>REGIONES</v>
      </c>
    </row>
    <row r="6216" spans="1:22" x14ac:dyDescent="0.2">
      <c r="A6216" s="23" t="s">
        <v>7555</v>
      </c>
      <c r="B6216" s="22" t="s">
        <v>18</v>
      </c>
      <c r="C6216" s="22" t="s">
        <v>57</v>
      </c>
      <c r="D6216" s="22" t="s">
        <v>1869</v>
      </c>
      <c r="E6216" s="24" t="s">
        <v>1870</v>
      </c>
      <c r="F6216" s="22" t="s">
        <v>407</v>
      </c>
      <c r="G6216" s="25">
        <v>8080.91</v>
      </c>
      <c r="H6216" s="22" t="s">
        <v>24</v>
      </c>
      <c r="I6216" s="22">
        <v>1</v>
      </c>
      <c r="J6216" s="22" t="s">
        <v>407</v>
      </c>
      <c r="K6216" s="22" t="s">
        <v>408</v>
      </c>
      <c r="L6216" s="22">
        <v>0</v>
      </c>
      <c r="M6216" s="26">
        <v>800000</v>
      </c>
      <c r="N6216" s="26">
        <v>0</v>
      </c>
      <c r="O6216" s="15">
        <f t="shared" si="531"/>
        <v>800000</v>
      </c>
      <c r="P6216" s="15">
        <f t="shared" si="532"/>
        <v>98.998751378248244</v>
      </c>
      <c r="Q6216" s="25">
        <v>14000</v>
      </c>
      <c r="R6216" s="22">
        <v>58</v>
      </c>
      <c r="S6216" s="22" t="s">
        <v>7560</v>
      </c>
      <c r="T6216" s="22">
        <f t="shared" si="533"/>
        <v>2</v>
      </c>
      <c r="U6216" s="22">
        <f t="shared" si="534"/>
        <v>2023</v>
      </c>
      <c r="V6216" s="22" t="str">
        <f t="shared" si="535"/>
        <v>REGIONES</v>
      </c>
    </row>
    <row r="6217" spans="1:22" x14ac:dyDescent="0.2">
      <c r="A6217" s="23" t="s">
        <v>7555</v>
      </c>
      <c r="B6217" s="22" t="s">
        <v>33</v>
      </c>
      <c r="C6217" s="22" t="s">
        <v>29</v>
      </c>
      <c r="D6217" s="22" t="s">
        <v>30</v>
      </c>
      <c r="E6217" s="24" t="s">
        <v>31</v>
      </c>
      <c r="F6217" s="22" t="s">
        <v>39</v>
      </c>
      <c r="G6217" s="25">
        <v>6227.5</v>
      </c>
      <c r="H6217" s="22" t="s">
        <v>32</v>
      </c>
      <c r="I6217" s="22">
        <v>0</v>
      </c>
      <c r="J6217" s="22" t="s">
        <v>39</v>
      </c>
      <c r="K6217" s="22" t="s">
        <v>23</v>
      </c>
      <c r="L6217" s="22">
        <v>1</v>
      </c>
      <c r="M6217" s="26">
        <v>68502</v>
      </c>
      <c r="N6217" s="26">
        <v>0</v>
      </c>
      <c r="O6217" s="15">
        <f t="shared" si="531"/>
        <v>68502</v>
      </c>
      <c r="P6217" s="15">
        <f t="shared" si="532"/>
        <v>10.999919710959453</v>
      </c>
      <c r="Q6217" s="25">
        <v>5000</v>
      </c>
      <c r="R6217" s="22">
        <v>100</v>
      </c>
      <c r="S6217" s="22" t="s">
        <v>7561</v>
      </c>
      <c r="T6217" s="22">
        <f t="shared" si="533"/>
        <v>2</v>
      </c>
      <c r="U6217" s="22">
        <f t="shared" si="534"/>
        <v>2023</v>
      </c>
      <c r="V6217" s="22" t="str">
        <f t="shared" si="535"/>
        <v>METROPOLITANA</v>
      </c>
    </row>
    <row r="6218" spans="1:22" x14ac:dyDescent="0.2">
      <c r="A6218" s="23" t="s">
        <v>7555</v>
      </c>
      <c r="B6218" s="22" t="s">
        <v>33</v>
      </c>
      <c r="C6218" s="22" t="s">
        <v>29</v>
      </c>
      <c r="D6218" s="22" t="s">
        <v>164</v>
      </c>
      <c r="E6218" s="24" t="s">
        <v>1576</v>
      </c>
      <c r="F6218" s="22" t="s">
        <v>39</v>
      </c>
      <c r="G6218" s="25">
        <v>13111.18</v>
      </c>
      <c r="H6218" s="22" t="s">
        <v>22</v>
      </c>
      <c r="I6218" s="22">
        <v>1</v>
      </c>
      <c r="J6218" s="22" t="s">
        <v>39</v>
      </c>
      <c r="K6218" s="22" t="s">
        <v>23</v>
      </c>
      <c r="L6218" s="22">
        <v>1</v>
      </c>
      <c r="M6218" s="26">
        <v>144223</v>
      </c>
      <c r="N6218" s="26">
        <v>0</v>
      </c>
      <c r="O6218" s="15">
        <f t="shared" si="531"/>
        <v>144223</v>
      </c>
      <c r="P6218" s="15">
        <f t="shared" si="532"/>
        <v>11.000001525415714</v>
      </c>
      <c r="Q6218" s="25">
        <v>5000</v>
      </c>
      <c r="R6218" s="22">
        <v>100</v>
      </c>
      <c r="S6218" s="22" t="s">
        <v>7562</v>
      </c>
      <c r="T6218" s="22">
        <f t="shared" si="533"/>
        <v>2</v>
      </c>
      <c r="U6218" s="22">
        <f t="shared" si="534"/>
        <v>2023</v>
      </c>
      <c r="V6218" s="22" t="str">
        <f t="shared" si="535"/>
        <v>METROPOLITANA</v>
      </c>
    </row>
    <row r="6219" spans="1:22" x14ac:dyDescent="0.2">
      <c r="A6219" s="23" t="s">
        <v>7555</v>
      </c>
      <c r="B6219" s="22" t="s">
        <v>33</v>
      </c>
      <c r="C6219" s="22" t="s">
        <v>44</v>
      </c>
      <c r="D6219" s="22" t="s">
        <v>38</v>
      </c>
      <c r="E6219" s="24" t="s">
        <v>42</v>
      </c>
      <c r="F6219" s="22" t="s">
        <v>225</v>
      </c>
      <c r="G6219" s="25">
        <v>2860.4</v>
      </c>
      <c r="H6219" s="22" t="s">
        <v>43</v>
      </c>
      <c r="I6219" s="22">
        <v>0</v>
      </c>
      <c r="J6219" s="22" t="s">
        <v>225</v>
      </c>
      <c r="K6219" s="22" t="s">
        <v>23</v>
      </c>
      <c r="L6219" s="22">
        <v>3</v>
      </c>
      <c r="M6219" s="26">
        <v>69173</v>
      </c>
      <c r="N6219" s="26">
        <v>0</v>
      </c>
      <c r="O6219" s="15">
        <f t="shared" si="531"/>
        <v>69173</v>
      </c>
      <c r="P6219" s="15">
        <f t="shared" si="532"/>
        <v>24.182981401202628</v>
      </c>
      <c r="Q6219" s="25">
        <v>5000</v>
      </c>
      <c r="R6219" s="22">
        <v>57</v>
      </c>
      <c r="S6219" s="22" t="s">
        <v>7563</v>
      </c>
      <c r="T6219" s="22">
        <f t="shared" si="533"/>
        <v>2</v>
      </c>
      <c r="U6219" s="22">
        <f t="shared" si="534"/>
        <v>2023</v>
      </c>
      <c r="V6219" s="22" t="str">
        <f t="shared" si="535"/>
        <v>METROPOLITANA</v>
      </c>
    </row>
    <row r="6220" spans="1:22" x14ac:dyDescent="0.2">
      <c r="A6220" s="23" t="s">
        <v>7555</v>
      </c>
      <c r="B6220" s="22" t="s">
        <v>33</v>
      </c>
      <c r="C6220" s="22" t="s">
        <v>44</v>
      </c>
      <c r="D6220" s="22" t="s">
        <v>63</v>
      </c>
      <c r="E6220" s="24" t="s">
        <v>64</v>
      </c>
      <c r="F6220" s="22" t="s">
        <v>53</v>
      </c>
      <c r="G6220" s="25">
        <v>2492.6999999999998</v>
      </c>
      <c r="H6220" s="22" t="s">
        <v>65</v>
      </c>
      <c r="I6220" s="22">
        <v>0</v>
      </c>
      <c r="J6220" s="22" t="s">
        <v>53</v>
      </c>
      <c r="K6220" s="22" t="s">
        <v>23</v>
      </c>
      <c r="L6220" s="22">
        <v>3</v>
      </c>
      <c r="M6220" s="26">
        <v>69173</v>
      </c>
      <c r="N6220" s="26">
        <v>0</v>
      </c>
      <c r="O6220" s="15">
        <f t="shared" si="531"/>
        <v>69173</v>
      </c>
      <c r="P6220" s="15">
        <f t="shared" si="532"/>
        <v>27.750230673566818</v>
      </c>
      <c r="Q6220" s="25">
        <v>5000</v>
      </c>
      <c r="R6220" s="22">
        <v>50</v>
      </c>
      <c r="S6220" s="22" t="s">
        <v>7564</v>
      </c>
      <c r="T6220" s="22">
        <f t="shared" si="533"/>
        <v>2</v>
      </c>
      <c r="U6220" s="22">
        <f t="shared" si="534"/>
        <v>2023</v>
      </c>
      <c r="V6220" s="22" t="str">
        <f t="shared" si="535"/>
        <v>METROPOLITANA</v>
      </c>
    </row>
    <row r="6221" spans="1:22" x14ac:dyDescent="0.2">
      <c r="A6221" s="23" t="s">
        <v>7555</v>
      </c>
      <c r="B6221" s="22" t="s">
        <v>33</v>
      </c>
      <c r="C6221" s="22" t="s">
        <v>44</v>
      </c>
      <c r="D6221" s="22" t="s">
        <v>45</v>
      </c>
      <c r="E6221" s="24" t="s">
        <v>40</v>
      </c>
      <c r="F6221" s="22" t="s">
        <v>46</v>
      </c>
      <c r="G6221" s="25">
        <v>2648.87</v>
      </c>
      <c r="H6221" s="22" t="s">
        <v>22</v>
      </c>
      <c r="I6221" s="22">
        <v>0</v>
      </c>
      <c r="J6221" s="22" t="s">
        <v>46</v>
      </c>
      <c r="K6221" s="22" t="s">
        <v>23</v>
      </c>
      <c r="L6221" s="22">
        <v>2</v>
      </c>
      <c r="M6221" s="26">
        <v>69173</v>
      </c>
      <c r="N6221" s="26">
        <v>0</v>
      </c>
      <c r="O6221" s="15">
        <f t="shared" si="531"/>
        <v>69173</v>
      </c>
      <c r="P6221" s="15">
        <f t="shared" si="532"/>
        <v>26.114154337509959</v>
      </c>
      <c r="Q6221" s="25">
        <v>5000</v>
      </c>
      <c r="R6221" s="22">
        <v>53</v>
      </c>
      <c r="S6221" s="22" t="s">
        <v>7565</v>
      </c>
      <c r="T6221" s="22">
        <f t="shared" si="533"/>
        <v>2</v>
      </c>
      <c r="U6221" s="22">
        <f t="shared" si="534"/>
        <v>2023</v>
      </c>
      <c r="V6221" s="22" t="str">
        <f t="shared" si="535"/>
        <v>METROPOLITANA</v>
      </c>
    </row>
    <row r="6222" spans="1:22" x14ac:dyDescent="0.2">
      <c r="A6222" s="23" t="s">
        <v>7555</v>
      </c>
      <c r="B6222" s="22" t="s">
        <v>33</v>
      </c>
      <c r="C6222" s="22" t="s">
        <v>44</v>
      </c>
      <c r="D6222" s="22" t="s">
        <v>20</v>
      </c>
      <c r="E6222" s="24" t="s">
        <v>21</v>
      </c>
      <c r="F6222" s="22" t="s">
        <v>26</v>
      </c>
      <c r="G6222" s="25">
        <v>2488.1999999999998</v>
      </c>
      <c r="H6222" s="22" t="s">
        <v>22</v>
      </c>
      <c r="I6222" s="22">
        <v>0</v>
      </c>
      <c r="J6222" s="22" t="s">
        <v>26</v>
      </c>
      <c r="K6222" s="22" t="s">
        <v>23</v>
      </c>
      <c r="L6222" s="22">
        <v>4</v>
      </c>
      <c r="M6222" s="26">
        <v>69173</v>
      </c>
      <c r="N6222" s="26">
        <v>0</v>
      </c>
      <c r="O6222" s="15">
        <f t="shared" si="531"/>
        <v>69173</v>
      </c>
      <c r="P6222" s="15">
        <f t="shared" si="532"/>
        <v>27.800417972831767</v>
      </c>
      <c r="Q6222" s="25">
        <v>5000</v>
      </c>
      <c r="R6222" s="22">
        <v>50</v>
      </c>
      <c r="S6222" s="22" t="s">
        <v>7566</v>
      </c>
      <c r="T6222" s="22">
        <f t="shared" si="533"/>
        <v>2</v>
      </c>
      <c r="U6222" s="22">
        <f t="shared" si="534"/>
        <v>2023</v>
      </c>
      <c r="V6222" s="22" t="str">
        <f t="shared" si="535"/>
        <v>METROPOLITANA</v>
      </c>
    </row>
    <row r="6223" spans="1:22" x14ac:dyDescent="0.2">
      <c r="A6223" s="11" t="s">
        <v>7567</v>
      </c>
      <c r="B6223" s="12" t="s">
        <v>33</v>
      </c>
      <c r="C6223" s="12" t="s">
        <v>128</v>
      </c>
      <c r="D6223" s="12" t="s">
        <v>37</v>
      </c>
      <c r="E6223" s="13" t="s">
        <v>40</v>
      </c>
      <c r="F6223" s="12" t="s">
        <v>95</v>
      </c>
      <c r="G6223" s="14">
        <v>3727.08</v>
      </c>
      <c r="H6223" s="12" t="s">
        <v>22</v>
      </c>
      <c r="I6223" s="12">
        <v>0</v>
      </c>
      <c r="J6223" s="12" t="s">
        <v>95</v>
      </c>
      <c r="K6223" s="12" t="s">
        <v>23</v>
      </c>
      <c r="L6223" s="12">
        <v>4</v>
      </c>
      <c r="M6223" s="15">
        <v>69173</v>
      </c>
      <c r="N6223" s="15">
        <v>0</v>
      </c>
      <c r="O6223" s="15">
        <f t="shared" si="531"/>
        <v>69173</v>
      </c>
      <c r="P6223" s="15">
        <f t="shared" si="532"/>
        <v>18.559569421638386</v>
      </c>
      <c r="Q6223" s="14">
        <v>5000</v>
      </c>
      <c r="R6223" s="12">
        <v>75</v>
      </c>
      <c r="S6223" s="12" t="s">
        <v>7568</v>
      </c>
      <c r="T6223" s="22">
        <f t="shared" si="533"/>
        <v>2</v>
      </c>
      <c r="U6223" s="22">
        <f t="shared" si="534"/>
        <v>2023</v>
      </c>
      <c r="V6223" s="22" t="str">
        <f t="shared" si="535"/>
        <v>METROPOLITANA</v>
      </c>
    </row>
    <row r="6224" spans="1:22" x14ac:dyDescent="0.2">
      <c r="A6224" s="11" t="s">
        <v>7567</v>
      </c>
      <c r="B6224" s="12" t="s">
        <v>33</v>
      </c>
      <c r="C6224" s="12" t="s">
        <v>128</v>
      </c>
      <c r="D6224" s="12" t="s">
        <v>786</v>
      </c>
      <c r="E6224" s="13" t="s">
        <v>787</v>
      </c>
      <c r="F6224" s="12" t="s">
        <v>34</v>
      </c>
      <c r="G6224" s="14">
        <f>10916.03+1501</f>
        <v>12417.03</v>
      </c>
      <c r="H6224" s="12" t="s">
        <v>788</v>
      </c>
      <c r="I6224" s="12">
        <v>1</v>
      </c>
      <c r="J6224" s="12" t="s">
        <v>34</v>
      </c>
      <c r="K6224" s="12" t="s">
        <v>23</v>
      </c>
      <c r="L6224" s="12">
        <v>1</v>
      </c>
      <c r="M6224" s="15">
        <v>120076</v>
      </c>
      <c r="N6224" s="15">
        <v>0</v>
      </c>
      <c r="O6224" s="15">
        <f t="shared" si="531"/>
        <v>120076</v>
      </c>
      <c r="P6224" s="15">
        <f t="shared" si="532"/>
        <v>9.6702673666730288</v>
      </c>
      <c r="Q6224" s="14">
        <v>5000</v>
      </c>
      <c r="R6224" s="12">
        <v>100</v>
      </c>
      <c r="S6224" s="12" t="s">
        <v>7574</v>
      </c>
      <c r="T6224" s="22">
        <f t="shared" si="533"/>
        <v>2</v>
      </c>
      <c r="U6224" s="22">
        <f t="shared" si="534"/>
        <v>2023</v>
      </c>
      <c r="V6224" s="22" t="str">
        <f t="shared" si="535"/>
        <v>METROPOLITANA</v>
      </c>
    </row>
    <row r="6225" spans="1:22" x14ac:dyDescent="0.2">
      <c r="A6225" s="11" t="s">
        <v>7567</v>
      </c>
      <c r="B6225" s="12" t="s">
        <v>33</v>
      </c>
      <c r="C6225" s="12" t="s">
        <v>2862</v>
      </c>
      <c r="D6225" s="12" t="s">
        <v>30</v>
      </c>
      <c r="E6225" s="13" t="s">
        <v>31</v>
      </c>
      <c r="F6225" s="12" t="s">
        <v>251</v>
      </c>
      <c r="G6225" s="14">
        <v>4274.88</v>
      </c>
      <c r="H6225" s="12" t="s">
        <v>32</v>
      </c>
      <c r="I6225" s="12">
        <v>0</v>
      </c>
      <c r="J6225" s="12" t="s">
        <v>251</v>
      </c>
      <c r="K6225" s="12" t="s">
        <v>78</v>
      </c>
      <c r="L6225" s="12">
        <v>0</v>
      </c>
      <c r="M6225" s="15">
        <v>227000</v>
      </c>
      <c r="N6225" s="15">
        <v>0</v>
      </c>
      <c r="O6225" s="15">
        <f t="shared" si="531"/>
        <v>227000</v>
      </c>
      <c r="P6225" s="15">
        <f t="shared" si="532"/>
        <v>53.100905756418889</v>
      </c>
      <c r="Q6225" s="14">
        <v>14000</v>
      </c>
      <c r="R6225" s="12">
        <v>31</v>
      </c>
      <c r="S6225" s="12" t="s">
        <v>7569</v>
      </c>
      <c r="T6225" s="22">
        <f t="shared" si="533"/>
        <v>2</v>
      </c>
      <c r="U6225" s="22">
        <f t="shared" si="534"/>
        <v>2023</v>
      </c>
      <c r="V6225" s="22" t="str">
        <f t="shared" si="535"/>
        <v>REGIONES</v>
      </c>
    </row>
    <row r="6226" spans="1:22" x14ac:dyDescent="0.2">
      <c r="A6226" s="11" t="s">
        <v>7567</v>
      </c>
      <c r="B6226" s="12" t="s">
        <v>33</v>
      </c>
      <c r="C6226" s="12" t="s">
        <v>29</v>
      </c>
      <c r="D6226" s="12" t="s">
        <v>38</v>
      </c>
      <c r="E6226" s="13" t="s">
        <v>25</v>
      </c>
      <c r="F6226" s="12" t="s">
        <v>134</v>
      </c>
      <c r="G6226" s="14">
        <v>6490.21</v>
      </c>
      <c r="H6226" s="12" t="s">
        <v>43</v>
      </c>
      <c r="I6226" s="12">
        <v>0</v>
      </c>
      <c r="J6226" s="12" t="s">
        <v>134</v>
      </c>
      <c r="K6226" s="12" t="s">
        <v>23</v>
      </c>
      <c r="L6226" s="12">
        <v>2</v>
      </c>
      <c r="M6226" s="15">
        <v>71392</v>
      </c>
      <c r="N6226" s="15">
        <v>0</v>
      </c>
      <c r="O6226" s="15">
        <f t="shared" si="531"/>
        <v>71392</v>
      </c>
      <c r="P6226" s="15">
        <f t="shared" si="532"/>
        <v>10.999952235752001</v>
      </c>
      <c r="Q6226" s="14">
        <v>5000</v>
      </c>
      <c r="R6226" s="12">
        <v>100</v>
      </c>
      <c r="S6226" s="12" t="s">
        <v>7570</v>
      </c>
      <c r="T6226" s="22">
        <f t="shared" si="533"/>
        <v>2</v>
      </c>
      <c r="U6226" s="22">
        <f t="shared" si="534"/>
        <v>2023</v>
      </c>
      <c r="V6226" s="22" t="str">
        <f t="shared" si="535"/>
        <v>METROPOLITANA</v>
      </c>
    </row>
    <row r="6227" spans="1:22" x14ac:dyDescent="0.2">
      <c r="A6227" s="11" t="s">
        <v>7567</v>
      </c>
      <c r="B6227" s="12" t="s">
        <v>33</v>
      </c>
      <c r="C6227" s="12" t="s">
        <v>29</v>
      </c>
      <c r="D6227" s="12" t="s">
        <v>20</v>
      </c>
      <c r="E6227" s="13" t="s">
        <v>21</v>
      </c>
      <c r="F6227" s="12" t="s">
        <v>129</v>
      </c>
      <c r="G6227" s="14">
        <v>1866.54</v>
      </c>
      <c r="H6227" s="12" t="s">
        <v>22</v>
      </c>
      <c r="I6227" s="12">
        <v>0</v>
      </c>
      <c r="J6227" s="12" t="s">
        <v>129</v>
      </c>
      <c r="K6227" s="12" t="s">
        <v>23</v>
      </c>
      <c r="L6227" s="12">
        <v>1</v>
      </c>
      <c r="M6227" s="15">
        <v>69173</v>
      </c>
      <c r="N6227" s="15">
        <v>0</v>
      </c>
      <c r="O6227" s="15">
        <f t="shared" si="531"/>
        <v>69173</v>
      </c>
      <c r="P6227" s="15">
        <f t="shared" si="532"/>
        <v>37.059479036077448</v>
      </c>
      <c r="Q6227" s="14">
        <v>5000</v>
      </c>
      <c r="R6227" s="12">
        <v>37</v>
      </c>
      <c r="S6227" s="12" t="s">
        <v>7571</v>
      </c>
      <c r="T6227" s="22">
        <f t="shared" si="533"/>
        <v>2</v>
      </c>
      <c r="U6227" s="22">
        <f t="shared" si="534"/>
        <v>2023</v>
      </c>
      <c r="V6227" s="22" t="str">
        <f t="shared" si="535"/>
        <v>METROPOLITANA</v>
      </c>
    </row>
    <row r="6228" spans="1:22" x14ac:dyDescent="0.2">
      <c r="A6228" s="11" t="s">
        <v>7567</v>
      </c>
      <c r="B6228" s="12" t="s">
        <v>33</v>
      </c>
      <c r="C6228" s="12" t="s">
        <v>44</v>
      </c>
      <c r="D6228" s="12" t="s">
        <v>2825</v>
      </c>
      <c r="E6228" s="13" t="s">
        <v>639</v>
      </c>
      <c r="F6228" s="12" t="s">
        <v>3438</v>
      </c>
      <c r="G6228" s="14">
        <v>8339.3599999999988</v>
      </c>
      <c r="H6228" s="12" t="s">
        <v>24</v>
      </c>
      <c r="I6228" s="12">
        <v>1</v>
      </c>
      <c r="J6228" s="12" t="s">
        <v>3438</v>
      </c>
      <c r="K6228" s="12" t="s">
        <v>93</v>
      </c>
      <c r="L6228" s="12">
        <v>0</v>
      </c>
      <c r="M6228" s="15">
        <v>943000</v>
      </c>
      <c r="N6228" s="15">
        <v>0</v>
      </c>
      <c r="O6228" s="15">
        <f t="shared" si="531"/>
        <v>943000</v>
      </c>
      <c r="P6228" s="15">
        <f t="shared" si="532"/>
        <v>113.07822182997258</v>
      </c>
      <c r="Q6228" s="14">
        <v>14000</v>
      </c>
      <c r="R6228" s="12">
        <v>60</v>
      </c>
      <c r="S6228" s="12" t="s">
        <v>7572</v>
      </c>
      <c r="T6228" s="22">
        <f t="shared" si="533"/>
        <v>2</v>
      </c>
      <c r="U6228" s="22">
        <f t="shared" si="534"/>
        <v>2023</v>
      </c>
      <c r="V6228" s="22" t="str">
        <f t="shared" si="535"/>
        <v>REGIONES</v>
      </c>
    </row>
    <row r="6229" spans="1:22" x14ac:dyDescent="0.2">
      <c r="A6229" s="11" t="s">
        <v>7567</v>
      </c>
      <c r="B6229" s="12" t="s">
        <v>33</v>
      </c>
      <c r="C6229" s="12" t="s">
        <v>44</v>
      </c>
      <c r="D6229" s="12" t="s">
        <v>45</v>
      </c>
      <c r="E6229" s="13" t="s">
        <v>21</v>
      </c>
      <c r="F6229" s="12" t="s">
        <v>95</v>
      </c>
      <c r="G6229" s="14">
        <v>3094.83</v>
      </c>
      <c r="H6229" s="12" t="s">
        <v>22</v>
      </c>
      <c r="I6229" s="12">
        <v>0</v>
      </c>
      <c r="J6229" s="12" t="s">
        <v>95</v>
      </c>
      <c r="K6229" s="12" t="s">
        <v>23</v>
      </c>
      <c r="L6229" s="12">
        <v>4</v>
      </c>
      <c r="M6229" s="15">
        <v>69173</v>
      </c>
      <c r="N6229" s="15">
        <v>0</v>
      </c>
      <c r="O6229" s="15">
        <f t="shared" si="531"/>
        <v>69173</v>
      </c>
      <c r="P6229" s="15">
        <f t="shared" si="532"/>
        <v>22.351146912754498</v>
      </c>
      <c r="Q6229" s="14">
        <v>5000</v>
      </c>
      <c r="R6229" s="12">
        <v>62</v>
      </c>
      <c r="S6229" s="12" t="s">
        <v>7573</v>
      </c>
      <c r="T6229" s="22">
        <f t="shared" si="533"/>
        <v>2</v>
      </c>
      <c r="U6229" s="22">
        <f t="shared" si="534"/>
        <v>2023</v>
      </c>
      <c r="V6229" s="22" t="str">
        <f t="shared" si="535"/>
        <v>METROPOLITANA</v>
      </c>
    </row>
    <row r="6230" spans="1:22" x14ac:dyDescent="0.2">
      <c r="A6230" s="23" t="s">
        <v>7575</v>
      </c>
      <c r="B6230" s="22" t="s">
        <v>18</v>
      </c>
      <c r="C6230" s="22" t="s">
        <v>57</v>
      </c>
      <c r="D6230" s="22" t="s">
        <v>1869</v>
      </c>
      <c r="E6230" s="24" t="s">
        <v>1870</v>
      </c>
      <c r="F6230" s="22" t="s">
        <v>407</v>
      </c>
      <c r="G6230" s="25">
        <v>13293.06</v>
      </c>
      <c r="H6230" s="22" t="s">
        <v>24</v>
      </c>
      <c r="I6230" s="22">
        <v>1</v>
      </c>
      <c r="J6230" s="22" t="s">
        <v>407</v>
      </c>
      <c r="K6230" s="22" t="s">
        <v>408</v>
      </c>
      <c r="L6230" s="22">
        <v>0</v>
      </c>
      <c r="M6230" s="26">
        <v>800000</v>
      </c>
      <c r="N6230" s="26">
        <v>0</v>
      </c>
      <c r="O6230" s="15">
        <f t="shared" si="531"/>
        <v>800000</v>
      </c>
      <c r="P6230" s="15">
        <f t="shared" si="532"/>
        <v>60.181779063661793</v>
      </c>
      <c r="Q6230" s="25">
        <v>14000</v>
      </c>
      <c r="R6230" s="22">
        <v>95</v>
      </c>
      <c r="S6230" s="22" t="s">
        <v>7576</v>
      </c>
      <c r="T6230" s="22">
        <f t="shared" si="533"/>
        <v>2</v>
      </c>
      <c r="U6230" s="22">
        <f t="shared" si="534"/>
        <v>2023</v>
      </c>
      <c r="V6230" s="22" t="str">
        <f t="shared" si="535"/>
        <v>REGIONES</v>
      </c>
    </row>
    <row r="6231" spans="1:22" x14ac:dyDescent="0.2">
      <c r="A6231" s="23" t="s">
        <v>7575</v>
      </c>
      <c r="B6231" s="22" t="s">
        <v>18</v>
      </c>
      <c r="C6231" s="22" t="s">
        <v>57</v>
      </c>
      <c r="D6231" s="22" t="s">
        <v>37</v>
      </c>
      <c r="E6231" s="24" t="s">
        <v>40</v>
      </c>
      <c r="F6231" s="22" t="s">
        <v>58</v>
      </c>
      <c r="G6231" s="25">
        <v>3889.95</v>
      </c>
      <c r="H6231" s="22" t="s">
        <v>22</v>
      </c>
      <c r="I6231" s="22">
        <v>0</v>
      </c>
      <c r="J6231" s="22" t="s">
        <v>58</v>
      </c>
      <c r="K6231" s="22" t="s">
        <v>23</v>
      </c>
      <c r="L6231" s="22">
        <v>5</v>
      </c>
      <c r="M6231" s="26">
        <v>87500</v>
      </c>
      <c r="N6231" s="26">
        <v>0</v>
      </c>
      <c r="O6231" s="15">
        <f t="shared" si="531"/>
        <v>87500</v>
      </c>
      <c r="P6231" s="15">
        <f t="shared" si="532"/>
        <v>22.493862388976723</v>
      </c>
      <c r="Q6231" s="25">
        <v>10000</v>
      </c>
      <c r="R6231" s="22">
        <v>39</v>
      </c>
      <c r="S6231" s="22" t="s">
        <v>7577</v>
      </c>
      <c r="T6231" s="22">
        <f t="shared" si="533"/>
        <v>2</v>
      </c>
      <c r="U6231" s="22">
        <f t="shared" si="534"/>
        <v>2023</v>
      </c>
      <c r="V6231" s="22" t="str">
        <f t="shared" si="535"/>
        <v>METROPOLITANA</v>
      </c>
    </row>
    <row r="6232" spans="1:22" x14ac:dyDescent="0.2">
      <c r="A6232" s="23" t="s">
        <v>7575</v>
      </c>
      <c r="B6232" s="22" t="s">
        <v>33</v>
      </c>
      <c r="C6232" s="22" t="s">
        <v>57</v>
      </c>
      <c r="D6232" s="22" t="s">
        <v>37</v>
      </c>
      <c r="E6232" s="24" t="s">
        <v>40</v>
      </c>
      <c r="F6232" s="22" t="s">
        <v>58</v>
      </c>
      <c r="G6232" s="25">
        <v>3685.5</v>
      </c>
      <c r="H6232" s="22" t="s">
        <v>22</v>
      </c>
      <c r="I6232" s="22">
        <v>0</v>
      </c>
      <c r="J6232" s="22" t="s">
        <v>58</v>
      </c>
      <c r="K6232" s="22" t="s">
        <v>23</v>
      </c>
      <c r="L6232" s="22">
        <v>5</v>
      </c>
      <c r="M6232" s="26">
        <v>87500</v>
      </c>
      <c r="N6232" s="26">
        <v>0</v>
      </c>
      <c r="O6232" s="15">
        <f t="shared" si="531"/>
        <v>87500</v>
      </c>
      <c r="P6232" s="15">
        <f t="shared" si="532"/>
        <v>23.741690408357076</v>
      </c>
      <c r="Q6232" s="25">
        <v>10000</v>
      </c>
      <c r="R6232" s="22">
        <v>37</v>
      </c>
      <c r="S6232" s="22" t="s">
        <v>7578</v>
      </c>
      <c r="T6232" s="22">
        <f t="shared" si="533"/>
        <v>2</v>
      </c>
      <c r="U6232" s="22">
        <f t="shared" si="534"/>
        <v>2023</v>
      </c>
      <c r="V6232" s="22" t="str">
        <f t="shared" si="535"/>
        <v>METROPOLITANA</v>
      </c>
    </row>
    <row r="6233" spans="1:22" x14ac:dyDescent="0.2">
      <c r="A6233" s="23" t="s">
        <v>7575</v>
      </c>
      <c r="B6233" s="22" t="s">
        <v>33</v>
      </c>
      <c r="C6233" s="22" t="s">
        <v>128</v>
      </c>
      <c r="D6233" s="22" t="s">
        <v>38</v>
      </c>
      <c r="E6233" s="24" t="s">
        <v>25</v>
      </c>
      <c r="F6233" s="22" t="s">
        <v>129</v>
      </c>
      <c r="G6233" s="25">
        <v>5838.0000000000009</v>
      </c>
      <c r="H6233" s="22" t="s">
        <v>43</v>
      </c>
      <c r="I6233" s="22">
        <v>0</v>
      </c>
      <c r="J6233" s="22" t="s">
        <v>129</v>
      </c>
      <c r="K6233" s="22" t="s">
        <v>23</v>
      </c>
      <c r="L6233" s="22">
        <v>1</v>
      </c>
      <c r="M6233" s="26">
        <v>64218</v>
      </c>
      <c r="N6233" s="26">
        <v>0</v>
      </c>
      <c r="O6233" s="15">
        <f t="shared" si="531"/>
        <v>64218</v>
      </c>
      <c r="P6233" s="15">
        <f t="shared" si="532"/>
        <v>10.999999999999998</v>
      </c>
      <c r="Q6233" s="25">
        <v>5000</v>
      </c>
      <c r="R6233" s="22">
        <v>100</v>
      </c>
      <c r="S6233" s="22" t="s">
        <v>7579</v>
      </c>
      <c r="T6233" s="22">
        <f t="shared" si="533"/>
        <v>2</v>
      </c>
      <c r="U6233" s="22">
        <f t="shared" si="534"/>
        <v>2023</v>
      </c>
      <c r="V6233" s="22" t="str">
        <f t="shared" si="535"/>
        <v>METROPOLITANA</v>
      </c>
    </row>
    <row r="6234" spans="1:22" x14ac:dyDescent="0.2">
      <c r="A6234" s="23" t="s">
        <v>7575</v>
      </c>
      <c r="B6234" s="22" t="s">
        <v>33</v>
      </c>
      <c r="C6234" s="22" t="s">
        <v>29</v>
      </c>
      <c r="D6234" s="22" t="s">
        <v>5478</v>
      </c>
      <c r="E6234" s="24" t="s">
        <v>83</v>
      </c>
      <c r="F6234" s="22" t="s">
        <v>114</v>
      </c>
      <c r="G6234" s="25">
        <v>6973.2000000000025</v>
      </c>
      <c r="H6234" s="22" t="s">
        <v>24</v>
      </c>
      <c r="I6234" s="22">
        <v>1</v>
      </c>
      <c r="J6234" s="22" t="s">
        <v>114</v>
      </c>
      <c r="K6234" s="22" t="s">
        <v>75</v>
      </c>
      <c r="L6234" s="22">
        <v>0</v>
      </c>
      <c r="M6234" s="26">
        <v>528000</v>
      </c>
      <c r="N6234" s="26">
        <v>0</v>
      </c>
      <c r="O6234" s="15">
        <f t="shared" si="531"/>
        <v>528000</v>
      </c>
      <c r="P6234" s="15">
        <f t="shared" si="532"/>
        <v>75.718464980209916</v>
      </c>
      <c r="Q6234" s="25">
        <v>14000</v>
      </c>
      <c r="R6234" s="22">
        <v>50</v>
      </c>
      <c r="S6234" s="22" t="s">
        <v>7580</v>
      </c>
      <c r="T6234" s="22">
        <f t="shared" si="533"/>
        <v>2</v>
      </c>
      <c r="U6234" s="22">
        <f t="shared" si="534"/>
        <v>2023</v>
      </c>
      <c r="V6234" s="22" t="str">
        <f t="shared" si="535"/>
        <v>REGIONES</v>
      </c>
    </row>
    <row r="6235" spans="1:22" x14ac:dyDescent="0.2">
      <c r="A6235" s="23" t="s">
        <v>7575</v>
      </c>
      <c r="B6235" s="22" t="s">
        <v>33</v>
      </c>
      <c r="C6235" s="22" t="s">
        <v>29</v>
      </c>
      <c r="D6235" s="22" t="s">
        <v>7181</v>
      </c>
      <c r="E6235" s="24" t="s">
        <v>7182</v>
      </c>
      <c r="F6235" s="22" t="s">
        <v>114</v>
      </c>
      <c r="G6235" s="25">
        <v>15846.070000000011</v>
      </c>
      <c r="H6235" s="22" t="s">
        <v>85</v>
      </c>
      <c r="I6235" s="22">
        <v>1</v>
      </c>
      <c r="J6235" s="22" t="s">
        <v>114</v>
      </c>
      <c r="K6235" s="22" t="s">
        <v>75</v>
      </c>
      <c r="L6235" s="22">
        <v>0</v>
      </c>
      <c r="M6235" s="26">
        <v>528000</v>
      </c>
      <c r="N6235" s="26">
        <v>0</v>
      </c>
      <c r="O6235" s="15">
        <f t="shared" si="531"/>
        <v>528000</v>
      </c>
      <c r="P6235" s="15">
        <f t="shared" si="532"/>
        <v>33.320564657356663</v>
      </c>
      <c r="Q6235" s="25">
        <v>14000</v>
      </c>
      <c r="R6235" s="22">
        <v>100</v>
      </c>
      <c r="S6235" s="22" t="s">
        <v>7581</v>
      </c>
      <c r="T6235" s="22">
        <f t="shared" si="533"/>
        <v>2</v>
      </c>
      <c r="U6235" s="22">
        <f t="shared" si="534"/>
        <v>2023</v>
      </c>
      <c r="V6235" s="22" t="str">
        <f t="shared" si="535"/>
        <v>REGIONES</v>
      </c>
    </row>
    <row r="6236" spans="1:22" x14ac:dyDescent="0.2">
      <c r="A6236" s="23" t="s">
        <v>7575</v>
      </c>
      <c r="B6236" s="22" t="s">
        <v>33</v>
      </c>
      <c r="C6236" s="22" t="s">
        <v>29</v>
      </c>
      <c r="D6236" s="22" t="s">
        <v>20</v>
      </c>
      <c r="E6236" s="24" t="s">
        <v>21</v>
      </c>
      <c r="F6236" s="22" t="s">
        <v>129</v>
      </c>
      <c r="G6236" s="25">
        <v>6853.3999999999987</v>
      </c>
      <c r="H6236" s="22" t="s">
        <v>22</v>
      </c>
      <c r="I6236" s="22">
        <v>0</v>
      </c>
      <c r="J6236" s="22" t="s">
        <v>129</v>
      </c>
      <c r="K6236" s="22" t="s">
        <v>23</v>
      </c>
      <c r="L6236" s="22">
        <v>1</v>
      </c>
      <c r="M6236" s="26">
        <v>75387</v>
      </c>
      <c r="N6236" s="26">
        <v>0</v>
      </c>
      <c r="O6236" s="15">
        <f t="shared" si="531"/>
        <v>75387</v>
      </c>
      <c r="P6236" s="15">
        <f t="shared" si="532"/>
        <v>10.999941634809002</v>
      </c>
      <c r="Q6236" s="25">
        <v>5000</v>
      </c>
      <c r="R6236" s="22">
        <v>100</v>
      </c>
      <c r="S6236" s="22" t="s">
        <v>7582</v>
      </c>
      <c r="T6236" s="22">
        <f t="shared" si="533"/>
        <v>2</v>
      </c>
      <c r="U6236" s="22">
        <f t="shared" si="534"/>
        <v>2023</v>
      </c>
      <c r="V6236" s="22" t="str">
        <f t="shared" si="535"/>
        <v>METROPOLITANA</v>
      </c>
    </row>
    <row r="6237" spans="1:22" x14ac:dyDescent="0.2">
      <c r="A6237" s="23" t="s">
        <v>7575</v>
      </c>
      <c r="B6237" s="22" t="s">
        <v>33</v>
      </c>
      <c r="C6237" s="22" t="s">
        <v>44</v>
      </c>
      <c r="D6237" s="22" t="s">
        <v>4569</v>
      </c>
      <c r="E6237" s="24" t="s">
        <v>868</v>
      </c>
      <c r="F6237" s="22" t="s">
        <v>2308</v>
      </c>
      <c r="G6237" s="25">
        <v>9862.2199999999993</v>
      </c>
      <c r="H6237" s="22" t="s">
        <v>24</v>
      </c>
      <c r="I6237" s="22">
        <v>1</v>
      </c>
      <c r="J6237" s="22" t="s">
        <v>2308</v>
      </c>
      <c r="K6237" s="22" t="s">
        <v>2309</v>
      </c>
      <c r="L6237" s="22">
        <v>0</v>
      </c>
      <c r="M6237" s="26">
        <v>943000</v>
      </c>
      <c r="N6237" s="26">
        <v>0</v>
      </c>
      <c r="O6237" s="15">
        <f t="shared" si="531"/>
        <v>943000</v>
      </c>
      <c r="P6237" s="15">
        <f t="shared" si="532"/>
        <v>95.617416768232715</v>
      </c>
      <c r="Q6237" s="25">
        <v>14000</v>
      </c>
      <c r="R6237" s="22">
        <v>70</v>
      </c>
      <c r="S6237" s="22" t="s">
        <v>7583</v>
      </c>
      <c r="T6237" s="22">
        <f t="shared" si="533"/>
        <v>2</v>
      </c>
      <c r="U6237" s="22">
        <f t="shared" si="534"/>
        <v>2023</v>
      </c>
      <c r="V6237" s="22" t="str">
        <f t="shared" si="535"/>
        <v>REGIONES</v>
      </c>
    </row>
    <row r="6238" spans="1:22" x14ac:dyDescent="0.2">
      <c r="A6238" s="23" t="s">
        <v>7575</v>
      </c>
      <c r="B6238" s="22" t="s">
        <v>33</v>
      </c>
      <c r="C6238" s="22" t="s">
        <v>44</v>
      </c>
      <c r="D6238" s="22" t="s">
        <v>37</v>
      </c>
      <c r="E6238" s="24" t="s">
        <v>40</v>
      </c>
      <c r="F6238" s="22" t="s">
        <v>48</v>
      </c>
      <c r="G6238" s="25">
        <v>3211.13</v>
      </c>
      <c r="H6238" s="22" t="s">
        <v>22</v>
      </c>
      <c r="I6238" s="22">
        <v>0</v>
      </c>
      <c r="J6238" s="22" t="s">
        <v>48</v>
      </c>
      <c r="K6238" s="22" t="s">
        <v>23</v>
      </c>
      <c r="L6238" s="22">
        <v>1</v>
      </c>
      <c r="M6238" s="26">
        <v>69173</v>
      </c>
      <c r="N6238" s="26">
        <v>0</v>
      </c>
      <c r="O6238" s="15">
        <f t="shared" si="531"/>
        <v>69173</v>
      </c>
      <c r="P6238" s="15">
        <f t="shared" si="532"/>
        <v>21.541637990364762</v>
      </c>
      <c r="Q6238" s="25">
        <v>5000</v>
      </c>
      <c r="R6238" s="22">
        <v>64</v>
      </c>
      <c r="S6238" s="22" t="s">
        <v>7584</v>
      </c>
      <c r="T6238" s="22">
        <f t="shared" si="533"/>
        <v>2</v>
      </c>
      <c r="U6238" s="22">
        <f t="shared" si="534"/>
        <v>2023</v>
      </c>
      <c r="V6238" s="22" t="str">
        <f t="shared" si="535"/>
        <v>METROPOLITANA</v>
      </c>
    </row>
    <row r="6239" spans="1:22" x14ac:dyDescent="0.2">
      <c r="A6239" s="23" t="s">
        <v>7575</v>
      </c>
      <c r="B6239" s="22" t="s">
        <v>33</v>
      </c>
      <c r="C6239" s="22" t="s">
        <v>44</v>
      </c>
      <c r="D6239" s="22" t="s">
        <v>45</v>
      </c>
      <c r="E6239" s="24" t="s">
        <v>21</v>
      </c>
      <c r="F6239" s="22" t="s">
        <v>95</v>
      </c>
      <c r="G6239" s="25">
        <v>2548.2399999999998</v>
      </c>
      <c r="H6239" s="22" t="s">
        <v>22</v>
      </c>
      <c r="I6239" s="22">
        <v>0</v>
      </c>
      <c r="J6239" s="22" t="s">
        <v>95</v>
      </c>
      <c r="K6239" s="22" t="s">
        <v>23</v>
      </c>
      <c r="L6239" s="22">
        <v>4</v>
      </c>
      <c r="M6239" s="26">
        <v>69173</v>
      </c>
      <c r="N6239" s="26">
        <v>0</v>
      </c>
      <c r="O6239" s="15">
        <f t="shared" si="531"/>
        <v>69173</v>
      </c>
      <c r="P6239" s="15">
        <f t="shared" si="532"/>
        <v>27.145402316893232</v>
      </c>
      <c r="Q6239" s="25">
        <v>5000</v>
      </c>
      <c r="R6239" s="22">
        <v>51</v>
      </c>
      <c r="S6239" s="22" t="s">
        <v>7585</v>
      </c>
      <c r="T6239" s="22">
        <f t="shared" si="533"/>
        <v>2</v>
      </c>
      <c r="U6239" s="22">
        <f t="shared" si="534"/>
        <v>2023</v>
      </c>
      <c r="V6239" s="22" t="str">
        <f t="shared" si="535"/>
        <v>METROPOLITANA</v>
      </c>
    </row>
    <row r="6240" spans="1:22" s="12" customFormat="1" x14ac:dyDescent="0.2">
      <c r="A6240" s="11" t="s">
        <v>7586</v>
      </c>
      <c r="B6240" s="12" t="s">
        <v>18</v>
      </c>
      <c r="C6240" s="12" t="s">
        <v>7400</v>
      </c>
      <c r="D6240" s="12" t="s">
        <v>30</v>
      </c>
      <c r="E6240" s="13" t="s">
        <v>31</v>
      </c>
      <c r="F6240" s="12" t="s">
        <v>51</v>
      </c>
      <c r="G6240" s="14">
        <v>9061.94</v>
      </c>
      <c r="H6240" s="12" t="s">
        <v>32</v>
      </c>
      <c r="I6240" s="12">
        <v>0</v>
      </c>
      <c r="J6240" s="12" t="s">
        <v>51</v>
      </c>
      <c r="K6240" s="12" t="s">
        <v>23</v>
      </c>
      <c r="L6240" s="12">
        <v>4</v>
      </c>
      <c r="M6240" s="15">
        <v>99681</v>
      </c>
      <c r="N6240" s="15">
        <v>0</v>
      </c>
      <c r="O6240" s="15">
        <f t="shared" si="531"/>
        <v>99681</v>
      </c>
      <c r="P6240" s="15">
        <f t="shared" si="532"/>
        <v>10.999962480440169</v>
      </c>
      <c r="Q6240" s="14">
        <v>5000</v>
      </c>
      <c r="R6240" s="12">
        <v>100</v>
      </c>
      <c r="S6240" s="12" t="s">
        <v>7587</v>
      </c>
      <c r="T6240" s="12">
        <f t="shared" si="533"/>
        <v>2</v>
      </c>
      <c r="U6240" s="12">
        <f t="shared" si="534"/>
        <v>2023</v>
      </c>
      <c r="V6240" s="12" t="str">
        <f t="shared" si="535"/>
        <v>METROPOLITANA</v>
      </c>
    </row>
    <row r="6241" spans="1:22" s="12" customFormat="1" x14ac:dyDescent="0.2">
      <c r="A6241" s="11" t="s">
        <v>7586</v>
      </c>
      <c r="B6241" s="12" t="s">
        <v>33</v>
      </c>
      <c r="C6241" s="12" t="s">
        <v>187</v>
      </c>
      <c r="D6241" s="12" t="s">
        <v>45</v>
      </c>
      <c r="E6241" s="13" t="s">
        <v>28</v>
      </c>
      <c r="F6241" s="12" t="s">
        <v>129</v>
      </c>
      <c r="G6241" s="14">
        <v>1950</v>
      </c>
      <c r="H6241" s="12" t="s">
        <v>22</v>
      </c>
      <c r="I6241" s="12">
        <v>0</v>
      </c>
      <c r="J6241" s="12" t="s">
        <v>129</v>
      </c>
      <c r="K6241" s="12" t="s">
        <v>23</v>
      </c>
      <c r="L6241" s="12">
        <v>1</v>
      </c>
      <c r="M6241" s="15">
        <v>69173</v>
      </c>
      <c r="N6241" s="15">
        <v>0</v>
      </c>
      <c r="O6241" s="15">
        <f t="shared" si="531"/>
        <v>69173</v>
      </c>
      <c r="P6241" s="15">
        <f t="shared" si="532"/>
        <v>35.473333333333336</v>
      </c>
      <c r="Q6241" s="14">
        <v>5000</v>
      </c>
      <c r="R6241" s="12">
        <v>39</v>
      </c>
      <c r="S6241" s="12" t="s">
        <v>7588</v>
      </c>
      <c r="T6241" s="12">
        <f t="shared" si="533"/>
        <v>2</v>
      </c>
      <c r="U6241" s="12">
        <f t="shared" si="534"/>
        <v>2023</v>
      </c>
      <c r="V6241" s="12" t="str">
        <f t="shared" si="535"/>
        <v>METROPOLITANA</v>
      </c>
    </row>
    <row r="6242" spans="1:22" s="12" customFormat="1" x14ac:dyDescent="0.2">
      <c r="A6242" s="11" t="s">
        <v>7586</v>
      </c>
      <c r="B6242" s="12" t="s">
        <v>33</v>
      </c>
      <c r="C6242" s="12" t="s">
        <v>29</v>
      </c>
      <c r="D6242" s="12" t="s">
        <v>20</v>
      </c>
      <c r="E6242" s="13" t="s">
        <v>21</v>
      </c>
      <c r="F6242" s="12" t="s">
        <v>173</v>
      </c>
      <c r="G6242" s="14">
        <v>7640.2</v>
      </c>
      <c r="H6242" s="12" t="s">
        <v>22</v>
      </c>
      <c r="I6242" s="12">
        <v>0</v>
      </c>
      <c r="J6242" s="12" t="s">
        <v>173</v>
      </c>
      <c r="K6242" s="12" t="s">
        <v>23</v>
      </c>
      <c r="L6242" s="12">
        <v>5</v>
      </c>
      <c r="M6242" s="15">
        <v>112500</v>
      </c>
      <c r="N6242" s="15">
        <v>0</v>
      </c>
      <c r="O6242" s="15">
        <f t="shared" si="531"/>
        <v>112500</v>
      </c>
      <c r="P6242" s="15">
        <f t="shared" si="532"/>
        <v>14.724745425512422</v>
      </c>
      <c r="Q6242" s="14">
        <v>10000</v>
      </c>
      <c r="R6242" s="12">
        <v>76</v>
      </c>
      <c r="S6242" s="12" t="s">
        <v>7589</v>
      </c>
      <c r="T6242" s="12">
        <f t="shared" si="533"/>
        <v>2</v>
      </c>
      <c r="U6242" s="12">
        <f t="shared" si="534"/>
        <v>2023</v>
      </c>
      <c r="V6242" s="12" t="str">
        <f t="shared" si="535"/>
        <v>METROPOLITANA</v>
      </c>
    </row>
    <row r="6243" spans="1:22" s="12" customFormat="1" x14ac:dyDescent="0.2">
      <c r="A6243" s="11" t="s">
        <v>7586</v>
      </c>
      <c r="B6243" s="12" t="s">
        <v>33</v>
      </c>
      <c r="C6243" s="12" t="s">
        <v>44</v>
      </c>
      <c r="D6243" s="12" t="s">
        <v>45</v>
      </c>
      <c r="E6243" s="13" t="s">
        <v>1576</v>
      </c>
      <c r="F6243" s="12" t="s">
        <v>67</v>
      </c>
      <c r="G6243" s="14">
        <v>2917.97</v>
      </c>
      <c r="H6243" s="12" t="s">
        <v>22</v>
      </c>
      <c r="I6243" s="12">
        <v>0</v>
      </c>
      <c r="J6243" s="12" t="s">
        <v>67</v>
      </c>
      <c r="K6243" s="12" t="s">
        <v>23</v>
      </c>
      <c r="L6243" s="12">
        <v>2</v>
      </c>
      <c r="M6243" s="15">
        <v>69173</v>
      </c>
      <c r="N6243" s="15">
        <v>0</v>
      </c>
      <c r="O6243" s="15">
        <f t="shared" si="531"/>
        <v>69173</v>
      </c>
      <c r="P6243" s="15">
        <f t="shared" si="532"/>
        <v>23.70586400819748</v>
      </c>
      <c r="Q6243" s="14">
        <v>5000</v>
      </c>
      <c r="R6243" s="12">
        <v>58</v>
      </c>
      <c r="S6243" s="12" t="s">
        <v>7590</v>
      </c>
      <c r="T6243" s="12">
        <f t="shared" si="533"/>
        <v>2</v>
      </c>
      <c r="U6243" s="12">
        <f t="shared" si="534"/>
        <v>2023</v>
      </c>
      <c r="V6243" s="12" t="str">
        <f t="shared" si="535"/>
        <v>METROPOLITANA</v>
      </c>
    </row>
    <row r="6244" spans="1:22" s="12" customFormat="1" x14ac:dyDescent="0.2">
      <c r="A6244" s="11" t="s">
        <v>7586</v>
      </c>
      <c r="B6244" s="12" t="s">
        <v>33</v>
      </c>
      <c r="C6244" s="12" t="s">
        <v>7472</v>
      </c>
      <c r="D6244" s="12" t="s">
        <v>786</v>
      </c>
      <c r="E6244" s="13" t="s">
        <v>787</v>
      </c>
      <c r="F6244" s="12" t="s">
        <v>129</v>
      </c>
      <c r="G6244" s="14">
        <v>27973</v>
      </c>
      <c r="H6244" s="12" t="s">
        <v>788</v>
      </c>
      <c r="I6244" s="12">
        <v>1</v>
      </c>
      <c r="J6244" s="12" t="s">
        <v>129</v>
      </c>
      <c r="K6244" s="12" t="s">
        <v>23</v>
      </c>
      <c r="L6244" s="12">
        <v>1</v>
      </c>
      <c r="M6244" s="15">
        <v>307703</v>
      </c>
      <c r="N6244" s="15">
        <v>0</v>
      </c>
      <c r="O6244" s="15">
        <f t="shared" si="531"/>
        <v>307703</v>
      </c>
      <c r="P6244" s="15">
        <f t="shared" si="532"/>
        <v>11</v>
      </c>
      <c r="Q6244" s="14">
        <v>5000</v>
      </c>
      <c r="R6244" s="12">
        <v>100</v>
      </c>
      <c r="S6244" s="12" t="s">
        <v>7591</v>
      </c>
      <c r="T6244" s="12">
        <f t="shared" si="533"/>
        <v>2</v>
      </c>
      <c r="U6244" s="12">
        <f t="shared" si="534"/>
        <v>2023</v>
      </c>
      <c r="V6244" s="12" t="str">
        <f t="shared" si="535"/>
        <v>METROPOLITANA</v>
      </c>
    </row>
    <row r="6245" spans="1:22" x14ac:dyDescent="0.2">
      <c r="A6245" s="23" t="s">
        <v>7592</v>
      </c>
      <c r="B6245" s="22" t="s">
        <v>18</v>
      </c>
      <c r="C6245" s="22" t="s">
        <v>57</v>
      </c>
      <c r="D6245" s="22" t="s">
        <v>1869</v>
      </c>
      <c r="E6245" s="24" t="s">
        <v>7593</v>
      </c>
      <c r="F6245" s="22" t="s">
        <v>407</v>
      </c>
      <c r="G6245" s="25">
        <v>7380.6</v>
      </c>
      <c r="H6245" s="22" t="s">
        <v>24</v>
      </c>
      <c r="I6245" s="22">
        <v>1</v>
      </c>
      <c r="J6245" s="22" t="s">
        <v>407</v>
      </c>
      <c r="K6245" s="22" t="s">
        <v>408</v>
      </c>
      <c r="L6245" s="22">
        <v>0</v>
      </c>
      <c r="M6245" s="26">
        <v>800000</v>
      </c>
      <c r="N6245" s="26">
        <v>0</v>
      </c>
      <c r="O6245" s="15">
        <f t="shared" si="531"/>
        <v>800000</v>
      </c>
      <c r="P6245" s="15">
        <f t="shared" si="532"/>
        <v>108.3922716310327</v>
      </c>
      <c r="Q6245" s="25">
        <v>14000</v>
      </c>
      <c r="R6245" s="22">
        <v>53</v>
      </c>
      <c r="S6245" s="22" t="s">
        <v>7594</v>
      </c>
      <c r="T6245" s="22">
        <f t="shared" si="533"/>
        <v>2</v>
      </c>
      <c r="U6245" s="22">
        <f t="shared" si="534"/>
        <v>2023</v>
      </c>
      <c r="V6245" s="22" t="str">
        <f t="shared" si="535"/>
        <v>REGIONES</v>
      </c>
    </row>
    <row r="6246" spans="1:22" x14ac:dyDescent="0.2">
      <c r="A6246" s="23" t="s">
        <v>7592</v>
      </c>
      <c r="B6246" s="22" t="s">
        <v>18</v>
      </c>
      <c r="C6246" s="22" t="s">
        <v>57</v>
      </c>
      <c r="D6246" s="22" t="s">
        <v>38</v>
      </c>
      <c r="E6246" s="24" t="s">
        <v>25</v>
      </c>
      <c r="F6246" s="22" t="s">
        <v>58</v>
      </c>
      <c r="G6246" s="25">
        <v>4420.16</v>
      </c>
      <c r="H6246" s="22" t="s">
        <v>43</v>
      </c>
      <c r="I6246" s="22">
        <v>0</v>
      </c>
      <c r="J6246" s="22" t="s">
        <v>58</v>
      </c>
      <c r="K6246" s="22" t="s">
        <v>23</v>
      </c>
      <c r="L6246" s="22">
        <v>5</v>
      </c>
      <c r="M6246" s="26">
        <v>87500</v>
      </c>
      <c r="N6246" s="26">
        <v>0</v>
      </c>
      <c r="O6246" s="15">
        <f t="shared" si="531"/>
        <v>87500</v>
      </c>
      <c r="P6246" s="15">
        <f t="shared" si="532"/>
        <v>19.79566350539347</v>
      </c>
      <c r="Q6246" s="25">
        <v>10000</v>
      </c>
      <c r="R6246" s="22">
        <v>44</v>
      </c>
      <c r="S6246" s="22" t="s">
        <v>7595</v>
      </c>
      <c r="T6246" s="22">
        <f t="shared" si="533"/>
        <v>2</v>
      </c>
      <c r="U6246" s="22">
        <f t="shared" si="534"/>
        <v>2023</v>
      </c>
      <c r="V6246" s="22" t="str">
        <f t="shared" si="535"/>
        <v>METROPOLITANA</v>
      </c>
    </row>
    <row r="6247" spans="1:22" x14ac:dyDescent="0.2">
      <c r="A6247" s="23" t="s">
        <v>7592</v>
      </c>
      <c r="B6247" s="22" t="s">
        <v>33</v>
      </c>
      <c r="C6247" s="22" t="s">
        <v>7596</v>
      </c>
      <c r="D6247" s="22" t="s">
        <v>20</v>
      </c>
      <c r="E6247" s="24" t="s">
        <v>21</v>
      </c>
      <c r="F6247" s="22" t="s">
        <v>129</v>
      </c>
      <c r="G6247" s="25">
        <v>1725.5</v>
      </c>
      <c r="H6247" s="22" t="s">
        <v>22</v>
      </c>
      <c r="I6247" s="22">
        <v>0</v>
      </c>
      <c r="J6247" s="22" t="s">
        <v>129</v>
      </c>
      <c r="K6247" s="22" t="s">
        <v>23</v>
      </c>
      <c r="L6247" s="22">
        <v>1</v>
      </c>
      <c r="M6247" s="26">
        <v>69173</v>
      </c>
      <c r="N6247" s="26">
        <v>0</v>
      </c>
      <c r="O6247" s="15">
        <f t="shared" si="531"/>
        <v>69173</v>
      </c>
      <c r="P6247" s="15">
        <f t="shared" si="532"/>
        <v>40.088669950738918</v>
      </c>
      <c r="Q6247" s="25">
        <v>5000</v>
      </c>
      <c r="R6247" s="22">
        <v>35</v>
      </c>
      <c r="S6247" s="22" t="s">
        <v>7597</v>
      </c>
      <c r="T6247" s="22">
        <f t="shared" si="533"/>
        <v>2</v>
      </c>
      <c r="U6247" s="22">
        <f t="shared" si="534"/>
        <v>2023</v>
      </c>
      <c r="V6247" s="22" t="str">
        <f t="shared" si="535"/>
        <v>METROPOLITANA</v>
      </c>
    </row>
    <row r="6248" spans="1:22" x14ac:dyDescent="0.2">
      <c r="A6248" s="23" t="s">
        <v>7592</v>
      </c>
      <c r="B6248" s="22" t="s">
        <v>33</v>
      </c>
      <c r="C6248" s="22" t="s">
        <v>29</v>
      </c>
      <c r="D6248" s="22" t="s">
        <v>7181</v>
      </c>
      <c r="E6248" s="24" t="s">
        <v>7182</v>
      </c>
      <c r="F6248" s="22" t="s">
        <v>114</v>
      </c>
      <c r="G6248" s="25">
        <v>22151.520000000011</v>
      </c>
      <c r="H6248" s="22" t="s">
        <v>85</v>
      </c>
      <c r="I6248" s="22">
        <v>1</v>
      </c>
      <c r="J6248" s="22" t="s">
        <v>114</v>
      </c>
      <c r="K6248" s="22" t="s">
        <v>75</v>
      </c>
      <c r="L6248" s="22">
        <v>0</v>
      </c>
      <c r="M6248" s="26">
        <v>528000</v>
      </c>
      <c r="N6248" s="26">
        <v>0</v>
      </c>
      <c r="O6248" s="15">
        <f t="shared" si="531"/>
        <v>528000</v>
      </c>
      <c r="P6248" s="15">
        <f t="shared" si="532"/>
        <v>23.835836096123415</v>
      </c>
      <c r="Q6248" s="25">
        <v>14000</v>
      </c>
      <c r="R6248" s="22">
        <v>100</v>
      </c>
      <c r="S6248" s="22" t="s">
        <v>7598</v>
      </c>
      <c r="T6248" s="22">
        <f t="shared" si="533"/>
        <v>2</v>
      </c>
      <c r="U6248" s="22">
        <f t="shared" si="534"/>
        <v>2023</v>
      </c>
      <c r="V6248" s="22" t="str">
        <f t="shared" si="535"/>
        <v>REGIONES</v>
      </c>
    </row>
    <row r="6249" spans="1:22" x14ac:dyDescent="0.2">
      <c r="A6249" s="23" t="s">
        <v>7592</v>
      </c>
      <c r="B6249" s="22" t="s">
        <v>33</v>
      </c>
      <c r="C6249" s="22" t="s">
        <v>44</v>
      </c>
      <c r="D6249" s="22" t="s">
        <v>2825</v>
      </c>
      <c r="E6249" s="24" t="s">
        <v>639</v>
      </c>
      <c r="F6249" s="22" t="s">
        <v>2639</v>
      </c>
      <c r="G6249" s="25">
        <f>7810.52+5894</f>
        <v>13704.52</v>
      </c>
      <c r="H6249" s="22" t="s">
        <v>24</v>
      </c>
      <c r="I6249" s="22">
        <v>1</v>
      </c>
      <c r="J6249" s="22" t="s">
        <v>2639</v>
      </c>
      <c r="K6249" s="22" t="s">
        <v>75</v>
      </c>
      <c r="L6249" s="22">
        <v>0</v>
      </c>
      <c r="M6249" s="26">
        <v>478000</v>
      </c>
      <c r="N6249" s="26">
        <v>0</v>
      </c>
      <c r="O6249" s="15">
        <f t="shared" si="531"/>
        <v>478000</v>
      </c>
      <c r="P6249" s="15">
        <f t="shared" si="532"/>
        <v>34.879003423687948</v>
      </c>
      <c r="Q6249" s="25">
        <v>14000</v>
      </c>
      <c r="R6249" s="22">
        <v>100</v>
      </c>
      <c r="S6249" s="22" t="s">
        <v>7649</v>
      </c>
      <c r="T6249" s="22">
        <f t="shared" si="533"/>
        <v>2</v>
      </c>
      <c r="U6249" s="22">
        <f t="shared" si="534"/>
        <v>2023</v>
      </c>
      <c r="V6249" s="22" t="str">
        <f t="shared" si="535"/>
        <v>REGIONES</v>
      </c>
    </row>
    <row r="6250" spans="1:22" x14ac:dyDescent="0.2">
      <c r="A6250" s="23" t="s">
        <v>7592</v>
      </c>
      <c r="B6250" s="22" t="s">
        <v>33</v>
      </c>
      <c r="C6250" s="22" t="s">
        <v>44</v>
      </c>
      <c r="D6250" s="22" t="s">
        <v>37</v>
      </c>
      <c r="E6250" s="24" t="s">
        <v>40</v>
      </c>
      <c r="F6250" s="22" t="s">
        <v>48</v>
      </c>
      <c r="G6250" s="25">
        <v>8208.7200000000012</v>
      </c>
      <c r="H6250" s="22" t="s">
        <v>22</v>
      </c>
      <c r="I6250" s="22">
        <v>0</v>
      </c>
      <c r="J6250" s="22" t="s">
        <v>48</v>
      </c>
      <c r="K6250" s="22" t="s">
        <v>23</v>
      </c>
      <c r="L6250" s="22">
        <v>1</v>
      </c>
      <c r="M6250" s="26">
        <v>90296</v>
      </c>
      <c r="N6250" s="26">
        <v>0</v>
      </c>
      <c r="O6250" s="15">
        <f t="shared" si="531"/>
        <v>90296</v>
      </c>
      <c r="P6250" s="15">
        <f t="shared" si="532"/>
        <v>11.000009745733804</v>
      </c>
      <c r="Q6250" s="25">
        <v>5000</v>
      </c>
      <c r="R6250" s="22">
        <v>100</v>
      </c>
      <c r="S6250" s="22" t="s">
        <v>7599</v>
      </c>
      <c r="T6250" s="22">
        <f t="shared" si="533"/>
        <v>2</v>
      </c>
      <c r="U6250" s="22">
        <f t="shared" si="534"/>
        <v>2023</v>
      </c>
      <c r="V6250" s="22" t="str">
        <f t="shared" si="535"/>
        <v>METROPOLITANA</v>
      </c>
    </row>
    <row r="6251" spans="1:22" s="12" customFormat="1" x14ac:dyDescent="0.2">
      <c r="A6251" s="11" t="s">
        <v>7600</v>
      </c>
      <c r="B6251" s="12" t="s">
        <v>18</v>
      </c>
      <c r="C6251" s="12" t="s">
        <v>57</v>
      </c>
      <c r="D6251" s="12" t="s">
        <v>20</v>
      </c>
      <c r="E6251" s="13" t="s">
        <v>21</v>
      </c>
      <c r="F6251" s="12" t="s">
        <v>58</v>
      </c>
      <c r="G6251" s="14">
        <v>3313.85</v>
      </c>
      <c r="H6251" s="12" t="s">
        <v>22</v>
      </c>
      <c r="I6251" s="12">
        <v>0</v>
      </c>
      <c r="J6251" s="12" t="s">
        <v>58</v>
      </c>
      <c r="K6251" s="12" t="s">
        <v>23</v>
      </c>
      <c r="L6251" s="12">
        <v>5</v>
      </c>
      <c r="M6251" s="15">
        <v>87500</v>
      </c>
      <c r="N6251" s="15">
        <v>0</v>
      </c>
      <c r="O6251" s="15">
        <f t="shared" si="531"/>
        <v>87500</v>
      </c>
      <c r="P6251" s="15">
        <f t="shared" si="532"/>
        <v>26.404333328303938</v>
      </c>
      <c r="Q6251" s="14">
        <v>10000</v>
      </c>
      <c r="R6251" s="12">
        <v>33</v>
      </c>
      <c r="S6251" s="12" t="s">
        <v>7601</v>
      </c>
      <c r="T6251" s="12">
        <f t="shared" si="533"/>
        <v>2</v>
      </c>
      <c r="U6251" s="12">
        <f t="shared" si="534"/>
        <v>2023</v>
      </c>
      <c r="V6251" s="12" t="str">
        <f t="shared" si="535"/>
        <v>METROPOLITANA</v>
      </c>
    </row>
    <row r="6252" spans="1:22" s="12" customFormat="1" x14ac:dyDescent="0.2">
      <c r="A6252" s="11" t="s">
        <v>7600</v>
      </c>
      <c r="B6252" s="12" t="s">
        <v>33</v>
      </c>
      <c r="C6252" s="12" t="s">
        <v>128</v>
      </c>
      <c r="D6252" s="12" t="s">
        <v>6425</v>
      </c>
      <c r="E6252" s="13" t="s">
        <v>6596</v>
      </c>
      <c r="F6252" s="12" t="s">
        <v>66</v>
      </c>
      <c r="G6252" s="14">
        <v>8440.0200000000023</v>
      </c>
      <c r="H6252" s="12" t="s">
        <v>24</v>
      </c>
      <c r="I6252" s="12">
        <v>1</v>
      </c>
      <c r="J6252" s="12" t="s">
        <v>66</v>
      </c>
      <c r="K6252" s="12" t="s">
        <v>75</v>
      </c>
      <c r="L6252" s="12">
        <v>0</v>
      </c>
      <c r="M6252" s="15">
        <v>506000</v>
      </c>
      <c r="N6252" s="15">
        <v>0</v>
      </c>
      <c r="O6252" s="15">
        <f t="shared" si="531"/>
        <v>506000</v>
      </c>
      <c r="P6252" s="15">
        <f t="shared" si="532"/>
        <v>59.952464567619494</v>
      </c>
      <c r="Q6252" s="14">
        <v>14000</v>
      </c>
      <c r="R6252" s="12">
        <v>60</v>
      </c>
      <c r="S6252" s="12" t="s">
        <v>7602</v>
      </c>
      <c r="T6252" s="12">
        <f t="shared" si="533"/>
        <v>2</v>
      </c>
      <c r="U6252" s="12">
        <f t="shared" si="534"/>
        <v>2023</v>
      </c>
      <c r="V6252" s="12" t="str">
        <f t="shared" si="535"/>
        <v>REGIONES</v>
      </c>
    </row>
    <row r="6253" spans="1:22" s="12" customFormat="1" x14ac:dyDescent="0.2">
      <c r="A6253" s="11" t="s">
        <v>7600</v>
      </c>
      <c r="B6253" s="12" t="s">
        <v>33</v>
      </c>
      <c r="C6253" s="12" t="s">
        <v>417</v>
      </c>
      <c r="D6253" s="12" t="s">
        <v>786</v>
      </c>
      <c r="E6253" s="13" t="s">
        <v>787</v>
      </c>
      <c r="F6253" s="12" t="s">
        <v>418</v>
      </c>
      <c r="G6253" s="14">
        <v>12192.820000000011</v>
      </c>
      <c r="H6253" s="12" t="s">
        <v>788</v>
      </c>
      <c r="I6253" s="12">
        <v>1</v>
      </c>
      <c r="J6253" s="12" t="s">
        <v>418</v>
      </c>
      <c r="K6253" s="12" t="s">
        <v>171</v>
      </c>
      <c r="L6253" s="12">
        <v>0</v>
      </c>
      <c r="M6253" s="15">
        <v>250000</v>
      </c>
      <c r="N6253" s="15">
        <v>0</v>
      </c>
      <c r="O6253" s="15">
        <f t="shared" si="531"/>
        <v>250000</v>
      </c>
      <c r="P6253" s="15">
        <f t="shared" si="532"/>
        <v>20.503870310559805</v>
      </c>
      <c r="Q6253" s="14">
        <v>14000</v>
      </c>
      <c r="R6253" s="12">
        <v>87</v>
      </c>
      <c r="S6253" s="12" t="s">
        <v>7603</v>
      </c>
      <c r="T6253" s="12">
        <f t="shared" si="533"/>
        <v>2</v>
      </c>
      <c r="U6253" s="12">
        <f t="shared" si="534"/>
        <v>2023</v>
      </c>
      <c r="V6253" s="12" t="str">
        <f t="shared" si="535"/>
        <v>REGIONES</v>
      </c>
    </row>
    <row r="6254" spans="1:22" s="12" customFormat="1" x14ac:dyDescent="0.2">
      <c r="A6254" s="11" t="s">
        <v>7600</v>
      </c>
      <c r="B6254" s="12" t="s">
        <v>33</v>
      </c>
      <c r="C6254" s="12" t="s">
        <v>29</v>
      </c>
      <c r="D6254" s="12" t="s">
        <v>164</v>
      </c>
      <c r="E6254" s="13" t="s">
        <v>1576</v>
      </c>
      <c r="F6254" s="12" t="s">
        <v>39</v>
      </c>
      <c r="G6254" s="14">
        <v>22417.599999999991</v>
      </c>
      <c r="H6254" s="12" t="s">
        <v>22</v>
      </c>
      <c r="I6254" s="12">
        <v>1</v>
      </c>
      <c r="J6254" s="12" t="s">
        <v>39</v>
      </c>
      <c r="K6254" s="12" t="s">
        <v>23</v>
      </c>
      <c r="L6254" s="12">
        <v>1</v>
      </c>
      <c r="M6254" s="15">
        <v>246594</v>
      </c>
      <c r="N6254" s="15">
        <v>0</v>
      </c>
      <c r="O6254" s="15">
        <f t="shared" si="531"/>
        <v>246594</v>
      </c>
      <c r="P6254" s="15">
        <f t="shared" si="532"/>
        <v>11.000017843123265</v>
      </c>
      <c r="Q6254" s="14">
        <v>5000</v>
      </c>
      <c r="R6254" s="12">
        <v>100</v>
      </c>
      <c r="S6254" s="12" t="s">
        <v>7604</v>
      </c>
      <c r="T6254" s="12">
        <f t="shared" si="533"/>
        <v>2</v>
      </c>
      <c r="U6254" s="12">
        <f t="shared" si="534"/>
        <v>2023</v>
      </c>
      <c r="V6254" s="12" t="str">
        <f t="shared" si="535"/>
        <v>METROPOLITANA</v>
      </c>
    </row>
    <row r="6255" spans="1:22" s="12" customFormat="1" x14ac:dyDescent="0.2">
      <c r="A6255" s="11" t="s">
        <v>7600</v>
      </c>
      <c r="B6255" s="12" t="s">
        <v>33</v>
      </c>
      <c r="C6255" s="12" t="s">
        <v>29</v>
      </c>
      <c r="D6255" s="12" t="s">
        <v>20</v>
      </c>
      <c r="E6255" s="13" t="s">
        <v>21</v>
      </c>
      <c r="F6255" s="12" t="s">
        <v>39</v>
      </c>
      <c r="G6255" s="14">
        <v>10202.41</v>
      </c>
      <c r="H6255" s="12" t="s">
        <v>22</v>
      </c>
      <c r="I6255" s="12">
        <v>0</v>
      </c>
      <c r="J6255" s="12" t="s">
        <v>39</v>
      </c>
      <c r="K6255" s="12" t="s">
        <v>23</v>
      </c>
      <c r="L6255" s="12">
        <v>1</v>
      </c>
      <c r="M6255" s="15">
        <v>112227</v>
      </c>
      <c r="N6255" s="15">
        <v>0</v>
      </c>
      <c r="O6255" s="15">
        <f t="shared" si="531"/>
        <v>112227</v>
      </c>
      <c r="P6255" s="15">
        <f t="shared" si="532"/>
        <v>11.000048027867926</v>
      </c>
      <c r="Q6255" s="14">
        <v>5000</v>
      </c>
      <c r="R6255" s="12">
        <v>100</v>
      </c>
      <c r="S6255" s="12" t="s">
        <v>7605</v>
      </c>
      <c r="T6255" s="12">
        <f t="shared" si="533"/>
        <v>2</v>
      </c>
      <c r="U6255" s="12">
        <f t="shared" si="534"/>
        <v>2023</v>
      </c>
      <c r="V6255" s="12" t="str">
        <f t="shared" si="535"/>
        <v>METROPOLITANA</v>
      </c>
    </row>
    <row r="6256" spans="1:22" s="12" customFormat="1" x14ac:dyDescent="0.2">
      <c r="A6256" s="11" t="s">
        <v>7600</v>
      </c>
      <c r="B6256" s="12" t="s">
        <v>33</v>
      </c>
      <c r="C6256" s="12" t="s">
        <v>44</v>
      </c>
      <c r="D6256" s="12" t="s">
        <v>37</v>
      </c>
      <c r="E6256" s="13" t="s">
        <v>40</v>
      </c>
      <c r="F6256" s="12" t="s">
        <v>94</v>
      </c>
      <c r="G6256" s="14">
        <v>4119.5</v>
      </c>
      <c r="H6256" s="12" t="s">
        <v>22</v>
      </c>
      <c r="I6256" s="12">
        <v>0</v>
      </c>
      <c r="J6256" s="12" t="s">
        <v>59</v>
      </c>
      <c r="K6256" s="12" t="s">
        <v>78</v>
      </c>
      <c r="L6256" s="12">
        <v>0</v>
      </c>
      <c r="M6256" s="15">
        <v>227000</v>
      </c>
      <c r="N6256" s="15">
        <v>0</v>
      </c>
      <c r="O6256" s="15">
        <f t="shared" si="531"/>
        <v>227000</v>
      </c>
      <c r="P6256" s="15">
        <f t="shared" si="532"/>
        <v>55.103774729942955</v>
      </c>
      <c r="Q6256" s="14">
        <v>14000</v>
      </c>
      <c r="R6256" s="12">
        <v>29</v>
      </c>
      <c r="S6256" s="12" t="s">
        <v>7606</v>
      </c>
      <c r="T6256" s="12">
        <f t="shared" si="533"/>
        <v>2</v>
      </c>
      <c r="U6256" s="12">
        <f t="shared" si="534"/>
        <v>2023</v>
      </c>
      <c r="V6256" s="12" t="str">
        <f t="shared" si="535"/>
        <v>REGIONES</v>
      </c>
    </row>
    <row r="6257" spans="1:22" s="12" customFormat="1" x14ac:dyDescent="0.2">
      <c r="A6257" s="11" t="s">
        <v>7600</v>
      </c>
      <c r="B6257" s="12" t="s">
        <v>33</v>
      </c>
      <c r="C6257" s="12" t="s">
        <v>44</v>
      </c>
      <c r="D6257" s="12" t="s">
        <v>45</v>
      </c>
      <c r="E6257" s="13" t="s">
        <v>28</v>
      </c>
      <c r="F6257" s="12" t="s">
        <v>53</v>
      </c>
      <c r="G6257" s="14">
        <v>2607.84</v>
      </c>
      <c r="H6257" s="12" t="s">
        <v>22</v>
      </c>
      <c r="I6257" s="12">
        <v>0</v>
      </c>
      <c r="J6257" s="12" t="s">
        <v>53</v>
      </c>
      <c r="K6257" s="12" t="s">
        <v>23</v>
      </c>
      <c r="L6257" s="12">
        <v>3</v>
      </c>
      <c r="M6257" s="15">
        <v>69173</v>
      </c>
      <c r="N6257" s="15">
        <v>0</v>
      </c>
      <c r="O6257" s="15">
        <f t="shared" si="531"/>
        <v>69173</v>
      </c>
      <c r="P6257" s="15">
        <f t="shared" si="532"/>
        <v>26.525016872200748</v>
      </c>
      <c r="Q6257" s="14">
        <v>5000</v>
      </c>
      <c r="R6257" s="12">
        <v>52</v>
      </c>
      <c r="S6257" s="12" t="s">
        <v>7607</v>
      </c>
      <c r="T6257" s="12">
        <f t="shared" si="533"/>
        <v>2</v>
      </c>
      <c r="U6257" s="12">
        <f t="shared" si="534"/>
        <v>2023</v>
      </c>
      <c r="V6257" s="12" t="str">
        <f t="shared" si="535"/>
        <v>METROPOLITANA</v>
      </c>
    </row>
    <row r="6258" spans="1:22" x14ac:dyDescent="0.2">
      <c r="A6258" s="23" t="s">
        <v>7608</v>
      </c>
      <c r="B6258" s="22" t="s">
        <v>18</v>
      </c>
      <c r="C6258" s="22" t="s">
        <v>57</v>
      </c>
      <c r="D6258" s="22" t="s">
        <v>1869</v>
      </c>
      <c r="E6258" s="24" t="s">
        <v>1870</v>
      </c>
      <c r="F6258" s="22" t="s">
        <v>407</v>
      </c>
      <c r="G6258" s="25">
        <v>8472.5300000000007</v>
      </c>
      <c r="H6258" s="22" t="s">
        <v>24</v>
      </c>
      <c r="I6258" s="22">
        <v>1</v>
      </c>
      <c r="J6258" s="22" t="s">
        <v>407</v>
      </c>
      <c r="K6258" s="22" t="s">
        <v>408</v>
      </c>
      <c r="L6258" s="22">
        <v>0</v>
      </c>
      <c r="M6258" s="26">
        <v>800000</v>
      </c>
      <c r="N6258" s="26">
        <v>0</v>
      </c>
      <c r="O6258" s="15">
        <f t="shared" si="531"/>
        <v>800000</v>
      </c>
      <c r="P6258" s="15">
        <f t="shared" si="532"/>
        <v>94.422799329126008</v>
      </c>
      <c r="Q6258" s="25">
        <v>14000</v>
      </c>
      <c r="R6258" s="22">
        <v>61</v>
      </c>
      <c r="S6258" s="22" t="s">
        <v>7609</v>
      </c>
      <c r="T6258" s="22">
        <f t="shared" si="533"/>
        <v>2</v>
      </c>
      <c r="U6258" s="22">
        <f t="shared" si="534"/>
        <v>2023</v>
      </c>
      <c r="V6258" s="22" t="str">
        <f t="shared" si="535"/>
        <v>REGIONES</v>
      </c>
    </row>
    <row r="6259" spans="1:22" x14ac:dyDescent="0.2">
      <c r="A6259" s="23" t="s">
        <v>7608</v>
      </c>
      <c r="B6259" s="22" t="s">
        <v>18</v>
      </c>
      <c r="C6259" s="22" t="s">
        <v>57</v>
      </c>
      <c r="D6259" s="22" t="s">
        <v>38</v>
      </c>
      <c r="E6259" s="24" t="s">
        <v>42</v>
      </c>
      <c r="F6259" s="22" t="s">
        <v>58</v>
      </c>
      <c r="G6259" s="25">
        <v>10124.39</v>
      </c>
      <c r="H6259" s="22" t="s">
        <v>43</v>
      </c>
      <c r="I6259" s="22">
        <v>0</v>
      </c>
      <c r="J6259" s="22" t="s">
        <v>58</v>
      </c>
      <c r="K6259" s="22" t="s">
        <v>23</v>
      </c>
      <c r="L6259" s="22">
        <v>5</v>
      </c>
      <c r="M6259" s="26">
        <v>87500</v>
      </c>
      <c r="N6259" s="26">
        <v>0</v>
      </c>
      <c r="O6259" s="15">
        <f t="shared" si="531"/>
        <v>87500</v>
      </c>
      <c r="P6259" s="15">
        <f t="shared" si="532"/>
        <v>8.6424959923511437</v>
      </c>
      <c r="Q6259" s="25">
        <v>10000</v>
      </c>
      <c r="R6259" s="22">
        <v>100</v>
      </c>
      <c r="S6259" s="22" t="s">
        <v>7610</v>
      </c>
      <c r="T6259" s="22">
        <f t="shared" si="533"/>
        <v>2</v>
      </c>
      <c r="U6259" s="22">
        <f t="shared" si="534"/>
        <v>2023</v>
      </c>
      <c r="V6259" s="22" t="str">
        <f t="shared" si="535"/>
        <v>METROPOLITANA</v>
      </c>
    </row>
    <row r="6260" spans="1:22" x14ac:dyDescent="0.2">
      <c r="A6260" s="23" t="s">
        <v>7608</v>
      </c>
      <c r="B6260" s="22" t="s">
        <v>33</v>
      </c>
      <c r="C6260" s="22" t="s">
        <v>128</v>
      </c>
      <c r="D6260" s="22" t="s">
        <v>37</v>
      </c>
      <c r="E6260" s="24" t="s">
        <v>40</v>
      </c>
      <c r="F6260" s="22" t="s">
        <v>727</v>
      </c>
      <c r="G6260" s="25">
        <v>8008.0000000000009</v>
      </c>
      <c r="H6260" s="22" t="s">
        <v>22</v>
      </c>
      <c r="I6260" s="22">
        <v>0</v>
      </c>
      <c r="J6260" s="22" t="s">
        <v>727</v>
      </c>
      <c r="K6260" s="22" t="s">
        <v>23</v>
      </c>
      <c r="L6260" s="22">
        <v>2</v>
      </c>
      <c r="M6260" s="26">
        <v>88088</v>
      </c>
      <c r="N6260" s="26">
        <v>0</v>
      </c>
      <c r="O6260" s="15">
        <f t="shared" si="531"/>
        <v>88088</v>
      </c>
      <c r="P6260" s="15">
        <f t="shared" si="532"/>
        <v>10.999999999999998</v>
      </c>
      <c r="Q6260" s="25">
        <v>5000</v>
      </c>
      <c r="R6260" s="22">
        <v>100</v>
      </c>
      <c r="S6260" s="22" t="s">
        <v>7611</v>
      </c>
      <c r="T6260" s="22">
        <f t="shared" si="533"/>
        <v>2</v>
      </c>
      <c r="U6260" s="22">
        <f t="shared" si="534"/>
        <v>2023</v>
      </c>
      <c r="V6260" s="22" t="str">
        <f t="shared" si="535"/>
        <v>METROPOLITANA</v>
      </c>
    </row>
    <row r="6261" spans="1:22" x14ac:dyDescent="0.2">
      <c r="A6261" s="23" t="s">
        <v>7608</v>
      </c>
      <c r="B6261" s="22" t="s">
        <v>33</v>
      </c>
      <c r="C6261" s="22" t="s">
        <v>128</v>
      </c>
      <c r="D6261" s="22" t="s">
        <v>786</v>
      </c>
      <c r="E6261" s="24" t="s">
        <v>787</v>
      </c>
      <c r="F6261" s="22" t="s">
        <v>34</v>
      </c>
      <c r="G6261" s="25">
        <v>10756.85</v>
      </c>
      <c r="H6261" s="22" t="s">
        <v>788</v>
      </c>
      <c r="I6261" s="22">
        <v>1</v>
      </c>
      <c r="J6261" s="22" t="s">
        <v>34</v>
      </c>
      <c r="K6261" s="22" t="s">
        <v>23</v>
      </c>
      <c r="L6261" s="22">
        <v>1</v>
      </c>
      <c r="M6261" s="26">
        <v>118325</v>
      </c>
      <c r="N6261" s="26">
        <v>0</v>
      </c>
      <c r="O6261" s="15">
        <f t="shared" si="531"/>
        <v>118325</v>
      </c>
      <c r="P6261" s="15">
        <f t="shared" si="532"/>
        <v>10.999967462593602</v>
      </c>
      <c r="Q6261" s="25">
        <v>5000</v>
      </c>
      <c r="R6261" s="22">
        <v>100</v>
      </c>
      <c r="S6261" s="22" t="s">
        <v>7612</v>
      </c>
      <c r="T6261" s="22">
        <f t="shared" si="533"/>
        <v>2</v>
      </c>
      <c r="U6261" s="22">
        <f t="shared" si="534"/>
        <v>2023</v>
      </c>
      <c r="V6261" s="22" t="str">
        <f t="shared" si="535"/>
        <v>METROPOLITANA</v>
      </c>
    </row>
    <row r="6262" spans="1:22" x14ac:dyDescent="0.2">
      <c r="A6262" s="23" t="s">
        <v>7608</v>
      </c>
      <c r="B6262" s="22" t="s">
        <v>33</v>
      </c>
      <c r="C6262" s="22" t="s">
        <v>36</v>
      </c>
      <c r="D6262" s="22" t="s">
        <v>45</v>
      </c>
      <c r="E6262" s="24" t="s">
        <v>1576</v>
      </c>
      <c r="F6262" s="22" t="s">
        <v>46</v>
      </c>
      <c r="G6262" s="25">
        <v>3643.2</v>
      </c>
      <c r="H6262" s="22" t="s">
        <v>22</v>
      </c>
      <c r="I6262" s="22">
        <v>0</v>
      </c>
      <c r="J6262" s="22" t="s">
        <v>46</v>
      </c>
      <c r="K6262" s="22" t="s">
        <v>23</v>
      </c>
      <c r="L6262" s="22">
        <v>2</v>
      </c>
      <c r="M6262" s="26">
        <v>69173</v>
      </c>
      <c r="N6262" s="26">
        <v>0</v>
      </c>
      <c r="O6262" s="15">
        <f t="shared" si="531"/>
        <v>69173</v>
      </c>
      <c r="P6262" s="15">
        <f t="shared" si="532"/>
        <v>18.986879666227495</v>
      </c>
      <c r="Q6262" s="25">
        <v>5000</v>
      </c>
      <c r="R6262" s="22">
        <v>73</v>
      </c>
      <c r="S6262" s="22" t="s">
        <v>7613</v>
      </c>
      <c r="T6262" s="22">
        <f t="shared" si="533"/>
        <v>2</v>
      </c>
      <c r="U6262" s="22">
        <f t="shared" si="534"/>
        <v>2023</v>
      </c>
      <c r="V6262" s="22" t="str">
        <f t="shared" si="535"/>
        <v>METROPOLITANA</v>
      </c>
    </row>
    <row r="6263" spans="1:22" x14ac:dyDescent="0.2">
      <c r="A6263" s="23" t="s">
        <v>7608</v>
      </c>
      <c r="B6263" s="22" t="s">
        <v>33</v>
      </c>
      <c r="C6263" s="22" t="s">
        <v>36</v>
      </c>
      <c r="D6263" s="22" t="s">
        <v>20</v>
      </c>
      <c r="E6263" s="24" t="s">
        <v>21</v>
      </c>
      <c r="F6263" s="22" t="s">
        <v>225</v>
      </c>
      <c r="G6263" s="25">
        <v>3848.8000000000011</v>
      </c>
      <c r="H6263" s="22" t="s">
        <v>22</v>
      </c>
      <c r="I6263" s="22">
        <v>0</v>
      </c>
      <c r="J6263" s="22" t="s">
        <v>225</v>
      </c>
      <c r="K6263" s="22" t="s">
        <v>23</v>
      </c>
      <c r="L6263" s="22">
        <v>3</v>
      </c>
      <c r="M6263" s="26">
        <v>69173</v>
      </c>
      <c r="N6263" s="26">
        <v>0</v>
      </c>
      <c r="O6263" s="15">
        <f t="shared" si="531"/>
        <v>69173</v>
      </c>
      <c r="P6263" s="15">
        <f t="shared" si="532"/>
        <v>17.972614840989394</v>
      </c>
      <c r="Q6263" s="25">
        <v>5000</v>
      </c>
      <c r="R6263" s="22">
        <v>77</v>
      </c>
      <c r="S6263" s="22" t="s">
        <v>7614</v>
      </c>
      <c r="T6263" s="22">
        <f t="shared" si="533"/>
        <v>2</v>
      </c>
      <c r="U6263" s="22">
        <f t="shared" si="534"/>
        <v>2023</v>
      </c>
      <c r="V6263" s="22" t="str">
        <f t="shared" si="535"/>
        <v>METROPOLITANA</v>
      </c>
    </row>
    <row r="6264" spans="1:22" x14ac:dyDescent="0.2">
      <c r="A6264" s="23" t="s">
        <v>7608</v>
      </c>
      <c r="B6264" s="22" t="s">
        <v>33</v>
      </c>
      <c r="C6264" s="22" t="s">
        <v>29</v>
      </c>
      <c r="D6264" s="22" t="s">
        <v>7615</v>
      </c>
      <c r="E6264" s="24" t="s">
        <v>7616</v>
      </c>
      <c r="F6264" s="22" t="s">
        <v>114</v>
      </c>
      <c r="G6264" s="25">
        <v>17683.8</v>
      </c>
      <c r="H6264" s="22" t="s">
        <v>24</v>
      </c>
      <c r="I6264" s="22">
        <v>1</v>
      </c>
      <c r="J6264" s="22" t="s">
        <v>114</v>
      </c>
      <c r="K6264" s="22" t="s">
        <v>75</v>
      </c>
      <c r="L6264" s="22">
        <v>0</v>
      </c>
      <c r="M6264" s="26">
        <v>528000</v>
      </c>
      <c r="N6264" s="26">
        <v>0</v>
      </c>
      <c r="O6264" s="15">
        <f t="shared" si="531"/>
        <v>528000</v>
      </c>
      <c r="P6264" s="15">
        <f t="shared" si="532"/>
        <v>29.857835985478236</v>
      </c>
      <c r="Q6264" s="25">
        <v>14000</v>
      </c>
      <c r="R6264" s="22">
        <v>100</v>
      </c>
      <c r="S6264" s="22" t="s">
        <v>7617</v>
      </c>
      <c r="T6264" s="22">
        <f t="shared" si="533"/>
        <v>2</v>
      </c>
      <c r="U6264" s="22">
        <f t="shared" si="534"/>
        <v>2023</v>
      </c>
      <c r="V6264" s="22" t="str">
        <f t="shared" si="535"/>
        <v>REGIONES</v>
      </c>
    </row>
    <row r="6265" spans="1:22" x14ac:dyDescent="0.2">
      <c r="A6265" s="23" t="s">
        <v>7608</v>
      </c>
      <c r="B6265" s="22" t="s">
        <v>33</v>
      </c>
      <c r="C6265" s="22" t="s">
        <v>29</v>
      </c>
      <c r="D6265" s="22" t="s">
        <v>303</v>
      </c>
      <c r="E6265" s="24" t="s">
        <v>304</v>
      </c>
      <c r="F6265" s="22" t="s">
        <v>114</v>
      </c>
      <c r="G6265" s="25">
        <v>15214.999999999991</v>
      </c>
      <c r="H6265" s="22" t="s">
        <v>24</v>
      </c>
      <c r="I6265" s="22">
        <v>1</v>
      </c>
      <c r="J6265" s="22" t="s">
        <v>114</v>
      </c>
      <c r="K6265" s="22" t="s">
        <v>75</v>
      </c>
      <c r="L6265" s="22">
        <v>0</v>
      </c>
      <c r="M6265" s="26">
        <v>528000</v>
      </c>
      <c r="N6265" s="26">
        <v>0</v>
      </c>
      <c r="O6265" s="15">
        <f t="shared" si="531"/>
        <v>528000</v>
      </c>
      <c r="P6265" s="15">
        <f t="shared" si="532"/>
        <v>34.702596122247805</v>
      </c>
      <c r="Q6265" s="25">
        <v>14000</v>
      </c>
      <c r="R6265" s="22">
        <v>100</v>
      </c>
      <c r="S6265" s="22" t="s">
        <v>7618</v>
      </c>
      <c r="T6265" s="22">
        <f t="shared" si="533"/>
        <v>2</v>
      </c>
      <c r="U6265" s="22">
        <f t="shared" si="534"/>
        <v>2023</v>
      </c>
      <c r="V6265" s="22" t="str">
        <f t="shared" si="535"/>
        <v>REGIONES</v>
      </c>
    </row>
    <row r="6266" spans="1:22" x14ac:dyDescent="0.2">
      <c r="A6266" s="23" t="s">
        <v>7608</v>
      </c>
      <c r="B6266" s="22" t="s">
        <v>33</v>
      </c>
      <c r="C6266" s="22" t="s">
        <v>7619</v>
      </c>
      <c r="D6266" s="22" t="s">
        <v>164</v>
      </c>
      <c r="E6266" s="24" t="s">
        <v>28</v>
      </c>
      <c r="F6266" s="22" t="s">
        <v>129</v>
      </c>
      <c r="G6266" s="25">
        <v>4108</v>
      </c>
      <c r="H6266" s="22" t="s">
        <v>22</v>
      </c>
      <c r="I6266" s="22">
        <v>1</v>
      </c>
      <c r="J6266" s="22" t="s">
        <v>129</v>
      </c>
      <c r="K6266" s="22" t="s">
        <v>23</v>
      </c>
      <c r="L6266" s="22">
        <v>1</v>
      </c>
      <c r="M6266" s="26">
        <v>69173</v>
      </c>
      <c r="N6266" s="26">
        <v>0</v>
      </c>
      <c r="O6266" s="15">
        <f t="shared" si="531"/>
        <v>69173</v>
      </c>
      <c r="P6266" s="15">
        <f t="shared" si="532"/>
        <v>16.838607594936708</v>
      </c>
      <c r="Q6266" s="25">
        <v>5000</v>
      </c>
      <c r="R6266" s="22">
        <v>82</v>
      </c>
      <c r="S6266" s="22" t="s">
        <v>7620</v>
      </c>
      <c r="T6266" s="22">
        <f t="shared" si="533"/>
        <v>2</v>
      </c>
      <c r="U6266" s="22">
        <f t="shared" si="534"/>
        <v>2023</v>
      </c>
      <c r="V6266" s="22" t="str">
        <f t="shared" si="535"/>
        <v>METROPOLITANA</v>
      </c>
    </row>
    <row r="6267" spans="1:22" s="12" customFormat="1" x14ac:dyDescent="0.2">
      <c r="A6267" s="11" t="s">
        <v>7621</v>
      </c>
      <c r="B6267" s="12" t="s">
        <v>18</v>
      </c>
      <c r="C6267" s="12" t="s">
        <v>57</v>
      </c>
      <c r="D6267" s="12" t="s">
        <v>38</v>
      </c>
      <c r="E6267" s="13" t="s">
        <v>25</v>
      </c>
      <c r="F6267" s="12" t="s">
        <v>58</v>
      </c>
      <c r="G6267" s="14">
        <v>6735.57</v>
      </c>
      <c r="H6267" s="12" t="s">
        <v>43</v>
      </c>
      <c r="I6267" s="12">
        <v>0</v>
      </c>
      <c r="J6267" s="12" t="s">
        <v>58</v>
      </c>
      <c r="K6267" s="12" t="s">
        <v>23</v>
      </c>
      <c r="L6267" s="12">
        <v>5</v>
      </c>
      <c r="M6267" s="15">
        <v>87500</v>
      </c>
      <c r="N6267" s="15">
        <v>0</v>
      </c>
      <c r="O6267" s="15">
        <f t="shared" ref="O6267:O6330" si="536">SUM(M6267:N6267)</f>
        <v>87500</v>
      </c>
      <c r="P6267" s="15">
        <f t="shared" ref="P6267:P6330" si="537">O6267/G6267</f>
        <v>12.990734265993822</v>
      </c>
      <c r="Q6267" s="14">
        <v>10000</v>
      </c>
      <c r="R6267" s="12">
        <v>67</v>
      </c>
      <c r="S6267" s="12" t="s">
        <v>7622</v>
      </c>
      <c r="T6267" s="12">
        <f t="shared" si="533"/>
        <v>2</v>
      </c>
      <c r="U6267" s="12">
        <f t="shared" si="534"/>
        <v>2023</v>
      </c>
      <c r="V6267" s="12" t="str">
        <f t="shared" si="535"/>
        <v>METROPOLITANA</v>
      </c>
    </row>
    <row r="6268" spans="1:22" s="12" customFormat="1" x14ac:dyDescent="0.2">
      <c r="A6268" s="11" t="s">
        <v>7621</v>
      </c>
      <c r="B6268" s="12" t="s">
        <v>33</v>
      </c>
      <c r="C6268" s="12" t="s">
        <v>128</v>
      </c>
      <c r="D6268" s="12" t="s">
        <v>786</v>
      </c>
      <c r="E6268" s="13" t="s">
        <v>787</v>
      </c>
      <c r="F6268" s="12" t="s">
        <v>129</v>
      </c>
      <c r="G6268" s="14">
        <v>17454.96</v>
      </c>
      <c r="H6268" s="12" t="s">
        <v>788</v>
      </c>
      <c r="I6268" s="12">
        <v>1</v>
      </c>
      <c r="J6268" s="12" t="s">
        <v>129</v>
      </c>
      <c r="K6268" s="12" t="s">
        <v>23</v>
      </c>
      <c r="L6268" s="12">
        <v>1</v>
      </c>
      <c r="M6268" s="15">
        <v>192005</v>
      </c>
      <c r="N6268" s="15">
        <v>0</v>
      </c>
      <c r="O6268" s="15">
        <f t="shared" si="536"/>
        <v>192005</v>
      </c>
      <c r="P6268" s="15">
        <f t="shared" si="537"/>
        <v>11.00002520773465</v>
      </c>
      <c r="Q6268" s="14">
        <v>5000</v>
      </c>
      <c r="R6268" s="12">
        <v>100</v>
      </c>
      <c r="S6268" s="12" t="s">
        <v>7623</v>
      </c>
      <c r="T6268" s="12">
        <f t="shared" si="533"/>
        <v>2</v>
      </c>
      <c r="U6268" s="12">
        <f t="shared" si="534"/>
        <v>2023</v>
      </c>
      <c r="V6268" s="12" t="str">
        <f t="shared" si="535"/>
        <v>METROPOLITANA</v>
      </c>
    </row>
    <row r="6269" spans="1:22" s="12" customFormat="1" x14ac:dyDescent="0.2">
      <c r="A6269" s="11" t="s">
        <v>7621</v>
      </c>
      <c r="B6269" s="12" t="s">
        <v>33</v>
      </c>
      <c r="C6269" s="12" t="s">
        <v>128</v>
      </c>
      <c r="D6269" s="12" t="s">
        <v>2028</v>
      </c>
      <c r="E6269" s="13" t="s">
        <v>28</v>
      </c>
      <c r="F6269" s="12" t="s">
        <v>129</v>
      </c>
      <c r="G6269" s="14">
        <v>8612.4000000000015</v>
      </c>
      <c r="H6269" s="12" t="s">
        <v>22</v>
      </c>
      <c r="I6269" s="12">
        <v>1</v>
      </c>
      <c r="J6269" s="12" t="s">
        <v>129</v>
      </c>
      <c r="K6269" s="12" t="s">
        <v>23</v>
      </c>
      <c r="L6269" s="12">
        <v>1</v>
      </c>
      <c r="M6269" s="15">
        <v>94736</v>
      </c>
      <c r="N6269" s="15">
        <v>0</v>
      </c>
      <c r="O6269" s="15">
        <f t="shared" si="536"/>
        <v>94736</v>
      </c>
      <c r="P6269" s="15">
        <f t="shared" si="537"/>
        <v>10.999953555338813</v>
      </c>
      <c r="Q6269" s="14">
        <v>5000</v>
      </c>
      <c r="R6269" s="12">
        <v>100</v>
      </c>
      <c r="S6269" s="12" t="s">
        <v>7624</v>
      </c>
      <c r="T6269" s="12">
        <f t="shared" si="533"/>
        <v>2</v>
      </c>
      <c r="U6269" s="12">
        <f t="shared" si="534"/>
        <v>2023</v>
      </c>
      <c r="V6269" s="12" t="str">
        <f t="shared" si="535"/>
        <v>METROPOLITANA</v>
      </c>
    </row>
    <row r="6270" spans="1:22" s="12" customFormat="1" x14ac:dyDescent="0.2">
      <c r="A6270" s="11" t="s">
        <v>7621</v>
      </c>
      <c r="B6270" s="12" t="s">
        <v>33</v>
      </c>
      <c r="C6270" s="12" t="s">
        <v>36</v>
      </c>
      <c r="D6270" s="12" t="s">
        <v>38</v>
      </c>
      <c r="E6270" s="13" t="s">
        <v>42</v>
      </c>
      <c r="F6270" s="12" t="s">
        <v>308</v>
      </c>
      <c r="G6270" s="14">
        <v>5199.66</v>
      </c>
      <c r="H6270" s="12" t="s">
        <v>43</v>
      </c>
      <c r="I6270" s="12">
        <v>0</v>
      </c>
      <c r="J6270" s="12" t="s">
        <v>308</v>
      </c>
      <c r="K6270" s="12" t="s">
        <v>78</v>
      </c>
      <c r="L6270" s="12">
        <v>0</v>
      </c>
      <c r="M6270" s="15">
        <v>227000</v>
      </c>
      <c r="N6270" s="15">
        <v>0</v>
      </c>
      <c r="O6270" s="15">
        <f t="shared" si="536"/>
        <v>227000</v>
      </c>
      <c r="P6270" s="15">
        <f t="shared" si="537"/>
        <v>43.656700630425838</v>
      </c>
      <c r="Q6270" s="14">
        <v>14000</v>
      </c>
      <c r="R6270" s="12">
        <v>37</v>
      </c>
      <c r="S6270" s="12" t="s">
        <v>7625</v>
      </c>
      <c r="T6270" s="12">
        <f t="shared" si="533"/>
        <v>2</v>
      </c>
      <c r="U6270" s="12">
        <f t="shared" si="534"/>
        <v>2023</v>
      </c>
      <c r="V6270" s="12" t="str">
        <f t="shared" si="535"/>
        <v>REGIONES</v>
      </c>
    </row>
    <row r="6271" spans="1:22" s="12" customFormat="1" x14ac:dyDescent="0.2">
      <c r="A6271" s="11" t="s">
        <v>7621</v>
      </c>
      <c r="B6271" s="12" t="s">
        <v>33</v>
      </c>
      <c r="C6271" s="12" t="s">
        <v>36</v>
      </c>
      <c r="D6271" s="12" t="s">
        <v>2825</v>
      </c>
      <c r="E6271" s="13" t="s">
        <v>639</v>
      </c>
      <c r="F6271" s="12" t="s">
        <v>1105</v>
      </c>
      <c r="G6271" s="14">
        <v>5787.2000000000025</v>
      </c>
      <c r="H6271" s="12" t="s">
        <v>24</v>
      </c>
      <c r="I6271" s="12">
        <v>1</v>
      </c>
      <c r="J6271" s="12" t="s">
        <v>1105</v>
      </c>
      <c r="K6271" s="12" t="s">
        <v>873</v>
      </c>
      <c r="L6271" s="12">
        <v>0</v>
      </c>
      <c r="M6271" s="15">
        <v>1131000</v>
      </c>
      <c r="N6271" s="15">
        <v>0</v>
      </c>
      <c r="O6271" s="15">
        <f t="shared" si="536"/>
        <v>1131000</v>
      </c>
      <c r="P6271" s="15">
        <f t="shared" si="537"/>
        <v>195.43129665468612</v>
      </c>
      <c r="Q6271" s="14">
        <v>14000</v>
      </c>
      <c r="R6271" s="12">
        <v>41</v>
      </c>
      <c r="S6271" s="12" t="s">
        <v>7626</v>
      </c>
      <c r="T6271" s="12">
        <f t="shared" si="533"/>
        <v>2</v>
      </c>
      <c r="U6271" s="12">
        <f t="shared" si="534"/>
        <v>2023</v>
      </c>
      <c r="V6271" s="12" t="str">
        <f t="shared" si="535"/>
        <v>REGIONES</v>
      </c>
    </row>
    <row r="6272" spans="1:22" s="12" customFormat="1" x14ac:dyDescent="0.2">
      <c r="A6272" s="11" t="s">
        <v>7621</v>
      </c>
      <c r="B6272" s="12" t="s">
        <v>33</v>
      </c>
      <c r="C6272" s="12" t="s">
        <v>36</v>
      </c>
      <c r="D6272" s="12" t="s">
        <v>6221</v>
      </c>
      <c r="E6272" s="13" t="s">
        <v>6567</v>
      </c>
      <c r="F6272" s="12" t="s">
        <v>893</v>
      </c>
      <c r="G6272" s="14">
        <v>9722.8399999999965</v>
      </c>
      <c r="H6272" s="12" t="s">
        <v>24</v>
      </c>
      <c r="I6272" s="12">
        <v>1</v>
      </c>
      <c r="J6272" s="12" t="s">
        <v>893</v>
      </c>
      <c r="K6272" s="12" t="s">
        <v>437</v>
      </c>
      <c r="L6272" s="12">
        <v>0</v>
      </c>
      <c r="M6272" s="15">
        <v>1132000</v>
      </c>
      <c r="N6272" s="15">
        <v>0</v>
      </c>
      <c r="O6272" s="15">
        <f t="shared" si="536"/>
        <v>1132000</v>
      </c>
      <c r="P6272" s="15">
        <f t="shared" si="537"/>
        <v>116.4268876171983</v>
      </c>
      <c r="Q6272" s="14">
        <v>14000</v>
      </c>
      <c r="R6272" s="12">
        <v>69</v>
      </c>
      <c r="S6272" s="12" t="s">
        <v>7627</v>
      </c>
      <c r="T6272" s="12">
        <f t="shared" si="533"/>
        <v>2</v>
      </c>
      <c r="U6272" s="12">
        <f t="shared" si="534"/>
        <v>2023</v>
      </c>
      <c r="V6272" s="12" t="str">
        <f t="shared" si="535"/>
        <v>REGIONES</v>
      </c>
    </row>
    <row r="6273" spans="1:22" s="12" customFormat="1" x14ac:dyDescent="0.2">
      <c r="A6273" s="11" t="s">
        <v>7621</v>
      </c>
      <c r="B6273" s="12" t="s">
        <v>33</v>
      </c>
      <c r="C6273" s="12" t="s">
        <v>36</v>
      </c>
      <c r="D6273" s="12" t="s">
        <v>7174</v>
      </c>
      <c r="E6273" s="13" t="s">
        <v>7175</v>
      </c>
      <c r="F6273" s="12" t="s">
        <v>1026</v>
      </c>
      <c r="G6273" s="14">
        <v>8609.2800000000007</v>
      </c>
      <c r="H6273" s="12" t="s">
        <v>24</v>
      </c>
      <c r="I6273" s="12">
        <v>1</v>
      </c>
      <c r="J6273" s="12" t="s">
        <v>1026</v>
      </c>
      <c r="K6273" s="12" t="s">
        <v>408</v>
      </c>
      <c r="L6273" s="12">
        <v>0</v>
      </c>
      <c r="M6273" s="15">
        <v>754000</v>
      </c>
      <c r="N6273" s="15">
        <v>0</v>
      </c>
      <c r="O6273" s="15">
        <f t="shared" si="536"/>
        <v>754000</v>
      </c>
      <c r="P6273" s="15">
        <f t="shared" si="537"/>
        <v>87.57991376746952</v>
      </c>
      <c r="Q6273" s="14">
        <v>14000</v>
      </c>
      <c r="R6273" s="12">
        <v>61</v>
      </c>
      <c r="S6273" s="12" t="s">
        <v>7628</v>
      </c>
      <c r="T6273" s="12">
        <f t="shared" si="533"/>
        <v>2</v>
      </c>
      <c r="U6273" s="12">
        <f t="shared" si="534"/>
        <v>2023</v>
      </c>
      <c r="V6273" s="12" t="str">
        <f t="shared" si="535"/>
        <v>REGIONES</v>
      </c>
    </row>
    <row r="6274" spans="1:22" s="12" customFormat="1" x14ac:dyDescent="0.2">
      <c r="A6274" s="11" t="s">
        <v>7621</v>
      </c>
      <c r="B6274" s="12" t="s">
        <v>33</v>
      </c>
      <c r="C6274" s="12" t="s">
        <v>29</v>
      </c>
      <c r="D6274" s="12" t="s">
        <v>37</v>
      </c>
      <c r="E6274" s="13" t="s">
        <v>40</v>
      </c>
      <c r="F6274" s="12" t="s">
        <v>39</v>
      </c>
      <c r="G6274" s="14">
        <v>12475.8</v>
      </c>
      <c r="H6274" s="12" t="s">
        <v>22</v>
      </c>
      <c r="I6274" s="12">
        <v>0</v>
      </c>
      <c r="J6274" s="12" t="s">
        <v>39</v>
      </c>
      <c r="K6274" s="12" t="s">
        <v>23</v>
      </c>
      <c r="L6274" s="12">
        <v>1</v>
      </c>
      <c r="M6274" s="15">
        <v>137234</v>
      </c>
      <c r="N6274" s="15">
        <v>0</v>
      </c>
      <c r="O6274" s="15">
        <f t="shared" si="536"/>
        <v>137234</v>
      </c>
      <c r="P6274" s="15">
        <f t="shared" si="537"/>
        <v>11.000016031036086</v>
      </c>
      <c r="Q6274" s="14">
        <v>5000</v>
      </c>
      <c r="R6274" s="12">
        <v>100</v>
      </c>
      <c r="S6274" s="12" t="s">
        <v>7629</v>
      </c>
      <c r="T6274" s="12">
        <f t="shared" si="533"/>
        <v>2</v>
      </c>
      <c r="U6274" s="12">
        <f t="shared" si="534"/>
        <v>2023</v>
      </c>
      <c r="V6274" s="12" t="str">
        <f t="shared" si="535"/>
        <v>METROPOLITANA</v>
      </c>
    </row>
    <row r="6275" spans="1:22" s="12" customFormat="1" x14ac:dyDescent="0.2">
      <c r="A6275" s="11" t="s">
        <v>7621</v>
      </c>
      <c r="B6275" s="12" t="s">
        <v>33</v>
      </c>
      <c r="C6275" s="12" t="s">
        <v>29</v>
      </c>
      <c r="D6275" s="12" t="s">
        <v>164</v>
      </c>
      <c r="E6275" s="13" t="s">
        <v>1576</v>
      </c>
      <c r="F6275" s="12" t="s">
        <v>39</v>
      </c>
      <c r="G6275" s="14">
        <v>18553.650000000001</v>
      </c>
      <c r="H6275" s="12" t="s">
        <v>22</v>
      </c>
      <c r="I6275" s="12">
        <v>1</v>
      </c>
      <c r="J6275" s="12" t="s">
        <v>39</v>
      </c>
      <c r="K6275" s="12" t="s">
        <v>23</v>
      </c>
      <c r="L6275" s="12">
        <v>1</v>
      </c>
      <c r="M6275" s="15">
        <v>204090</v>
      </c>
      <c r="N6275" s="15">
        <v>0</v>
      </c>
      <c r="O6275" s="15">
        <f t="shared" si="536"/>
        <v>204090</v>
      </c>
      <c r="P6275" s="15">
        <f t="shared" si="537"/>
        <v>10.999991915337413</v>
      </c>
      <c r="Q6275" s="14">
        <v>5000</v>
      </c>
      <c r="R6275" s="12">
        <v>100</v>
      </c>
      <c r="S6275" s="12" t="s">
        <v>7630</v>
      </c>
      <c r="T6275" s="12">
        <f t="shared" si="533"/>
        <v>2</v>
      </c>
      <c r="U6275" s="12">
        <f t="shared" si="534"/>
        <v>2023</v>
      </c>
      <c r="V6275" s="12" t="str">
        <f t="shared" si="535"/>
        <v>METROPOLITANA</v>
      </c>
    </row>
    <row r="6276" spans="1:22" s="12" customFormat="1" x14ac:dyDescent="0.2">
      <c r="A6276" s="11" t="s">
        <v>7621</v>
      </c>
      <c r="B6276" s="12" t="s">
        <v>33</v>
      </c>
      <c r="C6276" s="12" t="s">
        <v>44</v>
      </c>
      <c r="D6276" s="12" t="s">
        <v>37</v>
      </c>
      <c r="E6276" s="13" t="s">
        <v>40</v>
      </c>
      <c r="F6276" s="12" t="s">
        <v>48</v>
      </c>
      <c r="G6276" s="14">
        <v>4986.68</v>
      </c>
      <c r="H6276" s="12" t="s">
        <v>22</v>
      </c>
      <c r="I6276" s="12">
        <v>0</v>
      </c>
      <c r="J6276" s="12" t="s">
        <v>48</v>
      </c>
      <c r="K6276" s="12" t="s">
        <v>23</v>
      </c>
      <c r="L6276" s="12">
        <v>1</v>
      </c>
      <c r="M6276" s="15">
        <v>69173</v>
      </c>
      <c r="N6276" s="15">
        <v>0</v>
      </c>
      <c r="O6276" s="15">
        <f t="shared" si="536"/>
        <v>69173</v>
      </c>
      <c r="P6276" s="15">
        <f t="shared" si="537"/>
        <v>13.871553819374814</v>
      </c>
      <c r="Q6276" s="14">
        <v>5000</v>
      </c>
      <c r="R6276" s="12">
        <v>100</v>
      </c>
      <c r="S6276" s="12" t="s">
        <v>7631</v>
      </c>
      <c r="T6276" s="12">
        <f t="shared" si="533"/>
        <v>2</v>
      </c>
      <c r="U6276" s="12">
        <f t="shared" si="534"/>
        <v>2023</v>
      </c>
      <c r="V6276" s="12" t="str">
        <f t="shared" si="535"/>
        <v>METROPOLITANA</v>
      </c>
    </row>
    <row r="6277" spans="1:22" s="12" customFormat="1" x14ac:dyDescent="0.2">
      <c r="A6277" s="11" t="s">
        <v>7621</v>
      </c>
      <c r="B6277" s="12" t="s">
        <v>33</v>
      </c>
      <c r="C6277" s="12" t="s">
        <v>44</v>
      </c>
      <c r="D6277" s="12" t="s">
        <v>45</v>
      </c>
      <c r="E6277" s="13" t="s">
        <v>21</v>
      </c>
      <c r="F6277" s="12" t="s">
        <v>51</v>
      </c>
      <c r="G6277" s="14">
        <v>2774.1</v>
      </c>
      <c r="H6277" s="12" t="s">
        <v>22</v>
      </c>
      <c r="I6277" s="12">
        <v>0</v>
      </c>
      <c r="J6277" s="12" t="s">
        <v>51</v>
      </c>
      <c r="K6277" s="12" t="s">
        <v>23</v>
      </c>
      <c r="L6277" s="12">
        <v>4</v>
      </c>
      <c r="M6277" s="15">
        <v>69173</v>
      </c>
      <c r="N6277" s="15">
        <v>0</v>
      </c>
      <c r="O6277" s="15">
        <f t="shared" si="536"/>
        <v>69173</v>
      </c>
      <c r="P6277" s="15">
        <f t="shared" si="537"/>
        <v>24.935294329692514</v>
      </c>
      <c r="Q6277" s="14">
        <v>5000</v>
      </c>
      <c r="R6277" s="12">
        <v>55</v>
      </c>
      <c r="S6277" s="12" t="s">
        <v>7632</v>
      </c>
      <c r="T6277" s="12">
        <f t="shared" si="533"/>
        <v>2</v>
      </c>
      <c r="U6277" s="12">
        <f t="shared" si="534"/>
        <v>2023</v>
      </c>
      <c r="V6277" s="12" t="str">
        <f t="shared" si="535"/>
        <v>METROPOLITANA</v>
      </c>
    </row>
    <row r="6278" spans="1:22" s="12" customFormat="1" x14ac:dyDescent="0.2">
      <c r="A6278" s="11" t="s">
        <v>7621</v>
      </c>
      <c r="B6278" s="12" t="s">
        <v>33</v>
      </c>
      <c r="C6278" s="12" t="s">
        <v>44</v>
      </c>
      <c r="D6278" s="12" t="s">
        <v>20</v>
      </c>
      <c r="E6278" s="13" t="s">
        <v>21</v>
      </c>
      <c r="F6278" s="12" t="s">
        <v>182</v>
      </c>
      <c r="G6278" s="14">
        <v>2498.58</v>
      </c>
      <c r="H6278" s="12" t="s">
        <v>22</v>
      </c>
      <c r="I6278" s="12">
        <v>0</v>
      </c>
      <c r="J6278" s="12" t="s">
        <v>182</v>
      </c>
      <c r="K6278" s="12" t="s">
        <v>23</v>
      </c>
      <c r="L6278" s="12">
        <v>4</v>
      </c>
      <c r="M6278" s="15">
        <v>69173</v>
      </c>
      <c r="N6278" s="15">
        <v>0</v>
      </c>
      <c r="O6278" s="15">
        <f t="shared" si="536"/>
        <v>69173</v>
      </c>
      <c r="P6278" s="15">
        <f t="shared" si="537"/>
        <v>27.684925037421255</v>
      </c>
      <c r="Q6278" s="14">
        <v>5000</v>
      </c>
      <c r="R6278" s="12">
        <v>50</v>
      </c>
      <c r="S6278" s="12" t="s">
        <v>7633</v>
      </c>
      <c r="T6278" s="12">
        <f t="shared" si="533"/>
        <v>2</v>
      </c>
      <c r="U6278" s="12">
        <f t="shared" si="534"/>
        <v>2023</v>
      </c>
      <c r="V6278" s="12" t="str">
        <f t="shared" si="535"/>
        <v>METROPOLITANA</v>
      </c>
    </row>
    <row r="6279" spans="1:22" x14ac:dyDescent="0.2">
      <c r="A6279" s="23" t="s">
        <v>7634</v>
      </c>
      <c r="B6279" s="22" t="s">
        <v>33</v>
      </c>
      <c r="C6279" s="22" t="s">
        <v>7596</v>
      </c>
      <c r="D6279" s="22" t="s">
        <v>20</v>
      </c>
      <c r="E6279" s="24" t="s">
        <v>21</v>
      </c>
      <c r="F6279" s="22" t="s">
        <v>129</v>
      </c>
      <c r="G6279" s="25">
        <v>3451</v>
      </c>
      <c r="H6279" s="22" t="s">
        <v>22</v>
      </c>
      <c r="I6279" s="22">
        <v>0</v>
      </c>
      <c r="J6279" s="22" t="s">
        <v>129</v>
      </c>
      <c r="K6279" s="22" t="s">
        <v>23</v>
      </c>
      <c r="L6279" s="22">
        <v>1</v>
      </c>
      <c r="M6279" s="26">
        <v>69173</v>
      </c>
      <c r="N6279" s="26">
        <v>0</v>
      </c>
      <c r="O6279" s="15">
        <f t="shared" si="536"/>
        <v>69173</v>
      </c>
      <c r="P6279" s="15">
        <f t="shared" si="537"/>
        <v>20.044334975369459</v>
      </c>
      <c r="Q6279" s="25">
        <v>5000</v>
      </c>
      <c r="R6279" s="22">
        <v>69</v>
      </c>
      <c r="S6279" s="22" t="s">
        <v>7635</v>
      </c>
      <c r="T6279" s="22">
        <f t="shared" ref="T6279:T6342" si="538">MONTH(A6279)</f>
        <v>2</v>
      </c>
      <c r="U6279" s="22">
        <f t="shared" ref="U6279:U6342" si="539">YEAR(A6279)</f>
        <v>2023</v>
      </c>
      <c r="V6279" s="22" t="str">
        <f t="shared" ref="V6279:V6342" si="540">IF(K6279="METROPOLITANA DE SANTIAGO","METROPOLITANA","REGIONES")</f>
        <v>METROPOLITANA</v>
      </c>
    </row>
    <row r="6280" spans="1:22" x14ac:dyDescent="0.2">
      <c r="A6280" s="23" t="s">
        <v>7634</v>
      </c>
      <c r="B6280" s="22" t="s">
        <v>33</v>
      </c>
      <c r="C6280" s="22" t="s">
        <v>128</v>
      </c>
      <c r="D6280" s="22" t="s">
        <v>2955</v>
      </c>
      <c r="E6280" s="24" t="s">
        <v>64</v>
      </c>
      <c r="F6280" s="22" t="s">
        <v>34</v>
      </c>
      <c r="G6280" s="25">
        <v>11247.400000000011</v>
      </c>
      <c r="H6280" s="22" t="s">
        <v>24</v>
      </c>
      <c r="I6280" s="22">
        <v>1</v>
      </c>
      <c r="J6280" s="22" t="s">
        <v>34</v>
      </c>
      <c r="K6280" s="22" t="s">
        <v>23</v>
      </c>
      <c r="L6280" s="22">
        <v>1</v>
      </c>
      <c r="M6280" s="26">
        <v>123721</v>
      </c>
      <c r="N6280" s="26">
        <v>0</v>
      </c>
      <c r="O6280" s="15">
        <f t="shared" si="536"/>
        <v>123721</v>
      </c>
      <c r="P6280" s="15">
        <f t="shared" si="537"/>
        <v>10.99996443622525</v>
      </c>
      <c r="Q6280" s="25">
        <v>5000</v>
      </c>
      <c r="R6280" s="22">
        <v>100</v>
      </c>
      <c r="S6280" s="22" t="s">
        <v>7636</v>
      </c>
      <c r="T6280" s="22">
        <f t="shared" si="538"/>
        <v>2</v>
      </c>
      <c r="U6280" s="22">
        <f t="shared" si="539"/>
        <v>2023</v>
      </c>
      <c r="V6280" s="22" t="str">
        <f t="shared" si="540"/>
        <v>METROPOLITANA</v>
      </c>
    </row>
    <row r="6281" spans="1:22" x14ac:dyDescent="0.2">
      <c r="A6281" s="23" t="s">
        <v>7634</v>
      </c>
      <c r="B6281" s="22" t="s">
        <v>33</v>
      </c>
      <c r="C6281" s="22" t="s">
        <v>128</v>
      </c>
      <c r="D6281" s="22" t="s">
        <v>20</v>
      </c>
      <c r="E6281" s="24" t="s">
        <v>21</v>
      </c>
      <c r="F6281" s="22" t="s">
        <v>89</v>
      </c>
      <c r="G6281" s="25">
        <v>2251.1999999999998</v>
      </c>
      <c r="H6281" s="22" t="s">
        <v>22</v>
      </c>
      <c r="I6281" s="22">
        <v>0</v>
      </c>
      <c r="J6281" s="22" t="s">
        <v>89</v>
      </c>
      <c r="K6281" s="22" t="s">
        <v>23</v>
      </c>
      <c r="L6281" s="22">
        <v>5</v>
      </c>
      <c r="M6281" s="26">
        <v>112500</v>
      </c>
      <c r="N6281" s="26">
        <v>0</v>
      </c>
      <c r="O6281" s="15">
        <f t="shared" si="536"/>
        <v>112500</v>
      </c>
      <c r="P6281" s="15">
        <f t="shared" si="537"/>
        <v>49.97334754797442</v>
      </c>
      <c r="Q6281" s="25">
        <v>10000</v>
      </c>
      <c r="R6281" s="22">
        <v>23</v>
      </c>
      <c r="S6281" s="22" t="s">
        <v>7637</v>
      </c>
      <c r="T6281" s="22">
        <f t="shared" si="538"/>
        <v>2</v>
      </c>
      <c r="U6281" s="22">
        <f t="shared" si="539"/>
        <v>2023</v>
      </c>
      <c r="V6281" s="22" t="str">
        <f t="shared" si="540"/>
        <v>METROPOLITANA</v>
      </c>
    </row>
    <row r="6282" spans="1:22" x14ac:dyDescent="0.2">
      <c r="A6282" s="23" t="s">
        <v>7634</v>
      </c>
      <c r="B6282" s="22" t="s">
        <v>33</v>
      </c>
      <c r="C6282" s="22" t="s">
        <v>36</v>
      </c>
      <c r="D6282" s="22" t="s">
        <v>37</v>
      </c>
      <c r="E6282" s="24" t="s">
        <v>40</v>
      </c>
      <c r="F6282" s="22" t="s">
        <v>170</v>
      </c>
      <c r="G6282" s="25">
        <v>3335.6000000000008</v>
      </c>
      <c r="H6282" s="22" t="s">
        <v>22</v>
      </c>
      <c r="I6282" s="22">
        <v>0</v>
      </c>
      <c r="J6282" s="22" t="s">
        <v>170</v>
      </c>
      <c r="K6282" s="22" t="s">
        <v>171</v>
      </c>
      <c r="L6282" s="22">
        <v>0</v>
      </c>
      <c r="M6282" s="26">
        <v>226400</v>
      </c>
      <c r="N6282" s="26">
        <v>0</v>
      </c>
      <c r="O6282" s="15">
        <f t="shared" si="536"/>
        <v>226400</v>
      </c>
      <c r="P6282" s="15">
        <f t="shared" si="537"/>
        <v>67.873845784866276</v>
      </c>
      <c r="Q6282" s="25">
        <v>14000</v>
      </c>
      <c r="R6282" s="22">
        <v>24</v>
      </c>
      <c r="S6282" s="22" t="s">
        <v>7638</v>
      </c>
      <c r="T6282" s="22">
        <f t="shared" si="538"/>
        <v>2</v>
      </c>
      <c r="U6282" s="22">
        <f t="shared" si="539"/>
        <v>2023</v>
      </c>
      <c r="V6282" s="22" t="str">
        <f t="shared" si="540"/>
        <v>REGIONES</v>
      </c>
    </row>
    <row r="6283" spans="1:22" x14ac:dyDescent="0.2">
      <c r="A6283" s="23" t="s">
        <v>7634</v>
      </c>
      <c r="B6283" s="22" t="s">
        <v>33</v>
      </c>
      <c r="C6283" s="22" t="s">
        <v>29</v>
      </c>
      <c r="D6283" s="22" t="s">
        <v>38</v>
      </c>
      <c r="E6283" s="24" t="s">
        <v>25</v>
      </c>
      <c r="F6283" s="22" t="s">
        <v>134</v>
      </c>
      <c r="G6283" s="25">
        <v>8671.8999999999978</v>
      </c>
      <c r="H6283" s="22" t="s">
        <v>43</v>
      </c>
      <c r="I6283" s="22">
        <v>0</v>
      </c>
      <c r="J6283" s="22" t="s">
        <v>134</v>
      </c>
      <c r="K6283" s="22" t="s">
        <v>23</v>
      </c>
      <c r="L6283" s="22">
        <v>2</v>
      </c>
      <c r="M6283" s="26">
        <v>95391</v>
      </c>
      <c r="N6283" s="26">
        <v>0</v>
      </c>
      <c r="O6283" s="15">
        <f t="shared" si="536"/>
        <v>95391</v>
      </c>
      <c r="P6283" s="15">
        <f t="shared" si="537"/>
        <v>11.00001153149829</v>
      </c>
      <c r="Q6283" s="25">
        <v>5000</v>
      </c>
      <c r="R6283" s="22">
        <v>100</v>
      </c>
      <c r="S6283" s="22" t="s">
        <v>7639</v>
      </c>
      <c r="T6283" s="22">
        <f t="shared" si="538"/>
        <v>2</v>
      </c>
      <c r="U6283" s="22">
        <f t="shared" si="539"/>
        <v>2023</v>
      </c>
      <c r="V6283" s="22" t="str">
        <f t="shared" si="540"/>
        <v>METROPOLITANA</v>
      </c>
    </row>
    <row r="6284" spans="1:22" x14ac:dyDescent="0.2">
      <c r="A6284" s="23" t="s">
        <v>7634</v>
      </c>
      <c r="B6284" s="22" t="s">
        <v>33</v>
      </c>
      <c r="C6284" s="22" t="s">
        <v>44</v>
      </c>
      <c r="D6284" s="22" t="s">
        <v>1869</v>
      </c>
      <c r="E6284" s="24" t="s">
        <v>1870</v>
      </c>
      <c r="F6284" s="22" t="s">
        <v>876</v>
      </c>
      <c r="G6284" s="25">
        <f>3018.42+2522</f>
        <v>5540.42</v>
      </c>
      <c r="H6284" s="22" t="s">
        <v>24</v>
      </c>
      <c r="I6284" s="22">
        <v>1</v>
      </c>
      <c r="J6284" s="22" t="s">
        <v>876</v>
      </c>
      <c r="K6284" s="22" t="s">
        <v>86</v>
      </c>
      <c r="L6284" s="22">
        <v>0</v>
      </c>
      <c r="M6284" s="26">
        <v>437500</v>
      </c>
      <c r="N6284" s="26">
        <v>0</v>
      </c>
      <c r="O6284" s="15">
        <f t="shared" si="536"/>
        <v>437500</v>
      </c>
      <c r="P6284" s="15">
        <f t="shared" si="537"/>
        <v>78.965132607275265</v>
      </c>
      <c r="Q6284" s="25">
        <v>14000</v>
      </c>
      <c r="R6284" s="22">
        <v>55</v>
      </c>
      <c r="S6284" s="22" t="s">
        <v>7650</v>
      </c>
      <c r="T6284" s="22">
        <f t="shared" si="538"/>
        <v>2</v>
      </c>
      <c r="U6284" s="22">
        <f t="shared" si="539"/>
        <v>2023</v>
      </c>
      <c r="V6284" s="22" t="str">
        <f t="shared" si="540"/>
        <v>REGIONES</v>
      </c>
    </row>
    <row r="6285" spans="1:22" x14ac:dyDescent="0.2">
      <c r="A6285" s="23" t="s">
        <v>7634</v>
      </c>
      <c r="B6285" s="22" t="s">
        <v>33</v>
      </c>
      <c r="C6285" s="22" t="s">
        <v>44</v>
      </c>
      <c r="D6285" s="22" t="s">
        <v>7075</v>
      </c>
      <c r="E6285" s="24" t="s">
        <v>7076</v>
      </c>
      <c r="F6285" s="22" t="s">
        <v>66</v>
      </c>
      <c r="G6285" s="25">
        <v>14460.29999999999</v>
      </c>
      <c r="H6285" s="22" t="s">
        <v>24</v>
      </c>
      <c r="I6285" s="22">
        <v>1</v>
      </c>
      <c r="J6285" s="22" t="s">
        <v>66</v>
      </c>
      <c r="K6285" s="22" t="s">
        <v>75</v>
      </c>
      <c r="L6285" s="22">
        <v>0</v>
      </c>
      <c r="M6285" s="26">
        <v>506000</v>
      </c>
      <c r="N6285" s="26">
        <v>0</v>
      </c>
      <c r="O6285" s="15">
        <f t="shared" si="536"/>
        <v>506000</v>
      </c>
      <c r="P6285" s="15">
        <f t="shared" si="537"/>
        <v>34.992358388138584</v>
      </c>
      <c r="Q6285" s="25">
        <v>14000</v>
      </c>
      <c r="R6285" s="22">
        <v>100</v>
      </c>
      <c r="S6285" s="22" t="s">
        <v>7640</v>
      </c>
      <c r="T6285" s="22">
        <f t="shared" si="538"/>
        <v>2</v>
      </c>
      <c r="U6285" s="22">
        <f t="shared" si="539"/>
        <v>2023</v>
      </c>
      <c r="V6285" s="22" t="str">
        <f t="shared" si="540"/>
        <v>REGIONES</v>
      </c>
    </row>
    <row r="6286" spans="1:22" x14ac:dyDescent="0.2">
      <c r="A6286" s="23" t="s">
        <v>7634</v>
      </c>
      <c r="B6286" s="22" t="s">
        <v>33</v>
      </c>
      <c r="C6286" s="22" t="s">
        <v>44</v>
      </c>
      <c r="D6286" s="22" t="s">
        <v>45</v>
      </c>
      <c r="E6286" s="24" t="s">
        <v>1576</v>
      </c>
      <c r="F6286" s="22" t="s">
        <v>26</v>
      </c>
      <c r="G6286" s="25">
        <v>2600.7399999999998</v>
      </c>
      <c r="H6286" s="22" t="s">
        <v>22</v>
      </c>
      <c r="I6286" s="22">
        <v>0</v>
      </c>
      <c r="J6286" s="22" t="s">
        <v>26</v>
      </c>
      <c r="K6286" s="22" t="s">
        <v>23</v>
      </c>
      <c r="L6286" s="22">
        <v>4</v>
      </c>
      <c r="M6286" s="26">
        <v>69173</v>
      </c>
      <c r="N6286" s="26">
        <v>0</v>
      </c>
      <c r="O6286" s="15">
        <f t="shared" si="536"/>
        <v>69173</v>
      </c>
      <c r="P6286" s="15">
        <f t="shared" si="537"/>
        <v>26.597429962241517</v>
      </c>
      <c r="Q6286" s="25">
        <v>5000</v>
      </c>
      <c r="R6286" s="22">
        <v>52</v>
      </c>
      <c r="S6286" s="22" t="s">
        <v>7641</v>
      </c>
      <c r="T6286" s="22">
        <f t="shared" si="538"/>
        <v>2</v>
      </c>
      <c r="U6286" s="22">
        <f t="shared" si="539"/>
        <v>2023</v>
      </c>
      <c r="V6286" s="22" t="str">
        <f t="shared" si="540"/>
        <v>METROPOLITANA</v>
      </c>
    </row>
    <row r="6287" spans="1:22" x14ac:dyDescent="0.2">
      <c r="A6287" s="23" t="s">
        <v>7634</v>
      </c>
      <c r="B6287" s="22" t="s">
        <v>33</v>
      </c>
      <c r="C6287" s="22" t="s">
        <v>44</v>
      </c>
      <c r="D6287" s="22" t="s">
        <v>20</v>
      </c>
      <c r="E6287" s="24" t="s">
        <v>21</v>
      </c>
      <c r="F6287" s="22" t="s">
        <v>34</v>
      </c>
      <c r="G6287" s="25">
        <v>2607.84</v>
      </c>
      <c r="H6287" s="22" t="s">
        <v>22</v>
      </c>
      <c r="I6287" s="22">
        <v>0</v>
      </c>
      <c r="J6287" s="22" t="s">
        <v>34</v>
      </c>
      <c r="K6287" s="22" t="s">
        <v>23</v>
      </c>
      <c r="L6287" s="22">
        <v>1</v>
      </c>
      <c r="M6287" s="26">
        <v>69173</v>
      </c>
      <c r="N6287" s="26">
        <v>0</v>
      </c>
      <c r="O6287" s="15">
        <f t="shared" si="536"/>
        <v>69173</v>
      </c>
      <c r="P6287" s="15">
        <f t="shared" si="537"/>
        <v>26.525016872200748</v>
      </c>
      <c r="Q6287" s="25">
        <v>5000</v>
      </c>
      <c r="R6287" s="22">
        <v>52</v>
      </c>
      <c r="S6287" s="22" t="s">
        <v>7642</v>
      </c>
      <c r="T6287" s="22">
        <f t="shared" si="538"/>
        <v>2</v>
      </c>
      <c r="U6287" s="22">
        <f t="shared" si="539"/>
        <v>2023</v>
      </c>
      <c r="V6287" s="22" t="str">
        <f t="shared" si="540"/>
        <v>METROPOLITANA</v>
      </c>
    </row>
    <row r="6288" spans="1:22" s="12" customFormat="1" x14ac:dyDescent="0.2">
      <c r="A6288" s="11" t="s">
        <v>7643</v>
      </c>
      <c r="B6288" s="12" t="s">
        <v>18</v>
      </c>
      <c r="C6288" s="12" t="s">
        <v>2431</v>
      </c>
      <c r="D6288" s="12" t="s">
        <v>164</v>
      </c>
      <c r="E6288" s="13" t="s">
        <v>1576</v>
      </c>
      <c r="F6288" s="12" t="s">
        <v>66</v>
      </c>
      <c r="G6288" s="14">
        <v>18200</v>
      </c>
      <c r="H6288" s="12" t="s">
        <v>22</v>
      </c>
      <c r="I6288" s="12">
        <v>1</v>
      </c>
      <c r="J6288" s="12" t="s">
        <v>66</v>
      </c>
      <c r="K6288" s="12" t="s">
        <v>75</v>
      </c>
      <c r="L6288" s="12">
        <v>0</v>
      </c>
      <c r="M6288" s="15">
        <v>506000</v>
      </c>
      <c r="N6288" s="15">
        <v>0</v>
      </c>
      <c r="O6288" s="15">
        <f t="shared" si="536"/>
        <v>506000</v>
      </c>
      <c r="P6288" s="15">
        <f t="shared" si="537"/>
        <v>27.802197802197803</v>
      </c>
      <c r="Q6288" s="14">
        <v>14000</v>
      </c>
      <c r="R6288" s="12">
        <v>100</v>
      </c>
      <c r="S6288" s="12" t="s">
        <v>7644</v>
      </c>
      <c r="T6288" s="12">
        <f t="shared" si="538"/>
        <v>2</v>
      </c>
      <c r="U6288" s="12">
        <f t="shared" si="539"/>
        <v>2023</v>
      </c>
      <c r="V6288" s="12" t="str">
        <f t="shared" si="540"/>
        <v>REGIONES</v>
      </c>
    </row>
    <row r="6289" spans="1:22" s="12" customFormat="1" x14ac:dyDescent="0.2">
      <c r="A6289" s="11" t="s">
        <v>7643</v>
      </c>
      <c r="B6289" s="12" t="s">
        <v>33</v>
      </c>
      <c r="C6289" s="12" t="s">
        <v>7596</v>
      </c>
      <c r="D6289" s="12" t="s">
        <v>38</v>
      </c>
      <c r="E6289" s="13" t="s">
        <v>25</v>
      </c>
      <c r="F6289" s="12" t="s">
        <v>129</v>
      </c>
      <c r="G6289" s="14">
        <v>6901.9999999999991</v>
      </c>
      <c r="H6289" s="12" t="s">
        <v>43</v>
      </c>
      <c r="I6289" s="12">
        <v>0</v>
      </c>
      <c r="J6289" s="12" t="s">
        <v>129</v>
      </c>
      <c r="K6289" s="12" t="s">
        <v>23</v>
      </c>
      <c r="L6289" s="12">
        <v>1</v>
      </c>
      <c r="M6289" s="15">
        <v>75922</v>
      </c>
      <c r="N6289" s="15">
        <v>0</v>
      </c>
      <c r="O6289" s="15">
        <f t="shared" si="536"/>
        <v>75922</v>
      </c>
      <c r="P6289" s="15">
        <f t="shared" si="537"/>
        <v>11.000000000000002</v>
      </c>
      <c r="Q6289" s="14">
        <v>5000</v>
      </c>
      <c r="R6289" s="12">
        <v>100</v>
      </c>
      <c r="S6289" s="12" t="s">
        <v>7645</v>
      </c>
      <c r="T6289" s="12">
        <f t="shared" si="538"/>
        <v>2</v>
      </c>
      <c r="U6289" s="12">
        <f t="shared" si="539"/>
        <v>2023</v>
      </c>
      <c r="V6289" s="12" t="str">
        <f t="shared" si="540"/>
        <v>METROPOLITANA</v>
      </c>
    </row>
    <row r="6290" spans="1:22" s="12" customFormat="1" x14ac:dyDescent="0.2">
      <c r="A6290" s="11" t="s">
        <v>7643</v>
      </c>
      <c r="B6290" s="12" t="s">
        <v>33</v>
      </c>
      <c r="C6290" s="12" t="s">
        <v>29</v>
      </c>
      <c r="D6290" s="12" t="s">
        <v>1170</v>
      </c>
      <c r="E6290" s="13" t="s">
        <v>7646</v>
      </c>
      <c r="F6290" s="12" t="s">
        <v>114</v>
      </c>
      <c r="G6290" s="14">
        <v>12074.96</v>
      </c>
      <c r="H6290" s="12" t="s">
        <v>24</v>
      </c>
      <c r="I6290" s="12">
        <v>1</v>
      </c>
      <c r="J6290" s="12" t="s">
        <v>114</v>
      </c>
      <c r="K6290" s="12" t="s">
        <v>75</v>
      </c>
      <c r="L6290" s="12">
        <v>0</v>
      </c>
      <c r="M6290" s="15">
        <v>528000</v>
      </c>
      <c r="N6290" s="15">
        <v>0</v>
      </c>
      <c r="O6290" s="15">
        <f t="shared" si="536"/>
        <v>528000</v>
      </c>
      <c r="P6290" s="15">
        <f t="shared" si="537"/>
        <v>43.72685292539272</v>
      </c>
      <c r="Q6290" s="14">
        <v>14000</v>
      </c>
      <c r="R6290" s="12">
        <v>86</v>
      </c>
      <c r="S6290" s="12" t="s">
        <v>7647</v>
      </c>
      <c r="T6290" s="12">
        <f t="shared" si="538"/>
        <v>2</v>
      </c>
      <c r="U6290" s="12">
        <f t="shared" si="539"/>
        <v>2023</v>
      </c>
      <c r="V6290" s="12" t="str">
        <f t="shared" si="540"/>
        <v>REGIONES</v>
      </c>
    </row>
    <row r="6291" spans="1:22" s="12" customFormat="1" x14ac:dyDescent="0.2">
      <c r="A6291" s="11" t="s">
        <v>7643</v>
      </c>
      <c r="B6291" s="12" t="s">
        <v>33</v>
      </c>
      <c r="C6291" s="12" t="s">
        <v>44</v>
      </c>
      <c r="D6291" s="12" t="s">
        <v>37</v>
      </c>
      <c r="E6291" s="13" t="s">
        <v>40</v>
      </c>
      <c r="F6291" s="12" t="s">
        <v>48</v>
      </c>
      <c r="G6291" s="14">
        <v>6525.7999999999984</v>
      </c>
      <c r="H6291" s="12" t="s">
        <v>22</v>
      </c>
      <c r="I6291" s="12">
        <v>0</v>
      </c>
      <c r="J6291" s="12" t="s">
        <v>48</v>
      </c>
      <c r="K6291" s="12" t="s">
        <v>23</v>
      </c>
      <c r="L6291" s="12">
        <v>1</v>
      </c>
      <c r="M6291" s="15">
        <v>71784</v>
      </c>
      <c r="N6291" s="15">
        <v>0</v>
      </c>
      <c r="O6291" s="15">
        <f t="shared" si="536"/>
        <v>71784</v>
      </c>
      <c r="P6291" s="15">
        <f t="shared" si="537"/>
        <v>11.00003064758344</v>
      </c>
      <c r="Q6291" s="14">
        <v>5000</v>
      </c>
      <c r="R6291" s="12">
        <v>100</v>
      </c>
      <c r="S6291" s="12" t="s">
        <v>7648</v>
      </c>
      <c r="T6291" s="12">
        <f t="shared" si="538"/>
        <v>2</v>
      </c>
      <c r="U6291" s="12">
        <f t="shared" si="539"/>
        <v>2023</v>
      </c>
      <c r="V6291" s="12" t="str">
        <f t="shared" si="540"/>
        <v>METROPOLITANA</v>
      </c>
    </row>
    <row r="6292" spans="1:22" x14ac:dyDescent="0.2">
      <c r="A6292" s="23" t="s">
        <v>7651</v>
      </c>
      <c r="B6292" s="22" t="s">
        <v>18</v>
      </c>
      <c r="C6292" s="22" t="s">
        <v>2431</v>
      </c>
      <c r="D6292" s="22" t="s">
        <v>786</v>
      </c>
      <c r="E6292" s="24" t="s">
        <v>787</v>
      </c>
      <c r="F6292" s="22" t="s">
        <v>66</v>
      </c>
      <c r="G6292" s="25">
        <v>17745</v>
      </c>
      <c r="H6292" s="22" t="s">
        <v>788</v>
      </c>
      <c r="I6292" s="22">
        <v>1</v>
      </c>
      <c r="J6292" s="22" t="s">
        <v>66</v>
      </c>
      <c r="K6292" s="22" t="s">
        <v>75</v>
      </c>
      <c r="L6292" s="22">
        <v>0</v>
      </c>
      <c r="M6292" s="26">
        <v>506000</v>
      </c>
      <c r="N6292" s="26">
        <v>0</v>
      </c>
      <c r="O6292" s="15">
        <f t="shared" si="536"/>
        <v>506000</v>
      </c>
      <c r="P6292" s="15">
        <f t="shared" si="537"/>
        <v>28.515074668920821</v>
      </c>
      <c r="Q6292" s="25">
        <v>14000</v>
      </c>
      <c r="R6292" s="22">
        <v>100</v>
      </c>
      <c r="S6292" s="22" t="s">
        <v>7652</v>
      </c>
      <c r="T6292" s="22">
        <f t="shared" si="538"/>
        <v>2</v>
      </c>
      <c r="U6292" s="22">
        <f t="shared" si="539"/>
        <v>2023</v>
      </c>
      <c r="V6292" s="22" t="str">
        <f t="shared" si="540"/>
        <v>REGIONES</v>
      </c>
    </row>
    <row r="6293" spans="1:22" x14ac:dyDescent="0.2">
      <c r="A6293" s="23" t="s">
        <v>7651</v>
      </c>
      <c r="B6293" s="22" t="s">
        <v>18</v>
      </c>
      <c r="C6293" s="22" t="s">
        <v>57</v>
      </c>
      <c r="D6293" s="22" t="s">
        <v>37</v>
      </c>
      <c r="E6293" s="24" t="s">
        <v>40</v>
      </c>
      <c r="F6293" s="22" t="s">
        <v>58</v>
      </c>
      <c r="G6293" s="25">
        <v>3469.5</v>
      </c>
      <c r="H6293" s="22" t="s">
        <v>22</v>
      </c>
      <c r="I6293" s="22">
        <v>0</v>
      </c>
      <c r="J6293" s="22" t="s">
        <v>58</v>
      </c>
      <c r="K6293" s="22" t="s">
        <v>23</v>
      </c>
      <c r="L6293" s="22">
        <v>5</v>
      </c>
      <c r="M6293" s="26">
        <v>87500</v>
      </c>
      <c r="N6293" s="26">
        <v>0</v>
      </c>
      <c r="O6293" s="15">
        <f t="shared" si="536"/>
        <v>87500</v>
      </c>
      <c r="P6293" s="15">
        <f t="shared" si="537"/>
        <v>25.219772301484365</v>
      </c>
      <c r="Q6293" s="25">
        <v>10000</v>
      </c>
      <c r="R6293" s="22">
        <v>35</v>
      </c>
      <c r="S6293" s="22" t="s">
        <v>7653</v>
      </c>
      <c r="T6293" s="22">
        <f t="shared" si="538"/>
        <v>2</v>
      </c>
      <c r="U6293" s="22">
        <f t="shared" si="539"/>
        <v>2023</v>
      </c>
      <c r="V6293" s="22" t="str">
        <f t="shared" si="540"/>
        <v>METROPOLITANA</v>
      </c>
    </row>
    <row r="6294" spans="1:22" x14ac:dyDescent="0.2">
      <c r="A6294" s="23" t="s">
        <v>7651</v>
      </c>
      <c r="B6294" s="22" t="s">
        <v>18</v>
      </c>
      <c r="C6294" s="22" t="s">
        <v>57</v>
      </c>
      <c r="D6294" s="22" t="s">
        <v>164</v>
      </c>
      <c r="E6294" s="24" t="s">
        <v>1576</v>
      </c>
      <c r="F6294" s="22" t="s">
        <v>58</v>
      </c>
      <c r="G6294" s="25">
        <v>13668.67</v>
      </c>
      <c r="H6294" s="22" t="s">
        <v>22</v>
      </c>
      <c r="I6294" s="22">
        <v>1</v>
      </c>
      <c r="J6294" s="22" t="s">
        <v>58</v>
      </c>
      <c r="K6294" s="22" t="s">
        <v>23</v>
      </c>
      <c r="L6294" s="22">
        <v>5</v>
      </c>
      <c r="M6294" s="26">
        <v>187000</v>
      </c>
      <c r="N6294" s="26">
        <v>0</v>
      </c>
      <c r="O6294" s="15">
        <f t="shared" si="536"/>
        <v>187000</v>
      </c>
      <c r="P6294" s="15">
        <f t="shared" si="537"/>
        <v>13.680921406398721</v>
      </c>
      <c r="Q6294" s="25">
        <v>10000</v>
      </c>
      <c r="R6294" s="22">
        <v>100</v>
      </c>
      <c r="S6294" s="22" t="s">
        <v>7654</v>
      </c>
      <c r="T6294" s="22">
        <f t="shared" si="538"/>
        <v>2</v>
      </c>
      <c r="U6294" s="22">
        <f t="shared" si="539"/>
        <v>2023</v>
      </c>
      <c r="V6294" s="22" t="str">
        <f t="shared" si="540"/>
        <v>METROPOLITANA</v>
      </c>
    </row>
    <row r="6295" spans="1:22" x14ac:dyDescent="0.2">
      <c r="A6295" s="23" t="s">
        <v>7651</v>
      </c>
      <c r="B6295" s="22" t="s">
        <v>33</v>
      </c>
      <c r="C6295" s="22" t="s">
        <v>36</v>
      </c>
      <c r="D6295" s="22" t="s">
        <v>2612</v>
      </c>
      <c r="E6295" s="24" t="s">
        <v>6370</v>
      </c>
      <c r="F6295" s="22" t="s">
        <v>92</v>
      </c>
      <c r="G6295" s="25">
        <f>4576+3545</f>
        <v>8121</v>
      </c>
      <c r="H6295" s="22" t="s">
        <v>24</v>
      </c>
      <c r="I6295" s="22">
        <v>1</v>
      </c>
      <c r="J6295" s="22" t="s">
        <v>92</v>
      </c>
      <c r="K6295" s="22" t="s">
        <v>93</v>
      </c>
      <c r="L6295" s="22">
        <v>0</v>
      </c>
      <c r="M6295" s="26">
        <v>779000</v>
      </c>
      <c r="N6295" s="26">
        <v>0</v>
      </c>
      <c r="O6295" s="15">
        <f t="shared" si="536"/>
        <v>779000</v>
      </c>
      <c r="P6295" s="15">
        <f t="shared" si="537"/>
        <v>95.92414727250339</v>
      </c>
      <c r="Q6295" s="25">
        <v>14000</v>
      </c>
      <c r="R6295" s="22">
        <v>65</v>
      </c>
      <c r="S6295" s="22" t="s">
        <v>7662</v>
      </c>
      <c r="T6295" s="22">
        <f t="shared" si="538"/>
        <v>2</v>
      </c>
      <c r="U6295" s="22">
        <f t="shared" si="539"/>
        <v>2023</v>
      </c>
      <c r="V6295" s="22" t="str">
        <f t="shared" si="540"/>
        <v>REGIONES</v>
      </c>
    </row>
    <row r="6296" spans="1:22" x14ac:dyDescent="0.2">
      <c r="A6296" s="23" t="s">
        <v>7651</v>
      </c>
      <c r="B6296" s="22" t="s">
        <v>33</v>
      </c>
      <c r="C6296" s="22" t="s">
        <v>29</v>
      </c>
      <c r="D6296" s="22" t="s">
        <v>38</v>
      </c>
      <c r="E6296" s="24" t="s">
        <v>42</v>
      </c>
      <c r="F6296" s="22" t="s">
        <v>39</v>
      </c>
      <c r="G6296" s="25">
        <v>11398.999999999991</v>
      </c>
      <c r="H6296" s="22" t="s">
        <v>43</v>
      </c>
      <c r="I6296" s="22">
        <v>0</v>
      </c>
      <c r="J6296" s="22" t="s">
        <v>39</v>
      </c>
      <c r="K6296" s="22" t="s">
        <v>23</v>
      </c>
      <c r="L6296" s="22">
        <v>1</v>
      </c>
      <c r="M6296" s="26">
        <v>125389</v>
      </c>
      <c r="N6296" s="26">
        <v>0</v>
      </c>
      <c r="O6296" s="15">
        <f t="shared" si="536"/>
        <v>125389</v>
      </c>
      <c r="P6296" s="15">
        <f t="shared" si="537"/>
        <v>11.000000000000009</v>
      </c>
      <c r="Q6296" s="25">
        <v>5000</v>
      </c>
      <c r="R6296" s="22">
        <v>100</v>
      </c>
      <c r="S6296" s="22" t="s">
        <v>7655</v>
      </c>
      <c r="T6296" s="22">
        <f t="shared" si="538"/>
        <v>2</v>
      </c>
      <c r="U6296" s="22">
        <f t="shared" si="539"/>
        <v>2023</v>
      </c>
      <c r="V6296" s="22" t="str">
        <f t="shared" si="540"/>
        <v>METROPOLITANA</v>
      </c>
    </row>
    <row r="6297" spans="1:22" x14ac:dyDescent="0.2">
      <c r="A6297" s="23" t="s">
        <v>7651</v>
      </c>
      <c r="B6297" s="22" t="s">
        <v>33</v>
      </c>
      <c r="C6297" s="22" t="s">
        <v>29</v>
      </c>
      <c r="D6297" s="22" t="s">
        <v>38</v>
      </c>
      <c r="E6297" s="24" t="s">
        <v>42</v>
      </c>
      <c r="F6297" s="22" t="s">
        <v>134</v>
      </c>
      <c r="G6297" s="25">
        <v>9574.590000000002</v>
      </c>
      <c r="H6297" s="22" t="s">
        <v>43</v>
      </c>
      <c r="I6297" s="22">
        <v>0</v>
      </c>
      <c r="J6297" s="22" t="s">
        <v>134</v>
      </c>
      <c r="K6297" s="22" t="s">
        <v>23</v>
      </c>
      <c r="L6297" s="22">
        <v>2</v>
      </c>
      <c r="M6297" s="26">
        <v>105320</v>
      </c>
      <c r="N6297" s="26">
        <v>0</v>
      </c>
      <c r="O6297" s="15">
        <f t="shared" si="536"/>
        <v>105320</v>
      </c>
      <c r="P6297" s="15">
        <f t="shared" si="537"/>
        <v>10.999948822873876</v>
      </c>
      <c r="Q6297" s="25">
        <v>5000</v>
      </c>
      <c r="R6297" s="22">
        <v>100</v>
      </c>
      <c r="S6297" s="22" t="s">
        <v>7656</v>
      </c>
      <c r="T6297" s="22">
        <f t="shared" si="538"/>
        <v>2</v>
      </c>
      <c r="U6297" s="22">
        <f t="shared" si="539"/>
        <v>2023</v>
      </c>
      <c r="V6297" s="22" t="str">
        <f t="shared" si="540"/>
        <v>METROPOLITANA</v>
      </c>
    </row>
    <row r="6298" spans="1:22" x14ac:dyDescent="0.2">
      <c r="A6298" s="23" t="s">
        <v>7651</v>
      </c>
      <c r="B6298" s="22" t="s">
        <v>33</v>
      </c>
      <c r="C6298" s="22" t="s">
        <v>29</v>
      </c>
      <c r="D6298" s="22" t="s">
        <v>164</v>
      </c>
      <c r="E6298" s="24" t="s">
        <v>1576</v>
      </c>
      <c r="F6298" s="22" t="s">
        <v>39</v>
      </c>
      <c r="G6298" s="25">
        <v>11156.93</v>
      </c>
      <c r="H6298" s="22" t="s">
        <v>22</v>
      </c>
      <c r="I6298" s="22">
        <v>1</v>
      </c>
      <c r="J6298" s="22" t="s">
        <v>39</v>
      </c>
      <c r="K6298" s="22" t="s">
        <v>23</v>
      </c>
      <c r="L6298" s="22">
        <v>1</v>
      </c>
      <c r="M6298" s="26">
        <v>122726</v>
      </c>
      <c r="N6298" s="26">
        <v>0</v>
      </c>
      <c r="O6298" s="15">
        <f t="shared" si="536"/>
        <v>122726</v>
      </c>
      <c r="P6298" s="15">
        <f t="shared" si="537"/>
        <v>10.999979385010034</v>
      </c>
      <c r="Q6298" s="25">
        <v>5000</v>
      </c>
      <c r="R6298" s="22">
        <v>100</v>
      </c>
      <c r="S6298" s="22" t="s">
        <v>7657</v>
      </c>
      <c r="T6298" s="22">
        <f t="shared" si="538"/>
        <v>2</v>
      </c>
      <c r="U6298" s="22">
        <f t="shared" si="539"/>
        <v>2023</v>
      </c>
      <c r="V6298" s="22" t="str">
        <f t="shared" si="540"/>
        <v>METROPOLITANA</v>
      </c>
    </row>
    <row r="6299" spans="1:22" x14ac:dyDescent="0.2">
      <c r="A6299" s="23" t="s">
        <v>7651</v>
      </c>
      <c r="B6299" s="22" t="s">
        <v>33</v>
      </c>
      <c r="C6299" s="22" t="s">
        <v>44</v>
      </c>
      <c r="D6299" s="22" t="s">
        <v>7658</v>
      </c>
      <c r="E6299" s="24" t="s">
        <v>7659</v>
      </c>
      <c r="F6299" s="22" t="s">
        <v>1105</v>
      </c>
      <c r="G6299" s="25">
        <v>10831.87</v>
      </c>
      <c r="H6299" s="22" t="s">
        <v>24</v>
      </c>
      <c r="I6299" s="22">
        <v>1</v>
      </c>
      <c r="J6299" s="22" t="s">
        <v>1105</v>
      </c>
      <c r="K6299" s="22" t="s">
        <v>873</v>
      </c>
      <c r="L6299" s="22">
        <v>0</v>
      </c>
      <c r="M6299" s="26">
        <v>1131000</v>
      </c>
      <c r="N6299" s="26">
        <v>0</v>
      </c>
      <c r="O6299" s="15">
        <f t="shared" si="536"/>
        <v>1131000</v>
      </c>
      <c r="P6299" s="15">
        <f t="shared" si="537"/>
        <v>104.41410393588549</v>
      </c>
      <c r="Q6299" s="25">
        <v>14000</v>
      </c>
      <c r="R6299" s="22">
        <v>77</v>
      </c>
      <c r="S6299" s="22" t="s">
        <v>7660</v>
      </c>
      <c r="T6299" s="22">
        <f t="shared" si="538"/>
        <v>2</v>
      </c>
      <c r="U6299" s="22">
        <f t="shared" si="539"/>
        <v>2023</v>
      </c>
      <c r="V6299" s="22" t="str">
        <f t="shared" si="540"/>
        <v>REGIONES</v>
      </c>
    </row>
    <row r="6300" spans="1:22" x14ac:dyDescent="0.2">
      <c r="A6300" s="23" t="s">
        <v>7651</v>
      </c>
      <c r="B6300" s="22" t="s">
        <v>33</v>
      </c>
      <c r="C6300" s="22" t="s">
        <v>44</v>
      </c>
      <c r="D6300" s="22" t="s">
        <v>20</v>
      </c>
      <c r="E6300" s="24" t="s">
        <v>28</v>
      </c>
      <c r="F6300" s="22" t="s">
        <v>26</v>
      </c>
      <c r="G6300" s="25">
        <v>3456.82</v>
      </c>
      <c r="H6300" s="22" t="s">
        <v>22</v>
      </c>
      <c r="I6300" s="22">
        <v>0</v>
      </c>
      <c r="J6300" s="22" t="s">
        <v>26</v>
      </c>
      <c r="K6300" s="22" t="s">
        <v>23</v>
      </c>
      <c r="L6300" s="22">
        <v>4</v>
      </c>
      <c r="M6300" s="26">
        <v>69173</v>
      </c>
      <c r="N6300" s="26">
        <v>0</v>
      </c>
      <c r="O6300" s="15">
        <f t="shared" si="536"/>
        <v>69173</v>
      </c>
      <c r="P6300" s="15">
        <f t="shared" si="537"/>
        <v>20.010587765634309</v>
      </c>
      <c r="Q6300" s="25">
        <v>5000</v>
      </c>
      <c r="R6300" s="22">
        <v>69</v>
      </c>
      <c r="S6300" s="22" t="s">
        <v>7661</v>
      </c>
      <c r="T6300" s="22">
        <f t="shared" si="538"/>
        <v>2</v>
      </c>
      <c r="U6300" s="22">
        <f t="shared" si="539"/>
        <v>2023</v>
      </c>
      <c r="V6300" s="22" t="str">
        <f t="shared" si="540"/>
        <v>METROPOLITANA</v>
      </c>
    </row>
    <row r="6301" spans="1:22" x14ac:dyDescent="0.2">
      <c r="A6301" s="11" t="s">
        <v>7663</v>
      </c>
      <c r="B6301" s="12" t="s">
        <v>18</v>
      </c>
      <c r="C6301" s="12" t="s">
        <v>57</v>
      </c>
      <c r="D6301" s="12" t="s">
        <v>786</v>
      </c>
      <c r="E6301" s="13" t="s">
        <v>787</v>
      </c>
      <c r="F6301" s="12" t="s">
        <v>407</v>
      </c>
      <c r="G6301" s="14">
        <f>12309.71+2730</f>
        <v>15039.71</v>
      </c>
      <c r="H6301" s="12" t="s">
        <v>788</v>
      </c>
      <c r="I6301" s="12">
        <v>1</v>
      </c>
      <c r="J6301" s="12" t="s">
        <v>407</v>
      </c>
      <c r="K6301" s="12" t="s">
        <v>408</v>
      </c>
      <c r="L6301" s="12">
        <v>0</v>
      </c>
      <c r="M6301" s="15">
        <v>800000</v>
      </c>
      <c r="N6301" s="15">
        <v>0</v>
      </c>
      <c r="O6301" s="15">
        <f t="shared" si="536"/>
        <v>800000</v>
      </c>
      <c r="P6301" s="15">
        <f t="shared" si="537"/>
        <v>53.192515015249633</v>
      </c>
      <c r="Q6301" s="14">
        <v>14000</v>
      </c>
      <c r="R6301" s="12">
        <v>100</v>
      </c>
      <c r="S6301" s="12" t="s">
        <v>7671</v>
      </c>
      <c r="T6301" s="22">
        <f t="shared" si="538"/>
        <v>2</v>
      </c>
      <c r="U6301" s="22">
        <f t="shared" si="539"/>
        <v>2023</v>
      </c>
      <c r="V6301" s="22" t="str">
        <f t="shared" si="540"/>
        <v>REGIONES</v>
      </c>
    </row>
    <row r="6302" spans="1:22" x14ac:dyDescent="0.2">
      <c r="A6302" s="11" t="s">
        <v>7663</v>
      </c>
      <c r="B6302" s="12" t="s">
        <v>18</v>
      </c>
      <c r="C6302" s="12" t="s">
        <v>7400</v>
      </c>
      <c r="D6302" s="12" t="s">
        <v>37</v>
      </c>
      <c r="E6302" s="13" t="s">
        <v>40</v>
      </c>
      <c r="F6302" s="12" t="s">
        <v>51</v>
      </c>
      <c r="G6302" s="14">
        <f>6518.01+5309</f>
        <v>11827.01</v>
      </c>
      <c r="H6302" s="12" t="s">
        <v>22</v>
      </c>
      <c r="I6302" s="12">
        <v>0</v>
      </c>
      <c r="J6302" s="12" t="s">
        <v>51</v>
      </c>
      <c r="K6302" s="12" t="s">
        <v>23</v>
      </c>
      <c r="L6302" s="12">
        <v>4</v>
      </c>
      <c r="M6302" s="15">
        <v>71698</v>
      </c>
      <c r="N6302" s="15">
        <v>0</v>
      </c>
      <c r="O6302" s="15">
        <f t="shared" si="536"/>
        <v>71698</v>
      </c>
      <c r="P6302" s="15">
        <f t="shared" si="537"/>
        <v>6.062225363807082</v>
      </c>
      <c r="Q6302" s="14">
        <v>5000</v>
      </c>
      <c r="R6302" s="12">
        <v>100</v>
      </c>
      <c r="S6302" s="12" t="s">
        <v>7672</v>
      </c>
      <c r="T6302" s="22">
        <f t="shared" si="538"/>
        <v>2</v>
      </c>
      <c r="U6302" s="22">
        <f t="shared" si="539"/>
        <v>2023</v>
      </c>
      <c r="V6302" s="22" t="str">
        <f t="shared" si="540"/>
        <v>METROPOLITANA</v>
      </c>
    </row>
    <row r="6303" spans="1:22" x14ac:dyDescent="0.2">
      <c r="A6303" s="11" t="s">
        <v>7663</v>
      </c>
      <c r="B6303" s="12" t="s">
        <v>33</v>
      </c>
      <c r="C6303" s="12" t="s">
        <v>128</v>
      </c>
      <c r="D6303" s="12" t="s">
        <v>2955</v>
      </c>
      <c r="E6303" s="13" t="s">
        <v>64</v>
      </c>
      <c r="F6303" s="12" t="s">
        <v>34</v>
      </c>
      <c r="G6303" s="14">
        <v>8374.44</v>
      </c>
      <c r="H6303" s="12" t="s">
        <v>24</v>
      </c>
      <c r="I6303" s="12">
        <v>1</v>
      </c>
      <c r="J6303" s="12" t="s">
        <v>34</v>
      </c>
      <c r="K6303" s="12" t="s">
        <v>23</v>
      </c>
      <c r="L6303" s="12">
        <v>1</v>
      </c>
      <c r="M6303" s="15">
        <v>92119</v>
      </c>
      <c r="N6303" s="15">
        <v>0</v>
      </c>
      <c r="O6303" s="15">
        <f t="shared" si="536"/>
        <v>92119</v>
      </c>
      <c r="P6303" s="15">
        <f t="shared" si="537"/>
        <v>11.000019105755131</v>
      </c>
      <c r="Q6303" s="14">
        <v>5000</v>
      </c>
      <c r="R6303" s="12">
        <v>100</v>
      </c>
      <c r="S6303" s="12" t="s">
        <v>7664</v>
      </c>
      <c r="T6303" s="22">
        <f t="shared" si="538"/>
        <v>2</v>
      </c>
      <c r="U6303" s="22">
        <f t="shared" si="539"/>
        <v>2023</v>
      </c>
      <c r="V6303" s="22" t="str">
        <f t="shared" si="540"/>
        <v>METROPOLITANA</v>
      </c>
    </row>
    <row r="6304" spans="1:22" x14ac:dyDescent="0.2">
      <c r="A6304" s="11" t="s">
        <v>7663</v>
      </c>
      <c r="B6304" s="12" t="s">
        <v>33</v>
      </c>
      <c r="C6304" s="12" t="s">
        <v>36</v>
      </c>
      <c r="D6304" s="12" t="s">
        <v>45</v>
      </c>
      <c r="E6304" s="13" t="s">
        <v>21</v>
      </c>
      <c r="F6304" s="12" t="s">
        <v>376</v>
      </c>
      <c r="G6304" s="14">
        <f>1508.4+1386</f>
        <v>2894.4</v>
      </c>
      <c r="H6304" s="12" t="s">
        <v>22</v>
      </c>
      <c r="I6304" s="12">
        <v>0</v>
      </c>
      <c r="J6304" s="12" t="s">
        <v>377</v>
      </c>
      <c r="K6304" s="12" t="s">
        <v>23</v>
      </c>
      <c r="L6304" s="12">
        <v>4</v>
      </c>
      <c r="M6304" s="15">
        <v>69173</v>
      </c>
      <c r="N6304" s="15">
        <v>0</v>
      </c>
      <c r="O6304" s="15">
        <f t="shared" si="536"/>
        <v>69173</v>
      </c>
      <c r="P6304" s="15">
        <f t="shared" si="537"/>
        <v>23.898908236594803</v>
      </c>
      <c r="Q6304" s="14">
        <v>5000</v>
      </c>
      <c r="R6304" s="12">
        <v>58</v>
      </c>
      <c r="S6304" s="12" t="s">
        <v>7673</v>
      </c>
      <c r="T6304" s="22">
        <f t="shared" si="538"/>
        <v>2</v>
      </c>
      <c r="U6304" s="22">
        <f t="shared" si="539"/>
        <v>2023</v>
      </c>
      <c r="V6304" s="22" t="str">
        <f t="shared" si="540"/>
        <v>METROPOLITANA</v>
      </c>
    </row>
    <row r="6305" spans="1:22" x14ac:dyDescent="0.2">
      <c r="A6305" s="11" t="s">
        <v>7663</v>
      </c>
      <c r="B6305" s="12" t="s">
        <v>33</v>
      </c>
      <c r="C6305" s="12" t="s">
        <v>29</v>
      </c>
      <c r="D6305" s="12" t="s">
        <v>37</v>
      </c>
      <c r="E6305" s="13" t="s">
        <v>40</v>
      </c>
      <c r="F6305" s="12" t="s">
        <v>129</v>
      </c>
      <c r="G6305" s="14">
        <v>8453.9999999999982</v>
      </c>
      <c r="H6305" s="12" t="s">
        <v>22</v>
      </c>
      <c r="I6305" s="12">
        <v>0</v>
      </c>
      <c r="J6305" s="12" t="s">
        <v>129</v>
      </c>
      <c r="K6305" s="12" t="s">
        <v>23</v>
      </c>
      <c r="L6305" s="12">
        <v>1</v>
      </c>
      <c r="M6305" s="15">
        <v>92994</v>
      </c>
      <c r="N6305" s="15">
        <v>0</v>
      </c>
      <c r="O6305" s="15">
        <f t="shared" si="536"/>
        <v>92994</v>
      </c>
      <c r="P6305" s="15">
        <f t="shared" si="537"/>
        <v>11.000000000000002</v>
      </c>
      <c r="Q6305" s="14">
        <v>5000</v>
      </c>
      <c r="R6305" s="12">
        <v>100</v>
      </c>
      <c r="S6305" s="12" t="s">
        <v>7665</v>
      </c>
      <c r="T6305" s="22">
        <f t="shared" si="538"/>
        <v>2</v>
      </c>
      <c r="U6305" s="22">
        <f t="shared" si="539"/>
        <v>2023</v>
      </c>
      <c r="V6305" s="22" t="str">
        <f t="shared" si="540"/>
        <v>METROPOLITANA</v>
      </c>
    </row>
    <row r="6306" spans="1:22" x14ac:dyDescent="0.2">
      <c r="A6306" s="11" t="s">
        <v>7663</v>
      </c>
      <c r="B6306" s="12" t="s">
        <v>33</v>
      </c>
      <c r="C6306" s="12" t="s">
        <v>29</v>
      </c>
      <c r="D6306" s="12" t="s">
        <v>7012</v>
      </c>
      <c r="E6306" s="13" t="s">
        <v>6760</v>
      </c>
      <c r="F6306" s="12" t="s">
        <v>114</v>
      </c>
      <c r="G6306" s="14">
        <v>12942.8</v>
      </c>
      <c r="H6306" s="12" t="s">
        <v>24</v>
      </c>
      <c r="I6306" s="12">
        <v>1</v>
      </c>
      <c r="J6306" s="12" t="s">
        <v>114</v>
      </c>
      <c r="K6306" s="12" t="s">
        <v>75</v>
      </c>
      <c r="L6306" s="12">
        <v>0</v>
      </c>
      <c r="M6306" s="15">
        <v>528000</v>
      </c>
      <c r="N6306" s="15">
        <v>0</v>
      </c>
      <c r="O6306" s="15">
        <f t="shared" si="536"/>
        <v>528000</v>
      </c>
      <c r="P6306" s="15">
        <f t="shared" si="537"/>
        <v>40.794882096609697</v>
      </c>
      <c r="Q6306" s="14">
        <v>14000</v>
      </c>
      <c r="R6306" s="12">
        <v>92</v>
      </c>
      <c r="S6306" s="12" t="s">
        <v>7666</v>
      </c>
      <c r="T6306" s="22">
        <f t="shared" si="538"/>
        <v>2</v>
      </c>
      <c r="U6306" s="22">
        <f t="shared" si="539"/>
        <v>2023</v>
      </c>
      <c r="V6306" s="22" t="str">
        <f t="shared" si="540"/>
        <v>REGIONES</v>
      </c>
    </row>
    <row r="6307" spans="1:22" x14ac:dyDescent="0.2">
      <c r="A6307" s="11" t="s">
        <v>7663</v>
      </c>
      <c r="B6307" s="12" t="s">
        <v>33</v>
      </c>
      <c r="C6307" s="12" t="s">
        <v>29</v>
      </c>
      <c r="D6307" s="12" t="s">
        <v>370</v>
      </c>
      <c r="E6307" s="13" t="s">
        <v>371</v>
      </c>
      <c r="F6307" s="12" t="s">
        <v>114</v>
      </c>
      <c r="G6307" s="14">
        <v>15917.64</v>
      </c>
      <c r="H6307" s="12" t="s">
        <v>85</v>
      </c>
      <c r="I6307" s="12">
        <v>1</v>
      </c>
      <c r="J6307" s="12" t="s">
        <v>114</v>
      </c>
      <c r="K6307" s="12" t="s">
        <v>75</v>
      </c>
      <c r="L6307" s="12">
        <v>0</v>
      </c>
      <c r="M6307" s="15">
        <v>528000</v>
      </c>
      <c r="N6307" s="15">
        <v>0</v>
      </c>
      <c r="O6307" s="15">
        <f t="shared" si="536"/>
        <v>528000</v>
      </c>
      <c r="P6307" s="15">
        <f t="shared" si="537"/>
        <v>33.17074641718245</v>
      </c>
      <c r="Q6307" s="14">
        <v>14000</v>
      </c>
      <c r="R6307" s="12">
        <v>100</v>
      </c>
      <c r="S6307" s="12" t="s">
        <v>7667</v>
      </c>
      <c r="T6307" s="22">
        <f t="shared" si="538"/>
        <v>2</v>
      </c>
      <c r="U6307" s="22">
        <f t="shared" si="539"/>
        <v>2023</v>
      </c>
      <c r="V6307" s="22" t="str">
        <f t="shared" si="540"/>
        <v>REGIONES</v>
      </c>
    </row>
    <row r="6308" spans="1:22" x14ac:dyDescent="0.2">
      <c r="A6308" s="11" t="s">
        <v>7663</v>
      </c>
      <c r="B6308" s="12" t="s">
        <v>33</v>
      </c>
      <c r="C6308" s="12" t="s">
        <v>29</v>
      </c>
      <c r="D6308" s="12" t="s">
        <v>164</v>
      </c>
      <c r="E6308" s="13" t="s">
        <v>1576</v>
      </c>
      <c r="F6308" s="12" t="s">
        <v>891</v>
      </c>
      <c r="G6308" s="14">
        <v>8244.0000000000036</v>
      </c>
      <c r="H6308" s="12" t="s">
        <v>22</v>
      </c>
      <c r="I6308" s="12">
        <v>1</v>
      </c>
      <c r="J6308" s="12" t="s">
        <v>127</v>
      </c>
      <c r="K6308" s="12" t="s">
        <v>78</v>
      </c>
      <c r="L6308" s="12">
        <v>0</v>
      </c>
      <c r="M6308" s="15">
        <v>289000</v>
      </c>
      <c r="N6308" s="15">
        <v>0</v>
      </c>
      <c r="O6308" s="15">
        <f t="shared" si="536"/>
        <v>289000</v>
      </c>
      <c r="P6308" s="15">
        <f t="shared" si="537"/>
        <v>35.055798156234822</v>
      </c>
      <c r="Q6308" s="14">
        <v>14000</v>
      </c>
      <c r="R6308" s="12">
        <v>59</v>
      </c>
      <c r="S6308" s="12" t="s">
        <v>7668</v>
      </c>
      <c r="T6308" s="22">
        <f t="shared" si="538"/>
        <v>2</v>
      </c>
      <c r="U6308" s="22">
        <f t="shared" si="539"/>
        <v>2023</v>
      </c>
      <c r="V6308" s="22" t="str">
        <f t="shared" si="540"/>
        <v>REGIONES</v>
      </c>
    </row>
    <row r="6309" spans="1:22" x14ac:dyDescent="0.2">
      <c r="A6309" s="11" t="s">
        <v>7663</v>
      </c>
      <c r="B6309" s="12" t="s">
        <v>33</v>
      </c>
      <c r="C6309" s="12" t="s">
        <v>5611</v>
      </c>
      <c r="D6309" s="12" t="s">
        <v>20</v>
      </c>
      <c r="E6309" s="13" t="s">
        <v>21</v>
      </c>
      <c r="F6309" s="12" t="s">
        <v>89</v>
      </c>
      <c r="G6309" s="14">
        <v>4990.16</v>
      </c>
      <c r="H6309" s="12" t="s">
        <v>22</v>
      </c>
      <c r="I6309" s="12">
        <v>0</v>
      </c>
      <c r="J6309" s="12" t="s">
        <v>89</v>
      </c>
      <c r="K6309" s="12" t="s">
        <v>23</v>
      </c>
      <c r="L6309" s="12">
        <v>5</v>
      </c>
      <c r="M6309" s="15">
        <v>112500</v>
      </c>
      <c r="N6309" s="15">
        <v>0</v>
      </c>
      <c r="O6309" s="15">
        <f t="shared" si="536"/>
        <v>112500</v>
      </c>
      <c r="P6309" s="15">
        <f t="shared" si="537"/>
        <v>22.544367314875675</v>
      </c>
      <c r="Q6309" s="14">
        <v>10000</v>
      </c>
      <c r="R6309" s="12">
        <v>50</v>
      </c>
      <c r="S6309" s="12" t="s">
        <v>7669</v>
      </c>
      <c r="T6309" s="22">
        <f t="shared" si="538"/>
        <v>2</v>
      </c>
      <c r="U6309" s="22">
        <f t="shared" si="539"/>
        <v>2023</v>
      </c>
      <c r="V6309" s="22" t="str">
        <f t="shared" si="540"/>
        <v>METROPOLITANA</v>
      </c>
    </row>
    <row r="6310" spans="1:22" x14ac:dyDescent="0.2">
      <c r="A6310" s="11" t="s">
        <v>7663</v>
      </c>
      <c r="B6310" s="12" t="s">
        <v>33</v>
      </c>
      <c r="C6310" s="12" t="s">
        <v>44</v>
      </c>
      <c r="D6310" s="12" t="s">
        <v>4569</v>
      </c>
      <c r="E6310" s="13" t="s">
        <v>868</v>
      </c>
      <c r="F6310" s="12" t="s">
        <v>815</v>
      </c>
      <c r="G6310" s="14">
        <v>9504.0000000000091</v>
      </c>
      <c r="H6310" s="12" t="s">
        <v>24</v>
      </c>
      <c r="I6310" s="12">
        <v>1</v>
      </c>
      <c r="J6310" s="12" t="s">
        <v>815</v>
      </c>
      <c r="K6310" s="12" t="s">
        <v>75</v>
      </c>
      <c r="L6310" s="12">
        <v>0</v>
      </c>
      <c r="M6310" s="15">
        <v>528000</v>
      </c>
      <c r="N6310" s="15">
        <v>0</v>
      </c>
      <c r="O6310" s="15">
        <f t="shared" si="536"/>
        <v>528000</v>
      </c>
      <c r="P6310" s="15">
        <f t="shared" si="537"/>
        <v>55.5555555555555</v>
      </c>
      <c r="Q6310" s="14">
        <v>14000</v>
      </c>
      <c r="R6310" s="12">
        <v>68</v>
      </c>
      <c r="S6310" s="12" t="s">
        <v>7670</v>
      </c>
      <c r="T6310" s="22">
        <f t="shared" si="538"/>
        <v>2</v>
      </c>
      <c r="U6310" s="22">
        <f t="shared" si="539"/>
        <v>2023</v>
      </c>
      <c r="V6310" s="22" t="str">
        <f t="shared" si="540"/>
        <v>REGIONES</v>
      </c>
    </row>
    <row r="6311" spans="1:22" x14ac:dyDescent="0.2">
      <c r="A6311" s="23" t="s">
        <v>7674</v>
      </c>
      <c r="B6311" s="22" t="s">
        <v>18</v>
      </c>
      <c r="C6311" s="22" t="s">
        <v>57</v>
      </c>
      <c r="D6311" s="22" t="s">
        <v>37</v>
      </c>
      <c r="E6311" s="24" t="s">
        <v>1576</v>
      </c>
      <c r="F6311" s="22" t="s">
        <v>58</v>
      </c>
      <c r="G6311" s="25">
        <v>3476.61</v>
      </c>
      <c r="H6311" s="22" t="s">
        <v>22</v>
      </c>
      <c r="I6311" s="22">
        <v>0</v>
      </c>
      <c r="J6311" s="22" t="s">
        <v>58</v>
      </c>
      <c r="K6311" s="22" t="s">
        <v>23</v>
      </c>
      <c r="L6311" s="22">
        <v>5</v>
      </c>
      <c r="M6311" s="26">
        <v>87500</v>
      </c>
      <c r="N6311" s="26">
        <v>0</v>
      </c>
      <c r="O6311" s="15">
        <f t="shared" si="536"/>
        <v>87500</v>
      </c>
      <c r="P6311" s="15">
        <f t="shared" si="537"/>
        <v>25.168195454767719</v>
      </c>
      <c r="Q6311" s="25">
        <v>10000</v>
      </c>
      <c r="R6311" s="22">
        <v>35</v>
      </c>
      <c r="S6311" s="22" t="s">
        <v>7675</v>
      </c>
      <c r="T6311" s="22">
        <f t="shared" si="538"/>
        <v>2</v>
      </c>
      <c r="U6311" s="22">
        <f t="shared" si="539"/>
        <v>2023</v>
      </c>
      <c r="V6311" s="22" t="str">
        <f t="shared" si="540"/>
        <v>METROPOLITANA</v>
      </c>
    </row>
    <row r="6312" spans="1:22" x14ac:dyDescent="0.2">
      <c r="A6312" s="23" t="s">
        <v>7674</v>
      </c>
      <c r="B6312" s="22" t="s">
        <v>33</v>
      </c>
      <c r="C6312" s="22" t="s">
        <v>128</v>
      </c>
      <c r="D6312" s="22" t="s">
        <v>20</v>
      </c>
      <c r="E6312" s="24" t="s">
        <v>21</v>
      </c>
      <c r="F6312" s="22" t="s">
        <v>129</v>
      </c>
      <c r="G6312" s="25">
        <v>8313.9199999999983</v>
      </c>
      <c r="H6312" s="22" t="s">
        <v>22</v>
      </c>
      <c r="I6312" s="22">
        <v>0</v>
      </c>
      <c r="J6312" s="22" t="s">
        <v>129</v>
      </c>
      <c r="K6312" s="22" t="s">
        <v>23</v>
      </c>
      <c r="L6312" s="22">
        <v>1</v>
      </c>
      <c r="M6312" s="26">
        <v>91453</v>
      </c>
      <c r="N6312" s="26">
        <v>0</v>
      </c>
      <c r="O6312" s="15">
        <f t="shared" si="536"/>
        <v>91453</v>
      </c>
      <c r="P6312" s="15">
        <f t="shared" si="537"/>
        <v>10.999985566375431</v>
      </c>
      <c r="Q6312" s="25">
        <v>5000</v>
      </c>
      <c r="R6312" s="22">
        <v>100</v>
      </c>
      <c r="S6312" s="22" t="s">
        <v>7676</v>
      </c>
      <c r="T6312" s="22">
        <f t="shared" si="538"/>
        <v>2</v>
      </c>
      <c r="U6312" s="22">
        <f t="shared" si="539"/>
        <v>2023</v>
      </c>
      <c r="V6312" s="22" t="str">
        <f t="shared" si="540"/>
        <v>METROPOLITANA</v>
      </c>
    </row>
    <row r="6313" spans="1:22" x14ac:dyDescent="0.2">
      <c r="A6313" s="23" t="s">
        <v>7674</v>
      </c>
      <c r="B6313" s="22" t="s">
        <v>33</v>
      </c>
      <c r="C6313" s="22" t="s">
        <v>36</v>
      </c>
      <c r="D6313" s="22" t="s">
        <v>45</v>
      </c>
      <c r="E6313" s="24" t="s">
        <v>21</v>
      </c>
      <c r="F6313" s="22" t="s">
        <v>182</v>
      </c>
      <c r="G6313" s="25">
        <f>1500.8+1766</f>
        <v>3266.8</v>
      </c>
      <c r="H6313" s="22" t="s">
        <v>22</v>
      </c>
      <c r="I6313" s="22">
        <v>0</v>
      </c>
      <c r="J6313" s="22" t="s">
        <v>182</v>
      </c>
      <c r="K6313" s="22" t="s">
        <v>23</v>
      </c>
      <c r="L6313" s="22">
        <v>4</v>
      </c>
      <c r="M6313" s="26">
        <v>69173</v>
      </c>
      <c r="N6313" s="26">
        <v>0</v>
      </c>
      <c r="O6313" s="15">
        <f t="shared" si="536"/>
        <v>69173</v>
      </c>
      <c r="P6313" s="15">
        <f t="shared" si="537"/>
        <v>21.174543896167503</v>
      </c>
      <c r="Q6313" s="25">
        <v>5000</v>
      </c>
      <c r="R6313" s="22">
        <v>65</v>
      </c>
      <c r="S6313" s="22" t="s">
        <v>7684</v>
      </c>
      <c r="T6313" s="22">
        <f t="shared" si="538"/>
        <v>2</v>
      </c>
      <c r="U6313" s="22">
        <f t="shared" si="539"/>
        <v>2023</v>
      </c>
      <c r="V6313" s="22" t="str">
        <f t="shared" si="540"/>
        <v>METROPOLITANA</v>
      </c>
    </row>
    <row r="6314" spans="1:22" x14ac:dyDescent="0.2">
      <c r="A6314" s="23" t="s">
        <v>7674</v>
      </c>
      <c r="B6314" s="22" t="s">
        <v>33</v>
      </c>
      <c r="C6314" s="22" t="s">
        <v>223</v>
      </c>
      <c r="D6314" s="22" t="s">
        <v>2612</v>
      </c>
      <c r="E6314" s="24" t="s">
        <v>6370</v>
      </c>
      <c r="F6314" s="22" t="s">
        <v>2639</v>
      </c>
      <c r="G6314" s="25">
        <v>18086.3</v>
      </c>
      <c r="H6314" s="22" t="s">
        <v>24</v>
      </c>
      <c r="I6314" s="22">
        <v>1</v>
      </c>
      <c r="J6314" s="22" t="s">
        <v>2639</v>
      </c>
      <c r="K6314" s="22" t="s">
        <v>75</v>
      </c>
      <c r="L6314" s="22">
        <v>0</v>
      </c>
      <c r="M6314" s="26">
        <v>478000</v>
      </c>
      <c r="N6314" s="26">
        <v>0</v>
      </c>
      <c r="O6314" s="15">
        <f t="shared" si="536"/>
        <v>478000</v>
      </c>
      <c r="P6314" s="15">
        <f t="shared" si="537"/>
        <v>26.428843931594635</v>
      </c>
      <c r="Q6314" s="25">
        <v>14000</v>
      </c>
      <c r="R6314" s="22">
        <v>100</v>
      </c>
      <c r="S6314" s="22" t="s">
        <v>7677</v>
      </c>
      <c r="T6314" s="22">
        <f t="shared" si="538"/>
        <v>2</v>
      </c>
      <c r="U6314" s="22">
        <f t="shared" si="539"/>
        <v>2023</v>
      </c>
      <c r="V6314" s="22" t="str">
        <f t="shared" si="540"/>
        <v>REGIONES</v>
      </c>
    </row>
    <row r="6315" spans="1:22" x14ac:dyDescent="0.2">
      <c r="A6315" s="23" t="s">
        <v>7674</v>
      </c>
      <c r="B6315" s="22" t="s">
        <v>33</v>
      </c>
      <c r="C6315" s="22" t="s">
        <v>29</v>
      </c>
      <c r="D6315" s="22" t="s">
        <v>38</v>
      </c>
      <c r="E6315" s="24" t="s">
        <v>42</v>
      </c>
      <c r="F6315" s="22" t="s">
        <v>39</v>
      </c>
      <c r="G6315" s="25">
        <v>11595.36</v>
      </c>
      <c r="H6315" s="22" t="s">
        <v>43</v>
      </c>
      <c r="I6315" s="22">
        <v>0</v>
      </c>
      <c r="J6315" s="22" t="s">
        <v>39</v>
      </c>
      <c r="K6315" s="22" t="s">
        <v>23</v>
      </c>
      <c r="L6315" s="22">
        <v>1</v>
      </c>
      <c r="M6315" s="26">
        <v>127549</v>
      </c>
      <c r="N6315" s="26">
        <v>0</v>
      </c>
      <c r="O6315" s="15">
        <f t="shared" si="536"/>
        <v>127549</v>
      </c>
      <c r="P6315" s="15">
        <f t="shared" si="537"/>
        <v>11.000003449655724</v>
      </c>
      <c r="Q6315" s="25">
        <v>5000</v>
      </c>
      <c r="R6315" s="22">
        <v>100</v>
      </c>
      <c r="S6315" s="22" t="s">
        <v>7678</v>
      </c>
      <c r="T6315" s="22">
        <f t="shared" si="538"/>
        <v>2</v>
      </c>
      <c r="U6315" s="22">
        <f t="shared" si="539"/>
        <v>2023</v>
      </c>
      <c r="V6315" s="22" t="str">
        <f t="shared" si="540"/>
        <v>METROPOLITANA</v>
      </c>
    </row>
    <row r="6316" spans="1:22" x14ac:dyDescent="0.2">
      <c r="A6316" s="23" t="s">
        <v>7674</v>
      </c>
      <c r="B6316" s="22" t="s">
        <v>33</v>
      </c>
      <c r="C6316" s="22" t="s">
        <v>29</v>
      </c>
      <c r="D6316" s="22" t="s">
        <v>164</v>
      </c>
      <c r="E6316" s="24" t="s">
        <v>1576</v>
      </c>
      <c r="F6316" s="22" t="s">
        <v>39</v>
      </c>
      <c r="G6316" s="25">
        <v>9404.3599999999969</v>
      </c>
      <c r="H6316" s="22" t="s">
        <v>22</v>
      </c>
      <c r="I6316" s="22">
        <v>1</v>
      </c>
      <c r="J6316" s="22" t="s">
        <v>39</v>
      </c>
      <c r="K6316" s="22" t="s">
        <v>23</v>
      </c>
      <c r="L6316" s="22">
        <v>1</v>
      </c>
      <c r="M6316" s="26">
        <v>103448</v>
      </c>
      <c r="N6316" s="26">
        <v>0</v>
      </c>
      <c r="O6316" s="15">
        <f t="shared" si="536"/>
        <v>103448</v>
      </c>
      <c r="P6316" s="15">
        <f t="shared" si="537"/>
        <v>11.000004253346324</v>
      </c>
      <c r="Q6316" s="25">
        <v>5000</v>
      </c>
      <c r="R6316" s="22">
        <v>100</v>
      </c>
      <c r="S6316" s="22" t="s">
        <v>7679</v>
      </c>
      <c r="T6316" s="22">
        <f t="shared" si="538"/>
        <v>2</v>
      </c>
      <c r="U6316" s="22">
        <f t="shared" si="539"/>
        <v>2023</v>
      </c>
      <c r="V6316" s="22" t="str">
        <f t="shared" si="540"/>
        <v>METROPOLITANA</v>
      </c>
    </row>
    <row r="6317" spans="1:22" x14ac:dyDescent="0.2">
      <c r="A6317" s="23" t="s">
        <v>7674</v>
      </c>
      <c r="B6317" s="22" t="s">
        <v>33</v>
      </c>
      <c r="C6317" s="22" t="s">
        <v>44</v>
      </c>
      <c r="D6317" s="22" t="s">
        <v>38</v>
      </c>
      <c r="E6317" s="24" t="s">
        <v>42</v>
      </c>
      <c r="F6317" s="22" t="s">
        <v>137</v>
      </c>
      <c r="G6317" s="25">
        <v>2340.48</v>
      </c>
      <c r="H6317" s="22" t="s">
        <v>43</v>
      </c>
      <c r="I6317" s="22">
        <v>0</v>
      </c>
      <c r="J6317" s="22" t="s">
        <v>137</v>
      </c>
      <c r="K6317" s="22" t="s">
        <v>23</v>
      </c>
      <c r="L6317" s="22">
        <v>1</v>
      </c>
      <c r="M6317" s="26">
        <v>69173</v>
      </c>
      <c r="N6317" s="26">
        <v>0</v>
      </c>
      <c r="O6317" s="15">
        <f t="shared" si="536"/>
        <v>69173</v>
      </c>
      <c r="P6317" s="15">
        <f t="shared" si="537"/>
        <v>29.55504853705223</v>
      </c>
      <c r="Q6317" s="25">
        <v>5000</v>
      </c>
      <c r="R6317" s="22">
        <v>47</v>
      </c>
      <c r="S6317" s="22" t="s">
        <v>7680</v>
      </c>
      <c r="T6317" s="22">
        <f t="shared" si="538"/>
        <v>2</v>
      </c>
      <c r="U6317" s="22">
        <f t="shared" si="539"/>
        <v>2023</v>
      </c>
      <c r="V6317" s="22" t="str">
        <f t="shared" si="540"/>
        <v>METROPOLITANA</v>
      </c>
    </row>
    <row r="6318" spans="1:22" x14ac:dyDescent="0.2">
      <c r="A6318" s="23" t="s">
        <v>7674</v>
      </c>
      <c r="B6318" s="22" t="s">
        <v>33</v>
      </c>
      <c r="C6318" s="22" t="s">
        <v>44</v>
      </c>
      <c r="D6318" s="22" t="s">
        <v>37</v>
      </c>
      <c r="E6318" s="24" t="s">
        <v>40</v>
      </c>
      <c r="F6318" s="22" t="s">
        <v>48</v>
      </c>
      <c r="G6318" s="25">
        <v>3917.94</v>
      </c>
      <c r="H6318" s="22" t="s">
        <v>22</v>
      </c>
      <c r="I6318" s="22">
        <v>0</v>
      </c>
      <c r="J6318" s="22" t="s">
        <v>48</v>
      </c>
      <c r="K6318" s="22" t="s">
        <v>23</v>
      </c>
      <c r="L6318" s="22">
        <v>1</v>
      </c>
      <c r="M6318" s="26">
        <v>69173</v>
      </c>
      <c r="N6318" s="26">
        <v>0</v>
      </c>
      <c r="O6318" s="15">
        <f t="shared" si="536"/>
        <v>69173</v>
      </c>
      <c r="P6318" s="15">
        <f t="shared" si="537"/>
        <v>17.655451589355632</v>
      </c>
      <c r="Q6318" s="25">
        <v>5000</v>
      </c>
      <c r="R6318" s="22">
        <v>78</v>
      </c>
      <c r="S6318" s="22" t="s">
        <v>7681</v>
      </c>
      <c r="T6318" s="22">
        <f t="shared" si="538"/>
        <v>2</v>
      </c>
      <c r="U6318" s="22">
        <f t="shared" si="539"/>
        <v>2023</v>
      </c>
      <c r="V6318" s="22" t="str">
        <f t="shared" si="540"/>
        <v>METROPOLITANA</v>
      </c>
    </row>
    <row r="6319" spans="1:22" x14ac:dyDescent="0.2">
      <c r="A6319" s="23" t="s">
        <v>7674</v>
      </c>
      <c r="B6319" s="22" t="s">
        <v>33</v>
      </c>
      <c r="C6319" s="22" t="s">
        <v>44</v>
      </c>
      <c r="D6319" s="22" t="s">
        <v>20</v>
      </c>
      <c r="E6319" s="24" t="s">
        <v>21</v>
      </c>
      <c r="F6319" s="22" t="s">
        <v>51</v>
      </c>
      <c r="G6319" s="25">
        <v>2636.18</v>
      </c>
      <c r="H6319" s="22" t="s">
        <v>22</v>
      </c>
      <c r="I6319" s="22">
        <v>0</v>
      </c>
      <c r="J6319" s="22" t="s">
        <v>51</v>
      </c>
      <c r="K6319" s="22" t="s">
        <v>23</v>
      </c>
      <c r="L6319" s="22">
        <v>4</v>
      </c>
      <c r="M6319" s="26">
        <v>69173</v>
      </c>
      <c r="N6319" s="26">
        <v>0</v>
      </c>
      <c r="O6319" s="15">
        <f t="shared" si="536"/>
        <v>69173</v>
      </c>
      <c r="P6319" s="15">
        <f t="shared" si="537"/>
        <v>26.239862224886011</v>
      </c>
      <c r="Q6319" s="25">
        <v>5000</v>
      </c>
      <c r="R6319" s="22">
        <v>53</v>
      </c>
      <c r="S6319" s="22" t="s">
        <v>7682</v>
      </c>
      <c r="T6319" s="22">
        <f t="shared" si="538"/>
        <v>2</v>
      </c>
      <c r="U6319" s="22">
        <f t="shared" si="539"/>
        <v>2023</v>
      </c>
      <c r="V6319" s="22" t="str">
        <f t="shared" si="540"/>
        <v>METROPOLITANA</v>
      </c>
    </row>
    <row r="6320" spans="1:22" x14ac:dyDescent="0.2">
      <c r="A6320" s="23" t="s">
        <v>7674</v>
      </c>
      <c r="B6320" s="22" t="s">
        <v>33</v>
      </c>
      <c r="C6320" s="22" t="s">
        <v>7619</v>
      </c>
      <c r="D6320" s="22" t="s">
        <v>786</v>
      </c>
      <c r="E6320" s="24" t="s">
        <v>787</v>
      </c>
      <c r="F6320" s="22" t="s">
        <v>129</v>
      </c>
      <c r="G6320" s="25">
        <v>15405.000000000009</v>
      </c>
      <c r="H6320" s="22" t="s">
        <v>788</v>
      </c>
      <c r="I6320" s="22">
        <v>1</v>
      </c>
      <c r="J6320" s="22" t="s">
        <v>129</v>
      </c>
      <c r="K6320" s="22" t="s">
        <v>23</v>
      </c>
      <c r="L6320" s="22">
        <v>1</v>
      </c>
      <c r="M6320" s="26">
        <v>169455</v>
      </c>
      <c r="N6320" s="26">
        <v>0</v>
      </c>
      <c r="O6320" s="15">
        <f t="shared" si="536"/>
        <v>169455</v>
      </c>
      <c r="P6320" s="15">
        <f t="shared" si="537"/>
        <v>10.999999999999993</v>
      </c>
      <c r="Q6320" s="25">
        <v>5000</v>
      </c>
      <c r="R6320" s="22">
        <v>100</v>
      </c>
      <c r="S6320" s="22" t="s">
        <v>7683</v>
      </c>
      <c r="T6320" s="22">
        <f t="shared" si="538"/>
        <v>2</v>
      </c>
      <c r="U6320" s="22">
        <f t="shared" si="539"/>
        <v>2023</v>
      </c>
      <c r="V6320" s="22" t="str">
        <f t="shared" si="540"/>
        <v>METROPOLITANA</v>
      </c>
    </row>
    <row r="6321" spans="1:22" x14ac:dyDescent="0.2">
      <c r="A6321" s="11" t="s">
        <v>7685</v>
      </c>
      <c r="B6321" s="12" t="s">
        <v>18</v>
      </c>
      <c r="C6321" s="12" t="s">
        <v>7686</v>
      </c>
      <c r="D6321" s="12" t="s">
        <v>636</v>
      </c>
      <c r="E6321" s="13" t="s">
        <v>639</v>
      </c>
      <c r="F6321" s="12" t="s">
        <v>2639</v>
      </c>
      <c r="G6321" s="14">
        <v>17227.27</v>
      </c>
      <c r="H6321" s="12" t="s">
        <v>85</v>
      </c>
      <c r="I6321" s="12">
        <v>1</v>
      </c>
      <c r="J6321" s="12" t="s">
        <v>2639</v>
      </c>
      <c r="K6321" s="12" t="s">
        <v>75</v>
      </c>
      <c r="L6321" s="12">
        <v>0</v>
      </c>
      <c r="M6321" s="15">
        <v>478000</v>
      </c>
      <c r="N6321" s="15">
        <v>0</v>
      </c>
      <c r="O6321" s="15">
        <f t="shared" si="536"/>
        <v>478000</v>
      </c>
      <c r="P6321" s="15">
        <f t="shared" si="537"/>
        <v>27.7467062395841</v>
      </c>
      <c r="Q6321" s="14">
        <v>14000</v>
      </c>
      <c r="R6321" s="12">
        <v>100</v>
      </c>
      <c r="S6321" s="12" t="s">
        <v>7687</v>
      </c>
      <c r="T6321" s="22">
        <f t="shared" si="538"/>
        <v>2</v>
      </c>
      <c r="U6321" s="22">
        <f t="shared" si="539"/>
        <v>2023</v>
      </c>
      <c r="V6321" s="22" t="str">
        <f t="shared" si="540"/>
        <v>REGIONES</v>
      </c>
    </row>
    <row r="6322" spans="1:22" x14ac:dyDescent="0.2">
      <c r="A6322" s="11" t="s">
        <v>7685</v>
      </c>
      <c r="B6322" s="12" t="s">
        <v>33</v>
      </c>
      <c r="C6322" s="12" t="s">
        <v>60</v>
      </c>
      <c r="D6322" s="12" t="s">
        <v>20</v>
      </c>
      <c r="E6322" s="13" t="s">
        <v>21</v>
      </c>
      <c r="F6322" s="12" t="s">
        <v>51</v>
      </c>
      <c r="G6322" s="14">
        <v>4761.6000000000004</v>
      </c>
      <c r="H6322" s="12" t="s">
        <v>22</v>
      </c>
      <c r="I6322" s="12">
        <v>0</v>
      </c>
      <c r="J6322" s="12" t="s">
        <v>51</v>
      </c>
      <c r="K6322" s="12" t="s">
        <v>23</v>
      </c>
      <c r="L6322" s="12">
        <v>4</v>
      </c>
      <c r="M6322" s="15">
        <v>69173</v>
      </c>
      <c r="N6322" s="15">
        <v>0</v>
      </c>
      <c r="O6322" s="15">
        <f t="shared" si="536"/>
        <v>69173</v>
      </c>
      <c r="P6322" s="15">
        <f t="shared" si="537"/>
        <v>14.527259744623654</v>
      </c>
      <c r="Q6322" s="14">
        <v>5000</v>
      </c>
      <c r="R6322" s="12">
        <v>95</v>
      </c>
      <c r="S6322" s="12" t="s">
        <v>7688</v>
      </c>
      <c r="T6322" s="22">
        <f t="shared" si="538"/>
        <v>2</v>
      </c>
      <c r="U6322" s="22">
        <f t="shared" si="539"/>
        <v>2023</v>
      </c>
      <c r="V6322" s="22" t="str">
        <f t="shared" si="540"/>
        <v>METROPOLITANA</v>
      </c>
    </row>
    <row r="6323" spans="1:22" x14ac:dyDescent="0.2">
      <c r="A6323" s="11" t="s">
        <v>7685</v>
      </c>
      <c r="B6323" s="12" t="s">
        <v>33</v>
      </c>
      <c r="C6323" s="12" t="s">
        <v>29</v>
      </c>
      <c r="D6323" s="12" t="s">
        <v>38</v>
      </c>
      <c r="E6323" s="13" t="s">
        <v>42</v>
      </c>
      <c r="F6323" s="12" t="s">
        <v>39</v>
      </c>
      <c r="G6323" s="14">
        <v>7690.2999999999975</v>
      </c>
      <c r="H6323" s="12" t="s">
        <v>43</v>
      </c>
      <c r="I6323" s="12">
        <v>0</v>
      </c>
      <c r="J6323" s="12" t="s">
        <v>39</v>
      </c>
      <c r="K6323" s="12" t="s">
        <v>23</v>
      </c>
      <c r="L6323" s="12">
        <v>1</v>
      </c>
      <c r="M6323" s="15">
        <v>84593</v>
      </c>
      <c r="N6323" s="15">
        <v>0</v>
      </c>
      <c r="O6323" s="15">
        <f t="shared" si="536"/>
        <v>84593</v>
      </c>
      <c r="P6323" s="15">
        <f t="shared" si="537"/>
        <v>10.999960989818346</v>
      </c>
      <c r="Q6323" s="14">
        <v>5000</v>
      </c>
      <c r="R6323" s="12">
        <v>100</v>
      </c>
      <c r="S6323" s="12" t="s">
        <v>7689</v>
      </c>
      <c r="T6323" s="22">
        <f t="shared" si="538"/>
        <v>2</v>
      </c>
      <c r="U6323" s="22">
        <f t="shared" si="539"/>
        <v>2023</v>
      </c>
      <c r="V6323" s="22" t="str">
        <f t="shared" si="540"/>
        <v>METROPOLITANA</v>
      </c>
    </row>
    <row r="6324" spans="1:22" x14ac:dyDescent="0.2">
      <c r="A6324" s="11" t="s">
        <v>7685</v>
      </c>
      <c r="B6324" s="12" t="s">
        <v>33</v>
      </c>
      <c r="C6324" s="12" t="s">
        <v>29</v>
      </c>
      <c r="D6324" s="12" t="s">
        <v>164</v>
      </c>
      <c r="E6324" s="13" t="s">
        <v>1576</v>
      </c>
      <c r="F6324" s="12" t="s">
        <v>39</v>
      </c>
      <c r="G6324" s="14">
        <v>24847.200000000012</v>
      </c>
      <c r="H6324" s="12" t="s">
        <v>22</v>
      </c>
      <c r="I6324" s="12">
        <v>1</v>
      </c>
      <c r="J6324" s="12" t="s">
        <v>39</v>
      </c>
      <c r="K6324" s="12" t="s">
        <v>23</v>
      </c>
      <c r="L6324" s="12">
        <v>1</v>
      </c>
      <c r="M6324" s="15">
        <v>273319</v>
      </c>
      <c r="N6324" s="15">
        <v>0</v>
      </c>
      <c r="O6324" s="15">
        <f t="shared" si="536"/>
        <v>273319</v>
      </c>
      <c r="P6324" s="15">
        <f t="shared" si="537"/>
        <v>10.999991950803304</v>
      </c>
      <c r="Q6324" s="14">
        <v>5000</v>
      </c>
      <c r="R6324" s="12">
        <v>100</v>
      </c>
      <c r="S6324" s="12" t="s">
        <v>7690</v>
      </c>
      <c r="T6324" s="22">
        <f t="shared" si="538"/>
        <v>2</v>
      </c>
      <c r="U6324" s="22">
        <f t="shared" si="539"/>
        <v>2023</v>
      </c>
      <c r="V6324" s="22" t="str">
        <f t="shared" si="540"/>
        <v>METROPOLITANA</v>
      </c>
    </row>
    <row r="6325" spans="1:22" x14ac:dyDescent="0.2">
      <c r="A6325" s="11" t="s">
        <v>7685</v>
      </c>
      <c r="B6325" s="12" t="s">
        <v>33</v>
      </c>
      <c r="C6325" s="12" t="s">
        <v>29</v>
      </c>
      <c r="D6325" s="12" t="s">
        <v>20</v>
      </c>
      <c r="E6325" s="13" t="s">
        <v>21</v>
      </c>
      <c r="F6325" s="12" t="s">
        <v>173</v>
      </c>
      <c r="G6325" s="14">
        <v>2974.32</v>
      </c>
      <c r="H6325" s="12" t="s">
        <v>22</v>
      </c>
      <c r="I6325" s="12">
        <v>0</v>
      </c>
      <c r="J6325" s="12" t="s">
        <v>173</v>
      </c>
      <c r="K6325" s="12" t="s">
        <v>23</v>
      </c>
      <c r="L6325" s="12">
        <v>5</v>
      </c>
      <c r="M6325" s="15">
        <v>112500</v>
      </c>
      <c r="N6325" s="15">
        <v>0</v>
      </c>
      <c r="O6325" s="15">
        <f t="shared" si="536"/>
        <v>112500</v>
      </c>
      <c r="P6325" s="15">
        <f t="shared" si="537"/>
        <v>37.823771483902199</v>
      </c>
      <c r="Q6325" s="14">
        <v>10000</v>
      </c>
      <c r="R6325" s="12">
        <v>30</v>
      </c>
      <c r="S6325" s="12" t="s">
        <v>7691</v>
      </c>
      <c r="T6325" s="22">
        <f t="shared" si="538"/>
        <v>2</v>
      </c>
      <c r="U6325" s="22">
        <f t="shared" si="539"/>
        <v>2023</v>
      </c>
      <c r="V6325" s="22" t="str">
        <f t="shared" si="540"/>
        <v>METROPOLITANA</v>
      </c>
    </row>
    <row r="6326" spans="1:22" x14ac:dyDescent="0.2">
      <c r="A6326" s="11" t="s">
        <v>7685</v>
      </c>
      <c r="B6326" s="12" t="s">
        <v>33</v>
      </c>
      <c r="C6326" s="12" t="s">
        <v>44</v>
      </c>
      <c r="D6326" s="12" t="s">
        <v>37</v>
      </c>
      <c r="E6326" s="13" t="s">
        <v>40</v>
      </c>
      <c r="F6326" s="12" t="s">
        <v>48</v>
      </c>
      <c r="G6326" s="14">
        <f>6874.86+3908+988</f>
        <v>11770.86</v>
      </c>
      <c r="H6326" s="12" t="s">
        <v>22</v>
      </c>
      <c r="I6326" s="12">
        <v>0</v>
      </c>
      <c r="J6326" s="12" t="s">
        <v>48</v>
      </c>
      <c r="K6326" s="12" t="s">
        <v>23</v>
      </c>
      <c r="L6326" s="12">
        <v>1</v>
      </c>
      <c r="M6326" s="15">
        <v>75623</v>
      </c>
      <c r="N6326" s="15">
        <v>0</v>
      </c>
      <c r="O6326" s="15">
        <f t="shared" si="536"/>
        <v>75623</v>
      </c>
      <c r="P6326" s="15">
        <f t="shared" si="537"/>
        <v>6.4245942947244297</v>
      </c>
      <c r="Q6326" s="14">
        <v>5000</v>
      </c>
      <c r="R6326" s="12">
        <v>100</v>
      </c>
      <c r="S6326" s="12" t="s">
        <v>7693</v>
      </c>
      <c r="T6326" s="22">
        <f t="shared" si="538"/>
        <v>2</v>
      </c>
      <c r="U6326" s="22">
        <f t="shared" si="539"/>
        <v>2023</v>
      </c>
      <c r="V6326" s="22" t="str">
        <f t="shared" si="540"/>
        <v>METROPOLITANA</v>
      </c>
    </row>
    <row r="6327" spans="1:22" x14ac:dyDescent="0.2">
      <c r="A6327" s="11" t="s">
        <v>7685</v>
      </c>
      <c r="B6327" s="12" t="s">
        <v>33</v>
      </c>
      <c r="C6327" s="12" t="s">
        <v>44</v>
      </c>
      <c r="D6327" s="12" t="s">
        <v>45</v>
      </c>
      <c r="E6327" s="13" t="s">
        <v>21</v>
      </c>
      <c r="F6327" s="12" t="s">
        <v>134</v>
      </c>
      <c r="G6327" s="14">
        <v>3150.44</v>
      </c>
      <c r="H6327" s="12" t="s">
        <v>22</v>
      </c>
      <c r="I6327" s="12">
        <v>0</v>
      </c>
      <c r="J6327" s="12" t="s">
        <v>134</v>
      </c>
      <c r="K6327" s="12" t="s">
        <v>23</v>
      </c>
      <c r="L6327" s="12">
        <v>2</v>
      </c>
      <c r="M6327" s="15">
        <v>69173</v>
      </c>
      <c r="N6327" s="15">
        <v>0</v>
      </c>
      <c r="O6327" s="15">
        <f t="shared" si="536"/>
        <v>69173</v>
      </c>
      <c r="P6327" s="15">
        <f t="shared" si="537"/>
        <v>21.956615583854955</v>
      </c>
      <c r="Q6327" s="14">
        <v>5000</v>
      </c>
      <c r="R6327" s="12">
        <v>63</v>
      </c>
      <c r="S6327" s="12" t="s">
        <v>7692</v>
      </c>
      <c r="T6327" s="22">
        <f t="shared" si="538"/>
        <v>2</v>
      </c>
      <c r="U6327" s="22">
        <f t="shared" si="539"/>
        <v>2023</v>
      </c>
      <c r="V6327" s="22" t="str">
        <f t="shared" si="540"/>
        <v>METROPOLITANA</v>
      </c>
    </row>
    <row r="6328" spans="1:22" x14ac:dyDescent="0.2">
      <c r="A6328" s="23" t="s">
        <v>7694</v>
      </c>
      <c r="B6328" s="22" t="s">
        <v>33</v>
      </c>
      <c r="C6328" s="22" t="s">
        <v>1642</v>
      </c>
      <c r="D6328" s="22" t="s">
        <v>2955</v>
      </c>
      <c r="E6328" s="24" t="s">
        <v>2956</v>
      </c>
      <c r="F6328" s="22" t="s">
        <v>170</v>
      </c>
      <c r="G6328" s="25">
        <v>6453.2599999999966</v>
      </c>
      <c r="H6328" s="22" t="s">
        <v>24</v>
      </c>
      <c r="I6328" s="22">
        <v>1</v>
      </c>
      <c r="J6328" s="22" t="s">
        <v>170</v>
      </c>
      <c r="K6328" s="22" t="s">
        <v>171</v>
      </c>
      <c r="L6328" s="22">
        <v>0</v>
      </c>
      <c r="M6328" s="26">
        <v>289000</v>
      </c>
      <c r="N6328" s="26">
        <v>0</v>
      </c>
      <c r="O6328" s="15">
        <f t="shared" si="536"/>
        <v>289000</v>
      </c>
      <c r="P6328" s="15">
        <f t="shared" si="537"/>
        <v>44.783566755407371</v>
      </c>
      <c r="Q6328" s="25">
        <v>14000</v>
      </c>
      <c r="R6328" s="22">
        <v>46</v>
      </c>
      <c r="S6328" s="22" t="s">
        <v>7695</v>
      </c>
      <c r="T6328" s="22">
        <f t="shared" si="538"/>
        <v>2</v>
      </c>
      <c r="U6328" s="22">
        <f t="shared" si="539"/>
        <v>2023</v>
      </c>
      <c r="V6328" s="22" t="str">
        <f t="shared" si="540"/>
        <v>REGIONES</v>
      </c>
    </row>
    <row r="6329" spans="1:22" x14ac:dyDescent="0.2">
      <c r="A6329" s="23" t="s">
        <v>7694</v>
      </c>
      <c r="B6329" s="22" t="s">
        <v>33</v>
      </c>
      <c r="C6329" s="22" t="s">
        <v>909</v>
      </c>
      <c r="D6329" s="22" t="s">
        <v>786</v>
      </c>
      <c r="E6329" s="24" t="s">
        <v>787</v>
      </c>
      <c r="F6329" s="22" t="s">
        <v>910</v>
      </c>
      <c r="G6329" s="25">
        <v>12437.1</v>
      </c>
      <c r="H6329" s="22" t="s">
        <v>788</v>
      </c>
      <c r="I6329" s="22">
        <v>1</v>
      </c>
      <c r="J6329" s="22" t="s">
        <v>910</v>
      </c>
      <c r="K6329" s="22" t="s">
        <v>171</v>
      </c>
      <c r="L6329" s="22">
        <v>0</v>
      </c>
      <c r="M6329" s="26">
        <v>290000</v>
      </c>
      <c r="N6329" s="26">
        <v>0</v>
      </c>
      <c r="O6329" s="15">
        <f t="shared" si="536"/>
        <v>290000</v>
      </c>
      <c r="P6329" s="15">
        <f t="shared" si="537"/>
        <v>23.317332818743917</v>
      </c>
      <c r="Q6329" s="25">
        <v>14000</v>
      </c>
      <c r="R6329" s="22">
        <v>89</v>
      </c>
      <c r="S6329" s="22" t="s">
        <v>7696</v>
      </c>
      <c r="T6329" s="22">
        <f t="shared" si="538"/>
        <v>2</v>
      </c>
      <c r="U6329" s="22">
        <f t="shared" si="539"/>
        <v>2023</v>
      </c>
      <c r="V6329" s="22" t="str">
        <f t="shared" si="540"/>
        <v>REGIONES</v>
      </c>
    </row>
    <row r="6330" spans="1:22" x14ac:dyDescent="0.2">
      <c r="A6330" s="23" t="s">
        <v>7694</v>
      </c>
      <c r="B6330" s="22" t="s">
        <v>33</v>
      </c>
      <c r="C6330" s="22" t="s">
        <v>29</v>
      </c>
      <c r="D6330" s="22" t="s">
        <v>38</v>
      </c>
      <c r="E6330" s="24" t="s">
        <v>25</v>
      </c>
      <c r="F6330" s="22" t="s">
        <v>39</v>
      </c>
      <c r="G6330" s="25">
        <v>7185.5999999999995</v>
      </c>
      <c r="H6330" s="22" t="s">
        <v>43</v>
      </c>
      <c r="I6330" s="22">
        <v>0</v>
      </c>
      <c r="J6330" s="22" t="s">
        <v>39</v>
      </c>
      <c r="K6330" s="22" t="s">
        <v>23</v>
      </c>
      <c r="L6330" s="22">
        <v>1</v>
      </c>
      <c r="M6330" s="26">
        <v>79042</v>
      </c>
      <c r="N6330" s="26">
        <v>0</v>
      </c>
      <c r="O6330" s="15">
        <f t="shared" si="536"/>
        <v>79042</v>
      </c>
      <c r="P6330" s="15">
        <f t="shared" si="537"/>
        <v>11.000055666889335</v>
      </c>
      <c r="Q6330" s="25">
        <v>5000</v>
      </c>
      <c r="R6330" s="22">
        <v>100</v>
      </c>
      <c r="S6330" s="22" t="s">
        <v>7697</v>
      </c>
      <c r="T6330" s="22">
        <f t="shared" si="538"/>
        <v>2</v>
      </c>
      <c r="U6330" s="22">
        <f t="shared" si="539"/>
        <v>2023</v>
      </c>
      <c r="V6330" s="22" t="str">
        <f t="shared" si="540"/>
        <v>METROPOLITANA</v>
      </c>
    </row>
    <row r="6331" spans="1:22" x14ac:dyDescent="0.2">
      <c r="A6331" s="23" t="s">
        <v>7694</v>
      </c>
      <c r="B6331" s="22" t="s">
        <v>33</v>
      </c>
      <c r="C6331" s="22" t="s">
        <v>29</v>
      </c>
      <c r="D6331" s="22" t="s">
        <v>164</v>
      </c>
      <c r="E6331" s="24" t="s">
        <v>1576</v>
      </c>
      <c r="F6331" s="22" t="s">
        <v>39</v>
      </c>
      <c r="G6331" s="25">
        <v>11471.9</v>
      </c>
      <c r="H6331" s="22" t="s">
        <v>22</v>
      </c>
      <c r="I6331" s="22">
        <v>1</v>
      </c>
      <c r="J6331" s="22" t="s">
        <v>39</v>
      </c>
      <c r="K6331" s="22" t="s">
        <v>23</v>
      </c>
      <c r="L6331" s="22">
        <v>1</v>
      </c>
      <c r="M6331" s="26">
        <v>126191</v>
      </c>
      <c r="N6331" s="26">
        <v>0</v>
      </c>
      <c r="O6331" s="15">
        <f t="shared" ref="O6331:O6394" si="541">SUM(M6331:N6331)</f>
        <v>126191</v>
      </c>
      <c r="P6331" s="15">
        <f t="shared" ref="P6331:P6363" si="542">O6331/G6331</f>
        <v>11.000008716951857</v>
      </c>
      <c r="Q6331" s="25">
        <v>5000</v>
      </c>
      <c r="R6331" s="22">
        <v>100</v>
      </c>
      <c r="S6331" s="22" t="s">
        <v>7698</v>
      </c>
      <c r="T6331" s="22">
        <f t="shared" si="538"/>
        <v>2</v>
      </c>
      <c r="U6331" s="22">
        <f t="shared" si="539"/>
        <v>2023</v>
      </c>
      <c r="V6331" s="22" t="str">
        <f t="shared" si="540"/>
        <v>METROPOLITANA</v>
      </c>
    </row>
    <row r="6332" spans="1:22" x14ac:dyDescent="0.2">
      <c r="A6332" s="23" t="s">
        <v>7694</v>
      </c>
      <c r="B6332" s="22" t="s">
        <v>33</v>
      </c>
      <c r="C6332" s="22" t="s">
        <v>44</v>
      </c>
      <c r="D6332" s="22" t="s">
        <v>38</v>
      </c>
      <c r="E6332" s="24" t="s">
        <v>25</v>
      </c>
      <c r="F6332" s="22" t="s">
        <v>53</v>
      </c>
      <c r="G6332" s="25">
        <v>4985.5999999999995</v>
      </c>
      <c r="H6332" s="22" t="s">
        <v>43</v>
      </c>
      <c r="I6332" s="22">
        <v>0</v>
      </c>
      <c r="J6332" s="22" t="s">
        <v>53</v>
      </c>
      <c r="K6332" s="22" t="s">
        <v>23</v>
      </c>
      <c r="L6332" s="22">
        <v>3</v>
      </c>
      <c r="M6332" s="26">
        <v>69173</v>
      </c>
      <c r="N6332" s="26">
        <v>0</v>
      </c>
      <c r="O6332" s="15">
        <f t="shared" si="541"/>
        <v>69173</v>
      </c>
      <c r="P6332" s="15">
        <f t="shared" si="542"/>
        <v>13.874558729139924</v>
      </c>
      <c r="Q6332" s="25">
        <v>5000</v>
      </c>
      <c r="R6332" s="22">
        <v>100</v>
      </c>
      <c r="S6332" s="22" t="s">
        <v>7699</v>
      </c>
      <c r="T6332" s="22">
        <f t="shared" si="538"/>
        <v>2</v>
      </c>
      <c r="U6332" s="22">
        <f t="shared" si="539"/>
        <v>2023</v>
      </c>
      <c r="V6332" s="22" t="str">
        <f t="shared" si="540"/>
        <v>METROPOLITANA</v>
      </c>
    </row>
    <row r="6333" spans="1:22" x14ac:dyDescent="0.2">
      <c r="A6333" s="23" t="s">
        <v>7694</v>
      </c>
      <c r="B6333" s="22" t="s">
        <v>33</v>
      </c>
      <c r="C6333" s="22" t="s">
        <v>44</v>
      </c>
      <c r="D6333" s="22" t="s">
        <v>3641</v>
      </c>
      <c r="E6333" s="24" t="s">
        <v>5124</v>
      </c>
      <c r="F6333" s="22" t="s">
        <v>84</v>
      </c>
      <c r="G6333" s="25">
        <v>3826.42</v>
      </c>
      <c r="H6333" s="22" t="s">
        <v>24</v>
      </c>
      <c r="I6333" s="22">
        <v>1</v>
      </c>
      <c r="J6333" s="22" t="s">
        <v>84</v>
      </c>
      <c r="K6333" s="22" t="s">
        <v>86</v>
      </c>
      <c r="L6333" s="22">
        <v>0</v>
      </c>
      <c r="M6333" s="26">
        <v>402000</v>
      </c>
      <c r="N6333" s="26">
        <v>0</v>
      </c>
      <c r="O6333" s="15">
        <f t="shared" si="541"/>
        <v>402000</v>
      </c>
      <c r="P6333" s="15">
        <f t="shared" si="542"/>
        <v>105.05903690656018</v>
      </c>
      <c r="Q6333" s="25">
        <v>14000</v>
      </c>
      <c r="R6333" s="22">
        <v>27</v>
      </c>
      <c r="S6333" s="22" t="s">
        <v>7700</v>
      </c>
      <c r="T6333" s="22">
        <f t="shared" si="538"/>
        <v>2</v>
      </c>
      <c r="U6333" s="22">
        <f t="shared" si="539"/>
        <v>2023</v>
      </c>
      <c r="V6333" s="22" t="str">
        <f t="shared" si="540"/>
        <v>REGIONES</v>
      </c>
    </row>
    <row r="6334" spans="1:22" x14ac:dyDescent="0.2">
      <c r="A6334" s="23" t="s">
        <v>7694</v>
      </c>
      <c r="B6334" s="22" t="s">
        <v>33</v>
      </c>
      <c r="C6334" s="22" t="s">
        <v>44</v>
      </c>
      <c r="D6334" s="22" t="s">
        <v>45</v>
      </c>
      <c r="E6334" s="24" t="s">
        <v>1576</v>
      </c>
      <c r="F6334" s="22" t="s">
        <v>95</v>
      </c>
      <c r="G6334" s="25">
        <v>3074.48</v>
      </c>
      <c r="H6334" s="22" t="s">
        <v>22</v>
      </c>
      <c r="I6334" s="22">
        <v>0</v>
      </c>
      <c r="J6334" s="22" t="s">
        <v>95</v>
      </c>
      <c r="K6334" s="22" t="s">
        <v>23</v>
      </c>
      <c r="L6334" s="22">
        <v>4</v>
      </c>
      <c r="M6334" s="26">
        <v>69173</v>
      </c>
      <c r="N6334" s="26">
        <v>0</v>
      </c>
      <c r="O6334" s="15">
        <f t="shared" si="541"/>
        <v>69173</v>
      </c>
      <c r="P6334" s="15">
        <f t="shared" si="542"/>
        <v>22.499089276885847</v>
      </c>
      <c r="Q6334" s="25">
        <v>5000</v>
      </c>
      <c r="R6334" s="22">
        <v>61</v>
      </c>
      <c r="S6334" s="22" t="s">
        <v>7701</v>
      </c>
      <c r="T6334" s="22">
        <f t="shared" si="538"/>
        <v>2</v>
      </c>
      <c r="U6334" s="22">
        <f t="shared" si="539"/>
        <v>2023</v>
      </c>
      <c r="V6334" s="22" t="str">
        <f t="shared" si="540"/>
        <v>METROPOLITANA</v>
      </c>
    </row>
    <row r="6335" spans="1:22" x14ac:dyDescent="0.2">
      <c r="A6335" s="23" t="s">
        <v>7694</v>
      </c>
      <c r="B6335" s="22" t="s">
        <v>33</v>
      </c>
      <c r="C6335" s="22" t="s">
        <v>44</v>
      </c>
      <c r="D6335" s="22" t="s">
        <v>20</v>
      </c>
      <c r="E6335" s="24" t="s">
        <v>21</v>
      </c>
      <c r="F6335" s="22" t="s">
        <v>554</v>
      </c>
      <c r="G6335" s="25">
        <v>2737.12</v>
      </c>
      <c r="H6335" s="22" t="s">
        <v>22</v>
      </c>
      <c r="I6335" s="22">
        <v>0</v>
      </c>
      <c r="J6335" s="22" t="s">
        <v>554</v>
      </c>
      <c r="K6335" s="22" t="s">
        <v>23</v>
      </c>
      <c r="L6335" s="22">
        <v>4</v>
      </c>
      <c r="M6335" s="26">
        <v>69173</v>
      </c>
      <c r="N6335" s="26">
        <v>0</v>
      </c>
      <c r="O6335" s="15">
        <f t="shared" si="541"/>
        <v>69173</v>
      </c>
      <c r="P6335" s="15">
        <f t="shared" si="542"/>
        <v>25.272183901326944</v>
      </c>
      <c r="Q6335" s="25">
        <v>5000</v>
      </c>
      <c r="R6335" s="22">
        <v>55</v>
      </c>
      <c r="S6335" s="22" t="s">
        <v>7702</v>
      </c>
      <c r="T6335" s="22">
        <f t="shared" si="538"/>
        <v>2</v>
      </c>
      <c r="U6335" s="22">
        <f t="shared" si="539"/>
        <v>2023</v>
      </c>
      <c r="V6335" s="22" t="str">
        <f t="shared" si="540"/>
        <v>METROPOLITANA</v>
      </c>
    </row>
    <row r="6336" spans="1:22" x14ac:dyDescent="0.2">
      <c r="A6336" s="11" t="s">
        <v>7703</v>
      </c>
      <c r="B6336" s="12" t="s">
        <v>18</v>
      </c>
      <c r="C6336" s="12" t="s">
        <v>57</v>
      </c>
      <c r="D6336" s="12" t="s">
        <v>38</v>
      </c>
      <c r="E6336" s="13" t="s">
        <v>25</v>
      </c>
      <c r="F6336" s="12" t="s">
        <v>58</v>
      </c>
      <c r="G6336" s="14">
        <v>4128.28</v>
      </c>
      <c r="H6336" s="12" t="s">
        <v>43</v>
      </c>
      <c r="I6336" s="12">
        <v>0</v>
      </c>
      <c r="J6336" s="12" t="s">
        <v>58</v>
      </c>
      <c r="K6336" s="12" t="s">
        <v>23</v>
      </c>
      <c r="L6336" s="12">
        <v>5</v>
      </c>
      <c r="M6336" s="15">
        <v>87500</v>
      </c>
      <c r="N6336" s="15">
        <v>0</v>
      </c>
      <c r="O6336" s="15">
        <f t="shared" si="541"/>
        <v>87500</v>
      </c>
      <c r="P6336" s="15">
        <f t="shared" si="542"/>
        <v>21.195267762845546</v>
      </c>
      <c r="Q6336" s="14">
        <v>10000</v>
      </c>
      <c r="R6336" s="12">
        <v>41</v>
      </c>
      <c r="S6336" s="12" t="s">
        <v>7704</v>
      </c>
      <c r="T6336" s="22">
        <f t="shared" si="538"/>
        <v>2</v>
      </c>
      <c r="U6336" s="22">
        <f t="shared" si="539"/>
        <v>2023</v>
      </c>
      <c r="V6336" s="22" t="str">
        <f t="shared" si="540"/>
        <v>METROPOLITANA</v>
      </c>
    </row>
    <row r="6337" spans="1:22" x14ac:dyDescent="0.2">
      <c r="A6337" s="11" t="s">
        <v>7703</v>
      </c>
      <c r="B6337" s="12" t="s">
        <v>18</v>
      </c>
      <c r="C6337" s="12" t="s">
        <v>7686</v>
      </c>
      <c r="D6337" s="12" t="s">
        <v>1869</v>
      </c>
      <c r="E6337" s="13" t="s">
        <v>1870</v>
      </c>
      <c r="F6337" s="12" t="s">
        <v>2639</v>
      </c>
      <c r="G6337" s="14">
        <v>11454.43</v>
      </c>
      <c r="H6337" s="12" t="s">
        <v>24</v>
      </c>
      <c r="I6337" s="12">
        <v>1</v>
      </c>
      <c r="J6337" s="12" t="s">
        <v>2639</v>
      </c>
      <c r="K6337" s="12" t="s">
        <v>75</v>
      </c>
      <c r="L6337" s="12">
        <v>0</v>
      </c>
      <c r="M6337" s="15">
        <v>478000</v>
      </c>
      <c r="N6337" s="15">
        <v>0</v>
      </c>
      <c r="O6337" s="15">
        <f t="shared" si="541"/>
        <v>478000</v>
      </c>
      <c r="P6337" s="15">
        <f t="shared" si="542"/>
        <v>41.730579347902953</v>
      </c>
      <c r="Q6337" s="14">
        <v>14000</v>
      </c>
      <c r="R6337" s="12">
        <v>82</v>
      </c>
      <c r="S6337" s="12" t="s">
        <v>7705</v>
      </c>
      <c r="T6337" s="22">
        <f t="shared" si="538"/>
        <v>2</v>
      </c>
      <c r="U6337" s="22">
        <f t="shared" si="539"/>
        <v>2023</v>
      </c>
      <c r="V6337" s="22" t="str">
        <f t="shared" si="540"/>
        <v>REGIONES</v>
      </c>
    </row>
    <row r="6338" spans="1:22" x14ac:dyDescent="0.2">
      <c r="A6338" s="11" t="s">
        <v>7703</v>
      </c>
      <c r="B6338" s="12" t="s">
        <v>18</v>
      </c>
      <c r="C6338" s="12" t="s">
        <v>29</v>
      </c>
      <c r="D6338" s="12" t="s">
        <v>6218</v>
      </c>
      <c r="E6338" s="13" t="s">
        <v>5696</v>
      </c>
      <c r="F6338" s="12" t="s">
        <v>39</v>
      </c>
      <c r="G6338" s="14">
        <f>16029.84+10423</f>
        <v>26452.84</v>
      </c>
      <c r="H6338" s="12" t="s">
        <v>24</v>
      </c>
      <c r="I6338" s="12">
        <v>1</v>
      </c>
      <c r="J6338" s="12" t="s">
        <v>39</v>
      </c>
      <c r="K6338" s="12" t="s">
        <v>23</v>
      </c>
      <c r="L6338" s="12">
        <v>1</v>
      </c>
      <c r="M6338" s="15">
        <v>176328</v>
      </c>
      <c r="N6338" s="15">
        <v>0</v>
      </c>
      <c r="O6338" s="15">
        <f t="shared" si="541"/>
        <v>176328</v>
      </c>
      <c r="P6338" s="15">
        <f t="shared" si="542"/>
        <v>6.6657493108490433</v>
      </c>
      <c r="Q6338" s="14">
        <v>5000</v>
      </c>
      <c r="R6338" s="12">
        <v>100</v>
      </c>
      <c r="S6338" s="12" t="s">
        <v>7718</v>
      </c>
      <c r="T6338" s="22">
        <f t="shared" si="538"/>
        <v>2</v>
      </c>
      <c r="U6338" s="22">
        <f t="shared" si="539"/>
        <v>2023</v>
      </c>
      <c r="V6338" s="22" t="str">
        <f t="shared" si="540"/>
        <v>METROPOLITANA</v>
      </c>
    </row>
    <row r="6339" spans="1:22" x14ac:dyDescent="0.2">
      <c r="A6339" s="11" t="s">
        <v>7703</v>
      </c>
      <c r="B6339" s="12" t="s">
        <v>18</v>
      </c>
      <c r="C6339" s="12" t="s">
        <v>29</v>
      </c>
      <c r="D6339" s="12" t="s">
        <v>6221</v>
      </c>
      <c r="E6339" s="13" t="s">
        <v>7100</v>
      </c>
      <c r="F6339" s="12" t="s">
        <v>39</v>
      </c>
      <c r="G6339" s="14">
        <v>27360.48000000001</v>
      </c>
      <c r="H6339" s="12" t="s">
        <v>24</v>
      </c>
      <c r="I6339" s="12">
        <v>1</v>
      </c>
      <c r="J6339" s="12" t="s">
        <v>39</v>
      </c>
      <c r="K6339" s="12" t="s">
        <v>23</v>
      </c>
      <c r="L6339" s="12">
        <v>1</v>
      </c>
      <c r="M6339" s="15">
        <v>300965</v>
      </c>
      <c r="N6339" s="15">
        <v>0</v>
      </c>
      <c r="O6339" s="15">
        <f t="shared" si="541"/>
        <v>300965</v>
      </c>
      <c r="P6339" s="15">
        <f t="shared" si="542"/>
        <v>10.999989766261406</v>
      </c>
      <c r="Q6339" s="14">
        <v>5000</v>
      </c>
      <c r="R6339" s="12">
        <v>100</v>
      </c>
      <c r="S6339" s="12" t="s">
        <v>7706</v>
      </c>
      <c r="T6339" s="22">
        <f t="shared" si="538"/>
        <v>2</v>
      </c>
      <c r="U6339" s="22">
        <f t="shared" si="539"/>
        <v>2023</v>
      </c>
      <c r="V6339" s="22" t="str">
        <f t="shared" si="540"/>
        <v>METROPOLITANA</v>
      </c>
    </row>
    <row r="6340" spans="1:22" x14ac:dyDescent="0.2">
      <c r="A6340" s="11" t="s">
        <v>7703</v>
      </c>
      <c r="B6340" s="12" t="s">
        <v>33</v>
      </c>
      <c r="C6340" s="12" t="s">
        <v>60</v>
      </c>
      <c r="D6340" s="12" t="s">
        <v>786</v>
      </c>
      <c r="E6340" s="13" t="s">
        <v>787</v>
      </c>
      <c r="F6340" s="12" t="s">
        <v>5240</v>
      </c>
      <c r="G6340" s="14">
        <v>18760</v>
      </c>
      <c r="H6340" s="12" t="s">
        <v>788</v>
      </c>
      <c r="I6340" s="12">
        <v>1</v>
      </c>
      <c r="J6340" s="12" t="s">
        <v>5240</v>
      </c>
      <c r="K6340" s="12" t="s">
        <v>78</v>
      </c>
      <c r="L6340" s="12">
        <v>0</v>
      </c>
      <c r="M6340" s="15">
        <v>289000</v>
      </c>
      <c r="N6340" s="15">
        <v>0</v>
      </c>
      <c r="O6340" s="15">
        <f t="shared" si="541"/>
        <v>289000</v>
      </c>
      <c r="P6340" s="15">
        <f t="shared" si="542"/>
        <v>15.405117270788912</v>
      </c>
      <c r="Q6340" s="14">
        <v>14000</v>
      </c>
      <c r="R6340" s="12">
        <v>100</v>
      </c>
      <c r="S6340" s="12" t="s">
        <v>7707</v>
      </c>
      <c r="T6340" s="22">
        <f t="shared" si="538"/>
        <v>2</v>
      </c>
      <c r="U6340" s="22">
        <f t="shared" si="539"/>
        <v>2023</v>
      </c>
      <c r="V6340" s="22" t="str">
        <f t="shared" si="540"/>
        <v>REGIONES</v>
      </c>
    </row>
    <row r="6341" spans="1:22" x14ac:dyDescent="0.2">
      <c r="A6341" s="11" t="s">
        <v>7703</v>
      </c>
      <c r="B6341" s="12" t="s">
        <v>33</v>
      </c>
      <c r="C6341" s="12" t="s">
        <v>1233</v>
      </c>
      <c r="D6341" s="12" t="s">
        <v>45</v>
      </c>
      <c r="E6341" s="13" t="s">
        <v>49</v>
      </c>
      <c r="F6341" s="12" t="s">
        <v>1234</v>
      </c>
      <c r="G6341" s="14">
        <v>1700.4</v>
      </c>
      <c r="H6341" s="12" t="s">
        <v>22</v>
      </c>
      <c r="I6341" s="12">
        <v>0</v>
      </c>
      <c r="J6341" s="12" t="s">
        <v>1234</v>
      </c>
      <c r="K6341" s="12" t="s">
        <v>23</v>
      </c>
      <c r="L6341" s="12">
        <v>3</v>
      </c>
      <c r="M6341" s="15">
        <v>69173</v>
      </c>
      <c r="N6341" s="15">
        <v>0</v>
      </c>
      <c r="O6341" s="15">
        <f t="shared" si="541"/>
        <v>69173</v>
      </c>
      <c r="P6341" s="15">
        <f t="shared" si="542"/>
        <v>40.680428134556571</v>
      </c>
      <c r="Q6341" s="14">
        <v>5000</v>
      </c>
      <c r="R6341" s="12">
        <v>34</v>
      </c>
      <c r="S6341" s="12" t="s">
        <v>7708</v>
      </c>
      <c r="T6341" s="22">
        <f t="shared" si="538"/>
        <v>2</v>
      </c>
      <c r="U6341" s="22">
        <f t="shared" si="539"/>
        <v>2023</v>
      </c>
      <c r="V6341" s="22" t="str">
        <f t="shared" si="540"/>
        <v>METROPOLITANA</v>
      </c>
    </row>
    <row r="6342" spans="1:22" x14ac:dyDescent="0.2">
      <c r="A6342" s="11" t="s">
        <v>7703</v>
      </c>
      <c r="B6342" s="12" t="s">
        <v>33</v>
      </c>
      <c r="C6342" s="12" t="s">
        <v>128</v>
      </c>
      <c r="D6342" s="12" t="s">
        <v>37</v>
      </c>
      <c r="E6342" s="13" t="s">
        <v>40</v>
      </c>
      <c r="F6342" s="12" t="s">
        <v>129</v>
      </c>
      <c r="G6342" s="14">
        <v>6305.2499999999991</v>
      </c>
      <c r="H6342" s="12" t="s">
        <v>22</v>
      </c>
      <c r="I6342" s="12">
        <v>0</v>
      </c>
      <c r="J6342" s="12" t="s">
        <v>129</v>
      </c>
      <c r="K6342" s="12" t="s">
        <v>23</v>
      </c>
      <c r="L6342" s="12">
        <v>1</v>
      </c>
      <c r="M6342" s="15">
        <v>69358</v>
      </c>
      <c r="N6342" s="15">
        <v>0</v>
      </c>
      <c r="O6342" s="15">
        <f t="shared" si="541"/>
        <v>69358</v>
      </c>
      <c r="P6342" s="15">
        <f t="shared" si="542"/>
        <v>11.000039649498435</v>
      </c>
      <c r="Q6342" s="14">
        <v>5000</v>
      </c>
      <c r="R6342" s="12">
        <v>100</v>
      </c>
      <c r="S6342" s="12" t="s">
        <v>7709</v>
      </c>
      <c r="T6342" s="22">
        <f t="shared" si="538"/>
        <v>2</v>
      </c>
      <c r="U6342" s="22">
        <f t="shared" si="539"/>
        <v>2023</v>
      </c>
      <c r="V6342" s="22" t="str">
        <f t="shared" si="540"/>
        <v>METROPOLITANA</v>
      </c>
    </row>
    <row r="6343" spans="1:22" x14ac:dyDescent="0.2">
      <c r="A6343" s="11" t="s">
        <v>7703</v>
      </c>
      <c r="B6343" s="12" t="s">
        <v>33</v>
      </c>
      <c r="C6343" s="12" t="s">
        <v>128</v>
      </c>
      <c r="D6343" s="12" t="s">
        <v>20</v>
      </c>
      <c r="E6343" s="13" t="s">
        <v>21</v>
      </c>
      <c r="F6343" s="12" t="s">
        <v>34</v>
      </c>
      <c r="G6343" s="14">
        <v>2874.8</v>
      </c>
      <c r="H6343" s="12" t="s">
        <v>22</v>
      </c>
      <c r="I6343" s="12">
        <v>0</v>
      </c>
      <c r="J6343" s="12" t="s">
        <v>34</v>
      </c>
      <c r="K6343" s="12" t="s">
        <v>23</v>
      </c>
      <c r="L6343" s="12">
        <v>1</v>
      </c>
      <c r="M6343" s="15">
        <v>69173</v>
      </c>
      <c r="N6343" s="15">
        <v>0</v>
      </c>
      <c r="O6343" s="15">
        <f t="shared" si="541"/>
        <v>69173</v>
      </c>
      <c r="P6343" s="15">
        <f t="shared" si="542"/>
        <v>24.06184778071518</v>
      </c>
      <c r="Q6343" s="14">
        <v>5000</v>
      </c>
      <c r="R6343" s="12">
        <v>57</v>
      </c>
      <c r="S6343" s="12" t="s">
        <v>7710</v>
      </c>
      <c r="T6343" s="22">
        <f t="shared" ref="T6343:T6406" si="543">MONTH(A6343)</f>
        <v>2</v>
      </c>
      <c r="U6343" s="22">
        <f t="shared" ref="U6343:U6406" si="544">YEAR(A6343)</f>
        <v>2023</v>
      </c>
      <c r="V6343" s="22" t="str">
        <f t="shared" ref="V6343:V6406" si="545">IF(K6343="METROPOLITANA DE SANTIAGO","METROPOLITANA","REGIONES")</f>
        <v>METROPOLITANA</v>
      </c>
    </row>
    <row r="6344" spans="1:22" x14ac:dyDescent="0.2">
      <c r="A6344" s="11" t="s">
        <v>7703</v>
      </c>
      <c r="B6344" s="12" t="s">
        <v>33</v>
      </c>
      <c r="C6344" s="12" t="s">
        <v>29</v>
      </c>
      <c r="D6344" s="12" t="s">
        <v>7711</v>
      </c>
      <c r="E6344" s="13" t="s">
        <v>7712</v>
      </c>
      <c r="F6344" s="12" t="s">
        <v>114</v>
      </c>
      <c r="G6344" s="14">
        <f>6870+1374</f>
        <v>8244</v>
      </c>
      <c r="H6344" s="12" t="s">
        <v>24</v>
      </c>
      <c r="I6344" s="12">
        <v>1</v>
      </c>
      <c r="J6344" s="12" t="s">
        <v>114</v>
      </c>
      <c r="K6344" s="12" t="s">
        <v>75</v>
      </c>
      <c r="L6344" s="12">
        <v>0</v>
      </c>
      <c r="M6344" s="15">
        <v>528000</v>
      </c>
      <c r="N6344" s="15">
        <v>0</v>
      </c>
      <c r="O6344" s="15">
        <f t="shared" si="541"/>
        <v>528000</v>
      </c>
      <c r="P6344" s="15">
        <f t="shared" si="542"/>
        <v>64.046579330422119</v>
      </c>
      <c r="Q6344" s="14">
        <v>14000</v>
      </c>
      <c r="R6344" s="12">
        <v>70</v>
      </c>
      <c r="S6344" s="12" t="s">
        <v>7719</v>
      </c>
      <c r="T6344" s="22">
        <f t="shared" si="543"/>
        <v>2</v>
      </c>
      <c r="U6344" s="22">
        <f t="shared" si="544"/>
        <v>2023</v>
      </c>
      <c r="V6344" s="22" t="str">
        <f t="shared" si="545"/>
        <v>REGIONES</v>
      </c>
    </row>
    <row r="6345" spans="1:22" x14ac:dyDescent="0.2">
      <c r="A6345" s="11" t="s">
        <v>7703</v>
      </c>
      <c r="B6345" s="12" t="s">
        <v>33</v>
      </c>
      <c r="C6345" s="12" t="s">
        <v>29</v>
      </c>
      <c r="D6345" s="12" t="s">
        <v>7086</v>
      </c>
      <c r="E6345" s="13" t="s">
        <v>7087</v>
      </c>
      <c r="F6345" s="12" t="s">
        <v>114</v>
      </c>
      <c r="G6345" s="14">
        <v>17968.80000000001</v>
      </c>
      <c r="H6345" s="12" t="s">
        <v>24</v>
      </c>
      <c r="I6345" s="12">
        <v>1</v>
      </c>
      <c r="J6345" s="12" t="s">
        <v>114</v>
      </c>
      <c r="K6345" s="12" t="s">
        <v>75</v>
      </c>
      <c r="L6345" s="12">
        <v>0</v>
      </c>
      <c r="M6345" s="15">
        <v>528000</v>
      </c>
      <c r="N6345" s="15">
        <v>0</v>
      </c>
      <c r="O6345" s="15">
        <f t="shared" si="541"/>
        <v>528000</v>
      </c>
      <c r="P6345" s="15">
        <f t="shared" si="542"/>
        <v>29.384266061172681</v>
      </c>
      <c r="Q6345" s="14">
        <v>14000</v>
      </c>
      <c r="R6345" s="12">
        <v>100</v>
      </c>
      <c r="S6345" s="12" t="s">
        <v>7713</v>
      </c>
      <c r="T6345" s="22">
        <f t="shared" si="543"/>
        <v>2</v>
      </c>
      <c r="U6345" s="22">
        <f t="shared" si="544"/>
        <v>2023</v>
      </c>
      <c r="V6345" s="22" t="str">
        <f t="shared" si="545"/>
        <v>REGIONES</v>
      </c>
    </row>
    <row r="6346" spans="1:22" x14ac:dyDescent="0.2">
      <c r="A6346" s="11" t="s">
        <v>7703</v>
      </c>
      <c r="B6346" s="12" t="s">
        <v>33</v>
      </c>
      <c r="C6346" s="12" t="s">
        <v>29</v>
      </c>
      <c r="D6346" s="12" t="s">
        <v>41</v>
      </c>
      <c r="E6346" s="13" t="s">
        <v>25</v>
      </c>
      <c r="F6346" s="12" t="s">
        <v>39</v>
      </c>
      <c r="G6346" s="14">
        <v>8553.2000000000007</v>
      </c>
      <c r="H6346" s="12" t="s">
        <v>43</v>
      </c>
      <c r="I6346" s="12">
        <v>0</v>
      </c>
      <c r="J6346" s="12" t="s">
        <v>39</v>
      </c>
      <c r="K6346" s="12" t="s">
        <v>23</v>
      </c>
      <c r="L6346" s="12">
        <v>1</v>
      </c>
      <c r="M6346" s="15">
        <v>94085</v>
      </c>
      <c r="N6346" s="15">
        <v>0</v>
      </c>
      <c r="O6346" s="15">
        <f t="shared" si="541"/>
        <v>94085</v>
      </c>
      <c r="P6346" s="15">
        <f t="shared" si="542"/>
        <v>10.999976616938689</v>
      </c>
      <c r="Q6346" s="14">
        <v>5000</v>
      </c>
      <c r="R6346" s="12">
        <v>100</v>
      </c>
      <c r="S6346" s="12" t="s">
        <v>7714</v>
      </c>
      <c r="T6346" s="22">
        <f t="shared" si="543"/>
        <v>2</v>
      </c>
      <c r="U6346" s="22">
        <f t="shared" si="544"/>
        <v>2023</v>
      </c>
      <c r="V6346" s="22" t="str">
        <f t="shared" si="545"/>
        <v>METROPOLITANA</v>
      </c>
    </row>
    <row r="6347" spans="1:22" x14ac:dyDescent="0.2">
      <c r="A6347" s="11" t="s">
        <v>7703</v>
      </c>
      <c r="B6347" s="12" t="s">
        <v>33</v>
      </c>
      <c r="C6347" s="12" t="s">
        <v>29</v>
      </c>
      <c r="D6347" s="12" t="s">
        <v>164</v>
      </c>
      <c r="E6347" s="13" t="s">
        <v>1576</v>
      </c>
      <c r="F6347" s="12" t="s">
        <v>39</v>
      </c>
      <c r="G6347" s="14">
        <v>14150.91</v>
      </c>
      <c r="H6347" s="12" t="s">
        <v>22</v>
      </c>
      <c r="I6347" s="12">
        <v>1</v>
      </c>
      <c r="J6347" s="12" t="s">
        <v>39</v>
      </c>
      <c r="K6347" s="12" t="s">
        <v>23</v>
      </c>
      <c r="L6347" s="12">
        <v>1</v>
      </c>
      <c r="M6347" s="15">
        <v>155660</v>
      </c>
      <c r="N6347" s="15">
        <v>0</v>
      </c>
      <c r="O6347" s="15">
        <f t="shared" si="541"/>
        <v>155660</v>
      </c>
      <c r="P6347" s="15">
        <f t="shared" si="542"/>
        <v>10.999999293331665</v>
      </c>
      <c r="Q6347" s="14">
        <v>5000</v>
      </c>
      <c r="R6347" s="12">
        <v>100</v>
      </c>
      <c r="S6347" s="12" t="s">
        <v>7715</v>
      </c>
      <c r="T6347" s="22">
        <f t="shared" si="543"/>
        <v>2</v>
      </c>
      <c r="U6347" s="22">
        <f t="shared" si="544"/>
        <v>2023</v>
      </c>
      <c r="V6347" s="22" t="str">
        <f t="shared" si="545"/>
        <v>METROPOLITANA</v>
      </c>
    </row>
    <row r="6348" spans="1:22" x14ac:dyDescent="0.2">
      <c r="A6348" s="11" t="s">
        <v>7703</v>
      </c>
      <c r="B6348" s="12" t="s">
        <v>33</v>
      </c>
      <c r="C6348" s="12" t="s">
        <v>44</v>
      </c>
      <c r="D6348" s="12" t="s">
        <v>7716</v>
      </c>
      <c r="E6348" s="13" t="s">
        <v>410</v>
      </c>
      <c r="F6348" s="12" t="s">
        <v>39</v>
      </c>
      <c r="G6348" s="14">
        <v>3854.24</v>
      </c>
      <c r="H6348" s="12" t="s">
        <v>85</v>
      </c>
      <c r="I6348" s="12">
        <v>1</v>
      </c>
      <c r="J6348" s="12" t="s">
        <v>39</v>
      </c>
      <c r="K6348" s="12" t="s">
        <v>23</v>
      </c>
      <c r="L6348" s="12">
        <v>1</v>
      </c>
      <c r="M6348" s="15">
        <v>69173</v>
      </c>
      <c r="N6348" s="15">
        <v>0</v>
      </c>
      <c r="O6348" s="15">
        <f t="shared" si="541"/>
        <v>69173</v>
      </c>
      <c r="P6348" s="15">
        <f t="shared" si="542"/>
        <v>17.947247706422019</v>
      </c>
      <c r="Q6348" s="14">
        <v>5000</v>
      </c>
      <c r="R6348" s="12">
        <v>77</v>
      </c>
      <c r="S6348" s="12" t="s">
        <v>7717</v>
      </c>
      <c r="T6348" s="22">
        <f t="shared" si="543"/>
        <v>2</v>
      </c>
      <c r="U6348" s="22">
        <f t="shared" si="544"/>
        <v>2023</v>
      </c>
      <c r="V6348" s="22" t="str">
        <f t="shared" si="545"/>
        <v>METROPOLITANA</v>
      </c>
    </row>
    <row r="6349" spans="1:22" x14ac:dyDescent="0.2">
      <c r="A6349" s="23" t="s">
        <v>7720</v>
      </c>
      <c r="B6349" s="22" t="s">
        <v>33</v>
      </c>
      <c r="C6349" s="22" t="s">
        <v>451</v>
      </c>
      <c r="D6349" s="22" t="s">
        <v>2955</v>
      </c>
      <c r="E6349" s="24" t="s">
        <v>2956</v>
      </c>
      <c r="F6349" s="22" t="s">
        <v>452</v>
      </c>
      <c r="G6349" s="25">
        <v>8372.0300000000007</v>
      </c>
      <c r="H6349" s="22" t="s">
        <v>24</v>
      </c>
      <c r="I6349" s="22">
        <v>1</v>
      </c>
      <c r="J6349" s="22" t="s">
        <v>452</v>
      </c>
      <c r="K6349" s="22" t="s">
        <v>171</v>
      </c>
      <c r="L6349" s="22">
        <v>0</v>
      </c>
      <c r="M6349" s="26">
        <v>300000</v>
      </c>
      <c r="N6349" s="26">
        <v>0</v>
      </c>
      <c r="O6349" s="15">
        <f t="shared" si="541"/>
        <v>300000</v>
      </c>
      <c r="P6349" s="15">
        <f t="shared" si="542"/>
        <v>35.833603080734299</v>
      </c>
      <c r="Q6349" s="25">
        <v>14000</v>
      </c>
      <c r="R6349" s="22">
        <v>60</v>
      </c>
      <c r="S6349" s="22" t="s">
        <v>7721</v>
      </c>
      <c r="T6349" s="22">
        <f t="shared" si="543"/>
        <v>3</v>
      </c>
      <c r="U6349" s="22">
        <f t="shared" si="544"/>
        <v>2023</v>
      </c>
      <c r="V6349" s="22" t="str">
        <f t="shared" si="545"/>
        <v>REGIONES</v>
      </c>
    </row>
    <row r="6350" spans="1:22" x14ac:dyDescent="0.2">
      <c r="A6350" s="23" t="s">
        <v>7720</v>
      </c>
      <c r="B6350" s="22" t="s">
        <v>33</v>
      </c>
      <c r="C6350" s="22" t="s">
        <v>36</v>
      </c>
      <c r="D6350" s="22" t="s">
        <v>2825</v>
      </c>
      <c r="E6350" s="24" t="s">
        <v>639</v>
      </c>
      <c r="F6350" s="22" t="s">
        <v>2744</v>
      </c>
      <c r="G6350" s="25">
        <f>4086+3002</f>
        <v>7088</v>
      </c>
      <c r="H6350" s="22" t="s">
        <v>24</v>
      </c>
      <c r="I6350" s="22">
        <v>1</v>
      </c>
      <c r="J6350" s="22" t="s">
        <v>2744</v>
      </c>
      <c r="K6350" s="22" t="s">
        <v>75</v>
      </c>
      <c r="L6350" s="22">
        <v>0</v>
      </c>
      <c r="M6350" s="26">
        <v>478000</v>
      </c>
      <c r="N6350" s="26">
        <v>0</v>
      </c>
      <c r="O6350" s="15">
        <f t="shared" si="541"/>
        <v>478000</v>
      </c>
      <c r="P6350" s="15">
        <f t="shared" si="542"/>
        <v>67.437923250564339</v>
      </c>
      <c r="Q6350" s="25">
        <v>14000</v>
      </c>
      <c r="R6350" s="22">
        <v>55</v>
      </c>
      <c r="S6350" s="22" t="s">
        <v>7729</v>
      </c>
      <c r="T6350" s="22">
        <f t="shared" si="543"/>
        <v>3</v>
      </c>
      <c r="U6350" s="22">
        <f t="shared" si="544"/>
        <v>2023</v>
      </c>
      <c r="V6350" s="22" t="str">
        <f t="shared" si="545"/>
        <v>REGIONES</v>
      </c>
    </row>
    <row r="6351" spans="1:22" x14ac:dyDescent="0.2">
      <c r="A6351" s="23" t="s">
        <v>7720</v>
      </c>
      <c r="B6351" s="22" t="s">
        <v>33</v>
      </c>
      <c r="C6351" s="22" t="s">
        <v>909</v>
      </c>
      <c r="D6351" s="22" t="s">
        <v>6989</v>
      </c>
      <c r="E6351" s="24" t="s">
        <v>544</v>
      </c>
      <c r="F6351" s="22" t="s">
        <v>3781</v>
      </c>
      <c r="G6351" s="25">
        <f>8563.28+1506</f>
        <v>10069.280000000001</v>
      </c>
      <c r="H6351" s="22" t="s">
        <v>24</v>
      </c>
      <c r="I6351" s="22">
        <v>1</v>
      </c>
      <c r="J6351" s="22" t="s">
        <v>3781</v>
      </c>
      <c r="K6351" s="22" t="s">
        <v>171</v>
      </c>
      <c r="L6351" s="22">
        <v>0</v>
      </c>
      <c r="M6351" s="26">
        <v>289000</v>
      </c>
      <c r="N6351" s="26">
        <v>0</v>
      </c>
      <c r="O6351" s="15">
        <f t="shared" si="541"/>
        <v>289000</v>
      </c>
      <c r="P6351" s="15">
        <f t="shared" si="542"/>
        <v>28.701158374779524</v>
      </c>
      <c r="Q6351" s="25">
        <v>14000</v>
      </c>
      <c r="R6351" s="22">
        <v>75</v>
      </c>
      <c r="S6351" s="22" t="s">
        <v>7730</v>
      </c>
      <c r="T6351" s="22">
        <f t="shared" si="543"/>
        <v>3</v>
      </c>
      <c r="U6351" s="22">
        <f t="shared" si="544"/>
        <v>2023</v>
      </c>
      <c r="V6351" s="22" t="str">
        <f t="shared" si="545"/>
        <v>REGIONES</v>
      </c>
    </row>
    <row r="6352" spans="1:22" x14ac:dyDescent="0.2">
      <c r="A6352" s="23" t="s">
        <v>7720</v>
      </c>
      <c r="B6352" s="22" t="s">
        <v>33</v>
      </c>
      <c r="C6352" s="22" t="s">
        <v>29</v>
      </c>
      <c r="D6352" s="22" t="s">
        <v>38</v>
      </c>
      <c r="E6352" s="24" t="s">
        <v>42</v>
      </c>
      <c r="F6352" s="22" t="s">
        <v>173</v>
      </c>
      <c r="G6352" s="25">
        <v>5550.4</v>
      </c>
      <c r="H6352" s="22" t="s">
        <v>43</v>
      </c>
      <c r="I6352" s="22">
        <v>0</v>
      </c>
      <c r="J6352" s="22" t="s">
        <v>173</v>
      </c>
      <c r="K6352" s="22" t="s">
        <v>23</v>
      </c>
      <c r="L6352" s="22">
        <v>5</v>
      </c>
      <c r="M6352" s="26">
        <v>112500</v>
      </c>
      <c r="N6352" s="26">
        <v>0</v>
      </c>
      <c r="O6352" s="15">
        <f t="shared" si="541"/>
        <v>112500</v>
      </c>
      <c r="P6352" s="15">
        <f t="shared" si="542"/>
        <v>20.268809455174402</v>
      </c>
      <c r="Q6352" s="25">
        <v>10000</v>
      </c>
      <c r="R6352" s="22">
        <v>56</v>
      </c>
      <c r="S6352" s="22" t="s">
        <v>7722</v>
      </c>
      <c r="T6352" s="22">
        <f t="shared" si="543"/>
        <v>3</v>
      </c>
      <c r="U6352" s="22">
        <f t="shared" si="544"/>
        <v>2023</v>
      </c>
      <c r="V6352" s="22" t="str">
        <f t="shared" si="545"/>
        <v>METROPOLITANA</v>
      </c>
    </row>
    <row r="6353" spans="1:22" x14ac:dyDescent="0.2">
      <c r="A6353" s="23" t="s">
        <v>7720</v>
      </c>
      <c r="B6353" s="22" t="s">
        <v>33</v>
      </c>
      <c r="C6353" s="22" t="s">
        <v>44</v>
      </c>
      <c r="D6353" s="22" t="s">
        <v>38</v>
      </c>
      <c r="E6353" s="24" t="s">
        <v>42</v>
      </c>
      <c r="F6353" s="22" t="s">
        <v>229</v>
      </c>
      <c r="G6353" s="25">
        <v>8065.4199999999973</v>
      </c>
      <c r="H6353" s="22" t="s">
        <v>43</v>
      </c>
      <c r="I6353" s="22">
        <v>0</v>
      </c>
      <c r="J6353" s="22" t="s">
        <v>230</v>
      </c>
      <c r="K6353" s="22" t="s">
        <v>23</v>
      </c>
      <c r="L6353" s="22">
        <v>4</v>
      </c>
      <c r="M6353" s="26">
        <v>88720</v>
      </c>
      <c r="N6353" s="26">
        <v>0</v>
      </c>
      <c r="O6353" s="15">
        <f t="shared" si="541"/>
        <v>88720</v>
      </c>
      <c r="P6353" s="15">
        <f t="shared" si="542"/>
        <v>11.000047114719386</v>
      </c>
      <c r="Q6353" s="25">
        <v>5000</v>
      </c>
      <c r="R6353" s="22">
        <v>100</v>
      </c>
      <c r="S6353" s="22" t="s">
        <v>7723</v>
      </c>
      <c r="T6353" s="22">
        <f t="shared" si="543"/>
        <v>3</v>
      </c>
      <c r="U6353" s="22">
        <f t="shared" si="544"/>
        <v>2023</v>
      </c>
      <c r="V6353" s="22" t="str">
        <f t="shared" si="545"/>
        <v>METROPOLITANA</v>
      </c>
    </row>
    <row r="6354" spans="1:22" x14ac:dyDescent="0.2">
      <c r="A6354" s="23" t="s">
        <v>7720</v>
      </c>
      <c r="B6354" s="22" t="s">
        <v>33</v>
      </c>
      <c r="C6354" s="22" t="s">
        <v>44</v>
      </c>
      <c r="D6354" s="22" t="s">
        <v>37</v>
      </c>
      <c r="E6354" s="24" t="s">
        <v>40</v>
      </c>
      <c r="F6354" s="22" t="s">
        <v>94</v>
      </c>
      <c r="G6354" s="25">
        <f>5149.86+1099</f>
        <v>6248.86</v>
      </c>
      <c r="H6354" s="22" t="s">
        <v>22</v>
      </c>
      <c r="I6354" s="22">
        <v>0</v>
      </c>
      <c r="J6354" s="22" t="s">
        <v>59</v>
      </c>
      <c r="K6354" s="22" t="s">
        <v>78</v>
      </c>
      <c r="L6354" s="22">
        <v>0</v>
      </c>
      <c r="M6354" s="26">
        <v>227000</v>
      </c>
      <c r="N6354" s="26">
        <v>0</v>
      </c>
      <c r="O6354" s="15">
        <f t="shared" si="541"/>
        <v>227000</v>
      </c>
      <c r="P6354" s="15">
        <f t="shared" si="542"/>
        <v>36.326625976578129</v>
      </c>
      <c r="Q6354" s="25">
        <v>14000</v>
      </c>
      <c r="R6354" s="22">
        <v>55</v>
      </c>
      <c r="S6354" s="22" t="s">
        <v>7731</v>
      </c>
      <c r="T6354" s="22">
        <f t="shared" si="543"/>
        <v>3</v>
      </c>
      <c r="U6354" s="22">
        <f t="shared" si="544"/>
        <v>2023</v>
      </c>
      <c r="V6354" s="22" t="str">
        <f t="shared" si="545"/>
        <v>REGIONES</v>
      </c>
    </row>
    <row r="6355" spans="1:22" x14ac:dyDescent="0.2">
      <c r="A6355" s="23" t="s">
        <v>7720</v>
      </c>
      <c r="B6355" s="22" t="s">
        <v>33</v>
      </c>
      <c r="C6355" s="22" t="s">
        <v>44</v>
      </c>
      <c r="D6355" s="22" t="s">
        <v>7724</v>
      </c>
      <c r="E6355" s="24" t="s">
        <v>7725</v>
      </c>
      <c r="F6355" s="22" t="s">
        <v>39</v>
      </c>
      <c r="G6355" s="25">
        <v>1812</v>
      </c>
      <c r="H6355" s="22" t="s">
        <v>24</v>
      </c>
      <c r="I6355" s="22">
        <v>1</v>
      </c>
      <c r="J6355" s="22" t="s">
        <v>39</v>
      </c>
      <c r="K6355" s="22" t="s">
        <v>23</v>
      </c>
      <c r="L6355" s="22">
        <v>1</v>
      </c>
      <c r="M6355" s="26">
        <v>69173</v>
      </c>
      <c r="N6355" s="26">
        <v>0</v>
      </c>
      <c r="O6355" s="15">
        <f t="shared" si="541"/>
        <v>69173</v>
      </c>
      <c r="P6355" s="15">
        <f t="shared" si="542"/>
        <v>38.174944812362028</v>
      </c>
      <c r="Q6355" s="25">
        <v>5000</v>
      </c>
      <c r="R6355" s="22">
        <v>36</v>
      </c>
      <c r="S6355" s="22" t="s">
        <v>7726</v>
      </c>
      <c r="T6355" s="22">
        <f t="shared" si="543"/>
        <v>3</v>
      </c>
      <c r="U6355" s="22">
        <f t="shared" si="544"/>
        <v>2023</v>
      </c>
      <c r="V6355" s="22" t="str">
        <f t="shared" si="545"/>
        <v>METROPOLITANA</v>
      </c>
    </row>
    <row r="6356" spans="1:22" x14ac:dyDescent="0.2">
      <c r="A6356" s="23" t="s">
        <v>7720</v>
      </c>
      <c r="B6356" s="22" t="s">
        <v>33</v>
      </c>
      <c r="C6356" s="22" t="s">
        <v>44</v>
      </c>
      <c r="D6356" s="22" t="s">
        <v>45</v>
      </c>
      <c r="E6356" s="24" t="s">
        <v>49</v>
      </c>
      <c r="F6356" s="22" t="s">
        <v>138</v>
      </c>
      <c r="G6356" s="25">
        <v>2578.3000000000002</v>
      </c>
      <c r="H6356" s="22" t="s">
        <v>22</v>
      </c>
      <c r="I6356" s="22">
        <v>0</v>
      </c>
      <c r="J6356" s="22" t="s">
        <v>138</v>
      </c>
      <c r="K6356" s="22" t="s">
        <v>23</v>
      </c>
      <c r="L6356" s="22">
        <v>3</v>
      </c>
      <c r="M6356" s="26">
        <v>69173</v>
      </c>
      <c r="N6356" s="26">
        <v>0</v>
      </c>
      <c r="O6356" s="15">
        <f t="shared" si="541"/>
        <v>69173</v>
      </c>
      <c r="P6356" s="15">
        <f t="shared" si="542"/>
        <v>26.82891827948648</v>
      </c>
      <c r="Q6356" s="25">
        <v>5000</v>
      </c>
      <c r="R6356" s="22">
        <v>52</v>
      </c>
      <c r="S6356" s="22" t="s">
        <v>7727</v>
      </c>
      <c r="T6356" s="22">
        <f t="shared" si="543"/>
        <v>3</v>
      </c>
      <c r="U6356" s="22">
        <f t="shared" si="544"/>
        <v>2023</v>
      </c>
      <c r="V6356" s="22" t="str">
        <f t="shared" si="545"/>
        <v>METROPOLITANA</v>
      </c>
    </row>
    <row r="6357" spans="1:22" x14ac:dyDescent="0.2">
      <c r="A6357" s="23" t="s">
        <v>7720</v>
      </c>
      <c r="B6357" s="22" t="s">
        <v>33</v>
      </c>
      <c r="C6357" s="22" t="s">
        <v>44</v>
      </c>
      <c r="D6357" s="22" t="s">
        <v>20</v>
      </c>
      <c r="E6357" s="24" t="s">
        <v>21</v>
      </c>
      <c r="F6357" s="22" t="s">
        <v>48</v>
      </c>
      <c r="G6357" s="25">
        <v>4212.18</v>
      </c>
      <c r="H6357" s="22" t="s">
        <v>22</v>
      </c>
      <c r="I6357" s="22">
        <v>0</v>
      </c>
      <c r="J6357" s="22" t="s">
        <v>48</v>
      </c>
      <c r="K6357" s="22" t="s">
        <v>23</v>
      </c>
      <c r="L6357" s="22">
        <v>1</v>
      </c>
      <c r="M6357" s="26">
        <v>69173</v>
      </c>
      <c r="N6357" s="26">
        <v>0</v>
      </c>
      <c r="O6357" s="15">
        <f t="shared" si="541"/>
        <v>69173</v>
      </c>
      <c r="P6357" s="15">
        <f t="shared" si="542"/>
        <v>16.422137705416198</v>
      </c>
      <c r="Q6357" s="25">
        <v>5000</v>
      </c>
      <c r="R6357" s="22">
        <v>84</v>
      </c>
      <c r="S6357" s="22" t="s">
        <v>7728</v>
      </c>
      <c r="T6357" s="22">
        <f t="shared" si="543"/>
        <v>3</v>
      </c>
      <c r="U6357" s="22">
        <f t="shared" si="544"/>
        <v>2023</v>
      </c>
      <c r="V6357" s="22" t="str">
        <f t="shared" si="545"/>
        <v>METROPOLITANA</v>
      </c>
    </row>
    <row r="6358" spans="1:22" x14ac:dyDescent="0.2">
      <c r="A6358" s="11" t="s">
        <v>7732</v>
      </c>
      <c r="B6358" s="12" t="s">
        <v>18</v>
      </c>
      <c r="C6358" s="12" t="s">
        <v>7400</v>
      </c>
      <c r="D6358" s="12" t="s">
        <v>37</v>
      </c>
      <c r="E6358" s="13" t="s">
        <v>40</v>
      </c>
      <c r="F6358" s="12" t="s">
        <v>51</v>
      </c>
      <c r="G6358" s="14">
        <f>6939.52+4461</f>
        <v>11400.52</v>
      </c>
      <c r="H6358" s="12" t="s">
        <v>22</v>
      </c>
      <c r="I6358" s="12">
        <v>0</v>
      </c>
      <c r="J6358" s="12" t="s">
        <v>51</v>
      </c>
      <c r="K6358" s="12" t="s">
        <v>23</v>
      </c>
      <c r="L6358" s="12">
        <v>4</v>
      </c>
      <c r="M6358" s="15">
        <v>76335</v>
      </c>
      <c r="N6358" s="15">
        <v>0</v>
      </c>
      <c r="O6358" s="15">
        <f t="shared" si="541"/>
        <v>76335</v>
      </c>
      <c r="P6358" s="15">
        <f t="shared" si="542"/>
        <v>6.6957472115307022</v>
      </c>
      <c r="Q6358" s="14">
        <v>5000</v>
      </c>
      <c r="R6358" s="12">
        <v>100</v>
      </c>
      <c r="S6358" s="12" t="s">
        <v>7739</v>
      </c>
      <c r="T6358" s="22">
        <f t="shared" si="543"/>
        <v>3</v>
      </c>
      <c r="U6358" s="22">
        <f t="shared" si="544"/>
        <v>2023</v>
      </c>
      <c r="V6358" s="22" t="str">
        <f t="shared" si="545"/>
        <v>METROPOLITANA</v>
      </c>
    </row>
    <row r="6359" spans="1:22" x14ac:dyDescent="0.2">
      <c r="A6359" s="11" t="s">
        <v>7732</v>
      </c>
      <c r="B6359" s="12" t="s">
        <v>33</v>
      </c>
      <c r="C6359" s="12" t="s">
        <v>5851</v>
      </c>
      <c r="D6359" s="12" t="s">
        <v>786</v>
      </c>
      <c r="E6359" s="13" t="s">
        <v>787</v>
      </c>
      <c r="F6359" s="12" t="s">
        <v>274</v>
      </c>
      <c r="G6359" s="14">
        <v>13488.900000000011</v>
      </c>
      <c r="H6359" s="12" t="s">
        <v>788</v>
      </c>
      <c r="I6359" s="12">
        <v>1</v>
      </c>
      <c r="J6359" s="12" t="s">
        <v>274</v>
      </c>
      <c r="K6359" s="12" t="s">
        <v>78</v>
      </c>
      <c r="L6359" s="12">
        <v>0</v>
      </c>
      <c r="M6359" s="15">
        <v>289000</v>
      </c>
      <c r="N6359" s="15">
        <v>0</v>
      </c>
      <c r="O6359" s="15">
        <f t="shared" si="541"/>
        <v>289000</v>
      </c>
      <c r="P6359" s="15">
        <f t="shared" si="542"/>
        <v>21.425023537871862</v>
      </c>
      <c r="Q6359" s="14">
        <v>14000</v>
      </c>
      <c r="R6359" s="12">
        <v>96</v>
      </c>
      <c r="S6359" s="12" t="s">
        <v>7733</v>
      </c>
      <c r="T6359" s="22">
        <f t="shared" si="543"/>
        <v>3</v>
      </c>
      <c r="U6359" s="22">
        <f t="shared" si="544"/>
        <v>2023</v>
      </c>
      <c r="V6359" s="22" t="str">
        <f t="shared" si="545"/>
        <v>REGIONES</v>
      </c>
    </row>
    <row r="6360" spans="1:22" x14ac:dyDescent="0.2">
      <c r="A6360" s="11" t="s">
        <v>7732</v>
      </c>
      <c r="B6360" s="12" t="s">
        <v>33</v>
      </c>
      <c r="C6360" s="12" t="s">
        <v>87</v>
      </c>
      <c r="D6360" s="12" t="s">
        <v>164</v>
      </c>
      <c r="E6360" s="13" t="s">
        <v>1576</v>
      </c>
      <c r="F6360" s="12" t="s">
        <v>51</v>
      </c>
      <c r="G6360" s="14">
        <v>13212.000000000009</v>
      </c>
      <c r="H6360" s="12" t="s">
        <v>22</v>
      </c>
      <c r="I6360" s="12">
        <v>1</v>
      </c>
      <c r="J6360" s="12" t="s">
        <v>51</v>
      </c>
      <c r="K6360" s="12" t="s">
        <v>23</v>
      </c>
      <c r="L6360" s="12">
        <v>4</v>
      </c>
      <c r="M6360" s="15">
        <v>145332</v>
      </c>
      <c r="N6360" s="15">
        <v>0</v>
      </c>
      <c r="O6360" s="15">
        <f t="shared" si="541"/>
        <v>145332</v>
      </c>
      <c r="P6360" s="15">
        <f t="shared" si="542"/>
        <v>10.999999999999993</v>
      </c>
      <c r="Q6360" s="14">
        <v>5000</v>
      </c>
      <c r="R6360" s="12">
        <v>100</v>
      </c>
      <c r="S6360" s="12" t="s">
        <v>7734</v>
      </c>
      <c r="T6360" s="22">
        <f t="shared" si="543"/>
        <v>3</v>
      </c>
      <c r="U6360" s="22">
        <f t="shared" si="544"/>
        <v>2023</v>
      </c>
      <c r="V6360" s="22" t="str">
        <f t="shared" si="545"/>
        <v>METROPOLITANA</v>
      </c>
    </row>
    <row r="6361" spans="1:22" x14ac:dyDescent="0.2">
      <c r="A6361" s="11" t="s">
        <v>7732</v>
      </c>
      <c r="B6361" s="12" t="s">
        <v>33</v>
      </c>
      <c r="C6361" s="12" t="s">
        <v>29</v>
      </c>
      <c r="D6361" s="12" t="s">
        <v>38</v>
      </c>
      <c r="E6361" s="13" t="s">
        <v>42</v>
      </c>
      <c r="F6361" s="12" t="s">
        <v>39</v>
      </c>
      <c r="G6361" s="14">
        <v>9423.5000000000018</v>
      </c>
      <c r="H6361" s="12" t="s">
        <v>43</v>
      </c>
      <c r="I6361" s="12">
        <v>0</v>
      </c>
      <c r="J6361" s="12" t="s">
        <v>39</v>
      </c>
      <c r="K6361" s="12" t="s">
        <v>23</v>
      </c>
      <c r="L6361" s="12">
        <v>1</v>
      </c>
      <c r="M6361" s="15">
        <v>103659</v>
      </c>
      <c r="N6361" s="15">
        <v>0</v>
      </c>
      <c r="O6361" s="15">
        <f t="shared" si="541"/>
        <v>103659</v>
      </c>
      <c r="P6361" s="15">
        <f t="shared" si="542"/>
        <v>11.000053058842253</v>
      </c>
      <c r="Q6361" s="14">
        <v>5000</v>
      </c>
      <c r="R6361" s="12">
        <v>100</v>
      </c>
      <c r="S6361" s="12" t="s">
        <v>7735</v>
      </c>
      <c r="T6361" s="22">
        <f t="shared" si="543"/>
        <v>3</v>
      </c>
      <c r="U6361" s="22">
        <f t="shared" si="544"/>
        <v>2023</v>
      </c>
      <c r="V6361" s="22" t="str">
        <f t="shared" si="545"/>
        <v>METROPOLITANA</v>
      </c>
    </row>
    <row r="6362" spans="1:22" x14ac:dyDescent="0.2">
      <c r="A6362" s="11" t="s">
        <v>7732</v>
      </c>
      <c r="B6362" s="12" t="s">
        <v>33</v>
      </c>
      <c r="C6362" s="12" t="s">
        <v>29</v>
      </c>
      <c r="D6362" s="12" t="s">
        <v>164</v>
      </c>
      <c r="E6362" s="13" t="s">
        <v>1576</v>
      </c>
      <c r="F6362" s="12" t="s">
        <v>39</v>
      </c>
      <c r="G6362" s="14">
        <v>15121.679999999989</v>
      </c>
      <c r="H6362" s="12" t="s">
        <v>22</v>
      </c>
      <c r="I6362" s="12">
        <v>1</v>
      </c>
      <c r="J6362" s="12" t="s">
        <v>39</v>
      </c>
      <c r="K6362" s="12" t="s">
        <v>23</v>
      </c>
      <c r="L6362" s="12">
        <v>1</v>
      </c>
      <c r="M6362" s="15">
        <v>166338</v>
      </c>
      <c r="N6362" s="15">
        <v>0</v>
      </c>
      <c r="O6362" s="15">
        <f t="shared" si="541"/>
        <v>166338</v>
      </c>
      <c r="P6362" s="15">
        <f t="shared" si="542"/>
        <v>10.999968257495206</v>
      </c>
      <c r="Q6362" s="14">
        <v>5000</v>
      </c>
      <c r="R6362" s="12">
        <v>100</v>
      </c>
      <c r="S6362" s="12" t="s">
        <v>7736</v>
      </c>
      <c r="T6362" s="22">
        <f t="shared" si="543"/>
        <v>3</v>
      </c>
      <c r="U6362" s="22">
        <f t="shared" si="544"/>
        <v>2023</v>
      </c>
      <c r="V6362" s="22" t="str">
        <f t="shared" si="545"/>
        <v>METROPOLITANA</v>
      </c>
    </row>
    <row r="6363" spans="1:22" x14ac:dyDescent="0.2">
      <c r="A6363" s="11" t="s">
        <v>7732</v>
      </c>
      <c r="B6363" s="12" t="s">
        <v>33</v>
      </c>
      <c r="C6363" s="12" t="s">
        <v>29</v>
      </c>
      <c r="D6363" s="12" t="s">
        <v>20</v>
      </c>
      <c r="E6363" s="13" t="s">
        <v>21</v>
      </c>
      <c r="F6363" s="12" t="s">
        <v>129</v>
      </c>
      <c r="G6363" s="14">
        <v>4166.8</v>
      </c>
      <c r="H6363" s="12" t="s">
        <v>22</v>
      </c>
      <c r="I6363" s="12">
        <v>0</v>
      </c>
      <c r="J6363" s="12" t="s">
        <v>129</v>
      </c>
      <c r="K6363" s="12" t="s">
        <v>23</v>
      </c>
      <c r="L6363" s="12">
        <v>1</v>
      </c>
      <c r="M6363" s="15">
        <v>69173</v>
      </c>
      <c r="N6363" s="15">
        <v>0</v>
      </c>
      <c r="O6363" s="15">
        <f t="shared" si="541"/>
        <v>69173</v>
      </c>
      <c r="P6363" s="15">
        <f t="shared" si="542"/>
        <v>16.600988768359411</v>
      </c>
      <c r="Q6363" s="14">
        <v>5000</v>
      </c>
      <c r="R6363" s="12">
        <v>83</v>
      </c>
      <c r="S6363" s="12" t="s">
        <v>7737</v>
      </c>
      <c r="T6363" s="22">
        <f t="shared" si="543"/>
        <v>3</v>
      </c>
      <c r="U6363" s="22">
        <f t="shared" si="544"/>
        <v>2023</v>
      </c>
      <c r="V6363" s="22" t="str">
        <f t="shared" si="545"/>
        <v>METROPOLITANA</v>
      </c>
    </row>
    <row r="6364" spans="1:22" x14ac:dyDescent="0.2">
      <c r="A6364" s="11" t="s">
        <v>7732</v>
      </c>
      <c r="B6364" s="12" t="s">
        <v>33</v>
      </c>
      <c r="C6364" s="12" t="s">
        <v>44</v>
      </c>
      <c r="D6364" s="12" t="s">
        <v>1869</v>
      </c>
      <c r="E6364" s="13" t="s">
        <v>1870</v>
      </c>
      <c r="F6364" s="12" t="s">
        <v>3438</v>
      </c>
      <c r="G6364" s="14">
        <f>7064.644323</f>
        <v>7064.6443230000004</v>
      </c>
      <c r="H6364" s="12" t="s">
        <v>24</v>
      </c>
      <c r="I6364" s="12">
        <v>1</v>
      </c>
      <c r="J6364" s="12" t="s">
        <v>3438</v>
      </c>
      <c r="K6364" s="12" t="s">
        <v>93</v>
      </c>
      <c r="L6364" s="12">
        <v>0</v>
      </c>
      <c r="M6364" s="15">
        <v>943000</v>
      </c>
      <c r="N6364" s="15">
        <v>0</v>
      </c>
      <c r="O6364" s="15">
        <f t="shared" si="541"/>
        <v>943000</v>
      </c>
      <c r="P6364" s="15">
        <v>25</v>
      </c>
      <c r="Q6364" s="14">
        <v>14000</v>
      </c>
      <c r="R6364" s="12">
        <v>85</v>
      </c>
      <c r="S6364" s="12" t="s">
        <v>7740</v>
      </c>
      <c r="T6364" s="22">
        <f t="shared" si="543"/>
        <v>3</v>
      </c>
      <c r="U6364" s="22">
        <f t="shared" si="544"/>
        <v>2023</v>
      </c>
      <c r="V6364" s="22" t="str">
        <f t="shared" si="545"/>
        <v>REGIONES</v>
      </c>
    </row>
    <row r="6365" spans="1:22" x14ac:dyDescent="0.2">
      <c r="A6365" s="11" t="s">
        <v>7732</v>
      </c>
      <c r="B6365" s="12" t="s">
        <v>33</v>
      </c>
      <c r="C6365" s="12" t="s">
        <v>44</v>
      </c>
      <c r="D6365" s="12" t="s">
        <v>45</v>
      </c>
      <c r="E6365" s="13" t="s">
        <v>49</v>
      </c>
      <c r="F6365" s="12" t="s">
        <v>67</v>
      </c>
      <c r="G6365" s="14">
        <v>2559.3200000000002</v>
      </c>
      <c r="H6365" s="12" t="s">
        <v>22</v>
      </c>
      <c r="I6365" s="12">
        <v>0</v>
      </c>
      <c r="J6365" s="12" t="s">
        <v>67</v>
      </c>
      <c r="K6365" s="12" t="s">
        <v>23</v>
      </c>
      <c r="L6365" s="12">
        <v>2</v>
      </c>
      <c r="M6365" s="15">
        <v>69173</v>
      </c>
      <c r="N6365" s="15">
        <v>0</v>
      </c>
      <c r="O6365" s="15">
        <f t="shared" si="541"/>
        <v>69173</v>
      </c>
      <c r="P6365" s="15">
        <f t="shared" ref="P6365:P6428" si="546">O6365/G6365</f>
        <v>27.027882406264162</v>
      </c>
      <c r="Q6365" s="14">
        <v>5000</v>
      </c>
      <c r="R6365" s="12">
        <v>51</v>
      </c>
      <c r="S6365" s="12" t="s">
        <v>7738</v>
      </c>
      <c r="T6365" s="22">
        <f t="shared" si="543"/>
        <v>3</v>
      </c>
      <c r="U6365" s="22">
        <f t="shared" si="544"/>
        <v>2023</v>
      </c>
      <c r="V6365" s="22" t="str">
        <f t="shared" si="545"/>
        <v>METROPOLITANA</v>
      </c>
    </row>
    <row r="6366" spans="1:22" x14ac:dyDescent="0.2">
      <c r="A6366" s="23" t="s">
        <v>7741</v>
      </c>
      <c r="B6366" s="22" t="s">
        <v>18</v>
      </c>
      <c r="C6366" s="22" t="s">
        <v>7400</v>
      </c>
      <c r="D6366" s="22" t="s">
        <v>37</v>
      </c>
      <c r="E6366" s="24" t="s">
        <v>40</v>
      </c>
      <c r="F6366" s="22" t="s">
        <v>51</v>
      </c>
      <c r="G6366" s="25">
        <v>12610.660000000011</v>
      </c>
      <c r="H6366" s="22" t="s">
        <v>22</v>
      </c>
      <c r="I6366" s="22">
        <v>0</v>
      </c>
      <c r="J6366" s="22" t="s">
        <v>51</v>
      </c>
      <c r="K6366" s="22" t="s">
        <v>23</v>
      </c>
      <c r="L6366" s="22">
        <v>4</v>
      </c>
      <c r="M6366" s="26">
        <v>138717</v>
      </c>
      <c r="N6366" s="26">
        <v>0</v>
      </c>
      <c r="O6366" s="15">
        <f t="shared" si="541"/>
        <v>138717</v>
      </c>
      <c r="P6366" s="15">
        <f t="shared" si="546"/>
        <v>10.999979382522396</v>
      </c>
      <c r="Q6366" s="25">
        <v>5000</v>
      </c>
      <c r="R6366" s="22">
        <v>100</v>
      </c>
      <c r="S6366" s="22" t="s">
        <v>7742</v>
      </c>
      <c r="T6366" s="22">
        <f t="shared" si="543"/>
        <v>3</v>
      </c>
      <c r="U6366" s="22">
        <f t="shared" si="544"/>
        <v>2023</v>
      </c>
      <c r="V6366" s="22" t="str">
        <f t="shared" si="545"/>
        <v>METROPOLITANA</v>
      </c>
    </row>
    <row r="6367" spans="1:22" x14ac:dyDescent="0.2">
      <c r="A6367" s="23" t="s">
        <v>7741</v>
      </c>
      <c r="B6367" s="22" t="s">
        <v>33</v>
      </c>
      <c r="C6367" s="22" t="s">
        <v>1642</v>
      </c>
      <c r="D6367" s="22" t="s">
        <v>45</v>
      </c>
      <c r="E6367" s="24" t="s">
        <v>49</v>
      </c>
      <c r="F6367" s="22" t="s">
        <v>46</v>
      </c>
      <c r="G6367" s="25">
        <v>2574.5500000000002</v>
      </c>
      <c r="H6367" s="22" t="s">
        <v>22</v>
      </c>
      <c r="I6367" s="22">
        <v>0</v>
      </c>
      <c r="J6367" s="22" t="s">
        <v>46</v>
      </c>
      <c r="K6367" s="22" t="s">
        <v>23</v>
      </c>
      <c r="L6367" s="22">
        <v>2</v>
      </c>
      <c r="M6367" s="26">
        <v>69173</v>
      </c>
      <c r="N6367" s="26">
        <v>0</v>
      </c>
      <c r="O6367" s="15">
        <f t="shared" si="541"/>
        <v>69173</v>
      </c>
      <c r="P6367" s="15">
        <f t="shared" si="546"/>
        <v>26.867996348876503</v>
      </c>
      <c r="Q6367" s="25">
        <v>5000</v>
      </c>
      <c r="R6367" s="22">
        <v>51</v>
      </c>
      <c r="S6367" s="22" t="s">
        <v>7743</v>
      </c>
      <c r="T6367" s="22">
        <f t="shared" si="543"/>
        <v>3</v>
      </c>
      <c r="U6367" s="22">
        <f t="shared" si="544"/>
        <v>2023</v>
      </c>
      <c r="V6367" s="22" t="str">
        <f t="shared" si="545"/>
        <v>METROPOLITANA</v>
      </c>
    </row>
    <row r="6368" spans="1:22" x14ac:dyDescent="0.2">
      <c r="A6368" s="23" t="s">
        <v>7741</v>
      </c>
      <c r="B6368" s="22" t="s">
        <v>33</v>
      </c>
      <c r="C6368" s="22" t="s">
        <v>128</v>
      </c>
      <c r="D6368" s="22" t="s">
        <v>2825</v>
      </c>
      <c r="E6368" s="24" t="s">
        <v>639</v>
      </c>
      <c r="F6368" s="22" t="s">
        <v>84</v>
      </c>
      <c r="G6368" s="25">
        <v>20705.099999999999</v>
      </c>
      <c r="H6368" s="22" t="s">
        <v>24</v>
      </c>
      <c r="I6368" s="22">
        <v>1</v>
      </c>
      <c r="J6368" s="22" t="s">
        <v>84</v>
      </c>
      <c r="K6368" s="22" t="s">
        <v>86</v>
      </c>
      <c r="L6368" s="22">
        <v>0</v>
      </c>
      <c r="M6368" s="26">
        <v>402000</v>
      </c>
      <c r="N6368" s="26">
        <v>0</v>
      </c>
      <c r="O6368" s="15">
        <f t="shared" si="541"/>
        <v>402000</v>
      </c>
      <c r="P6368" s="15">
        <f t="shared" si="546"/>
        <v>19.415506324528742</v>
      </c>
      <c r="Q6368" s="25">
        <v>14000</v>
      </c>
      <c r="R6368" s="22">
        <v>100</v>
      </c>
      <c r="S6368" s="22" t="s">
        <v>7744</v>
      </c>
      <c r="T6368" s="22">
        <f t="shared" si="543"/>
        <v>3</v>
      </c>
      <c r="U6368" s="22">
        <f t="shared" si="544"/>
        <v>2023</v>
      </c>
      <c r="V6368" s="22" t="str">
        <f t="shared" si="545"/>
        <v>REGIONES</v>
      </c>
    </row>
    <row r="6369" spans="1:22" x14ac:dyDescent="0.2">
      <c r="A6369" s="23" t="s">
        <v>7741</v>
      </c>
      <c r="B6369" s="22" t="s">
        <v>33</v>
      </c>
      <c r="C6369" s="22" t="s">
        <v>2862</v>
      </c>
      <c r="D6369" s="22" t="s">
        <v>20</v>
      </c>
      <c r="E6369" s="24" t="s">
        <v>21</v>
      </c>
      <c r="F6369" s="22" t="s">
        <v>129</v>
      </c>
      <c r="G6369" s="25">
        <f>3400.8+3969</f>
        <v>7369.8</v>
      </c>
      <c r="H6369" s="22" t="s">
        <v>22</v>
      </c>
      <c r="I6369" s="22">
        <v>0</v>
      </c>
      <c r="J6369" s="22" t="s">
        <v>129</v>
      </c>
      <c r="K6369" s="22" t="s">
        <v>23</v>
      </c>
      <c r="L6369" s="22">
        <v>1</v>
      </c>
      <c r="M6369" s="26">
        <v>69173</v>
      </c>
      <c r="N6369" s="26">
        <v>0</v>
      </c>
      <c r="O6369" s="15">
        <f t="shared" si="541"/>
        <v>69173</v>
      </c>
      <c r="P6369" s="15">
        <f t="shared" si="546"/>
        <v>9.3860077614046507</v>
      </c>
      <c r="Q6369" s="25">
        <v>5000</v>
      </c>
      <c r="R6369" s="22">
        <v>100</v>
      </c>
      <c r="S6369" s="22" t="s">
        <v>7749</v>
      </c>
      <c r="T6369" s="22">
        <f t="shared" si="543"/>
        <v>3</v>
      </c>
      <c r="U6369" s="22">
        <f t="shared" si="544"/>
        <v>2023</v>
      </c>
      <c r="V6369" s="22" t="str">
        <f t="shared" si="545"/>
        <v>METROPOLITANA</v>
      </c>
    </row>
    <row r="6370" spans="1:22" x14ac:dyDescent="0.2">
      <c r="A6370" s="23" t="s">
        <v>7741</v>
      </c>
      <c r="B6370" s="22" t="s">
        <v>33</v>
      </c>
      <c r="C6370" s="22" t="s">
        <v>29</v>
      </c>
      <c r="D6370" s="22" t="s">
        <v>38</v>
      </c>
      <c r="E6370" s="24" t="s">
        <v>42</v>
      </c>
      <c r="F6370" s="22" t="s">
        <v>39</v>
      </c>
      <c r="G6370" s="25">
        <v>7187.2000000000025</v>
      </c>
      <c r="H6370" s="22" t="s">
        <v>43</v>
      </c>
      <c r="I6370" s="22">
        <v>0</v>
      </c>
      <c r="J6370" s="22" t="s">
        <v>39</v>
      </c>
      <c r="K6370" s="22" t="s">
        <v>23</v>
      </c>
      <c r="L6370" s="22">
        <v>1</v>
      </c>
      <c r="M6370" s="26">
        <v>79059</v>
      </c>
      <c r="N6370" s="26">
        <v>0</v>
      </c>
      <c r="O6370" s="15">
        <f t="shared" si="541"/>
        <v>79059</v>
      </c>
      <c r="P6370" s="15">
        <f t="shared" si="546"/>
        <v>10.999972172751555</v>
      </c>
      <c r="Q6370" s="25">
        <v>5000</v>
      </c>
      <c r="R6370" s="22">
        <v>100</v>
      </c>
      <c r="S6370" s="22" t="s">
        <v>7745</v>
      </c>
      <c r="T6370" s="22">
        <f t="shared" si="543"/>
        <v>3</v>
      </c>
      <c r="U6370" s="22">
        <f t="shared" si="544"/>
        <v>2023</v>
      </c>
      <c r="V6370" s="22" t="str">
        <f t="shared" si="545"/>
        <v>METROPOLITANA</v>
      </c>
    </row>
    <row r="6371" spans="1:22" x14ac:dyDescent="0.2">
      <c r="A6371" s="23" t="s">
        <v>7741</v>
      </c>
      <c r="B6371" s="22" t="s">
        <v>33</v>
      </c>
      <c r="C6371" s="22" t="s">
        <v>29</v>
      </c>
      <c r="D6371" s="22" t="s">
        <v>164</v>
      </c>
      <c r="E6371" s="24" t="s">
        <v>1576</v>
      </c>
      <c r="F6371" s="22" t="s">
        <v>39</v>
      </c>
      <c r="G6371" s="25">
        <v>9413.8299999999981</v>
      </c>
      <c r="H6371" s="22" t="s">
        <v>22</v>
      </c>
      <c r="I6371" s="22">
        <v>1</v>
      </c>
      <c r="J6371" s="22" t="s">
        <v>39</v>
      </c>
      <c r="K6371" s="22" t="s">
        <v>23</v>
      </c>
      <c r="L6371" s="22">
        <v>1</v>
      </c>
      <c r="M6371" s="26">
        <v>103552</v>
      </c>
      <c r="N6371" s="26">
        <v>0</v>
      </c>
      <c r="O6371" s="15">
        <f t="shared" si="541"/>
        <v>103552</v>
      </c>
      <c r="P6371" s="15">
        <f t="shared" si="546"/>
        <v>10.999986190530318</v>
      </c>
      <c r="Q6371" s="25">
        <v>5000</v>
      </c>
      <c r="R6371" s="22">
        <v>100</v>
      </c>
      <c r="S6371" s="22" t="s">
        <v>7746</v>
      </c>
      <c r="T6371" s="22">
        <f t="shared" si="543"/>
        <v>3</v>
      </c>
      <c r="U6371" s="22">
        <f t="shared" si="544"/>
        <v>2023</v>
      </c>
      <c r="V6371" s="22" t="str">
        <f t="shared" si="545"/>
        <v>METROPOLITANA</v>
      </c>
    </row>
    <row r="6372" spans="1:22" x14ac:dyDescent="0.2">
      <c r="A6372" s="23" t="s">
        <v>7741</v>
      </c>
      <c r="B6372" s="22" t="s">
        <v>33</v>
      </c>
      <c r="C6372" s="22" t="s">
        <v>44</v>
      </c>
      <c r="D6372" s="22" t="s">
        <v>37</v>
      </c>
      <c r="E6372" s="24" t="s">
        <v>40</v>
      </c>
      <c r="F6372" s="22" t="s">
        <v>48</v>
      </c>
      <c r="G6372" s="25">
        <v>8585.090000000002</v>
      </c>
      <c r="H6372" s="22" t="s">
        <v>22</v>
      </c>
      <c r="I6372" s="22">
        <v>0</v>
      </c>
      <c r="J6372" s="22" t="s">
        <v>48</v>
      </c>
      <c r="K6372" s="22" t="s">
        <v>23</v>
      </c>
      <c r="L6372" s="22">
        <v>1</v>
      </c>
      <c r="M6372" s="26">
        <v>94436</v>
      </c>
      <c r="N6372" s="26">
        <v>0</v>
      </c>
      <c r="O6372" s="15">
        <f t="shared" si="541"/>
        <v>94436</v>
      </c>
      <c r="P6372" s="15">
        <f t="shared" si="546"/>
        <v>11.000001164810151</v>
      </c>
      <c r="Q6372" s="25">
        <v>5000</v>
      </c>
      <c r="R6372" s="22">
        <v>100</v>
      </c>
      <c r="S6372" s="22" t="s">
        <v>7747</v>
      </c>
      <c r="T6372" s="22">
        <f t="shared" si="543"/>
        <v>3</v>
      </c>
      <c r="U6372" s="22">
        <f t="shared" si="544"/>
        <v>2023</v>
      </c>
      <c r="V6372" s="22" t="str">
        <f t="shared" si="545"/>
        <v>METROPOLITANA</v>
      </c>
    </row>
    <row r="6373" spans="1:22" x14ac:dyDescent="0.2">
      <c r="A6373" s="23" t="s">
        <v>7741</v>
      </c>
      <c r="B6373" s="22" t="s">
        <v>33</v>
      </c>
      <c r="C6373" s="22" t="s">
        <v>44</v>
      </c>
      <c r="D6373" s="22" t="s">
        <v>45</v>
      </c>
      <c r="E6373" s="24" t="s">
        <v>49</v>
      </c>
      <c r="F6373" s="22" t="s">
        <v>34</v>
      </c>
      <c r="G6373" s="25">
        <v>3209.3700000000008</v>
      </c>
      <c r="H6373" s="22" t="s">
        <v>22</v>
      </c>
      <c r="I6373" s="22">
        <v>0</v>
      </c>
      <c r="J6373" s="22" t="s">
        <v>34</v>
      </c>
      <c r="K6373" s="22" t="s">
        <v>23</v>
      </c>
      <c r="L6373" s="22">
        <v>1</v>
      </c>
      <c r="M6373" s="26">
        <v>69173</v>
      </c>
      <c r="N6373" s="26">
        <v>0</v>
      </c>
      <c r="O6373" s="15">
        <f t="shared" si="541"/>
        <v>69173</v>
      </c>
      <c r="P6373" s="15">
        <f t="shared" si="546"/>
        <v>21.55345130041098</v>
      </c>
      <c r="Q6373" s="25">
        <v>5000</v>
      </c>
      <c r="R6373" s="22">
        <v>64</v>
      </c>
      <c r="S6373" s="22" t="s">
        <v>7748</v>
      </c>
      <c r="T6373" s="22">
        <f t="shared" si="543"/>
        <v>3</v>
      </c>
      <c r="U6373" s="22">
        <f t="shared" si="544"/>
        <v>2023</v>
      </c>
      <c r="V6373" s="22" t="str">
        <f t="shared" si="545"/>
        <v>METROPOLITANA</v>
      </c>
    </row>
    <row r="6374" spans="1:22" x14ac:dyDescent="0.2">
      <c r="A6374" s="11" t="s">
        <v>7750</v>
      </c>
      <c r="B6374" s="12" t="s">
        <v>18</v>
      </c>
      <c r="C6374" s="12" t="s">
        <v>2431</v>
      </c>
      <c r="D6374" s="12" t="s">
        <v>2955</v>
      </c>
      <c r="E6374" s="13">
        <v>65941082</v>
      </c>
      <c r="F6374" s="12" t="s">
        <v>66</v>
      </c>
      <c r="G6374" s="14">
        <v>18200</v>
      </c>
      <c r="H6374" s="12" t="s">
        <v>24</v>
      </c>
      <c r="I6374" s="12">
        <v>1</v>
      </c>
      <c r="J6374" s="12" t="s">
        <v>66</v>
      </c>
      <c r="K6374" s="12" t="s">
        <v>75</v>
      </c>
      <c r="L6374" s="12">
        <v>0</v>
      </c>
      <c r="M6374" s="15">
        <v>506000</v>
      </c>
      <c r="N6374" s="15">
        <v>0</v>
      </c>
      <c r="O6374" s="15">
        <f t="shared" si="541"/>
        <v>506000</v>
      </c>
      <c r="P6374" s="15">
        <f t="shared" si="546"/>
        <v>27.802197802197803</v>
      </c>
      <c r="Q6374" s="14">
        <v>14000</v>
      </c>
      <c r="R6374" s="12">
        <v>100</v>
      </c>
      <c r="S6374" s="12" t="s">
        <v>7751</v>
      </c>
      <c r="T6374" s="22">
        <f t="shared" si="543"/>
        <v>3</v>
      </c>
      <c r="U6374" s="22">
        <f t="shared" si="544"/>
        <v>2023</v>
      </c>
      <c r="V6374" s="22" t="str">
        <f t="shared" si="545"/>
        <v>REGIONES</v>
      </c>
    </row>
    <row r="6375" spans="1:22" x14ac:dyDescent="0.2">
      <c r="A6375" s="11" t="s">
        <v>7750</v>
      </c>
      <c r="B6375" s="12" t="s">
        <v>33</v>
      </c>
      <c r="C6375" s="12" t="s">
        <v>7752</v>
      </c>
      <c r="D6375" s="12" t="s">
        <v>786</v>
      </c>
      <c r="E6375" s="13">
        <v>95707734</v>
      </c>
      <c r="F6375" s="12" t="s">
        <v>129</v>
      </c>
      <c r="G6375" s="14">
        <v>27408.840000000029</v>
      </c>
      <c r="H6375" s="12" t="s">
        <v>788</v>
      </c>
      <c r="I6375" s="12">
        <v>1</v>
      </c>
      <c r="J6375" s="12" t="s">
        <v>129</v>
      </c>
      <c r="K6375" s="12" t="s">
        <v>23</v>
      </c>
      <c r="L6375" s="12">
        <v>1</v>
      </c>
      <c r="M6375" s="15">
        <v>301497</v>
      </c>
      <c r="N6375" s="15">
        <v>0</v>
      </c>
      <c r="O6375" s="15">
        <f t="shared" si="541"/>
        <v>301497</v>
      </c>
      <c r="P6375" s="15">
        <f t="shared" si="546"/>
        <v>10.999991243700926</v>
      </c>
      <c r="Q6375" s="14">
        <v>5000</v>
      </c>
      <c r="R6375" s="12">
        <v>100</v>
      </c>
      <c r="S6375" s="12" t="s">
        <v>7753</v>
      </c>
      <c r="T6375" s="22">
        <f t="shared" si="543"/>
        <v>3</v>
      </c>
      <c r="U6375" s="22">
        <f t="shared" si="544"/>
        <v>2023</v>
      </c>
      <c r="V6375" s="22" t="str">
        <f t="shared" si="545"/>
        <v>METROPOLITANA</v>
      </c>
    </row>
    <row r="6376" spans="1:22" x14ac:dyDescent="0.2">
      <c r="A6376" s="11" t="s">
        <v>7750</v>
      </c>
      <c r="B6376" s="12" t="s">
        <v>33</v>
      </c>
      <c r="C6376" s="12" t="s">
        <v>29</v>
      </c>
      <c r="D6376" s="12" t="s">
        <v>7203</v>
      </c>
      <c r="E6376" s="13">
        <v>165132386</v>
      </c>
      <c r="F6376" s="12" t="s">
        <v>114</v>
      </c>
      <c r="G6376" s="14">
        <v>17839.30000000001</v>
      </c>
      <c r="H6376" s="12" t="s">
        <v>24</v>
      </c>
      <c r="I6376" s="12">
        <v>1</v>
      </c>
      <c r="J6376" s="12" t="s">
        <v>114</v>
      </c>
      <c r="K6376" s="12" t="s">
        <v>75</v>
      </c>
      <c r="L6376" s="12">
        <v>0</v>
      </c>
      <c r="M6376" s="15">
        <v>528000</v>
      </c>
      <c r="N6376" s="15">
        <v>0</v>
      </c>
      <c r="O6376" s="15">
        <f t="shared" si="541"/>
        <v>528000</v>
      </c>
      <c r="P6376" s="15">
        <f t="shared" si="546"/>
        <v>29.597573895836703</v>
      </c>
      <c r="Q6376" s="14">
        <v>14000</v>
      </c>
      <c r="R6376" s="12">
        <v>100</v>
      </c>
      <c r="S6376" s="12" t="s">
        <v>7754</v>
      </c>
      <c r="T6376" s="22">
        <f t="shared" si="543"/>
        <v>3</v>
      </c>
      <c r="U6376" s="22">
        <f t="shared" si="544"/>
        <v>2023</v>
      </c>
      <c r="V6376" s="22" t="str">
        <f t="shared" si="545"/>
        <v>REGIONES</v>
      </c>
    </row>
    <row r="6377" spans="1:22" x14ac:dyDescent="0.2">
      <c r="A6377" s="11" t="s">
        <v>7750</v>
      </c>
      <c r="B6377" s="12" t="s">
        <v>33</v>
      </c>
      <c r="C6377" s="12" t="s">
        <v>29</v>
      </c>
      <c r="D6377" s="12" t="s">
        <v>7658</v>
      </c>
      <c r="E6377" s="13">
        <v>152508697</v>
      </c>
      <c r="F6377" s="12" t="s">
        <v>114</v>
      </c>
      <c r="G6377" s="14">
        <v>8324.279999999997</v>
      </c>
      <c r="H6377" s="12" t="s">
        <v>24</v>
      </c>
      <c r="I6377" s="12">
        <v>1</v>
      </c>
      <c r="J6377" s="12" t="s">
        <v>114</v>
      </c>
      <c r="K6377" s="12" t="s">
        <v>75</v>
      </c>
      <c r="L6377" s="12">
        <v>0</v>
      </c>
      <c r="M6377" s="15">
        <v>528000</v>
      </c>
      <c r="N6377" s="15">
        <v>0</v>
      </c>
      <c r="O6377" s="15">
        <f t="shared" si="541"/>
        <v>528000</v>
      </c>
      <c r="P6377" s="15">
        <f t="shared" si="546"/>
        <v>63.428909166918963</v>
      </c>
      <c r="Q6377" s="14">
        <v>14000</v>
      </c>
      <c r="R6377" s="12">
        <v>59</v>
      </c>
      <c r="S6377" s="12" t="s">
        <v>7755</v>
      </c>
      <c r="T6377" s="22">
        <f t="shared" si="543"/>
        <v>3</v>
      </c>
      <c r="U6377" s="22">
        <f t="shared" si="544"/>
        <v>2023</v>
      </c>
      <c r="V6377" s="22" t="str">
        <f t="shared" si="545"/>
        <v>REGIONES</v>
      </c>
    </row>
    <row r="6378" spans="1:22" x14ac:dyDescent="0.2">
      <c r="A6378" s="11" t="s">
        <v>7750</v>
      </c>
      <c r="B6378" s="12" t="s">
        <v>33</v>
      </c>
      <c r="C6378" s="12" t="s">
        <v>44</v>
      </c>
      <c r="D6378" s="12" t="s">
        <v>7545</v>
      </c>
      <c r="E6378" s="13">
        <v>98944117</v>
      </c>
      <c r="F6378" s="12" t="s">
        <v>2308</v>
      </c>
      <c r="G6378" s="14">
        <v>5928.3799999999992</v>
      </c>
      <c r="H6378" s="12" t="s">
        <v>24</v>
      </c>
      <c r="I6378" s="12">
        <v>1</v>
      </c>
      <c r="J6378" s="12" t="s">
        <v>2308</v>
      </c>
      <c r="K6378" s="12" t="s">
        <v>2309</v>
      </c>
      <c r="L6378" s="12">
        <v>0</v>
      </c>
      <c r="M6378" s="15">
        <v>943000</v>
      </c>
      <c r="N6378" s="15">
        <v>0</v>
      </c>
      <c r="O6378" s="15">
        <f t="shared" si="541"/>
        <v>943000</v>
      </c>
      <c r="P6378" s="15">
        <f t="shared" si="546"/>
        <v>159.0653770507289</v>
      </c>
      <c r="Q6378" s="14">
        <v>14000</v>
      </c>
      <c r="R6378" s="12">
        <v>42</v>
      </c>
      <c r="S6378" s="12" t="s">
        <v>7756</v>
      </c>
      <c r="T6378" s="22">
        <f t="shared" si="543"/>
        <v>3</v>
      </c>
      <c r="U6378" s="22">
        <f t="shared" si="544"/>
        <v>2023</v>
      </c>
      <c r="V6378" s="22" t="str">
        <f t="shared" si="545"/>
        <v>REGIONES</v>
      </c>
    </row>
    <row r="6379" spans="1:22" x14ac:dyDescent="0.2">
      <c r="A6379" s="11" t="s">
        <v>7750</v>
      </c>
      <c r="B6379" s="12" t="s">
        <v>33</v>
      </c>
      <c r="C6379" s="12" t="s">
        <v>44</v>
      </c>
      <c r="D6379" s="12" t="s">
        <v>7491</v>
      </c>
      <c r="E6379" s="13">
        <v>139528778</v>
      </c>
      <c r="F6379" s="12" t="s">
        <v>1105</v>
      </c>
      <c r="G6379" s="14">
        <v>8634.59</v>
      </c>
      <c r="H6379" s="12" t="s">
        <v>24</v>
      </c>
      <c r="I6379" s="12">
        <v>1</v>
      </c>
      <c r="J6379" s="12" t="s">
        <v>1105</v>
      </c>
      <c r="K6379" s="12" t="s">
        <v>873</v>
      </c>
      <c r="L6379" s="12">
        <v>0</v>
      </c>
      <c r="M6379" s="15">
        <v>1131000</v>
      </c>
      <c r="N6379" s="15">
        <v>0</v>
      </c>
      <c r="O6379" s="15">
        <f t="shared" si="541"/>
        <v>1131000</v>
      </c>
      <c r="P6379" s="15">
        <f t="shared" si="546"/>
        <v>130.98479487734798</v>
      </c>
      <c r="Q6379" s="14">
        <v>14000</v>
      </c>
      <c r="R6379" s="12">
        <v>62</v>
      </c>
      <c r="S6379" s="12" t="s">
        <v>7757</v>
      </c>
      <c r="T6379" s="22">
        <f t="shared" si="543"/>
        <v>3</v>
      </c>
      <c r="U6379" s="22">
        <f t="shared" si="544"/>
        <v>2023</v>
      </c>
      <c r="V6379" s="22" t="str">
        <f t="shared" si="545"/>
        <v>REGIONES</v>
      </c>
    </row>
    <row r="6380" spans="1:22" x14ac:dyDescent="0.2">
      <c r="A6380" s="11" t="s">
        <v>7750</v>
      </c>
      <c r="B6380" s="12" t="s">
        <v>33</v>
      </c>
      <c r="C6380" s="12" t="s">
        <v>44</v>
      </c>
      <c r="D6380" s="12" t="s">
        <v>45</v>
      </c>
      <c r="E6380" s="13">
        <v>107643206</v>
      </c>
      <c r="F6380" s="12" t="s">
        <v>225</v>
      </c>
      <c r="G6380" s="14">
        <v>2832.3</v>
      </c>
      <c r="H6380" s="12" t="s">
        <v>22</v>
      </c>
      <c r="I6380" s="12">
        <v>0</v>
      </c>
      <c r="J6380" s="12" t="s">
        <v>225</v>
      </c>
      <c r="K6380" s="12" t="s">
        <v>23</v>
      </c>
      <c r="L6380" s="12">
        <v>3</v>
      </c>
      <c r="M6380" s="15">
        <v>69173</v>
      </c>
      <c r="N6380" s="15">
        <v>0</v>
      </c>
      <c r="O6380" s="15">
        <f t="shared" si="541"/>
        <v>69173</v>
      </c>
      <c r="P6380" s="15">
        <f t="shared" si="546"/>
        <v>24.422907177911942</v>
      </c>
      <c r="Q6380" s="14">
        <v>5000</v>
      </c>
      <c r="R6380" s="12">
        <v>57</v>
      </c>
      <c r="S6380" s="12" t="s">
        <v>7758</v>
      </c>
      <c r="T6380" s="22">
        <f t="shared" si="543"/>
        <v>3</v>
      </c>
      <c r="U6380" s="22">
        <f t="shared" si="544"/>
        <v>2023</v>
      </c>
      <c r="V6380" s="22" t="str">
        <f t="shared" si="545"/>
        <v>METROPOLITANA</v>
      </c>
    </row>
    <row r="6381" spans="1:22" x14ac:dyDescent="0.2">
      <c r="A6381" s="11" t="s">
        <v>7750</v>
      </c>
      <c r="B6381" s="12" t="s">
        <v>33</v>
      </c>
      <c r="C6381" s="12" t="s">
        <v>44</v>
      </c>
      <c r="D6381" s="12" t="s">
        <v>20</v>
      </c>
      <c r="E6381" s="13">
        <v>78907355</v>
      </c>
      <c r="F6381" s="12" t="s">
        <v>134</v>
      </c>
      <c r="G6381" s="14">
        <v>2655.3</v>
      </c>
      <c r="H6381" s="12" t="s">
        <v>22</v>
      </c>
      <c r="I6381" s="12">
        <v>0</v>
      </c>
      <c r="J6381" s="12" t="s">
        <v>134</v>
      </c>
      <c r="K6381" s="12" t="s">
        <v>23</v>
      </c>
      <c r="L6381" s="12">
        <v>2</v>
      </c>
      <c r="M6381" s="15">
        <v>69173</v>
      </c>
      <c r="N6381" s="15">
        <v>0</v>
      </c>
      <c r="O6381" s="15">
        <f t="shared" si="541"/>
        <v>69173</v>
      </c>
      <c r="P6381" s="15">
        <f t="shared" si="546"/>
        <v>26.050917033856813</v>
      </c>
      <c r="Q6381" s="14">
        <v>5000</v>
      </c>
      <c r="R6381" s="12">
        <v>53</v>
      </c>
      <c r="S6381" s="12" t="s">
        <v>7759</v>
      </c>
      <c r="T6381" s="22">
        <f t="shared" si="543"/>
        <v>3</v>
      </c>
      <c r="U6381" s="22">
        <f t="shared" si="544"/>
        <v>2023</v>
      </c>
      <c r="V6381" s="22" t="str">
        <f t="shared" si="545"/>
        <v>METROPOLITANA</v>
      </c>
    </row>
    <row r="6382" spans="1:22" x14ac:dyDescent="0.2">
      <c r="A6382" s="23" t="s">
        <v>7760</v>
      </c>
      <c r="B6382" s="22" t="s">
        <v>33</v>
      </c>
      <c r="C6382" s="22" t="s">
        <v>128</v>
      </c>
      <c r="D6382" s="22" t="s">
        <v>2825</v>
      </c>
      <c r="E6382" s="24">
        <v>113693568</v>
      </c>
      <c r="F6382" s="22" t="s">
        <v>66</v>
      </c>
      <c r="G6382" s="25">
        <v>8920.4000000000033</v>
      </c>
      <c r="H6382" s="22" t="s">
        <v>24</v>
      </c>
      <c r="I6382" s="22">
        <v>1</v>
      </c>
      <c r="J6382" s="22" t="s">
        <v>66</v>
      </c>
      <c r="K6382" s="22" t="s">
        <v>75</v>
      </c>
      <c r="L6382" s="22">
        <v>0</v>
      </c>
      <c r="M6382" s="26">
        <v>506000</v>
      </c>
      <c r="N6382" s="26">
        <v>0</v>
      </c>
      <c r="O6382" s="15">
        <f t="shared" si="541"/>
        <v>506000</v>
      </c>
      <c r="P6382" s="15">
        <f t="shared" si="546"/>
        <v>56.723913725841868</v>
      </c>
      <c r="Q6382" s="25">
        <v>14000</v>
      </c>
      <c r="R6382" s="22">
        <v>64</v>
      </c>
      <c r="S6382" s="22" t="s">
        <v>7761</v>
      </c>
      <c r="T6382" s="22">
        <f t="shared" si="543"/>
        <v>3</v>
      </c>
      <c r="U6382" s="22">
        <f t="shared" si="544"/>
        <v>2023</v>
      </c>
      <c r="V6382" s="22" t="str">
        <f t="shared" si="545"/>
        <v>REGIONES</v>
      </c>
    </row>
    <row r="6383" spans="1:22" x14ac:dyDescent="0.2">
      <c r="A6383" s="23" t="s">
        <v>7760</v>
      </c>
      <c r="B6383" s="22" t="s">
        <v>33</v>
      </c>
      <c r="C6383" s="22" t="s">
        <v>909</v>
      </c>
      <c r="D6383" s="22" t="s">
        <v>2955</v>
      </c>
      <c r="E6383" s="24">
        <v>65941082</v>
      </c>
      <c r="F6383" s="22" t="s">
        <v>910</v>
      </c>
      <c r="G6383" s="25">
        <f>5321.2+7512</f>
        <v>12833.2</v>
      </c>
      <c r="H6383" s="22" t="s">
        <v>24</v>
      </c>
      <c r="I6383" s="22">
        <v>1</v>
      </c>
      <c r="J6383" s="22" t="s">
        <v>910</v>
      </c>
      <c r="K6383" s="22" t="s">
        <v>171</v>
      </c>
      <c r="L6383" s="22">
        <v>0</v>
      </c>
      <c r="M6383" s="26">
        <v>290000</v>
      </c>
      <c r="N6383" s="26">
        <v>0</v>
      </c>
      <c r="O6383" s="15">
        <f t="shared" si="541"/>
        <v>290000</v>
      </c>
      <c r="P6383" s="15">
        <f t="shared" si="546"/>
        <v>22.597637378050681</v>
      </c>
      <c r="Q6383" s="25">
        <v>14000</v>
      </c>
      <c r="R6383" s="22">
        <v>100</v>
      </c>
      <c r="S6383" s="22" t="s">
        <v>7765</v>
      </c>
      <c r="T6383" s="22">
        <f t="shared" si="543"/>
        <v>3</v>
      </c>
      <c r="U6383" s="22">
        <f t="shared" si="544"/>
        <v>2023</v>
      </c>
      <c r="V6383" s="22" t="str">
        <f t="shared" si="545"/>
        <v>REGIONES</v>
      </c>
    </row>
    <row r="6384" spans="1:22" x14ac:dyDescent="0.2">
      <c r="A6384" s="23" t="s">
        <v>7760</v>
      </c>
      <c r="B6384" s="22" t="s">
        <v>33</v>
      </c>
      <c r="C6384" s="22" t="s">
        <v>29</v>
      </c>
      <c r="D6384" s="22" t="s">
        <v>7134</v>
      </c>
      <c r="E6384" s="24">
        <v>114163848</v>
      </c>
      <c r="F6384" s="22" t="s">
        <v>114</v>
      </c>
      <c r="G6384" s="25">
        <v>25222.400000000001</v>
      </c>
      <c r="H6384" s="22" t="s">
        <v>24</v>
      </c>
      <c r="I6384" s="22">
        <v>1</v>
      </c>
      <c r="J6384" s="22" t="s">
        <v>114</v>
      </c>
      <c r="K6384" s="22" t="s">
        <v>75</v>
      </c>
      <c r="L6384" s="22">
        <v>0</v>
      </c>
      <c r="M6384" s="26">
        <v>528000</v>
      </c>
      <c r="N6384" s="26">
        <v>0</v>
      </c>
      <c r="O6384" s="15">
        <f t="shared" si="541"/>
        <v>528000</v>
      </c>
      <c r="P6384" s="15">
        <f t="shared" si="546"/>
        <v>20.933773154021821</v>
      </c>
      <c r="Q6384" s="25">
        <v>14000</v>
      </c>
      <c r="R6384" s="22">
        <v>100</v>
      </c>
      <c r="S6384" s="22" t="s">
        <v>7762</v>
      </c>
      <c r="T6384" s="22">
        <f t="shared" si="543"/>
        <v>3</v>
      </c>
      <c r="U6384" s="22">
        <f t="shared" si="544"/>
        <v>2023</v>
      </c>
      <c r="V6384" s="22" t="str">
        <f t="shared" si="545"/>
        <v>REGIONES</v>
      </c>
    </row>
    <row r="6385" spans="1:22" x14ac:dyDescent="0.2">
      <c r="A6385" s="23" t="s">
        <v>7760</v>
      </c>
      <c r="B6385" s="22" t="s">
        <v>33</v>
      </c>
      <c r="C6385" s="22" t="s">
        <v>44</v>
      </c>
      <c r="D6385" s="22" t="s">
        <v>45</v>
      </c>
      <c r="E6385" s="24">
        <v>107643206</v>
      </c>
      <c r="F6385" s="22" t="s">
        <v>554</v>
      </c>
      <c r="G6385" s="25">
        <v>2885.64</v>
      </c>
      <c r="H6385" s="22" t="s">
        <v>22</v>
      </c>
      <c r="I6385" s="22">
        <v>0</v>
      </c>
      <c r="J6385" s="22" t="s">
        <v>554</v>
      </c>
      <c r="K6385" s="22" t="s">
        <v>23</v>
      </c>
      <c r="L6385" s="22">
        <v>4</v>
      </c>
      <c r="M6385" s="26">
        <v>69173</v>
      </c>
      <c r="N6385" s="26">
        <v>0</v>
      </c>
      <c r="O6385" s="15">
        <f t="shared" si="541"/>
        <v>69173</v>
      </c>
      <c r="P6385" s="15">
        <f t="shared" si="546"/>
        <v>23.97145867121332</v>
      </c>
      <c r="Q6385" s="25">
        <v>5000</v>
      </c>
      <c r="R6385" s="22">
        <v>58</v>
      </c>
      <c r="S6385" s="22" t="s">
        <v>7763</v>
      </c>
      <c r="T6385" s="22">
        <f t="shared" si="543"/>
        <v>3</v>
      </c>
      <c r="U6385" s="22">
        <f t="shared" si="544"/>
        <v>2023</v>
      </c>
      <c r="V6385" s="22" t="str">
        <f t="shared" si="545"/>
        <v>METROPOLITANA</v>
      </c>
    </row>
    <row r="6386" spans="1:22" x14ac:dyDescent="0.2">
      <c r="A6386" s="23" t="s">
        <v>7760</v>
      </c>
      <c r="B6386" s="22" t="s">
        <v>33</v>
      </c>
      <c r="C6386" s="22" t="s">
        <v>44</v>
      </c>
      <c r="D6386" s="22" t="s">
        <v>20</v>
      </c>
      <c r="E6386" s="24">
        <v>78907355</v>
      </c>
      <c r="F6386" s="22" t="s">
        <v>48</v>
      </c>
      <c r="G6386" s="25">
        <v>4537.0400000000009</v>
      </c>
      <c r="H6386" s="22" t="s">
        <v>22</v>
      </c>
      <c r="I6386" s="22">
        <v>0</v>
      </c>
      <c r="J6386" s="22" t="s">
        <v>48</v>
      </c>
      <c r="K6386" s="22" t="s">
        <v>23</v>
      </c>
      <c r="L6386" s="22">
        <v>1</v>
      </c>
      <c r="M6386" s="26">
        <v>69173</v>
      </c>
      <c r="N6386" s="26">
        <v>0</v>
      </c>
      <c r="O6386" s="15">
        <f t="shared" si="541"/>
        <v>69173</v>
      </c>
      <c r="P6386" s="15">
        <f t="shared" si="546"/>
        <v>15.246283920794172</v>
      </c>
      <c r="Q6386" s="25">
        <v>5000</v>
      </c>
      <c r="R6386" s="22">
        <v>91</v>
      </c>
      <c r="S6386" s="22" t="s">
        <v>7764</v>
      </c>
      <c r="T6386" s="22">
        <f t="shared" si="543"/>
        <v>3</v>
      </c>
      <c r="U6386" s="22">
        <f t="shared" si="544"/>
        <v>2023</v>
      </c>
      <c r="V6386" s="22" t="str">
        <f t="shared" si="545"/>
        <v>METROPOLITANA</v>
      </c>
    </row>
    <row r="6387" spans="1:22" x14ac:dyDescent="0.2">
      <c r="A6387" s="11" t="s">
        <v>7766</v>
      </c>
      <c r="B6387" s="12" t="s">
        <v>33</v>
      </c>
      <c r="C6387" s="12" t="s">
        <v>29</v>
      </c>
      <c r="D6387" s="12" t="s">
        <v>6964</v>
      </c>
      <c r="E6387" s="13" t="s">
        <v>40</v>
      </c>
      <c r="F6387" s="12" t="s">
        <v>39</v>
      </c>
      <c r="G6387" s="14">
        <f>1111.22+9552+6798</f>
        <v>17461.22</v>
      </c>
      <c r="H6387" s="12" t="s">
        <v>24</v>
      </c>
      <c r="I6387" s="12">
        <v>1</v>
      </c>
      <c r="J6387" s="12" t="s">
        <v>39</v>
      </c>
      <c r="K6387" s="12" t="s">
        <v>23</v>
      </c>
      <c r="L6387" s="12">
        <v>1</v>
      </c>
      <c r="M6387" s="15">
        <v>69173</v>
      </c>
      <c r="N6387" s="15">
        <v>0</v>
      </c>
      <c r="O6387" s="15">
        <f t="shared" si="541"/>
        <v>69173</v>
      </c>
      <c r="P6387" s="15">
        <f t="shared" si="546"/>
        <v>3.9615215889840454</v>
      </c>
      <c r="Q6387" s="14">
        <v>5000</v>
      </c>
      <c r="R6387" s="12">
        <v>100</v>
      </c>
      <c r="S6387" s="12" t="s">
        <v>7774</v>
      </c>
      <c r="T6387" s="22">
        <f t="shared" si="543"/>
        <v>3</v>
      </c>
      <c r="U6387" s="22">
        <f t="shared" si="544"/>
        <v>2023</v>
      </c>
      <c r="V6387" s="22" t="str">
        <f t="shared" si="545"/>
        <v>METROPOLITANA</v>
      </c>
    </row>
    <row r="6388" spans="1:22" x14ac:dyDescent="0.2">
      <c r="A6388" s="11" t="s">
        <v>7766</v>
      </c>
      <c r="B6388" s="12" t="s">
        <v>33</v>
      </c>
      <c r="C6388" s="12" t="s">
        <v>29</v>
      </c>
      <c r="D6388" s="12" t="s">
        <v>370</v>
      </c>
      <c r="E6388" s="13" t="s">
        <v>371</v>
      </c>
      <c r="F6388" s="12" t="s">
        <v>114</v>
      </c>
      <c r="G6388" s="14">
        <v>21465.000000000011</v>
      </c>
      <c r="H6388" s="12" t="s">
        <v>85</v>
      </c>
      <c r="I6388" s="12">
        <v>1</v>
      </c>
      <c r="J6388" s="12" t="s">
        <v>114</v>
      </c>
      <c r="K6388" s="12" t="s">
        <v>75</v>
      </c>
      <c r="L6388" s="12">
        <v>0</v>
      </c>
      <c r="M6388" s="15">
        <v>528000</v>
      </c>
      <c r="N6388" s="15">
        <v>0</v>
      </c>
      <c r="O6388" s="15">
        <f t="shared" si="541"/>
        <v>528000</v>
      </c>
      <c r="P6388" s="15">
        <f t="shared" si="546"/>
        <v>24.598183088749114</v>
      </c>
      <c r="Q6388" s="14">
        <v>14000</v>
      </c>
      <c r="R6388" s="12">
        <v>100</v>
      </c>
      <c r="S6388" s="12" t="s">
        <v>7767</v>
      </c>
      <c r="T6388" s="22">
        <f t="shared" si="543"/>
        <v>3</v>
      </c>
      <c r="U6388" s="22">
        <f t="shared" si="544"/>
        <v>2023</v>
      </c>
      <c r="V6388" s="22" t="str">
        <f t="shared" si="545"/>
        <v>REGIONES</v>
      </c>
    </row>
    <row r="6389" spans="1:22" x14ac:dyDescent="0.2">
      <c r="A6389" s="11" t="s">
        <v>7766</v>
      </c>
      <c r="B6389" s="12" t="s">
        <v>33</v>
      </c>
      <c r="C6389" s="12" t="s">
        <v>29</v>
      </c>
      <c r="D6389" s="12" t="s">
        <v>164</v>
      </c>
      <c r="E6389" s="13" t="s">
        <v>1576</v>
      </c>
      <c r="F6389" s="12" t="s">
        <v>39</v>
      </c>
      <c r="G6389" s="14">
        <v>13384</v>
      </c>
      <c r="H6389" s="12" t="s">
        <v>22</v>
      </c>
      <c r="I6389" s="12">
        <v>1</v>
      </c>
      <c r="J6389" s="12" t="s">
        <v>39</v>
      </c>
      <c r="K6389" s="12" t="s">
        <v>23</v>
      </c>
      <c r="L6389" s="12">
        <v>1</v>
      </c>
      <c r="M6389" s="15">
        <v>147224</v>
      </c>
      <c r="N6389" s="15">
        <v>0</v>
      </c>
      <c r="O6389" s="15">
        <f t="shared" si="541"/>
        <v>147224</v>
      </c>
      <c r="P6389" s="15">
        <f t="shared" si="546"/>
        <v>11</v>
      </c>
      <c r="Q6389" s="14">
        <v>5000</v>
      </c>
      <c r="R6389" s="12">
        <v>100</v>
      </c>
      <c r="S6389" s="12" t="s">
        <v>7768</v>
      </c>
      <c r="T6389" s="22">
        <f t="shared" si="543"/>
        <v>3</v>
      </c>
      <c r="U6389" s="22">
        <f t="shared" si="544"/>
        <v>2023</v>
      </c>
      <c r="V6389" s="22" t="str">
        <f t="shared" si="545"/>
        <v>METROPOLITANA</v>
      </c>
    </row>
    <row r="6390" spans="1:22" x14ac:dyDescent="0.2">
      <c r="A6390" s="11" t="s">
        <v>7766</v>
      </c>
      <c r="B6390" s="12" t="s">
        <v>33</v>
      </c>
      <c r="C6390" s="12" t="s">
        <v>29</v>
      </c>
      <c r="D6390" s="12" t="s">
        <v>20</v>
      </c>
      <c r="E6390" s="13" t="s">
        <v>21</v>
      </c>
      <c r="F6390" s="12" t="s">
        <v>173</v>
      </c>
      <c r="G6390" s="14">
        <v>6077.2</v>
      </c>
      <c r="H6390" s="12" t="s">
        <v>22</v>
      </c>
      <c r="I6390" s="12">
        <v>0</v>
      </c>
      <c r="J6390" s="12" t="s">
        <v>173</v>
      </c>
      <c r="K6390" s="12" t="s">
        <v>23</v>
      </c>
      <c r="L6390" s="12">
        <v>5</v>
      </c>
      <c r="M6390" s="15">
        <v>112500</v>
      </c>
      <c r="N6390" s="15">
        <v>0</v>
      </c>
      <c r="O6390" s="15">
        <f t="shared" si="541"/>
        <v>112500</v>
      </c>
      <c r="P6390" s="15">
        <f t="shared" si="546"/>
        <v>18.511814651484237</v>
      </c>
      <c r="Q6390" s="14">
        <v>10000</v>
      </c>
      <c r="R6390" s="12">
        <v>61</v>
      </c>
      <c r="S6390" s="12" t="s">
        <v>7769</v>
      </c>
      <c r="T6390" s="22">
        <f t="shared" si="543"/>
        <v>3</v>
      </c>
      <c r="U6390" s="22">
        <f t="shared" si="544"/>
        <v>2023</v>
      </c>
      <c r="V6390" s="22" t="str">
        <f t="shared" si="545"/>
        <v>METROPOLITANA</v>
      </c>
    </row>
    <row r="6391" spans="1:22" x14ac:dyDescent="0.2">
      <c r="A6391" s="11" t="s">
        <v>7766</v>
      </c>
      <c r="B6391" s="12" t="s">
        <v>33</v>
      </c>
      <c r="C6391" s="12" t="s">
        <v>44</v>
      </c>
      <c r="D6391" s="12" t="s">
        <v>7770</v>
      </c>
      <c r="E6391" s="13" t="s">
        <v>7771</v>
      </c>
      <c r="F6391" s="12" t="s">
        <v>3438</v>
      </c>
      <c r="G6391" s="14">
        <v>10102.959999999999</v>
      </c>
      <c r="H6391" s="12" t="s">
        <v>85</v>
      </c>
      <c r="I6391" s="12">
        <v>1</v>
      </c>
      <c r="J6391" s="12" t="s">
        <v>3438</v>
      </c>
      <c r="K6391" s="12" t="s">
        <v>93</v>
      </c>
      <c r="L6391" s="12">
        <v>0</v>
      </c>
      <c r="M6391" s="15">
        <v>943000</v>
      </c>
      <c r="N6391" s="15">
        <v>0</v>
      </c>
      <c r="O6391" s="15">
        <f t="shared" si="541"/>
        <v>943000</v>
      </c>
      <c r="P6391" s="15">
        <f t="shared" si="546"/>
        <v>93.338981842945046</v>
      </c>
      <c r="Q6391" s="14">
        <v>14000</v>
      </c>
      <c r="R6391" s="12">
        <v>72</v>
      </c>
      <c r="S6391" s="12" t="s">
        <v>7772</v>
      </c>
      <c r="T6391" s="22">
        <f t="shared" si="543"/>
        <v>3</v>
      </c>
      <c r="U6391" s="22">
        <f t="shared" si="544"/>
        <v>2023</v>
      </c>
      <c r="V6391" s="22" t="str">
        <f t="shared" si="545"/>
        <v>REGIONES</v>
      </c>
    </row>
    <row r="6392" spans="1:22" x14ac:dyDescent="0.2">
      <c r="A6392" s="11" t="s">
        <v>7766</v>
      </c>
      <c r="B6392" s="12" t="s">
        <v>33</v>
      </c>
      <c r="C6392" s="12" t="s">
        <v>44</v>
      </c>
      <c r="D6392" s="12" t="s">
        <v>45</v>
      </c>
      <c r="E6392" s="13" t="s">
        <v>49</v>
      </c>
      <c r="F6392" s="12" t="s">
        <v>34</v>
      </c>
      <c r="G6392" s="14">
        <v>2548.3200000000002</v>
      </c>
      <c r="H6392" s="12" t="s">
        <v>22</v>
      </c>
      <c r="I6392" s="12">
        <v>0</v>
      </c>
      <c r="J6392" s="12" t="s">
        <v>34</v>
      </c>
      <c r="K6392" s="12" t="s">
        <v>23</v>
      </c>
      <c r="L6392" s="12">
        <v>1</v>
      </c>
      <c r="M6392" s="15">
        <v>69173</v>
      </c>
      <c r="N6392" s="15">
        <v>0</v>
      </c>
      <c r="O6392" s="15">
        <f t="shared" si="541"/>
        <v>69173</v>
      </c>
      <c r="P6392" s="15">
        <f t="shared" si="546"/>
        <v>27.144550134990894</v>
      </c>
      <c r="Q6392" s="14">
        <v>5000</v>
      </c>
      <c r="R6392" s="12">
        <v>51</v>
      </c>
      <c r="S6392" s="12" t="s">
        <v>7773</v>
      </c>
      <c r="T6392" s="22">
        <f t="shared" si="543"/>
        <v>3</v>
      </c>
      <c r="U6392" s="22">
        <f t="shared" si="544"/>
        <v>2023</v>
      </c>
      <c r="V6392" s="22" t="str">
        <f t="shared" si="545"/>
        <v>METROPOLITANA</v>
      </c>
    </row>
    <row r="6393" spans="1:22" x14ac:dyDescent="0.2">
      <c r="A6393" s="23" t="s">
        <v>7775</v>
      </c>
      <c r="B6393" s="22" t="s">
        <v>33</v>
      </c>
      <c r="C6393" s="22" t="s">
        <v>1642</v>
      </c>
      <c r="D6393" s="22" t="s">
        <v>5478</v>
      </c>
      <c r="E6393" s="24" t="s">
        <v>83</v>
      </c>
      <c r="F6393" s="22" t="s">
        <v>2308</v>
      </c>
      <c r="G6393" s="25">
        <f>5735.15+784</f>
        <v>6519.15</v>
      </c>
      <c r="H6393" s="22" t="s">
        <v>24</v>
      </c>
      <c r="I6393" s="22">
        <v>1</v>
      </c>
      <c r="J6393" s="22" t="s">
        <v>2308</v>
      </c>
      <c r="K6393" s="22" t="s">
        <v>2309</v>
      </c>
      <c r="L6393" s="22">
        <v>0</v>
      </c>
      <c r="M6393" s="26">
        <v>943000</v>
      </c>
      <c r="N6393" s="26">
        <v>0</v>
      </c>
      <c r="O6393" s="15">
        <f t="shared" si="541"/>
        <v>943000</v>
      </c>
      <c r="P6393" s="15">
        <f t="shared" si="546"/>
        <v>144.65075968492826</v>
      </c>
      <c r="Q6393" s="25">
        <v>14000</v>
      </c>
      <c r="R6393" s="22">
        <v>65</v>
      </c>
      <c r="S6393" s="22" t="s">
        <v>7788</v>
      </c>
      <c r="T6393" s="22">
        <f t="shared" si="543"/>
        <v>3</v>
      </c>
      <c r="U6393" s="22">
        <f t="shared" si="544"/>
        <v>2023</v>
      </c>
      <c r="V6393" s="22" t="str">
        <f t="shared" si="545"/>
        <v>REGIONES</v>
      </c>
    </row>
    <row r="6394" spans="1:22" x14ac:dyDescent="0.2">
      <c r="A6394" s="23" t="s">
        <v>7775</v>
      </c>
      <c r="B6394" s="22" t="s">
        <v>33</v>
      </c>
      <c r="C6394" s="22" t="s">
        <v>57</v>
      </c>
      <c r="D6394" s="22" t="s">
        <v>45</v>
      </c>
      <c r="E6394" s="24" t="s">
        <v>7776</v>
      </c>
      <c r="F6394" s="22" t="s">
        <v>58</v>
      </c>
      <c r="G6394" s="25">
        <v>6993.6000000000022</v>
      </c>
      <c r="H6394" s="22" t="s">
        <v>22</v>
      </c>
      <c r="I6394" s="22">
        <v>0</v>
      </c>
      <c r="J6394" s="22" t="s">
        <v>58</v>
      </c>
      <c r="K6394" s="22" t="s">
        <v>23</v>
      </c>
      <c r="L6394" s="22">
        <v>5</v>
      </c>
      <c r="M6394" s="26">
        <v>87500</v>
      </c>
      <c r="N6394" s="26">
        <v>0</v>
      </c>
      <c r="O6394" s="15">
        <f t="shared" si="541"/>
        <v>87500</v>
      </c>
      <c r="P6394" s="15">
        <f t="shared" si="546"/>
        <v>12.511439029970255</v>
      </c>
      <c r="Q6394" s="25">
        <v>10000</v>
      </c>
      <c r="R6394" s="22">
        <v>70</v>
      </c>
      <c r="S6394" s="22" t="s">
        <v>7777</v>
      </c>
      <c r="T6394" s="22">
        <f t="shared" si="543"/>
        <v>3</v>
      </c>
      <c r="U6394" s="22">
        <f t="shared" si="544"/>
        <v>2023</v>
      </c>
      <c r="V6394" s="22" t="str">
        <f t="shared" si="545"/>
        <v>METROPOLITANA</v>
      </c>
    </row>
    <row r="6395" spans="1:22" x14ac:dyDescent="0.2">
      <c r="A6395" s="23" t="s">
        <v>7775</v>
      </c>
      <c r="B6395" s="22" t="s">
        <v>33</v>
      </c>
      <c r="C6395" s="22" t="s">
        <v>7065</v>
      </c>
      <c r="D6395" s="22" t="s">
        <v>20</v>
      </c>
      <c r="E6395" s="24" t="s">
        <v>21</v>
      </c>
      <c r="F6395" s="22" t="s">
        <v>129</v>
      </c>
      <c r="G6395" s="25">
        <v>8481.9999999999982</v>
      </c>
      <c r="H6395" s="22" t="s">
        <v>22</v>
      </c>
      <c r="I6395" s="22">
        <v>0</v>
      </c>
      <c r="J6395" s="22" t="s">
        <v>129</v>
      </c>
      <c r="K6395" s="22" t="s">
        <v>23</v>
      </c>
      <c r="L6395" s="22">
        <v>1</v>
      </c>
      <c r="M6395" s="26">
        <v>93302</v>
      </c>
      <c r="N6395" s="26">
        <v>0</v>
      </c>
      <c r="O6395" s="15">
        <f t="shared" ref="O6395:O6458" si="547">SUM(M6395:N6395)</f>
        <v>93302</v>
      </c>
      <c r="P6395" s="15">
        <f t="shared" si="546"/>
        <v>11.000000000000002</v>
      </c>
      <c r="Q6395" s="25">
        <v>5000</v>
      </c>
      <c r="R6395" s="22">
        <v>100</v>
      </c>
      <c r="S6395" s="22" t="s">
        <v>7778</v>
      </c>
      <c r="T6395" s="22">
        <f t="shared" si="543"/>
        <v>3</v>
      </c>
      <c r="U6395" s="22">
        <f t="shared" si="544"/>
        <v>2023</v>
      </c>
      <c r="V6395" s="22" t="str">
        <f t="shared" si="545"/>
        <v>METROPOLITANA</v>
      </c>
    </row>
    <row r="6396" spans="1:22" x14ac:dyDescent="0.2">
      <c r="A6396" s="23" t="s">
        <v>7775</v>
      </c>
      <c r="B6396" s="22" t="s">
        <v>33</v>
      </c>
      <c r="C6396" s="22" t="s">
        <v>29</v>
      </c>
      <c r="D6396" s="22" t="s">
        <v>7779</v>
      </c>
      <c r="E6396" s="24" t="s">
        <v>131</v>
      </c>
      <c r="F6396" s="22" t="s">
        <v>114</v>
      </c>
      <c r="G6396" s="25">
        <v>18739</v>
      </c>
      <c r="H6396" s="22" t="s">
        <v>24</v>
      </c>
      <c r="I6396" s="22">
        <v>1</v>
      </c>
      <c r="J6396" s="22" t="s">
        <v>114</v>
      </c>
      <c r="K6396" s="22" t="s">
        <v>75</v>
      </c>
      <c r="L6396" s="22">
        <v>0</v>
      </c>
      <c r="M6396" s="26">
        <v>528000</v>
      </c>
      <c r="N6396" s="26">
        <v>0</v>
      </c>
      <c r="O6396" s="15">
        <f t="shared" si="547"/>
        <v>528000</v>
      </c>
      <c r="P6396" s="15">
        <f t="shared" si="546"/>
        <v>28.176530231068895</v>
      </c>
      <c r="Q6396" s="25">
        <v>14000</v>
      </c>
      <c r="R6396" s="22">
        <v>100</v>
      </c>
      <c r="S6396" s="22" t="s">
        <v>7780</v>
      </c>
      <c r="T6396" s="22">
        <f t="shared" si="543"/>
        <v>3</v>
      </c>
      <c r="U6396" s="22">
        <f t="shared" si="544"/>
        <v>2023</v>
      </c>
      <c r="V6396" s="22" t="str">
        <f t="shared" si="545"/>
        <v>REGIONES</v>
      </c>
    </row>
    <row r="6397" spans="1:22" x14ac:dyDescent="0.2">
      <c r="A6397" s="23" t="s">
        <v>7775</v>
      </c>
      <c r="B6397" s="22" t="s">
        <v>33</v>
      </c>
      <c r="C6397" s="22" t="s">
        <v>29</v>
      </c>
      <c r="D6397" s="22" t="s">
        <v>38</v>
      </c>
      <c r="E6397" s="24" t="s">
        <v>42</v>
      </c>
      <c r="F6397" s="22" t="s">
        <v>39</v>
      </c>
      <c r="G6397" s="25">
        <v>11806.159999999991</v>
      </c>
      <c r="H6397" s="22" t="s">
        <v>43</v>
      </c>
      <c r="I6397" s="22">
        <v>0</v>
      </c>
      <c r="J6397" s="22" t="s">
        <v>39</v>
      </c>
      <c r="K6397" s="22" t="s">
        <v>23</v>
      </c>
      <c r="L6397" s="22">
        <v>1</v>
      </c>
      <c r="M6397" s="26">
        <v>129868</v>
      </c>
      <c r="N6397" s="26">
        <v>0</v>
      </c>
      <c r="O6397" s="15">
        <f t="shared" si="547"/>
        <v>129868</v>
      </c>
      <c r="P6397" s="15">
        <f t="shared" si="546"/>
        <v>11.00002032837096</v>
      </c>
      <c r="Q6397" s="25">
        <v>5000</v>
      </c>
      <c r="R6397" s="22">
        <v>100</v>
      </c>
      <c r="S6397" s="22" t="s">
        <v>7781</v>
      </c>
      <c r="T6397" s="22">
        <f t="shared" si="543"/>
        <v>3</v>
      </c>
      <c r="U6397" s="22">
        <f t="shared" si="544"/>
        <v>2023</v>
      </c>
      <c r="V6397" s="22" t="str">
        <f t="shared" si="545"/>
        <v>METROPOLITANA</v>
      </c>
    </row>
    <row r="6398" spans="1:22" x14ac:dyDescent="0.2">
      <c r="A6398" s="23" t="s">
        <v>7775</v>
      </c>
      <c r="B6398" s="22" t="s">
        <v>33</v>
      </c>
      <c r="C6398" s="22" t="s">
        <v>29</v>
      </c>
      <c r="D6398" s="22" t="s">
        <v>7615</v>
      </c>
      <c r="E6398" s="24" t="s">
        <v>7492</v>
      </c>
      <c r="F6398" s="22" t="s">
        <v>114</v>
      </c>
      <c r="G6398" s="25">
        <v>12200.8</v>
      </c>
      <c r="H6398" s="22" t="s">
        <v>24</v>
      </c>
      <c r="I6398" s="22">
        <v>1</v>
      </c>
      <c r="J6398" s="22" t="s">
        <v>114</v>
      </c>
      <c r="K6398" s="22" t="s">
        <v>75</v>
      </c>
      <c r="L6398" s="22">
        <v>0</v>
      </c>
      <c r="M6398" s="26">
        <v>528000</v>
      </c>
      <c r="N6398" s="26">
        <v>0</v>
      </c>
      <c r="O6398" s="15">
        <f t="shared" si="547"/>
        <v>528000</v>
      </c>
      <c r="P6398" s="15">
        <f t="shared" si="546"/>
        <v>43.275850763884335</v>
      </c>
      <c r="Q6398" s="25">
        <v>14000</v>
      </c>
      <c r="R6398" s="22">
        <v>87</v>
      </c>
      <c r="S6398" s="22" t="s">
        <v>7782</v>
      </c>
      <c r="T6398" s="22">
        <f t="shared" si="543"/>
        <v>3</v>
      </c>
      <c r="U6398" s="22">
        <f t="shared" si="544"/>
        <v>2023</v>
      </c>
      <c r="V6398" s="22" t="str">
        <f t="shared" si="545"/>
        <v>REGIONES</v>
      </c>
    </row>
    <row r="6399" spans="1:22" x14ac:dyDescent="0.2">
      <c r="A6399" s="23" t="s">
        <v>7775</v>
      </c>
      <c r="B6399" s="22" t="s">
        <v>33</v>
      </c>
      <c r="C6399" s="22" t="s">
        <v>29</v>
      </c>
      <c r="D6399" s="22" t="s">
        <v>164</v>
      </c>
      <c r="E6399" s="24" t="s">
        <v>1576</v>
      </c>
      <c r="F6399" s="22" t="s">
        <v>39</v>
      </c>
      <c r="G6399" s="25">
        <v>21632.48</v>
      </c>
      <c r="H6399" s="22" t="s">
        <v>22</v>
      </c>
      <c r="I6399" s="22">
        <v>1</v>
      </c>
      <c r="J6399" s="22" t="s">
        <v>39</v>
      </c>
      <c r="K6399" s="22" t="s">
        <v>23</v>
      </c>
      <c r="L6399" s="22">
        <v>1</v>
      </c>
      <c r="M6399" s="26">
        <v>237957</v>
      </c>
      <c r="N6399" s="26">
        <v>0</v>
      </c>
      <c r="O6399" s="15">
        <f t="shared" si="547"/>
        <v>237957</v>
      </c>
      <c r="P6399" s="15">
        <f t="shared" si="546"/>
        <v>10.999987056500226</v>
      </c>
      <c r="Q6399" s="25">
        <v>5000</v>
      </c>
      <c r="R6399" s="22">
        <v>100</v>
      </c>
      <c r="S6399" s="22" t="s">
        <v>7783</v>
      </c>
      <c r="T6399" s="22">
        <f t="shared" si="543"/>
        <v>3</v>
      </c>
      <c r="U6399" s="22">
        <f t="shared" si="544"/>
        <v>2023</v>
      </c>
      <c r="V6399" s="22" t="str">
        <f t="shared" si="545"/>
        <v>METROPOLITANA</v>
      </c>
    </row>
    <row r="6400" spans="1:22" x14ac:dyDescent="0.2">
      <c r="A6400" s="23" t="s">
        <v>7775</v>
      </c>
      <c r="B6400" s="22" t="s">
        <v>33</v>
      </c>
      <c r="C6400" s="22" t="s">
        <v>44</v>
      </c>
      <c r="D6400" s="22" t="s">
        <v>37</v>
      </c>
      <c r="E6400" s="24" t="s">
        <v>40</v>
      </c>
      <c r="F6400" s="22" t="s">
        <v>94</v>
      </c>
      <c r="G6400" s="25">
        <v>7273.86</v>
      </c>
      <c r="H6400" s="22" t="s">
        <v>22</v>
      </c>
      <c r="I6400" s="22">
        <v>0</v>
      </c>
      <c r="J6400" s="22" t="s">
        <v>59</v>
      </c>
      <c r="K6400" s="22" t="s">
        <v>78</v>
      </c>
      <c r="L6400" s="22">
        <v>0</v>
      </c>
      <c r="M6400" s="26">
        <v>227000</v>
      </c>
      <c r="N6400" s="26">
        <v>0</v>
      </c>
      <c r="O6400" s="15">
        <f t="shared" si="547"/>
        <v>227000</v>
      </c>
      <c r="P6400" s="15">
        <f t="shared" si="546"/>
        <v>31.207639410161867</v>
      </c>
      <c r="Q6400" s="25">
        <v>14000</v>
      </c>
      <c r="R6400" s="22">
        <v>52</v>
      </c>
      <c r="S6400" s="22" t="s">
        <v>7784</v>
      </c>
      <c r="T6400" s="22">
        <f t="shared" si="543"/>
        <v>3</v>
      </c>
      <c r="U6400" s="22">
        <f t="shared" si="544"/>
        <v>2023</v>
      </c>
      <c r="V6400" s="22" t="str">
        <f t="shared" si="545"/>
        <v>REGIONES</v>
      </c>
    </row>
    <row r="6401" spans="1:22" x14ac:dyDescent="0.2">
      <c r="A6401" s="23" t="s">
        <v>7775</v>
      </c>
      <c r="B6401" s="22" t="s">
        <v>33</v>
      </c>
      <c r="C6401" s="22" t="s">
        <v>44</v>
      </c>
      <c r="D6401" s="22" t="s">
        <v>30</v>
      </c>
      <c r="E6401" s="24" t="s">
        <v>31</v>
      </c>
      <c r="F6401" s="22" t="s">
        <v>182</v>
      </c>
      <c r="G6401" s="25">
        <v>2618.52</v>
      </c>
      <c r="H6401" s="22" t="s">
        <v>32</v>
      </c>
      <c r="I6401" s="22">
        <v>0</v>
      </c>
      <c r="J6401" s="22" t="s">
        <v>182</v>
      </c>
      <c r="K6401" s="22" t="s">
        <v>23</v>
      </c>
      <c r="L6401" s="22">
        <v>4</v>
      </c>
      <c r="M6401" s="26">
        <v>69173</v>
      </c>
      <c r="N6401" s="26">
        <v>0</v>
      </c>
      <c r="O6401" s="15">
        <f t="shared" si="547"/>
        <v>69173</v>
      </c>
      <c r="P6401" s="15">
        <f t="shared" si="546"/>
        <v>26.416830881566685</v>
      </c>
      <c r="Q6401" s="25">
        <v>5000</v>
      </c>
      <c r="R6401" s="22">
        <v>52</v>
      </c>
      <c r="S6401" s="22" t="s">
        <v>7785</v>
      </c>
      <c r="T6401" s="22">
        <f t="shared" si="543"/>
        <v>3</v>
      </c>
      <c r="U6401" s="22">
        <f t="shared" si="544"/>
        <v>2023</v>
      </c>
      <c r="V6401" s="22" t="str">
        <f t="shared" si="545"/>
        <v>METROPOLITANA</v>
      </c>
    </row>
    <row r="6402" spans="1:22" x14ac:dyDescent="0.2">
      <c r="A6402" s="23" t="s">
        <v>7775</v>
      </c>
      <c r="B6402" s="22" t="s">
        <v>33</v>
      </c>
      <c r="C6402" s="22" t="s">
        <v>44</v>
      </c>
      <c r="D6402" s="22" t="s">
        <v>45</v>
      </c>
      <c r="E6402" s="24" t="s">
        <v>49</v>
      </c>
      <c r="F6402" s="22" t="s">
        <v>51</v>
      </c>
      <c r="G6402" s="25">
        <v>3166.8</v>
      </c>
      <c r="H6402" s="22" t="s">
        <v>22</v>
      </c>
      <c r="I6402" s="22">
        <v>0</v>
      </c>
      <c r="J6402" s="22" t="s">
        <v>51</v>
      </c>
      <c r="K6402" s="22" t="s">
        <v>23</v>
      </c>
      <c r="L6402" s="22">
        <v>4</v>
      </c>
      <c r="M6402" s="26">
        <v>69173</v>
      </c>
      <c r="N6402" s="26">
        <v>0</v>
      </c>
      <c r="O6402" s="15">
        <f t="shared" si="547"/>
        <v>69173</v>
      </c>
      <c r="P6402" s="15">
        <f t="shared" si="546"/>
        <v>21.843185550082101</v>
      </c>
      <c r="Q6402" s="25">
        <v>5000</v>
      </c>
      <c r="R6402" s="22">
        <v>63</v>
      </c>
      <c r="S6402" s="22" t="s">
        <v>7786</v>
      </c>
      <c r="T6402" s="22">
        <f t="shared" si="543"/>
        <v>3</v>
      </c>
      <c r="U6402" s="22">
        <f t="shared" si="544"/>
        <v>2023</v>
      </c>
      <c r="V6402" s="22" t="str">
        <f t="shared" si="545"/>
        <v>METROPOLITANA</v>
      </c>
    </row>
    <row r="6403" spans="1:22" x14ac:dyDescent="0.2">
      <c r="A6403" s="23" t="s">
        <v>7775</v>
      </c>
      <c r="B6403" s="22" t="s">
        <v>33</v>
      </c>
      <c r="C6403" s="22" t="s">
        <v>44</v>
      </c>
      <c r="D6403" s="22" t="s">
        <v>20</v>
      </c>
      <c r="E6403" s="24" t="s">
        <v>21</v>
      </c>
      <c r="F6403" s="22" t="s">
        <v>48</v>
      </c>
      <c r="G6403" s="25">
        <v>3405.6000000000008</v>
      </c>
      <c r="H6403" s="22" t="s">
        <v>22</v>
      </c>
      <c r="I6403" s="22">
        <v>0</v>
      </c>
      <c r="J6403" s="22" t="s">
        <v>48</v>
      </c>
      <c r="K6403" s="22" t="s">
        <v>23</v>
      </c>
      <c r="L6403" s="22">
        <v>1</v>
      </c>
      <c r="M6403" s="26">
        <v>69173</v>
      </c>
      <c r="N6403" s="26">
        <v>0</v>
      </c>
      <c r="O6403" s="15">
        <f t="shared" si="547"/>
        <v>69173</v>
      </c>
      <c r="P6403" s="15">
        <f t="shared" si="546"/>
        <v>20.311545689452661</v>
      </c>
      <c r="Q6403" s="25">
        <v>5000</v>
      </c>
      <c r="R6403" s="22">
        <v>68</v>
      </c>
      <c r="S6403" s="22" t="s">
        <v>7787</v>
      </c>
      <c r="T6403" s="22">
        <f t="shared" si="543"/>
        <v>3</v>
      </c>
      <c r="U6403" s="22">
        <f t="shared" si="544"/>
        <v>2023</v>
      </c>
      <c r="V6403" s="22" t="str">
        <f t="shared" si="545"/>
        <v>METROPOLITANA</v>
      </c>
    </row>
    <row r="6404" spans="1:22" x14ac:dyDescent="0.2">
      <c r="A6404" s="11" t="s">
        <v>7789</v>
      </c>
      <c r="B6404" s="12" t="s">
        <v>33</v>
      </c>
      <c r="C6404" s="12" t="s">
        <v>128</v>
      </c>
      <c r="D6404" s="12" t="s">
        <v>37</v>
      </c>
      <c r="E6404" s="13" t="s">
        <v>40</v>
      </c>
      <c r="F6404" s="12" t="s">
        <v>6796</v>
      </c>
      <c r="G6404" s="14">
        <v>7503.9999999999973</v>
      </c>
      <c r="H6404" s="12" t="s">
        <v>22</v>
      </c>
      <c r="I6404" s="12">
        <v>0</v>
      </c>
      <c r="J6404" s="12" t="s">
        <v>6796</v>
      </c>
      <c r="K6404" s="12" t="s">
        <v>78</v>
      </c>
      <c r="L6404" s="12">
        <v>0</v>
      </c>
      <c r="M6404" s="15">
        <v>250000</v>
      </c>
      <c r="N6404" s="15">
        <v>0</v>
      </c>
      <c r="O6404" s="15">
        <f t="shared" si="547"/>
        <v>250000</v>
      </c>
      <c r="P6404" s="15">
        <f t="shared" si="546"/>
        <v>33.315565031982956</v>
      </c>
      <c r="Q6404" s="14">
        <v>14000</v>
      </c>
      <c r="R6404" s="12">
        <v>54</v>
      </c>
      <c r="S6404" s="12" t="s">
        <v>7790</v>
      </c>
      <c r="T6404" s="22">
        <f t="shared" si="543"/>
        <v>3</v>
      </c>
      <c r="U6404" s="22">
        <f t="shared" si="544"/>
        <v>2023</v>
      </c>
      <c r="V6404" s="22" t="str">
        <f t="shared" si="545"/>
        <v>REGIONES</v>
      </c>
    </row>
    <row r="6405" spans="1:22" x14ac:dyDescent="0.2">
      <c r="A6405" s="11" t="s">
        <v>7789</v>
      </c>
      <c r="B6405" s="12" t="s">
        <v>33</v>
      </c>
      <c r="C6405" s="12" t="s">
        <v>128</v>
      </c>
      <c r="D6405" s="12" t="s">
        <v>20</v>
      </c>
      <c r="E6405" s="13" t="s">
        <v>21</v>
      </c>
      <c r="F6405" s="12" t="s">
        <v>1783</v>
      </c>
      <c r="G6405" s="14">
        <v>4133.4400000000014</v>
      </c>
      <c r="H6405" s="12" t="s">
        <v>22</v>
      </c>
      <c r="I6405" s="12">
        <v>0</v>
      </c>
      <c r="J6405" s="12" t="s">
        <v>1784</v>
      </c>
      <c r="K6405" s="12" t="s">
        <v>23</v>
      </c>
      <c r="L6405" s="12">
        <v>5</v>
      </c>
      <c r="M6405" s="15">
        <v>112500</v>
      </c>
      <c r="N6405" s="15">
        <v>0</v>
      </c>
      <c r="O6405" s="15">
        <f t="shared" si="547"/>
        <v>112500</v>
      </c>
      <c r="P6405" s="15">
        <f t="shared" si="546"/>
        <v>27.217039560269402</v>
      </c>
      <c r="Q6405" s="14">
        <v>10000</v>
      </c>
      <c r="R6405" s="12">
        <v>41</v>
      </c>
      <c r="S6405" s="12" t="s">
        <v>7791</v>
      </c>
      <c r="T6405" s="22">
        <f t="shared" si="543"/>
        <v>3</v>
      </c>
      <c r="U6405" s="22">
        <f t="shared" si="544"/>
        <v>2023</v>
      </c>
      <c r="V6405" s="22" t="str">
        <f t="shared" si="545"/>
        <v>METROPOLITANA</v>
      </c>
    </row>
    <row r="6406" spans="1:22" x14ac:dyDescent="0.2">
      <c r="A6406" s="11" t="s">
        <v>7789</v>
      </c>
      <c r="B6406" s="12" t="s">
        <v>33</v>
      </c>
      <c r="C6406" s="12" t="s">
        <v>36</v>
      </c>
      <c r="D6406" s="12" t="s">
        <v>30</v>
      </c>
      <c r="E6406" s="13" t="s">
        <v>31</v>
      </c>
      <c r="F6406" s="12" t="s">
        <v>170</v>
      </c>
      <c r="G6406" s="14">
        <f>4971.28+4077+7504</f>
        <v>16552.28</v>
      </c>
      <c r="H6406" s="12" t="s">
        <v>32</v>
      </c>
      <c r="I6406" s="12">
        <v>0</v>
      </c>
      <c r="J6406" s="12" t="s">
        <v>170</v>
      </c>
      <c r="K6406" s="12" t="s">
        <v>171</v>
      </c>
      <c r="L6406" s="12">
        <v>0</v>
      </c>
      <c r="M6406" s="15">
        <v>226400</v>
      </c>
      <c r="N6406" s="15">
        <v>0</v>
      </c>
      <c r="O6406" s="15">
        <f t="shared" si="547"/>
        <v>226400</v>
      </c>
      <c r="P6406" s="15">
        <f t="shared" si="546"/>
        <v>13.677873984732013</v>
      </c>
      <c r="Q6406" s="14">
        <v>14000</v>
      </c>
      <c r="R6406" s="12">
        <v>36</v>
      </c>
      <c r="S6406" s="12" t="s">
        <v>7797</v>
      </c>
      <c r="T6406" s="22">
        <f t="shared" si="543"/>
        <v>3</v>
      </c>
      <c r="U6406" s="22">
        <f t="shared" si="544"/>
        <v>2023</v>
      </c>
      <c r="V6406" s="22" t="str">
        <f t="shared" si="545"/>
        <v>REGIONES</v>
      </c>
    </row>
    <row r="6407" spans="1:22" x14ac:dyDescent="0.2">
      <c r="A6407" s="11" t="s">
        <v>7789</v>
      </c>
      <c r="B6407" s="12" t="s">
        <v>33</v>
      </c>
      <c r="C6407" s="12" t="s">
        <v>29</v>
      </c>
      <c r="D6407" s="12" t="s">
        <v>2825</v>
      </c>
      <c r="E6407" s="13" t="s">
        <v>639</v>
      </c>
      <c r="F6407" s="12" t="s">
        <v>114</v>
      </c>
      <c r="G6407" s="14">
        <v>23967.000000000011</v>
      </c>
      <c r="H6407" s="12" t="s">
        <v>24</v>
      </c>
      <c r="I6407" s="12">
        <v>1</v>
      </c>
      <c r="J6407" s="12" t="s">
        <v>114</v>
      </c>
      <c r="K6407" s="12" t="s">
        <v>75</v>
      </c>
      <c r="L6407" s="12">
        <v>0</v>
      </c>
      <c r="M6407" s="15">
        <v>528000</v>
      </c>
      <c r="N6407" s="15">
        <v>0</v>
      </c>
      <c r="O6407" s="15">
        <f t="shared" si="547"/>
        <v>528000</v>
      </c>
      <c r="P6407" s="15">
        <f t="shared" si="546"/>
        <v>22.030291651020143</v>
      </c>
      <c r="Q6407" s="14">
        <v>14000</v>
      </c>
      <c r="R6407" s="12">
        <v>100</v>
      </c>
      <c r="S6407" s="12" t="s">
        <v>7792</v>
      </c>
      <c r="T6407" s="22">
        <f t="shared" ref="T6407:T6470" si="548">MONTH(A6407)</f>
        <v>3</v>
      </c>
      <c r="U6407" s="22">
        <f t="shared" ref="U6407:U6470" si="549">YEAR(A6407)</f>
        <v>2023</v>
      </c>
      <c r="V6407" s="22" t="str">
        <f t="shared" ref="V6407:V6470" si="550">IF(K6407="METROPOLITANA DE SANTIAGO","METROPOLITANA","REGIONES")</f>
        <v>REGIONES</v>
      </c>
    </row>
    <row r="6408" spans="1:22" x14ac:dyDescent="0.2">
      <c r="A6408" s="11" t="s">
        <v>7789</v>
      </c>
      <c r="B6408" s="12" t="s">
        <v>33</v>
      </c>
      <c r="C6408" s="12" t="s">
        <v>44</v>
      </c>
      <c r="D6408" s="12" t="s">
        <v>6989</v>
      </c>
      <c r="E6408" s="13" t="s">
        <v>7793</v>
      </c>
      <c r="F6408" s="12" t="s">
        <v>114</v>
      </c>
      <c r="G6408" s="14">
        <v>8298.9699999999993</v>
      </c>
      <c r="H6408" s="12" t="s">
        <v>24</v>
      </c>
      <c r="I6408" s="12">
        <v>1</v>
      </c>
      <c r="J6408" s="12" t="s">
        <v>114</v>
      </c>
      <c r="K6408" s="12" t="s">
        <v>75</v>
      </c>
      <c r="L6408" s="12">
        <v>0</v>
      </c>
      <c r="M6408" s="15">
        <v>528000</v>
      </c>
      <c r="N6408" s="15">
        <v>0</v>
      </c>
      <c r="O6408" s="15">
        <f t="shared" si="547"/>
        <v>528000</v>
      </c>
      <c r="P6408" s="15">
        <f t="shared" si="546"/>
        <v>63.622353135389098</v>
      </c>
      <c r="Q6408" s="14">
        <v>14000</v>
      </c>
      <c r="R6408" s="12">
        <v>59</v>
      </c>
      <c r="S6408" s="12" t="s">
        <v>7794</v>
      </c>
      <c r="T6408" s="22">
        <f t="shared" si="548"/>
        <v>3</v>
      </c>
      <c r="U6408" s="22">
        <f t="shared" si="549"/>
        <v>2023</v>
      </c>
      <c r="V6408" s="22" t="str">
        <f t="shared" si="550"/>
        <v>REGIONES</v>
      </c>
    </row>
    <row r="6409" spans="1:22" x14ac:dyDescent="0.2">
      <c r="A6409" s="11" t="s">
        <v>7789</v>
      </c>
      <c r="B6409" s="12" t="s">
        <v>33</v>
      </c>
      <c r="C6409" s="12" t="s">
        <v>44</v>
      </c>
      <c r="D6409" s="12" t="s">
        <v>45</v>
      </c>
      <c r="E6409" s="13" t="s">
        <v>49</v>
      </c>
      <c r="F6409" s="12" t="s">
        <v>6841</v>
      </c>
      <c r="G6409" s="14">
        <v>3010.1200000000008</v>
      </c>
      <c r="H6409" s="12" t="s">
        <v>22</v>
      </c>
      <c r="I6409" s="12">
        <v>0</v>
      </c>
      <c r="J6409" s="12" t="s">
        <v>6841</v>
      </c>
      <c r="K6409" s="12" t="s">
        <v>23</v>
      </c>
      <c r="L6409" s="12">
        <v>1</v>
      </c>
      <c r="M6409" s="15">
        <v>69173</v>
      </c>
      <c r="N6409" s="15">
        <v>0</v>
      </c>
      <c r="O6409" s="15">
        <f t="shared" si="547"/>
        <v>69173</v>
      </c>
      <c r="P6409" s="15">
        <f t="shared" si="546"/>
        <v>22.980146970884874</v>
      </c>
      <c r="Q6409" s="14">
        <v>5000</v>
      </c>
      <c r="R6409" s="12">
        <v>60</v>
      </c>
      <c r="S6409" s="12" t="s">
        <v>7795</v>
      </c>
      <c r="T6409" s="22">
        <f t="shared" si="548"/>
        <v>3</v>
      </c>
      <c r="U6409" s="22">
        <f t="shared" si="549"/>
        <v>2023</v>
      </c>
      <c r="V6409" s="22" t="str">
        <f t="shared" si="550"/>
        <v>METROPOLITANA</v>
      </c>
    </row>
    <row r="6410" spans="1:22" x14ac:dyDescent="0.2">
      <c r="A6410" s="11" t="s">
        <v>7789</v>
      </c>
      <c r="B6410" s="12" t="s">
        <v>33</v>
      </c>
      <c r="C6410" s="12" t="s">
        <v>44</v>
      </c>
      <c r="D6410" s="12" t="s">
        <v>20</v>
      </c>
      <c r="E6410" s="13" t="s">
        <v>21</v>
      </c>
      <c r="F6410" s="12" t="s">
        <v>67</v>
      </c>
      <c r="G6410" s="14">
        <v>2520.79</v>
      </c>
      <c r="H6410" s="12" t="s">
        <v>22</v>
      </c>
      <c r="I6410" s="12">
        <v>0</v>
      </c>
      <c r="J6410" s="12" t="s">
        <v>67</v>
      </c>
      <c r="K6410" s="12" t="s">
        <v>23</v>
      </c>
      <c r="L6410" s="12">
        <v>2</v>
      </c>
      <c r="M6410" s="15">
        <v>69173</v>
      </c>
      <c r="N6410" s="15">
        <v>0</v>
      </c>
      <c r="O6410" s="15">
        <f t="shared" si="547"/>
        <v>69173</v>
      </c>
      <c r="P6410" s="15">
        <f t="shared" si="546"/>
        <v>27.441000638688667</v>
      </c>
      <c r="Q6410" s="14">
        <v>5000</v>
      </c>
      <c r="R6410" s="12">
        <v>50</v>
      </c>
      <c r="S6410" s="12" t="s">
        <v>7796</v>
      </c>
      <c r="T6410" s="22">
        <f t="shared" si="548"/>
        <v>3</v>
      </c>
      <c r="U6410" s="22">
        <f t="shared" si="549"/>
        <v>2023</v>
      </c>
      <c r="V6410" s="22" t="str">
        <f t="shared" si="550"/>
        <v>METROPOLITANA</v>
      </c>
    </row>
    <row r="6411" spans="1:22" x14ac:dyDescent="0.2">
      <c r="A6411" s="23" t="s">
        <v>7798</v>
      </c>
      <c r="B6411" s="22" t="s">
        <v>18</v>
      </c>
      <c r="C6411" s="22" t="s">
        <v>29</v>
      </c>
      <c r="D6411" s="22" t="s">
        <v>6218</v>
      </c>
      <c r="E6411" s="24" t="s">
        <v>5696</v>
      </c>
      <c r="F6411" s="22" t="s">
        <v>39</v>
      </c>
      <c r="G6411" s="25">
        <v>26105</v>
      </c>
      <c r="H6411" s="22" t="s">
        <v>24</v>
      </c>
      <c r="I6411" s="22">
        <v>1</v>
      </c>
      <c r="J6411" s="22" t="s">
        <v>39</v>
      </c>
      <c r="K6411" s="22" t="s">
        <v>23</v>
      </c>
      <c r="L6411" s="22">
        <v>1</v>
      </c>
      <c r="M6411" s="26">
        <v>287155</v>
      </c>
      <c r="N6411" s="26">
        <v>0</v>
      </c>
      <c r="O6411" s="15">
        <f t="shared" si="547"/>
        <v>287155</v>
      </c>
      <c r="P6411" s="15">
        <f t="shared" si="546"/>
        <v>11</v>
      </c>
      <c r="Q6411" s="25">
        <v>5000</v>
      </c>
      <c r="R6411" s="22">
        <v>100</v>
      </c>
      <c r="S6411" s="22" t="s">
        <v>7799</v>
      </c>
      <c r="T6411" s="22">
        <f t="shared" si="548"/>
        <v>3</v>
      </c>
      <c r="U6411" s="22">
        <f t="shared" si="549"/>
        <v>2023</v>
      </c>
      <c r="V6411" s="22" t="str">
        <f t="shared" si="550"/>
        <v>METROPOLITANA</v>
      </c>
    </row>
    <row r="6412" spans="1:22" x14ac:dyDescent="0.2">
      <c r="A6412" s="23" t="s">
        <v>7798</v>
      </c>
      <c r="B6412" s="22" t="s">
        <v>18</v>
      </c>
      <c r="C6412" s="22" t="s">
        <v>29</v>
      </c>
      <c r="D6412" s="22" t="s">
        <v>6221</v>
      </c>
      <c r="E6412" s="24" t="s">
        <v>7100</v>
      </c>
      <c r="F6412" s="22" t="s">
        <v>39</v>
      </c>
      <c r="G6412" s="25">
        <v>26105</v>
      </c>
      <c r="H6412" s="22" t="s">
        <v>24</v>
      </c>
      <c r="I6412" s="22">
        <v>1</v>
      </c>
      <c r="J6412" s="22" t="s">
        <v>39</v>
      </c>
      <c r="K6412" s="22" t="s">
        <v>23</v>
      </c>
      <c r="L6412" s="22">
        <v>1</v>
      </c>
      <c r="M6412" s="26">
        <v>287155</v>
      </c>
      <c r="N6412" s="26">
        <v>0</v>
      </c>
      <c r="O6412" s="15">
        <f t="shared" si="547"/>
        <v>287155</v>
      </c>
      <c r="P6412" s="15">
        <f t="shared" si="546"/>
        <v>11</v>
      </c>
      <c r="Q6412" s="25">
        <v>5000</v>
      </c>
      <c r="R6412" s="22">
        <v>100</v>
      </c>
      <c r="S6412" s="22" t="s">
        <v>7800</v>
      </c>
      <c r="T6412" s="22">
        <f t="shared" si="548"/>
        <v>3</v>
      </c>
      <c r="U6412" s="22">
        <f t="shared" si="549"/>
        <v>2023</v>
      </c>
      <c r="V6412" s="22" t="str">
        <f t="shared" si="550"/>
        <v>METROPOLITANA</v>
      </c>
    </row>
    <row r="6413" spans="1:22" x14ac:dyDescent="0.2">
      <c r="A6413" s="23" t="s">
        <v>7798</v>
      </c>
      <c r="B6413" s="22" t="s">
        <v>18</v>
      </c>
      <c r="C6413" s="22" t="s">
        <v>29</v>
      </c>
      <c r="D6413" s="22" t="s">
        <v>7174</v>
      </c>
      <c r="E6413" s="24" t="s">
        <v>7175</v>
      </c>
      <c r="F6413" s="22" t="s">
        <v>39</v>
      </c>
      <c r="G6413" s="25">
        <v>26105</v>
      </c>
      <c r="H6413" s="22" t="s">
        <v>24</v>
      </c>
      <c r="I6413" s="22">
        <v>1</v>
      </c>
      <c r="J6413" s="22" t="s">
        <v>39</v>
      </c>
      <c r="K6413" s="22" t="s">
        <v>23</v>
      </c>
      <c r="L6413" s="22">
        <v>1</v>
      </c>
      <c r="M6413" s="26">
        <v>287155</v>
      </c>
      <c r="N6413" s="26">
        <v>0</v>
      </c>
      <c r="O6413" s="15">
        <f t="shared" si="547"/>
        <v>287155</v>
      </c>
      <c r="P6413" s="15">
        <f t="shared" si="546"/>
        <v>11</v>
      </c>
      <c r="Q6413" s="25">
        <v>5000</v>
      </c>
      <c r="R6413" s="22">
        <v>100</v>
      </c>
      <c r="S6413" s="22" t="s">
        <v>7801</v>
      </c>
      <c r="T6413" s="22">
        <f t="shared" si="548"/>
        <v>3</v>
      </c>
      <c r="U6413" s="22">
        <f t="shared" si="549"/>
        <v>2023</v>
      </c>
      <c r="V6413" s="22" t="str">
        <f t="shared" si="550"/>
        <v>METROPOLITANA</v>
      </c>
    </row>
    <row r="6414" spans="1:22" x14ac:dyDescent="0.2">
      <c r="A6414" s="23" t="s">
        <v>7798</v>
      </c>
      <c r="B6414" s="22" t="s">
        <v>33</v>
      </c>
      <c r="C6414" s="22" t="s">
        <v>7280</v>
      </c>
      <c r="D6414" s="22" t="s">
        <v>7779</v>
      </c>
      <c r="E6414" s="24" t="s">
        <v>131</v>
      </c>
      <c r="F6414" s="22" t="s">
        <v>7802</v>
      </c>
      <c r="G6414" s="25">
        <f>8185.3+2875+1300</f>
        <v>12360.3</v>
      </c>
      <c r="H6414" s="22" t="s">
        <v>24</v>
      </c>
      <c r="I6414" s="22">
        <v>1</v>
      </c>
      <c r="J6414" s="22" t="s">
        <v>7802</v>
      </c>
      <c r="K6414" s="22" t="s">
        <v>873</v>
      </c>
      <c r="L6414" s="22">
        <v>0</v>
      </c>
      <c r="M6414" s="26">
        <v>1282000</v>
      </c>
      <c r="N6414" s="26">
        <v>0</v>
      </c>
      <c r="O6414" s="15">
        <f t="shared" si="547"/>
        <v>1282000</v>
      </c>
      <c r="P6414" s="15">
        <f t="shared" si="546"/>
        <v>103.71916539242575</v>
      </c>
      <c r="Q6414" s="25">
        <v>14000</v>
      </c>
      <c r="R6414" s="22">
        <v>100</v>
      </c>
      <c r="S6414" s="22" t="s">
        <v>7808</v>
      </c>
      <c r="T6414" s="22">
        <f t="shared" si="548"/>
        <v>3</v>
      </c>
      <c r="U6414" s="22">
        <f t="shared" si="549"/>
        <v>2023</v>
      </c>
      <c r="V6414" s="22" t="str">
        <f t="shared" si="550"/>
        <v>REGIONES</v>
      </c>
    </row>
    <row r="6415" spans="1:22" x14ac:dyDescent="0.2">
      <c r="A6415" s="23" t="s">
        <v>7798</v>
      </c>
      <c r="B6415" s="22" t="s">
        <v>33</v>
      </c>
      <c r="C6415" s="22" t="s">
        <v>29</v>
      </c>
      <c r="D6415" s="22" t="s">
        <v>38</v>
      </c>
      <c r="E6415" s="24" t="s">
        <v>42</v>
      </c>
      <c r="F6415" s="22" t="s">
        <v>39</v>
      </c>
      <c r="G6415" s="25">
        <v>9849.0499999999956</v>
      </c>
      <c r="H6415" s="22" t="s">
        <v>43</v>
      </c>
      <c r="I6415" s="22">
        <v>0</v>
      </c>
      <c r="J6415" s="22" t="s">
        <v>39</v>
      </c>
      <c r="K6415" s="22" t="s">
        <v>23</v>
      </c>
      <c r="L6415" s="22">
        <v>1</v>
      </c>
      <c r="M6415" s="26">
        <v>108340</v>
      </c>
      <c r="N6415" s="26">
        <v>0</v>
      </c>
      <c r="O6415" s="15">
        <f t="shared" si="547"/>
        <v>108340</v>
      </c>
      <c r="P6415" s="15">
        <f t="shared" si="546"/>
        <v>11.000045689685813</v>
      </c>
      <c r="Q6415" s="25">
        <v>5000</v>
      </c>
      <c r="R6415" s="22">
        <v>100</v>
      </c>
      <c r="S6415" s="22" t="s">
        <v>7803</v>
      </c>
      <c r="T6415" s="22">
        <f t="shared" si="548"/>
        <v>3</v>
      </c>
      <c r="U6415" s="22">
        <f t="shared" si="549"/>
        <v>2023</v>
      </c>
      <c r="V6415" s="22" t="str">
        <f t="shared" si="550"/>
        <v>METROPOLITANA</v>
      </c>
    </row>
    <row r="6416" spans="1:22" x14ac:dyDescent="0.2">
      <c r="A6416" s="23" t="s">
        <v>7798</v>
      </c>
      <c r="B6416" s="22" t="s">
        <v>33</v>
      </c>
      <c r="C6416" s="22" t="s">
        <v>29</v>
      </c>
      <c r="D6416" s="22" t="s">
        <v>370</v>
      </c>
      <c r="E6416" s="24" t="s">
        <v>371</v>
      </c>
      <c r="F6416" s="22" t="s">
        <v>114</v>
      </c>
      <c r="G6416" s="25">
        <v>26544.24000000002</v>
      </c>
      <c r="H6416" s="22" t="s">
        <v>85</v>
      </c>
      <c r="I6416" s="22">
        <v>1</v>
      </c>
      <c r="J6416" s="22" t="s">
        <v>114</v>
      </c>
      <c r="K6416" s="22" t="s">
        <v>75</v>
      </c>
      <c r="L6416" s="22">
        <v>0</v>
      </c>
      <c r="M6416" s="26">
        <v>528000</v>
      </c>
      <c r="N6416" s="26">
        <v>0</v>
      </c>
      <c r="O6416" s="15">
        <f t="shared" si="547"/>
        <v>528000</v>
      </c>
      <c r="P6416" s="15">
        <f t="shared" si="546"/>
        <v>19.891321054963321</v>
      </c>
      <c r="Q6416" s="25">
        <v>14000</v>
      </c>
      <c r="R6416" s="22">
        <v>100</v>
      </c>
      <c r="S6416" s="22" t="s">
        <v>7804</v>
      </c>
      <c r="T6416" s="22">
        <f t="shared" si="548"/>
        <v>3</v>
      </c>
      <c r="U6416" s="22">
        <f t="shared" si="549"/>
        <v>2023</v>
      </c>
      <c r="V6416" s="22" t="str">
        <f t="shared" si="550"/>
        <v>REGIONES</v>
      </c>
    </row>
    <row r="6417" spans="1:22" x14ac:dyDescent="0.2">
      <c r="A6417" s="23" t="s">
        <v>7798</v>
      </c>
      <c r="B6417" s="22" t="s">
        <v>33</v>
      </c>
      <c r="C6417" s="22" t="s">
        <v>29</v>
      </c>
      <c r="D6417" s="22" t="s">
        <v>164</v>
      </c>
      <c r="E6417" s="24" t="s">
        <v>1576</v>
      </c>
      <c r="F6417" s="22" t="s">
        <v>39</v>
      </c>
      <c r="G6417" s="25">
        <f>11360.15+1048</f>
        <v>12408.15</v>
      </c>
      <c r="H6417" s="22" t="s">
        <v>22</v>
      </c>
      <c r="I6417" s="22">
        <v>1</v>
      </c>
      <c r="J6417" s="22" t="s">
        <v>39</v>
      </c>
      <c r="K6417" s="22" t="s">
        <v>23</v>
      </c>
      <c r="L6417" s="22">
        <v>1</v>
      </c>
      <c r="M6417" s="26">
        <v>124962</v>
      </c>
      <c r="N6417" s="26">
        <v>0</v>
      </c>
      <c r="O6417" s="15">
        <f t="shared" si="547"/>
        <v>124962</v>
      </c>
      <c r="P6417" s="15">
        <f t="shared" si="546"/>
        <v>10.070961424547576</v>
      </c>
      <c r="Q6417" s="25">
        <v>5000</v>
      </c>
      <c r="R6417" s="22">
        <v>100</v>
      </c>
      <c r="S6417" s="22" t="s">
        <v>7809</v>
      </c>
      <c r="T6417" s="22">
        <f t="shared" si="548"/>
        <v>3</v>
      </c>
      <c r="U6417" s="22">
        <f t="shared" si="549"/>
        <v>2023</v>
      </c>
      <c r="V6417" s="22" t="str">
        <f t="shared" si="550"/>
        <v>METROPOLITANA</v>
      </c>
    </row>
    <row r="6418" spans="1:22" x14ac:dyDescent="0.2">
      <c r="A6418" s="23" t="s">
        <v>7798</v>
      </c>
      <c r="B6418" s="22" t="s">
        <v>33</v>
      </c>
      <c r="C6418" s="22" t="s">
        <v>44</v>
      </c>
      <c r="D6418" s="22" t="s">
        <v>37</v>
      </c>
      <c r="E6418" s="24" t="s">
        <v>40</v>
      </c>
      <c r="F6418" s="22" t="s">
        <v>48</v>
      </c>
      <c r="G6418" s="25">
        <v>4922.0200000000004</v>
      </c>
      <c r="H6418" s="22" t="s">
        <v>22</v>
      </c>
      <c r="I6418" s="22">
        <v>0</v>
      </c>
      <c r="J6418" s="22" t="s">
        <v>48</v>
      </c>
      <c r="K6418" s="22" t="s">
        <v>23</v>
      </c>
      <c r="L6418" s="22">
        <v>1</v>
      </c>
      <c r="M6418" s="26">
        <v>69173</v>
      </c>
      <c r="N6418" s="26">
        <v>0</v>
      </c>
      <c r="O6418" s="15">
        <f t="shared" si="547"/>
        <v>69173</v>
      </c>
      <c r="P6418" s="15">
        <f t="shared" si="546"/>
        <v>14.05378279649412</v>
      </c>
      <c r="Q6418" s="25">
        <v>5000</v>
      </c>
      <c r="R6418" s="22">
        <v>98</v>
      </c>
      <c r="S6418" s="22" t="s">
        <v>7805</v>
      </c>
      <c r="T6418" s="22">
        <f t="shared" si="548"/>
        <v>3</v>
      </c>
      <c r="U6418" s="22">
        <f t="shared" si="549"/>
        <v>2023</v>
      </c>
      <c r="V6418" s="22" t="str">
        <f t="shared" si="550"/>
        <v>METROPOLITANA</v>
      </c>
    </row>
    <row r="6419" spans="1:22" x14ac:dyDescent="0.2">
      <c r="A6419" s="23" t="s">
        <v>7798</v>
      </c>
      <c r="B6419" s="22" t="s">
        <v>33</v>
      </c>
      <c r="C6419" s="22" t="s">
        <v>44</v>
      </c>
      <c r="D6419" s="22" t="s">
        <v>45</v>
      </c>
      <c r="E6419" s="24" t="s">
        <v>49</v>
      </c>
      <c r="F6419" s="22" t="s">
        <v>53</v>
      </c>
      <c r="G6419" s="25">
        <v>2482.92</v>
      </c>
      <c r="H6419" s="22" t="s">
        <v>22</v>
      </c>
      <c r="I6419" s="22">
        <v>0</v>
      </c>
      <c r="J6419" s="22" t="s">
        <v>53</v>
      </c>
      <c r="K6419" s="22" t="s">
        <v>23</v>
      </c>
      <c r="L6419" s="22">
        <v>3</v>
      </c>
      <c r="M6419" s="26">
        <v>69173</v>
      </c>
      <c r="N6419" s="26">
        <v>0</v>
      </c>
      <c r="O6419" s="15">
        <f t="shared" si="547"/>
        <v>69173</v>
      </c>
      <c r="P6419" s="15">
        <f t="shared" si="546"/>
        <v>27.859536352359317</v>
      </c>
      <c r="Q6419" s="25">
        <v>5000</v>
      </c>
      <c r="R6419" s="22">
        <v>50</v>
      </c>
      <c r="S6419" s="22" t="s">
        <v>7806</v>
      </c>
      <c r="T6419" s="22">
        <f t="shared" si="548"/>
        <v>3</v>
      </c>
      <c r="U6419" s="22">
        <f t="shared" si="549"/>
        <v>2023</v>
      </c>
      <c r="V6419" s="22" t="str">
        <f t="shared" si="550"/>
        <v>METROPOLITANA</v>
      </c>
    </row>
    <row r="6420" spans="1:22" x14ac:dyDescent="0.2">
      <c r="A6420" s="23" t="s">
        <v>7798</v>
      </c>
      <c r="B6420" s="22" t="s">
        <v>33</v>
      </c>
      <c r="C6420" s="22" t="s">
        <v>44</v>
      </c>
      <c r="D6420" s="22" t="s">
        <v>20</v>
      </c>
      <c r="E6420" s="24" t="s">
        <v>21</v>
      </c>
      <c r="F6420" s="22" t="s">
        <v>137</v>
      </c>
      <c r="G6420" s="25">
        <v>3951.6</v>
      </c>
      <c r="H6420" s="22" t="s">
        <v>22</v>
      </c>
      <c r="I6420" s="22">
        <v>0</v>
      </c>
      <c r="J6420" s="22" t="s">
        <v>137</v>
      </c>
      <c r="K6420" s="22" t="s">
        <v>23</v>
      </c>
      <c r="L6420" s="22">
        <v>1</v>
      </c>
      <c r="M6420" s="26">
        <v>69173</v>
      </c>
      <c r="N6420" s="26">
        <v>0</v>
      </c>
      <c r="O6420" s="15">
        <f t="shared" si="547"/>
        <v>69173</v>
      </c>
      <c r="P6420" s="15">
        <f t="shared" si="546"/>
        <v>17.505061241016296</v>
      </c>
      <c r="Q6420" s="25">
        <v>5000</v>
      </c>
      <c r="R6420" s="22">
        <v>79</v>
      </c>
      <c r="S6420" s="22" t="s">
        <v>7807</v>
      </c>
      <c r="T6420" s="22">
        <f t="shared" si="548"/>
        <v>3</v>
      </c>
      <c r="U6420" s="22">
        <f t="shared" si="549"/>
        <v>2023</v>
      </c>
      <c r="V6420" s="22" t="str">
        <f t="shared" si="550"/>
        <v>METROPOLITANA</v>
      </c>
    </row>
    <row r="6421" spans="1:22" x14ac:dyDescent="0.2">
      <c r="A6421" s="11" t="s">
        <v>7810</v>
      </c>
      <c r="B6421" s="12" t="s">
        <v>18</v>
      </c>
      <c r="C6421" s="12" t="s">
        <v>2431</v>
      </c>
      <c r="D6421" s="12" t="s">
        <v>2955</v>
      </c>
      <c r="E6421" s="13" t="s">
        <v>2956</v>
      </c>
      <c r="F6421" s="12" t="s">
        <v>66</v>
      </c>
      <c r="G6421" s="14">
        <v>18200</v>
      </c>
      <c r="H6421" s="12" t="s">
        <v>24</v>
      </c>
      <c r="I6421" s="12">
        <v>1</v>
      </c>
      <c r="J6421" s="12" t="s">
        <v>66</v>
      </c>
      <c r="K6421" s="12" t="s">
        <v>75</v>
      </c>
      <c r="L6421" s="12">
        <v>0</v>
      </c>
      <c r="M6421" s="15">
        <v>506000</v>
      </c>
      <c r="N6421" s="15">
        <v>0</v>
      </c>
      <c r="O6421" s="15">
        <f t="shared" si="547"/>
        <v>506000</v>
      </c>
      <c r="P6421" s="15">
        <f t="shared" si="546"/>
        <v>27.802197802197803</v>
      </c>
      <c r="Q6421" s="14">
        <v>14000</v>
      </c>
      <c r="R6421" s="12">
        <v>100</v>
      </c>
      <c r="S6421" s="12" t="s">
        <v>7811</v>
      </c>
      <c r="T6421" s="22">
        <f t="shared" si="548"/>
        <v>3</v>
      </c>
      <c r="U6421" s="22">
        <f t="shared" si="549"/>
        <v>2023</v>
      </c>
      <c r="V6421" s="22" t="str">
        <f t="shared" si="550"/>
        <v>REGIONES</v>
      </c>
    </row>
    <row r="6422" spans="1:22" x14ac:dyDescent="0.2">
      <c r="A6422" s="11" t="s">
        <v>7810</v>
      </c>
      <c r="B6422" s="12" t="s">
        <v>33</v>
      </c>
      <c r="C6422" s="12" t="s">
        <v>36</v>
      </c>
      <c r="D6422" s="12" t="s">
        <v>37</v>
      </c>
      <c r="E6422" s="13" t="s">
        <v>40</v>
      </c>
      <c r="F6422" s="12" t="s">
        <v>274</v>
      </c>
      <c r="G6422" s="14">
        <v>4175.2</v>
      </c>
      <c r="H6422" s="12" t="s">
        <v>22</v>
      </c>
      <c r="I6422" s="12">
        <v>0</v>
      </c>
      <c r="J6422" s="12" t="s">
        <v>274</v>
      </c>
      <c r="K6422" s="12" t="s">
        <v>78</v>
      </c>
      <c r="L6422" s="12">
        <v>0</v>
      </c>
      <c r="M6422" s="15">
        <v>227000</v>
      </c>
      <c r="N6422" s="15">
        <v>0</v>
      </c>
      <c r="O6422" s="15">
        <f t="shared" si="547"/>
        <v>227000</v>
      </c>
      <c r="P6422" s="15">
        <f t="shared" si="546"/>
        <v>54.368652998658746</v>
      </c>
      <c r="Q6422" s="14">
        <v>14000</v>
      </c>
      <c r="R6422" s="12">
        <v>30</v>
      </c>
      <c r="S6422" s="12" t="s">
        <v>7812</v>
      </c>
      <c r="T6422" s="22">
        <f t="shared" si="548"/>
        <v>3</v>
      </c>
      <c r="U6422" s="22">
        <f t="shared" si="549"/>
        <v>2023</v>
      </c>
      <c r="V6422" s="22" t="str">
        <f t="shared" si="550"/>
        <v>REGIONES</v>
      </c>
    </row>
    <row r="6423" spans="1:22" x14ac:dyDescent="0.2">
      <c r="A6423" s="11" t="s">
        <v>7810</v>
      </c>
      <c r="B6423" s="12" t="s">
        <v>33</v>
      </c>
      <c r="C6423" s="12" t="s">
        <v>29</v>
      </c>
      <c r="D6423" s="12" t="s">
        <v>7711</v>
      </c>
      <c r="E6423" s="13" t="s">
        <v>7712</v>
      </c>
      <c r="F6423" s="12" t="s">
        <v>114</v>
      </c>
      <c r="G6423" s="14">
        <v>3297.6000000000008</v>
      </c>
      <c r="H6423" s="12" t="s">
        <v>24</v>
      </c>
      <c r="I6423" s="12">
        <v>1</v>
      </c>
      <c r="J6423" s="12" t="s">
        <v>114</v>
      </c>
      <c r="K6423" s="12" t="s">
        <v>75</v>
      </c>
      <c r="L6423" s="12">
        <v>0</v>
      </c>
      <c r="M6423" s="15">
        <v>528000</v>
      </c>
      <c r="N6423" s="15">
        <v>0</v>
      </c>
      <c r="O6423" s="15">
        <f t="shared" si="547"/>
        <v>528000</v>
      </c>
      <c r="P6423" s="15">
        <f t="shared" si="546"/>
        <v>160.11644832605526</v>
      </c>
      <c r="Q6423" s="14">
        <v>14000</v>
      </c>
      <c r="R6423" s="12">
        <v>24</v>
      </c>
      <c r="S6423" s="12" t="s">
        <v>7813</v>
      </c>
      <c r="T6423" s="22">
        <f t="shared" si="548"/>
        <v>3</v>
      </c>
      <c r="U6423" s="22">
        <f t="shared" si="549"/>
        <v>2023</v>
      </c>
      <c r="V6423" s="22" t="str">
        <f t="shared" si="550"/>
        <v>REGIONES</v>
      </c>
    </row>
    <row r="6424" spans="1:22" x14ac:dyDescent="0.2">
      <c r="A6424" s="11" t="s">
        <v>7810</v>
      </c>
      <c r="B6424" s="12" t="s">
        <v>33</v>
      </c>
      <c r="C6424" s="12" t="s">
        <v>29</v>
      </c>
      <c r="D6424" s="12" t="s">
        <v>7814</v>
      </c>
      <c r="E6424" s="13" t="s">
        <v>7815</v>
      </c>
      <c r="F6424" s="12" t="s">
        <v>114</v>
      </c>
      <c r="G6424" s="14">
        <v>14048.62</v>
      </c>
      <c r="H6424" s="12" t="s">
        <v>24</v>
      </c>
      <c r="I6424" s="12">
        <v>1</v>
      </c>
      <c r="J6424" s="12" t="s">
        <v>114</v>
      </c>
      <c r="K6424" s="12" t="s">
        <v>75</v>
      </c>
      <c r="L6424" s="12">
        <v>0</v>
      </c>
      <c r="M6424" s="15">
        <v>528000</v>
      </c>
      <c r="N6424" s="15">
        <v>0</v>
      </c>
      <c r="O6424" s="15">
        <f t="shared" si="547"/>
        <v>528000</v>
      </c>
      <c r="P6424" s="15">
        <f t="shared" si="546"/>
        <v>37.583762675622232</v>
      </c>
      <c r="Q6424" s="14">
        <v>14000</v>
      </c>
      <c r="R6424" s="12">
        <v>100</v>
      </c>
      <c r="S6424" s="12" t="s">
        <v>7816</v>
      </c>
      <c r="T6424" s="22">
        <f t="shared" si="548"/>
        <v>3</v>
      </c>
      <c r="U6424" s="22">
        <f t="shared" si="549"/>
        <v>2023</v>
      </c>
      <c r="V6424" s="22" t="str">
        <f t="shared" si="550"/>
        <v>REGIONES</v>
      </c>
    </row>
    <row r="6425" spans="1:22" x14ac:dyDescent="0.2">
      <c r="A6425" s="11" t="s">
        <v>7810</v>
      </c>
      <c r="B6425" s="12" t="s">
        <v>33</v>
      </c>
      <c r="C6425" s="12" t="s">
        <v>29</v>
      </c>
      <c r="D6425" s="12" t="s">
        <v>20</v>
      </c>
      <c r="E6425" s="13" t="s">
        <v>21</v>
      </c>
      <c r="F6425" s="12" t="s">
        <v>173</v>
      </c>
      <c r="G6425" s="14">
        <v>3546.2000000000012</v>
      </c>
      <c r="H6425" s="12" t="s">
        <v>22</v>
      </c>
      <c r="I6425" s="12">
        <v>0</v>
      </c>
      <c r="J6425" s="12" t="s">
        <v>173</v>
      </c>
      <c r="K6425" s="12" t="s">
        <v>23</v>
      </c>
      <c r="L6425" s="12">
        <v>5</v>
      </c>
      <c r="M6425" s="15">
        <v>112500</v>
      </c>
      <c r="N6425" s="15">
        <v>0</v>
      </c>
      <c r="O6425" s="15">
        <f t="shared" si="547"/>
        <v>112500</v>
      </c>
      <c r="P6425" s="15">
        <f t="shared" si="546"/>
        <v>31.724099035587379</v>
      </c>
      <c r="Q6425" s="14">
        <v>10000</v>
      </c>
      <c r="R6425" s="12">
        <v>35</v>
      </c>
      <c r="S6425" s="12" t="s">
        <v>7817</v>
      </c>
      <c r="T6425" s="22">
        <f t="shared" si="548"/>
        <v>3</v>
      </c>
      <c r="U6425" s="22">
        <f t="shared" si="549"/>
        <v>2023</v>
      </c>
      <c r="V6425" s="22" t="str">
        <f t="shared" si="550"/>
        <v>METROPOLITANA</v>
      </c>
    </row>
    <row r="6426" spans="1:22" x14ac:dyDescent="0.2">
      <c r="A6426" s="11" t="s">
        <v>7810</v>
      </c>
      <c r="B6426" s="12" t="s">
        <v>33</v>
      </c>
      <c r="C6426" s="12" t="s">
        <v>44</v>
      </c>
      <c r="D6426" s="12" t="s">
        <v>38</v>
      </c>
      <c r="E6426" s="13" t="s">
        <v>42</v>
      </c>
      <c r="F6426" s="12" t="s">
        <v>46</v>
      </c>
      <c r="G6426" s="14">
        <v>2667.36</v>
      </c>
      <c r="H6426" s="12" t="s">
        <v>43</v>
      </c>
      <c r="I6426" s="12">
        <v>0</v>
      </c>
      <c r="J6426" s="12" t="s">
        <v>46</v>
      </c>
      <c r="K6426" s="12" t="s">
        <v>23</v>
      </c>
      <c r="L6426" s="12">
        <v>2</v>
      </c>
      <c r="M6426" s="15">
        <v>69173</v>
      </c>
      <c r="N6426" s="15">
        <v>0</v>
      </c>
      <c r="O6426" s="15">
        <f t="shared" si="547"/>
        <v>69173</v>
      </c>
      <c r="P6426" s="15">
        <f t="shared" si="546"/>
        <v>25.933132385579746</v>
      </c>
      <c r="Q6426" s="14">
        <v>5000</v>
      </c>
      <c r="R6426" s="12">
        <v>53</v>
      </c>
      <c r="S6426" s="12" t="s">
        <v>7818</v>
      </c>
      <c r="T6426" s="22">
        <f t="shared" si="548"/>
        <v>3</v>
      </c>
      <c r="U6426" s="22">
        <f t="shared" si="549"/>
        <v>2023</v>
      </c>
      <c r="V6426" s="22" t="str">
        <f t="shared" si="550"/>
        <v>METROPOLITANA</v>
      </c>
    </row>
    <row r="6427" spans="1:22" x14ac:dyDescent="0.2">
      <c r="A6427" s="11" t="s">
        <v>7810</v>
      </c>
      <c r="B6427" s="12" t="s">
        <v>33</v>
      </c>
      <c r="C6427" s="12" t="s">
        <v>44</v>
      </c>
      <c r="D6427" s="12" t="s">
        <v>7819</v>
      </c>
      <c r="E6427" s="13" t="s">
        <v>7820</v>
      </c>
      <c r="F6427" s="12" t="s">
        <v>3438</v>
      </c>
      <c r="G6427" s="14">
        <f>6228.94+2643</f>
        <v>8871.9399999999987</v>
      </c>
      <c r="H6427" s="12" t="s">
        <v>24</v>
      </c>
      <c r="I6427" s="12">
        <v>1</v>
      </c>
      <c r="J6427" s="12" t="s">
        <v>3438</v>
      </c>
      <c r="K6427" s="12" t="s">
        <v>93</v>
      </c>
      <c r="L6427" s="12">
        <v>0</v>
      </c>
      <c r="M6427" s="15">
        <v>943000</v>
      </c>
      <c r="N6427" s="15">
        <v>0</v>
      </c>
      <c r="O6427" s="15">
        <f t="shared" si="547"/>
        <v>943000</v>
      </c>
      <c r="P6427" s="15">
        <f t="shared" si="546"/>
        <v>106.29016877931998</v>
      </c>
      <c r="Q6427" s="14">
        <v>14000</v>
      </c>
      <c r="R6427" s="12">
        <v>70</v>
      </c>
      <c r="S6427" s="12" t="s">
        <v>7823</v>
      </c>
      <c r="T6427" s="22">
        <f t="shared" si="548"/>
        <v>3</v>
      </c>
      <c r="U6427" s="22">
        <f t="shared" si="549"/>
        <v>2023</v>
      </c>
      <c r="V6427" s="22" t="str">
        <f t="shared" si="550"/>
        <v>REGIONES</v>
      </c>
    </row>
    <row r="6428" spans="1:22" x14ac:dyDescent="0.2">
      <c r="A6428" s="11" t="s">
        <v>7810</v>
      </c>
      <c r="B6428" s="12" t="s">
        <v>33</v>
      </c>
      <c r="C6428" s="12" t="s">
        <v>44</v>
      </c>
      <c r="D6428" s="12" t="s">
        <v>30</v>
      </c>
      <c r="E6428" s="13" t="s">
        <v>31</v>
      </c>
      <c r="F6428" s="12" t="s">
        <v>910</v>
      </c>
      <c r="G6428" s="14">
        <v>4452.0000000000009</v>
      </c>
      <c r="H6428" s="12" t="s">
        <v>32</v>
      </c>
      <c r="I6428" s="12">
        <v>0</v>
      </c>
      <c r="J6428" s="12" t="s">
        <v>910</v>
      </c>
      <c r="K6428" s="12" t="s">
        <v>171</v>
      </c>
      <c r="L6428" s="12">
        <v>0</v>
      </c>
      <c r="M6428" s="15">
        <v>227000</v>
      </c>
      <c r="N6428" s="15">
        <v>0</v>
      </c>
      <c r="O6428" s="15">
        <f t="shared" si="547"/>
        <v>227000</v>
      </c>
      <c r="P6428" s="15">
        <f t="shared" si="546"/>
        <v>50.988319856244374</v>
      </c>
      <c r="Q6428" s="14">
        <v>14000</v>
      </c>
      <c r="R6428" s="12">
        <v>32</v>
      </c>
      <c r="S6428" s="12" t="s">
        <v>7821</v>
      </c>
      <c r="T6428" s="22">
        <f t="shared" si="548"/>
        <v>3</v>
      </c>
      <c r="U6428" s="22">
        <f t="shared" si="549"/>
        <v>2023</v>
      </c>
      <c r="V6428" s="22" t="str">
        <f t="shared" si="550"/>
        <v>REGIONES</v>
      </c>
    </row>
    <row r="6429" spans="1:22" x14ac:dyDescent="0.2">
      <c r="A6429" s="11" t="s">
        <v>7810</v>
      </c>
      <c r="B6429" s="12" t="s">
        <v>33</v>
      </c>
      <c r="C6429" s="12" t="s">
        <v>44</v>
      </c>
      <c r="D6429" s="12" t="s">
        <v>45</v>
      </c>
      <c r="E6429" s="13" t="s">
        <v>49</v>
      </c>
      <c r="F6429" s="12" t="s">
        <v>26</v>
      </c>
      <c r="G6429" s="14">
        <v>2895.34</v>
      </c>
      <c r="H6429" s="12" t="s">
        <v>22</v>
      </c>
      <c r="I6429" s="12">
        <v>0</v>
      </c>
      <c r="J6429" s="12" t="s">
        <v>26</v>
      </c>
      <c r="K6429" s="12" t="s">
        <v>23</v>
      </c>
      <c r="L6429" s="12">
        <v>4</v>
      </c>
      <c r="M6429" s="15">
        <v>69173</v>
      </c>
      <c r="N6429" s="15">
        <v>0</v>
      </c>
      <c r="O6429" s="15">
        <f t="shared" si="547"/>
        <v>69173</v>
      </c>
      <c r="P6429" s="15">
        <f t="shared" ref="P6429:P6492" si="551">O6429/G6429</f>
        <v>23.891149225997637</v>
      </c>
      <c r="Q6429" s="14">
        <v>5000</v>
      </c>
      <c r="R6429" s="12">
        <v>58</v>
      </c>
      <c r="S6429" s="12" t="s">
        <v>7822</v>
      </c>
      <c r="T6429" s="22">
        <f t="shared" si="548"/>
        <v>3</v>
      </c>
      <c r="U6429" s="22">
        <f t="shared" si="549"/>
        <v>2023</v>
      </c>
      <c r="V6429" s="22" t="str">
        <f t="shared" si="550"/>
        <v>METROPOLITANA</v>
      </c>
    </row>
    <row r="6430" spans="1:22" x14ac:dyDescent="0.2">
      <c r="A6430" s="23" t="s">
        <v>7824</v>
      </c>
      <c r="B6430" s="22" t="s">
        <v>18</v>
      </c>
      <c r="C6430" s="22" t="s">
        <v>19</v>
      </c>
      <c r="D6430" s="22" t="s">
        <v>5478</v>
      </c>
      <c r="E6430" s="24" t="s">
        <v>83</v>
      </c>
      <c r="F6430" s="22" t="s">
        <v>92</v>
      </c>
      <c r="G6430" s="25">
        <v>19378.579999999991</v>
      </c>
      <c r="H6430" s="22" t="s">
        <v>24</v>
      </c>
      <c r="I6430" s="22">
        <v>1</v>
      </c>
      <c r="J6430" s="22" t="s">
        <v>92</v>
      </c>
      <c r="K6430" s="22" t="s">
        <v>93</v>
      </c>
      <c r="L6430" s="22">
        <v>0</v>
      </c>
      <c r="M6430" s="26">
        <v>779000</v>
      </c>
      <c r="N6430" s="26">
        <v>0</v>
      </c>
      <c r="O6430" s="15">
        <f t="shared" si="547"/>
        <v>779000</v>
      </c>
      <c r="P6430" s="15">
        <f t="shared" si="551"/>
        <v>40.199023870686105</v>
      </c>
      <c r="Q6430" s="25">
        <v>14000</v>
      </c>
      <c r="R6430" s="22">
        <v>100</v>
      </c>
      <c r="S6430" s="22" t="s">
        <v>7825</v>
      </c>
      <c r="T6430" s="22">
        <f t="shared" si="548"/>
        <v>3</v>
      </c>
      <c r="U6430" s="22">
        <f t="shared" si="549"/>
        <v>2023</v>
      </c>
      <c r="V6430" s="22" t="str">
        <f t="shared" si="550"/>
        <v>REGIONES</v>
      </c>
    </row>
    <row r="6431" spans="1:22" x14ac:dyDescent="0.2">
      <c r="A6431" s="23" t="s">
        <v>7824</v>
      </c>
      <c r="B6431" s="22" t="s">
        <v>18</v>
      </c>
      <c r="C6431" s="22" t="s">
        <v>19</v>
      </c>
      <c r="D6431" s="22" t="s">
        <v>370</v>
      </c>
      <c r="E6431" s="24" t="s">
        <v>371</v>
      </c>
      <c r="F6431" s="22" t="s">
        <v>92</v>
      </c>
      <c r="G6431" s="25">
        <v>17137.819999999989</v>
      </c>
      <c r="H6431" s="22" t="s">
        <v>85</v>
      </c>
      <c r="I6431" s="22">
        <v>1</v>
      </c>
      <c r="J6431" s="22" t="s">
        <v>92</v>
      </c>
      <c r="K6431" s="22" t="s">
        <v>93</v>
      </c>
      <c r="L6431" s="22">
        <v>0</v>
      </c>
      <c r="M6431" s="26">
        <v>779000</v>
      </c>
      <c r="N6431" s="26">
        <v>0</v>
      </c>
      <c r="O6431" s="15">
        <f t="shared" si="547"/>
        <v>779000</v>
      </c>
      <c r="P6431" s="15">
        <f t="shared" si="551"/>
        <v>45.455022867552614</v>
      </c>
      <c r="Q6431" s="25">
        <v>14000</v>
      </c>
      <c r="R6431" s="22">
        <v>100</v>
      </c>
      <c r="S6431" s="22" t="s">
        <v>7826</v>
      </c>
      <c r="T6431" s="22">
        <f t="shared" si="548"/>
        <v>3</v>
      </c>
      <c r="U6431" s="22">
        <f t="shared" si="549"/>
        <v>2023</v>
      </c>
      <c r="V6431" s="22" t="str">
        <f t="shared" si="550"/>
        <v>REGIONES</v>
      </c>
    </row>
    <row r="6432" spans="1:22" x14ac:dyDescent="0.2">
      <c r="A6432" s="23" t="s">
        <v>7824</v>
      </c>
      <c r="B6432" s="22" t="s">
        <v>18</v>
      </c>
      <c r="C6432" s="22" t="s">
        <v>4331</v>
      </c>
      <c r="D6432" s="22" t="s">
        <v>37</v>
      </c>
      <c r="E6432" s="24" t="s">
        <v>40</v>
      </c>
      <c r="F6432" s="22" t="s">
        <v>161</v>
      </c>
      <c r="G6432" s="25">
        <v>9140.81</v>
      </c>
      <c r="H6432" s="22" t="s">
        <v>22</v>
      </c>
      <c r="I6432" s="22">
        <v>0</v>
      </c>
      <c r="J6432" s="22" t="s">
        <v>161</v>
      </c>
      <c r="K6432" s="22" t="s">
        <v>23</v>
      </c>
      <c r="L6432" s="22">
        <v>5</v>
      </c>
      <c r="M6432" s="26">
        <v>87500</v>
      </c>
      <c r="N6432" s="26">
        <v>0</v>
      </c>
      <c r="O6432" s="15">
        <f t="shared" si="547"/>
        <v>87500</v>
      </c>
      <c r="P6432" s="15">
        <f t="shared" si="551"/>
        <v>9.5724558326887887</v>
      </c>
      <c r="Q6432" s="25">
        <v>10000</v>
      </c>
      <c r="R6432" s="22">
        <v>91</v>
      </c>
      <c r="S6432" s="22" t="s">
        <v>7827</v>
      </c>
      <c r="T6432" s="22">
        <f t="shared" si="548"/>
        <v>3</v>
      </c>
      <c r="U6432" s="22">
        <f t="shared" si="549"/>
        <v>2023</v>
      </c>
      <c r="V6432" s="22" t="str">
        <f t="shared" si="550"/>
        <v>METROPOLITANA</v>
      </c>
    </row>
    <row r="6433" spans="1:22" x14ac:dyDescent="0.2">
      <c r="A6433" s="23" t="s">
        <v>7824</v>
      </c>
      <c r="B6433" s="22" t="s">
        <v>18</v>
      </c>
      <c r="C6433" s="22" t="s">
        <v>5796</v>
      </c>
      <c r="D6433" s="22" t="s">
        <v>38</v>
      </c>
      <c r="E6433" s="24" t="s">
        <v>42</v>
      </c>
      <c r="F6433" s="22" t="s">
        <v>129</v>
      </c>
      <c r="G6433" s="25">
        <v>4082.400000000001</v>
      </c>
      <c r="H6433" s="22" t="s">
        <v>43</v>
      </c>
      <c r="I6433" s="22">
        <v>0</v>
      </c>
      <c r="J6433" s="22" t="s">
        <v>129</v>
      </c>
      <c r="K6433" s="22" t="s">
        <v>23</v>
      </c>
      <c r="L6433" s="22">
        <v>1</v>
      </c>
      <c r="M6433" s="26">
        <v>69173</v>
      </c>
      <c r="N6433" s="26">
        <v>0</v>
      </c>
      <c r="O6433" s="15">
        <f t="shared" si="547"/>
        <v>69173</v>
      </c>
      <c r="P6433" s="15">
        <f t="shared" si="551"/>
        <v>16.944199490495784</v>
      </c>
      <c r="Q6433" s="25">
        <v>5000</v>
      </c>
      <c r="R6433" s="22">
        <v>82</v>
      </c>
      <c r="S6433" s="22" t="s">
        <v>7828</v>
      </c>
      <c r="T6433" s="22">
        <f t="shared" si="548"/>
        <v>3</v>
      </c>
      <c r="U6433" s="22">
        <f t="shared" si="549"/>
        <v>2023</v>
      </c>
      <c r="V6433" s="22" t="str">
        <f t="shared" si="550"/>
        <v>METROPOLITANA</v>
      </c>
    </row>
    <row r="6434" spans="1:22" x14ac:dyDescent="0.2">
      <c r="A6434" s="23" t="s">
        <v>7824</v>
      </c>
      <c r="B6434" s="22" t="s">
        <v>33</v>
      </c>
      <c r="C6434" s="22" t="s">
        <v>128</v>
      </c>
      <c r="D6434" s="22" t="s">
        <v>786</v>
      </c>
      <c r="E6434" s="24" t="s">
        <v>787</v>
      </c>
      <c r="F6434" s="22" t="s">
        <v>129</v>
      </c>
      <c r="G6434" s="25">
        <v>6824.4600000000028</v>
      </c>
      <c r="H6434" s="22" t="s">
        <v>788</v>
      </c>
      <c r="I6434" s="22">
        <v>1</v>
      </c>
      <c r="J6434" s="22" t="s">
        <v>129</v>
      </c>
      <c r="K6434" s="22" t="s">
        <v>23</v>
      </c>
      <c r="L6434" s="22">
        <v>1</v>
      </c>
      <c r="M6434" s="26">
        <v>75069</v>
      </c>
      <c r="N6434" s="26">
        <v>0</v>
      </c>
      <c r="O6434" s="15">
        <f t="shared" si="547"/>
        <v>75069</v>
      </c>
      <c r="P6434" s="15">
        <f t="shared" si="551"/>
        <v>10.999991208095581</v>
      </c>
      <c r="Q6434" s="25">
        <v>5000</v>
      </c>
      <c r="R6434" s="22">
        <v>100</v>
      </c>
      <c r="S6434" s="22" t="s">
        <v>7829</v>
      </c>
      <c r="T6434" s="22">
        <f t="shared" si="548"/>
        <v>3</v>
      </c>
      <c r="U6434" s="22">
        <f t="shared" si="549"/>
        <v>2023</v>
      </c>
      <c r="V6434" s="22" t="str">
        <f t="shared" si="550"/>
        <v>METROPOLITANA</v>
      </c>
    </row>
    <row r="6435" spans="1:22" x14ac:dyDescent="0.2">
      <c r="A6435" s="23" t="s">
        <v>7824</v>
      </c>
      <c r="B6435" s="22" t="s">
        <v>33</v>
      </c>
      <c r="C6435" s="22" t="s">
        <v>128</v>
      </c>
      <c r="D6435" s="22" t="s">
        <v>2955</v>
      </c>
      <c r="E6435" s="24" t="s">
        <v>2956</v>
      </c>
      <c r="F6435" s="22" t="s">
        <v>34</v>
      </c>
      <c r="G6435" s="25">
        <v>10895.18</v>
      </c>
      <c r="H6435" s="22" t="s">
        <v>24</v>
      </c>
      <c r="I6435" s="22">
        <v>1</v>
      </c>
      <c r="J6435" s="22" t="s">
        <v>34</v>
      </c>
      <c r="K6435" s="22" t="s">
        <v>23</v>
      </c>
      <c r="L6435" s="22">
        <v>1</v>
      </c>
      <c r="M6435" s="26">
        <v>119847</v>
      </c>
      <c r="N6435" s="26">
        <v>0</v>
      </c>
      <c r="O6435" s="15">
        <f t="shared" si="547"/>
        <v>119847</v>
      </c>
      <c r="P6435" s="15">
        <f t="shared" si="551"/>
        <v>11.000001835674123</v>
      </c>
      <c r="Q6435" s="25">
        <v>5000</v>
      </c>
      <c r="R6435" s="22">
        <v>100</v>
      </c>
      <c r="S6435" s="22" t="s">
        <v>7830</v>
      </c>
      <c r="T6435" s="22">
        <f t="shared" si="548"/>
        <v>3</v>
      </c>
      <c r="U6435" s="22">
        <f t="shared" si="549"/>
        <v>2023</v>
      </c>
      <c r="V6435" s="22" t="str">
        <f t="shared" si="550"/>
        <v>METROPOLITANA</v>
      </c>
    </row>
    <row r="6436" spans="1:22" x14ac:dyDescent="0.2">
      <c r="A6436" s="23" t="s">
        <v>7824</v>
      </c>
      <c r="B6436" s="22" t="s">
        <v>33</v>
      </c>
      <c r="C6436" s="22" t="s">
        <v>36</v>
      </c>
      <c r="D6436" s="22" t="s">
        <v>7831</v>
      </c>
      <c r="E6436" s="24" t="s">
        <v>7150</v>
      </c>
      <c r="F6436" s="22" t="s">
        <v>92</v>
      </c>
      <c r="G6436" s="25">
        <v>8328.8000000000011</v>
      </c>
      <c r="H6436" s="22" t="s">
        <v>24</v>
      </c>
      <c r="I6436" s="22">
        <v>1</v>
      </c>
      <c r="J6436" s="22" t="s">
        <v>92</v>
      </c>
      <c r="K6436" s="22" t="s">
        <v>93</v>
      </c>
      <c r="L6436" s="22">
        <v>0</v>
      </c>
      <c r="M6436" s="26">
        <v>779000</v>
      </c>
      <c r="N6436" s="26">
        <v>0</v>
      </c>
      <c r="O6436" s="15">
        <f t="shared" si="547"/>
        <v>779000</v>
      </c>
      <c r="P6436" s="15">
        <f t="shared" si="551"/>
        <v>93.53088079915473</v>
      </c>
      <c r="Q6436" s="25">
        <v>14000</v>
      </c>
      <c r="R6436" s="22">
        <v>59</v>
      </c>
      <c r="S6436" s="22" t="s">
        <v>7832</v>
      </c>
      <c r="T6436" s="22">
        <f t="shared" si="548"/>
        <v>3</v>
      </c>
      <c r="U6436" s="22">
        <f t="shared" si="549"/>
        <v>2023</v>
      </c>
      <c r="V6436" s="22" t="str">
        <f t="shared" si="550"/>
        <v>REGIONES</v>
      </c>
    </row>
    <row r="6437" spans="1:22" x14ac:dyDescent="0.2">
      <c r="A6437" s="23" t="s">
        <v>7824</v>
      </c>
      <c r="B6437" s="22" t="s">
        <v>33</v>
      </c>
      <c r="C6437" s="22" t="s">
        <v>2862</v>
      </c>
      <c r="D6437" s="22" t="s">
        <v>45</v>
      </c>
      <c r="E6437" s="24" t="s">
        <v>49</v>
      </c>
      <c r="F6437" s="22" t="s">
        <v>129</v>
      </c>
      <c r="G6437" s="25">
        <f>3400.8+2071</f>
        <v>5471.8</v>
      </c>
      <c r="H6437" s="22" t="s">
        <v>22</v>
      </c>
      <c r="I6437" s="22">
        <v>0</v>
      </c>
      <c r="J6437" s="22" t="s">
        <v>129</v>
      </c>
      <c r="K6437" s="22" t="s">
        <v>23</v>
      </c>
      <c r="L6437" s="22">
        <v>1</v>
      </c>
      <c r="M6437" s="26">
        <v>69173</v>
      </c>
      <c r="N6437" s="26">
        <v>0</v>
      </c>
      <c r="O6437" s="15">
        <f t="shared" si="547"/>
        <v>69173</v>
      </c>
      <c r="P6437" s="15">
        <f t="shared" si="551"/>
        <v>12.641726671296466</v>
      </c>
      <c r="Q6437" s="25">
        <v>5000</v>
      </c>
      <c r="R6437" s="22">
        <v>100</v>
      </c>
      <c r="S6437" s="22" t="s">
        <v>7835</v>
      </c>
      <c r="T6437" s="22">
        <f t="shared" si="548"/>
        <v>3</v>
      </c>
      <c r="U6437" s="22">
        <f t="shared" si="549"/>
        <v>2023</v>
      </c>
      <c r="V6437" s="22" t="str">
        <f t="shared" si="550"/>
        <v>METROPOLITANA</v>
      </c>
    </row>
    <row r="6438" spans="1:22" x14ac:dyDescent="0.2">
      <c r="A6438" s="23" t="s">
        <v>7824</v>
      </c>
      <c r="B6438" s="22" t="s">
        <v>33</v>
      </c>
      <c r="C6438" s="22" t="s">
        <v>29</v>
      </c>
      <c r="D6438" s="22" t="s">
        <v>38</v>
      </c>
      <c r="E6438" s="24" t="s">
        <v>42</v>
      </c>
      <c r="F6438" s="22" t="s">
        <v>39</v>
      </c>
      <c r="G6438" s="25">
        <f>12058.94+690</f>
        <v>12748.94</v>
      </c>
      <c r="H6438" s="22" t="s">
        <v>43</v>
      </c>
      <c r="I6438" s="22">
        <v>0</v>
      </c>
      <c r="J6438" s="22" t="s">
        <v>39</v>
      </c>
      <c r="K6438" s="22" t="s">
        <v>23</v>
      </c>
      <c r="L6438" s="22">
        <v>1</v>
      </c>
      <c r="M6438" s="26">
        <v>132648</v>
      </c>
      <c r="N6438" s="26">
        <v>0</v>
      </c>
      <c r="O6438" s="15">
        <f t="shared" si="547"/>
        <v>132648</v>
      </c>
      <c r="P6438" s="15">
        <f t="shared" si="551"/>
        <v>10.404629718235398</v>
      </c>
      <c r="Q6438" s="25">
        <v>5000</v>
      </c>
      <c r="R6438" s="22">
        <v>100</v>
      </c>
      <c r="S6438" s="22" t="s">
        <v>7834</v>
      </c>
      <c r="T6438" s="22">
        <f t="shared" si="548"/>
        <v>3</v>
      </c>
      <c r="U6438" s="22">
        <f t="shared" si="549"/>
        <v>2023</v>
      </c>
      <c r="V6438" s="22" t="str">
        <f t="shared" si="550"/>
        <v>METROPOLITANA</v>
      </c>
    </row>
    <row r="6439" spans="1:22" x14ac:dyDescent="0.2">
      <c r="A6439" s="23" t="s">
        <v>7824</v>
      </c>
      <c r="B6439" s="22" t="s">
        <v>33</v>
      </c>
      <c r="C6439" s="22" t="s">
        <v>29</v>
      </c>
      <c r="D6439" s="22" t="s">
        <v>164</v>
      </c>
      <c r="E6439" s="24" t="s">
        <v>1576</v>
      </c>
      <c r="F6439" s="22" t="s">
        <v>39</v>
      </c>
      <c r="G6439" s="25">
        <v>19931.2</v>
      </c>
      <c r="H6439" s="22" t="s">
        <v>22</v>
      </c>
      <c r="I6439" s="22">
        <v>1</v>
      </c>
      <c r="J6439" s="22" t="s">
        <v>39</v>
      </c>
      <c r="K6439" s="22" t="s">
        <v>23</v>
      </c>
      <c r="L6439" s="22">
        <v>1</v>
      </c>
      <c r="M6439" s="26">
        <v>219243</v>
      </c>
      <c r="N6439" s="26">
        <v>0</v>
      </c>
      <c r="O6439" s="15">
        <f t="shared" si="547"/>
        <v>219243</v>
      </c>
      <c r="P6439" s="15">
        <f t="shared" si="551"/>
        <v>10.999989965481255</v>
      </c>
      <c r="Q6439" s="25">
        <v>5000</v>
      </c>
      <c r="R6439" s="22">
        <v>100</v>
      </c>
      <c r="S6439" s="22" t="s">
        <v>7833</v>
      </c>
      <c r="T6439" s="22">
        <f t="shared" si="548"/>
        <v>3</v>
      </c>
      <c r="U6439" s="22">
        <f t="shared" si="549"/>
        <v>2023</v>
      </c>
      <c r="V6439" s="22" t="str">
        <f t="shared" si="550"/>
        <v>METROPOLITANA</v>
      </c>
    </row>
    <row r="6440" spans="1:22" x14ac:dyDescent="0.2">
      <c r="A6440" s="11" t="s">
        <v>7836</v>
      </c>
      <c r="B6440" s="12" t="s">
        <v>18</v>
      </c>
      <c r="C6440" s="12" t="s">
        <v>5796</v>
      </c>
      <c r="D6440" s="12" t="s">
        <v>38</v>
      </c>
      <c r="E6440" s="13">
        <v>53173292</v>
      </c>
      <c r="F6440" s="12" t="s">
        <v>129</v>
      </c>
      <c r="G6440" s="14">
        <v>3477.6000000000008</v>
      </c>
      <c r="H6440" s="12" t="s">
        <v>43</v>
      </c>
      <c r="I6440" s="12">
        <v>0</v>
      </c>
      <c r="J6440" s="12" t="s">
        <v>129</v>
      </c>
      <c r="K6440" s="12" t="s">
        <v>23</v>
      </c>
      <c r="L6440" s="12">
        <v>1</v>
      </c>
      <c r="M6440" s="15">
        <v>69173</v>
      </c>
      <c r="N6440" s="15">
        <v>0</v>
      </c>
      <c r="O6440" s="15">
        <f t="shared" si="547"/>
        <v>69173</v>
      </c>
      <c r="P6440" s="15">
        <f t="shared" si="551"/>
        <v>19.891016793190701</v>
      </c>
      <c r="Q6440" s="14">
        <v>5000</v>
      </c>
      <c r="R6440" s="12">
        <v>70</v>
      </c>
      <c r="S6440" s="12" t="s">
        <v>7837</v>
      </c>
      <c r="T6440" s="22">
        <f t="shared" si="548"/>
        <v>3</v>
      </c>
      <c r="U6440" s="22">
        <f t="shared" si="549"/>
        <v>2023</v>
      </c>
      <c r="V6440" s="22" t="str">
        <f t="shared" si="550"/>
        <v>METROPOLITANA</v>
      </c>
    </row>
    <row r="6441" spans="1:22" x14ac:dyDescent="0.2">
      <c r="A6441" s="11" t="s">
        <v>7836</v>
      </c>
      <c r="B6441" s="12" t="s">
        <v>18</v>
      </c>
      <c r="C6441" s="12" t="s">
        <v>29</v>
      </c>
      <c r="D6441" s="12" t="s">
        <v>6218</v>
      </c>
      <c r="E6441" s="13">
        <v>90366327</v>
      </c>
      <c r="F6441" s="12" t="s">
        <v>39</v>
      </c>
      <c r="G6441" s="14">
        <v>26105</v>
      </c>
      <c r="H6441" s="12" t="s">
        <v>24</v>
      </c>
      <c r="I6441" s="12">
        <v>1</v>
      </c>
      <c r="J6441" s="12" t="s">
        <v>39</v>
      </c>
      <c r="K6441" s="12" t="s">
        <v>23</v>
      </c>
      <c r="L6441" s="12">
        <v>1</v>
      </c>
      <c r="M6441" s="15">
        <v>287155</v>
      </c>
      <c r="N6441" s="15">
        <v>0</v>
      </c>
      <c r="O6441" s="15">
        <f t="shared" si="547"/>
        <v>287155</v>
      </c>
      <c r="P6441" s="15">
        <f t="shared" si="551"/>
        <v>11</v>
      </c>
      <c r="Q6441" s="14">
        <v>5000</v>
      </c>
      <c r="R6441" s="12">
        <v>100</v>
      </c>
      <c r="S6441" s="12" t="s">
        <v>7838</v>
      </c>
      <c r="T6441" s="22">
        <f t="shared" si="548"/>
        <v>3</v>
      </c>
      <c r="U6441" s="22">
        <f t="shared" si="549"/>
        <v>2023</v>
      </c>
      <c r="V6441" s="22" t="str">
        <f t="shared" si="550"/>
        <v>METROPOLITANA</v>
      </c>
    </row>
    <row r="6442" spans="1:22" x14ac:dyDescent="0.2">
      <c r="A6442" s="11" t="s">
        <v>7836</v>
      </c>
      <c r="B6442" s="12" t="s">
        <v>18</v>
      </c>
      <c r="C6442" s="12" t="s">
        <v>29</v>
      </c>
      <c r="D6442" s="12" t="s">
        <v>6221</v>
      </c>
      <c r="E6442" s="13">
        <v>170946352</v>
      </c>
      <c r="F6442" s="12" t="s">
        <v>39</v>
      </c>
      <c r="G6442" s="14">
        <v>26105</v>
      </c>
      <c r="H6442" s="12" t="s">
        <v>24</v>
      </c>
      <c r="I6442" s="12">
        <v>1</v>
      </c>
      <c r="J6442" s="12" t="s">
        <v>39</v>
      </c>
      <c r="K6442" s="12" t="s">
        <v>23</v>
      </c>
      <c r="L6442" s="12">
        <v>1</v>
      </c>
      <c r="M6442" s="15">
        <v>287155</v>
      </c>
      <c r="N6442" s="15">
        <v>0</v>
      </c>
      <c r="O6442" s="15">
        <f t="shared" si="547"/>
        <v>287155</v>
      </c>
      <c r="P6442" s="15">
        <f t="shared" si="551"/>
        <v>11</v>
      </c>
      <c r="Q6442" s="14">
        <v>5000</v>
      </c>
      <c r="R6442" s="12">
        <v>100</v>
      </c>
      <c r="S6442" s="12" t="s">
        <v>7839</v>
      </c>
      <c r="T6442" s="22">
        <f t="shared" si="548"/>
        <v>3</v>
      </c>
      <c r="U6442" s="22">
        <f t="shared" si="549"/>
        <v>2023</v>
      </c>
      <c r="V6442" s="22" t="str">
        <f t="shared" si="550"/>
        <v>METROPOLITANA</v>
      </c>
    </row>
    <row r="6443" spans="1:22" x14ac:dyDescent="0.2">
      <c r="A6443" s="11" t="s">
        <v>7836</v>
      </c>
      <c r="B6443" s="12" t="s">
        <v>33</v>
      </c>
      <c r="C6443" s="12" t="s">
        <v>29</v>
      </c>
      <c r="D6443" s="12" t="s">
        <v>786</v>
      </c>
      <c r="E6443" s="13">
        <v>95707734</v>
      </c>
      <c r="F6443" s="12" t="s">
        <v>173</v>
      </c>
      <c r="G6443" s="14">
        <v>16909.499999999989</v>
      </c>
      <c r="H6443" s="12" t="s">
        <v>788</v>
      </c>
      <c r="I6443" s="12">
        <v>1</v>
      </c>
      <c r="J6443" s="12" t="s">
        <v>173</v>
      </c>
      <c r="K6443" s="12" t="s">
        <v>23</v>
      </c>
      <c r="L6443" s="12">
        <v>5</v>
      </c>
      <c r="M6443" s="15">
        <v>187000</v>
      </c>
      <c r="N6443" s="15">
        <v>0</v>
      </c>
      <c r="O6443" s="15">
        <f t="shared" si="547"/>
        <v>187000</v>
      </c>
      <c r="P6443" s="15">
        <f t="shared" si="551"/>
        <v>11.058872231585802</v>
      </c>
      <c r="Q6443" s="14">
        <v>10000</v>
      </c>
      <c r="R6443" s="12">
        <v>100</v>
      </c>
      <c r="S6443" s="12" t="s">
        <v>7840</v>
      </c>
      <c r="T6443" s="22">
        <f t="shared" si="548"/>
        <v>3</v>
      </c>
      <c r="U6443" s="22">
        <f t="shared" si="549"/>
        <v>2023</v>
      </c>
      <c r="V6443" s="22" t="str">
        <f t="shared" si="550"/>
        <v>METROPOLITANA</v>
      </c>
    </row>
    <row r="6444" spans="1:22" x14ac:dyDescent="0.2">
      <c r="A6444" s="11" t="s">
        <v>7836</v>
      </c>
      <c r="B6444" s="12" t="s">
        <v>33</v>
      </c>
      <c r="C6444" s="12" t="s">
        <v>44</v>
      </c>
      <c r="D6444" s="12" t="s">
        <v>7841</v>
      </c>
      <c r="E6444" s="13">
        <v>143274594</v>
      </c>
      <c r="F6444" s="12" t="s">
        <v>39</v>
      </c>
      <c r="G6444" s="14">
        <v>2071.92</v>
      </c>
      <c r="H6444" s="12" t="s">
        <v>24</v>
      </c>
      <c r="I6444" s="12">
        <v>1</v>
      </c>
      <c r="J6444" s="12" t="s">
        <v>39</v>
      </c>
      <c r="K6444" s="12" t="s">
        <v>23</v>
      </c>
      <c r="L6444" s="12">
        <v>1</v>
      </c>
      <c r="M6444" s="15">
        <v>69173</v>
      </c>
      <c r="N6444" s="15">
        <v>0</v>
      </c>
      <c r="O6444" s="15">
        <f t="shared" si="547"/>
        <v>69173</v>
      </c>
      <c r="P6444" s="15">
        <f t="shared" si="551"/>
        <v>33.385941542144487</v>
      </c>
      <c r="Q6444" s="14">
        <v>5000</v>
      </c>
      <c r="R6444" s="12">
        <v>41</v>
      </c>
      <c r="S6444" s="12" t="s">
        <v>7842</v>
      </c>
      <c r="T6444" s="22">
        <f t="shared" si="548"/>
        <v>3</v>
      </c>
      <c r="U6444" s="22">
        <f t="shared" si="549"/>
        <v>2023</v>
      </c>
      <c r="V6444" s="22" t="str">
        <f t="shared" si="550"/>
        <v>METROPOLITANA</v>
      </c>
    </row>
    <row r="6445" spans="1:22" x14ac:dyDescent="0.2">
      <c r="A6445" s="11" t="s">
        <v>7836</v>
      </c>
      <c r="B6445" s="12" t="s">
        <v>33</v>
      </c>
      <c r="C6445" s="12" t="s">
        <v>44</v>
      </c>
      <c r="D6445" s="12" t="s">
        <v>7134</v>
      </c>
      <c r="E6445" s="13">
        <v>114163848</v>
      </c>
      <c r="F6445" s="12" t="s">
        <v>2308</v>
      </c>
      <c r="G6445" s="14">
        <f>5049.49+3208</f>
        <v>8257.49</v>
      </c>
      <c r="H6445" s="12" t="s">
        <v>24</v>
      </c>
      <c r="I6445" s="12">
        <v>1</v>
      </c>
      <c r="J6445" s="12" t="s">
        <v>2308</v>
      </c>
      <c r="K6445" s="12" t="s">
        <v>2309</v>
      </c>
      <c r="L6445" s="12">
        <v>0</v>
      </c>
      <c r="M6445" s="15">
        <v>943000</v>
      </c>
      <c r="N6445" s="15">
        <v>0</v>
      </c>
      <c r="O6445" s="15">
        <f t="shared" si="547"/>
        <v>943000</v>
      </c>
      <c r="P6445" s="15">
        <f t="shared" si="551"/>
        <v>114.19935113454574</v>
      </c>
      <c r="Q6445" s="14">
        <v>14000</v>
      </c>
      <c r="R6445" s="12">
        <v>55</v>
      </c>
      <c r="S6445" s="12" t="s">
        <v>7844</v>
      </c>
      <c r="T6445" s="22">
        <f t="shared" si="548"/>
        <v>3</v>
      </c>
      <c r="U6445" s="22">
        <f t="shared" si="549"/>
        <v>2023</v>
      </c>
      <c r="V6445" s="22" t="str">
        <f t="shared" si="550"/>
        <v>REGIONES</v>
      </c>
    </row>
    <row r="6446" spans="1:22" x14ac:dyDescent="0.2">
      <c r="A6446" s="11" t="s">
        <v>7836</v>
      </c>
      <c r="B6446" s="12" t="s">
        <v>33</v>
      </c>
      <c r="C6446" s="12" t="s">
        <v>44</v>
      </c>
      <c r="D6446" s="12" t="s">
        <v>20</v>
      </c>
      <c r="E6446" s="13">
        <v>78907355</v>
      </c>
      <c r="F6446" s="12" t="s">
        <v>48</v>
      </c>
      <c r="G6446" s="14">
        <v>3736.62</v>
      </c>
      <c r="H6446" s="12" t="s">
        <v>22</v>
      </c>
      <c r="I6446" s="12">
        <v>0</v>
      </c>
      <c r="J6446" s="12" t="s">
        <v>48</v>
      </c>
      <c r="K6446" s="12" t="s">
        <v>23</v>
      </c>
      <c r="L6446" s="12">
        <v>1</v>
      </c>
      <c r="M6446" s="15">
        <v>69173</v>
      </c>
      <c r="N6446" s="15">
        <v>0</v>
      </c>
      <c r="O6446" s="15">
        <f t="shared" si="547"/>
        <v>69173</v>
      </c>
      <c r="P6446" s="15">
        <f t="shared" si="551"/>
        <v>18.512184808730886</v>
      </c>
      <c r="Q6446" s="14">
        <v>5000</v>
      </c>
      <c r="R6446" s="12">
        <v>75</v>
      </c>
      <c r="S6446" s="12" t="s">
        <v>7843</v>
      </c>
      <c r="T6446" s="22">
        <f t="shared" si="548"/>
        <v>3</v>
      </c>
      <c r="U6446" s="22">
        <f t="shared" si="549"/>
        <v>2023</v>
      </c>
      <c r="V6446" s="22" t="str">
        <f t="shared" si="550"/>
        <v>METROPOLITANA</v>
      </c>
    </row>
    <row r="6447" spans="1:22" x14ac:dyDescent="0.2">
      <c r="A6447" s="23" t="s">
        <v>7845</v>
      </c>
      <c r="B6447" s="22" t="s">
        <v>18</v>
      </c>
      <c r="C6447" s="22" t="s">
        <v>29</v>
      </c>
      <c r="D6447" s="22" t="s">
        <v>7174</v>
      </c>
      <c r="E6447" s="24" t="s">
        <v>7175</v>
      </c>
      <c r="F6447" s="22" t="s">
        <v>39</v>
      </c>
      <c r="G6447" s="25">
        <v>26105</v>
      </c>
      <c r="H6447" s="22" t="s">
        <v>24</v>
      </c>
      <c r="I6447" s="22">
        <v>1</v>
      </c>
      <c r="J6447" s="22" t="s">
        <v>39</v>
      </c>
      <c r="K6447" s="22" t="s">
        <v>23</v>
      </c>
      <c r="L6447" s="22">
        <v>1</v>
      </c>
      <c r="M6447" s="26">
        <v>287155</v>
      </c>
      <c r="N6447" s="26">
        <v>0</v>
      </c>
      <c r="O6447" s="15">
        <f t="shared" si="547"/>
        <v>287155</v>
      </c>
      <c r="P6447" s="15">
        <f t="shared" si="551"/>
        <v>11</v>
      </c>
      <c r="Q6447" s="25">
        <v>5000</v>
      </c>
      <c r="R6447" s="22">
        <v>100</v>
      </c>
      <c r="S6447" s="22" t="s">
        <v>7846</v>
      </c>
      <c r="T6447" s="22">
        <f t="shared" si="548"/>
        <v>3</v>
      </c>
      <c r="U6447" s="22">
        <f t="shared" si="549"/>
        <v>2023</v>
      </c>
      <c r="V6447" s="22" t="str">
        <f t="shared" si="550"/>
        <v>METROPOLITANA</v>
      </c>
    </row>
    <row r="6448" spans="1:22" x14ac:dyDescent="0.2">
      <c r="A6448" s="23" t="s">
        <v>7845</v>
      </c>
      <c r="B6448" s="22" t="s">
        <v>33</v>
      </c>
      <c r="C6448" s="22" t="s">
        <v>1642</v>
      </c>
      <c r="D6448" s="22" t="s">
        <v>2825</v>
      </c>
      <c r="E6448" s="24" t="s">
        <v>639</v>
      </c>
      <c r="F6448" s="22" t="s">
        <v>691</v>
      </c>
      <c r="G6448" s="25">
        <f>6482.47+2235</f>
        <v>8717.4700000000012</v>
      </c>
      <c r="H6448" s="22" t="s">
        <v>24</v>
      </c>
      <c r="I6448" s="22">
        <v>1</v>
      </c>
      <c r="J6448" s="22" t="s">
        <v>691</v>
      </c>
      <c r="K6448" s="22" t="s">
        <v>873</v>
      </c>
      <c r="L6448" s="22">
        <v>0</v>
      </c>
      <c r="M6448" s="26">
        <v>1282000</v>
      </c>
      <c r="N6448" s="26">
        <v>0</v>
      </c>
      <c r="O6448" s="15">
        <f t="shared" si="547"/>
        <v>1282000</v>
      </c>
      <c r="P6448" s="15">
        <f t="shared" si="551"/>
        <v>147.06101655640913</v>
      </c>
      <c r="Q6448" s="25">
        <v>14000</v>
      </c>
      <c r="R6448" s="22">
        <v>66</v>
      </c>
      <c r="S6448" s="22" t="s">
        <v>7851</v>
      </c>
      <c r="T6448" s="22">
        <f t="shared" si="548"/>
        <v>3</v>
      </c>
      <c r="U6448" s="22">
        <f t="shared" si="549"/>
        <v>2023</v>
      </c>
      <c r="V6448" s="22" t="str">
        <f t="shared" si="550"/>
        <v>REGIONES</v>
      </c>
    </row>
    <row r="6449" spans="1:22" x14ac:dyDescent="0.2">
      <c r="A6449" s="23" t="s">
        <v>7845</v>
      </c>
      <c r="B6449" s="22" t="s">
        <v>33</v>
      </c>
      <c r="C6449" s="22" t="s">
        <v>36</v>
      </c>
      <c r="D6449" s="22" t="s">
        <v>30</v>
      </c>
      <c r="E6449" s="24" t="s">
        <v>31</v>
      </c>
      <c r="F6449" s="22" t="s">
        <v>855</v>
      </c>
      <c r="G6449" s="25">
        <f>5639.24+1062</f>
        <v>6701.24</v>
      </c>
      <c r="H6449" s="22" t="s">
        <v>32</v>
      </c>
      <c r="I6449" s="22">
        <v>0</v>
      </c>
      <c r="J6449" s="22" t="s">
        <v>855</v>
      </c>
      <c r="K6449" s="22" t="s">
        <v>78</v>
      </c>
      <c r="L6449" s="22">
        <v>0</v>
      </c>
      <c r="M6449" s="26">
        <v>230000</v>
      </c>
      <c r="N6449" s="26">
        <v>0</v>
      </c>
      <c r="O6449" s="15">
        <f t="shared" si="547"/>
        <v>230000</v>
      </c>
      <c r="P6449" s="15">
        <f t="shared" si="551"/>
        <v>34.322006076487341</v>
      </c>
      <c r="Q6449" s="25">
        <v>14000</v>
      </c>
      <c r="R6449" s="22">
        <v>55</v>
      </c>
      <c r="S6449" s="22" t="s">
        <v>7852</v>
      </c>
      <c r="T6449" s="22">
        <f t="shared" si="548"/>
        <v>3</v>
      </c>
      <c r="U6449" s="22">
        <f t="shared" si="549"/>
        <v>2023</v>
      </c>
      <c r="V6449" s="22" t="str">
        <f t="shared" si="550"/>
        <v>REGIONES</v>
      </c>
    </row>
    <row r="6450" spans="1:22" x14ac:dyDescent="0.2">
      <c r="A6450" s="23" t="s">
        <v>7845</v>
      </c>
      <c r="B6450" s="22" t="s">
        <v>33</v>
      </c>
      <c r="C6450" s="22" t="s">
        <v>29</v>
      </c>
      <c r="D6450" s="22" t="s">
        <v>38</v>
      </c>
      <c r="E6450" s="24" t="s">
        <v>42</v>
      </c>
      <c r="F6450" s="22" t="s">
        <v>39</v>
      </c>
      <c r="G6450" s="25">
        <v>14831.400000000011</v>
      </c>
      <c r="H6450" s="22" t="s">
        <v>43</v>
      </c>
      <c r="I6450" s="22">
        <v>0</v>
      </c>
      <c r="J6450" s="22" t="s">
        <v>39</v>
      </c>
      <c r="K6450" s="22" t="s">
        <v>23</v>
      </c>
      <c r="L6450" s="22">
        <v>1</v>
      </c>
      <c r="M6450" s="26">
        <v>163145</v>
      </c>
      <c r="N6450" s="26">
        <v>0</v>
      </c>
      <c r="O6450" s="15">
        <f t="shared" si="547"/>
        <v>163145</v>
      </c>
      <c r="P6450" s="15">
        <f t="shared" si="551"/>
        <v>10.999973030192692</v>
      </c>
      <c r="Q6450" s="25">
        <v>5000</v>
      </c>
      <c r="R6450" s="22">
        <v>100</v>
      </c>
      <c r="S6450" s="22" t="s">
        <v>7847</v>
      </c>
      <c r="T6450" s="22">
        <f t="shared" si="548"/>
        <v>3</v>
      </c>
      <c r="U6450" s="22">
        <f t="shared" si="549"/>
        <v>2023</v>
      </c>
      <c r="V6450" s="22" t="str">
        <f t="shared" si="550"/>
        <v>METROPOLITANA</v>
      </c>
    </row>
    <row r="6451" spans="1:22" x14ac:dyDescent="0.2">
      <c r="A6451" s="23" t="s">
        <v>7845</v>
      </c>
      <c r="B6451" s="22" t="s">
        <v>33</v>
      </c>
      <c r="C6451" s="22" t="s">
        <v>29</v>
      </c>
      <c r="D6451" s="22" t="s">
        <v>164</v>
      </c>
      <c r="E6451" s="24" t="s">
        <v>1576</v>
      </c>
      <c r="F6451" s="22" t="s">
        <v>39</v>
      </c>
      <c r="G6451" s="25">
        <v>17071.21999999999</v>
      </c>
      <c r="H6451" s="22" t="s">
        <v>22</v>
      </c>
      <c r="I6451" s="22">
        <v>1</v>
      </c>
      <c r="J6451" s="22" t="s">
        <v>39</v>
      </c>
      <c r="K6451" s="22" t="s">
        <v>23</v>
      </c>
      <c r="L6451" s="22">
        <v>1</v>
      </c>
      <c r="M6451" s="26">
        <v>187783</v>
      </c>
      <c r="N6451" s="26">
        <v>0</v>
      </c>
      <c r="O6451" s="15">
        <f t="shared" si="547"/>
        <v>187783</v>
      </c>
      <c r="P6451" s="15">
        <f t="shared" si="551"/>
        <v>10.99997539718896</v>
      </c>
      <c r="Q6451" s="25">
        <v>5000</v>
      </c>
      <c r="R6451" s="22">
        <v>100</v>
      </c>
      <c r="S6451" s="22" t="s">
        <v>7848</v>
      </c>
      <c r="T6451" s="22">
        <f t="shared" si="548"/>
        <v>3</v>
      </c>
      <c r="U6451" s="22">
        <f t="shared" si="549"/>
        <v>2023</v>
      </c>
      <c r="V6451" s="22" t="str">
        <f t="shared" si="550"/>
        <v>METROPOLITANA</v>
      </c>
    </row>
    <row r="6452" spans="1:22" x14ac:dyDescent="0.2">
      <c r="A6452" s="23" t="s">
        <v>7845</v>
      </c>
      <c r="B6452" s="22" t="s">
        <v>33</v>
      </c>
      <c r="C6452" s="22" t="s">
        <v>44</v>
      </c>
      <c r="D6452" s="22" t="s">
        <v>7779</v>
      </c>
      <c r="E6452" s="24" t="s">
        <v>131</v>
      </c>
      <c r="F6452" s="22" t="s">
        <v>876</v>
      </c>
      <c r="G6452" s="25">
        <f>4176.82+2177</f>
        <v>6353.82</v>
      </c>
      <c r="H6452" s="22" t="s">
        <v>24</v>
      </c>
      <c r="I6452" s="22">
        <v>1</v>
      </c>
      <c r="J6452" s="22" t="s">
        <v>876</v>
      </c>
      <c r="K6452" s="22" t="s">
        <v>86</v>
      </c>
      <c r="L6452" s="22">
        <v>0</v>
      </c>
      <c r="M6452" s="26">
        <v>437500</v>
      </c>
      <c r="N6452" s="26">
        <v>0</v>
      </c>
      <c r="O6452" s="15">
        <f t="shared" si="547"/>
        <v>437500</v>
      </c>
      <c r="P6452" s="15">
        <f t="shared" si="551"/>
        <v>68.856215630911805</v>
      </c>
      <c r="Q6452" s="25">
        <v>14000</v>
      </c>
      <c r="R6452" s="22">
        <v>55</v>
      </c>
      <c r="S6452" s="22" t="s">
        <v>7853</v>
      </c>
      <c r="T6452" s="22">
        <f t="shared" si="548"/>
        <v>3</v>
      </c>
      <c r="U6452" s="22">
        <f t="shared" si="549"/>
        <v>2023</v>
      </c>
      <c r="V6452" s="22" t="str">
        <f t="shared" si="550"/>
        <v>REGIONES</v>
      </c>
    </row>
    <row r="6453" spans="1:22" x14ac:dyDescent="0.2">
      <c r="A6453" s="23" t="s">
        <v>7845</v>
      </c>
      <c r="B6453" s="22" t="s">
        <v>33</v>
      </c>
      <c r="C6453" s="22" t="s">
        <v>44</v>
      </c>
      <c r="D6453" s="22" t="s">
        <v>37</v>
      </c>
      <c r="E6453" s="24" t="s">
        <v>40</v>
      </c>
      <c r="F6453" s="22" t="s">
        <v>94</v>
      </c>
      <c r="G6453" s="25">
        <v>4565.6000000000004</v>
      </c>
      <c r="H6453" s="22" t="s">
        <v>22</v>
      </c>
      <c r="I6453" s="22">
        <v>0</v>
      </c>
      <c r="J6453" s="22" t="s">
        <v>59</v>
      </c>
      <c r="K6453" s="22" t="s">
        <v>78</v>
      </c>
      <c r="L6453" s="22">
        <v>0</v>
      </c>
      <c r="M6453" s="26">
        <v>227000</v>
      </c>
      <c r="N6453" s="26">
        <v>0</v>
      </c>
      <c r="O6453" s="15">
        <f t="shared" si="547"/>
        <v>227000</v>
      </c>
      <c r="P6453" s="15">
        <f t="shared" si="551"/>
        <v>49.719642544243904</v>
      </c>
      <c r="Q6453" s="25">
        <v>14000</v>
      </c>
      <c r="R6453" s="22">
        <v>33</v>
      </c>
      <c r="S6453" s="22" t="s">
        <v>7849</v>
      </c>
      <c r="T6453" s="22">
        <f t="shared" si="548"/>
        <v>3</v>
      </c>
      <c r="U6453" s="22">
        <f t="shared" si="549"/>
        <v>2023</v>
      </c>
      <c r="V6453" s="22" t="str">
        <f t="shared" si="550"/>
        <v>REGIONES</v>
      </c>
    </row>
    <row r="6454" spans="1:22" x14ac:dyDescent="0.2">
      <c r="A6454" s="23" t="s">
        <v>7845</v>
      </c>
      <c r="B6454" s="22" t="s">
        <v>33</v>
      </c>
      <c r="C6454" s="22" t="s">
        <v>44</v>
      </c>
      <c r="D6454" s="22" t="s">
        <v>20</v>
      </c>
      <c r="E6454" s="24" t="s">
        <v>49</v>
      </c>
      <c r="F6454" s="22" t="s">
        <v>48</v>
      </c>
      <c r="G6454" s="25">
        <v>4738.74</v>
      </c>
      <c r="H6454" s="22" t="s">
        <v>22</v>
      </c>
      <c r="I6454" s="22">
        <v>0</v>
      </c>
      <c r="J6454" s="22" t="s">
        <v>48</v>
      </c>
      <c r="K6454" s="22" t="s">
        <v>23</v>
      </c>
      <c r="L6454" s="22">
        <v>1</v>
      </c>
      <c r="M6454" s="26">
        <v>69173</v>
      </c>
      <c r="N6454" s="26">
        <v>0</v>
      </c>
      <c r="O6454" s="15">
        <f t="shared" si="547"/>
        <v>69173</v>
      </c>
      <c r="P6454" s="15">
        <f t="shared" si="551"/>
        <v>14.597340221240247</v>
      </c>
      <c r="Q6454" s="25">
        <v>5000</v>
      </c>
      <c r="R6454" s="22">
        <v>95</v>
      </c>
      <c r="S6454" s="22" t="s">
        <v>7850</v>
      </c>
      <c r="T6454" s="22">
        <f t="shared" si="548"/>
        <v>3</v>
      </c>
      <c r="U6454" s="22">
        <f t="shared" si="549"/>
        <v>2023</v>
      </c>
      <c r="V6454" s="22" t="str">
        <f t="shared" si="550"/>
        <v>METROPOLITANA</v>
      </c>
    </row>
    <row r="6455" spans="1:22" x14ac:dyDescent="0.2">
      <c r="A6455" s="11" t="s">
        <v>7854</v>
      </c>
      <c r="B6455" s="12" t="s">
        <v>18</v>
      </c>
      <c r="C6455" s="12" t="s">
        <v>7148</v>
      </c>
      <c r="D6455" s="12" t="s">
        <v>7855</v>
      </c>
      <c r="E6455" s="13" t="s">
        <v>7856</v>
      </c>
      <c r="F6455" s="12" t="s">
        <v>129</v>
      </c>
      <c r="G6455" s="14">
        <v>2298.7800000000002</v>
      </c>
      <c r="H6455" s="12" t="s">
        <v>24</v>
      </c>
      <c r="I6455" s="12">
        <v>1</v>
      </c>
      <c r="J6455" s="12" t="s">
        <v>129</v>
      </c>
      <c r="K6455" s="12" t="s">
        <v>23</v>
      </c>
      <c r="L6455" s="12">
        <v>1</v>
      </c>
      <c r="M6455" s="15">
        <v>69173</v>
      </c>
      <c r="N6455" s="15">
        <v>0</v>
      </c>
      <c r="O6455" s="15">
        <f t="shared" si="547"/>
        <v>69173</v>
      </c>
      <c r="P6455" s="15">
        <f t="shared" si="551"/>
        <v>30.091178799189134</v>
      </c>
      <c r="Q6455" s="14">
        <v>5000</v>
      </c>
      <c r="R6455" s="12">
        <v>46</v>
      </c>
      <c r="S6455" s="12" t="s">
        <v>7857</v>
      </c>
      <c r="T6455" s="22">
        <f t="shared" si="548"/>
        <v>3</v>
      </c>
      <c r="U6455" s="22">
        <f t="shared" si="549"/>
        <v>2023</v>
      </c>
      <c r="V6455" s="22" t="str">
        <f t="shared" si="550"/>
        <v>METROPOLITANA</v>
      </c>
    </row>
    <row r="6456" spans="1:22" x14ac:dyDescent="0.2">
      <c r="A6456" s="11" t="s">
        <v>7854</v>
      </c>
      <c r="B6456" s="12" t="s">
        <v>33</v>
      </c>
      <c r="C6456" s="12" t="s">
        <v>128</v>
      </c>
      <c r="D6456" s="12" t="s">
        <v>370</v>
      </c>
      <c r="E6456" s="13" t="s">
        <v>371</v>
      </c>
      <c r="F6456" s="12" t="s">
        <v>84</v>
      </c>
      <c r="G6456" s="14">
        <v>22738.799999999999</v>
      </c>
      <c r="H6456" s="12" t="s">
        <v>85</v>
      </c>
      <c r="I6456" s="12">
        <v>1</v>
      </c>
      <c r="J6456" s="12" t="s">
        <v>84</v>
      </c>
      <c r="K6456" s="12" t="s">
        <v>86</v>
      </c>
      <c r="L6456" s="12">
        <v>0</v>
      </c>
      <c r="M6456" s="15">
        <v>402000</v>
      </c>
      <c r="N6456" s="15">
        <v>0</v>
      </c>
      <c r="O6456" s="15">
        <f t="shared" si="547"/>
        <v>402000</v>
      </c>
      <c r="P6456" s="15">
        <f t="shared" si="551"/>
        <v>17.679033194363818</v>
      </c>
      <c r="Q6456" s="14">
        <v>14000</v>
      </c>
      <c r="R6456" s="12">
        <v>100</v>
      </c>
      <c r="S6456" s="12" t="s">
        <v>7858</v>
      </c>
      <c r="T6456" s="22">
        <f t="shared" si="548"/>
        <v>3</v>
      </c>
      <c r="U6456" s="22">
        <f t="shared" si="549"/>
        <v>2023</v>
      </c>
      <c r="V6456" s="22" t="str">
        <f t="shared" si="550"/>
        <v>REGIONES</v>
      </c>
    </row>
    <row r="6457" spans="1:22" x14ac:dyDescent="0.2">
      <c r="A6457" s="11" t="s">
        <v>7854</v>
      </c>
      <c r="B6457" s="12" t="s">
        <v>33</v>
      </c>
      <c r="C6457" s="12" t="s">
        <v>29</v>
      </c>
      <c r="D6457" s="12" t="s">
        <v>41</v>
      </c>
      <c r="E6457" s="13" t="s">
        <v>25</v>
      </c>
      <c r="F6457" s="12" t="s">
        <v>129</v>
      </c>
      <c r="G6457" s="14">
        <v>4375.2</v>
      </c>
      <c r="H6457" s="12" t="s">
        <v>43</v>
      </c>
      <c r="I6457" s="12">
        <v>0</v>
      </c>
      <c r="J6457" s="12" t="s">
        <v>129</v>
      </c>
      <c r="K6457" s="12" t="s">
        <v>23</v>
      </c>
      <c r="L6457" s="12">
        <v>1</v>
      </c>
      <c r="M6457" s="15">
        <v>69173</v>
      </c>
      <c r="N6457" s="15">
        <v>0</v>
      </c>
      <c r="O6457" s="15">
        <f t="shared" si="547"/>
        <v>69173</v>
      </c>
      <c r="P6457" s="15">
        <f t="shared" si="551"/>
        <v>15.810248674346317</v>
      </c>
      <c r="Q6457" s="14">
        <v>5000</v>
      </c>
      <c r="R6457" s="12">
        <v>88</v>
      </c>
      <c r="S6457" s="12" t="s">
        <v>7859</v>
      </c>
      <c r="T6457" s="22">
        <f t="shared" si="548"/>
        <v>3</v>
      </c>
      <c r="U6457" s="22">
        <f t="shared" si="549"/>
        <v>2023</v>
      </c>
      <c r="V6457" s="22" t="str">
        <f t="shared" si="550"/>
        <v>METROPOLITANA</v>
      </c>
    </row>
    <row r="6458" spans="1:22" x14ac:dyDescent="0.2">
      <c r="A6458" s="11" t="s">
        <v>7854</v>
      </c>
      <c r="B6458" s="12" t="s">
        <v>33</v>
      </c>
      <c r="C6458" s="12" t="s">
        <v>29</v>
      </c>
      <c r="D6458" s="12" t="s">
        <v>164</v>
      </c>
      <c r="E6458" s="13" t="s">
        <v>1576</v>
      </c>
      <c r="F6458" s="12" t="s">
        <v>39</v>
      </c>
      <c r="G6458" s="14">
        <v>9080.9999999999982</v>
      </c>
      <c r="H6458" s="12" t="s">
        <v>22</v>
      </c>
      <c r="I6458" s="12">
        <v>1</v>
      </c>
      <c r="J6458" s="12" t="s">
        <v>39</v>
      </c>
      <c r="K6458" s="12" t="s">
        <v>23</v>
      </c>
      <c r="L6458" s="12">
        <v>1</v>
      </c>
      <c r="M6458" s="15">
        <v>99891</v>
      </c>
      <c r="N6458" s="15">
        <v>0</v>
      </c>
      <c r="O6458" s="15">
        <f t="shared" si="547"/>
        <v>99891</v>
      </c>
      <c r="P6458" s="15">
        <f t="shared" si="551"/>
        <v>11.000000000000002</v>
      </c>
      <c r="Q6458" s="14">
        <v>5000</v>
      </c>
      <c r="R6458" s="12">
        <v>100</v>
      </c>
      <c r="S6458" s="12" t="s">
        <v>7860</v>
      </c>
      <c r="T6458" s="22">
        <f t="shared" si="548"/>
        <v>3</v>
      </c>
      <c r="U6458" s="22">
        <f t="shared" si="549"/>
        <v>2023</v>
      </c>
      <c r="V6458" s="22" t="str">
        <f t="shared" si="550"/>
        <v>METROPOLITANA</v>
      </c>
    </row>
    <row r="6459" spans="1:22" x14ac:dyDescent="0.2">
      <c r="A6459" s="11" t="s">
        <v>7854</v>
      </c>
      <c r="B6459" s="12" t="s">
        <v>33</v>
      </c>
      <c r="C6459" s="12" t="s">
        <v>29</v>
      </c>
      <c r="D6459" s="12" t="s">
        <v>20</v>
      </c>
      <c r="E6459" s="13" t="s">
        <v>21</v>
      </c>
      <c r="F6459" s="12" t="s">
        <v>39</v>
      </c>
      <c r="G6459" s="14">
        <v>10090.209999999999</v>
      </c>
      <c r="H6459" s="12" t="s">
        <v>22</v>
      </c>
      <c r="I6459" s="12">
        <v>0</v>
      </c>
      <c r="J6459" s="12" t="s">
        <v>39</v>
      </c>
      <c r="K6459" s="12" t="s">
        <v>23</v>
      </c>
      <c r="L6459" s="12">
        <v>1</v>
      </c>
      <c r="M6459" s="15">
        <v>110992</v>
      </c>
      <c r="N6459" s="15">
        <v>0</v>
      </c>
      <c r="O6459" s="15">
        <f t="shared" ref="O6459:O6522" si="552">SUM(M6459:N6459)</f>
        <v>110992</v>
      </c>
      <c r="P6459" s="15">
        <f t="shared" si="551"/>
        <v>10.999969277150823</v>
      </c>
      <c r="Q6459" s="14">
        <v>5000</v>
      </c>
      <c r="R6459" s="12">
        <v>100</v>
      </c>
      <c r="S6459" s="12" t="s">
        <v>7861</v>
      </c>
      <c r="T6459" s="22">
        <f t="shared" si="548"/>
        <v>3</v>
      </c>
      <c r="U6459" s="22">
        <f t="shared" si="549"/>
        <v>2023</v>
      </c>
      <c r="V6459" s="22" t="str">
        <f t="shared" si="550"/>
        <v>METROPOLITANA</v>
      </c>
    </row>
    <row r="6460" spans="1:22" x14ac:dyDescent="0.2">
      <c r="A6460" s="11" t="s">
        <v>7854</v>
      </c>
      <c r="B6460" s="12" t="s">
        <v>33</v>
      </c>
      <c r="C6460" s="12" t="s">
        <v>5573</v>
      </c>
      <c r="D6460" s="12" t="s">
        <v>786</v>
      </c>
      <c r="E6460" s="13" t="s">
        <v>787</v>
      </c>
      <c r="F6460" s="12" t="s">
        <v>129</v>
      </c>
      <c r="G6460" s="14">
        <v>27776.000000000018</v>
      </c>
      <c r="H6460" s="12" t="s">
        <v>788</v>
      </c>
      <c r="I6460" s="12">
        <v>1</v>
      </c>
      <c r="J6460" s="12" t="s">
        <v>129</v>
      </c>
      <c r="K6460" s="12" t="s">
        <v>23</v>
      </c>
      <c r="L6460" s="12">
        <v>1</v>
      </c>
      <c r="M6460" s="15">
        <v>305536</v>
      </c>
      <c r="N6460" s="15">
        <v>0</v>
      </c>
      <c r="O6460" s="15">
        <f t="shared" si="552"/>
        <v>305536</v>
      </c>
      <c r="P6460" s="15">
        <f t="shared" si="551"/>
        <v>10.999999999999993</v>
      </c>
      <c r="Q6460" s="14">
        <v>5000</v>
      </c>
      <c r="R6460" s="12">
        <v>100</v>
      </c>
      <c r="S6460" s="12" t="s">
        <v>7862</v>
      </c>
      <c r="T6460" s="22">
        <f t="shared" si="548"/>
        <v>3</v>
      </c>
      <c r="U6460" s="22">
        <f t="shared" si="549"/>
        <v>2023</v>
      </c>
      <c r="V6460" s="22" t="str">
        <f t="shared" si="550"/>
        <v>METROPOLITANA</v>
      </c>
    </row>
    <row r="6461" spans="1:22" x14ac:dyDescent="0.2">
      <c r="A6461" s="11" t="s">
        <v>7854</v>
      </c>
      <c r="B6461" s="12" t="s">
        <v>33</v>
      </c>
      <c r="C6461" s="12" t="s">
        <v>44</v>
      </c>
      <c r="D6461" s="12" t="s">
        <v>7863</v>
      </c>
      <c r="E6461" s="13" t="s">
        <v>83</v>
      </c>
      <c r="F6461" s="12" t="s">
        <v>84</v>
      </c>
      <c r="G6461" s="14">
        <v>4070.77</v>
      </c>
      <c r="H6461" s="12" t="s">
        <v>24</v>
      </c>
      <c r="I6461" s="12">
        <v>1</v>
      </c>
      <c r="J6461" s="12" t="s">
        <v>84</v>
      </c>
      <c r="K6461" s="12" t="s">
        <v>86</v>
      </c>
      <c r="L6461" s="12">
        <v>0</v>
      </c>
      <c r="M6461" s="15">
        <v>402000</v>
      </c>
      <c r="N6461" s="15">
        <v>0</v>
      </c>
      <c r="O6461" s="15">
        <f t="shared" si="552"/>
        <v>402000</v>
      </c>
      <c r="P6461" s="15">
        <f t="shared" si="551"/>
        <v>98.75281580634622</v>
      </c>
      <c r="Q6461" s="14">
        <v>14000</v>
      </c>
      <c r="R6461" s="12">
        <v>29</v>
      </c>
      <c r="S6461" s="12" t="s">
        <v>7864</v>
      </c>
      <c r="T6461" s="22">
        <f t="shared" si="548"/>
        <v>3</v>
      </c>
      <c r="U6461" s="22">
        <f t="shared" si="549"/>
        <v>2023</v>
      </c>
      <c r="V6461" s="22" t="str">
        <f t="shared" si="550"/>
        <v>REGIONES</v>
      </c>
    </row>
    <row r="6462" spans="1:22" x14ac:dyDescent="0.2">
      <c r="A6462" s="11" t="s">
        <v>7854</v>
      </c>
      <c r="B6462" s="12" t="s">
        <v>33</v>
      </c>
      <c r="C6462" s="12" t="s">
        <v>44</v>
      </c>
      <c r="D6462" s="12" t="s">
        <v>37</v>
      </c>
      <c r="E6462" s="13" t="s">
        <v>40</v>
      </c>
      <c r="F6462" s="12" t="s">
        <v>274</v>
      </c>
      <c r="G6462" s="14">
        <v>4813.2</v>
      </c>
      <c r="H6462" s="12" t="s">
        <v>22</v>
      </c>
      <c r="I6462" s="12">
        <v>0</v>
      </c>
      <c r="J6462" s="12" t="s">
        <v>274</v>
      </c>
      <c r="K6462" s="12" t="s">
        <v>78</v>
      </c>
      <c r="L6462" s="12">
        <v>0</v>
      </c>
      <c r="M6462" s="15">
        <v>227000</v>
      </c>
      <c r="N6462" s="15">
        <v>0</v>
      </c>
      <c r="O6462" s="15">
        <f t="shared" si="552"/>
        <v>227000</v>
      </c>
      <c r="P6462" s="15">
        <f t="shared" si="551"/>
        <v>47.16197124574088</v>
      </c>
      <c r="Q6462" s="14">
        <v>14000</v>
      </c>
      <c r="R6462" s="12">
        <v>34</v>
      </c>
      <c r="S6462" s="12" t="s">
        <v>7865</v>
      </c>
      <c r="T6462" s="22">
        <f t="shared" si="548"/>
        <v>3</v>
      </c>
      <c r="U6462" s="22">
        <f t="shared" si="549"/>
        <v>2023</v>
      </c>
      <c r="V6462" s="22" t="str">
        <f t="shared" si="550"/>
        <v>REGIONES</v>
      </c>
    </row>
    <row r="6463" spans="1:22" x14ac:dyDescent="0.2">
      <c r="A6463" s="11" t="s">
        <v>7854</v>
      </c>
      <c r="B6463" s="12" t="s">
        <v>33</v>
      </c>
      <c r="C6463" s="12" t="s">
        <v>44</v>
      </c>
      <c r="D6463" s="12" t="s">
        <v>45</v>
      </c>
      <c r="E6463" s="13" t="s">
        <v>49</v>
      </c>
      <c r="F6463" s="12" t="s">
        <v>26</v>
      </c>
      <c r="G6463" s="14">
        <v>2953.8</v>
      </c>
      <c r="H6463" s="12" t="s">
        <v>22</v>
      </c>
      <c r="I6463" s="12">
        <v>0</v>
      </c>
      <c r="J6463" s="12" t="s">
        <v>26</v>
      </c>
      <c r="K6463" s="12" t="s">
        <v>23</v>
      </c>
      <c r="L6463" s="12">
        <v>4</v>
      </c>
      <c r="M6463" s="15">
        <v>69173</v>
      </c>
      <c r="N6463" s="15">
        <v>0</v>
      </c>
      <c r="O6463" s="15">
        <f t="shared" si="552"/>
        <v>69173</v>
      </c>
      <c r="P6463" s="15">
        <f t="shared" si="551"/>
        <v>23.418308619405511</v>
      </c>
      <c r="Q6463" s="14">
        <v>5000</v>
      </c>
      <c r="R6463" s="12">
        <v>59</v>
      </c>
      <c r="S6463" s="12" t="s">
        <v>7866</v>
      </c>
      <c r="T6463" s="22">
        <f t="shared" si="548"/>
        <v>3</v>
      </c>
      <c r="U6463" s="22">
        <f t="shared" si="549"/>
        <v>2023</v>
      </c>
      <c r="V6463" s="22" t="str">
        <f t="shared" si="550"/>
        <v>METROPOLITANA</v>
      </c>
    </row>
    <row r="6464" spans="1:22" x14ac:dyDescent="0.2">
      <c r="A6464" s="23" t="s">
        <v>7867</v>
      </c>
      <c r="B6464" s="22" t="s">
        <v>18</v>
      </c>
      <c r="C6464" s="22" t="s">
        <v>19</v>
      </c>
      <c r="D6464" s="22" t="s">
        <v>370</v>
      </c>
      <c r="E6464" s="24" t="s">
        <v>371</v>
      </c>
      <c r="F6464" s="22" t="s">
        <v>92</v>
      </c>
      <c r="G6464" s="25">
        <v>18177.3</v>
      </c>
      <c r="H6464" s="22" t="s">
        <v>85</v>
      </c>
      <c r="I6464" s="22">
        <v>1</v>
      </c>
      <c r="J6464" s="22" t="s">
        <v>92</v>
      </c>
      <c r="K6464" s="22" t="s">
        <v>93</v>
      </c>
      <c r="L6464" s="22">
        <v>0</v>
      </c>
      <c r="M6464" s="26">
        <v>779000</v>
      </c>
      <c r="N6464" s="26">
        <v>0</v>
      </c>
      <c r="O6464" s="15">
        <f t="shared" si="552"/>
        <v>779000</v>
      </c>
      <c r="P6464" s="15">
        <f t="shared" si="551"/>
        <v>42.855649628932788</v>
      </c>
      <c r="Q6464" s="25">
        <v>14000</v>
      </c>
      <c r="R6464" s="22">
        <v>100</v>
      </c>
      <c r="S6464" s="22" t="s">
        <v>7868</v>
      </c>
      <c r="T6464" s="22">
        <f t="shared" si="548"/>
        <v>3</v>
      </c>
      <c r="U6464" s="22">
        <f t="shared" si="549"/>
        <v>2023</v>
      </c>
      <c r="V6464" s="22" t="str">
        <f t="shared" si="550"/>
        <v>REGIONES</v>
      </c>
    </row>
    <row r="6465" spans="1:22" x14ac:dyDescent="0.2">
      <c r="A6465" s="23" t="s">
        <v>7867</v>
      </c>
      <c r="B6465" s="22" t="s">
        <v>18</v>
      </c>
      <c r="C6465" s="22" t="s">
        <v>4331</v>
      </c>
      <c r="D6465" s="22" t="s">
        <v>30</v>
      </c>
      <c r="E6465" s="24" t="s">
        <v>31</v>
      </c>
      <c r="F6465" s="22" t="s">
        <v>161</v>
      </c>
      <c r="G6465" s="25">
        <v>12191.31</v>
      </c>
      <c r="H6465" s="22" t="s">
        <v>32</v>
      </c>
      <c r="I6465" s="22">
        <v>0</v>
      </c>
      <c r="J6465" s="22" t="s">
        <v>161</v>
      </c>
      <c r="K6465" s="22" t="s">
        <v>23</v>
      </c>
      <c r="L6465" s="22">
        <v>5</v>
      </c>
      <c r="M6465" s="26">
        <v>87500</v>
      </c>
      <c r="N6465" s="26">
        <v>0</v>
      </c>
      <c r="O6465" s="15">
        <f t="shared" si="552"/>
        <v>87500</v>
      </c>
      <c r="P6465" s="15">
        <f t="shared" si="551"/>
        <v>7.1772434627615906</v>
      </c>
      <c r="Q6465" s="25">
        <v>10000</v>
      </c>
      <c r="R6465" s="22">
        <v>100</v>
      </c>
      <c r="S6465" s="22" t="s">
        <v>7869</v>
      </c>
      <c r="T6465" s="22">
        <f t="shared" si="548"/>
        <v>3</v>
      </c>
      <c r="U6465" s="22">
        <f t="shared" si="549"/>
        <v>2023</v>
      </c>
      <c r="V6465" s="22" t="str">
        <f t="shared" si="550"/>
        <v>METROPOLITANA</v>
      </c>
    </row>
    <row r="6466" spans="1:22" x14ac:dyDescent="0.2">
      <c r="A6466" s="23" t="s">
        <v>7867</v>
      </c>
      <c r="B6466" s="22" t="s">
        <v>18</v>
      </c>
      <c r="C6466" s="22" t="s">
        <v>7148</v>
      </c>
      <c r="D6466" s="22" t="s">
        <v>7855</v>
      </c>
      <c r="E6466" s="24" t="s">
        <v>7870</v>
      </c>
      <c r="F6466" s="22" t="s">
        <v>129</v>
      </c>
      <c r="G6466" s="25">
        <v>2298.7800000000002</v>
      </c>
      <c r="H6466" s="22" t="s">
        <v>24</v>
      </c>
      <c r="I6466" s="22">
        <v>1</v>
      </c>
      <c r="J6466" s="22" t="s">
        <v>129</v>
      </c>
      <c r="K6466" s="22" t="s">
        <v>23</v>
      </c>
      <c r="L6466" s="22">
        <v>1</v>
      </c>
      <c r="M6466" s="26">
        <v>69173</v>
      </c>
      <c r="N6466" s="26">
        <v>0</v>
      </c>
      <c r="O6466" s="15">
        <f t="shared" si="552"/>
        <v>69173</v>
      </c>
      <c r="P6466" s="15">
        <f t="shared" si="551"/>
        <v>30.091178799189134</v>
      </c>
      <c r="Q6466" s="25">
        <v>5000</v>
      </c>
      <c r="R6466" s="22">
        <v>46</v>
      </c>
      <c r="S6466" s="22" t="s">
        <v>7871</v>
      </c>
      <c r="T6466" s="22">
        <f t="shared" si="548"/>
        <v>3</v>
      </c>
      <c r="U6466" s="22">
        <f t="shared" si="549"/>
        <v>2023</v>
      </c>
      <c r="V6466" s="22" t="str">
        <f t="shared" si="550"/>
        <v>METROPOLITANA</v>
      </c>
    </row>
    <row r="6467" spans="1:22" x14ac:dyDescent="0.2">
      <c r="A6467" s="23" t="s">
        <v>7867</v>
      </c>
      <c r="B6467" s="22" t="s">
        <v>18</v>
      </c>
      <c r="C6467" s="22" t="s">
        <v>29</v>
      </c>
      <c r="D6467" s="22" t="s">
        <v>6218</v>
      </c>
      <c r="E6467" s="24" t="s">
        <v>7872</v>
      </c>
      <c r="F6467" s="22" t="s">
        <v>39</v>
      </c>
      <c r="G6467" s="25">
        <v>23835</v>
      </c>
      <c r="H6467" s="22" t="s">
        <v>24</v>
      </c>
      <c r="I6467" s="22">
        <v>1</v>
      </c>
      <c r="J6467" s="22" t="s">
        <v>39</v>
      </c>
      <c r="K6467" s="22" t="s">
        <v>23</v>
      </c>
      <c r="L6467" s="22">
        <v>1</v>
      </c>
      <c r="M6467" s="26">
        <v>262185</v>
      </c>
      <c r="N6467" s="26">
        <v>0</v>
      </c>
      <c r="O6467" s="15">
        <f t="shared" si="552"/>
        <v>262185</v>
      </c>
      <c r="P6467" s="15">
        <f t="shared" si="551"/>
        <v>11</v>
      </c>
      <c r="Q6467" s="25">
        <v>5000</v>
      </c>
      <c r="R6467" s="22">
        <v>100</v>
      </c>
      <c r="S6467" s="22" t="s">
        <v>7873</v>
      </c>
      <c r="T6467" s="22">
        <f t="shared" si="548"/>
        <v>3</v>
      </c>
      <c r="U6467" s="22">
        <f t="shared" si="549"/>
        <v>2023</v>
      </c>
      <c r="V6467" s="22" t="str">
        <f t="shared" si="550"/>
        <v>METROPOLITANA</v>
      </c>
    </row>
    <row r="6468" spans="1:22" x14ac:dyDescent="0.2">
      <c r="A6468" s="23" t="s">
        <v>7867</v>
      </c>
      <c r="B6468" s="22" t="s">
        <v>18</v>
      </c>
      <c r="C6468" s="22" t="s">
        <v>29</v>
      </c>
      <c r="D6468" s="22" t="s">
        <v>6221</v>
      </c>
      <c r="E6468" s="24" t="s">
        <v>7100</v>
      </c>
      <c r="F6468" s="22" t="s">
        <v>39</v>
      </c>
      <c r="G6468" s="25">
        <v>23835</v>
      </c>
      <c r="H6468" s="22" t="s">
        <v>24</v>
      </c>
      <c r="I6468" s="22">
        <v>1</v>
      </c>
      <c r="J6468" s="22" t="s">
        <v>39</v>
      </c>
      <c r="K6468" s="22" t="s">
        <v>23</v>
      </c>
      <c r="L6468" s="22">
        <v>1</v>
      </c>
      <c r="M6468" s="26">
        <v>262185</v>
      </c>
      <c r="N6468" s="26">
        <v>0</v>
      </c>
      <c r="O6468" s="15">
        <f t="shared" si="552"/>
        <v>262185</v>
      </c>
      <c r="P6468" s="15">
        <f t="shared" si="551"/>
        <v>11</v>
      </c>
      <c r="Q6468" s="25">
        <v>5000</v>
      </c>
      <c r="R6468" s="22">
        <v>100</v>
      </c>
      <c r="S6468" s="22" t="s">
        <v>7874</v>
      </c>
      <c r="T6468" s="22">
        <f t="shared" si="548"/>
        <v>3</v>
      </c>
      <c r="U6468" s="22">
        <f t="shared" si="549"/>
        <v>2023</v>
      </c>
      <c r="V6468" s="22" t="str">
        <f t="shared" si="550"/>
        <v>METROPOLITANA</v>
      </c>
    </row>
    <row r="6469" spans="1:22" x14ac:dyDescent="0.2">
      <c r="A6469" s="23" t="s">
        <v>7867</v>
      </c>
      <c r="B6469" s="22" t="s">
        <v>18</v>
      </c>
      <c r="C6469" s="22" t="s">
        <v>29</v>
      </c>
      <c r="D6469" s="22" t="s">
        <v>7174</v>
      </c>
      <c r="E6469" s="24" t="s">
        <v>7875</v>
      </c>
      <c r="F6469" s="22" t="s">
        <v>39</v>
      </c>
      <c r="G6469" s="25">
        <v>22700</v>
      </c>
      <c r="H6469" s="22" t="s">
        <v>24</v>
      </c>
      <c r="I6469" s="22">
        <v>1</v>
      </c>
      <c r="J6469" s="22" t="s">
        <v>39</v>
      </c>
      <c r="K6469" s="22" t="s">
        <v>23</v>
      </c>
      <c r="L6469" s="22">
        <v>1</v>
      </c>
      <c r="M6469" s="26">
        <v>249700</v>
      </c>
      <c r="N6469" s="26">
        <v>0</v>
      </c>
      <c r="O6469" s="15">
        <f t="shared" si="552"/>
        <v>249700</v>
      </c>
      <c r="P6469" s="15">
        <f t="shared" si="551"/>
        <v>11</v>
      </c>
      <c r="Q6469" s="25">
        <v>5000</v>
      </c>
      <c r="R6469" s="22">
        <v>100</v>
      </c>
      <c r="S6469" s="22" t="s">
        <v>7876</v>
      </c>
      <c r="T6469" s="22">
        <f t="shared" si="548"/>
        <v>3</v>
      </c>
      <c r="U6469" s="22">
        <f t="shared" si="549"/>
        <v>2023</v>
      </c>
      <c r="V6469" s="22" t="str">
        <f t="shared" si="550"/>
        <v>METROPOLITANA</v>
      </c>
    </row>
    <row r="6470" spans="1:22" x14ac:dyDescent="0.2">
      <c r="A6470" s="23" t="s">
        <v>7867</v>
      </c>
      <c r="B6470" s="22" t="s">
        <v>33</v>
      </c>
      <c r="C6470" s="22" t="s">
        <v>128</v>
      </c>
      <c r="D6470" s="22" t="s">
        <v>2955</v>
      </c>
      <c r="E6470" s="24" t="s">
        <v>2956</v>
      </c>
      <c r="F6470" s="22" t="s">
        <v>129</v>
      </c>
      <c r="G6470" s="25">
        <v>7958.1000000000022</v>
      </c>
      <c r="H6470" s="22" t="s">
        <v>24</v>
      </c>
      <c r="I6470" s="22">
        <v>1</v>
      </c>
      <c r="J6470" s="22" t="s">
        <v>129</v>
      </c>
      <c r="K6470" s="22" t="s">
        <v>23</v>
      </c>
      <c r="L6470" s="22">
        <v>1</v>
      </c>
      <c r="M6470" s="26">
        <v>87539</v>
      </c>
      <c r="N6470" s="26">
        <v>0</v>
      </c>
      <c r="O6470" s="15">
        <f t="shared" si="552"/>
        <v>87539</v>
      </c>
      <c r="P6470" s="15">
        <f t="shared" si="551"/>
        <v>10.999987434186549</v>
      </c>
      <c r="Q6470" s="25">
        <v>5000</v>
      </c>
      <c r="R6470" s="22">
        <v>100</v>
      </c>
      <c r="S6470" s="22" t="s">
        <v>7877</v>
      </c>
      <c r="T6470" s="22">
        <f t="shared" si="548"/>
        <v>3</v>
      </c>
      <c r="U6470" s="22">
        <f t="shared" si="549"/>
        <v>2023</v>
      </c>
      <c r="V6470" s="22" t="str">
        <f t="shared" si="550"/>
        <v>METROPOLITANA</v>
      </c>
    </row>
    <row r="6471" spans="1:22" x14ac:dyDescent="0.2">
      <c r="A6471" s="23" t="s">
        <v>7867</v>
      </c>
      <c r="B6471" s="22" t="s">
        <v>33</v>
      </c>
      <c r="C6471" s="22" t="s">
        <v>29</v>
      </c>
      <c r="D6471" s="22" t="s">
        <v>38</v>
      </c>
      <c r="E6471" s="24" t="s">
        <v>42</v>
      </c>
      <c r="F6471" s="22" t="s">
        <v>39</v>
      </c>
      <c r="G6471" s="25">
        <f>7679+850</f>
        <v>8529</v>
      </c>
      <c r="H6471" s="22" t="s">
        <v>43</v>
      </c>
      <c r="I6471" s="22">
        <v>0</v>
      </c>
      <c r="J6471" s="22" t="s">
        <v>39</v>
      </c>
      <c r="K6471" s="22" t="s">
        <v>23</v>
      </c>
      <c r="L6471" s="22">
        <v>1</v>
      </c>
      <c r="M6471" s="26">
        <v>84469</v>
      </c>
      <c r="N6471" s="26">
        <v>0</v>
      </c>
      <c r="O6471" s="15">
        <f t="shared" si="552"/>
        <v>84469</v>
      </c>
      <c r="P6471" s="15">
        <f t="shared" si="551"/>
        <v>9.9037401805604404</v>
      </c>
      <c r="Q6471" s="25">
        <v>5000</v>
      </c>
      <c r="R6471" s="22">
        <v>100</v>
      </c>
      <c r="S6471" s="22" t="s">
        <v>7883</v>
      </c>
      <c r="T6471" s="22">
        <f t="shared" ref="T6471:T6534" si="553">MONTH(A6471)</f>
        <v>3</v>
      </c>
      <c r="U6471" s="22">
        <f t="shared" ref="U6471:U6534" si="554">YEAR(A6471)</f>
        <v>2023</v>
      </c>
      <c r="V6471" s="22" t="str">
        <f t="shared" ref="V6471:V6534" si="555">IF(K6471="METROPOLITANA DE SANTIAGO","METROPOLITANA","REGIONES")</f>
        <v>METROPOLITANA</v>
      </c>
    </row>
    <row r="6472" spans="1:22" x14ac:dyDescent="0.2">
      <c r="A6472" s="23" t="s">
        <v>7867</v>
      </c>
      <c r="B6472" s="22" t="s">
        <v>33</v>
      </c>
      <c r="C6472" s="22" t="s">
        <v>29</v>
      </c>
      <c r="D6472" s="22" t="s">
        <v>164</v>
      </c>
      <c r="E6472" s="24" t="s">
        <v>1576</v>
      </c>
      <c r="F6472" s="22" t="s">
        <v>39</v>
      </c>
      <c r="G6472" s="25">
        <v>14429.28</v>
      </c>
      <c r="H6472" s="22" t="s">
        <v>22</v>
      </c>
      <c r="I6472" s="22">
        <v>1</v>
      </c>
      <c r="J6472" s="22" t="s">
        <v>39</v>
      </c>
      <c r="K6472" s="22" t="s">
        <v>23</v>
      </c>
      <c r="L6472" s="22">
        <v>1</v>
      </c>
      <c r="M6472" s="26">
        <v>158722</v>
      </c>
      <c r="N6472" s="26">
        <v>0</v>
      </c>
      <c r="O6472" s="15">
        <f t="shared" si="552"/>
        <v>158722</v>
      </c>
      <c r="P6472" s="15">
        <f t="shared" si="551"/>
        <v>10.999994455717818</v>
      </c>
      <c r="Q6472" s="25">
        <v>5000</v>
      </c>
      <c r="R6472" s="22">
        <v>100</v>
      </c>
      <c r="S6472" s="22" t="s">
        <v>7878</v>
      </c>
      <c r="T6472" s="22">
        <f t="shared" si="553"/>
        <v>3</v>
      </c>
      <c r="U6472" s="22">
        <f t="shared" si="554"/>
        <v>2023</v>
      </c>
      <c r="V6472" s="22" t="str">
        <f t="shared" si="555"/>
        <v>METROPOLITANA</v>
      </c>
    </row>
    <row r="6473" spans="1:22" x14ac:dyDescent="0.2">
      <c r="A6473" s="23" t="s">
        <v>7867</v>
      </c>
      <c r="B6473" s="22" t="s">
        <v>33</v>
      </c>
      <c r="C6473" s="22" t="s">
        <v>44</v>
      </c>
      <c r="D6473" s="22" t="s">
        <v>37</v>
      </c>
      <c r="E6473" s="24" t="s">
        <v>40</v>
      </c>
      <c r="F6473" s="22" t="s">
        <v>48</v>
      </c>
      <c r="G6473" s="25">
        <v>2847</v>
      </c>
      <c r="H6473" s="22" t="s">
        <v>22</v>
      </c>
      <c r="I6473" s="22">
        <v>0</v>
      </c>
      <c r="J6473" s="22" t="s">
        <v>48</v>
      </c>
      <c r="K6473" s="22" t="s">
        <v>23</v>
      </c>
      <c r="L6473" s="22">
        <v>1</v>
      </c>
      <c r="M6473" s="26">
        <v>69173</v>
      </c>
      <c r="N6473" s="26">
        <v>0</v>
      </c>
      <c r="O6473" s="15">
        <f t="shared" si="552"/>
        <v>69173</v>
      </c>
      <c r="P6473" s="15">
        <f t="shared" si="551"/>
        <v>24.296803652968038</v>
      </c>
      <c r="Q6473" s="25">
        <v>5000</v>
      </c>
      <c r="R6473" s="22">
        <v>57</v>
      </c>
      <c r="S6473" s="22" t="s">
        <v>7879</v>
      </c>
      <c r="T6473" s="22">
        <f t="shared" si="553"/>
        <v>3</v>
      </c>
      <c r="U6473" s="22">
        <f t="shared" si="554"/>
        <v>2023</v>
      </c>
      <c r="V6473" s="22" t="str">
        <f t="shared" si="555"/>
        <v>METROPOLITANA</v>
      </c>
    </row>
    <row r="6474" spans="1:22" x14ac:dyDescent="0.2">
      <c r="A6474" s="23" t="s">
        <v>7867</v>
      </c>
      <c r="B6474" s="22" t="s">
        <v>33</v>
      </c>
      <c r="C6474" s="22" t="s">
        <v>44</v>
      </c>
      <c r="D6474" s="22" t="s">
        <v>7075</v>
      </c>
      <c r="E6474" s="24" t="s">
        <v>7076</v>
      </c>
      <c r="F6474" s="22" t="s">
        <v>3139</v>
      </c>
      <c r="G6474" s="25">
        <f>5993.14+4336</f>
        <v>10329.14</v>
      </c>
      <c r="H6474" s="22" t="s">
        <v>24</v>
      </c>
      <c r="I6474" s="22">
        <v>1</v>
      </c>
      <c r="J6474" s="22" t="s">
        <v>3139</v>
      </c>
      <c r="K6474" s="22" t="s">
        <v>93</v>
      </c>
      <c r="L6474" s="22">
        <v>0</v>
      </c>
      <c r="M6474" s="26">
        <v>583000</v>
      </c>
      <c r="N6474" s="26">
        <v>0</v>
      </c>
      <c r="O6474" s="15">
        <f t="shared" si="552"/>
        <v>583000</v>
      </c>
      <c r="P6474" s="15">
        <f t="shared" si="551"/>
        <v>56.442259471746922</v>
      </c>
      <c r="Q6474" s="25">
        <v>14000</v>
      </c>
      <c r="R6474" s="22">
        <v>74</v>
      </c>
      <c r="S6474" s="22" t="s">
        <v>7884</v>
      </c>
      <c r="T6474" s="22">
        <f t="shared" si="553"/>
        <v>3</v>
      </c>
      <c r="U6474" s="22">
        <f t="shared" si="554"/>
        <v>2023</v>
      </c>
      <c r="V6474" s="22" t="str">
        <f t="shared" si="555"/>
        <v>REGIONES</v>
      </c>
    </row>
    <row r="6475" spans="1:22" x14ac:dyDescent="0.2">
      <c r="A6475" s="23" t="s">
        <v>7867</v>
      </c>
      <c r="B6475" s="22" t="s">
        <v>33</v>
      </c>
      <c r="C6475" s="22" t="s">
        <v>44</v>
      </c>
      <c r="D6475" s="22" t="s">
        <v>45</v>
      </c>
      <c r="E6475" s="24" t="s">
        <v>49</v>
      </c>
      <c r="F6475" s="22" t="s">
        <v>95</v>
      </c>
      <c r="G6475" s="25">
        <f>2965.34+938</f>
        <v>3903.34</v>
      </c>
      <c r="H6475" s="22" t="s">
        <v>22</v>
      </c>
      <c r="I6475" s="22">
        <v>0</v>
      </c>
      <c r="J6475" s="22" t="s">
        <v>95</v>
      </c>
      <c r="K6475" s="22" t="s">
        <v>23</v>
      </c>
      <c r="L6475" s="22">
        <v>4</v>
      </c>
      <c r="M6475" s="26">
        <v>69173</v>
      </c>
      <c r="N6475" s="26">
        <v>0</v>
      </c>
      <c r="O6475" s="15">
        <f t="shared" si="552"/>
        <v>69173</v>
      </c>
      <c r="P6475" s="15">
        <f t="shared" si="551"/>
        <v>17.721489801042182</v>
      </c>
      <c r="Q6475" s="25">
        <v>5000</v>
      </c>
      <c r="R6475" s="22">
        <v>69</v>
      </c>
      <c r="S6475" s="22" t="s">
        <v>7885</v>
      </c>
      <c r="T6475" s="22">
        <f t="shared" si="553"/>
        <v>3</v>
      </c>
      <c r="U6475" s="22">
        <f t="shared" si="554"/>
        <v>2023</v>
      </c>
      <c r="V6475" s="22" t="str">
        <f t="shared" si="555"/>
        <v>METROPOLITANA</v>
      </c>
    </row>
    <row r="6476" spans="1:22" x14ac:dyDescent="0.2">
      <c r="A6476" s="23" t="s">
        <v>7867</v>
      </c>
      <c r="B6476" s="22" t="s">
        <v>33</v>
      </c>
      <c r="C6476" s="22" t="s">
        <v>44</v>
      </c>
      <c r="D6476" s="22" t="s">
        <v>41</v>
      </c>
      <c r="E6476" s="24" t="s">
        <v>25</v>
      </c>
      <c r="F6476" s="22" t="s">
        <v>554</v>
      </c>
      <c r="G6476" s="25">
        <v>2541.2599999999989</v>
      </c>
      <c r="H6476" s="22" t="s">
        <v>43</v>
      </c>
      <c r="I6476" s="22">
        <v>0</v>
      </c>
      <c r="J6476" s="22" t="s">
        <v>554</v>
      </c>
      <c r="K6476" s="22" t="s">
        <v>23</v>
      </c>
      <c r="L6476" s="22">
        <v>4</v>
      </c>
      <c r="M6476" s="26">
        <v>69173</v>
      </c>
      <c r="N6476" s="26">
        <v>0</v>
      </c>
      <c r="O6476" s="15">
        <f t="shared" si="552"/>
        <v>69173</v>
      </c>
      <c r="P6476" s="15">
        <f t="shared" si="551"/>
        <v>27.219961751257262</v>
      </c>
      <c r="Q6476" s="25">
        <v>5000</v>
      </c>
      <c r="R6476" s="22">
        <v>51</v>
      </c>
      <c r="S6476" s="22" t="s">
        <v>7880</v>
      </c>
      <c r="T6476" s="22">
        <f t="shared" si="553"/>
        <v>3</v>
      </c>
      <c r="U6476" s="22">
        <f t="shared" si="554"/>
        <v>2023</v>
      </c>
      <c r="V6476" s="22" t="str">
        <f t="shared" si="555"/>
        <v>METROPOLITANA</v>
      </c>
    </row>
    <row r="6477" spans="1:22" x14ac:dyDescent="0.2">
      <c r="A6477" s="23" t="s">
        <v>7867</v>
      </c>
      <c r="B6477" s="22" t="s">
        <v>33</v>
      </c>
      <c r="C6477" s="22" t="s">
        <v>44</v>
      </c>
      <c r="D6477" s="22" t="s">
        <v>20</v>
      </c>
      <c r="E6477" s="24" t="s">
        <v>7881</v>
      </c>
      <c r="F6477" s="22" t="s">
        <v>51</v>
      </c>
      <c r="G6477" s="25">
        <v>2451.8000000000002</v>
      </c>
      <c r="H6477" s="22" t="s">
        <v>22</v>
      </c>
      <c r="I6477" s="22">
        <v>0</v>
      </c>
      <c r="J6477" s="22" t="s">
        <v>51</v>
      </c>
      <c r="K6477" s="22" t="s">
        <v>23</v>
      </c>
      <c r="L6477" s="22">
        <v>4</v>
      </c>
      <c r="M6477" s="26">
        <v>69173</v>
      </c>
      <c r="N6477" s="26">
        <v>0</v>
      </c>
      <c r="O6477" s="15">
        <f t="shared" si="552"/>
        <v>69173</v>
      </c>
      <c r="P6477" s="15">
        <f t="shared" si="551"/>
        <v>28.213149522799572</v>
      </c>
      <c r="Q6477" s="25">
        <v>5000</v>
      </c>
      <c r="R6477" s="22">
        <v>49</v>
      </c>
      <c r="S6477" s="22" t="s">
        <v>7882</v>
      </c>
      <c r="T6477" s="22">
        <f t="shared" si="553"/>
        <v>3</v>
      </c>
      <c r="U6477" s="22">
        <f t="shared" si="554"/>
        <v>2023</v>
      </c>
      <c r="V6477" s="22" t="str">
        <f t="shared" si="555"/>
        <v>METROPOLITANA</v>
      </c>
    </row>
    <row r="6478" spans="1:22" x14ac:dyDescent="0.2">
      <c r="A6478" s="11" t="s">
        <v>7886</v>
      </c>
      <c r="B6478" s="12" t="s">
        <v>18</v>
      </c>
      <c r="C6478" s="12" t="s">
        <v>4331</v>
      </c>
      <c r="D6478" s="12" t="s">
        <v>30</v>
      </c>
      <c r="E6478" s="13" t="s">
        <v>31</v>
      </c>
      <c r="F6478" s="12" t="s">
        <v>161</v>
      </c>
      <c r="G6478" s="14">
        <v>9551.52</v>
      </c>
      <c r="H6478" s="12" t="s">
        <v>32</v>
      </c>
      <c r="I6478" s="12">
        <v>0</v>
      </c>
      <c r="J6478" s="12" t="s">
        <v>161</v>
      </c>
      <c r="K6478" s="12" t="s">
        <v>23</v>
      </c>
      <c r="L6478" s="12">
        <v>5</v>
      </c>
      <c r="M6478" s="15">
        <v>87500</v>
      </c>
      <c r="N6478" s="15">
        <v>0</v>
      </c>
      <c r="O6478" s="15">
        <f t="shared" si="552"/>
        <v>87500</v>
      </c>
      <c r="P6478" s="15">
        <f t="shared" si="551"/>
        <v>9.1608456036316728</v>
      </c>
      <c r="Q6478" s="14">
        <v>10000</v>
      </c>
      <c r="R6478" s="12">
        <v>96</v>
      </c>
      <c r="S6478" s="12" t="s">
        <v>7887</v>
      </c>
      <c r="T6478" s="22">
        <f t="shared" si="553"/>
        <v>3</v>
      </c>
      <c r="U6478" s="22">
        <f t="shared" si="554"/>
        <v>2023</v>
      </c>
      <c r="V6478" s="22" t="str">
        <f t="shared" si="555"/>
        <v>METROPOLITANA</v>
      </c>
    </row>
    <row r="6479" spans="1:22" x14ac:dyDescent="0.2">
      <c r="A6479" s="11" t="s">
        <v>7886</v>
      </c>
      <c r="B6479" s="12" t="s">
        <v>33</v>
      </c>
      <c r="C6479" s="12" t="s">
        <v>128</v>
      </c>
      <c r="D6479" s="12" t="s">
        <v>5478</v>
      </c>
      <c r="E6479" s="13" t="s">
        <v>83</v>
      </c>
      <c r="F6479" s="12" t="s">
        <v>84</v>
      </c>
      <c r="G6479" s="14">
        <f>14121.94+4251</f>
        <v>18372.940000000002</v>
      </c>
      <c r="H6479" s="12" t="s">
        <v>24</v>
      </c>
      <c r="I6479" s="12">
        <v>1</v>
      </c>
      <c r="J6479" s="12" t="s">
        <v>84</v>
      </c>
      <c r="K6479" s="12" t="s">
        <v>86</v>
      </c>
      <c r="L6479" s="12">
        <v>0</v>
      </c>
      <c r="M6479" s="15">
        <v>402000</v>
      </c>
      <c r="N6479" s="15">
        <v>0</v>
      </c>
      <c r="O6479" s="15">
        <f t="shared" si="552"/>
        <v>402000</v>
      </c>
      <c r="P6479" s="15">
        <f t="shared" si="551"/>
        <v>21.880003962348972</v>
      </c>
      <c r="Q6479" s="14">
        <v>14000</v>
      </c>
      <c r="R6479" s="12">
        <v>100</v>
      </c>
      <c r="S6479" s="12" t="s">
        <v>7893</v>
      </c>
      <c r="T6479" s="22">
        <f t="shared" si="553"/>
        <v>3</v>
      </c>
      <c r="U6479" s="22">
        <f t="shared" si="554"/>
        <v>2023</v>
      </c>
      <c r="V6479" s="22" t="str">
        <f t="shared" si="555"/>
        <v>REGIONES</v>
      </c>
    </row>
    <row r="6480" spans="1:22" x14ac:dyDescent="0.2">
      <c r="A6480" s="11" t="s">
        <v>7886</v>
      </c>
      <c r="B6480" s="12" t="s">
        <v>33</v>
      </c>
      <c r="C6480" s="12" t="s">
        <v>128</v>
      </c>
      <c r="D6480" s="12" t="s">
        <v>786</v>
      </c>
      <c r="E6480" s="13" t="s">
        <v>1891</v>
      </c>
      <c r="F6480" s="12" t="s">
        <v>129</v>
      </c>
      <c r="G6480" s="14">
        <v>10249.200000000001</v>
      </c>
      <c r="H6480" s="12" t="s">
        <v>788</v>
      </c>
      <c r="I6480" s="12">
        <v>1</v>
      </c>
      <c r="J6480" s="12" t="s">
        <v>129</v>
      </c>
      <c r="K6480" s="12" t="s">
        <v>23</v>
      </c>
      <c r="L6480" s="12">
        <v>1</v>
      </c>
      <c r="M6480" s="15">
        <v>112741</v>
      </c>
      <c r="N6480" s="15">
        <v>0</v>
      </c>
      <c r="O6480" s="15">
        <f t="shared" si="552"/>
        <v>112741</v>
      </c>
      <c r="P6480" s="15">
        <f t="shared" si="551"/>
        <v>10.999980486281855</v>
      </c>
      <c r="Q6480" s="14">
        <v>5000</v>
      </c>
      <c r="R6480" s="12">
        <v>100</v>
      </c>
      <c r="S6480" s="12" t="s">
        <v>7888</v>
      </c>
      <c r="T6480" s="22">
        <f t="shared" si="553"/>
        <v>3</v>
      </c>
      <c r="U6480" s="22">
        <f t="shared" si="554"/>
        <v>2023</v>
      </c>
      <c r="V6480" s="22" t="str">
        <f t="shared" si="555"/>
        <v>METROPOLITANA</v>
      </c>
    </row>
    <row r="6481" spans="1:22" x14ac:dyDescent="0.2">
      <c r="A6481" s="11" t="s">
        <v>7886</v>
      </c>
      <c r="B6481" s="12" t="s">
        <v>33</v>
      </c>
      <c r="C6481" s="12" t="s">
        <v>29</v>
      </c>
      <c r="D6481" s="12" t="s">
        <v>20</v>
      </c>
      <c r="E6481" s="13" t="s">
        <v>21</v>
      </c>
      <c r="F6481" s="12" t="s">
        <v>173</v>
      </c>
      <c r="G6481" s="14">
        <v>3439.8</v>
      </c>
      <c r="H6481" s="12" t="s">
        <v>22</v>
      </c>
      <c r="I6481" s="12">
        <v>0</v>
      </c>
      <c r="J6481" s="12" t="s">
        <v>173</v>
      </c>
      <c r="K6481" s="12" t="s">
        <v>23</v>
      </c>
      <c r="L6481" s="12">
        <v>5</v>
      </c>
      <c r="M6481" s="15">
        <v>112500</v>
      </c>
      <c r="N6481" s="15">
        <v>0</v>
      </c>
      <c r="O6481" s="15">
        <f t="shared" si="552"/>
        <v>112500</v>
      </c>
      <c r="P6481" s="15">
        <f t="shared" si="551"/>
        <v>32.705389848246988</v>
      </c>
      <c r="Q6481" s="14">
        <v>10000</v>
      </c>
      <c r="R6481" s="12">
        <v>34</v>
      </c>
      <c r="S6481" s="12" t="s">
        <v>7889</v>
      </c>
      <c r="T6481" s="22">
        <f t="shared" si="553"/>
        <v>3</v>
      </c>
      <c r="U6481" s="22">
        <f t="shared" si="554"/>
        <v>2023</v>
      </c>
      <c r="V6481" s="22" t="str">
        <f t="shared" si="555"/>
        <v>METROPOLITANA</v>
      </c>
    </row>
    <row r="6482" spans="1:22" x14ac:dyDescent="0.2">
      <c r="A6482" s="11" t="s">
        <v>7886</v>
      </c>
      <c r="B6482" s="12" t="s">
        <v>33</v>
      </c>
      <c r="C6482" s="12" t="s">
        <v>44</v>
      </c>
      <c r="D6482" s="12" t="s">
        <v>7711</v>
      </c>
      <c r="E6482" s="13" t="s">
        <v>7712</v>
      </c>
      <c r="F6482" s="12" t="s">
        <v>1105</v>
      </c>
      <c r="G6482" s="14">
        <v>5335.06</v>
      </c>
      <c r="H6482" s="12" t="s">
        <v>24</v>
      </c>
      <c r="I6482" s="12">
        <v>1</v>
      </c>
      <c r="J6482" s="12" t="s">
        <v>1105</v>
      </c>
      <c r="K6482" s="12" t="s">
        <v>873</v>
      </c>
      <c r="L6482" s="12">
        <v>0</v>
      </c>
      <c r="M6482" s="15">
        <v>1131000</v>
      </c>
      <c r="N6482" s="15">
        <v>0</v>
      </c>
      <c r="O6482" s="15">
        <f t="shared" si="552"/>
        <v>1131000</v>
      </c>
      <c r="P6482" s="15">
        <f t="shared" si="551"/>
        <v>211.99386698556341</v>
      </c>
      <c r="Q6482" s="14">
        <v>14000</v>
      </c>
      <c r="R6482" s="12">
        <v>38</v>
      </c>
      <c r="S6482" s="12" t="s">
        <v>7890</v>
      </c>
      <c r="T6482" s="22">
        <f t="shared" si="553"/>
        <v>3</v>
      </c>
      <c r="U6482" s="22">
        <f t="shared" si="554"/>
        <v>2023</v>
      </c>
      <c r="V6482" s="22" t="str">
        <f t="shared" si="555"/>
        <v>REGIONES</v>
      </c>
    </row>
    <row r="6483" spans="1:22" x14ac:dyDescent="0.2">
      <c r="A6483" s="11" t="s">
        <v>7886</v>
      </c>
      <c r="B6483" s="12" t="s">
        <v>33</v>
      </c>
      <c r="C6483" s="12" t="s">
        <v>44</v>
      </c>
      <c r="D6483" s="12" t="s">
        <v>45</v>
      </c>
      <c r="E6483" s="13" t="s">
        <v>49</v>
      </c>
      <c r="F6483" s="12" t="s">
        <v>67</v>
      </c>
      <c r="G6483" s="14">
        <v>2828.47</v>
      </c>
      <c r="H6483" s="12" t="s">
        <v>22</v>
      </c>
      <c r="I6483" s="12">
        <v>0</v>
      </c>
      <c r="J6483" s="12" t="s">
        <v>67</v>
      </c>
      <c r="K6483" s="12" t="s">
        <v>23</v>
      </c>
      <c r="L6483" s="12">
        <v>2</v>
      </c>
      <c r="M6483" s="15">
        <v>69173</v>
      </c>
      <c r="N6483" s="15">
        <v>0</v>
      </c>
      <c r="O6483" s="15">
        <f t="shared" si="552"/>
        <v>69173</v>
      </c>
      <c r="P6483" s="15">
        <f t="shared" si="551"/>
        <v>24.455977966886692</v>
      </c>
      <c r="Q6483" s="14">
        <v>5000</v>
      </c>
      <c r="R6483" s="12">
        <v>57</v>
      </c>
      <c r="S6483" s="12" t="s">
        <v>7891</v>
      </c>
      <c r="T6483" s="22">
        <f t="shared" si="553"/>
        <v>3</v>
      </c>
      <c r="U6483" s="22">
        <f t="shared" si="554"/>
        <v>2023</v>
      </c>
      <c r="V6483" s="22" t="str">
        <f t="shared" si="555"/>
        <v>METROPOLITANA</v>
      </c>
    </row>
    <row r="6484" spans="1:22" x14ac:dyDescent="0.2">
      <c r="A6484" s="11" t="s">
        <v>7886</v>
      </c>
      <c r="B6484" s="12" t="s">
        <v>33</v>
      </c>
      <c r="C6484" s="12" t="s">
        <v>4802</v>
      </c>
      <c r="D6484" s="12" t="s">
        <v>2825</v>
      </c>
      <c r="E6484" s="13" t="s">
        <v>639</v>
      </c>
      <c r="F6484" s="12" t="s">
        <v>815</v>
      </c>
      <c r="G6484" s="14">
        <v>17004.000000000011</v>
      </c>
      <c r="H6484" s="12" t="s">
        <v>24</v>
      </c>
      <c r="I6484" s="12">
        <v>1</v>
      </c>
      <c r="J6484" s="12" t="s">
        <v>815</v>
      </c>
      <c r="K6484" s="12" t="s">
        <v>75</v>
      </c>
      <c r="L6484" s="12">
        <v>0</v>
      </c>
      <c r="M6484" s="15">
        <v>528000</v>
      </c>
      <c r="N6484" s="15">
        <v>0</v>
      </c>
      <c r="O6484" s="15">
        <f t="shared" si="552"/>
        <v>528000</v>
      </c>
      <c r="P6484" s="15">
        <f t="shared" si="551"/>
        <v>31.051517290049379</v>
      </c>
      <c r="Q6484" s="14">
        <v>14000</v>
      </c>
      <c r="R6484" s="12">
        <v>100</v>
      </c>
      <c r="S6484" s="12" t="s">
        <v>7892</v>
      </c>
      <c r="T6484" s="22">
        <f t="shared" si="553"/>
        <v>3</v>
      </c>
      <c r="U6484" s="22">
        <f t="shared" si="554"/>
        <v>2023</v>
      </c>
      <c r="V6484" s="22" t="str">
        <f t="shared" si="555"/>
        <v>REGIONES</v>
      </c>
    </row>
    <row r="6485" spans="1:22" x14ac:dyDescent="0.2">
      <c r="A6485" s="23" t="s">
        <v>7894</v>
      </c>
      <c r="B6485" s="22" t="s">
        <v>18</v>
      </c>
      <c r="C6485" s="22" t="s">
        <v>19</v>
      </c>
      <c r="D6485" s="22" t="s">
        <v>1869</v>
      </c>
      <c r="E6485" s="24" t="s">
        <v>1870</v>
      </c>
      <c r="F6485" s="22" t="s">
        <v>92</v>
      </c>
      <c r="G6485" s="25">
        <v>23037.999999999989</v>
      </c>
      <c r="H6485" s="22" t="s">
        <v>24</v>
      </c>
      <c r="I6485" s="22">
        <v>1</v>
      </c>
      <c r="J6485" s="22" t="s">
        <v>92</v>
      </c>
      <c r="K6485" s="22" t="s">
        <v>93</v>
      </c>
      <c r="L6485" s="22">
        <v>0</v>
      </c>
      <c r="M6485" s="26">
        <v>779000</v>
      </c>
      <c r="N6485" s="26">
        <v>0</v>
      </c>
      <c r="O6485" s="15">
        <f t="shared" si="552"/>
        <v>779000</v>
      </c>
      <c r="P6485" s="15">
        <f t="shared" si="551"/>
        <v>33.813699105825172</v>
      </c>
      <c r="Q6485" s="25">
        <v>14000</v>
      </c>
      <c r="R6485" s="22">
        <v>100</v>
      </c>
      <c r="S6485" s="22" t="s">
        <v>7895</v>
      </c>
      <c r="T6485" s="22">
        <f t="shared" si="553"/>
        <v>3</v>
      </c>
      <c r="U6485" s="22">
        <f t="shared" si="554"/>
        <v>2023</v>
      </c>
      <c r="V6485" s="22" t="str">
        <f t="shared" si="555"/>
        <v>REGIONES</v>
      </c>
    </row>
    <row r="6486" spans="1:22" x14ac:dyDescent="0.2">
      <c r="A6486" s="23" t="s">
        <v>7894</v>
      </c>
      <c r="B6486" s="22" t="s">
        <v>18</v>
      </c>
      <c r="C6486" s="22" t="s">
        <v>4331</v>
      </c>
      <c r="D6486" s="22" t="s">
        <v>38</v>
      </c>
      <c r="E6486" s="24" t="s">
        <v>42</v>
      </c>
      <c r="F6486" s="22" t="s">
        <v>161</v>
      </c>
      <c r="G6486" s="25">
        <v>11375.1</v>
      </c>
      <c r="H6486" s="22" t="s">
        <v>43</v>
      </c>
      <c r="I6486" s="22">
        <v>0</v>
      </c>
      <c r="J6486" s="22" t="s">
        <v>161</v>
      </c>
      <c r="K6486" s="22" t="s">
        <v>23</v>
      </c>
      <c r="L6486" s="22">
        <v>5</v>
      </c>
      <c r="M6486" s="26">
        <v>87500</v>
      </c>
      <c r="N6486" s="26">
        <v>0</v>
      </c>
      <c r="O6486" s="15">
        <f t="shared" si="552"/>
        <v>87500</v>
      </c>
      <c r="P6486" s="15">
        <f t="shared" si="551"/>
        <v>7.6922400682191805</v>
      </c>
      <c r="Q6486" s="25">
        <v>10000</v>
      </c>
      <c r="R6486" s="22">
        <v>100</v>
      </c>
      <c r="S6486" s="22" t="s">
        <v>7896</v>
      </c>
      <c r="T6486" s="22">
        <f t="shared" si="553"/>
        <v>3</v>
      </c>
      <c r="U6486" s="22">
        <f t="shared" si="554"/>
        <v>2023</v>
      </c>
      <c r="V6486" s="22" t="str">
        <f t="shared" si="555"/>
        <v>METROPOLITANA</v>
      </c>
    </row>
    <row r="6487" spans="1:22" x14ac:dyDescent="0.2">
      <c r="A6487" s="23" t="s">
        <v>7894</v>
      </c>
      <c r="B6487" s="22" t="s">
        <v>18</v>
      </c>
      <c r="C6487" s="22" t="s">
        <v>4331</v>
      </c>
      <c r="D6487" s="22" t="s">
        <v>30</v>
      </c>
      <c r="E6487" s="24" t="s">
        <v>31</v>
      </c>
      <c r="F6487" s="22" t="s">
        <v>161</v>
      </c>
      <c r="G6487" s="25">
        <v>7210.71</v>
      </c>
      <c r="H6487" s="22" t="s">
        <v>32</v>
      </c>
      <c r="I6487" s="22">
        <v>0</v>
      </c>
      <c r="J6487" s="22" t="s">
        <v>161</v>
      </c>
      <c r="K6487" s="22" t="s">
        <v>23</v>
      </c>
      <c r="L6487" s="22">
        <v>5</v>
      </c>
      <c r="M6487" s="26">
        <v>87500</v>
      </c>
      <c r="N6487" s="26">
        <v>0</v>
      </c>
      <c r="O6487" s="15">
        <f t="shared" si="552"/>
        <v>87500</v>
      </c>
      <c r="P6487" s="15">
        <f t="shared" si="551"/>
        <v>12.134727370813692</v>
      </c>
      <c r="Q6487" s="25">
        <v>10000</v>
      </c>
      <c r="R6487" s="22">
        <v>72</v>
      </c>
      <c r="S6487" s="22" t="s">
        <v>7897</v>
      </c>
      <c r="T6487" s="22">
        <f t="shared" si="553"/>
        <v>3</v>
      </c>
      <c r="U6487" s="22">
        <f t="shared" si="554"/>
        <v>2023</v>
      </c>
      <c r="V6487" s="22" t="str">
        <f t="shared" si="555"/>
        <v>METROPOLITANA</v>
      </c>
    </row>
    <row r="6488" spans="1:22" x14ac:dyDescent="0.2">
      <c r="A6488" s="23" t="s">
        <v>7894</v>
      </c>
      <c r="B6488" s="22" t="s">
        <v>33</v>
      </c>
      <c r="C6488" s="22" t="s">
        <v>60</v>
      </c>
      <c r="D6488" s="22" t="s">
        <v>2251</v>
      </c>
      <c r="E6488" s="24" t="s">
        <v>2376</v>
      </c>
      <c r="F6488" s="22" t="s">
        <v>51</v>
      </c>
      <c r="G6488" s="25">
        <v>10452</v>
      </c>
      <c r="H6488" s="22" t="s">
        <v>24</v>
      </c>
      <c r="I6488" s="22">
        <v>1</v>
      </c>
      <c r="J6488" s="22" t="s">
        <v>51</v>
      </c>
      <c r="K6488" s="22" t="s">
        <v>23</v>
      </c>
      <c r="L6488" s="22">
        <v>4</v>
      </c>
      <c r="M6488" s="26">
        <v>114972</v>
      </c>
      <c r="N6488" s="26">
        <v>0</v>
      </c>
      <c r="O6488" s="15">
        <f t="shared" si="552"/>
        <v>114972</v>
      </c>
      <c r="P6488" s="15">
        <f t="shared" si="551"/>
        <v>11</v>
      </c>
      <c r="Q6488" s="25">
        <v>5000</v>
      </c>
      <c r="R6488" s="22">
        <v>100</v>
      </c>
      <c r="S6488" s="22" t="s">
        <v>7898</v>
      </c>
      <c r="T6488" s="22">
        <f t="shared" si="553"/>
        <v>3</v>
      </c>
      <c r="U6488" s="22">
        <f t="shared" si="554"/>
        <v>2023</v>
      </c>
      <c r="V6488" s="22" t="str">
        <f t="shared" si="555"/>
        <v>METROPOLITANA</v>
      </c>
    </row>
    <row r="6489" spans="1:22" x14ac:dyDescent="0.2">
      <c r="A6489" s="23" t="s">
        <v>7894</v>
      </c>
      <c r="B6489" s="22" t="s">
        <v>33</v>
      </c>
      <c r="C6489" s="22" t="s">
        <v>417</v>
      </c>
      <c r="D6489" s="22" t="s">
        <v>37</v>
      </c>
      <c r="E6489" s="24" t="s">
        <v>40</v>
      </c>
      <c r="F6489" s="22" t="s">
        <v>418</v>
      </c>
      <c r="G6489" s="25">
        <v>6577.2000000000025</v>
      </c>
      <c r="H6489" s="22" t="s">
        <v>22</v>
      </c>
      <c r="I6489" s="22">
        <v>0</v>
      </c>
      <c r="J6489" s="22" t="s">
        <v>418</v>
      </c>
      <c r="K6489" s="22" t="s">
        <v>171</v>
      </c>
      <c r="L6489" s="22">
        <v>0</v>
      </c>
      <c r="M6489" s="26">
        <v>280000</v>
      </c>
      <c r="N6489" s="26">
        <v>0</v>
      </c>
      <c r="O6489" s="15">
        <f t="shared" si="552"/>
        <v>280000</v>
      </c>
      <c r="P6489" s="15">
        <f t="shared" si="551"/>
        <v>42.571306939123012</v>
      </c>
      <c r="Q6489" s="25">
        <v>14000</v>
      </c>
      <c r="R6489" s="22">
        <v>47</v>
      </c>
      <c r="S6489" s="22" t="s">
        <v>7899</v>
      </c>
      <c r="T6489" s="22">
        <f t="shared" si="553"/>
        <v>3</v>
      </c>
      <c r="U6489" s="22">
        <f t="shared" si="554"/>
        <v>2023</v>
      </c>
      <c r="V6489" s="22" t="str">
        <f t="shared" si="555"/>
        <v>REGIONES</v>
      </c>
    </row>
    <row r="6490" spans="1:22" x14ac:dyDescent="0.2">
      <c r="A6490" s="23" t="s">
        <v>7894</v>
      </c>
      <c r="B6490" s="22" t="s">
        <v>33</v>
      </c>
      <c r="C6490" s="22" t="s">
        <v>417</v>
      </c>
      <c r="D6490" s="22" t="s">
        <v>786</v>
      </c>
      <c r="E6490" s="24" t="s">
        <v>787</v>
      </c>
      <c r="F6490" s="22" t="s">
        <v>418</v>
      </c>
      <c r="G6490" s="25">
        <v>13903.06</v>
      </c>
      <c r="H6490" s="22" t="s">
        <v>788</v>
      </c>
      <c r="I6490" s="22">
        <v>1</v>
      </c>
      <c r="J6490" s="22" t="s">
        <v>418</v>
      </c>
      <c r="K6490" s="22" t="s">
        <v>171</v>
      </c>
      <c r="L6490" s="22">
        <v>0</v>
      </c>
      <c r="M6490" s="26">
        <v>280000</v>
      </c>
      <c r="N6490" s="26">
        <v>0</v>
      </c>
      <c r="O6490" s="15">
        <f t="shared" si="552"/>
        <v>280000</v>
      </c>
      <c r="P6490" s="15">
        <f t="shared" si="551"/>
        <v>20.139451315034243</v>
      </c>
      <c r="Q6490" s="25">
        <v>14000</v>
      </c>
      <c r="R6490" s="22">
        <v>99</v>
      </c>
      <c r="S6490" s="22" t="s">
        <v>7900</v>
      </c>
      <c r="T6490" s="22">
        <f t="shared" si="553"/>
        <v>3</v>
      </c>
      <c r="U6490" s="22">
        <f t="shared" si="554"/>
        <v>2023</v>
      </c>
      <c r="V6490" s="22" t="str">
        <f t="shared" si="555"/>
        <v>REGIONES</v>
      </c>
    </row>
    <row r="6491" spans="1:22" x14ac:dyDescent="0.2">
      <c r="A6491" s="23" t="s">
        <v>7894</v>
      </c>
      <c r="B6491" s="22" t="s">
        <v>33</v>
      </c>
      <c r="C6491" s="22" t="s">
        <v>909</v>
      </c>
      <c r="D6491" s="22" t="s">
        <v>2955</v>
      </c>
      <c r="E6491" s="24" t="s">
        <v>2956</v>
      </c>
      <c r="F6491" s="22" t="s">
        <v>910</v>
      </c>
      <c r="G6491" s="25">
        <v>18813.21999999999</v>
      </c>
      <c r="H6491" s="22" t="s">
        <v>24</v>
      </c>
      <c r="I6491" s="22">
        <v>1</v>
      </c>
      <c r="J6491" s="22" t="s">
        <v>910</v>
      </c>
      <c r="K6491" s="22" t="s">
        <v>171</v>
      </c>
      <c r="L6491" s="22">
        <v>0</v>
      </c>
      <c r="M6491" s="26">
        <v>290000</v>
      </c>
      <c r="N6491" s="26">
        <v>0</v>
      </c>
      <c r="O6491" s="15">
        <f t="shared" si="552"/>
        <v>290000</v>
      </c>
      <c r="P6491" s="15">
        <f t="shared" si="551"/>
        <v>15.414692434362653</v>
      </c>
      <c r="Q6491" s="25">
        <v>14000</v>
      </c>
      <c r="R6491" s="22">
        <v>100</v>
      </c>
      <c r="S6491" s="22" t="s">
        <v>7901</v>
      </c>
      <c r="T6491" s="22">
        <f t="shared" si="553"/>
        <v>3</v>
      </c>
      <c r="U6491" s="22">
        <f t="shared" si="554"/>
        <v>2023</v>
      </c>
      <c r="V6491" s="22" t="str">
        <f t="shared" si="555"/>
        <v>REGIONES</v>
      </c>
    </row>
    <row r="6492" spans="1:22" x14ac:dyDescent="0.2">
      <c r="A6492" s="23" t="s">
        <v>7894</v>
      </c>
      <c r="B6492" s="22" t="s">
        <v>33</v>
      </c>
      <c r="C6492" s="22" t="s">
        <v>2862</v>
      </c>
      <c r="D6492" s="22" t="s">
        <v>164</v>
      </c>
      <c r="E6492" s="24" t="s">
        <v>1576</v>
      </c>
      <c r="F6492" s="22" t="s">
        <v>129</v>
      </c>
      <c r="G6492" s="25">
        <v>19510.400000000001</v>
      </c>
      <c r="H6492" s="22" t="s">
        <v>22</v>
      </c>
      <c r="I6492" s="22">
        <v>1</v>
      </c>
      <c r="J6492" s="22" t="s">
        <v>129</v>
      </c>
      <c r="K6492" s="22" t="s">
        <v>23</v>
      </c>
      <c r="L6492" s="22">
        <v>1</v>
      </c>
      <c r="M6492" s="26">
        <v>214614</v>
      </c>
      <c r="N6492" s="26">
        <v>0</v>
      </c>
      <c r="O6492" s="15">
        <f t="shared" si="552"/>
        <v>214614</v>
      </c>
      <c r="P6492" s="15">
        <f t="shared" si="551"/>
        <v>10.999979498113825</v>
      </c>
      <c r="Q6492" s="25">
        <v>5000</v>
      </c>
      <c r="R6492" s="22">
        <v>100</v>
      </c>
      <c r="S6492" s="22" t="s">
        <v>7902</v>
      </c>
      <c r="T6492" s="22">
        <f t="shared" si="553"/>
        <v>3</v>
      </c>
      <c r="U6492" s="22">
        <f t="shared" si="554"/>
        <v>2023</v>
      </c>
      <c r="V6492" s="22" t="str">
        <f t="shared" si="555"/>
        <v>METROPOLITANA</v>
      </c>
    </row>
    <row r="6493" spans="1:22" x14ac:dyDescent="0.2">
      <c r="A6493" s="23" t="s">
        <v>7894</v>
      </c>
      <c r="B6493" s="22" t="s">
        <v>33</v>
      </c>
      <c r="C6493" s="22" t="s">
        <v>29</v>
      </c>
      <c r="D6493" s="22" t="s">
        <v>6989</v>
      </c>
      <c r="E6493" s="24" t="s">
        <v>7793</v>
      </c>
      <c r="F6493" s="22" t="s">
        <v>132</v>
      </c>
      <c r="G6493" s="25">
        <v>11874</v>
      </c>
      <c r="H6493" s="22" t="s">
        <v>24</v>
      </c>
      <c r="I6493" s="22">
        <v>1</v>
      </c>
      <c r="J6493" s="22" t="s">
        <v>132</v>
      </c>
      <c r="K6493" s="22" t="s">
        <v>124</v>
      </c>
      <c r="L6493" s="22">
        <v>0</v>
      </c>
      <c r="M6493" s="26">
        <v>440000</v>
      </c>
      <c r="N6493" s="26">
        <v>0</v>
      </c>
      <c r="O6493" s="15">
        <f t="shared" si="552"/>
        <v>440000</v>
      </c>
      <c r="P6493" s="15">
        <f t="shared" ref="P6493:P6556" si="556">O6493/G6493</f>
        <v>37.055752063331646</v>
      </c>
      <c r="Q6493" s="25">
        <v>14000</v>
      </c>
      <c r="R6493" s="22">
        <v>85</v>
      </c>
      <c r="S6493" s="22" t="s">
        <v>7903</v>
      </c>
      <c r="T6493" s="22">
        <f t="shared" si="553"/>
        <v>3</v>
      </c>
      <c r="U6493" s="22">
        <f t="shared" si="554"/>
        <v>2023</v>
      </c>
      <c r="V6493" s="22" t="str">
        <f t="shared" si="555"/>
        <v>REGIONES</v>
      </c>
    </row>
    <row r="6494" spans="1:22" x14ac:dyDescent="0.2">
      <c r="A6494" s="23" t="s">
        <v>7894</v>
      </c>
      <c r="B6494" s="22" t="s">
        <v>33</v>
      </c>
      <c r="C6494" s="22" t="s">
        <v>29</v>
      </c>
      <c r="D6494" s="22" t="s">
        <v>7086</v>
      </c>
      <c r="E6494" s="24" t="s">
        <v>7904</v>
      </c>
      <c r="F6494" s="22" t="s">
        <v>114</v>
      </c>
      <c r="G6494" s="25">
        <v>14629.8</v>
      </c>
      <c r="H6494" s="22" t="s">
        <v>24</v>
      </c>
      <c r="I6494" s="22">
        <v>1</v>
      </c>
      <c r="J6494" s="22" t="s">
        <v>114</v>
      </c>
      <c r="K6494" s="22" t="s">
        <v>75</v>
      </c>
      <c r="L6494" s="22">
        <v>0</v>
      </c>
      <c r="M6494" s="26">
        <v>528000</v>
      </c>
      <c r="N6494" s="26">
        <v>0</v>
      </c>
      <c r="O6494" s="15">
        <f t="shared" si="552"/>
        <v>528000</v>
      </c>
      <c r="P6494" s="15">
        <f t="shared" si="556"/>
        <v>36.090718943526227</v>
      </c>
      <c r="Q6494" s="25">
        <v>14000</v>
      </c>
      <c r="R6494" s="22">
        <v>100</v>
      </c>
      <c r="S6494" s="22" t="s">
        <v>7905</v>
      </c>
      <c r="T6494" s="22">
        <f t="shared" si="553"/>
        <v>3</v>
      </c>
      <c r="U6494" s="22">
        <f t="shared" si="554"/>
        <v>2023</v>
      </c>
      <c r="V6494" s="22" t="str">
        <f t="shared" si="555"/>
        <v>REGIONES</v>
      </c>
    </row>
    <row r="6495" spans="1:22" x14ac:dyDescent="0.2">
      <c r="A6495" s="23" t="s">
        <v>7894</v>
      </c>
      <c r="B6495" s="22" t="s">
        <v>33</v>
      </c>
      <c r="C6495" s="22" t="s">
        <v>29</v>
      </c>
      <c r="D6495" s="22" t="s">
        <v>164</v>
      </c>
      <c r="E6495" s="24" t="s">
        <v>1576</v>
      </c>
      <c r="F6495" s="22" t="s">
        <v>39</v>
      </c>
      <c r="G6495" s="25">
        <v>17972.12000000001</v>
      </c>
      <c r="H6495" s="22" t="s">
        <v>22</v>
      </c>
      <c r="I6495" s="22">
        <v>1</v>
      </c>
      <c r="J6495" s="22" t="s">
        <v>39</v>
      </c>
      <c r="K6495" s="22" t="s">
        <v>23</v>
      </c>
      <c r="L6495" s="22">
        <v>1</v>
      </c>
      <c r="M6495" s="26">
        <v>197693</v>
      </c>
      <c r="N6495" s="26">
        <v>0</v>
      </c>
      <c r="O6495" s="15">
        <f t="shared" si="552"/>
        <v>197693</v>
      </c>
      <c r="P6495" s="15">
        <f t="shared" si="556"/>
        <v>10.999982194643698</v>
      </c>
      <c r="Q6495" s="25">
        <v>5000</v>
      </c>
      <c r="R6495" s="22">
        <v>100</v>
      </c>
      <c r="S6495" s="22" t="s">
        <v>7906</v>
      </c>
      <c r="T6495" s="22">
        <f t="shared" si="553"/>
        <v>3</v>
      </c>
      <c r="U6495" s="22">
        <f t="shared" si="554"/>
        <v>2023</v>
      </c>
      <c r="V6495" s="22" t="str">
        <f t="shared" si="555"/>
        <v>METROPOLITANA</v>
      </c>
    </row>
    <row r="6496" spans="1:22" x14ac:dyDescent="0.2">
      <c r="A6496" s="23" t="s">
        <v>7894</v>
      </c>
      <c r="B6496" s="22" t="s">
        <v>33</v>
      </c>
      <c r="C6496" s="22" t="s">
        <v>29</v>
      </c>
      <c r="D6496" s="22" t="s">
        <v>20</v>
      </c>
      <c r="E6496" s="24" t="s">
        <v>21</v>
      </c>
      <c r="F6496" s="22" t="s">
        <v>39</v>
      </c>
      <c r="G6496" s="25">
        <v>7757.35</v>
      </c>
      <c r="H6496" s="22" t="s">
        <v>22</v>
      </c>
      <c r="I6496" s="22">
        <v>0</v>
      </c>
      <c r="J6496" s="22" t="s">
        <v>39</v>
      </c>
      <c r="K6496" s="22" t="s">
        <v>23</v>
      </c>
      <c r="L6496" s="22">
        <v>1</v>
      </c>
      <c r="M6496" s="26">
        <v>85331</v>
      </c>
      <c r="N6496" s="26">
        <v>0</v>
      </c>
      <c r="O6496" s="15">
        <f t="shared" si="552"/>
        <v>85331</v>
      </c>
      <c r="P6496" s="15">
        <f t="shared" si="556"/>
        <v>11.000019336500221</v>
      </c>
      <c r="Q6496" s="25">
        <v>5000</v>
      </c>
      <c r="R6496" s="22">
        <v>100</v>
      </c>
      <c r="S6496" s="22" t="s">
        <v>7907</v>
      </c>
      <c r="T6496" s="22">
        <f t="shared" si="553"/>
        <v>3</v>
      </c>
      <c r="U6496" s="22">
        <f t="shared" si="554"/>
        <v>2023</v>
      </c>
      <c r="V6496" s="22" t="str">
        <f t="shared" si="555"/>
        <v>METROPOLITANA</v>
      </c>
    </row>
    <row r="6497" spans="1:22" x14ac:dyDescent="0.2">
      <c r="A6497" s="23" t="s">
        <v>7894</v>
      </c>
      <c r="B6497" s="22" t="s">
        <v>33</v>
      </c>
      <c r="C6497" s="22" t="s">
        <v>44</v>
      </c>
      <c r="D6497" s="22" t="s">
        <v>37</v>
      </c>
      <c r="E6497" s="24" t="s">
        <v>40</v>
      </c>
      <c r="F6497" s="22" t="s">
        <v>48</v>
      </c>
      <c r="G6497" s="25">
        <v>10568</v>
      </c>
      <c r="H6497" s="22" t="s">
        <v>22</v>
      </c>
      <c r="I6497" s="22">
        <v>0</v>
      </c>
      <c r="J6497" s="22" t="s">
        <v>48</v>
      </c>
      <c r="K6497" s="22" t="s">
        <v>23</v>
      </c>
      <c r="L6497" s="22">
        <v>1</v>
      </c>
      <c r="M6497" s="26">
        <v>116248</v>
      </c>
      <c r="N6497" s="26">
        <v>0</v>
      </c>
      <c r="O6497" s="15">
        <f t="shared" si="552"/>
        <v>116248</v>
      </c>
      <c r="P6497" s="15">
        <f t="shared" si="556"/>
        <v>11</v>
      </c>
      <c r="Q6497" s="25">
        <v>5000</v>
      </c>
      <c r="R6497" s="22">
        <v>100</v>
      </c>
      <c r="S6497" s="22" t="s">
        <v>7908</v>
      </c>
      <c r="T6497" s="22">
        <f t="shared" si="553"/>
        <v>3</v>
      </c>
      <c r="U6497" s="22">
        <f t="shared" si="554"/>
        <v>2023</v>
      </c>
      <c r="V6497" s="22" t="str">
        <f t="shared" si="555"/>
        <v>METROPOLITANA</v>
      </c>
    </row>
    <row r="6498" spans="1:22" x14ac:dyDescent="0.2">
      <c r="A6498" s="23" t="s">
        <v>7894</v>
      </c>
      <c r="B6498" s="22" t="s">
        <v>33</v>
      </c>
      <c r="C6498" s="22" t="s">
        <v>44</v>
      </c>
      <c r="D6498" s="22" t="s">
        <v>7909</v>
      </c>
      <c r="E6498" s="24" t="s">
        <v>7150</v>
      </c>
      <c r="F6498" s="22" t="s">
        <v>66</v>
      </c>
      <c r="G6498" s="25">
        <v>9478.5000000000036</v>
      </c>
      <c r="H6498" s="22" t="s">
        <v>24</v>
      </c>
      <c r="I6498" s="22">
        <v>1</v>
      </c>
      <c r="J6498" s="22" t="s">
        <v>66</v>
      </c>
      <c r="K6498" s="22" t="s">
        <v>75</v>
      </c>
      <c r="L6498" s="22">
        <v>0</v>
      </c>
      <c r="M6498" s="26">
        <v>506000</v>
      </c>
      <c r="N6498" s="26">
        <v>0</v>
      </c>
      <c r="O6498" s="15">
        <f t="shared" si="552"/>
        <v>506000</v>
      </c>
      <c r="P6498" s="15">
        <f t="shared" si="556"/>
        <v>53.383974257530177</v>
      </c>
      <c r="Q6498" s="25">
        <v>14000</v>
      </c>
      <c r="R6498" s="22">
        <v>68</v>
      </c>
      <c r="S6498" s="22" t="s">
        <v>7910</v>
      </c>
      <c r="T6498" s="22">
        <f t="shared" si="553"/>
        <v>3</v>
      </c>
      <c r="U6498" s="22">
        <f t="shared" si="554"/>
        <v>2023</v>
      </c>
      <c r="V6498" s="22" t="str">
        <f t="shared" si="555"/>
        <v>REGIONES</v>
      </c>
    </row>
    <row r="6499" spans="1:22" x14ac:dyDescent="0.2">
      <c r="A6499" s="23" t="s">
        <v>7894</v>
      </c>
      <c r="B6499" s="22" t="s">
        <v>33</v>
      </c>
      <c r="C6499" s="22" t="s">
        <v>44</v>
      </c>
      <c r="D6499" s="22" t="s">
        <v>7134</v>
      </c>
      <c r="E6499" s="24" t="s">
        <v>7135</v>
      </c>
      <c r="F6499" s="22" t="s">
        <v>2639</v>
      </c>
      <c r="G6499" s="25">
        <v>8174.9999999999973</v>
      </c>
      <c r="H6499" s="22" t="s">
        <v>24</v>
      </c>
      <c r="I6499" s="22">
        <v>1</v>
      </c>
      <c r="J6499" s="22" t="s">
        <v>2639</v>
      </c>
      <c r="K6499" s="22" t="s">
        <v>75</v>
      </c>
      <c r="L6499" s="22">
        <v>0</v>
      </c>
      <c r="M6499" s="26">
        <v>478000</v>
      </c>
      <c r="N6499" s="26">
        <v>0</v>
      </c>
      <c r="O6499" s="15">
        <f t="shared" si="552"/>
        <v>478000</v>
      </c>
      <c r="P6499" s="15">
        <f t="shared" si="556"/>
        <v>58.470948012232434</v>
      </c>
      <c r="Q6499" s="25">
        <v>14000</v>
      </c>
      <c r="R6499" s="22">
        <v>58</v>
      </c>
      <c r="S6499" s="22" t="s">
        <v>7911</v>
      </c>
      <c r="T6499" s="22">
        <f t="shared" si="553"/>
        <v>3</v>
      </c>
      <c r="U6499" s="22">
        <f t="shared" si="554"/>
        <v>2023</v>
      </c>
      <c r="V6499" s="22" t="str">
        <f t="shared" si="555"/>
        <v>REGIONES</v>
      </c>
    </row>
    <row r="6500" spans="1:22" x14ac:dyDescent="0.2">
      <c r="A6500" s="23" t="s">
        <v>7894</v>
      </c>
      <c r="B6500" s="22" t="s">
        <v>33</v>
      </c>
      <c r="C6500" s="22" t="s">
        <v>44</v>
      </c>
      <c r="D6500" s="22" t="s">
        <v>45</v>
      </c>
      <c r="E6500" s="24" t="s">
        <v>49</v>
      </c>
      <c r="F6500" s="22" t="s">
        <v>129</v>
      </c>
      <c r="G6500" s="25">
        <v>3133.1</v>
      </c>
      <c r="H6500" s="22" t="s">
        <v>22</v>
      </c>
      <c r="I6500" s="22">
        <v>0</v>
      </c>
      <c r="J6500" s="22" t="s">
        <v>129</v>
      </c>
      <c r="K6500" s="22" t="s">
        <v>23</v>
      </c>
      <c r="L6500" s="22">
        <v>1</v>
      </c>
      <c r="M6500" s="26">
        <v>69173</v>
      </c>
      <c r="N6500" s="26">
        <v>0</v>
      </c>
      <c r="O6500" s="15">
        <f t="shared" si="552"/>
        <v>69173</v>
      </c>
      <c r="P6500" s="15">
        <f t="shared" si="556"/>
        <v>22.078133478024959</v>
      </c>
      <c r="Q6500" s="25">
        <v>5000</v>
      </c>
      <c r="R6500" s="22">
        <v>63</v>
      </c>
      <c r="S6500" s="22" t="s">
        <v>7912</v>
      </c>
      <c r="T6500" s="22">
        <f t="shared" si="553"/>
        <v>3</v>
      </c>
      <c r="U6500" s="22">
        <f t="shared" si="554"/>
        <v>2023</v>
      </c>
      <c r="V6500" s="22" t="str">
        <f t="shared" si="555"/>
        <v>METROPOLITANA</v>
      </c>
    </row>
    <row r="6501" spans="1:22" x14ac:dyDescent="0.2">
      <c r="A6501" s="11" t="s">
        <v>7913</v>
      </c>
      <c r="B6501" s="12" t="s">
        <v>18</v>
      </c>
      <c r="C6501" s="12" t="s">
        <v>19</v>
      </c>
      <c r="D6501" s="12" t="s">
        <v>370</v>
      </c>
      <c r="E6501" s="13">
        <v>94742285</v>
      </c>
      <c r="F6501" s="12" t="s">
        <v>92</v>
      </c>
      <c r="G6501" s="14">
        <v>13543.77</v>
      </c>
      <c r="H6501" s="12" t="s">
        <v>85</v>
      </c>
      <c r="I6501" s="12">
        <v>1</v>
      </c>
      <c r="J6501" s="12" t="s">
        <v>92</v>
      </c>
      <c r="K6501" s="12" t="s">
        <v>93</v>
      </c>
      <c r="L6501" s="12">
        <v>0</v>
      </c>
      <c r="M6501" s="15">
        <v>779000</v>
      </c>
      <c r="N6501" s="15">
        <v>0</v>
      </c>
      <c r="O6501" s="15">
        <f t="shared" si="552"/>
        <v>779000</v>
      </c>
      <c r="P6501" s="15">
        <f t="shared" si="556"/>
        <v>57.517220094552698</v>
      </c>
      <c r="Q6501" s="14">
        <v>14000</v>
      </c>
      <c r="R6501" s="12">
        <v>97</v>
      </c>
      <c r="S6501" s="12" t="s">
        <v>7914</v>
      </c>
      <c r="T6501" s="22">
        <f t="shared" si="553"/>
        <v>4</v>
      </c>
      <c r="U6501" s="22">
        <f t="shared" si="554"/>
        <v>2023</v>
      </c>
      <c r="V6501" s="22" t="str">
        <f t="shared" si="555"/>
        <v>REGIONES</v>
      </c>
    </row>
    <row r="6502" spans="1:22" x14ac:dyDescent="0.2">
      <c r="A6502" s="11" t="s">
        <v>7913</v>
      </c>
      <c r="B6502" s="12" t="s">
        <v>18</v>
      </c>
      <c r="C6502" s="12" t="s">
        <v>4331</v>
      </c>
      <c r="D6502" s="12" t="s">
        <v>38</v>
      </c>
      <c r="E6502" s="13">
        <v>53173292</v>
      </c>
      <c r="F6502" s="12" t="s">
        <v>161</v>
      </c>
      <c r="G6502" s="14">
        <v>10161.799999999999</v>
      </c>
      <c r="H6502" s="12" t="s">
        <v>43</v>
      </c>
      <c r="I6502" s="12">
        <v>0</v>
      </c>
      <c r="J6502" s="12" t="s">
        <v>161</v>
      </c>
      <c r="K6502" s="12" t="s">
        <v>23</v>
      </c>
      <c r="L6502" s="12">
        <v>5</v>
      </c>
      <c r="M6502" s="15">
        <v>87500</v>
      </c>
      <c r="N6502" s="15">
        <v>0</v>
      </c>
      <c r="O6502" s="15">
        <f t="shared" si="552"/>
        <v>87500</v>
      </c>
      <c r="P6502" s="15">
        <f t="shared" si="556"/>
        <v>8.6106792103761158</v>
      </c>
      <c r="Q6502" s="14">
        <v>10000</v>
      </c>
      <c r="R6502" s="12">
        <v>100</v>
      </c>
      <c r="S6502" s="12" t="s">
        <v>7915</v>
      </c>
      <c r="T6502" s="22">
        <f t="shared" si="553"/>
        <v>4</v>
      </c>
      <c r="U6502" s="22">
        <f t="shared" si="554"/>
        <v>2023</v>
      </c>
      <c r="V6502" s="22" t="str">
        <f t="shared" si="555"/>
        <v>METROPOLITANA</v>
      </c>
    </row>
    <row r="6503" spans="1:22" x14ac:dyDescent="0.2">
      <c r="A6503" s="11" t="s">
        <v>7913</v>
      </c>
      <c r="B6503" s="12" t="s">
        <v>18</v>
      </c>
      <c r="C6503" s="12" t="s">
        <v>4331</v>
      </c>
      <c r="D6503" s="12" t="s">
        <v>30</v>
      </c>
      <c r="E6503" s="13">
        <v>72564391</v>
      </c>
      <c r="F6503" s="12" t="s">
        <v>161</v>
      </c>
      <c r="G6503" s="14">
        <f>11792.34+2837</f>
        <v>14629.34</v>
      </c>
      <c r="H6503" s="12" t="s">
        <v>32</v>
      </c>
      <c r="I6503" s="12">
        <v>0</v>
      </c>
      <c r="J6503" s="12" t="s">
        <v>161</v>
      </c>
      <c r="K6503" s="12" t="s">
        <v>23</v>
      </c>
      <c r="L6503" s="12">
        <v>5</v>
      </c>
      <c r="M6503" s="15">
        <v>87500</v>
      </c>
      <c r="N6503" s="15">
        <v>0</v>
      </c>
      <c r="O6503" s="15">
        <f t="shared" si="552"/>
        <v>87500</v>
      </c>
      <c r="P6503" s="15">
        <f t="shared" si="556"/>
        <v>5.9811310694809201</v>
      </c>
      <c r="Q6503" s="14">
        <v>10000</v>
      </c>
      <c r="R6503" s="12">
        <v>100</v>
      </c>
      <c r="S6503" s="12" t="s">
        <v>7921</v>
      </c>
      <c r="T6503" s="22">
        <f t="shared" si="553"/>
        <v>4</v>
      </c>
      <c r="U6503" s="22">
        <f t="shared" si="554"/>
        <v>2023</v>
      </c>
      <c r="V6503" s="22" t="str">
        <f t="shared" si="555"/>
        <v>METROPOLITANA</v>
      </c>
    </row>
    <row r="6504" spans="1:22" x14ac:dyDescent="0.2">
      <c r="A6504" s="11" t="s">
        <v>7913</v>
      </c>
      <c r="B6504" s="12" t="s">
        <v>33</v>
      </c>
      <c r="C6504" s="12" t="s">
        <v>29</v>
      </c>
      <c r="D6504" s="12" t="s">
        <v>2825</v>
      </c>
      <c r="E6504" s="13">
        <v>113693568</v>
      </c>
      <c r="F6504" s="12" t="s">
        <v>114</v>
      </c>
      <c r="G6504" s="14">
        <v>11042.02</v>
      </c>
      <c r="H6504" s="12" t="s">
        <v>24</v>
      </c>
      <c r="I6504" s="12">
        <v>1</v>
      </c>
      <c r="J6504" s="12" t="s">
        <v>114</v>
      </c>
      <c r="K6504" s="12" t="s">
        <v>75</v>
      </c>
      <c r="L6504" s="12">
        <v>0</v>
      </c>
      <c r="M6504" s="15">
        <v>528000</v>
      </c>
      <c r="N6504" s="15">
        <v>0</v>
      </c>
      <c r="O6504" s="15">
        <f t="shared" si="552"/>
        <v>528000</v>
      </c>
      <c r="P6504" s="15">
        <f t="shared" si="556"/>
        <v>47.817337769719671</v>
      </c>
      <c r="Q6504" s="14">
        <v>14000</v>
      </c>
      <c r="R6504" s="12">
        <v>79</v>
      </c>
      <c r="S6504" s="12" t="s">
        <v>7916</v>
      </c>
      <c r="T6504" s="22">
        <f t="shared" si="553"/>
        <v>4</v>
      </c>
      <c r="U6504" s="22">
        <f t="shared" si="554"/>
        <v>2023</v>
      </c>
      <c r="V6504" s="22" t="str">
        <f t="shared" si="555"/>
        <v>REGIONES</v>
      </c>
    </row>
    <row r="6505" spans="1:22" x14ac:dyDescent="0.2">
      <c r="A6505" s="11" t="s">
        <v>7913</v>
      </c>
      <c r="B6505" s="12" t="s">
        <v>33</v>
      </c>
      <c r="C6505" s="12" t="s">
        <v>29</v>
      </c>
      <c r="D6505" s="12" t="s">
        <v>7917</v>
      </c>
      <c r="E6505" s="13">
        <v>113693568</v>
      </c>
      <c r="F6505" s="12" t="s">
        <v>114</v>
      </c>
      <c r="G6505" s="14">
        <v>6249.0000000000009</v>
      </c>
      <c r="H6505" s="12" t="s">
        <v>24</v>
      </c>
      <c r="I6505" s="12">
        <v>1</v>
      </c>
      <c r="J6505" s="12" t="s">
        <v>114</v>
      </c>
      <c r="K6505" s="12" t="s">
        <v>75</v>
      </c>
      <c r="L6505" s="12">
        <v>0</v>
      </c>
      <c r="M6505" s="15">
        <v>528000</v>
      </c>
      <c r="N6505" s="15">
        <v>0</v>
      </c>
      <c r="O6505" s="15">
        <f t="shared" si="552"/>
        <v>528000</v>
      </c>
      <c r="P6505" s="15">
        <f t="shared" si="556"/>
        <v>84.493518963034077</v>
      </c>
      <c r="Q6505" s="14">
        <v>14000</v>
      </c>
      <c r="R6505" s="12">
        <v>45</v>
      </c>
      <c r="S6505" s="12" t="s">
        <v>7918</v>
      </c>
      <c r="T6505" s="22">
        <f t="shared" si="553"/>
        <v>4</v>
      </c>
      <c r="U6505" s="22">
        <f t="shared" si="554"/>
        <v>2023</v>
      </c>
      <c r="V6505" s="22" t="str">
        <f t="shared" si="555"/>
        <v>REGIONES</v>
      </c>
    </row>
    <row r="6506" spans="1:22" x14ac:dyDescent="0.2">
      <c r="A6506" s="11" t="s">
        <v>7913</v>
      </c>
      <c r="B6506" s="12" t="s">
        <v>33</v>
      </c>
      <c r="C6506" s="12" t="s">
        <v>44</v>
      </c>
      <c r="D6506" s="12" t="s">
        <v>45</v>
      </c>
      <c r="E6506" s="13">
        <v>107643206</v>
      </c>
      <c r="F6506" s="12" t="s">
        <v>95</v>
      </c>
      <c r="G6506" s="14">
        <v>5281.9</v>
      </c>
      <c r="H6506" s="12" t="s">
        <v>22</v>
      </c>
      <c r="I6506" s="12">
        <v>0</v>
      </c>
      <c r="J6506" s="12" t="s">
        <v>95</v>
      </c>
      <c r="K6506" s="12" t="s">
        <v>23</v>
      </c>
      <c r="L6506" s="12">
        <v>4</v>
      </c>
      <c r="M6506" s="15">
        <v>58101</v>
      </c>
      <c r="N6506" s="15">
        <v>0</v>
      </c>
      <c r="O6506" s="15">
        <f t="shared" si="552"/>
        <v>58101</v>
      </c>
      <c r="P6506" s="15">
        <f t="shared" si="556"/>
        <v>11.00001893258108</v>
      </c>
      <c r="Q6506" s="14">
        <v>5000</v>
      </c>
      <c r="R6506" s="12">
        <v>100</v>
      </c>
      <c r="S6506" s="12" t="s">
        <v>7919</v>
      </c>
      <c r="T6506" s="22">
        <f t="shared" si="553"/>
        <v>4</v>
      </c>
      <c r="U6506" s="22">
        <f t="shared" si="554"/>
        <v>2023</v>
      </c>
      <c r="V6506" s="22" t="str">
        <f t="shared" si="555"/>
        <v>METROPOLITANA</v>
      </c>
    </row>
    <row r="6507" spans="1:22" x14ac:dyDescent="0.2">
      <c r="A6507" s="11" t="s">
        <v>7913</v>
      </c>
      <c r="B6507" s="12" t="s">
        <v>33</v>
      </c>
      <c r="C6507" s="12" t="s">
        <v>44</v>
      </c>
      <c r="D6507" s="12" t="s">
        <v>20</v>
      </c>
      <c r="E6507" s="13">
        <v>78907355</v>
      </c>
      <c r="F6507" s="12" t="s">
        <v>26</v>
      </c>
      <c r="G6507" s="14">
        <v>2926.32</v>
      </c>
      <c r="H6507" s="12" t="s">
        <v>22</v>
      </c>
      <c r="I6507" s="12">
        <v>0</v>
      </c>
      <c r="J6507" s="12" t="s">
        <v>26</v>
      </c>
      <c r="K6507" s="12" t="s">
        <v>23</v>
      </c>
      <c r="L6507" s="12">
        <v>4</v>
      </c>
      <c r="M6507" s="15">
        <v>69173</v>
      </c>
      <c r="N6507" s="15">
        <v>0</v>
      </c>
      <c r="O6507" s="15">
        <f t="shared" si="552"/>
        <v>69173</v>
      </c>
      <c r="P6507" s="15">
        <f t="shared" si="556"/>
        <v>23.638221383854123</v>
      </c>
      <c r="Q6507" s="14">
        <v>5000</v>
      </c>
      <c r="R6507" s="12">
        <v>59</v>
      </c>
      <c r="S6507" s="12" t="s">
        <v>7920</v>
      </c>
      <c r="T6507" s="22">
        <f t="shared" si="553"/>
        <v>4</v>
      </c>
      <c r="U6507" s="22">
        <f t="shared" si="554"/>
        <v>2023</v>
      </c>
      <c r="V6507" s="22" t="str">
        <f t="shared" si="555"/>
        <v>METROPOLITANA</v>
      </c>
    </row>
    <row r="6508" spans="1:22" x14ac:dyDescent="0.2">
      <c r="A6508" s="23" t="s">
        <v>7922</v>
      </c>
      <c r="B6508" s="22" t="s">
        <v>18</v>
      </c>
      <c r="C6508" s="22" t="s">
        <v>19</v>
      </c>
      <c r="D6508" s="22" t="s">
        <v>5478</v>
      </c>
      <c r="E6508" s="24" t="s">
        <v>83</v>
      </c>
      <c r="F6508" s="22" t="s">
        <v>92</v>
      </c>
      <c r="G6508" s="25">
        <v>13781.499999999991</v>
      </c>
      <c r="H6508" s="22" t="s">
        <v>24</v>
      </c>
      <c r="I6508" s="22">
        <v>1</v>
      </c>
      <c r="J6508" s="22" t="s">
        <v>92</v>
      </c>
      <c r="K6508" s="22" t="s">
        <v>93</v>
      </c>
      <c r="L6508" s="22">
        <v>0</v>
      </c>
      <c r="M6508" s="26">
        <v>779000</v>
      </c>
      <c r="N6508" s="26">
        <v>0</v>
      </c>
      <c r="O6508" s="15">
        <f t="shared" si="552"/>
        <v>779000</v>
      </c>
      <c r="P6508" s="15">
        <f t="shared" si="556"/>
        <v>56.525051699742448</v>
      </c>
      <c r="Q6508" s="25">
        <v>14000</v>
      </c>
      <c r="R6508" s="22">
        <v>98</v>
      </c>
      <c r="S6508" s="22" t="s">
        <v>7924</v>
      </c>
      <c r="T6508" s="22">
        <f t="shared" si="553"/>
        <v>4</v>
      </c>
      <c r="U6508" s="22">
        <f t="shared" si="554"/>
        <v>2023</v>
      </c>
      <c r="V6508" s="22" t="str">
        <f t="shared" si="555"/>
        <v>REGIONES</v>
      </c>
    </row>
    <row r="6509" spans="1:22" x14ac:dyDescent="0.2">
      <c r="A6509" s="23" t="s">
        <v>7922</v>
      </c>
      <c r="B6509" s="22" t="s">
        <v>18</v>
      </c>
      <c r="C6509" s="22" t="s">
        <v>5796</v>
      </c>
      <c r="D6509" s="22" t="s">
        <v>38</v>
      </c>
      <c r="E6509" s="24" t="s">
        <v>25</v>
      </c>
      <c r="F6509" s="22" t="s">
        <v>129</v>
      </c>
      <c r="G6509" s="25">
        <v>3993.599999999999</v>
      </c>
      <c r="H6509" s="22" t="s">
        <v>43</v>
      </c>
      <c r="I6509" s="22">
        <v>0</v>
      </c>
      <c r="J6509" s="22" t="s">
        <v>129</v>
      </c>
      <c r="K6509" s="22" t="s">
        <v>23</v>
      </c>
      <c r="L6509" s="22">
        <v>1</v>
      </c>
      <c r="M6509" s="26">
        <v>69173</v>
      </c>
      <c r="N6509" s="26">
        <v>0</v>
      </c>
      <c r="O6509" s="15">
        <f t="shared" si="552"/>
        <v>69173</v>
      </c>
      <c r="P6509" s="15">
        <f t="shared" si="556"/>
        <v>17.320963541666671</v>
      </c>
      <c r="Q6509" s="25">
        <v>5000</v>
      </c>
      <c r="R6509" s="22">
        <v>80</v>
      </c>
      <c r="S6509" s="22" t="s">
        <v>7925</v>
      </c>
      <c r="T6509" s="22">
        <f t="shared" si="553"/>
        <v>4</v>
      </c>
      <c r="U6509" s="22">
        <f t="shared" si="554"/>
        <v>2023</v>
      </c>
      <c r="V6509" s="22" t="str">
        <f t="shared" si="555"/>
        <v>METROPOLITANA</v>
      </c>
    </row>
    <row r="6510" spans="1:22" x14ac:dyDescent="0.2">
      <c r="A6510" s="23" t="s">
        <v>7922</v>
      </c>
      <c r="B6510" s="22" t="s">
        <v>33</v>
      </c>
      <c r="C6510" s="22" t="s">
        <v>7923</v>
      </c>
      <c r="D6510" s="22" t="s">
        <v>7711</v>
      </c>
      <c r="E6510" s="24" t="s">
        <v>7712</v>
      </c>
      <c r="F6510" s="22" t="s">
        <v>92</v>
      </c>
      <c r="G6510" s="25">
        <f>6801.6+17056</f>
        <v>23857.599999999999</v>
      </c>
      <c r="H6510" s="22" t="s">
        <v>24</v>
      </c>
      <c r="I6510" s="22">
        <v>1</v>
      </c>
      <c r="J6510" s="22" t="s">
        <v>92</v>
      </c>
      <c r="K6510" s="22" t="s">
        <v>93</v>
      </c>
      <c r="L6510" s="22">
        <v>0</v>
      </c>
      <c r="M6510" s="26">
        <v>779000</v>
      </c>
      <c r="N6510" s="26">
        <v>0</v>
      </c>
      <c r="O6510" s="15">
        <f t="shared" si="552"/>
        <v>779000</v>
      </c>
      <c r="P6510" s="15">
        <f t="shared" si="556"/>
        <v>32.652068942391523</v>
      </c>
      <c r="Q6510" s="25">
        <v>14000</v>
      </c>
      <c r="R6510" s="22">
        <v>100</v>
      </c>
      <c r="S6510" s="22" t="s">
        <v>7934</v>
      </c>
      <c r="T6510" s="22">
        <f t="shared" si="553"/>
        <v>4</v>
      </c>
      <c r="U6510" s="22">
        <f t="shared" si="554"/>
        <v>2023</v>
      </c>
      <c r="V6510" s="22" t="str">
        <f t="shared" si="555"/>
        <v>REGIONES</v>
      </c>
    </row>
    <row r="6511" spans="1:22" x14ac:dyDescent="0.2">
      <c r="A6511" s="23" t="s">
        <v>7922</v>
      </c>
      <c r="B6511" s="22" t="s">
        <v>33</v>
      </c>
      <c r="C6511" s="22" t="s">
        <v>7923</v>
      </c>
      <c r="D6511" s="22" t="s">
        <v>7134</v>
      </c>
      <c r="E6511" s="24" t="s">
        <v>7135</v>
      </c>
      <c r="F6511" s="22" t="s">
        <v>92</v>
      </c>
      <c r="G6511" s="25">
        <f>5582.98+15407</f>
        <v>20989.98</v>
      </c>
      <c r="H6511" s="22" t="s">
        <v>24</v>
      </c>
      <c r="I6511" s="22">
        <v>1</v>
      </c>
      <c r="J6511" s="22" t="s">
        <v>92</v>
      </c>
      <c r="K6511" s="22" t="s">
        <v>93</v>
      </c>
      <c r="L6511" s="22">
        <v>0</v>
      </c>
      <c r="M6511" s="26">
        <v>779000</v>
      </c>
      <c r="N6511" s="26">
        <v>0</v>
      </c>
      <c r="O6511" s="15">
        <f t="shared" si="552"/>
        <v>779000</v>
      </c>
      <c r="P6511" s="15">
        <f t="shared" si="556"/>
        <v>37.112946272459524</v>
      </c>
      <c r="Q6511" s="25">
        <v>14000</v>
      </c>
      <c r="R6511" s="22">
        <v>100</v>
      </c>
      <c r="S6511" s="22" t="s">
        <v>7935</v>
      </c>
      <c r="T6511" s="22">
        <f t="shared" si="553"/>
        <v>4</v>
      </c>
      <c r="U6511" s="22">
        <f t="shared" si="554"/>
        <v>2023</v>
      </c>
      <c r="V6511" s="22" t="str">
        <f t="shared" si="555"/>
        <v>REGIONES</v>
      </c>
    </row>
    <row r="6512" spans="1:22" x14ac:dyDescent="0.2">
      <c r="A6512" s="23" t="s">
        <v>7922</v>
      </c>
      <c r="B6512" s="22" t="s">
        <v>33</v>
      </c>
      <c r="C6512" s="22" t="s">
        <v>128</v>
      </c>
      <c r="D6512" s="22" t="s">
        <v>786</v>
      </c>
      <c r="E6512" s="24" t="s">
        <v>787</v>
      </c>
      <c r="F6512" s="22" t="s">
        <v>34</v>
      </c>
      <c r="G6512" s="25">
        <v>9053.15</v>
      </c>
      <c r="H6512" s="22" t="s">
        <v>788</v>
      </c>
      <c r="I6512" s="22">
        <v>1</v>
      </c>
      <c r="J6512" s="22" t="s">
        <v>34</v>
      </c>
      <c r="K6512" s="22" t="s">
        <v>23</v>
      </c>
      <c r="L6512" s="22">
        <v>1</v>
      </c>
      <c r="M6512" s="26">
        <v>99585</v>
      </c>
      <c r="N6512" s="26">
        <v>0</v>
      </c>
      <c r="O6512" s="15">
        <f t="shared" si="552"/>
        <v>99585</v>
      </c>
      <c r="P6512" s="15">
        <f t="shared" si="556"/>
        <v>11.000038660576706</v>
      </c>
      <c r="Q6512" s="25">
        <v>5000</v>
      </c>
      <c r="R6512" s="22">
        <v>100</v>
      </c>
      <c r="S6512" s="22" t="s">
        <v>7926</v>
      </c>
      <c r="T6512" s="22">
        <f t="shared" si="553"/>
        <v>4</v>
      </c>
      <c r="U6512" s="22">
        <f t="shared" si="554"/>
        <v>2023</v>
      </c>
      <c r="V6512" s="22" t="str">
        <f t="shared" si="555"/>
        <v>METROPOLITANA</v>
      </c>
    </row>
    <row r="6513" spans="1:22" x14ac:dyDescent="0.2">
      <c r="A6513" s="23" t="s">
        <v>7922</v>
      </c>
      <c r="B6513" s="22" t="s">
        <v>33</v>
      </c>
      <c r="C6513" s="22" t="s">
        <v>128</v>
      </c>
      <c r="D6513" s="22" t="s">
        <v>27</v>
      </c>
      <c r="E6513" s="24" t="s">
        <v>28</v>
      </c>
      <c r="F6513" s="22" t="s">
        <v>129</v>
      </c>
      <c r="G6513" s="25">
        <v>6401.0700000000024</v>
      </c>
      <c r="H6513" s="22" t="s">
        <v>22</v>
      </c>
      <c r="I6513" s="22">
        <v>1</v>
      </c>
      <c r="J6513" s="22" t="s">
        <v>129</v>
      </c>
      <c r="K6513" s="22" t="s">
        <v>23</v>
      </c>
      <c r="L6513" s="22">
        <v>1</v>
      </c>
      <c r="M6513" s="26">
        <v>70412</v>
      </c>
      <c r="N6513" s="26">
        <v>0</v>
      </c>
      <c r="O6513" s="15">
        <f t="shared" si="552"/>
        <v>70412</v>
      </c>
      <c r="P6513" s="15">
        <f t="shared" si="556"/>
        <v>11.000035931492699</v>
      </c>
      <c r="Q6513" s="25">
        <v>5000</v>
      </c>
      <c r="R6513" s="22">
        <v>100</v>
      </c>
      <c r="S6513" s="22" t="s">
        <v>7927</v>
      </c>
      <c r="T6513" s="22">
        <f t="shared" si="553"/>
        <v>4</v>
      </c>
      <c r="U6513" s="22">
        <f t="shared" si="554"/>
        <v>2023</v>
      </c>
      <c r="V6513" s="22" t="str">
        <f t="shared" si="555"/>
        <v>METROPOLITANA</v>
      </c>
    </row>
    <row r="6514" spans="1:22" x14ac:dyDescent="0.2">
      <c r="A6514" s="23" t="s">
        <v>7922</v>
      </c>
      <c r="B6514" s="22" t="s">
        <v>33</v>
      </c>
      <c r="C6514" s="22" t="s">
        <v>29</v>
      </c>
      <c r="D6514" s="22" t="s">
        <v>41</v>
      </c>
      <c r="E6514" s="24" t="s">
        <v>25</v>
      </c>
      <c r="F6514" s="22" t="s">
        <v>129</v>
      </c>
      <c r="G6514" s="25">
        <v>3854.04</v>
      </c>
      <c r="H6514" s="22" t="s">
        <v>43</v>
      </c>
      <c r="I6514" s="22">
        <v>0</v>
      </c>
      <c r="J6514" s="22" t="s">
        <v>129</v>
      </c>
      <c r="K6514" s="22" t="s">
        <v>23</v>
      </c>
      <c r="L6514" s="22">
        <v>1</v>
      </c>
      <c r="M6514" s="26">
        <v>69173</v>
      </c>
      <c r="N6514" s="26">
        <v>0</v>
      </c>
      <c r="O6514" s="15">
        <f t="shared" si="552"/>
        <v>69173</v>
      </c>
      <c r="P6514" s="15">
        <f t="shared" si="556"/>
        <v>17.948179053668358</v>
      </c>
      <c r="Q6514" s="25">
        <v>5000</v>
      </c>
      <c r="R6514" s="22">
        <v>77</v>
      </c>
      <c r="S6514" s="22" t="s">
        <v>7928</v>
      </c>
      <c r="T6514" s="22">
        <f t="shared" si="553"/>
        <v>4</v>
      </c>
      <c r="U6514" s="22">
        <f t="shared" si="554"/>
        <v>2023</v>
      </c>
      <c r="V6514" s="22" t="str">
        <f t="shared" si="555"/>
        <v>METROPOLITANA</v>
      </c>
    </row>
    <row r="6515" spans="1:22" x14ac:dyDescent="0.2">
      <c r="A6515" s="23" t="s">
        <v>7922</v>
      </c>
      <c r="B6515" s="22" t="s">
        <v>33</v>
      </c>
      <c r="C6515" s="22" t="s">
        <v>29</v>
      </c>
      <c r="D6515" s="22" t="s">
        <v>164</v>
      </c>
      <c r="E6515" s="24" t="s">
        <v>1576</v>
      </c>
      <c r="F6515" s="22" t="s">
        <v>39</v>
      </c>
      <c r="G6515" s="25">
        <v>18126.07</v>
      </c>
      <c r="H6515" s="22" t="s">
        <v>22</v>
      </c>
      <c r="I6515" s="22">
        <v>1</v>
      </c>
      <c r="J6515" s="22" t="s">
        <v>39</v>
      </c>
      <c r="K6515" s="22" t="s">
        <v>23</v>
      </c>
      <c r="L6515" s="22">
        <v>1</v>
      </c>
      <c r="M6515" s="26">
        <v>199387</v>
      </c>
      <c r="N6515" s="26">
        <v>0</v>
      </c>
      <c r="O6515" s="15">
        <f t="shared" si="552"/>
        <v>199387</v>
      </c>
      <c r="P6515" s="15">
        <f t="shared" si="556"/>
        <v>11.000012688906089</v>
      </c>
      <c r="Q6515" s="25">
        <v>5000</v>
      </c>
      <c r="R6515" s="22">
        <v>100</v>
      </c>
      <c r="S6515" s="22" t="s">
        <v>7929</v>
      </c>
      <c r="T6515" s="22">
        <f t="shared" si="553"/>
        <v>4</v>
      </c>
      <c r="U6515" s="22">
        <f t="shared" si="554"/>
        <v>2023</v>
      </c>
      <c r="V6515" s="22" t="str">
        <f t="shared" si="555"/>
        <v>METROPOLITANA</v>
      </c>
    </row>
    <row r="6516" spans="1:22" x14ac:dyDescent="0.2">
      <c r="A6516" s="23" t="s">
        <v>7922</v>
      </c>
      <c r="B6516" s="22" t="s">
        <v>33</v>
      </c>
      <c r="C6516" s="22" t="s">
        <v>44</v>
      </c>
      <c r="D6516" s="22" t="s">
        <v>38</v>
      </c>
      <c r="E6516" s="24" t="s">
        <v>42</v>
      </c>
      <c r="F6516" s="22" t="s">
        <v>138</v>
      </c>
      <c r="G6516" s="25">
        <v>3127.82</v>
      </c>
      <c r="H6516" s="22" t="s">
        <v>43</v>
      </c>
      <c r="I6516" s="22">
        <v>0</v>
      </c>
      <c r="J6516" s="22" t="s">
        <v>138</v>
      </c>
      <c r="K6516" s="22" t="s">
        <v>23</v>
      </c>
      <c r="L6516" s="22">
        <v>3</v>
      </c>
      <c r="M6516" s="26">
        <v>69173</v>
      </c>
      <c r="N6516" s="26">
        <v>0</v>
      </c>
      <c r="O6516" s="15">
        <f t="shared" si="552"/>
        <v>69173</v>
      </c>
      <c r="P6516" s="15">
        <f t="shared" si="556"/>
        <v>22.115403060278403</v>
      </c>
      <c r="Q6516" s="25">
        <v>5000</v>
      </c>
      <c r="R6516" s="22">
        <v>63</v>
      </c>
      <c r="S6516" s="22" t="s">
        <v>7930</v>
      </c>
      <c r="T6516" s="22">
        <f t="shared" si="553"/>
        <v>4</v>
      </c>
      <c r="U6516" s="22">
        <f t="shared" si="554"/>
        <v>2023</v>
      </c>
      <c r="V6516" s="22" t="str">
        <f t="shared" si="555"/>
        <v>METROPOLITANA</v>
      </c>
    </row>
    <row r="6517" spans="1:22" x14ac:dyDescent="0.2">
      <c r="A6517" s="23" t="s">
        <v>7922</v>
      </c>
      <c r="B6517" s="22" t="s">
        <v>33</v>
      </c>
      <c r="C6517" s="22" t="s">
        <v>44</v>
      </c>
      <c r="D6517" s="22" t="s">
        <v>30</v>
      </c>
      <c r="E6517" s="24" t="s">
        <v>31</v>
      </c>
      <c r="F6517" s="22" t="s">
        <v>274</v>
      </c>
      <c r="G6517" s="25">
        <v>4813.6000000000004</v>
      </c>
      <c r="H6517" s="22" t="s">
        <v>32</v>
      </c>
      <c r="I6517" s="22">
        <v>0</v>
      </c>
      <c r="J6517" s="22" t="s">
        <v>274</v>
      </c>
      <c r="K6517" s="22" t="s">
        <v>78</v>
      </c>
      <c r="L6517" s="22">
        <v>0</v>
      </c>
      <c r="M6517" s="26">
        <v>227000</v>
      </c>
      <c r="N6517" s="26">
        <v>0</v>
      </c>
      <c r="O6517" s="15">
        <f t="shared" si="552"/>
        <v>227000</v>
      </c>
      <c r="P6517" s="15">
        <f t="shared" si="556"/>
        <v>47.158052185474489</v>
      </c>
      <c r="Q6517" s="25">
        <v>14000</v>
      </c>
      <c r="R6517" s="22">
        <v>34</v>
      </c>
      <c r="S6517" s="22" t="s">
        <v>7931</v>
      </c>
      <c r="T6517" s="22">
        <f t="shared" si="553"/>
        <v>4</v>
      </c>
      <c r="U6517" s="22">
        <f t="shared" si="554"/>
        <v>2023</v>
      </c>
      <c r="V6517" s="22" t="str">
        <f t="shared" si="555"/>
        <v>REGIONES</v>
      </c>
    </row>
    <row r="6518" spans="1:22" x14ac:dyDescent="0.2">
      <c r="A6518" s="23" t="s">
        <v>7922</v>
      </c>
      <c r="B6518" s="22" t="s">
        <v>33</v>
      </c>
      <c r="C6518" s="22" t="s">
        <v>44</v>
      </c>
      <c r="D6518" s="22" t="s">
        <v>45</v>
      </c>
      <c r="E6518" s="24" t="s">
        <v>49</v>
      </c>
      <c r="F6518" s="22" t="s">
        <v>134</v>
      </c>
      <c r="G6518" s="25">
        <v>3051.2000000000012</v>
      </c>
      <c r="H6518" s="22" t="s">
        <v>22</v>
      </c>
      <c r="I6518" s="22">
        <v>0</v>
      </c>
      <c r="J6518" s="22" t="s">
        <v>134</v>
      </c>
      <c r="K6518" s="22" t="s">
        <v>23</v>
      </c>
      <c r="L6518" s="22">
        <v>2</v>
      </c>
      <c r="M6518" s="26">
        <v>69173</v>
      </c>
      <c r="N6518" s="26">
        <v>0</v>
      </c>
      <c r="O6518" s="15">
        <f t="shared" si="552"/>
        <v>69173</v>
      </c>
      <c r="P6518" s="15">
        <f t="shared" si="556"/>
        <v>22.670752490823276</v>
      </c>
      <c r="Q6518" s="25">
        <v>5000</v>
      </c>
      <c r="R6518" s="22">
        <v>61</v>
      </c>
      <c r="S6518" s="22" t="s">
        <v>7932</v>
      </c>
      <c r="T6518" s="22">
        <f t="shared" si="553"/>
        <v>4</v>
      </c>
      <c r="U6518" s="22">
        <f t="shared" si="554"/>
        <v>2023</v>
      </c>
      <c r="V6518" s="22" t="str">
        <f t="shared" si="555"/>
        <v>METROPOLITANA</v>
      </c>
    </row>
    <row r="6519" spans="1:22" x14ac:dyDescent="0.2">
      <c r="A6519" s="23" t="s">
        <v>7922</v>
      </c>
      <c r="B6519" s="22" t="s">
        <v>33</v>
      </c>
      <c r="C6519" s="22" t="s">
        <v>44</v>
      </c>
      <c r="D6519" s="22" t="s">
        <v>20</v>
      </c>
      <c r="E6519" s="24" t="s">
        <v>21</v>
      </c>
      <c r="F6519" s="22" t="s">
        <v>182</v>
      </c>
      <c r="G6519" s="25">
        <v>3545.44</v>
      </c>
      <c r="H6519" s="22" t="s">
        <v>22</v>
      </c>
      <c r="I6519" s="22">
        <v>0</v>
      </c>
      <c r="J6519" s="22" t="s">
        <v>182</v>
      </c>
      <c r="K6519" s="22" t="s">
        <v>23</v>
      </c>
      <c r="L6519" s="22">
        <v>4</v>
      </c>
      <c r="M6519" s="26">
        <v>69173</v>
      </c>
      <c r="N6519" s="26">
        <v>0</v>
      </c>
      <c r="O6519" s="15">
        <f t="shared" si="552"/>
        <v>69173</v>
      </c>
      <c r="P6519" s="15">
        <f t="shared" si="556"/>
        <v>19.510413376054874</v>
      </c>
      <c r="Q6519" s="25">
        <v>5000</v>
      </c>
      <c r="R6519" s="22">
        <v>71</v>
      </c>
      <c r="S6519" s="22" t="s">
        <v>7933</v>
      </c>
      <c r="T6519" s="22">
        <f t="shared" si="553"/>
        <v>4</v>
      </c>
      <c r="U6519" s="22">
        <f t="shared" si="554"/>
        <v>2023</v>
      </c>
      <c r="V6519" s="22" t="str">
        <f t="shared" si="555"/>
        <v>METROPOLITANA</v>
      </c>
    </row>
    <row r="6520" spans="1:22" x14ac:dyDescent="0.2">
      <c r="A6520" s="11" t="s">
        <v>7936</v>
      </c>
      <c r="B6520" s="12" t="s">
        <v>18</v>
      </c>
      <c r="C6520" s="12" t="s">
        <v>7923</v>
      </c>
      <c r="D6520" s="12" t="s">
        <v>7831</v>
      </c>
      <c r="E6520" s="13" t="s">
        <v>7150</v>
      </c>
      <c r="F6520" s="12" t="s">
        <v>92</v>
      </c>
      <c r="G6520" s="14">
        <v>14877.97</v>
      </c>
      <c r="H6520" s="12" t="s">
        <v>24</v>
      </c>
      <c r="I6520" s="12">
        <v>1</v>
      </c>
      <c r="J6520" s="12" t="s">
        <v>92</v>
      </c>
      <c r="K6520" s="12" t="s">
        <v>93</v>
      </c>
      <c r="L6520" s="12">
        <v>0</v>
      </c>
      <c r="M6520" s="15">
        <v>779000</v>
      </c>
      <c r="N6520" s="15">
        <v>0</v>
      </c>
      <c r="O6520" s="15">
        <f t="shared" si="552"/>
        <v>779000</v>
      </c>
      <c r="P6520" s="15">
        <f t="shared" si="556"/>
        <v>52.359293640194196</v>
      </c>
      <c r="Q6520" s="14">
        <v>14000</v>
      </c>
      <c r="R6520" s="12">
        <v>100</v>
      </c>
      <c r="S6520" s="12" t="s">
        <v>7937</v>
      </c>
      <c r="T6520" s="22">
        <f t="shared" si="553"/>
        <v>4</v>
      </c>
      <c r="U6520" s="22">
        <f t="shared" si="554"/>
        <v>2023</v>
      </c>
      <c r="V6520" s="22" t="str">
        <f t="shared" si="555"/>
        <v>REGIONES</v>
      </c>
    </row>
    <row r="6521" spans="1:22" x14ac:dyDescent="0.2">
      <c r="A6521" s="11" t="s">
        <v>7936</v>
      </c>
      <c r="B6521" s="12" t="s">
        <v>18</v>
      </c>
      <c r="C6521" s="12" t="s">
        <v>7923</v>
      </c>
      <c r="D6521" s="12" t="s">
        <v>7491</v>
      </c>
      <c r="E6521" s="13" t="s">
        <v>7938</v>
      </c>
      <c r="F6521" s="12" t="s">
        <v>132</v>
      </c>
      <c r="G6521" s="14">
        <v>13081.98</v>
      </c>
      <c r="H6521" s="12" t="s">
        <v>24</v>
      </c>
      <c r="I6521" s="12">
        <v>1</v>
      </c>
      <c r="J6521" s="12" t="s">
        <v>132</v>
      </c>
      <c r="K6521" s="12" t="s">
        <v>124</v>
      </c>
      <c r="L6521" s="12">
        <v>0</v>
      </c>
      <c r="M6521" s="15">
        <v>440000</v>
      </c>
      <c r="N6521" s="15">
        <v>0</v>
      </c>
      <c r="O6521" s="15">
        <f t="shared" si="552"/>
        <v>440000</v>
      </c>
      <c r="P6521" s="15">
        <f t="shared" si="556"/>
        <v>33.634052337643077</v>
      </c>
      <c r="Q6521" s="14">
        <v>14000</v>
      </c>
      <c r="R6521" s="12">
        <v>93</v>
      </c>
      <c r="S6521" s="12" t="s">
        <v>7939</v>
      </c>
      <c r="T6521" s="22">
        <f t="shared" si="553"/>
        <v>4</v>
      </c>
      <c r="U6521" s="22">
        <f t="shared" si="554"/>
        <v>2023</v>
      </c>
      <c r="V6521" s="22" t="str">
        <f t="shared" si="555"/>
        <v>REGIONES</v>
      </c>
    </row>
    <row r="6522" spans="1:22" x14ac:dyDescent="0.2">
      <c r="A6522" s="11" t="s">
        <v>7936</v>
      </c>
      <c r="B6522" s="12" t="s">
        <v>18</v>
      </c>
      <c r="C6522" s="12" t="s">
        <v>5796</v>
      </c>
      <c r="D6522" s="12" t="s">
        <v>37</v>
      </c>
      <c r="E6522" s="13" t="s">
        <v>40</v>
      </c>
      <c r="F6522" s="12" t="s">
        <v>129</v>
      </c>
      <c r="G6522" s="14">
        <v>2174.4</v>
      </c>
      <c r="H6522" s="12" t="s">
        <v>22</v>
      </c>
      <c r="I6522" s="12">
        <v>0</v>
      </c>
      <c r="J6522" s="12" t="s">
        <v>129</v>
      </c>
      <c r="K6522" s="12" t="s">
        <v>23</v>
      </c>
      <c r="L6522" s="12">
        <v>1</v>
      </c>
      <c r="M6522" s="15">
        <v>69173</v>
      </c>
      <c r="N6522" s="15">
        <v>0</v>
      </c>
      <c r="O6522" s="15">
        <f t="shared" si="552"/>
        <v>69173</v>
      </c>
      <c r="P6522" s="15">
        <f t="shared" si="556"/>
        <v>31.812454010301693</v>
      </c>
      <c r="Q6522" s="14">
        <v>5000</v>
      </c>
      <c r="R6522" s="12">
        <v>43</v>
      </c>
      <c r="S6522" s="12" t="s">
        <v>7940</v>
      </c>
      <c r="T6522" s="22">
        <f t="shared" si="553"/>
        <v>4</v>
      </c>
      <c r="U6522" s="22">
        <f t="shared" si="554"/>
        <v>2023</v>
      </c>
      <c r="V6522" s="22" t="str">
        <f t="shared" si="555"/>
        <v>METROPOLITANA</v>
      </c>
    </row>
    <row r="6523" spans="1:22" x14ac:dyDescent="0.2">
      <c r="A6523" s="11" t="s">
        <v>7936</v>
      </c>
      <c r="B6523" s="12" t="s">
        <v>33</v>
      </c>
      <c r="C6523" s="12" t="s">
        <v>7072</v>
      </c>
      <c r="D6523" s="12" t="s">
        <v>7941</v>
      </c>
      <c r="E6523" s="13" t="s">
        <v>21</v>
      </c>
      <c r="F6523" s="12" t="s">
        <v>129</v>
      </c>
      <c r="G6523" s="14">
        <v>7368.4</v>
      </c>
      <c r="H6523" s="12" t="s">
        <v>24</v>
      </c>
      <c r="I6523" s="12">
        <v>1</v>
      </c>
      <c r="J6523" s="12" t="s">
        <v>129</v>
      </c>
      <c r="K6523" s="12" t="s">
        <v>23</v>
      </c>
      <c r="L6523" s="12">
        <v>1</v>
      </c>
      <c r="M6523" s="15">
        <v>81052</v>
      </c>
      <c r="N6523" s="15">
        <v>0</v>
      </c>
      <c r="O6523" s="15">
        <f t="shared" ref="O6523:O6586" si="557">SUM(M6523:N6523)</f>
        <v>81052</v>
      </c>
      <c r="P6523" s="15">
        <f t="shared" si="556"/>
        <v>10.999945714130613</v>
      </c>
      <c r="Q6523" s="14">
        <v>5000</v>
      </c>
      <c r="R6523" s="12">
        <v>100</v>
      </c>
      <c r="S6523" s="12" t="s">
        <v>7942</v>
      </c>
      <c r="T6523" s="22">
        <f t="shared" si="553"/>
        <v>4</v>
      </c>
      <c r="U6523" s="22">
        <f t="shared" si="554"/>
        <v>2023</v>
      </c>
      <c r="V6523" s="22" t="str">
        <f t="shared" si="555"/>
        <v>METROPOLITANA</v>
      </c>
    </row>
    <row r="6524" spans="1:22" x14ac:dyDescent="0.2">
      <c r="A6524" s="11" t="s">
        <v>7936</v>
      </c>
      <c r="B6524" s="12" t="s">
        <v>33</v>
      </c>
      <c r="C6524" s="12" t="s">
        <v>44</v>
      </c>
      <c r="D6524" s="12" t="s">
        <v>37</v>
      </c>
      <c r="E6524" s="13" t="s">
        <v>40</v>
      </c>
      <c r="F6524" s="12" t="s">
        <v>48</v>
      </c>
      <c r="G6524" s="14">
        <v>5850.84</v>
      </c>
      <c r="H6524" s="12" t="s">
        <v>22</v>
      </c>
      <c r="I6524" s="12">
        <v>0</v>
      </c>
      <c r="J6524" s="12" t="s">
        <v>48</v>
      </c>
      <c r="K6524" s="12" t="s">
        <v>23</v>
      </c>
      <c r="L6524" s="12">
        <v>1</v>
      </c>
      <c r="M6524" s="15">
        <v>64359</v>
      </c>
      <c r="N6524" s="15">
        <v>0</v>
      </c>
      <c r="O6524" s="15">
        <f t="shared" si="557"/>
        <v>64359</v>
      </c>
      <c r="P6524" s="15">
        <f t="shared" si="556"/>
        <v>10.999958980248989</v>
      </c>
      <c r="Q6524" s="14">
        <v>5000</v>
      </c>
      <c r="R6524" s="12">
        <v>100</v>
      </c>
      <c r="S6524" s="12" t="s">
        <v>7943</v>
      </c>
      <c r="T6524" s="22">
        <f t="shared" si="553"/>
        <v>4</v>
      </c>
      <c r="U6524" s="22">
        <f t="shared" si="554"/>
        <v>2023</v>
      </c>
      <c r="V6524" s="22" t="str">
        <f t="shared" si="555"/>
        <v>METROPOLITANA</v>
      </c>
    </row>
    <row r="6525" spans="1:22" x14ac:dyDescent="0.2">
      <c r="A6525" s="23" t="s">
        <v>7944</v>
      </c>
      <c r="B6525" s="22" t="s">
        <v>33</v>
      </c>
      <c r="C6525" s="22" t="s">
        <v>44</v>
      </c>
      <c r="D6525" s="22" t="s">
        <v>3879</v>
      </c>
      <c r="E6525" s="24">
        <v>125897258</v>
      </c>
      <c r="F6525" s="22" t="s">
        <v>92</v>
      </c>
      <c r="G6525" s="25">
        <v>5397.4400000000014</v>
      </c>
      <c r="H6525" s="22" t="s">
        <v>24</v>
      </c>
      <c r="I6525" s="22">
        <v>1</v>
      </c>
      <c r="J6525" s="22" t="s">
        <v>92</v>
      </c>
      <c r="K6525" s="22" t="s">
        <v>93</v>
      </c>
      <c r="L6525" s="22">
        <v>0</v>
      </c>
      <c r="M6525" s="26">
        <v>779000</v>
      </c>
      <c r="N6525" s="26">
        <v>0</v>
      </c>
      <c r="O6525" s="15">
        <f t="shared" si="557"/>
        <v>779000</v>
      </c>
      <c r="P6525" s="15">
        <f t="shared" si="556"/>
        <v>144.32768127112109</v>
      </c>
      <c r="Q6525" s="25">
        <v>14000</v>
      </c>
      <c r="R6525" s="22">
        <v>39</v>
      </c>
      <c r="S6525" s="22" t="s">
        <v>7945</v>
      </c>
      <c r="T6525" s="22">
        <f t="shared" si="553"/>
        <v>4</v>
      </c>
      <c r="U6525" s="22">
        <f t="shared" si="554"/>
        <v>2023</v>
      </c>
      <c r="V6525" s="22" t="str">
        <f t="shared" si="555"/>
        <v>REGIONES</v>
      </c>
    </row>
    <row r="6526" spans="1:22" x14ac:dyDescent="0.2">
      <c r="A6526" s="23" t="s">
        <v>7944</v>
      </c>
      <c r="B6526" s="22" t="s">
        <v>33</v>
      </c>
      <c r="C6526" s="22" t="s">
        <v>44</v>
      </c>
      <c r="D6526" s="22" t="s">
        <v>786</v>
      </c>
      <c r="E6526" s="24">
        <v>95707734</v>
      </c>
      <c r="F6526" s="22" t="s">
        <v>436</v>
      </c>
      <c r="G6526" s="25">
        <f>5496+4049</f>
        <v>9545</v>
      </c>
      <c r="H6526" s="22" t="s">
        <v>788</v>
      </c>
      <c r="I6526" s="22">
        <v>1</v>
      </c>
      <c r="J6526" s="22" t="s">
        <v>436</v>
      </c>
      <c r="K6526" s="22" t="s">
        <v>437</v>
      </c>
      <c r="L6526" s="22">
        <v>0</v>
      </c>
      <c r="M6526" s="26">
        <v>1006000</v>
      </c>
      <c r="N6526" s="26">
        <v>0</v>
      </c>
      <c r="O6526" s="15">
        <f t="shared" si="557"/>
        <v>1006000</v>
      </c>
      <c r="P6526" s="15">
        <f t="shared" si="556"/>
        <v>105.39549502357255</v>
      </c>
      <c r="Q6526" s="25">
        <v>14000</v>
      </c>
      <c r="R6526" s="22">
        <v>70</v>
      </c>
      <c r="S6526" s="22" t="s">
        <v>7946</v>
      </c>
      <c r="T6526" s="22">
        <f t="shared" si="553"/>
        <v>4</v>
      </c>
      <c r="U6526" s="22">
        <f t="shared" si="554"/>
        <v>2023</v>
      </c>
      <c r="V6526" s="22" t="str">
        <f t="shared" si="555"/>
        <v>REGIONES</v>
      </c>
    </row>
    <row r="6527" spans="1:22" x14ac:dyDescent="0.2">
      <c r="A6527" s="11" t="s">
        <v>7947</v>
      </c>
      <c r="B6527" s="12" t="s">
        <v>18</v>
      </c>
      <c r="C6527" s="12" t="s">
        <v>7923</v>
      </c>
      <c r="D6527" s="12" t="s">
        <v>7491</v>
      </c>
      <c r="E6527" s="13">
        <v>139528778</v>
      </c>
      <c r="F6527" s="12" t="s">
        <v>92</v>
      </c>
      <c r="G6527" s="14">
        <v>23893.100000000009</v>
      </c>
      <c r="H6527" s="12" t="s">
        <v>24</v>
      </c>
      <c r="I6527" s="12">
        <v>1</v>
      </c>
      <c r="J6527" s="12" t="s">
        <v>92</v>
      </c>
      <c r="K6527" s="12" t="s">
        <v>93</v>
      </c>
      <c r="L6527" s="12">
        <v>0</v>
      </c>
      <c r="M6527" s="15">
        <v>779000</v>
      </c>
      <c r="N6527" s="15">
        <v>0</v>
      </c>
      <c r="O6527" s="15">
        <f t="shared" si="557"/>
        <v>779000</v>
      </c>
      <c r="P6527" s="15">
        <f t="shared" si="556"/>
        <v>32.603555001234653</v>
      </c>
      <c r="Q6527" s="14">
        <v>14000</v>
      </c>
      <c r="R6527" s="12">
        <v>100</v>
      </c>
      <c r="S6527" s="12" t="s">
        <v>7948</v>
      </c>
      <c r="T6527" s="22">
        <f t="shared" si="553"/>
        <v>4</v>
      </c>
      <c r="U6527" s="22">
        <f t="shared" si="554"/>
        <v>2023</v>
      </c>
      <c r="V6527" s="22" t="str">
        <f t="shared" si="555"/>
        <v>REGIONES</v>
      </c>
    </row>
    <row r="6528" spans="1:22" x14ac:dyDescent="0.2">
      <c r="A6528" s="11" t="s">
        <v>7947</v>
      </c>
      <c r="B6528" s="12" t="s">
        <v>33</v>
      </c>
      <c r="C6528" s="12" t="s">
        <v>128</v>
      </c>
      <c r="D6528" s="12" t="s">
        <v>786</v>
      </c>
      <c r="E6528" s="13">
        <v>95707734</v>
      </c>
      <c r="F6528" s="12" t="s">
        <v>34</v>
      </c>
      <c r="G6528" s="14">
        <v>9979.89</v>
      </c>
      <c r="H6528" s="12" t="s">
        <v>788</v>
      </c>
      <c r="I6528" s="12">
        <v>1</v>
      </c>
      <c r="J6528" s="12" t="s">
        <v>34</v>
      </c>
      <c r="K6528" s="12" t="s">
        <v>23</v>
      </c>
      <c r="L6528" s="12">
        <v>1</v>
      </c>
      <c r="M6528" s="15">
        <v>109779</v>
      </c>
      <c r="N6528" s="15">
        <v>0</v>
      </c>
      <c r="O6528" s="15">
        <f t="shared" si="557"/>
        <v>109779</v>
      </c>
      <c r="P6528" s="15">
        <f t="shared" si="556"/>
        <v>11.000021042316098</v>
      </c>
      <c r="Q6528" s="14">
        <v>5000</v>
      </c>
      <c r="R6528" s="12">
        <v>100</v>
      </c>
      <c r="S6528" s="12" t="s">
        <v>7949</v>
      </c>
      <c r="T6528" s="22">
        <f t="shared" si="553"/>
        <v>4</v>
      </c>
      <c r="U6528" s="22">
        <f t="shared" si="554"/>
        <v>2023</v>
      </c>
      <c r="V6528" s="22" t="str">
        <f t="shared" si="555"/>
        <v>METROPOLITANA</v>
      </c>
    </row>
    <row r="6529" spans="1:22" x14ac:dyDescent="0.2">
      <c r="A6529" s="11" t="s">
        <v>7947</v>
      </c>
      <c r="B6529" s="12" t="s">
        <v>33</v>
      </c>
      <c r="C6529" s="12" t="s">
        <v>128</v>
      </c>
      <c r="D6529" s="12" t="s">
        <v>2955</v>
      </c>
      <c r="E6529" s="13">
        <v>65941082</v>
      </c>
      <c r="F6529" s="12" t="s">
        <v>129</v>
      </c>
      <c r="G6529" s="14">
        <v>16351.68</v>
      </c>
      <c r="H6529" s="12" t="s">
        <v>24</v>
      </c>
      <c r="I6529" s="12">
        <v>1</v>
      </c>
      <c r="J6529" s="12" t="s">
        <v>129</v>
      </c>
      <c r="K6529" s="12" t="s">
        <v>23</v>
      </c>
      <c r="L6529" s="12">
        <v>1</v>
      </c>
      <c r="M6529" s="15">
        <v>179868</v>
      </c>
      <c r="N6529" s="15">
        <v>0</v>
      </c>
      <c r="O6529" s="15">
        <f t="shared" si="557"/>
        <v>179868</v>
      </c>
      <c r="P6529" s="15">
        <f t="shared" si="556"/>
        <v>10.999970645218106</v>
      </c>
      <c r="Q6529" s="14">
        <v>5000</v>
      </c>
      <c r="R6529" s="12">
        <v>100</v>
      </c>
      <c r="S6529" s="12" t="s">
        <v>7950</v>
      </c>
      <c r="T6529" s="22">
        <f t="shared" si="553"/>
        <v>4</v>
      </c>
      <c r="U6529" s="22">
        <f t="shared" si="554"/>
        <v>2023</v>
      </c>
      <c r="V6529" s="22" t="str">
        <f t="shared" si="555"/>
        <v>METROPOLITANA</v>
      </c>
    </row>
    <row r="6530" spans="1:22" x14ac:dyDescent="0.2">
      <c r="A6530" s="11" t="s">
        <v>7947</v>
      </c>
      <c r="B6530" s="12" t="s">
        <v>33</v>
      </c>
      <c r="C6530" s="12" t="s">
        <v>29</v>
      </c>
      <c r="D6530" s="12" t="s">
        <v>7779</v>
      </c>
      <c r="E6530" s="13">
        <v>167832741</v>
      </c>
      <c r="F6530" s="12" t="s">
        <v>114</v>
      </c>
      <c r="G6530" s="14">
        <v>16761.080000000002</v>
      </c>
      <c r="H6530" s="12" t="s">
        <v>24</v>
      </c>
      <c r="I6530" s="12">
        <v>1</v>
      </c>
      <c r="J6530" s="12" t="s">
        <v>114</v>
      </c>
      <c r="K6530" s="12" t="s">
        <v>75</v>
      </c>
      <c r="L6530" s="12">
        <v>0</v>
      </c>
      <c r="M6530" s="15">
        <v>528000</v>
      </c>
      <c r="N6530" s="15">
        <v>0</v>
      </c>
      <c r="O6530" s="15">
        <f t="shared" si="557"/>
        <v>528000</v>
      </c>
      <c r="P6530" s="15">
        <f t="shared" si="556"/>
        <v>31.501550019449816</v>
      </c>
      <c r="Q6530" s="14">
        <v>14000</v>
      </c>
      <c r="R6530" s="12">
        <v>100</v>
      </c>
      <c r="S6530" s="12" t="s">
        <v>7951</v>
      </c>
      <c r="T6530" s="22">
        <f t="shared" si="553"/>
        <v>4</v>
      </c>
      <c r="U6530" s="22">
        <f t="shared" si="554"/>
        <v>2023</v>
      </c>
      <c r="V6530" s="22" t="str">
        <f t="shared" si="555"/>
        <v>REGIONES</v>
      </c>
    </row>
    <row r="6531" spans="1:22" x14ac:dyDescent="0.2">
      <c r="A6531" s="11" t="s">
        <v>7947</v>
      </c>
      <c r="B6531" s="12" t="s">
        <v>33</v>
      </c>
      <c r="C6531" s="12" t="s">
        <v>29</v>
      </c>
      <c r="D6531" s="12" t="s">
        <v>38</v>
      </c>
      <c r="E6531" s="13">
        <v>53173292</v>
      </c>
      <c r="F6531" s="12" t="s">
        <v>39</v>
      </c>
      <c r="G6531" s="14">
        <v>13629.1</v>
      </c>
      <c r="H6531" s="12" t="s">
        <v>43</v>
      </c>
      <c r="I6531" s="12">
        <v>0</v>
      </c>
      <c r="J6531" s="12" t="s">
        <v>39</v>
      </c>
      <c r="K6531" s="12" t="s">
        <v>23</v>
      </c>
      <c r="L6531" s="12">
        <v>1</v>
      </c>
      <c r="M6531" s="15">
        <v>149920</v>
      </c>
      <c r="N6531" s="15">
        <v>0</v>
      </c>
      <c r="O6531" s="15">
        <f t="shared" si="557"/>
        <v>149920</v>
      </c>
      <c r="P6531" s="15">
        <f t="shared" si="556"/>
        <v>10.999992662758363</v>
      </c>
      <c r="Q6531" s="14">
        <v>5000</v>
      </c>
      <c r="R6531" s="12">
        <v>100</v>
      </c>
      <c r="S6531" s="12" t="s">
        <v>7952</v>
      </c>
      <c r="T6531" s="22">
        <f t="shared" si="553"/>
        <v>4</v>
      </c>
      <c r="U6531" s="22">
        <f t="shared" si="554"/>
        <v>2023</v>
      </c>
      <c r="V6531" s="22" t="str">
        <f t="shared" si="555"/>
        <v>METROPOLITANA</v>
      </c>
    </row>
    <row r="6532" spans="1:22" x14ac:dyDescent="0.2">
      <c r="A6532" s="11" t="s">
        <v>7947</v>
      </c>
      <c r="B6532" s="12" t="s">
        <v>33</v>
      </c>
      <c r="C6532" s="12" t="s">
        <v>29</v>
      </c>
      <c r="D6532" s="12" t="s">
        <v>7831</v>
      </c>
      <c r="E6532" s="13">
        <v>137998513</v>
      </c>
      <c r="F6532" s="12" t="s">
        <v>114</v>
      </c>
      <c r="G6532" s="14">
        <v>11842.759999999989</v>
      </c>
      <c r="H6532" s="12" t="s">
        <v>24</v>
      </c>
      <c r="I6532" s="12">
        <v>1</v>
      </c>
      <c r="J6532" s="12" t="s">
        <v>114</v>
      </c>
      <c r="K6532" s="12" t="s">
        <v>75</v>
      </c>
      <c r="L6532" s="12">
        <v>0</v>
      </c>
      <c r="M6532" s="15">
        <v>528000</v>
      </c>
      <c r="N6532" s="15">
        <v>0</v>
      </c>
      <c r="O6532" s="15">
        <f t="shared" si="557"/>
        <v>528000</v>
      </c>
      <c r="P6532" s="15">
        <f t="shared" si="556"/>
        <v>44.584201655695168</v>
      </c>
      <c r="Q6532" s="14">
        <v>14000</v>
      </c>
      <c r="R6532" s="12">
        <v>85</v>
      </c>
      <c r="S6532" s="12" t="s">
        <v>7953</v>
      </c>
      <c r="T6532" s="22">
        <f t="shared" si="553"/>
        <v>4</v>
      </c>
      <c r="U6532" s="22">
        <f t="shared" si="554"/>
        <v>2023</v>
      </c>
      <c r="V6532" s="22" t="str">
        <f t="shared" si="555"/>
        <v>REGIONES</v>
      </c>
    </row>
    <row r="6533" spans="1:22" x14ac:dyDescent="0.2">
      <c r="A6533" s="11" t="s">
        <v>7947</v>
      </c>
      <c r="B6533" s="12" t="s">
        <v>33</v>
      </c>
      <c r="C6533" s="12" t="s">
        <v>29</v>
      </c>
      <c r="D6533" s="12" t="s">
        <v>164</v>
      </c>
      <c r="E6533" s="13">
        <v>154837728</v>
      </c>
      <c r="F6533" s="12" t="s">
        <v>39</v>
      </c>
      <c r="G6533" s="14">
        <v>16476.35999999999</v>
      </c>
      <c r="H6533" s="12" t="s">
        <v>22</v>
      </c>
      <c r="I6533" s="12">
        <v>1</v>
      </c>
      <c r="J6533" s="12" t="s">
        <v>39</v>
      </c>
      <c r="K6533" s="12" t="s">
        <v>23</v>
      </c>
      <c r="L6533" s="12">
        <v>1</v>
      </c>
      <c r="M6533" s="15">
        <v>181240</v>
      </c>
      <c r="N6533" s="15">
        <v>0</v>
      </c>
      <c r="O6533" s="15">
        <f t="shared" si="557"/>
        <v>181240</v>
      </c>
      <c r="P6533" s="15">
        <f t="shared" si="556"/>
        <v>11.000002427720693</v>
      </c>
      <c r="Q6533" s="14">
        <v>5000</v>
      </c>
      <c r="R6533" s="12">
        <v>100</v>
      </c>
      <c r="S6533" s="12" t="s">
        <v>7954</v>
      </c>
      <c r="T6533" s="22">
        <f t="shared" si="553"/>
        <v>4</v>
      </c>
      <c r="U6533" s="22">
        <f t="shared" si="554"/>
        <v>2023</v>
      </c>
      <c r="V6533" s="22" t="str">
        <f t="shared" si="555"/>
        <v>METROPOLITANA</v>
      </c>
    </row>
    <row r="6534" spans="1:22" x14ac:dyDescent="0.2">
      <c r="A6534" s="23" t="s">
        <v>7955</v>
      </c>
      <c r="B6534" s="22" t="s">
        <v>18</v>
      </c>
      <c r="C6534" s="22" t="s">
        <v>7923</v>
      </c>
      <c r="D6534" s="22" t="s">
        <v>2825</v>
      </c>
      <c r="E6534" s="24">
        <v>113693568</v>
      </c>
      <c r="F6534" s="22" t="s">
        <v>132</v>
      </c>
      <c r="G6534" s="25">
        <v>23063.599999999999</v>
      </c>
      <c r="H6534" s="22" t="s">
        <v>24</v>
      </c>
      <c r="I6534" s="22">
        <v>1</v>
      </c>
      <c r="J6534" s="22" t="s">
        <v>132</v>
      </c>
      <c r="K6534" s="22" t="s">
        <v>124</v>
      </c>
      <c r="L6534" s="22">
        <v>0</v>
      </c>
      <c r="M6534" s="26">
        <v>440000</v>
      </c>
      <c r="N6534" s="26">
        <v>0</v>
      </c>
      <c r="O6534" s="15">
        <f t="shared" si="557"/>
        <v>440000</v>
      </c>
      <c r="P6534" s="15">
        <f t="shared" si="556"/>
        <v>19.077680847742766</v>
      </c>
      <c r="Q6534" s="25">
        <v>14000</v>
      </c>
      <c r="R6534" s="22">
        <v>100</v>
      </c>
      <c r="S6534" s="22" t="s">
        <v>7956</v>
      </c>
      <c r="T6534" s="22">
        <f t="shared" si="553"/>
        <v>4</v>
      </c>
      <c r="U6534" s="22">
        <f t="shared" si="554"/>
        <v>2023</v>
      </c>
      <c r="V6534" s="22" t="str">
        <f t="shared" si="555"/>
        <v>REGIONES</v>
      </c>
    </row>
    <row r="6535" spans="1:22" x14ac:dyDescent="0.2">
      <c r="A6535" s="23" t="s">
        <v>7955</v>
      </c>
      <c r="B6535" s="22" t="s">
        <v>18</v>
      </c>
      <c r="C6535" s="22" t="s">
        <v>4331</v>
      </c>
      <c r="D6535" s="22" t="s">
        <v>38</v>
      </c>
      <c r="E6535" s="24">
        <v>53173292</v>
      </c>
      <c r="F6535" s="22" t="s">
        <v>161</v>
      </c>
      <c r="G6535" s="25">
        <v>13048.44</v>
      </c>
      <c r="H6535" s="22" t="s">
        <v>43</v>
      </c>
      <c r="I6535" s="22">
        <v>0</v>
      </c>
      <c r="J6535" s="22" t="s">
        <v>161</v>
      </c>
      <c r="K6535" s="22" t="s">
        <v>23</v>
      </c>
      <c r="L6535" s="22">
        <v>5</v>
      </c>
      <c r="M6535" s="26">
        <v>87500</v>
      </c>
      <c r="N6535" s="26">
        <v>0</v>
      </c>
      <c r="O6535" s="15">
        <f t="shared" si="557"/>
        <v>87500</v>
      </c>
      <c r="P6535" s="15">
        <f t="shared" si="556"/>
        <v>6.7057824536879505</v>
      </c>
      <c r="Q6535" s="25">
        <v>10000</v>
      </c>
      <c r="R6535" s="22">
        <v>100</v>
      </c>
      <c r="S6535" s="22" t="s">
        <v>7957</v>
      </c>
      <c r="T6535" s="22">
        <f t="shared" ref="T6535:T6598" si="558">MONTH(A6535)</f>
        <v>4</v>
      </c>
      <c r="U6535" s="22">
        <f t="shared" ref="U6535:U6598" si="559">YEAR(A6535)</f>
        <v>2023</v>
      </c>
      <c r="V6535" s="22" t="str">
        <f t="shared" ref="V6535:V6598" si="560">IF(K6535="METROPOLITANA DE SANTIAGO","METROPOLITANA","REGIONES")</f>
        <v>METROPOLITANA</v>
      </c>
    </row>
    <row r="6536" spans="1:22" x14ac:dyDescent="0.2">
      <c r="A6536" s="23" t="s">
        <v>7955</v>
      </c>
      <c r="B6536" s="22" t="s">
        <v>18</v>
      </c>
      <c r="C6536" s="22" t="s">
        <v>7148</v>
      </c>
      <c r="D6536" s="22" t="s">
        <v>7958</v>
      </c>
      <c r="E6536" s="24">
        <v>57635886</v>
      </c>
      <c r="F6536" s="22" t="s">
        <v>129</v>
      </c>
      <c r="G6536" s="25">
        <v>4597.5600000000004</v>
      </c>
      <c r="H6536" s="22" t="s">
        <v>24</v>
      </c>
      <c r="I6536" s="22">
        <v>1</v>
      </c>
      <c r="J6536" s="22" t="s">
        <v>129</v>
      </c>
      <c r="K6536" s="22" t="s">
        <v>23</v>
      </c>
      <c r="L6536" s="22">
        <v>1</v>
      </c>
      <c r="M6536" s="26">
        <v>69173</v>
      </c>
      <c r="N6536" s="26">
        <v>0</v>
      </c>
      <c r="O6536" s="15">
        <f t="shared" si="557"/>
        <v>69173</v>
      </c>
      <c r="P6536" s="15">
        <f t="shared" si="556"/>
        <v>15.045589399594567</v>
      </c>
      <c r="Q6536" s="25">
        <v>5000</v>
      </c>
      <c r="R6536" s="22">
        <v>92</v>
      </c>
      <c r="S6536" s="22" t="s">
        <v>7959</v>
      </c>
      <c r="T6536" s="22">
        <f t="shared" si="558"/>
        <v>4</v>
      </c>
      <c r="U6536" s="22">
        <f t="shared" si="559"/>
        <v>2023</v>
      </c>
      <c r="V6536" s="22" t="str">
        <f t="shared" si="560"/>
        <v>METROPOLITANA</v>
      </c>
    </row>
    <row r="6537" spans="1:22" x14ac:dyDescent="0.2">
      <c r="A6537" s="23" t="s">
        <v>7955</v>
      </c>
      <c r="B6537" s="22" t="s">
        <v>18</v>
      </c>
      <c r="C6537" s="22" t="s">
        <v>29</v>
      </c>
      <c r="D6537" s="22" t="s">
        <v>6221</v>
      </c>
      <c r="E6537" s="24">
        <v>170846392</v>
      </c>
      <c r="F6537" s="22" t="s">
        <v>39</v>
      </c>
      <c r="G6537" s="25">
        <v>26914.85999999999</v>
      </c>
      <c r="H6537" s="22" t="s">
        <v>24</v>
      </c>
      <c r="I6537" s="22">
        <v>1</v>
      </c>
      <c r="J6537" s="22" t="s">
        <v>39</v>
      </c>
      <c r="K6537" s="22" t="s">
        <v>23</v>
      </c>
      <c r="L6537" s="22">
        <v>1</v>
      </c>
      <c r="M6537" s="26">
        <v>296063</v>
      </c>
      <c r="N6537" s="26">
        <v>0</v>
      </c>
      <c r="O6537" s="15">
        <f t="shared" si="557"/>
        <v>296063</v>
      </c>
      <c r="P6537" s="15">
        <f t="shared" si="556"/>
        <v>10.999982909069567</v>
      </c>
      <c r="Q6537" s="25">
        <v>5000</v>
      </c>
      <c r="R6537" s="22">
        <v>100</v>
      </c>
      <c r="S6537" s="22" t="s">
        <v>7960</v>
      </c>
      <c r="T6537" s="22">
        <f t="shared" si="558"/>
        <v>4</v>
      </c>
      <c r="U6537" s="22">
        <f t="shared" si="559"/>
        <v>2023</v>
      </c>
      <c r="V6537" s="22" t="str">
        <f t="shared" si="560"/>
        <v>METROPOLITANA</v>
      </c>
    </row>
    <row r="6538" spans="1:22" x14ac:dyDescent="0.2">
      <c r="A6538" s="23" t="s">
        <v>7955</v>
      </c>
      <c r="B6538" s="22" t="s">
        <v>33</v>
      </c>
      <c r="C6538" s="22" t="s">
        <v>29</v>
      </c>
      <c r="D6538" s="22" t="s">
        <v>164</v>
      </c>
      <c r="E6538" s="24">
        <v>154837728</v>
      </c>
      <c r="F6538" s="22" t="s">
        <v>39</v>
      </c>
      <c r="G6538" s="25">
        <v>12933</v>
      </c>
      <c r="H6538" s="22" t="s">
        <v>22</v>
      </c>
      <c r="I6538" s="22">
        <v>1</v>
      </c>
      <c r="J6538" s="22" t="s">
        <v>39</v>
      </c>
      <c r="K6538" s="22" t="s">
        <v>23</v>
      </c>
      <c r="L6538" s="22">
        <v>1</v>
      </c>
      <c r="M6538" s="26">
        <v>142263</v>
      </c>
      <c r="N6538" s="26">
        <v>0</v>
      </c>
      <c r="O6538" s="15">
        <f t="shared" si="557"/>
        <v>142263</v>
      </c>
      <c r="P6538" s="15">
        <f t="shared" si="556"/>
        <v>11</v>
      </c>
      <c r="Q6538" s="25">
        <v>5000</v>
      </c>
      <c r="R6538" s="22">
        <v>100</v>
      </c>
      <c r="S6538" s="22" t="s">
        <v>7961</v>
      </c>
      <c r="T6538" s="22">
        <f t="shared" si="558"/>
        <v>4</v>
      </c>
      <c r="U6538" s="22">
        <f t="shared" si="559"/>
        <v>2023</v>
      </c>
      <c r="V6538" s="22" t="str">
        <f t="shared" si="560"/>
        <v>METROPOLITANA</v>
      </c>
    </row>
    <row r="6539" spans="1:22" x14ac:dyDescent="0.2">
      <c r="A6539" s="23" t="s">
        <v>7955</v>
      </c>
      <c r="B6539" s="22" t="s">
        <v>33</v>
      </c>
      <c r="C6539" s="22" t="s">
        <v>29</v>
      </c>
      <c r="D6539" s="22" t="s">
        <v>20</v>
      </c>
      <c r="E6539" s="24">
        <v>78907355</v>
      </c>
      <c r="F6539" s="22" t="s">
        <v>39</v>
      </c>
      <c r="G6539" s="25">
        <f>9129.26+595+305</f>
        <v>10029.26</v>
      </c>
      <c r="H6539" s="22" t="s">
        <v>22</v>
      </c>
      <c r="I6539" s="22">
        <v>0</v>
      </c>
      <c r="J6539" s="22" t="s">
        <v>39</v>
      </c>
      <c r="K6539" s="22" t="s">
        <v>23</v>
      </c>
      <c r="L6539" s="22">
        <v>1</v>
      </c>
      <c r="M6539" s="26">
        <v>100422</v>
      </c>
      <c r="N6539" s="26">
        <v>0</v>
      </c>
      <c r="O6539" s="15">
        <f t="shared" si="557"/>
        <v>100422</v>
      </c>
      <c r="P6539" s="15">
        <f t="shared" si="556"/>
        <v>10.012902248022286</v>
      </c>
      <c r="Q6539" s="25">
        <v>5000</v>
      </c>
      <c r="R6539" s="22">
        <v>100</v>
      </c>
      <c r="S6539" s="22" t="s">
        <v>7964</v>
      </c>
      <c r="T6539" s="22">
        <f t="shared" si="558"/>
        <v>4</v>
      </c>
      <c r="U6539" s="22">
        <f t="shared" si="559"/>
        <v>2023</v>
      </c>
      <c r="V6539" s="22" t="str">
        <f t="shared" si="560"/>
        <v>METROPOLITANA</v>
      </c>
    </row>
    <row r="6540" spans="1:22" x14ac:dyDescent="0.2">
      <c r="A6540" s="23" t="s">
        <v>7955</v>
      </c>
      <c r="B6540" s="22" t="s">
        <v>33</v>
      </c>
      <c r="C6540" s="22" t="s">
        <v>44</v>
      </c>
      <c r="D6540" s="22" t="s">
        <v>7423</v>
      </c>
      <c r="E6540" s="24">
        <v>99199296</v>
      </c>
      <c r="F6540" s="22" t="s">
        <v>3438</v>
      </c>
      <c r="G6540" s="25">
        <v>7782.6799999999976</v>
      </c>
      <c r="H6540" s="22" t="s">
        <v>24</v>
      </c>
      <c r="I6540" s="22">
        <v>1</v>
      </c>
      <c r="J6540" s="22" t="s">
        <v>3438</v>
      </c>
      <c r="K6540" s="22" t="s">
        <v>93</v>
      </c>
      <c r="L6540" s="22">
        <v>0</v>
      </c>
      <c r="M6540" s="26">
        <v>943000</v>
      </c>
      <c r="N6540" s="26">
        <v>0</v>
      </c>
      <c r="O6540" s="15">
        <f t="shared" si="557"/>
        <v>943000</v>
      </c>
      <c r="P6540" s="15">
        <f t="shared" si="556"/>
        <v>121.16648763664962</v>
      </c>
      <c r="Q6540" s="25">
        <v>14000</v>
      </c>
      <c r="R6540" s="22">
        <v>56</v>
      </c>
      <c r="S6540" s="22" t="s">
        <v>7962</v>
      </c>
      <c r="T6540" s="22">
        <f t="shared" si="558"/>
        <v>4</v>
      </c>
      <c r="U6540" s="22">
        <f t="shared" si="559"/>
        <v>2023</v>
      </c>
      <c r="V6540" s="22" t="str">
        <f t="shared" si="560"/>
        <v>REGIONES</v>
      </c>
    </row>
    <row r="6541" spans="1:22" x14ac:dyDescent="0.2">
      <c r="A6541" s="23" t="s">
        <v>7955</v>
      </c>
      <c r="B6541" s="22" t="s">
        <v>33</v>
      </c>
      <c r="C6541" s="22" t="s">
        <v>44</v>
      </c>
      <c r="D6541" s="22" t="s">
        <v>30</v>
      </c>
      <c r="E6541" s="24">
        <v>72564391</v>
      </c>
      <c r="F6541" s="22" t="s">
        <v>94</v>
      </c>
      <c r="G6541" s="25">
        <v>4837.78</v>
      </c>
      <c r="H6541" s="22" t="s">
        <v>32</v>
      </c>
      <c r="I6541" s="22">
        <v>0</v>
      </c>
      <c r="J6541" s="22" t="s">
        <v>59</v>
      </c>
      <c r="K6541" s="22" t="s">
        <v>78</v>
      </c>
      <c r="L6541" s="22">
        <v>0</v>
      </c>
      <c r="M6541" s="26">
        <v>227000</v>
      </c>
      <c r="N6541" s="26">
        <v>0</v>
      </c>
      <c r="O6541" s="15">
        <f t="shared" si="557"/>
        <v>227000</v>
      </c>
      <c r="P6541" s="15">
        <f t="shared" si="556"/>
        <v>46.922348680593167</v>
      </c>
      <c r="Q6541" s="25">
        <v>14000</v>
      </c>
      <c r="R6541" s="22">
        <v>35</v>
      </c>
      <c r="S6541" s="22" t="s">
        <v>7963</v>
      </c>
      <c r="T6541" s="22">
        <f t="shared" si="558"/>
        <v>4</v>
      </c>
      <c r="U6541" s="22">
        <f t="shared" si="559"/>
        <v>2023</v>
      </c>
      <c r="V6541" s="22" t="str">
        <f t="shared" si="560"/>
        <v>REGIONES</v>
      </c>
    </row>
    <row r="6542" spans="1:22" x14ac:dyDescent="0.2">
      <c r="A6542" s="11" t="s">
        <v>7965</v>
      </c>
      <c r="B6542" s="12" t="s">
        <v>18</v>
      </c>
      <c r="C6542" s="12" t="s">
        <v>7923</v>
      </c>
      <c r="D6542" s="12" t="s">
        <v>370</v>
      </c>
      <c r="E6542" s="13" t="s">
        <v>371</v>
      </c>
      <c r="F6542" s="12" t="s">
        <v>92</v>
      </c>
      <c r="G6542" s="14">
        <v>22658.07</v>
      </c>
      <c r="H6542" s="12" t="s">
        <v>85</v>
      </c>
      <c r="I6542" s="12">
        <v>1</v>
      </c>
      <c r="J6542" s="12" t="s">
        <v>92</v>
      </c>
      <c r="K6542" s="12" t="s">
        <v>93</v>
      </c>
      <c r="L6542" s="12">
        <v>0</v>
      </c>
      <c r="M6542" s="15">
        <v>779000</v>
      </c>
      <c r="N6542" s="15">
        <v>0</v>
      </c>
      <c r="O6542" s="15">
        <f t="shared" si="557"/>
        <v>779000</v>
      </c>
      <c r="P6542" s="15">
        <f t="shared" si="556"/>
        <v>34.380686439754136</v>
      </c>
      <c r="Q6542" s="14">
        <v>14000</v>
      </c>
      <c r="R6542" s="12">
        <v>100</v>
      </c>
      <c r="S6542" s="12" t="s">
        <v>7966</v>
      </c>
      <c r="T6542" s="22">
        <f t="shared" si="558"/>
        <v>4</v>
      </c>
      <c r="U6542" s="22">
        <f t="shared" si="559"/>
        <v>2023</v>
      </c>
      <c r="V6542" s="22" t="str">
        <f t="shared" si="560"/>
        <v>REGIONES</v>
      </c>
    </row>
    <row r="6543" spans="1:22" x14ac:dyDescent="0.2">
      <c r="A6543" s="11" t="s">
        <v>7965</v>
      </c>
      <c r="B6543" s="12" t="s">
        <v>18</v>
      </c>
      <c r="C6543" s="12" t="s">
        <v>4331</v>
      </c>
      <c r="D6543" s="12" t="s">
        <v>38</v>
      </c>
      <c r="E6543" s="13" t="s">
        <v>42</v>
      </c>
      <c r="F6543" s="12" t="s">
        <v>161</v>
      </c>
      <c r="G6543" s="14">
        <v>10080.08</v>
      </c>
      <c r="H6543" s="12" t="s">
        <v>43</v>
      </c>
      <c r="I6543" s="12">
        <v>0</v>
      </c>
      <c r="J6543" s="12" t="s">
        <v>161</v>
      </c>
      <c r="K6543" s="12" t="s">
        <v>23</v>
      </c>
      <c r="L6543" s="12">
        <v>5</v>
      </c>
      <c r="M6543" s="15">
        <v>87500</v>
      </c>
      <c r="N6543" s="15">
        <v>0</v>
      </c>
      <c r="O6543" s="15">
        <f t="shared" si="557"/>
        <v>87500</v>
      </c>
      <c r="P6543" s="15">
        <f t="shared" si="556"/>
        <v>8.6804866628042632</v>
      </c>
      <c r="Q6543" s="14">
        <v>10000</v>
      </c>
      <c r="R6543" s="12">
        <v>100</v>
      </c>
      <c r="S6543" s="12" t="s">
        <v>7967</v>
      </c>
      <c r="T6543" s="22">
        <f t="shared" si="558"/>
        <v>4</v>
      </c>
      <c r="U6543" s="22">
        <f t="shared" si="559"/>
        <v>2023</v>
      </c>
      <c r="V6543" s="22" t="str">
        <f t="shared" si="560"/>
        <v>METROPOLITANA</v>
      </c>
    </row>
    <row r="6544" spans="1:22" x14ac:dyDescent="0.2">
      <c r="A6544" s="11" t="s">
        <v>7965</v>
      </c>
      <c r="B6544" s="12" t="s">
        <v>18</v>
      </c>
      <c r="C6544" s="12" t="s">
        <v>7400</v>
      </c>
      <c r="D6544" s="12" t="s">
        <v>41</v>
      </c>
      <c r="E6544" s="13" t="s">
        <v>25</v>
      </c>
      <c r="F6544" s="12" t="s">
        <v>727</v>
      </c>
      <c r="G6544" s="14">
        <v>7448.7999999999984</v>
      </c>
      <c r="H6544" s="12" t="s">
        <v>43</v>
      </c>
      <c r="I6544" s="12">
        <v>0</v>
      </c>
      <c r="J6544" s="12" t="s">
        <v>727</v>
      </c>
      <c r="K6544" s="12" t="s">
        <v>23</v>
      </c>
      <c r="L6544" s="12">
        <v>2</v>
      </c>
      <c r="M6544" s="15">
        <v>81937</v>
      </c>
      <c r="N6544" s="15">
        <v>0</v>
      </c>
      <c r="O6544" s="15">
        <f t="shared" si="557"/>
        <v>81937</v>
      </c>
      <c r="P6544" s="15">
        <f t="shared" si="556"/>
        <v>11.000026849962412</v>
      </c>
      <c r="Q6544" s="14">
        <v>5000</v>
      </c>
      <c r="R6544" s="12">
        <v>100</v>
      </c>
      <c r="S6544" s="12" t="s">
        <v>7968</v>
      </c>
      <c r="T6544" s="22">
        <f t="shared" si="558"/>
        <v>4</v>
      </c>
      <c r="U6544" s="22">
        <f t="shared" si="559"/>
        <v>2023</v>
      </c>
      <c r="V6544" s="22" t="str">
        <f t="shared" si="560"/>
        <v>METROPOLITANA</v>
      </c>
    </row>
    <row r="6545" spans="1:22" x14ac:dyDescent="0.2">
      <c r="A6545" s="11" t="s">
        <v>7965</v>
      </c>
      <c r="B6545" s="12" t="s">
        <v>33</v>
      </c>
      <c r="C6545" s="12" t="s">
        <v>7596</v>
      </c>
      <c r="D6545" s="12" t="s">
        <v>30</v>
      </c>
      <c r="E6545" s="13" t="s">
        <v>31</v>
      </c>
      <c r="F6545" s="12" t="s">
        <v>129</v>
      </c>
      <c r="G6545" s="14">
        <v>8972.6</v>
      </c>
      <c r="H6545" s="12" t="s">
        <v>32</v>
      </c>
      <c r="I6545" s="12">
        <v>0</v>
      </c>
      <c r="J6545" s="12" t="s">
        <v>129</v>
      </c>
      <c r="K6545" s="12" t="s">
        <v>23</v>
      </c>
      <c r="L6545" s="12">
        <v>1</v>
      </c>
      <c r="M6545" s="15">
        <v>98699</v>
      </c>
      <c r="N6545" s="15">
        <v>0</v>
      </c>
      <c r="O6545" s="15">
        <f t="shared" si="557"/>
        <v>98699</v>
      </c>
      <c r="P6545" s="15">
        <f t="shared" si="556"/>
        <v>11.000044580166284</v>
      </c>
      <c r="Q6545" s="14">
        <v>5000</v>
      </c>
      <c r="R6545" s="12">
        <v>100</v>
      </c>
      <c r="S6545" s="12" t="s">
        <v>7969</v>
      </c>
      <c r="T6545" s="22">
        <f t="shared" si="558"/>
        <v>4</v>
      </c>
      <c r="U6545" s="22">
        <f t="shared" si="559"/>
        <v>2023</v>
      </c>
      <c r="V6545" s="22" t="str">
        <f t="shared" si="560"/>
        <v>METROPOLITANA</v>
      </c>
    </row>
    <row r="6546" spans="1:22" x14ac:dyDescent="0.2">
      <c r="A6546" s="11" t="s">
        <v>7965</v>
      </c>
      <c r="B6546" s="12" t="s">
        <v>33</v>
      </c>
      <c r="C6546" s="12" t="s">
        <v>29</v>
      </c>
      <c r="D6546" s="12" t="s">
        <v>6989</v>
      </c>
      <c r="E6546" s="13" t="s">
        <v>7793</v>
      </c>
      <c r="F6546" s="12" t="s">
        <v>815</v>
      </c>
      <c r="G6546" s="14">
        <v>26501.499999999982</v>
      </c>
      <c r="H6546" s="12" t="s">
        <v>24</v>
      </c>
      <c r="I6546" s="12">
        <v>1</v>
      </c>
      <c r="J6546" s="12" t="s">
        <v>815</v>
      </c>
      <c r="K6546" s="12" t="s">
        <v>75</v>
      </c>
      <c r="L6546" s="12">
        <v>0</v>
      </c>
      <c r="M6546" s="15">
        <v>528000</v>
      </c>
      <c r="N6546" s="15">
        <v>0</v>
      </c>
      <c r="O6546" s="15">
        <f t="shared" si="557"/>
        <v>528000</v>
      </c>
      <c r="P6546" s="15">
        <f t="shared" si="556"/>
        <v>19.923400562232342</v>
      </c>
      <c r="Q6546" s="14">
        <v>14000</v>
      </c>
      <c r="R6546" s="12">
        <v>100</v>
      </c>
      <c r="S6546" s="12" t="s">
        <v>7970</v>
      </c>
      <c r="T6546" s="22">
        <f t="shared" si="558"/>
        <v>4</v>
      </c>
      <c r="U6546" s="22">
        <f t="shared" si="559"/>
        <v>2023</v>
      </c>
      <c r="V6546" s="22" t="str">
        <f t="shared" si="560"/>
        <v>REGIONES</v>
      </c>
    </row>
    <row r="6547" spans="1:22" x14ac:dyDescent="0.2">
      <c r="A6547" s="11" t="s">
        <v>7965</v>
      </c>
      <c r="B6547" s="12" t="s">
        <v>33</v>
      </c>
      <c r="C6547" s="12" t="s">
        <v>29</v>
      </c>
      <c r="D6547" s="12" t="s">
        <v>7075</v>
      </c>
      <c r="E6547" s="13" t="s">
        <v>7076</v>
      </c>
      <c r="F6547" s="12" t="s">
        <v>114</v>
      </c>
      <c r="G6547" s="14">
        <v>15372.4</v>
      </c>
      <c r="H6547" s="12" t="s">
        <v>24</v>
      </c>
      <c r="I6547" s="12">
        <v>1</v>
      </c>
      <c r="J6547" s="12" t="s">
        <v>114</v>
      </c>
      <c r="K6547" s="12" t="s">
        <v>75</v>
      </c>
      <c r="L6547" s="12">
        <v>0</v>
      </c>
      <c r="M6547" s="15">
        <v>528000</v>
      </c>
      <c r="N6547" s="15">
        <v>0</v>
      </c>
      <c r="O6547" s="15">
        <f t="shared" si="557"/>
        <v>528000</v>
      </c>
      <c r="P6547" s="15">
        <f t="shared" si="556"/>
        <v>34.347271733756607</v>
      </c>
      <c r="Q6547" s="14">
        <v>14000</v>
      </c>
      <c r="R6547" s="12">
        <v>100</v>
      </c>
      <c r="S6547" s="12" t="s">
        <v>7971</v>
      </c>
      <c r="T6547" s="22">
        <f t="shared" si="558"/>
        <v>4</v>
      </c>
      <c r="U6547" s="22">
        <f t="shared" si="559"/>
        <v>2023</v>
      </c>
      <c r="V6547" s="22" t="str">
        <f t="shared" si="560"/>
        <v>REGIONES</v>
      </c>
    </row>
    <row r="6548" spans="1:22" x14ac:dyDescent="0.2">
      <c r="A6548" s="11" t="s">
        <v>7965</v>
      </c>
      <c r="B6548" s="12" t="s">
        <v>33</v>
      </c>
      <c r="C6548" s="12" t="s">
        <v>29</v>
      </c>
      <c r="D6548" s="12" t="s">
        <v>164</v>
      </c>
      <c r="E6548" s="13" t="s">
        <v>1576</v>
      </c>
      <c r="F6548" s="12" t="s">
        <v>39</v>
      </c>
      <c r="G6548" s="14">
        <v>13970.35</v>
      </c>
      <c r="H6548" s="12" t="s">
        <v>22</v>
      </c>
      <c r="I6548" s="12">
        <v>1</v>
      </c>
      <c r="J6548" s="12" t="s">
        <v>39</v>
      </c>
      <c r="K6548" s="12" t="s">
        <v>23</v>
      </c>
      <c r="L6548" s="12">
        <v>1</v>
      </c>
      <c r="M6548" s="15">
        <v>153674</v>
      </c>
      <c r="N6548" s="15">
        <v>0</v>
      </c>
      <c r="O6548" s="15">
        <f t="shared" si="557"/>
        <v>153674</v>
      </c>
      <c r="P6548" s="15">
        <f t="shared" si="556"/>
        <v>11.0000107370252</v>
      </c>
      <c r="Q6548" s="14">
        <v>5000</v>
      </c>
      <c r="R6548" s="12">
        <v>100</v>
      </c>
      <c r="S6548" s="12" t="s">
        <v>7972</v>
      </c>
      <c r="T6548" s="22">
        <f t="shared" si="558"/>
        <v>4</v>
      </c>
      <c r="U6548" s="22">
        <f t="shared" si="559"/>
        <v>2023</v>
      </c>
      <c r="V6548" s="22" t="str">
        <f t="shared" si="560"/>
        <v>METROPOLITANA</v>
      </c>
    </row>
    <row r="6549" spans="1:22" x14ac:dyDescent="0.2">
      <c r="A6549" s="11" t="s">
        <v>7965</v>
      </c>
      <c r="B6549" s="12" t="s">
        <v>33</v>
      </c>
      <c r="C6549" s="12" t="s">
        <v>29</v>
      </c>
      <c r="D6549" s="12" t="s">
        <v>20</v>
      </c>
      <c r="E6549" s="13" t="s">
        <v>21</v>
      </c>
      <c r="F6549" s="12" t="s">
        <v>39</v>
      </c>
      <c r="G6549" s="14">
        <v>6934.3199999999979</v>
      </c>
      <c r="H6549" s="12" t="s">
        <v>22</v>
      </c>
      <c r="I6549" s="12">
        <v>0</v>
      </c>
      <c r="J6549" s="12" t="s">
        <v>39</v>
      </c>
      <c r="K6549" s="12" t="s">
        <v>23</v>
      </c>
      <c r="L6549" s="12">
        <v>1</v>
      </c>
      <c r="M6549" s="15">
        <v>76278</v>
      </c>
      <c r="N6549" s="15">
        <v>0</v>
      </c>
      <c r="O6549" s="15">
        <f t="shared" si="557"/>
        <v>76278</v>
      </c>
      <c r="P6549" s="15">
        <f t="shared" si="556"/>
        <v>11.000069220918565</v>
      </c>
      <c r="Q6549" s="14">
        <v>5000</v>
      </c>
      <c r="R6549" s="12">
        <v>100</v>
      </c>
      <c r="S6549" s="12" t="s">
        <v>7973</v>
      </c>
      <c r="T6549" s="22">
        <f t="shared" si="558"/>
        <v>4</v>
      </c>
      <c r="U6549" s="22">
        <f t="shared" si="559"/>
        <v>2023</v>
      </c>
      <c r="V6549" s="22" t="str">
        <f t="shared" si="560"/>
        <v>METROPOLITANA</v>
      </c>
    </row>
    <row r="6550" spans="1:22" x14ac:dyDescent="0.2">
      <c r="A6550" s="11" t="s">
        <v>7965</v>
      </c>
      <c r="B6550" s="12" t="s">
        <v>33</v>
      </c>
      <c r="C6550" s="12" t="s">
        <v>44</v>
      </c>
      <c r="D6550" s="12" t="s">
        <v>37</v>
      </c>
      <c r="E6550" s="13" t="s">
        <v>40</v>
      </c>
      <c r="F6550" s="12" t="s">
        <v>48</v>
      </c>
      <c r="G6550" s="14">
        <v>4640.2800000000016</v>
      </c>
      <c r="H6550" s="12" t="s">
        <v>22</v>
      </c>
      <c r="I6550" s="12">
        <v>0</v>
      </c>
      <c r="J6550" s="12" t="s">
        <v>48</v>
      </c>
      <c r="K6550" s="12" t="s">
        <v>23</v>
      </c>
      <c r="L6550" s="12">
        <v>1</v>
      </c>
      <c r="M6550" s="15">
        <v>69173</v>
      </c>
      <c r="N6550" s="15">
        <v>0</v>
      </c>
      <c r="O6550" s="15">
        <f t="shared" si="557"/>
        <v>69173</v>
      </c>
      <c r="P6550" s="15">
        <f t="shared" si="556"/>
        <v>14.907074573086103</v>
      </c>
      <c r="Q6550" s="14">
        <v>5000</v>
      </c>
      <c r="R6550" s="12">
        <v>93</v>
      </c>
      <c r="S6550" s="12" t="s">
        <v>7974</v>
      </c>
      <c r="T6550" s="22">
        <f t="shared" si="558"/>
        <v>4</v>
      </c>
      <c r="U6550" s="22">
        <f t="shared" si="559"/>
        <v>2023</v>
      </c>
      <c r="V6550" s="22" t="str">
        <f t="shared" si="560"/>
        <v>METROPOLITANA</v>
      </c>
    </row>
    <row r="6551" spans="1:22" x14ac:dyDescent="0.2">
      <c r="A6551" s="23" t="s">
        <v>7975</v>
      </c>
      <c r="B6551" s="22" t="s">
        <v>18</v>
      </c>
      <c r="C6551" s="22" t="s">
        <v>7923</v>
      </c>
      <c r="D6551" s="22" t="s">
        <v>1869</v>
      </c>
      <c r="E6551" s="24" t="s">
        <v>1870</v>
      </c>
      <c r="F6551" s="22" t="s">
        <v>132</v>
      </c>
      <c r="G6551" s="25">
        <v>20401.64000000001</v>
      </c>
      <c r="H6551" s="22" t="s">
        <v>24</v>
      </c>
      <c r="I6551" s="22">
        <v>1</v>
      </c>
      <c r="J6551" s="22" t="s">
        <v>132</v>
      </c>
      <c r="K6551" s="22" t="s">
        <v>124</v>
      </c>
      <c r="L6551" s="22">
        <v>0</v>
      </c>
      <c r="M6551" s="26">
        <v>440000</v>
      </c>
      <c r="N6551" s="26">
        <v>0</v>
      </c>
      <c r="O6551" s="15">
        <f t="shared" si="557"/>
        <v>440000</v>
      </c>
      <c r="P6551" s="15">
        <f t="shared" si="556"/>
        <v>21.566893641883681</v>
      </c>
      <c r="Q6551" s="25">
        <v>14000</v>
      </c>
      <c r="R6551" s="22">
        <v>100</v>
      </c>
      <c r="S6551" s="22" t="s">
        <v>7976</v>
      </c>
      <c r="T6551" s="22">
        <f t="shared" si="558"/>
        <v>4</v>
      </c>
      <c r="U6551" s="22">
        <f t="shared" si="559"/>
        <v>2023</v>
      </c>
      <c r="V6551" s="22" t="str">
        <f t="shared" si="560"/>
        <v>REGIONES</v>
      </c>
    </row>
    <row r="6552" spans="1:22" x14ac:dyDescent="0.2">
      <c r="A6552" s="23" t="s">
        <v>7975</v>
      </c>
      <c r="B6552" s="22" t="s">
        <v>18</v>
      </c>
      <c r="C6552" s="22" t="s">
        <v>7923</v>
      </c>
      <c r="D6552" s="22" t="s">
        <v>7089</v>
      </c>
      <c r="E6552" s="24" t="s">
        <v>6967</v>
      </c>
      <c r="F6552" s="22" t="s">
        <v>92</v>
      </c>
      <c r="G6552" s="25">
        <v>20652.75</v>
      </c>
      <c r="H6552" s="22" t="s">
        <v>24</v>
      </c>
      <c r="I6552" s="22">
        <v>1</v>
      </c>
      <c r="J6552" s="22" t="s">
        <v>92</v>
      </c>
      <c r="K6552" s="22" t="s">
        <v>93</v>
      </c>
      <c r="L6552" s="22">
        <v>0</v>
      </c>
      <c r="M6552" s="26">
        <v>779000</v>
      </c>
      <c r="N6552" s="26">
        <v>0</v>
      </c>
      <c r="O6552" s="15">
        <f t="shared" si="557"/>
        <v>779000</v>
      </c>
      <c r="P6552" s="15">
        <f t="shared" si="556"/>
        <v>37.718947839876044</v>
      </c>
      <c r="Q6552" s="25">
        <v>14000</v>
      </c>
      <c r="R6552" s="22">
        <v>100</v>
      </c>
      <c r="S6552" s="22" t="s">
        <v>7977</v>
      </c>
      <c r="T6552" s="22">
        <f t="shared" si="558"/>
        <v>4</v>
      </c>
      <c r="U6552" s="22">
        <f t="shared" si="559"/>
        <v>2023</v>
      </c>
      <c r="V6552" s="22" t="str">
        <f t="shared" si="560"/>
        <v>REGIONES</v>
      </c>
    </row>
    <row r="6553" spans="1:22" x14ac:dyDescent="0.2">
      <c r="A6553" s="23" t="s">
        <v>7975</v>
      </c>
      <c r="B6553" s="22" t="s">
        <v>18</v>
      </c>
      <c r="C6553" s="22" t="s">
        <v>4331</v>
      </c>
      <c r="D6553" s="22" t="s">
        <v>30</v>
      </c>
      <c r="E6553" s="24" t="s">
        <v>31</v>
      </c>
      <c r="F6553" s="22" t="s">
        <v>161</v>
      </c>
      <c r="G6553" s="25">
        <v>9955.9500000000007</v>
      </c>
      <c r="H6553" s="22" t="s">
        <v>32</v>
      </c>
      <c r="I6553" s="22">
        <v>0</v>
      </c>
      <c r="J6553" s="22" t="s">
        <v>161</v>
      </c>
      <c r="K6553" s="22" t="s">
        <v>23</v>
      </c>
      <c r="L6553" s="22">
        <v>5</v>
      </c>
      <c r="M6553" s="26">
        <v>87500</v>
      </c>
      <c r="N6553" s="26">
        <v>0</v>
      </c>
      <c r="O6553" s="15">
        <f t="shared" si="557"/>
        <v>87500</v>
      </c>
      <c r="P6553" s="15">
        <f t="shared" si="556"/>
        <v>8.7887142864317305</v>
      </c>
      <c r="Q6553" s="25">
        <v>10000</v>
      </c>
      <c r="R6553" s="22">
        <v>100</v>
      </c>
      <c r="S6553" s="22" t="s">
        <v>7978</v>
      </c>
      <c r="T6553" s="22">
        <f t="shared" si="558"/>
        <v>4</v>
      </c>
      <c r="U6553" s="22">
        <f t="shared" si="559"/>
        <v>2023</v>
      </c>
      <c r="V6553" s="22" t="str">
        <f t="shared" si="560"/>
        <v>METROPOLITANA</v>
      </c>
    </row>
    <row r="6554" spans="1:22" x14ac:dyDescent="0.2">
      <c r="A6554" s="23" t="s">
        <v>7975</v>
      </c>
      <c r="B6554" s="22" t="s">
        <v>18</v>
      </c>
      <c r="C6554" s="22" t="s">
        <v>7400</v>
      </c>
      <c r="D6554" s="22" t="s">
        <v>38</v>
      </c>
      <c r="E6554" s="24" t="s">
        <v>42</v>
      </c>
      <c r="F6554" s="22" t="s">
        <v>230</v>
      </c>
      <c r="G6554" s="25">
        <v>8004.51</v>
      </c>
      <c r="H6554" s="22" t="s">
        <v>43</v>
      </c>
      <c r="I6554" s="22">
        <v>0</v>
      </c>
      <c r="J6554" s="22" t="s">
        <v>230</v>
      </c>
      <c r="K6554" s="22" t="s">
        <v>23</v>
      </c>
      <c r="L6554" s="22">
        <v>4</v>
      </c>
      <c r="M6554" s="26">
        <v>88050</v>
      </c>
      <c r="N6554" s="26">
        <v>0</v>
      </c>
      <c r="O6554" s="15">
        <f t="shared" si="557"/>
        <v>88050</v>
      </c>
      <c r="P6554" s="15">
        <f t="shared" si="556"/>
        <v>11.000048722532672</v>
      </c>
      <c r="Q6554" s="25">
        <v>5000</v>
      </c>
      <c r="R6554" s="22">
        <v>100</v>
      </c>
      <c r="S6554" s="22" t="s">
        <v>7979</v>
      </c>
      <c r="T6554" s="22">
        <f t="shared" si="558"/>
        <v>4</v>
      </c>
      <c r="U6554" s="22">
        <f t="shared" si="559"/>
        <v>2023</v>
      </c>
      <c r="V6554" s="22" t="str">
        <f t="shared" si="560"/>
        <v>METROPOLITANA</v>
      </c>
    </row>
    <row r="6555" spans="1:22" x14ac:dyDescent="0.2">
      <c r="A6555" s="23" t="s">
        <v>7975</v>
      </c>
      <c r="B6555" s="22" t="s">
        <v>33</v>
      </c>
      <c r="C6555" s="22" t="s">
        <v>187</v>
      </c>
      <c r="D6555" s="22" t="s">
        <v>45</v>
      </c>
      <c r="E6555" s="24" t="s">
        <v>49</v>
      </c>
      <c r="F6555" s="22" t="s">
        <v>129</v>
      </c>
      <c r="G6555" s="25">
        <v>1950</v>
      </c>
      <c r="H6555" s="22" t="s">
        <v>22</v>
      </c>
      <c r="I6555" s="22">
        <v>0</v>
      </c>
      <c r="J6555" s="22" t="s">
        <v>129</v>
      </c>
      <c r="K6555" s="22" t="s">
        <v>23</v>
      </c>
      <c r="L6555" s="22">
        <v>1</v>
      </c>
      <c r="M6555" s="26">
        <v>69173</v>
      </c>
      <c r="N6555" s="26">
        <v>0</v>
      </c>
      <c r="O6555" s="15">
        <f t="shared" si="557"/>
        <v>69173</v>
      </c>
      <c r="P6555" s="15">
        <f t="shared" si="556"/>
        <v>35.473333333333336</v>
      </c>
      <c r="Q6555" s="25">
        <v>5000</v>
      </c>
      <c r="R6555" s="22">
        <v>39</v>
      </c>
      <c r="S6555" s="22" t="s">
        <v>7980</v>
      </c>
      <c r="T6555" s="22">
        <f t="shared" si="558"/>
        <v>4</v>
      </c>
      <c r="U6555" s="22">
        <f t="shared" si="559"/>
        <v>2023</v>
      </c>
      <c r="V6555" s="22" t="str">
        <f t="shared" si="560"/>
        <v>METROPOLITANA</v>
      </c>
    </row>
    <row r="6556" spans="1:22" x14ac:dyDescent="0.2">
      <c r="A6556" s="23" t="s">
        <v>7975</v>
      </c>
      <c r="B6556" s="22" t="s">
        <v>33</v>
      </c>
      <c r="C6556" s="22" t="s">
        <v>36</v>
      </c>
      <c r="D6556" s="22" t="s">
        <v>20</v>
      </c>
      <c r="E6556" s="24" t="s">
        <v>21</v>
      </c>
      <c r="F6556" s="22" t="s">
        <v>129</v>
      </c>
      <c r="G6556" s="25">
        <v>4690</v>
      </c>
      <c r="H6556" s="22" t="s">
        <v>22</v>
      </c>
      <c r="I6556" s="22">
        <v>0</v>
      </c>
      <c r="J6556" s="22" t="s">
        <v>129</v>
      </c>
      <c r="K6556" s="22" t="s">
        <v>23</v>
      </c>
      <c r="L6556" s="22">
        <v>1</v>
      </c>
      <c r="M6556" s="26">
        <v>69173</v>
      </c>
      <c r="N6556" s="26">
        <v>0</v>
      </c>
      <c r="O6556" s="15">
        <f t="shared" si="557"/>
        <v>69173</v>
      </c>
      <c r="P6556" s="15">
        <f t="shared" si="556"/>
        <v>14.749040511727079</v>
      </c>
      <c r="Q6556" s="25">
        <v>5000</v>
      </c>
      <c r="R6556" s="22">
        <v>94</v>
      </c>
      <c r="S6556" s="22" t="s">
        <v>7981</v>
      </c>
      <c r="T6556" s="22">
        <f t="shared" si="558"/>
        <v>4</v>
      </c>
      <c r="U6556" s="22">
        <f t="shared" si="559"/>
        <v>2023</v>
      </c>
      <c r="V6556" s="22" t="str">
        <f t="shared" si="560"/>
        <v>METROPOLITANA</v>
      </c>
    </row>
    <row r="6557" spans="1:22" x14ac:dyDescent="0.2">
      <c r="A6557" s="23" t="s">
        <v>7975</v>
      </c>
      <c r="B6557" s="22" t="s">
        <v>33</v>
      </c>
      <c r="C6557" s="22" t="s">
        <v>7982</v>
      </c>
      <c r="D6557" s="22" t="s">
        <v>2955</v>
      </c>
      <c r="E6557" s="24" t="s">
        <v>2956</v>
      </c>
      <c r="F6557" s="22" t="s">
        <v>129</v>
      </c>
      <c r="G6557" s="25">
        <v>11124</v>
      </c>
      <c r="H6557" s="22" t="s">
        <v>24</v>
      </c>
      <c r="I6557" s="22">
        <v>1</v>
      </c>
      <c r="J6557" s="22" t="s">
        <v>129</v>
      </c>
      <c r="K6557" s="22" t="s">
        <v>23</v>
      </c>
      <c r="L6557" s="22">
        <v>1</v>
      </c>
      <c r="M6557" s="26">
        <v>122364</v>
      </c>
      <c r="N6557" s="26">
        <v>0</v>
      </c>
      <c r="O6557" s="15">
        <f t="shared" si="557"/>
        <v>122364</v>
      </c>
      <c r="P6557" s="15">
        <f t="shared" ref="P6557:P6620" si="561">O6557/G6557</f>
        <v>11</v>
      </c>
      <c r="Q6557" s="25">
        <v>5000</v>
      </c>
      <c r="R6557" s="22">
        <v>100</v>
      </c>
      <c r="S6557" s="22" t="s">
        <v>7983</v>
      </c>
      <c r="T6557" s="22">
        <f t="shared" si="558"/>
        <v>4</v>
      </c>
      <c r="U6557" s="22">
        <f t="shared" si="559"/>
        <v>2023</v>
      </c>
      <c r="V6557" s="22" t="str">
        <f t="shared" si="560"/>
        <v>METROPOLITANA</v>
      </c>
    </row>
    <row r="6558" spans="1:22" x14ac:dyDescent="0.2">
      <c r="A6558" s="23" t="s">
        <v>7975</v>
      </c>
      <c r="B6558" s="22" t="s">
        <v>33</v>
      </c>
      <c r="C6558" s="22" t="s">
        <v>7984</v>
      </c>
      <c r="D6558" s="22" t="s">
        <v>786</v>
      </c>
      <c r="E6558" s="24" t="s">
        <v>787</v>
      </c>
      <c r="F6558" s="22" t="s">
        <v>129</v>
      </c>
      <c r="G6558" s="25">
        <f>18748.8+5795</f>
        <v>24543.8</v>
      </c>
      <c r="H6558" s="22" t="s">
        <v>788</v>
      </c>
      <c r="I6558" s="22">
        <v>1</v>
      </c>
      <c r="J6558" s="22" t="s">
        <v>129</v>
      </c>
      <c r="K6558" s="22" t="s">
        <v>23</v>
      </c>
      <c r="L6558" s="22">
        <v>1</v>
      </c>
      <c r="M6558" s="26">
        <v>206237</v>
      </c>
      <c r="N6558" s="26">
        <v>0</v>
      </c>
      <c r="O6558" s="15">
        <f t="shared" si="557"/>
        <v>206237</v>
      </c>
      <c r="P6558" s="15">
        <f t="shared" si="561"/>
        <v>8.402814560092569</v>
      </c>
      <c r="Q6558" s="25">
        <v>5000</v>
      </c>
      <c r="R6558" s="22">
        <v>100</v>
      </c>
      <c r="S6558" s="22" t="s">
        <v>7988</v>
      </c>
      <c r="T6558" s="22">
        <f t="shared" si="558"/>
        <v>4</v>
      </c>
      <c r="U6558" s="22">
        <f t="shared" si="559"/>
        <v>2023</v>
      </c>
      <c r="V6558" s="22" t="str">
        <f t="shared" si="560"/>
        <v>METROPOLITANA</v>
      </c>
    </row>
    <row r="6559" spans="1:22" x14ac:dyDescent="0.2">
      <c r="A6559" s="23" t="s">
        <v>7975</v>
      </c>
      <c r="B6559" s="22" t="s">
        <v>33</v>
      </c>
      <c r="C6559" s="22" t="s">
        <v>29</v>
      </c>
      <c r="D6559" s="22" t="s">
        <v>164</v>
      </c>
      <c r="E6559" s="24" t="s">
        <v>1576</v>
      </c>
      <c r="F6559" s="22" t="s">
        <v>39</v>
      </c>
      <c r="G6559" s="25">
        <v>17438.830000000002</v>
      </c>
      <c r="H6559" s="22" t="s">
        <v>22</v>
      </c>
      <c r="I6559" s="22">
        <v>1</v>
      </c>
      <c r="J6559" s="22" t="s">
        <v>39</v>
      </c>
      <c r="K6559" s="22" t="s">
        <v>23</v>
      </c>
      <c r="L6559" s="22">
        <v>1</v>
      </c>
      <c r="M6559" s="26">
        <v>191827</v>
      </c>
      <c r="N6559" s="26">
        <v>0</v>
      </c>
      <c r="O6559" s="15">
        <f t="shared" si="557"/>
        <v>191827</v>
      </c>
      <c r="P6559" s="15">
        <f t="shared" si="561"/>
        <v>10.999992545371448</v>
      </c>
      <c r="Q6559" s="25">
        <v>5000</v>
      </c>
      <c r="R6559" s="22">
        <v>100</v>
      </c>
      <c r="S6559" s="22" t="s">
        <v>7985</v>
      </c>
      <c r="T6559" s="22">
        <f t="shared" si="558"/>
        <v>4</v>
      </c>
      <c r="U6559" s="22">
        <f t="shared" si="559"/>
        <v>2023</v>
      </c>
      <c r="V6559" s="22" t="str">
        <f t="shared" si="560"/>
        <v>METROPOLITANA</v>
      </c>
    </row>
    <row r="6560" spans="1:22" x14ac:dyDescent="0.2">
      <c r="A6560" s="23" t="s">
        <v>7975</v>
      </c>
      <c r="B6560" s="22" t="s">
        <v>33</v>
      </c>
      <c r="C6560" s="22" t="s">
        <v>44</v>
      </c>
      <c r="D6560" s="22" t="s">
        <v>37</v>
      </c>
      <c r="E6560" s="24" t="s">
        <v>40</v>
      </c>
      <c r="F6560" s="22" t="s">
        <v>48</v>
      </c>
      <c r="G6560" s="25">
        <v>4053.38</v>
      </c>
      <c r="H6560" s="22" t="s">
        <v>22</v>
      </c>
      <c r="I6560" s="22">
        <v>0</v>
      </c>
      <c r="J6560" s="22" t="s">
        <v>48</v>
      </c>
      <c r="K6560" s="22" t="s">
        <v>23</v>
      </c>
      <c r="L6560" s="22">
        <v>1</v>
      </c>
      <c r="M6560" s="26">
        <v>69173</v>
      </c>
      <c r="N6560" s="26">
        <v>0</v>
      </c>
      <c r="O6560" s="15">
        <f t="shared" si="557"/>
        <v>69173</v>
      </c>
      <c r="P6560" s="15">
        <f t="shared" si="561"/>
        <v>17.065510758922183</v>
      </c>
      <c r="Q6560" s="25">
        <v>5000</v>
      </c>
      <c r="R6560" s="22">
        <v>81</v>
      </c>
      <c r="S6560" s="22" t="s">
        <v>7986</v>
      </c>
      <c r="T6560" s="22">
        <f t="shared" si="558"/>
        <v>4</v>
      </c>
      <c r="U6560" s="22">
        <f t="shared" si="559"/>
        <v>2023</v>
      </c>
      <c r="V6560" s="22" t="str">
        <f t="shared" si="560"/>
        <v>METROPOLITANA</v>
      </c>
    </row>
    <row r="6561" spans="1:22" x14ac:dyDescent="0.2">
      <c r="A6561" s="23" t="s">
        <v>7975</v>
      </c>
      <c r="B6561" s="22" t="s">
        <v>33</v>
      </c>
      <c r="C6561" s="22" t="s">
        <v>44</v>
      </c>
      <c r="D6561" s="22" t="s">
        <v>45</v>
      </c>
      <c r="E6561" s="24" t="s">
        <v>49</v>
      </c>
      <c r="F6561" s="22" t="s">
        <v>67</v>
      </c>
      <c r="G6561" s="25">
        <v>4233.71</v>
      </c>
      <c r="H6561" s="22" t="s">
        <v>22</v>
      </c>
      <c r="I6561" s="22">
        <v>0</v>
      </c>
      <c r="J6561" s="22" t="s">
        <v>67</v>
      </c>
      <c r="K6561" s="22" t="s">
        <v>23</v>
      </c>
      <c r="L6561" s="22">
        <v>2</v>
      </c>
      <c r="M6561" s="26">
        <v>69173</v>
      </c>
      <c r="N6561" s="26">
        <v>0</v>
      </c>
      <c r="O6561" s="15">
        <f t="shared" si="557"/>
        <v>69173</v>
      </c>
      <c r="P6561" s="15">
        <f t="shared" si="561"/>
        <v>16.338624988485275</v>
      </c>
      <c r="Q6561" s="25">
        <v>5000</v>
      </c>
      <c r="R6561" s="22">
        <v>85</v>
      </c>
      <c r="S6561" s="22" t="s">
        <v>7987</v>
      </c>
      <c r="T6561" s="22">
        <f t="shared" si="558"/>
        <v>4</v>
      </c>
      <c r="U6561" s="22">
        <f t="shared" si="559"/>
        <v>2023</v>
      </c>
      <c r="V6561" s="22" t="str">
        <f t="shared" si="560"/>
        <v>METROPOLITANA</v>
      </c>
    </row>
    <row r="6562" spans="1:22" x14ac:dyDescent="0.2">
      <c r="A6562" s="11" t="s">
        <v>7989</v>
      </c>
      <c r="B6562" s="12" t="s">
        <v>18</v>
      </c>
      <c r="C6562" s="12" t="s">
        <v>7148</v>
      </c>
      <c r="D6562" s="12" t="s">
        <v>7990</v>
      </c>
      <c r="E6562" s="13" t="s">
        <v>7991</v>
      </c>
      <c r="F6562" s="12" t="s">
        <v>129</v>
      </c>
      <c r="G6562" s="14">
        <v>4597.5600000000004</v>
      </c>
      <c r="H6562" s="12" t="s">
        <v>24</v>
      </c>
      <c r="I6562" s="12">
        <v>1</v>
      </c>
      <c r="J6562" s="12" t="s">
        <v>129</v>
      </c>
      <c r="K6562" s="12" t="s">
        <v>23</v>
      </c>
      <c r="L6562" s="12">
        <v>1</v>
      </c>
      <c r="M6562" s="15">
        <v>69173</v>
      </c>
      <c r="N6562" s="15">
        <v>0</v>
      </c>
      <c r="O6562" s="15">
        <f t="shared" si="557"/>
        <v>69173</v>
      </c>
      <c r="P6562" s="15">
        <f t="shared" si="561"/>
        <v>15.045589399594567</v>
      </c>
      <c r="Q6562" s="14">
        <v>5000</v>
      </c>
      <c r="R6562" s="12">
        <v>92</v>
      </c>
      <c r="S6562" s="12" t="s">
        <v>7992</v>
      </c>
      <c r="T6562" s="22">
        <f t="shared" si="558"/>
        <v>4</v>
      </c>
      <c r="U6562" s="22">
        <f t="shared" si="559"/>
        <v>2023</v>
      </c>
      <c r="V6562" s="22" t="str">
        <f t="shared" si="560"/>
        <v>METROPOLITANA</v>
      </c>
    </row>
    <row r="6563" spans="1:22" x14ac:dyDescent="0.2">
      <c r="A6563" s="11" t="s">
        <v>7989</v>
      </c>
      <c r="B6563" s="12" t="s">
        <v>33</v>
      </c>
      <c r="C6563" s="12" t="s">
        <v>60</v>
      </c>
      <c r="D6563" s="12" t="s">
        <v>38</v>
      </c>
      <c r="E6563" s="13" t="s">
        <v>42</v>
      </c>
      <c r="F6563" s="12" t="s">
        <v>51</v>
      </c>
      <c r="G6563" s="14">
        <v>6853.3999999999987</v>
      </c>
      <c r="H6563" s="12" t="s">
        <v>43</v>
      </c>
      <c r="I6563" s="12">
        <v>0</v>
      </c>
      <c r="J6563" s="12" t="s">
        <v>51</v>
      </c>
      <c r="K6563" s="12" t="s">
        <v>23</v>
      </c>
      <c r="L6563" s="12">
        <v>4</v>
      </c>
      <c r="M6563" s="15">
        <v>75387</v>
      </c>
      <c r="N6563" s="15">
        <v>0</v>
      </c>
      <c r="O6563" s="15">
        <f t="shared" si="557"/>
        <v>75387</v>
      </c>
      <c r="P6563" s="15">
        <f t="shared" si="561"/>
        <v>10.999941634809002</v>
      </c>
      <c r="Q6563" s="14">
        <v>5000</v>
      </c>
      <c r="R6563" s="12">
        <v>100</v>
      </c>
      <c r="S6563" s="12" t="s">
        <v>7993</v>
      </c>
      <c r="T6563" s="22">
        <f t="shared" si="558"/>
        <v>4</v>
      </c>
      <c r="U6563" s="22">
        <f t="shared" si="559"/>
        <v>2023</v>
      </c>
      <c r="V6563" s="22" t="str">
        <f t="shared" si="560"/>
        <v>METROPOLITANA</v>
      </c>
    </row>
    <row r="6564" spans="1:22" x14ac:dyDescent="0.2">
      <c r="A6564" s="11" t="s">
        <v>7989</v>
      </c>
      <c r="B6564" s="12" t="s">
        <v>33</v>
      </c>
      <c r="C6564" s="12" t="s">
        <v>60</v>
      </c>
      <c r="D6564" s="12" t="s">
        <v>2955</v>
      </c>
      <c r="E6564" s="13" t="s">
        <v>2956</v>
      </c>
      <c r="F6564" s="12" t="s">
        <v>3835</v>
      </c>
      <c r="G6564" s="14">
        <v>15514.099999999989</v>
      </c>
      <c r="H6564" s="12" t="s">
        <v>24</v>
      </c>
      <c r="I6564" s="12">
        <v>1</v>
      </c>
      <c r="J6564" s="12" t="s">
        <v>3835</v>
      </c>
      <c r="K6564" s="12" t="s">
        <v>171</v>
      </c>
      <c r="L6564" s="12">
        <v>0</v>
      </c>
      <c r="M6564" s="15">
        <v>352000</v>
      </c>
      <c r="N6564" s="15">
        <v>0</v>
      </c>
      <c r="O6564" s="15">
        <f t="shared" si="557"/>
        <v>352000</v>
      </c>
      <c r="P6564" s="15">
        <f t="shared" si="561"/>
        <v>22.689037714079465</v>
      </c>
      <c r="Q6564" s="14">
        <v>14000</v>
      </c>
      <c r="R6564" s="12">
        <v>100</v>
      </c>
      <c r="S6564" s="12" t="s">
        <v>7994</v>
      </c>
      <c r="T6564" s="22">
        <f t="shared" si="558"/>
        <v>4</v>
      </c>
      <c r="U6564" s="22">
        <f t="shared" si="559"/>
        <v>2023</v>
      </c>
      <c r="V6564" s="22" t="str">
        <f t="shared" si="560"/>
        <v>REGIONES</v>
      </c>
    </row>
    <row r="6565" spans="1:22" x14ac:dyDescent="0.2">
      <c r="A6565" s="11" t="s">
        <v>7989</v>
      </c>
      <c r="B6565" s="12" t="s">
        <v>33</v>
      </c>
      <c r="C6565" s="12" t="s">
        <v>2862</v>
      </c>
      <c r="D6565" s="12" t="s">
        <v>37</v>
      </c>
      <c r="E6565" s="13" t="s">
        <v>40</v>
      </c>
      <c r="F6565" s="12" t="s">
        <v>129</v>
      </c>
      <c r="G6565" s="14">
        <v>9004.7999999999975</v>
      </c>
      <c r="H6565" s="12" t="s">
        <v>22</v>
      </c>
      <c r="I6565" s="12">
        <v>0</v>
      </c>
      <c r="J6565" s="12" t="s">
        <v>129</v>
      </c>
      <c r="K6565" s="12" t="s">
        <v>23</v>
      </c>
      <c r="L6565" s="12">
        <v>1</v>
      </c>
      <c r="M6565" s="15">
        <v>99053</v>
      </c>
      <c r="N6565" s="15">
        <v>0</v>
      </c>
      <c r="O6565" s="15">
        <f t="shared" si="557"/>
        <v>99053</v>
      </c>
      <c r="P6565" s="15">
        <f t="shared" si="561"/>
        <v>11.000022210376692</v>
      </c>
      <c r="Q6565" s="14">
        <v>5000</v>
      </c>
      <c r="R6565" s="12">
        <v>100</v>
      </c>
      <c r="S6565" s="12" t="s">
        <v>7995</v>
      </c>
      <c r="T6565" s="22">
        <f t="shared" si="558"/>
        <v>4</v>
      </c>
      <c r="U6565" s="22">
        <f t="shared" si="559"/>
        <v>2023</v>
      </c>
      <c r="V6565" s="22" t="str">
        <f t="shared" si="560"/>
        <v>METROPOLITANA</v>
      </c>
    </row>
    <row r="6566" spans="1:22" x14ac:dyDescent="0.2">
      <c r="A6566" s="11" t="s">
        <v>7989</v>
      </c>
      <c r="B6566" s="12" t="s">
        <v>33</v>
      </c>
      <c r="C6566" s="12" t="s">
        <v>2862</v>
      </c>
      <c r="D6566" s="12" t="s">
        <v>30</v>
      </c>
      <c r="E6566" s="13" t="s">
        <v>31</v>
      </c>
      <c r="F6566" s="12" t="s">
        <v>129</v>
      </c>
      <c r="G6566" s="14">
        <v>9755.1999999999971</v>
      </c>
      <c r="H6566" s="12" t="s">
        <v>32</v>
      </c>
      <c r="I6566" s="12">
        <v>0</v>
      </c>
      <c r="J6566" s="12" t="s">
        <v>129</v>
      </c>
      <c r="K6566" s="12" t="s">
        <v>23</v>
      </c>
      <c r="L6566" s="12">
        <v>1</v>
      </c>
      <c r="M6566" s="15">
        <v>107307</v>
      </c>
      <c r="N6566" s="15">
        <v>0</v>
      </c>
      <c r="O6566" s="15">
        <f t="shared" si="557"/>
        <v>107307</v>
      </c>
      <c r="P6566" s="15">
        <f t="shared" si="561"/>
        <v>10.999979498113829</v>
      </c>
      <c r="Q6566" s="14">
        <v>5000</v>
      </c>
      <c r="R6566" s="12">
        <v>100</v>
      </c>
      <c r="S6566" s="12" t="s">
        <v>7996</v>
      </c>
      <c r="T6566" s="22">
        <f t="shared" si="558"/>
        <v>4</v>
      </c>
      <c r="U6566" s="22">
        <f t="shared" si="559"/>
        <v>2023</v>
      </c>
      <c r="V6566" s="22" t="str">
        <f t="shared" si="560"/>
        <v>METROPOLITANA</v>
      </c>
    </row>
    <row r="6567" spans="1:22" x14ac:dyDescent="0.2">
      <c r="A6567" s="11" t="s">
        <v>7989</v>
      </c>
      <c r="B6567" s="12" t="s">
        <v>33</v>
      </c>
      <c r="C6567" s="12" t="s">
        <v>29</v>
      </c>
      <c r="D6567" s="12" t="s">
        <v>7779</v>
      </c>
      <c r="E6567" s="13" t="s">
        <v>131</v>
      </c>
      <c r="F6567" s="12" t="s">
        <v>114</v>
      </c>
      <c r="G6567" s="14">
        <v>17706.599999999991</v>
      </c>
      <c r="H6567" s="12" t="s">
        <v>24</v>
      </c>
      <c r="I6567" s="12">
        <v>1</v>
      </c>
      <c r="J6567" s="12" t="s">
        <v>114</v>
      </c>
      <c r="K6567" s="12" t="s">
        <v>75</v>
      </c>
      <c r="L6567" s="12">
        <v>0</v>
      </c>
      <c r="M6567" s="15">
        <v>528000</v>
      </c>
      <c r="N6567" s="15">
        <v>0</v>
      </c>
      <c r="O6567" s="15">
        <f t="shared" si="557"/>
        <v>528000</v>
      </c>
      <c r="P6567" s="15">
        <f t="shared" si="561"/>
        <v>29.819389380231115</v>
      </c>
      <c r="Q6567" s="14">
        <v>14000</v>
      </c>
      <c r="R6567" s="12">
        <v>100</v>
      </c>
      <c r="S6567" s="12" t="s">
        <v>7997</v>
      </c>
      <c r="T6567" s="22">
        <f t="shared" si="558"/>
        <v>4</v>
      </c>
      <c r="U6567" s="22">
        <f t="shared" si="559"/>
        <v>2023</v>
      </c>
      <c r="V6567" s="22" t="str">
        <f t="shared" si="560"/>
        <v>REGIONES</v>
      </c>
    </row>
    <row r="6568" spans="1:22" x14ac:dyDescent="0.2">
      <c r="A6568" s="11" t="s">
        <v>7989</v>
      </c>
      <c r="B6568" s="12" t="s">
        <v>33</v>
      </c>
      <c r="C6568" s="12" t="s">
        <v>29</v>
      </c>
      <c r="D6568" s="12" t="s">
        <v>7998</v>
      </c>
      <c r="E6568" s="13" t="s">
        <v>7712</v>
      </c>
      <c r="F6568" s="12" t="s">
        <v>815</v>
      </c>
      <c r="G6568" s="14">
        <v>26023.30000000001</v>
      </c>
      <c r="H6568" s="12" t="s">
        <v>24</v>
      </c>
      <c r="I6568" s="12">
        <v>1</v>
      </c>
      <c r="J6568" s="12" t="s">
        <v>815</v>
      </c>
      <c r="K6568" s="12" t="s">
        <v>75</v>
      </c>
      <c r="L6568" s="12">
        <v>0</v>
      </c>
      <c r="M6568" s="15">
        <v>528000</v>
      </c>
      <c r="N6568" s="15">
        <v>0</v>
      </c>
      <c r="O6568" s="15">
        <f t="shared" si="557"/>
        <v>528000</v>
      </c>
      <c r="P6568" s="15">
        <f t="shared" si="561"/>
        <v>20.289509785461483</v>
      </c>
      <c r="Q6568" s="14">
        <v>14000</v>
      </c>
      <c r="R6568" s="12">
        <v>100</v>
      </c>
      <c r="S6568" s="12" t="s">
        <v>7999</v>
      </c>
      <c r="T6568" s="22">
        <f t="shared" si="558"/>
        <v>4</v>
      </c>
      <c r="U6568" s="22">
        <f t="shared" si="559"/>
        <v>2023</v>
      </c>
      <c r="V6568" s="22" t="str">
        <f t="shared" si="560"/>
        <v>REGIONES</v>
      </c>
    </row>
    <row r="6569" spans="1:22" x14ac:dyDescent="0.2">
      <c r="A6569" s="11" t="s">
        <v>7989</v>
      </c>
      <c r="B6569" s="12" t="s">
        <v>33</v>
      </c>
      <c r="C6569" s="12" t="s">
        <v>29</v>
      </c>
      <c r="D6569" s="12" t="s">
        <v>370</v>
      </c>
      <c r="E6569" s="13" t="s">
        <v>371</v>
      </c>
      <c r="F6569" s="12" t="s">
        <v>114</v>
      </c>
      <c r="G6569" s="14">
        <v>20585.84</v>
      </c>
      <c r="H6569" s="12" t="s">
        <v>85</v>
      </c>
      <c r="I6569" s="12">
        <v>1</v>
      </c>
      <c r="J6569" s="12" t="s">
        <v>114</v>
      </c>
      <c r="K6569" s="12" t="s">
        <v>75</v>
      </c>
      <c r="L6569" s="12">
        <v>0</v>
      </c>
      <c r="M6569" s="15">
        <v>528000</v>
      </c>
      <c r="N6569" s="15">
        <v>0</v>
      </c>
      <c r="O6569" s="15">
        <f t="shared" si="557"/>
        <v>528000</v>
      </c>
      <c r="P6569" s="15">
        <f t="shared" si="561"/>
        <v>25.648698328559824</v>
      </c>
      <c r="Q6569" s="14">
        <v>14000</v>
      </c>
      <c r="R6569" s="12">
        <v>100</v>
      </c>
      <c r="S6569" s="12" t="s">
        <v>8000</v>
      </c>
      <c r="T6569" s="22">
        <f t="shared" si="558"/>
        <v>4</v>
      </c>
      <c r="U6569" s="22">
        <f t="shared" si="559"/>
        <v>2023</v>
      </c>
      <c r="V6569" s="22" t="str">
        <f t="shared" si="560"/>
        <v>REGIONES</v>
      </c>
    </row>
    <row r="6570" spans="1:22" x14ac:dyDescent="0.2">
      <c r="A6570" s="11" t="s">
        <v>7989</v>
      </c>
      <c r="B6570" s="12" t="s">
        <v>33</v>
      </c>
      <c r="C6570" s="12" t="s">
        <v>44</v>
      </c>
      <c r="D6570" s="12" t="s">
        <v>45</v>
      </c>
      <c r="E6570" s="13" t="s">
        <v>49</v>
      </c>
      <c r="F6570" s="12" t="s">
        <v>46</v>
      </c>
      <c r="G6570" s="14">
        <v>2603.9700000000012</v>
      </c>
      <c r="H6570" s="12" t="s">
        <v>22</v>
      </c>
      <c r="I6570" s="12">
        <v>0</v>
      </c>
      <c r="J6570" s="12" t="s">
        <v>46</v>
      </c>
      <c r="K6570" s="12" t="s">
        <v>23</v>
      </c>
      <c r="L6570" s="12">
        <v>2</v>
      </c>
      <c r="M6570" s="15">
        <v>69173</v>
      </c>
      <c r="N6570" s="15">
        <v>0</v>
      </c>
      <c r="O6570" s="15">
        <f t="shared" si="557"/>
        <v>69173</v>
      </c>
      <c r="P6570" s="15">
        <f t="shared" si="561"/>
        <v>26.564438146368801</v>
      </c>
      <c r="Q6570" s="14">
        <v>5000</v>
      </c>
      <c r="R6570" s="12">
        <v>52</v>
      </c>
      <c r="S6570" s="12" t="s">
        <v>8001</v>
      </c>
      <c r="T6570" s="22">
        <f t="shared" si="558"/>
        <v>4</v>
      </c>
      <c r="U6570" s="22">
        <f t="shared" si="559"/>
        <v>2023</v>
      </c>
      <c r="V6570" s="22" t="str">
        <f t="shared" si="560"/>
        <v>METROPOLITANA</v>
      </c>
    </row>
    <row r="6571" spans="1:22" x14ac:dyDescent="0.2">
      <c r="A6571" s="23" t="s">
        <v>8002</v>
      </c>
      <c r="B6571" s="22" t="s">
        <v>18</v>
      </c>
      <c r="C6571" s="22" t="s">
        <v>7148</v>
      </c>
      <c r="D6571" s="22" t="s">
        <v>7990</v>
      </c>
      <c r="E6571" s="24" t="s">
        <v>7991</v>
      </c>
      <c r="F6571" s="22" t="s">
        <v>129</v>
      </c>
      <c r="G6571" s="25">
        <v>9195.1200000000008</v>
      </c>
      <c r="H6571" s="22" t="s">
        <v>24</v>
      </c>
      <c r="I6571" s="22">
        <v>1</v>
      </c>
      <c r="J6571" s="22" t="s">
        <v>129</v>
      </c>
      <c r="K6571" s="22" t="s">
        <v>23</v>
      </c>
      <c r="L6571" s="22">
        <v>1</v>
      </c>
      <c r="M6571" s="26">
        <v>101146</v>
      </c>
      <c r="N6571" s="26">
        <v>0</v>
      </c>
      <c r="O6571" s="15">
        <f t="shared" si="557"/>
        <v>101146</v>
      </c>
      <c r="P6571" s="15">
        <f t="shared" si="561"/>
        <v>10.999965198931607</v>
      </c>
      <c r="Q6571" s="25">
        <v>5000</v>
      </c>
      <c r="R6571" s="22">
        <v>100</v>
      </c>
      <c r="S6571" s="22" t="s">
        <v>8003</v>
      </c>
      <c r="T6571" s="22">
        <f t="shared" si="558"/>
        <v>4</v>
      </c>
      <c r="U6571" s="22">
        <f t="shared" si="559"/>
        <v>2023</v>
      </c>
      <c r="V6571" s="22" t="str">
        <f t="shared" si="560"/>
        <v>METROPOLITANA</v>
      </c>
    </row>
    <row r="6572" spans="1:22" x14ac:dyDescent="0.2">
      <c r="A6572" s="23" t="s">
        <v>8002</v>
      </c>
      <c r="B6572" s="22" t="s">
        <v>33</v>
      </c>
      <c r="C6572" s="22" t="s">
        <v>128</v>
      </c>
      <c r="D6572" s="22" t="s">
        <v>30</v>
      </c>
      <c r="E6572" s="24" t="s">
        <v>31</v>
      </c>
      <c r="F6572" s="22" t="s">
        <v>34</v>
      </c>
      <c r="G6572" s="25">
        <v>5105.7999999999984</v>
      </c>
      <c r="H6572" s="22" t="s">
        <v>32</v>
      </c>
      <c r="I6572" s="22">
        <v>0</v>
      </c>
      <c r="J6572" s="22" t="s">
        <v>34</v>
      </c>
      <c r="K6572" s="22" t="s">
        <v>23</v>
      </c>
      <c r="L6572" s="22">
        <v>1</v>
      </c>
      <c r="M6572" s="26">
        <v>56164</v>
      </c>
      <c r="N6572" s="26">
        <v>0</v>
      </c>
      <c r="O6572" s="15">
        <f t="shared" si="557"/>
        <v>56164</v>
      </c>
      <c r="P6572" s="15">
        <f t="shared" si="561"/>
        <v>11.000039171138708</v>
      </c>
      <c r="Q6572" s="25">
        <v>5000</v>
      </c>
      <c r="R6572" s="22">
        <v>100</v>
      </c>
      <c r="S6572" s="22" t="s">
        <v>8004</v>
      </c>
      <c r="T6572" s="22">
        <f t="shared" si="558"/>
        <v>4</v>
      </c>
      <c r="U6572" s="22">
        <f t="shared" si="559"/>
        <v>2023</v>
      </c>
      <c r="V6572" s="22" t="str">
        <f t="shared" si="560"/>
        <v>METROPOLITANA</v>
      </c>
    </row>
    <row r="6573" spans="1:22" x14ac:dyDescent="0.2">
      <c r="A6573" s="23" t="s">
        <v>8002</v>
      </c>
      <c r="B6573" s="22" t="s">
        <v>33</v>
      </c>
      <c r="C6573" s="22" t="s">
        <v>5851</v>
      </c>
      <c r="D6573" s="22" t="s">
        <v>786</v>
      </c>
      <c r="E6573" s="24" t="s">
        <v>787</v>
      </c>
      <c r="F6573" s="22" t="s">
        <v>274</v>
      </c>
      <c r="G6573" s="25">
        <v>9950.4</v>
      </c>
      <c r="H6573" s="22" t="s">
        <v>788</v>
      </c>
      <c r="I6573" s="22">
        <v>1</v>
      </c>
      <c r="J6573" s="22" t="s">
        <v>274</v>
      </c>
      <c r="K6573" s="22" t="s">
        <v>78</v>
      </c>
      <c r="L6573" s="22">
        <v>0</v>
      </c>
      <c r="M6573" s="26">
        <v>289000</v>
      </c>
      <c r="N6573" s="26">
        <v>0</v>
      </c>
      <c r="O6573" s="15">
        <f t="shared" si="557"/>
        <v>289000</v>
      </c>
      <c r="P6573" s="15">
        <f t="shared" si="561"/>
        <v>29.044058530310341</v>
      </c>
      <c r="Q6573" s="25">
        <v>14000</v>
      </c>
      <c r="R6573" s="22">
        <v>71</v>
      </c>
      <c r="S6573" s="22" t="s">
        <v>8005</v>
      </c>
      <c r="T6573" s="22">
        <f t="shared" si="558"/>
        <v>4</v>
      </c>
      <c r="U6573" s="22">
        <f t="shared" si="559"/>
        <v>2023</v>
      </c>
      <c r="V6573" s="22" t="str">
        <f t="shared" si="560"/>
        <v>REGIONES</v>
      </c>
    </row>
    <row r="6574" spans="1:22" x14ac:dyDescent="0.2">
      <c r="A6574" s="23" t="s">
        <v>8002</v>
      </c>
      <c r="B6574" s="22" t="s">
        <v>33</v>
      </c>
      <c r="C6574" s="22" t="s">
        <v>29</v>
      </c>
      <c r="D6574" s="22" t="s">
        <v>38</v>
      </c>
      <c r="E6574" s="24" t="s">
        <v>42</v>
      </c>
      <c r="F6574" s="22" t="s">
        <v>39</v>
      </c>
      <c r="G6574" s="25">
        <f>10328.6+1648</f>
        <v>11976.6</v>
      </c>
      <c r="H6574" s="22" t="s">
        <v>43</v>
      </c>
      <c r="I6574" s="22">
        <v>0</v>
      </c>
      <c r="J6574" s="22" t="s">
        <v>39</v>
      </c>
      <c r="K6574" s="22" t="s">
        <v>23</v>
      </c>
      <c r="L6574" s="22">
        <v>1</v>
      </c>
      <c r="M6574" s="26">
        <v>113615</v>
      </c>
      <c r="N6574" s="26">
        <v>0</v>
      </c>
      <c r="O6574" s="15">
        <f t="shared" si="557"/>
        <v>113615</v>
      </c>
      <c r="P6574" s="15">
        <f t="shared" si="561"/>
        <v>9.4864151762603743</v>
      </c>
      <c r="Q6574" s="25">
        <v>5000</v>
      </c>
      <c r="R6574" s="22">
        <v>100</v>
      </c>
      <c r="S6574" s="22" t="s">
        <v>8011</v>
      </c>
      <c r="T6574" s="22">
        <f t="shared" si="558"/>
        <v>4</v>
      </c>
      <c r="U6574" s="22">
        <f t="shared" si="559"/>
        <v>2023</v>
      </c>
      <c r="V6574" s="22" t="str">
        <f t="shared" si="560"/>
        <v>METROPOLITANA</v>
      </c>
    </row>
    <row r="6575" spans="1:22" x14ac:dyDescent="0.2">
      <c r="A6575" s="23" t="s">
        <v>8002</v>
      </c>
      <c r="B6575" s="22" t="s">
        <v>33</v>
      </c>
      <c r="C6575" s="22" t="s">
        <v>29</v>
      </c>
      <c r="D6575" s="22" t="s">
        <v>164</v>
      </c>
      <c r="E6575" s="24" t="s">
        <v>1576</v>
      </c>
      <c r="F6575" s="22" t="s">
        <v>39</v>
      </c>
      <c r="G6575" s="25">
        <v>18234.400000000001</v>
      </c>
      <c r="H6575" s="22" t="s">
        <v>22</v>
      </c>
      <c r="I6575" s="22">
        <v>1</v>
      </c>
      <c r="J6575" s="22" t="s">
        <v>39</v>
      </c>
      <c r="K6575" s="22" t="s">
        <v>23</v>
      </c>
      <c r="L6575" s="22">
        <v>1</v>
      </c>
      <c r="M6575" s="26">
        <v>200578</v>
      </c>
      <c r="N6575" s="26">
        <v>0</v>
      </c>
      <c r="O6575" s="15">
        <f t="shared" si="557"/>
        <v>200578</v>
      </c>
      <c r="P6575" s="15">
        <f t="shared" si="561"/>
        <v>10.99997806344053</v>
      </c>
      <c r="Q6575" s="25">
        <v>5000</v>
      </c>
      <c r="R6575" s="22">
        <v>100</v>
      </c>
      <c r="S6575" s="22" t="s">
        <v>8006</v>
      </c>
      <c r="T6575" s="22">
        <f t="shared" si="558"/>
        <v>4</v>
      </c>
      <c r="U6575" s="22">
        <f t="shared" si="559"/>
        <v>2023</v>
      </c>
      <c r="V6575" s="22" t="str">
        <f t="shared" si="560"/>
        <v>METROPOLITANA</v>
      </c>
    </row>
    <row r="6576" spans="1:22" x14ac:dyDescent="0.2">
      <c r="A6576" s="23" t="s">
        <v>8002</v>
      </c>
      <c r="B6576" s="22" t="s">
        <v>33</v>
      </c>
      <c r="C6576" s="22" t="s">
        <v>44</v>
      </c>
      <c r="D6576" s="22" t="s">
        <v>37</v>
      </c>
      <c r="E6576" s="24" t="s">
        <v>8007</v>
      </c>
      <c r="F6576" s="22" t="s">
        <v>34</v>
      </c>
      <c r="G6576" s="25">
        <v>2815</v>
      </c>
      <c r="H6576" s="22" t="s">
        <v>22</v>
      </c>
      <c r="I6576" s="22">
        <v>0</v>
      </c>
      <c r="J6576" s="22" t="s">
        <v>34</v>
      </c>
      <c r="K6576" s="22" t="s">
        <v>23</v>
      </c>
      <c r="L6576" s="22">
        <v>1</v>
      </c>
      <c r="M6576" s="26">
        <v>69173</v>
      </c>
      <c r="N6576" s="26">
        <v>0</v>
      </c>
      <c r="O6576" s="15">
        <f t="shared" si="557"/>
        <v>69173</v>
      </c>
      <c r="P6576" s="15">
        <f t="shared" si="561"/>
        <v>24.573001776198936</v>
      </c>
      <c r="Q6576" s="25">
        <v>5000</v>
      </c>
      <c r="R6576" s="22">
        <v>56</v>
      </c>
      <c r="S6576" s="22" t="s">
        <v>8008</v>
      </c>
      <c r="T6576" s="22">
        <f t="shared" si="558"/>
        <v>4</v>
      </c>
      <c r="U6576" s="22">
        <f t="shared" si="559"/>
        <v>2023</v>
      </c>
      <c r="V6576" s="22" t="str">
        <f t="shared" si="560"/>
        <v>METROPOLITANA</v>
      </c>
    </row>
    <row r="6577" spans="1:22" x14ac:dyDescent="0.2">
      <c r="A6577" s="23" t="s">
        <v>8002</v>
      </c>
      <c r="B6577" s="22" t="s">
        <v>33</v>
      </c>
      <c r="C6577" s="22" t="s">
        <v>44</v>
      </c>
      <c r="D6577" s="22" t="s">
        <v>45</v>
      </c>
      <c r="E6577" s="24" t="s">
        <v>49</v>
      </c>
      <c r="F6577" s="22" t="s">
        <v>95</v>
      </c>
      <c r="G6577" s="25">
        <v>3044.3</v>
      </c>
      <c r="H6577" s="22" t="s">
        <v>22</v>
      </c>
      <c r="I6577" s="22">
        <v>0</v>
      </c>
      <c r="J6577" s="22" t="s">
        <v>95</v>
      </c>
      <c r="K6577" s="22" t="s">
        <v>23</v>
      </c>
      <c r="L6577" s="22">
        <v>4</v>
      </c>
      <c r="M6577" s="26">
        <v>69173</v>
      </c>
      <c r="N6577" s="26">
        <v>0</v>
      </c>
      <c r="O6577" s="15">
        <f t="shared" si="557"/>
        <v>69173</v>
      </c>
      <c r="P6577" s="15">
        <f t="shared" si="561"/>
        <v>22.722136451729462</v>
      </c>
      <c r="Q6577" s="25">
        <v>5000</v>
      </c>
      <c r="R6577" s="22">
        <v>61</v>
      </c>
      <c r="S6577" s="22" t="s">
        <v>8009</v>
      </c>
      <c r="T6577" s="22">
        <f t="shared" si="558"/>
        <v>4</v>
      </c>
      <c r="U6577" s="22">
        <f t="shared" si="559"/>
        <v>2023</v>
      </c>
      <c r="V6577" s="22" t="str">
        <f t="shared" si="560"/>
        <v>METROPOLITANA</v>
      </c>
    </row>
    <row r="6578" spans="1:22" x14ac:dyDescent="0.2">
      <c r="A6578" s="23" t="s">
        <v>8002</v>
      </c>
      <c r="B6578" s="22" t="s">
        <v>33</v>
      </c>
      <c r="C6578" s="22" t="s">
        <v>44</v>
      </c>
      <c r="D6578" s="22" t="s">
        <v>20</v>
      </c>
      <c r="E6578" s="24" t="s">
        <v>21</v>
      </c>
      <c r="F6578" s="22" t="s">
        <v>182</v>
      </c>
      <c r="G6578" s="25">
        <v>3071.42</v>
      </c>
      <c r="H6578" s="22" t="s">
        <v>22</v>
      </c>
      <c r="I6578" s="22">
        <v>0</v>
      </c>
      <c r="J6578" s="22" t="s">
        <v>182</v>
      </c>
      <c r="K6578" s="22" t="s">
        <v>23</v>
      </c>
      <c r="L6578" s="22">
        <v>4</v>
      </c>
      <c r="M6578" s="26">
        <v>69173</v>
      </c>
      <c r="N6578" s="26">
        <v>0</v>
      </c>
      <c r="O6578" s="15">
        <f t="shared" si="557"/>
        <v>69173</v>
      </c>
      <c r="P6578" s="15">
        <f t="shared" si="561"/>
        <v>22.521504711175936</v>
      </c>
      <c r="Q6578" s="25">
        <v>5000</v>
      </c>
      <c r="R6578" s="22">
        <v>61</v>
      </c>
      <c r="S6578" s="22" t="s">
        <v>8010</v>
      </c>
      <c r="T6578" s="22">
        <f t="shared" si="558"/>
        <v>4</v>
      </c>
      <c r="U6578" s="22">
        <f t="shared" si="559"/>
        <v>2023</v>
      </c>
      <c r="V6578" s="22" t="str">
        <f t="shared" si="560"/>
        <v>METROPOLITANA</v>
      </c>
    </row>
    <row r="6579" spans="1:22" x14ac:dyDescent="0.2">
      <c r="A6579" s="11" t="s">
        <v>8012</v>
      </c>
      <c r="B6579" s="12" t="s">
        <v>18</v>
      </c>
      <c r="C6579" s="12" t="s">
        <v>7923</v>
      </c>
      <c r="D6579" s="12" t="s">
        <v>5478</v>
      </c>
      <c r="E6579" s="13" t="s">
        <v>83</v>
      </c>
      <c r="F6579" s="12" t="s">
        <v>92</v>
      </c>
      <c r="G6579" s="14">
        <v>15421.97</v>
      </c>
      <c r="H6579" s="12" t="s">
        <v>24</v>
      </c>
      <c r="I6579" s="12">
        <v>1</v>
      </c>
      <c r="J6579" s="12" t="s">
        <v>92</v>
      </c>
      <c r="K6579" s="12" t="s">
        <v>93</v>
      </c>
      <c r="L6579" s="12">
        <v>0</v>
      </c>
      <c r="M6579" s="15">
        <v>779000</v>
      </c>
      <c r="N6579" s="15">
        <v>0</v>
      </c>
      <c r="O6579" s="15">
        <f t="shared" si="557"/>
        <v>779000</v>
      </c>
      <c r="P6579" s="15">
        <f t="shared" si="561"/>
        <v>50.512353480132568</v>
      </c>
      <c r="Q6579" s="14">
        <v>14000</v>
      </c>
      <c r="R6579" s="12">
        <v>100</v>
      </c>
      <c r="S6579" s="12" t="s">
        <v>8013</v>
      </c>
      <c r="T6579" s="22">
        <f t="shared" si="558"/>
        <v>4</v>
      </c>
      <c r="U6579" s="22">
        <f t="shared" si="559"/>
        <v>2023</v>
      </c>
      <c r="V6579" s="22" t="str">
        <f t="shared" si="560"/>
        <v>REGIONES</v>
      </c>
    </row>
    <row r="6580" spans="1:22" x14ac:dyDescent="0.2">
      <c r="A6580" s="11" t="s">
        <v>8012</v>
      </c>
      <c r="B6580" s="12" t="s">
        <v>18</v>
      </c>
      <c r="C6580" s="12" t="s">
        <v>29</v>
      </c>
      <c r="D6580" s="12" t="s">
        <v>6218</v>
      </c>
      <c r="E6580" s="13" t="s">
        <v>5696</v>
      </c>
      <c r="F6580" s="12" t="s">
        <v>39</v>
      </c>
      <c r="G6580" s="14">
        <v>25682</v>
      </c>
      <c r="H6580" s="12" t="s">
        <v>24</v>
      </c>
      <c r="I6580" s="12">
        <v>1</v>
      </c>
      <c r="J6580" s="12" t="s">
        <v>39</v>
      </c>
      <c r="K6580" s="12" t="s">
        <v>23</v>
      </c>
      <c r="L6580" s="12">
        <v>1</v>
      </c>
      <c r="M6580" s="15">
        <v>282502</v>
      </c>
      <c r="N6580" s="15">
        <v>0</v>
      </c>
      <c r="O6580" s="15">
        <f t="shared" si="557"/>
        <v>282502</v>
      </c>
      <c r="P6580" s="15">
        <f t="shared" si="561"/>
        <v>11</v>
      </c>
      <c r="Q6580" s="14">
        <v>5000</v>
      </c>
      <c r="R6580" s="12">
        <v>100</v>
      </c>
      <c r="S6580" s="12" t="s">
        <v>8014</v>
      </c>
      <c r="T6580" s="22">
        <f t="shared" si="558"/>
        <v>4</v>
      </c>
      <c r="U6580" s="22">
        <f t="shared" si="559"/>
        <v>2023</v>
      </c>
      <c r="V6580" s="22" t="str">
        <f t="shared" si="560"/>
        <v>METROPOLITANA</v>
      </c>
    </row>
    <row r="6581" spans="1:22" x14ac:dyDescent="0.2">
      <c r="A6581" s="11" t="s">
        <v>8012</v>
      </c>
      <c r="B6581" s="12" t="s">
        <v>18</v>
      </c>
      <c r="C6581" s="12" t="s">
        <v>29</v>
      </c>
      <c r="D6581" s="12" t="s">
        <v>6221</v>
      </c>
      <c r="E6581" s="13" t="s">
        <v>7100</v>
      </c>
      <c r="F6581" s="12" t="s">
        <v>39</v>
      </c>
      <c r="G6581" s="14">
        <v>25682</v>
      </c>
      <c r="H6581" s="12" t="s">
        <v>24</v>
      </c>
      <c r="I6581" s="12">
        <v>1</v>
      </c>
      <c r="J6581" s="12" t="s">
        <v>39</v>
      </c>
      <c r="K6581" s="12" t="s">
        <v>23</v>
      </c>
      <c r="L6581" s="12">
        <v>1</v>
      </c>
      <c r="M6581" s="15">
        <v>282502</v>
      </c>
      <c r="N6581" s="15">
        <v>0</v>
      </c>
      <c r="O6581" s="15">
        <f t="shared" si="557"/>
        <v>282502</v>
      </c>
      <c r="P6581" s="15">
        <f t="shared" si="561"/>
        <v>11</v>
      </c>
      <c r="Q6581" s="14">
        <v>5000</v>
      </c>
      <c r="R6581" s="12">
        <v>100</v>
      </c>
      <c r="S6581" s="12" t="s">
        <v>8015</v>
      </c>
      <c r="T6581" s="22">
        <f t="shared" si="558"/>
        <v>4</v>
      </c>
      <c r="U6581" s="22">
        <f t="shared" si="559"/>
        <v>2023</v>
      </c>
      <c r="V6581" s="22" t="str">
        <f t="shared" si="560"/>
        <v>METROPOLITANA</v>
      </c>
    </row>
    <row r="6582" spans="1:22" x14ac:dyDescent="0.2">
      <c r="A6582" s="11" t="s">
        <v>8012</v>
      </c>
      <c r="B6582" s="12" t="s">
        <v>33</v>
      </c>
      <c r="C6582" s="12" t="s">
        <v>8016</v>
      </c>
      <c r="D6582" s="12" t="s">
        <v>41</v>
      </c>
      <c r="E6582" s="13" t="s">
        <v>42</v>
      </c>
      <c r="F6582" s="12" t="s">
        <v>120</v>
      </c>
      <c r="G6582" s="14">
        <v>9379.9999999999982</v>
      </c>
      <c r="H6582" s="12" t="s">
        <v>43</v>
      </c>
      <c r="I6582" s="12">
        <v>0</v>
      </c>
      <c r="J6582" s="12" t="s">
        <v>120</v>
      </c>
      <c r="K6582" s="12" t="s">
        <v>23</v>
      </c>
      <c r="L6582" s="12">
        <v>5</v>
      </c>
      <c r="M6582" s="15">
        <v>87500</v>
      </c>
      <c r="N6582" s="15">
        <v>0</v>
      </c>
      <c r="O6582" s="15">
        <f t="shared" si="557"/>
        <v>87500</v>
      </c>
      <c r="P6582" s="15">
        <f t="shared" si="561"/>
        <v>9.3283582089552262</v>
      </c>
      <c r="Q6582" s="14">
        <v>10000</v>
      </c>
      <c r="R6582" s="12">
        <v>94</v>
      </c>
      <c r="S6582" s="12" t="s">
        <v>8017</v>
      </c>
      <c r="T6582" s="22">
        <f t="shared" si="558"/>
        <v>4</v>
      </c>
      <c r="U6582" s="22">
        <f t="shared" si="559"/>
        <v>2023</v>
      </c>
      <c r="V6582" s="22" t="str">
        <f t="shared" si="560"/>
        <v>METROPOLITANA</v>
      </c>
    </row>
    <row r="6583" spans="1:22" x14ac:dyDescent="0.2">
      <c r="A6583" s="11" t="s">
        <v>8012</v>
      </c>
      <c r="B6583" s="12" t="s">
        <v>33</v>
      </c>
      <c r="C6583" s="12" t="s">
        <v>128</v>
      </c>
      <c r="D6583" s="12" t="s">
        <v>37</v>
      </c>
      <c r="E6583" s="13" t="s">
        <v>40</v>
      </c>
      <c r="F6583" s="12" t="s">
        <v>274</v>
      </c>
      <c r="G6583" s="14">
        <v>7503.9999999999973</v>
      </c>
      <c r="H6583" s="12" t="s">
        <v>22</v>
      </c>
      <c r="I6583" s="12">
        <v>0</v>
      </c>
      <c r="J6583" s="12" t="s">
        <v>274</v>
      </c>
      <c r="K6583" s="12" t="s">
        <v>78</v>
      </c>
      <c r="L6583" s="12">
        <v>0</v>
      </c>
      <c r="M6583" s="15">
        <v>227000</v>
      </c>
      <c r="N6583" s="15">
        <v>0</v>
      </c>
      <c r="O6583" s="15">
        <f t="shared" si="557"/>
        <v>227000</v>
      </c>
      <c r="P6583" s="15">
        <f t="shared" si="561"/>
        <v>30.250533049040524</v>
      </c>
      <c r="Q6583" s="14">
        <v>14000</v>
      </c>
      <c r="R6583" s="12">
        <v>54</v>
      </c>
      <c r="S6583" s="12" t="s">
        <v>8018</v>
      </c>
      <c r="T6583" s="22">
        <f t="shared" si="558"/>
        <v>4</v>
      </c>
      <c r="U6583" s="22">
        <f t="shared" si="559"/>
        <v>2023</v>
      </c>
      <c r="V6583" s="22" t="str">
        <f t="shared" si="560"/>
        <v>REGIONES</v>
      </c>
    </row>
    <row r="6584" spans="1:22" x14ac:dyDescent="0.2">
      <c r="A6584" s="11" t="s">
        <v>8012</v>
      </c>
      <c r="B6584" s="12" t="s">
        <v>33</v>
      </c>
      <c r="C6584" s="12" t="s">
        <v>36</v>
      </c>
      <c r="D6584" s="12" t="s">
        <v>38</v>
      </c>
      <c r="E6584" s="13" t="s">
        <v>8019</v>
      </c>
      <c r="F6584" s="12" t="s">
        <v>53</v>
      </c>
      <c r="G6584" s="14">
        <v>3466.4</v>
      </c>
      <c r="H6584" s="12" t="s">
        <v>43</v>
      </c>
      <c r="I6584" s="12">
        <v>0</v>
      </c>
      <c r="J6584" s="12" t="s">
        <v>53</v>
      </c>
      <c r="K6584" s="12" t="s">
        <v>23</v>
      </c>
      <c r="L6584" s="12">
        <v>3</v>
      </c>
      <c r="M6584" s="15">
        <v>69173</v>
      </c>
      <c r="N6584" s="15">
        <v>0</v>
      </c>
      <c r="O6584" s="15">
        <f t="shared" si="557"/>
        <v>69173</v>
      </c>
      <c r="P6584" s="15">
        <f t="shared" si="561"/>
        <v>19.955285021924762</v>
      </c>
      <c r="Q6584" s="14">
        <v>5000</v>
      </c>
      <c r="R6584" s="12">
        <v>69</v>
      </c>
      <c r="S6584" s="12" t="s">
        <v>8020</v>
      </c>
      <c r="T6584" s="22">
        <f t="shared" si="558"/>
        <v>4</v>
      </c>
      <c r="U6584" s="22">
        <f t="shared" si="559"/>
        <v>2023</v>
      </c>
      <c r="V6584" s="22" t="str">
        <f t="shared" si="560"/>
        <v>METROPOLITANA</v>
      </c>
    </row>
    <row r="6585" spans="1:22" x14ac:dyDescent="0.2">
      <c r="A6585" s="11" t="s">
        <v>8012</v>
      </c>
      <c r="B6585" s="12" t="s">
        <v>33</v>
      </c>
      <c r="C6585" s="12" t="s">
        <v>36</v>
      </c>
      <c r="D6585" s="12" t="s">
        <v>6989</v>
      </c>
      <c r="E6585" s="13" t="s">
        <v>544</v>
      </c>
      <c r="F6585" s="12" t="s">
        <v>1105</v>
      </c>
      <c r="G6585" s="14">
        <v>8652.279999999997</v>
      </c>
      <c r="H6585" s="12" t="s">
        <v>24</v>
      </c>
      <c r="I6585" s="12">
        <v>1</v>
      </c>
      <c r="J6585" s="12" t="s">
        <v>1105</v>
      </c>
      <c r="K6585" s="12" t="s">
        <v>873</v>
      </c>
      <c r="L6585" s="12">
        <v>0</v>
      </c>
      <c r="M6585" s="15">
        <v>1131000</v>
      </c>
      <c r="N6585" s="15">
        <v>0</v>
      </c>
      <c r="O6585" s="15">
        <f t="shared" si="557"/>
        <v>1131000</v>
      </c>
      <c r="P6585" s="15">
        <f t="shared" si="561"/>
        <v>130.71699020373825</v>
      </c>
      <c r="Q6585" s="14">
        <v>14000</v>
      </c>
      <c r="R6585" s="12">
        <v>62</v>
      </c>
      <c r="S6585" s="12" t="s">
        <v>8021</v>
      </c>
      <c r="T6585" s="22">
        <f t="shared" si="558"/>
        <v>4</v>
      </c>
      <c r="U6585" s="22">
        <f t="shared" si="559"/>
        <v>2023</v>
      </c>
      <c r="V6585" s="22" t="str">
        <f t="shared" si="560"/>
        <v>REGIONES</v>
      </c>
    </row>
    <row r="6586" spans="1:22" x14ac:dyDescent="0.2">
      <c r="A6586" s="11" t="s">
        <v>8012</v>
      </c>
      <c r="B6586" s="12" t="s">
        <v>33</v>
      </c>
      <c r="C6586" s="12" t="s">
        <v>36</v>
      </c>
      <c r="D6586" s="12" t="s">
        <v>370</v>
      </c>
      <c r="E6586" s="13" t="s">
        <v>371</v>
      </c>
      <c r="F6586" s="12" t="s">
        <v>84</v>
      </c>
      <c r="G6586" s="14">
        <v>7925.2800000000016</v>
      </c>
      <c r="H6586" s="12" t="s">
        <v>85</v>
      </c>
      <c r="I6586" s="12">
        <v>1</v>
      </c>
      <c r="J6586" s="12" t="s">
        <v>84</v>
      </c>
      <c r="K6586" s="12" t="s">
        <v>86</v>
      </c>
      <c r="L6586" s="12">
        <v>0</v>
      </c>
      <c r="M6586" s="15">
        <v>402000</v>
      </c>
      <c r="N6586" s="15">
        <v>0</v>
      </c>
      <c r="O6586" s="15">
        <f t="shared" si="557"/>
        <v>402000</v>
      </c>
      <c r="P6586" s="15">
        <f t="shared" si="561"/>
        <v>50.723759917630659</v>
      </c>
      <c r="Q6586" s="14">
        <v>14000</v>
      </c>
      <c r="R6586" s="12">
        <v>57</v>
      </c>
      <c r="S6586" s="12" t="s">
        <v>8022</v>
      </c>
      <c r="T6586" s="22">
        <f t="shared" si="558"/>
        <v>4</v>
      </c>
      <c r="U6586" s="22">
        <f t="shared" si="559"/>
        <v>2023</v>
      </c>
      <c r="V6586" s="22" t="str">
        <f t="shared" si="560"/>
        <v>REGIONES</v>
      </c>
    </row>
    <row r="6587" spans="1:22" x14ac:dyDescent="0.2">
      <c r="A6587" s="11" t="s">
        <v>8012</v>
      </c>
      <c r="B6587" s="12" t="s">
        <v>33</v>
      </c>
      <c r="C6587" s="12" t="s">
        <v>36</v>
      </c>
      <c r="D6587" s="12" t="s">
        <v>45</v>
      </c>
      <c r="E6587" s="13" t="s">
        <v>49</v>
      </c>
      <c r="F6587" s="12" t="s">
        <v>2919</v>
      </c>
      <c r="G6587" s="14">
        <f>2251.2+2726</f>
        <v>4977.2</v>
      </c>
      <c r="H6587" s="12" t="s">
        <v>22</v>
      </c>
      <c r="I6587" s="12">
        <v>0</v>
      </c>
      <c r="J6587" s="12" t="s">
        <v>2919</v>
      </c>
      <c r="K6587" s="12" t="s">
        <v>23</v>
      </c>
      <c r="L6587" s="12">
        <v>3</v>
      </c>
      <c r="M6587" s="15">
        <v>69173</v>
      </c>
      <c r="N6587" s="15">
        <v>0</v>
      </c>
      <c r="O6587" s="15">
        <f t="shared" ref="O6587:O6650" si="562">SUM(M6587:N6587)</f>
        <v>69173</v>
      </c>
      <c r="P6587" s="15">
        <f t="shared" si="561"/>
        <v>13.897974764928072</v>
      </c>
      <c r="Q6587" s="14">
        <v>5000</v>
      </c>
      <c r="R6587" s="12">
        <v>90</v>
      </c>
      <c r="S6587" s="12" t="s">
        <v>8032</v>
      </c>
      <c r="T6587" s="22">
        <f t="shared" si="558"/>
        <v>4</v>
      </c>
      <c r="U6587" s="22">
        <f t="shared" si="559"/>
        <v>2023</v>
      </c>
      <c r="V6587" s="22" t="str">
        <f t="shared" si="560"/>
        <v>METROPOLITANA</v>
      </c>
    </row>
    <row r="6588" spans="1:22" x14ac:dyDescent="0.2">
      <c r="A6588" s="11" t="s">
        <v>8012</v>
      </c>
      <c r="B6588" s="12" t="s">
        <v>33</v>
      </c>
      <c r="C6588" s="12" t="s">
        <v>36</v>
      </c>
      <c r="D6588" s="12" t="s">
        <v>20</v>
      </c>
      <c r="E6588" s="13" t="s">
        <v>21</v>
      </c>
      <c r="F6588" s="12" t="s">
        <v>46</v>
      </c>
      <c r="G6588" s="14">
        <v>4897.28</v>
      </c>
      <c r="H6588" s="12" t="s">
        <v>22</v>
      </c>
      <c r="I6588" s="12">
        <v>0</v>
      </c>
      <c r="J6588" s="12" t="s">
        <v>46</v>
      </c>
      <c r="K6588" s="12" t="s">
        <v>23</v>
      </c>
      <c r="L6588" s="12">
        <v>2</v>
      </c>
      <c r="M6588" s="15">
        <v>69173</v>
      </c>
      <c r="N6588" s="15">
        <v>0</v>
      </c>
      <c r="O6588" s="15">
        <f t="shared" si="562"/>
        <v>69173</v>
      </c>
      <c r="P6588" s="15">
        <f t="shared" si="561"/>
        <v>14.12477946941976</v>
      </c>
      <c r="Q6588" s="14">
        <v>5000</v>
      </c>
      <c r="R6588" s="12">
        <v>98</v>
      </c>
      <c r="S6588" s="12" t="s">
        <v>8023</v>
      </c>
      <c r="T6588" s="22">
        <f t="shared" si="558"/>
        <v>4</v>
      </c>
      <c r="U6588" s="22">
        <f t="shared" si="559"/>
        <v>2023</v>
      </c>
      <c r="V6588" s="22" t="str">
        <f t="shared" si="560"/>
        <v>METROPOLITANA</v>
      </c>
    </row>
    <row r="6589" spans="1:22" x14ac:dyDescent="0.2">
      <c r="A6589" s="11" t="s">
        <v>8012</v>
      </c>
      <c r="B6589" s="12" t="s">
        <v>33</v>
      </c>
      <c r="C6589" s="12" t="s">
        <v>223</v>
      </c>
      <c r="D6589" s="12" t="s">
        <v>38</v>
      </c>
      <c r="E6589" s="13" t="s">
        <v>25</v>
      </c>
      <c r="F6589" s="12" t="s">
        <v>3438</v>
      </c>
      <c r="G6589" s="14">
        <v>7503.9999999999973</v>
      </c>
      <c r="H6589" s="12" t="s">
        <v>43</v>
      </c>
      <c r="I6589" s="12">
        <v>0</v>
      </c>
      <c r="J6589" s="12" t="s">
        <v>3438</v>
      </c>
      <c r="K6589" s="12" t="s">
        <v>93</v>
      </c>
      <c r="L6589" s="12">
        <v>0</v>
      </c>
      <c r="M6589" s="15"/>
      <c r="N6589" s="15">
        <v>0</v>
      </c>
      <c r="O6589" s="15">
        <f t="shared" si="562"/>
        <v>0</v>
      </c>
      <c r="P6589" s="15">
        <f t="shared" si="561"/>
        <v>0</v>
      </c>
      <c r="Q6589" s="14">
        <v>14000</v>
      </c>
      <c r="R6589" s="12">
        <v>54</v>
      </c>
      <c r="S6589" s="12" t="s">
        <v>8024</v>
      </c>
      <c r="T6589" s="22">
        <f t="shared" si="558"/>
        <v>4</v>
      </c>
      <c r="U6589" s="22">
        <f t="shared" si="559"/>
        <v>2023</v>
      </c>
      <c r="V6589" s="22" t="str">
        <f t="shared" si="560"/>
        <v>REGIONES</v>
      </c>
    </row>
    <row r="6590" spans="1:22" x14ac:dyDescent="0.2">
      <c r="A6590" s="11" t="s">
        <v>8012</v>
      </c>
      <c r="B6590" s="12" t="s">
        <v>33</v>
      </c>
      <c r="C6590" s="12" t="s">
        <v>29</v>
      </c>
      <c r="D6590" s="12" t="s">
        <v>7819</v>
      </c>
      <c r="E6590" s="13" t="s">
        <v>8025</v>
      </c>
      <c r="F6590" s="12" t="s">
        <v>114</v>
      </c>
      <c r="G6590" s="14">
        <v>15007.999999999991</v>
      </c>
      <c r="H6590" s="12" t="s">
        <v>24</v>
      </c>
      <c r="I6590" s="12">
        <v>1</v>
      </c>
      <c r="J6590" s="12" t="s">
        <v>114</v>
      </c>
      <c r="K6590" s="12" t="s">
        <v>75</v>
      </c>
      <c r="L6590" s="12">
        <v>0</v>
      </c>
      <c r="M6590" s="15">
        <v>528000</v>
      </c>
      <c r="N6590" s="15">
        <v>0</v>
      </c>
      <c r="O6590" s="15">
        <f t="shared" si="562"/>
        <v>528000</v>
      </c>
      <c r="P6590" s="15">
        <f t="shared" si="561"/>
        <v>35.181236673774009</v>
      </c>
      <c r="Q6590" s="14">
        <v>14000</v>
      </c>
      <c r="R6590" s="12">
        <v>100</v>
      </c>
      <c r="S6590" s="12" t="s">
        <v>8026</v>
      </c>
      <c r="T6590" s="22">
        <f t="shared" si="558"/>
        <v>4</v>
      </c>
      <c r="U6590" s="22">
        <f t="shared" si="559"/>
        <v>2023</v>
      </c>
      <c r="V6590" s="22" t="str">
        <f t="shared" si="560"/>
        <v>REGIONES</v>
      </c>
    </row>
    <row r="6591" spans="1:22" x14ac:dyDescent="0.2">
      <c r="A6591" s="11" t="s">
        <v>8012</v>
      </c>
      <c r="B6591" s="12" t="s">
        <v>33</v>
      </c>
      <c r="C6591" s="12" t="s">
        <v>29</v>
      </c>
      <c r="D6591" s="12" t="s">
        <v>7134</v>
      </c>
      <c r="E6591" s="13" t="s">
        <v>7135</v>
      </c>
      <c r="F6591" s="12" t="s">
        <v>114</v>
      </c>
      <c r="G6591" s="14">
        <v>18158</v>
      </c>
      <c r="H6591" s="12" t="s">
        <v>24</v>
      </c>
      <c r="I6591" s="12">
        <v>1</v>
      </c>
      <c r="J6591" s="12" t="s">
        <v>114</v>
      </c>
      <c r="K6591" s="12" t="s">
        <v>75</v>
      </c>
      <c r="L6591" s="12">
        <v>0</v>
      </c>
      <c r="M6591" s="15">
        <v>528000</v>
      </c>
      <c r="N6591" s="15">
        <v>0</v>
      </c>
      <c r="O6591" s="15">
        <f t="shared" si="562"/>
        <v>528000</v>
      </c>
      <c r="P6591" s="15">
        <f t="shared" si="561"/>
        <v>29.078092300914196</v>
      </c>
      <c r="Q6591" s="14">
        <v>14000</v>
      </c>
      <c r="R6591" s="12">
        <v>100</v>
      </c>
      <c r="S6591" s="12" t="s">
        <v>8027</v>
      </c>
      <c r="T6591" s="22">
        <f t="shared" si="558"/>
        <v>4</v>
      </c>
      <c r="U6591" s="22">
        <f t="shared" si="559"/>
        <v>2023</v>
      </c>
      <c r="V6591" s="22" t="str">
        <f t="shared" si="560"/>
        <v>REGIONES</v>
      </c>
    </row>
    <row r="6592" spans="1:22" x14ac:dyDescent="0.2">
      <c r="A6592" s="11" t="s">
        <v>8012</v>
      </c>
      <c r="B6592" s="12" t="s">
        <v>33</v>
      </c>
      <c r="C6592" s="12" t="s">
        <v>29</v>
      </c>
      <c r="D6592" s="12" t="s">
        <v>41</v>
      </c>
      <c r="E6592" s="13" t="s">
        <v>25</v>
      </c>
      <c r="F6592" s="12" t="s">
        <v>39</v>
      </c>
      <c r="G6592" s="14">
        <v>10773.68</v>
      </c>
      <c r="H6592" s="12" t="s">
        <v>43</v>
      </c>
      <c r="I6592" s="12">
        <v>0</v>
      </c>
      <c r="J6592" s="12" t="s">
        <v>39</v>
      </c>
      <c r="K6592" s="12" t="s">
        <v>23</v>
      </c>
      <c r="L6592" s="12">
        <v>1</v>
      </c>
      <c r="M6592" s="15">
        <v>118510</v>
      </c>
      <c r="N6592" s="15">
        <v>0</v>
      </c>
      <c r="O6592" s="15">
        <f t="shared" si="562"/>
        <v>118510</v>
      </c>
      <c r="P6592" s="15">
        <f t="shared" si="561"/>
        <v>10.999955446978191</v>
      </c>
      <c r="Q6592" s="14">
        <v>5000</v>
      </c>
      <c r="R6592" s="12">
        <v>100</v>
      </c>
      <c r="S6592" s="12" t="s">
        <v>8028</v>
      </c>
      <c r="T6592" s="22">
        <f t="shared" si="558"/>
        <v>4</v>
      </c>
      <c r="U6592" s="22">
        <f t="shared" si="559"/>
        <v>2023</v>
      </c>
      <c r="V6592" s="22" t="str">
        <f t="shared" si="560"/>
        <v>METROPOLITANA</v>
      </c>
    </row>
    <row r="6593" spans="1:22" x14ac:dyDescent="0.2">
      <c r="A6593" s="11" t="s">
        <v>8012</v>
      </c>
      <c r="B6593" s="12" t="s">
        <v>33</v>
      </c>
      <c r="C6593" s="12" t="s">
        <v>29</v>
      </c>
      <c r="D6593" s="12" t="s">
        <v>164</v>
      </c>
      <c r="E6593" s="13" t="s">
        <v>1576</v>
      </c>
      <c r="F6593" s="12" t="s">
        <v>39</v>
      </c>
      <c r="G6593" s="14">
        <v>18683.37000000001</v>
      </c>
      <c r="H6593" s="12" t="s">
        <v>22</v>
      </c>
      <c r="I6593" s="12">
        <v>1</v>
      </c>
      <c r="J6593" s="12" t="s">
        <v>39</v>
      </c>
      <c r="K6593" s="12" t="s">
        <v>23</v>
      </c>
      <c r="L6593" s="12">
        <v>1</v>
      </c>
      <c r="M6593" s="15">
        <v>205517</v>
      </c>
      <c r="N6593" s="15">
        <v>0</v>
      </c>
      <c r="O6593" s="15">
        <f t="shared" si="562"/>
        <v>205517</v>
      </c>
      <c r="P6593" s="15">
        <f t="shared" si="561"/>
        <v>10.999996253352574</v>
      </c>
      <c r="Q6593" s="14">
        <v>5000</v>
      </c>
      <c r="R6593" s="12">
        <v>100</v>
      </c>
      <c r="S6593" s="12" t="s">
        <v>8029</v>
      </c>
      <c r="T6593" s="22">
        <f t="shared" si="558"/>
        <v>4</v>
      </c>
      <c r="U6593" s="22">
        <f t="shared" si="559"/>
        <v>2023</v>
      </c>
      <c r="V6593" s="22" t="str">
        <f t="shared" si="560"/>
        <v>METROPOLITANA</v>
      </c>
    </row>
    <row r="6594" spans="1:22" x14ac:dyDescent="0.2">
      <c r="A6594" s="11" t="s">
        <v>8012</v>
      </c>
      <c r="B6594" s="12" t="s">
        <v>33</v>
      </c>
      <c r="C6594" s="12" t="s">
        <v>44</v>
      </c>
      <c r="D6594" s="12" t="s">
        <v>1869</v>
      </c>
      <c r="E6594" s="13" t="s">
        <v>1870</v>
      </c>
      <c r="F6594" s="12" t="s">
        <v>2308</v>
      </c>
      <c r="G6594" s="14">
        <v>7137.2599999999966</v>
      </c>
      <c r="H6594" s="12" t="s">
        <v>24</v>
      </c>
      <c r="I6594" s="12">
        <v>1</v>
      </c>
      <c r="J6594" s="12" t="s">
        <v>2308</v>
      </c>
      <c r="K6594" s="12" t="s">
        <v>2309</v>
      </c>
      <c r="L6594" s="12">
        <v>0</v>
      </c>
      <c r="M6594" s="15">
        <v>943000</v>
      </c>
      <c r="N6594" s="15">
        <v>0</v>
      </c>
      <c r="O6594" s="15">
        <f t="shared" si="562"/>
        <v>943000</v>
      </c>
      <c r="P6594" s="15">
        <f t="shared" si="561"/>
        <v>132.12353199967501</v>
      </c>
      <c r="Q6594" s="14">
        <v>14000</v>
      </c>
      <c r="R6594" s="12">
        <v>51</v>
      </c>
      <c r="S6594" s="12" t="s">
        <v>8030</v>
      </c>
      <c r="T6594" s="22">
        <f t="shared" si="558"/>
        <v>4</v>
      </c>
      <c r="U6594" s="22">
        <f t="shared" si="559"/>
        <v>2023</v>
      </c>
      <c r="V6594" s="22" t="str">
        <f t="shared" si="560"/>
        <v>REGIONES</v>
      </c>
    </row>
    <row r="6595" spans="1:22" x14ac:dyDescent="0.2">
      <c r="A6595" s="11" t="s">
        <v>8012</v>
      </c>
      <c r="B6595" s="12" t="s">
        <v>33</v>
      </c>
      <c r="C6595" s="12" t="s">
        <v>44</v>
      </c>
      <c r="D6595" s="12" t="s">
        <v>20</v>
      </c>
      <c r="E6595" s="13" t="s">
        <v>21</v>
      </c>
      <c r="F6595" s="12" t="s">
        <v>51</v>
      </c>
      <c r="G6595" s="14">
        <v>2706.84</v>
      </c>
      <c r="H6595" s="12" t="s">
        <v>22</v>
      </c>
      <c r="I6595" s="12">
        <v>0</v>
      </c>
      <c r="J6595" s="12" t="s">
        <v>51</v>
      </c>
      <c r="K6595" s="12" t="s">
        <v>23</v>
      </c>
      <c r="L6595" s="12">
        <v>4</v>
      </c>
      <c r="M6595" s="15">
        <v>69173</v>
      </c>
      <c r="N6595" s="15">
        <v>0</v>
      </c>
      <c r="O6595" s="15">
        <f t="shared" si="562"/>
        <v>69173</v>
      </c>
      <c r="P6595" s="15">
        <f t="shared" si="561"/>
        <v>25.554890573510068</v>
      </c>
      <c r="Q6595" s="14">
        <v>5000</v>
      </c>
      <c r="R6595" s="12">
        <v>54</v>
      </c>
      <c r="S6595" s="12" t="s">
        <v>8031</v>
      </c>
      <c r="T6595" s="22">
        <f t="shared" si="558"/>
        <v>4</v>
      </c>
      <c r="U6595" s="22">
        <f t="shared" si="559"/>
        <v>2023</v>
      </c>
      <c r="V6595" s="22" t="str">
        <f t="shared" si="560"/>
        <v>METROPOLITANA</v>
      </c>
    </row>
    <row r="6596" spans="1:22" x14ac:dyDescent="0.2">
      <c r="A6596" s="23" t="s">
        <v>8033</v>
      </c>
      <c r="B6596" s="22" t="s">
        <v>33</v>
      </c>
      <c r="C6596" s="22" t="s">
        <v>417</v>
      </c>
      <c r="D6596" s="22" t="s">
        <v>786</v>
      </c>
      <c r="E6596" s="24" t="s">
        <v>787</v>
      </c>
      <c r="F6596" s="22" t="s">
        <v>418</v>
      </c>
      <c r="G6596" s="25">
        <v>9447</v>
      </c>
      <c r="H6596" s="22" t="s">
        <v>788</v>
      </c>
      <c r="I6596" s="22">
        <v>1</v>
      </c>
      <c r="J6596" s="22" t="s">
        <v>418</v>
      </c>
      <c r="K6596" s="22" t="s">
        <v>171</v>
      </c>
      <c r="L6596" s="22">
        <v>0</v>
      </c>
      <c r="M6596" s="26">
        <v>350000</v>
      </c>
      <c r="N6596" s="26">
        <v>0</v>
      </c>
      <c r="O6596" s="15">
        <f t="shared" si="562"/>
        <v>350000</v>
      </c>
      <c r="P6596" s="15">
        <f t="shared" si="561"/>
        <v>37.048798560389542</v>
      </c>
      <c r="Q6596" s="25">
        <v>14000</v>
      </c>
      <c r="R6596" s="22">
        <v>67</v>
      </c>
      <c r="S6596" s="22" t="s">
        <v>8034</v>
      </c>
      <c r="T6596" s="22">
        <f t="shared" si="558"/>
        <v>4</v>
      </c>
      <c r="U6596" s="22">
        <f t="shared" si="559"/>
        <v>2023</v>
      </c>
      <c r="V6596" s="22" t="str">
        <f t="shared" si="560"/>
        <v>REGIONES</v>
      </c>
    </row>
    <row r="6597" spans="1:22" x14ac:dyDescent="0.2">
      <c r="A6597" s="23" t="s">
        <v>8033</v>
      </c>
      <c r="B6597" s="22" t="s">
        <v>33</v>
      </c>
      <c r="C6597" s="22" t="s">
        <v>36</v>
      </c>
      <c r="D6597" s="22" t="s">
        <v>30</v>
      </c>
      <c r="E6597" s="24" t="s">
        <v>31</v>
      </c>
      <c r="F6597" s="22" t="s">
        <v>308</v>
      </c>
      <c r="G6597" s="25">
        <v>4813.2</v>
      </c>
      <c r="H6597" s="22" t="s">
        <v>32</v>
      </c>
      <c r="I6597" s="22">
        <v>0</v>
      </c>
      <c r="J6597" s="22" t="s">
        <v>308</v>
      </c>
      <c r="K6597" s="22" t="s">
        <v>78</v>
      </c>
      <c r="L6597" s="22">
        <v>0</v>
      </c>
      <c r="M6597" s="26">
        <v>227000</v>
      </c>
      <c r="N6597" s="26">
        <v>0</v>
      </c>
      <c r="O6597" s="15">
        <f t="shared" si="562"/>
        <v>227000</v>
      </c>
      <c r="P6597" s="15">
        <f t="shared" si="561"/>
        <v>47.16197124574088</v>
      </c>
      <c r="Q6597" s="25">
        <v>14000</v>
      </c>
      <c r="R6597" s="22">
        <v>34</v>
      </c>
      <c r="S6597" s="22" t="s">
        <v>8035</v>
      </c>
      <c r="T6597" s="22">
        <f t="shared" si="558"/>
        <v>4</v>
      </c>
      <c r="U6597" s="22">
        <f t="shared" si="559"/>
        <v>2023</v>
      </c>
      <c r="V6597" s="22" t="str">
        <f t="shared" si="560"/>
        <v>REGIONES</v>
      </c>
    </row>
    <row r="6598" spans="1:22" x14ac:dyDescent="0.2">
      <c r="A6598" s="23" t="s">
        <v>8033</v>
      </c>
      <c r="B6598" s="22" t="s">
        <v>33</v>
      </c>
      <c r="C6598" s="22" t="s">
        <v>223</v>
      </c>
      <c r="D6598" s="22" t="s">
        <v>38</v>
      </c>
      <c r="E6598" s="24" t="s">
        <v>25</v>
      </c>
      <c r="F6598" s="22" t="s">
        <v>51</v>
      </c>
      <c r="G6598" s="25">
        <v>9755.1999999999971</v>
      </c>
      <c r="H6598" s="22" t="s">
        <v>43</v>
      </c>
      <c r="I6598" s="22">
        <v>0</v>
      </c>
      <c r="J6598" s="22" t="s">
        <v>51</v>
      </c>
      <c r="K6598" s="22" t="s">
        <v>23</v>
      </c>
      <c r="L6598" s="22">
        <v>4</v>
      </c>
      <c r="M6598" s="26">
        <v>107307</v>
      </c>
      <c r="N6598" s="26">
        <v>0</v>
      </c>
      <c r="O6598" s="15">
        <f t="shared" si="562"/>
        <v>107307</v>
      </c>
      <c r="P6598" s="15">
        <f t="shared" si="561"/>
        <v>10.999979498113829</v>
      </c>
      <c r="Q6598" s="25">
        <v>5000</v>
      </c>
      <c r="R6598" s="22">
        <v>100</v>
      </c>
      <c r="S6598" s="22" t="s">
        <v>8036</v>
      </c>
      <c r="T6598" s="22">
        <f t="shared" si="558"/>
        <v>4</v>
      </c>
      <c r="U6598" s="22">
        <f t="shared" si="559"/>
        <v>2023</v>
      </c>
      <c r="V6598" s="22" t="str">
        <f t="shared" si="560"/>
        <v>METROPOLITANA</v>
      </c>
    </row>
    <row r="6599" spans="1:22" x14ac:dyDescent="0.2">
      <c r="A6599" s="23" t="s">
        <v>8033</v>
      </c>
      <c r="B6599" s="22" t="s">
        <v>33</v>
      </c>
      <c r="C6599" s="22" t="s">
        <v>223</v>
      </c>
      <c r="D6599" s="22" t="s">
        <v>20</v>
      </c>
      <c r="E6599" s="24" t="s">
        <v>21</v>
      </c>
      <c r="F6599" s="22" t="s">
        <v>51</v>
      </c>
      <c r="G6599" s="25">
        <v>9755.1999999999971</v>
      </c>
      <c r="H6599" s="22" t="s">
        <v>22</v>
      </c>
      <c r="I6599" s="22">
        <v>0</v>
      </c>
      <c r="J6599" s="22" t="s">
        <v>51</v>
      </c>
      <c r="K6599" s="22" t="s">
        <v>23</v>
      </c>
      <c r="L6599" s="22">
        <v>4</v>
      </c>
      <c r="M6599" s="26">
        <v>107307</v>
      </c>
      <c r="N6599" s="26">
        <v>0</v>
      </c>
      <c r="O6599" s="15">
        <f t="shared" si="562"/>
        <v>107307</v>
      </c>
      <c r="P6599" s="15">
        <f t="shared" si="561"/>
        <v>10.999979498113829</v>
      </c>
      <c r="Q6599" s="25">
        <v>5000</v>
      </c>
      <c r="R6599" s="22">
        <v>100</v>
      </c>
      <c r="S6599" s="22" t="s">
        <v>8037</v>
      </c>
      <c r="T6599" s="22">
        <f t="shared" ref="T6599:T6662" si="563">MONTH(A6599)</f>
        <v>4</v>
      </c>
      <c r="U6599" s="22">
        <f t="shared" ref="U6599:U6662" si="564">YEAR(A6599)</f>
        <v>2023</v>
      </c>
      <c r="V6599" s="22" t="str">
        <f t="shared" ref="V6599:V6662" si="565">IF(K6599="METROPOLITANA DE SANTIAGO","METROPOLITANA","REGIONES")</f>
        <v>METROPOLITANA</v>
      </c>
    </row>
    <row r="6600" spans="1:22" x14ac:dyDescent="0.2">
      <c r="A6600" s="23" t="s">
        <v>8033</v>
      </c>
      <c r="B6600" s="22" t="s">
        <v>33</v>
      </c>
      <c r="C6600" s="22" t="s">
        <v>29</v>
      </c>
      <c r="D6600" s="22" t="s">
        <v>38</v>
      </c>
      <c r="E6600" s="24" t="s">
        <v>42</v>
      </c>
      <c r="F6600" s="22" t="s">
        <v>39</v>
      </c>
      <c r="G6600" s="25">
        <v>14142.77</v>
      </c>
      <c r="H6600" s="22" t="s">
        <v>43</v>
      </c>
      <c r="I6600" s="22">
        <v>0</v>
      </c>
      <c r="J6600" s="22" t="s">
        <v>39</v>
      </c>
      <c r="K6600" s="22" t="s">
        <v>23</v>
      </c>
      <c r="L6600" s="22">
        <v>1</v>
      </c>
      <c r="M6600" s="26">
        <v>155570</v>
      </c>
      <c r="N6600" s="26">
        <v>0</v>
      </c>
      <c r="O6600" s="15">
        <f t="shared" si="562"/>
        <v>155570</v>
      </c>
      <c r="P6600" s="15">
        <f t="shared" si="561"/>
        <v>10.999966767472001</v>
      </c>
      <c r="Q6600" s="25">
        <v>5000</v>
      </c>
      <c r="R6600" s="22">
        <v>100</v>
      </c>
      <c r="S6600" s="22" t="s">
        <v>8038</v>
      </c>
      <c r="T6600" s="22">
        <f t="shared" si="563"/>
        <v>4</v>
      </c>
      <c r="U6600" s="22">
        <f t="shared" si="564"/>
        <v>2023</v>
      </c>
      <c r="V6600" s="22" t="str">
        <f t="shared" si="565"/>
        <v>METROPOLITANA</v>
      </c>
    </row>
    <row r="6601" spans="1:22" x14ac:dyDescent="0.2">
      <c r="A6601" s="23" t="s">
        <v>8033</v>
      </c>
      <c r="B6601" s="22" t="s">
        <v>33</v>
      </c>
      <c r="C6601" s="22" t="s">
        <v>29</v>
      </c>
      <c r="D6601" s="22" t="s">
        <v>8039</v>
      </c>
      <c r="E6601" s="24" t="s">
        <v>8040</v>
      </c>
      <c r="F6601" s="22" t="s">
        <v>114</v>
      </c>
      <c r="G6601" s="25">
        <v>12294.399999999991</v>
      </c>
      <c r="H6601" s="22" t="s">
        <v>24</v>
      </c>
      <c r="I6601" s="22">
        <v>1</v>
      </c>
      <c r="J6601" s="22" t="s">
        <v>114</v>
      </c>
      <c r="K6601" s="22" t="s">
        <v>75</v>
      </c>
      <c r="L6601" s="22">
        <v>0</v>
      </c>
      <c r="M6601" s="26">
        <v>528000</v>
      </c>
      <c r="N6601" s="26">
        <v>0</v>
      </c>
      <c r="O6601" s="15">
        <f t="shared" si="562"/>
        <v>528000</v>
      </c>
      <c r="P6601" s="15">
        <f t="shared" si="561"/>
        <v>42.946382092660109</v>
      </c>
      <c r="Q6601" s="25">
        <v>14000</v>
      </c>
      <c r="R6601" s="22">
        <v>88</v>
      </c>
      <c r="S6601" s="22" t="s">
        <v>8041</v>
      </c>
      <c r="T6601" s="22">
        <f t="shared" si="563"/>
        <v>4</v>
      </c>
      <c r="U6601" s="22">
        <f t="shared" si="564"/>
        <v>2023</v>
      </c>
      <c r="V6601" s="22" t="str">
        <f t="shared" si="565"/>
        <v>REGIONES</v>
      </c>
    </row>
    <row r="6602" spans="1:22" x14ac:dyDescent="0.2">
      <c r="A6602" s="23" t="s">
        <v>8033</v>
      </c>
      <c r="B6602" s="22" t="s">
        <v>33</v>
      </c>
      <c r="C6602" s="22" t="s">
        <v>29</v>
      </c>
      <c r="D6602" s="22" t="s">
        <v>7075</v>
      </c>
      <c r="E6602" s="24" t="s">
        <v>7076</v>
      </c>
      <c r="F6602" s="22" t="s">
        <v>114</v>
      </c>
      <c r="G6602" s="25">
        <v>22489.420000000009</v>
      </c>
      <c r="H6602" s="22" t="s">
        <v>24</v>
      </c>
      <c r="I6602" s="22">
        <v>1</v>
      </c>
      <c r="J6602" s="22" t="s">
        <v>114</v>
      </c>
      <c r="K6602" s="22" t="s">
        <v>75</v>
      </c>
      <c r="L6602" s="22">
        <v>0</v>
      </c>
      <c r="M6602" s="26">
        <v>528000</v>
      </c>
      <c r="N6602" s="26">
        <v>0</v>
      </c>
      <c r="O6602" s="15">
        <f t="shared" si="562"/>
        <v>528000</v>
      </c>
      <c r="P6602" s="15">
        <f t="shared" si="561"/>
        <v>23.477706405945543</v>
      </c>
      <c r="Q6602" s="25">
        <v>14000</v>
      </c>
      <c r="R6602" s="22">
        <v>100</v>
      </c>
      <c r="S6602" s="22" t="s">
        <v>8042</v>
      </c>
      <c r="T6602" s="22">
        <f t="shared" si="563"/>
        <v>4</v>
      </c>
      <c r="U6602" s="22">
        <f t="shared" si="564"/>
        <v>2023</v>
      </c>
      <c r="V6602" s="22" t="str">
        <f t="shared" si="565"/>
        <v>REGIONES</v>
      </c>
    </row>
    <row r="6603" spans="1:22" x14ac:dyDescent="0.2">
      <c r="A6603" s="23" t="s">
        <v>8033</v>
      </c>
      <c r="B6603" s="22" t="s">
        <v>33</v>
      </c>
      <c r="C6603" s="22" t="s">
        <v>29</v>
      </c>
      <c r="D6603" s="22" t="s">
        <v>41</v>
      </c>
      <c r="E6603" s="24" t="s">
        <v>25</v>
      </c>
      <c r="F6603" s="22" t="s">
        <v>134</v>
      </c>
      <c r="G6603" s="25">
        <v>4261.4500000000016</v>
      </c>
      <c r="H6603" s="22" t="s">
        <v>43</v>
      </c>
      <c r="I6603" s="22">
        <v>0</v>
      </c>
      <c r="J6603" s="22" t="s">
        <v>134</v>
      </c>
      <c r="K6603" s="22" t="s">
        <v>23</v>
      </c>
      <c r="L6603" s="22">
        <v>2</v>
      </c>
      <c r="M6603" s="26">
        <v>69173</v>
      </c>
      <c r="N6603" s="26">
        <v>0</v>
      </c>
      <c r="O6603" s="15">
        <f t="shared" si="562"/>
        <v>69173</v>
      </c>
      <c r="P6603" s="15">
        <f t="shared" si="561"/>
        <v>16.232268359361242</v>
      </c>
      <c r="Q6603" s="25">
        <v>5000</v>
      </c>
      <c r="R6603" s="22">
        <v>85</v>
      </c>
      <c r="S6603" s="22" t="s">
        <v>8043</v>
      </c>
      <c r="T6603" s="22">
        <f t="shared" si="563"/>
        <v>4</v>
      </c>
      <c r="U6603" s="22">
        <f t="shared" si="564"/>
        <v>2023</v>
      </c>
      <c r="V6603" s="22" t="str">
        <f t="shared" si="565"/>
        <v>METROPOLITANA</v>
      </c>
    </row>
    <row r="6604" spans="1:22" x14ac:dyDescent="0.2">
      <c r="A6604" s="23" t="s">
        <v>8033</v>
      </c>
      <c r="B6604" s="22" t="s">
        <v>33</v>
      </c>
      <c r="C6604" s="22" t="s">
        <v>29</v>
      </c>
      <c r="D6604" s="22" t="s">
        <v>164</v>
      </c>
      <c r="E6604" s="24" t="s">
        <v>1576</v>
      </c>
      <c r="F6604" s="22" t="s">
        <v>39</v>
      </c>
      <c r="G6604" s="25">
        <v>17424.599999999999</v>
      </c>
      <c r="H6604" s="22" t="s">
        <v>22</v>
      </c>
      <c r="I6604" s="22">
        <v>1</v>
      </c>
      <c r="J6604" s="22" t="s">
        <v>39</v>
      </c>
      <c r="K6604" s="22" t="s">
        <v>23</v>
      </c>
      <c r="L6604" s="22">
        <v>1</v>
      </c>
      <c r="M6604" s="26">
        <v>191671</v>
      </c>
      <c r="N6604" s="26">
        <v>0</v>
      </c>
      <c r="O6604" s="15">
        <f t="shared" si="562"/>
        <v>191671</v>
      </c>
      <c r="P6604" s="15">
        <f t="shared" si="561"/>
        <v>11.000022956050643</v>
      </c>
      <c r="Q6604" s="25">
        <v>5000</v>
      </c>
      <c r="R6604" s="22">
        <v>100</v>
      </c>
      <c r="S6604" s="22" t="s">
        <v>8044</v>
      </c>
      <c r="T6604" s="22">
        <f t="shared" si="563"/>
        <v>4</v>
      </c>
      <c r="U6604" s="22">
        <f t="shared" si="564"/>
        <v>2023</v>
      </c>
      <c r="V6604" s="22" t="str">
        <f t="shared" si="565"/>
        <v>METROPOLITANA</v>
      </c>
    </row>
    <row r="6605" spans="1:22" x14ac:dyDescent="0.2">
      <c r="A6605" s="23" t="s">
        <v>8033</v>
      </c>
      <c r="B6605" s="22" t="s">
        <v>33</v>
      </c>
      <c r="C6605" s="22" t="s">
        <v>44</v>
      </c>
      <c r="D6605" s="22" t="s">
        <v>45</v>
      </c>
      <c r="E6605" s="24" t="s">
        <v>49</v>
      </c>
      <c r="F6605" s="22" t="s">
        <v>53</v>
      </c>
      <c r="G6605" s="25">
        <v>4684.4599999999991</v>
      </c>
      <c r="H6605" s="22" t="s">
        <v>22</v>
      </c>
      <c r="I6605" s="22">
        <v>0</v>
      </c>
      <c r="J6605" s="22" t="s">
        <v>53</v>
      </c>
      <c r="K6605" s="22" t="s">
        <v>23</v>
      </c>
      <c r="L6605" s="22">
        <v>3</v>
      </c>
      <c r="M6605" s="26">
        <v>69173</v>
      </c>
      <c r="N6605" s="26">
        <v>0</v>
      </c>
      <c r="O6605" s="15">
        <f t="shared" si="562"/>
        <v>69173</v>
      </c>
      <c r="P6605" s="15">
        <f t="shared" si="561"/>
        <v>14.766483223253056</v>
      </c>
      <c r="Q6605" s="25">
        <v>5000</v>
      </c>
      <c r="R6605" s="22">
        <v>94</v>
      </c>
      <c r="S6605" s="22" t="s">
        <v>8045</v>
      </c>
      <c r="T6605" s="22">
        <f t="shared" si="563"/>
        <v>4</v>
      </c>
      <c r="U6605" s="22">
        <f t="shared" si="564"/>
        <v>2023</v>
      </c>
      <c r="V6605" s="22" t="str">
        <f t="shared" si="565"/>
        <v>METROPOLITANA</v>
      </c>
    </row>
    <row r="6606" spans="1:22" x14ac:dyDescent="0.2">
      <c r="A6606" s="23" t="s">
        <v>8033</v>
      </c>
      <c r="B6606" s="22" t="s">
        <v>33</v>
      </c>
      <c r="C6606" s="22" t="s">
        <v>44</v>
      </c>
      <c r="D6606" s="22" t="s">
        <v>20</v>
      </c>
      <c r="E6606" s="24" t="s">
        <v>21</v>
      </c>
      <c r="F6606" s="22" t="s">
        <v>48</v>
      </c>
      <c r="G6606" s="25">
        <v>4243.6399999999994</v>
      </c>
      <c r="H6606" s="22" t="s">
        <v>22</v>
      </c>
      <c r="I6606" s="22">
        <v>0</v>
      </c>
      <c r="J6606" s="22" t="s">
        <v>48</v>
      </c>
      <c r="K6606" s="22" t="s">
        <v>23</v>
      </c>
      <c r="L6606" s="22">
        <v>1</v>
      </c>
      <c r="M6606" s="26">
        <v>69173</v>
      </c>
      <c r="N6606" s="26">
        <v>0</v>
      </c>
      <c r="O6606" s="15">
        <f t="shared" si="562"/>
        <v>69173</v>
      </c>
      <c r="P6606" s="15">
        <f t="shared" si="561"/>
        <v>16.300393058789155</v>
      </c>
      <c r="Q6606" s="25">
        <v>5000</v>
      </c>
      <c r="R6606" s="22">
        <v>85</v>
      </c>
      <c r="S6606" s="22" t="s">
        <v>8046</v>
      </c>
      <c r="T6606" s="22">
        <f t="shared" si="563"/>
        <v>4</v>
      </c>
      <c r="U6606" s="22">
        <f t="shared" si="564"/>
        <v>2023</v>
      </c>
      <c r="V6606" s="22" t="str">
        <f t="shared" si="565"/>
        <v>METROPOLITANA</v>
      </c>
    </row>
    <row r="6607" spans="1:22" x14ac:dyDescent="0.2">
      <c r="A6607" s="11" t="s">
        <v>8047</v>
      </c>
      <c r="B6607" s="12" t="s">
        <v>18</v>
      </c>
      <c r="C6607" s="12" t="s">
        <v>19</v>
      </c>
      <c r="D6607" s="12" t="s">
        <v>6989</v>
      </c>
      <c r="E6607" s="13">
        <v>124860342</v>
      </c>
      <c r="F6607" s="12" t="s">
        <v>92</v>
      </c>
      <c r="G6607" s="14">
        <v>20819.25</v>
      </c>
      <c r="H6607" s="12" t="s">
        <v>24</v>
      </c>
      <c r="I6607" s="12">
        <v>1</v>
      </c>
      <c r="J6607" s="12" t="s">
        <v>92</v>
      </c>
      <c r="K6607" s="12" t="s">
        <v>93</v>
      </c>
      <c r="L6607" s="12">
        <v>0</v>
      </c>
      <c r="M6607" s="15">
        <v>779000</v>
      </c>
      <c r="N6607" s="15">
        <v>0</v>
      </c>
      <c r="O6607" s="15">
        <f t="shared" si="562"/>
        <v>779000</v>
      </c>
      <c r="P6607" s="15">
        <f t="shared" si="561"/>
        <v>37.417294090805385</v>
      </c>
      <c r="Q6607" s="14">
        <v>14000</v>
      </c>
      <c r="R6607" s="12">
        <v>100</v>
      </c>
      <c r="S6607" s="12" t="s">
        <v>8048</v>
      </c>
      <c r="T6607" s="22">
        <f t="shared" si="563"/>
        <v>4</v>
      </c>
      <c r="U6607" s="22">
        <f t="shared" si="564"/>
        <v>2023</v>
      </c>
      <c r="V6607" s="22" t="str">
        <f t="shared" si="565"/>
        <v>REGIONES</v>
      </c>
    </row>
    <row r="6608" spans="1:22" x14ac:dyDescent="0.2">
      <c r="A6608" s="11" t="s">
        <v>8047</v>
      </c>
      <c r="B6608" s="12" t="s">
        <v>18</v>
      </c>
      <c r="C6608" s="12" t="s">
        <v>29</v>
      </c>
      <c r="D6608" s="12" t="s">
        <v>164</v>
      </c>
      <c r="E6608" s="13">
        <v>154837728</v>
      </c>
      <c r="F6608" s="12" t="s">
        <v>39</v>
      </c>
      <c r="G6608" s="14">
        <v>4400</v>
      </c>
      <c r="H6608" s="12" t="s">
        <v>22</v>
      </c>
      <c r="I6608" s="12">
        <v>1</v>
      </c>
      <c r="J6608" s="12" t="s">
        <v>39</v>
      </c>
      <c r="K6608" s="12" t="s">
        <v>23</v>
      </c>
      <c r="L6608" s="12">
        <v>1</v>
      </c>
      <c r="M6608" s="15">
        <v>69173</v>
      </c>
      <c r="N6608" s="15">
        <v>0</v>
      </c>
      <c r="O6608" s="15">
        <f t="shared" si="562"/>
        <v>69173</v>
      </c>
      <c r="P6608" s="15">
        <f t="shared" si="561"/>
        <v>15.721136363636363</v>
      </c>
      <c r="Q6608" s="14">
        <v>5000</v>
      </c>
      <c r="R6608" s="12">
        <v>88</v>
      </c>
      <c r="S6608" s="12" t="s">
        <v>8049</v>
      </c>
      <c r="T6608" s="22">
        <f t="shared" si="563"/>
        <v>4</v>
      </c>
      <c r="U6608" s="22">
        <f t="shared" si="564"/>
        <v>2023</v>
      </c>
      <c r="V6608" s="22" t="str">
        <f t="shared" si="565"/>
        <v>METROPOLITANA</v>
      </c>
    </row>
    <row r="6609" spans="1:22" x14ac:dyDescent="0.2">
      <c r="A6609" s="11" t="s">
        <v>8047</v>
      </c>
      <c r="B6609" s="12" t="s">
        <v>33</v>
      </c>
      <c r="C6609" s="12" t="s">
        <v>36</v>
      </c>
      <c r="D6609" s="12" t="s">
        <v>38</v>
      </c>
      <c r="E6609" s="13">
        <v>53173292</v>
      </c>
      <c r="F6609" s="12" t="s">
        <v>225</v>
      </c>
      <c r="G6609" s="14">
        <f>1385.7+1650</f>
        <v>3035.7</v>
      </c>
      <c r="H6609" s="12" t="s">
        <v>43</v>
      </c>
      <c r="I6609" s="12">
        <v>0</v>
      </c>
      <c r="J6609" s="12" t="s">
        <v>225</v>
      </c>
      <c r="K6609" s="12" t="s">
        <v>23</v>
      </c>
      <c r="L6609" s="12">
        <v>3</v>
      </c>
      <c r="M6609" s="15">
        <v>69173</v>
      </c>
      <c r="N6609" s="15">
        <v>0</v>
      </c>
      <c r="O6609" s="15">
        <f t="shared" si="562"/>
        <v>69173</v>
      </c>
      <c r="P6609" s="15">
        <f t="shared" si="561"/>
        <v>22.786507230622263</v>
      </c>
      <c r="Q6609" s="14">
        <v>5000</v>
      </c>
      <c r="R6609" s="12">
        <v>58</v>
      </c>
      <c r="S6609" s="12" t="s">
        <v>8059</v>
      </c>
      <c r="T6609" s="22">
        <f t="shared" si="563"/>
        <v>4</v>
      </c>
      <c r="U6609" s="22">
        <f t="shared" si="564"/>
        <v>2023</v>
      </c>
      <c r="V6609" s="22" t="str">
        <f t="shared" si="565"/>
        <v>METROPOLITANA</v>
      </c>
    </row>
    <row r="6610" spans="1:22" x14ac:dyDescent="0.2">
      <c r="A6610" s="11" t="s">
        <v>8047</v>
      </c>
      <c r="B6610" s="12" t="s">
        <v>33</v>
      </c>
      <c r="C6610" s="12" t="s">
        <v>2862</v>
      </c>
      <c r="D6610" s="12" t="s">
        <v>30</v>
      </c>
      <c r="E6610" s="13">
        <v>725643961</v>
      </c>
      <c r="F6610" s="12" t="s">
        <v>274</v>
      </c>
      <c r="G6610" s="14">
        <v>5146.9399999999987</v>
      </c>
      <c r="H6610" s="12" t="s">
        <v>32</v>
      </c>
      <c r="I6610" s="12">
        <v>0</v>
      </c>
      <c r="J6610" s="12" t="s">
        <v>274</v>
      </c>
      <c r="K6610" s="12" t="s">
        <v>78</v>
      </c>
      <c r="L6610" s="12">
        <v>0</v>
      </c>
      <c r="M6610" s="15">
        <v>227000</v>
      </c>
      <c r="N6610" s="15">
        <v>0</v>
      </c>
      <c r="O6610" s="15">
        <f t="shared" si="562"/>
        <v>227000</v>
      </c>
      <c r="P6610" s="15">
        <f t="shared" si="561"/>
        <v>44.103875312321506</v>
      </c>
      <c r="Q6610" s="14">
        <v>14000</v>
      </c>
      <c r="R6610" s="12">
        <v>37</v>
      </c>
      <c r="S6610" s="12" t="s">
        <v>8050</v>
      </c>
      <c r="T6610" s="22">
        <f t="shared" si="563"/>
        <v>4</v>
      </c>
      <c r="U6610" s="22">
        <f t="shared" si="564"/>
        <v>2023</v>
      </c>
      <c r="V6610" s="22" t="str">
        <f t="shared" si="565"/>
        <v>REGIONES</v>
      </c>
    </row>
    <row r="6611" spans="1:22" x14ac:dyDescent="0.2">
      <c r="A6611" s="11" t="s">
        <v>8047</v>
      </c>
      <c r="B6611" s="12" t="s">
        <v>33</v>
      </c>
      <c r="C6611" s="12" t="s">
        <v>29</v>
      </c>
      <c r="D6611" s="12" t="s">
        <v>7203</v>
      </c>
      <c r="E6611" s="13">
        <v>165132386</v>
      </c>
      <c r="F6611" s="12" t="s">
        <v>114</v>
      </c>
      <c r="G6611" s="14">
        <v>15980.4</v>
      </c>
      <c r="H6611" s="12" t="s">
        <v>24</v>
      </c>
      <c r="I6611" s="12">
        <v>1</v>
      </c>
      <c r="J6611" s="12" t="s">
        <v>114</v>
      </c>
      <c r="K6611" s="12" t="s">
        <v>75</v>
      </c>
      <c r="L6611" s="12">
        <v>0</v>
      </c>
      <c r="M6611" s="15">
        <v>528000</v>
      </c>
      <c r="N6611" s="15">
        <v>0</v>
      </c>
      <c r="O6611" s="15">
        <f t="shared" si="562"/>
        <v>528000</v>
      </c>
      <c r="P6611" s="15">
        <f t="shared" si="561"/>
        <v>33.040474581362169</v>
      </c>
      <c r="Q6611" s="14">
        <v>14000</v>
      </c>
      <c r="R6611" s="12">
        <v>100</v>
      </c>
      <c r="S6611" s="12" t="s">
        <v>8051</v>
      </c>
      <c r="T6611" s="22">
        <f t="shared" si="563"/>
        <v>4</v>
      </c>
      <c r="U6611" s="22">
        <f t="shared" si="564"/>
        <v>2023</v>
      </c>
      <c r="V6611" s="22" t="str">
        <f t="shared" si="565"/>
        <v>REGIONES</v>
      </c>
    </row>
    <row r="6612" spans="1:22" x14ac:dyDescent="0.2">
      <c r="A6612" s="11" t="s">
        <v>8047</v>
      </c>
      <c r="B6612" s="12" t="s">
        <v>33</v>
      </c>
      <c r="C6612" s="12" t="s">
        <v>29</v>
      </c>
      <c r="D6612" s="12" t="s">
        <v>7658</v>
      </c>
      <c r="E6612" s="13">
        <v>115738402</v>
      </c>
      <c r="F6612" s="12" t="s">
        <v>114</v>
      </c>
      <c r="G6612" s="14">
        <v>16532.19999999999</v>
      </c>
      <c r="H6612" s="12" t="s">
        <v>24</v>
      </c>
      <c r="I6612" s="12">
        <v>1</v>
      </c>
      <c r="J6612" s="12" t="s">
        <v>114</v>
      </c>
      <c r="K6612" s="12" t="s">
        <v>75</v>
      </c>
      <c r="L6612" s="12">
        <v>0</v>
      </c>
      <c r="M6612" s="15">
        <v>528000</v>
      </c>
      <c r="N6612" s="15">
        <v>0</v>
      </c>
      <c r="O6612" s="15">
        <f t="shared" si="562"/>
        <v>528000</v>
      </c>
      <c r="P6612" s="15">
        <f t="shared" si="561"/>
        <v>31.93767314694961</v>
      </c>
      <c r="Q6612" s="14">
        <v>14000</v>
      </c>
      <c r="R6612" s="12">
        <v>100</v>
      </c>
      <c r="S6612" s="12" t="s">
        <v>8052</v>
      </c>
      <c r="T6612" s="22">
        <f t="shared" si="563"/>
        <v>4</v>
      </c>
      <c r="U6612" s="22">
        <f t="shared" si="564"/>
        <v>2023</v>
      </c>
      <c r="V6612" s="22" t="str">
        <f t="shared" si="565"/>
        <v>REGIONES</v>
      </c>
    </row>
    <row r="6613" spans="1:22" x14ac:dyDescent="0.2">
      <c r="A6613" s="11" t="s">
        <v>8047</v>
      </c>
      <c r="B6613" s="12" t="s">
        <v>33</v>
      </c>
      <c r="C6613" s="12" t="s">
        <v>29</v>
      </c>
      <c r="D6613" s="12" t="s">
        <v>41</v>
      </c>
      <c r="E6613" s="13">
        <v>125108660</v>
      </c>
      <c r="F6613" s="12" t="s">
        <v>39</v>
      </c>
      <c r="G6613" s="14">
        <v>9243.0000000000018</v>
      </c>
      <c r="H6613" s="12" t="s">
        <v>43</v>
      </c>
      <c r="I6613" s="12">
        <v>0</v>
      </c>
      <c r="J6613" s="12" t="s">
        <v>39</v>
      </c>
      <c r="K6613" s="12" t="s">
        <v>23</v>
      </c>
      <c r="L6613" s="12">
        <v>1</v>
      </c>
      <c r="M6613" s="15">
        <v>101673</v>
      </c>
      <c r="N6613" s="15">
        <v>0</v>
      </c>
      <c r="O6613" s="15">
        <f t="shared" si="562"/>
        <v>101673</v>
      </c>
      <c r="P6613" s="15">
        <f t="shared" si="561"/>
        <v>10.999999999999998</v>
      </c>
      <c r="Q6613" s="14">
        <v>5000</v>
      </c>
      <c r="R6613" s="12">
        <v>100</v>
      </c>
      <c r="S6613" s="12" t="s">
        <v>8053</v>
      </c>
      <c r="T6613" s="22">
        <f t="shared" si="563"/>
        <v>4</v>
      </c>
      <c r="U6613" s="22">
        <f t="shared" si="564"/>
        <v>2023</v>
      </c>
      <c r="V6613" s="22" t="str">
        <f t="shared" si="565"/>
        <v>METROPOLITANA</v>
      </c>
    </row>
    <row r="6614" spans="1:22" x14ac:dyDescent="0.2">
      <c r="A6614" s="11" t="s">
        <v>8047</v>
      </c>
      <c r="B6614" s="12" t="s">
        <v>33</v>
      </c>
      <c r="C6614" s="12" t="s">
        <v>29</v>
      </c>
      <c r="D6614" s="12" t="s">
        <v>164</v>
      </c>
      <c r="E6614" s="13">
        <v>154837728</v>
      </c>
      <c r="F6614" s="12" t="s">
        <v>39</v>
      </c>
      <c r="G6614" s="14">
        <v>9782.6200000000008</v>
      </c>
      <c r="H6614" s="12" t="s">
        <v>22</v>
      </c>
      <c r="I6614" s="12">
        <v>1</v>
      </c>
      <c r="J6614" s="12" t="s">
        <v>39</v>
      </c>
      <c r="K6614" s="12" t="s">
        <v>23</v>
      </c>
      <c r="L6614" s="12">
        <v>1</v>
      </c>
      <c r="M6614" s="15">
        <v>107609</v>
      </c>
      <c r="N6614" s="15">
        <v>0</v>
      </c>
      <c r="O6614" s="15">
        <f t="shared" si="562"/>
        <v>107609</v>
      </c>
      <c r="P6614" s="15">
        <f t="shared" si="561"/>
        <v>11.000018399978737</v>
      </c>
      <c r="Q6614" s="14">
        <v>5000</v>
      </c>
      <c r="R6614" s="12">
        <v>100</v>
      </c>
      <c r="S6614" s="12" t="s">
        <v>8054</v>
      </c>
      <c r="T6614" s="22">
        <f t="shared" si="563"/>
        <v>4</v>
      </c>
      <c r="U6614" s="22">
        <f t="shared" si="564"/>
        <v>2023</v>
      </c>
      <c r="V6614" s="22" t="str">
        <f t="shared" si="565"/>
        <v>METROPOLITANA</v>
      </c>
    </row>
    <row r="6615" spans="1:22" x14ac:dyDescent="0.2">
      <c r="A6615" s="11" t="s">
        <v>8047</v>
      </c>
      <c r="B6615" s="12" t="s">
        <v>33</v>
      </c>
      <c r="C6615" s="12" t="s">
        <v>29</v>
      </c>
      <c r="D6615" s="12" t="s">
        <v>20</v>
      </c>
      <c r="E6615" s="13">
        <v>78907355</v>
      </c>
      <c r="F6615" s="12" t="s">
        <v>129</v>
      </c>
      <c r="G6615" s="14">
        <v>4814.34</v>
      </c>
      <c r="H6615" s="12" t="s">
        <v>22</v>
      </c>
      <c r="I6615" s="12">
        <v>0</v>
      </c>
      <c r="J6615" s="12" t="s">
        <v>129</v>
      </c>
      <c r="K6615" s="12" t="s">
        <v>23</v>
      </c>
      <c r="L6615" s="12">
        <v>1</v>
      </c>
      <c r="M6615" s="15">
        <v>69173</v>
      </c>
      <c r="N6615" s="15">
        <v>0</v>
      </c>
      <c r="O6615" s="15">
        <f t="shared" si="562"/>
        <v>69173</v>
      </c>
      <c r="P6615" s="15">
        <f t="shared" si="561"/>
        <v>14.368116917376005</v>
      </c>
      <c r="Q6615" s="14">
        <v>5000</v>
      </c>
      <c r="R6615" s="12">
        <v>96</v>
      </c>
      <c r="S6615" s="12" t="s">
        <v>8055</v>
      </c>
      <c r="T6615" s="22">
        <f t="shared" si="563"/>
        <v>4</v>
      </c>
      <c r="U6615" s="22">
        <f t="shared" si="564"/>
        <v>2023</v>
      </c>
      <c r="V6615" s="22" t="str">
        <f t="shared" si="565"/>
        <v>METROPOLITANA</v>
      </c>
    </row>
    <row r="6616" spans="1:22" x14ac:dyDescent="0.2">
      <c r="A6616" s="11" t="s">
        <v>8047</v>
      </c>
      <c r="B6616" s="12" t="s">
        <v>33</v>
      </c>
      <c r="C6616" s="12" t="s">
        <v>5611</v>
      </c>
      <c r="D6616" s="12" t="s">
        <v>8056</v>
      </c>
      <c r="E6616" s="13">
        <v>72564391</v>
      </c>
      <c r="F6616" s="12" t="s">
        <v>89</v>
      </c>
      <c r="G6616" s="14">
        <v>1932.85</v>
      </c>
      <c r="H6616" s="12" t="s">
        <v>24</v>
      </c>
      <c r="I6616" s="12">
        <v>1</v>
      </c>
      <c r="J6616" s="12" t="s">
        <v>89</v>
      </c>
      <c r="K6616" s="12" t="s">
        <v>23</v>
      </c>
      <c r="L6616" s="12">
        <v>5</v>
      </c>
      <c r="M6616" s="15">
        <v>187000</v>
      </c>
      <c r="N6616" s="15">
        <v>0</v>
      </c>
      <c r="O6616" s="15">
        <f t="shared" si="562"/>
        <v>187000</v>
      </c>
      <c r="P6616" s="15">
        <f t="shared" si="561"/>
        <v>96.748325012287566</v>
      </c>
      <c r="Q6616" s="14">
        <v>10000</v>
      </c>
      <c r="R6616" s="12">
        <v>19</v>
      </c>
      <c r="S6616" s="12" t="s">
        <v>8057</v>
      </c>
      <c r="T6616" s="22">
        <f t="shared" si="563"/>
        <v>4</v>
      </c>
      <c r="U6616" s="22">
        <f t="shared" si="564"/>
        <v>2023</v>
      </c>
      <c r="V6616" s="22" t="str">
        <f t="shared" si="565"/>
        <v>METROPOLITANA</v>
      </c>
    </row>
    <row r="6617" spans="1:22" x14ac:dyDescent="0.2">
      <c r="A6617" s="11" t="s">
        <v>8047</v>
      </c>
      <c r="B6617" s="12" t="s">
        <v>33</v>
      </c>
      <c r="C6617" s="12" t="s">
        <v>44</v>
      </c>
      <c r="D6617" s="12" t="s">
        <v>45</v>
      </c>
      <c r="E6617" s="13">
        <v>107643206</v>
      </c>
      <c r="F6617" s="12" t="s">
        <v>137</v>
      </c>
      <c r="G6617" s="14">
        <v>3239.42</v>
      </c>
      <c r="H6617" s="12" t="s">
        <v>22</v>
      </c>
      <c r="I6617" s="12">
        <v>0</v>
      </c>
      <c r="J6617" s="12" t="s">
        <v>137</v>
      </c>
      <c r="K6617" s="12" t="s">
        <v>23</v>
      </c>
      <c r="L6617" s="12">
        <v>1</v>
      </c>
      <c r="M6617" s="15">
        <v>69173</v>
      </c>
      <c r="N6617" s="15">
        <v>0</v>
      </c>
      <c r="O6617" s="15">
        <f t="shared" si="562"/>
        <v>69173</v>
      </c>
      <c r="P6617" s="15">
        <f t="shared" si="561"/>
        <v>21.353513900636532</v>
      </c>
      <c r="Q6617" s="14">
        <v>5000</v>
      </c>
      <c r="R6617" s="12">
        <v>65</v>
      </c>
      <c r="S6617" s="12" t="s">
        <v>8058</v>
      </c>
      <c r="T6617" s="22">
        <f t="shared" si="563"/>
        <v>4</v>
      </c>
      <c r="U6617" s="22">
        <f t="shared" si="564"/>
        <v>2023</v>
      </c>
      <c r="V6617" s="22" t="str">
        <f t="shared" si="565"/>
        <v>METROPOLITANA</v>
      </c>
    </row>
    <row r="6618" spans="1:22" x14ac:dyDescent="0.2">
      <c r="A6618" s="23" t="s">
        <v>8060</v>
      </c>
      <c r="B6618" s="22" t="s">
        <v>18</v>
      </c>
      <c r="C6618" s="22" t="s">
        <v>29</v>
      </c>
      <c r="D6618" s="22" t="s">
        <v>5128</v>
      </c>
      <c r="E6618" s="24" t="s">
        <v>304</v>
      </c>
      <c r="F6618" s="22" t="s">
        <v>39</v>
      </c>
      <c r="G6618" s="25">
        <v>25682</v>
      </c>
      <c r="H6618" s="22" t="s">
        <v>24</v>
      </c>
      <c r="I6618" s="22">
        <v>1</v>
      </c>
      <c r="J6618" s="22" t="s">
        <v>39</v>
      </c>
      <c r="K6618" s="22" t="s">
        <v>23</v>
      </c>
      <c r="L6618" s="22">
        <v>1</v>
      </c>
      <c r="M6618" s="26">
        <v>282502</v>
      </c>
      <c r="N6618" s="26">
        <v>0</v>
      </c>
      <c r="O6618" s="15">
        <f t="shared" si="562"/>
        <v>282502</v>
      </c>
      <c r="P6618" s="15">
        <f t="shared" si="561"/>
        <v>11</v>
      </c>
      <c r="Q6618" s="25">
        <v>5000</v>
      </c>
      <c r="R6618" s="22">
        <v>100</v>
      </c>
      <c r="S6618" s="22" t="s">
        <v>8061</v>
      </c>
      <c r="T6618" s="22">
        <f t="shared" si="563"/>
        <v>4</v>
      </c>
      <c r="U6618" s="22">
        <f t="shared" si="564"/>
        <v>2023</v>
      </c>
      <c r="V6618" s="22" t="str">
        <f t="shared" si="565"/>
        <v>METROPOLITANA</v>
      </c>
    </row>
    <row r="6619" spans="1:22" x14ac:dyDescent="0.2">
      <c r="A6619" s="23" t="s">
        <v>8060</v>
      </c>
      <c r="B6619" s="22" t="s">
        <v>33</v>
      </c>
      <c r="C6619" s="22" t="s">
        <v>2605</v>
      </c>
      <c r="D6619" s="22" t="s">
        <v>786</v>
      </c>
      <c r="E6619" s="24" t="s">
        <v>787</v>
      </c>
      <c r="F6619" s="22" t="s">
        <v>129</v>
      </c>
      <c r="G6619" s="25">
        <v>23358.400000000009</v>
      </c>
      <c r="H6619" s="22" t="s">
        <v>788</v>
      </c>
      <c r="I6619" s="22">
        <v>1</v>
      </c>
      <c r="J6619" s="22" t="s">
        <v>129</v>
      </c>
      <c r="K6619" s="22" t="s">
        <v>23</v>
      </c>
      <c r="L6619" s="22">
        <v>1</v>
      </c>
      <c r="M6619" s="26">
        <v>256942</v>
      </c>
      <c r="N6619" s="26">
        <v>0</v>
      </c>
      <c r="O6619" s="15">
        <f t="shared" si="562"/>
        <v>256942</v>
      </c>
      <c r="P6619" s="15">
        <f t="shared" si="561"/>
        <v>10.999982875539416</v>
      </c>
      <c r="Q6619" s="25">
        <v>5000</v>
      </c>
      <c r="R6619" s="22">
        <v>100</v>
      </c>
      <c r="S6619" s="22" t="s">
        <v>8062</v>
      </c>
      <c r="T6619" s="22">
        <f t="shared" si="563"/>
        <v>4</v>
      </c>
      <c r="U6619" s="22">
        <f t="shared" si="564"/>
        <v>2023</v>
      </c>
      <c r="V6619" s="22" t="str">
        <f t="shared" si="565"/>
        <v>METROPOLITANA</v>
      </c>
    </row>
    <row r="6620" spans="1:22" x14ac:dyDescent="0.2">
      <c r="A6620" s="23" t="s">
        <v>8060</v>
      </c>
      <c r="B6620" s="22" t="s">
        <v>33</v>
      </c>
      <c r="C6620" s="22" t="s">
        <v>2605</v>
      </c>
      <c r="D6620" s="22" t="s">
        <v>41</v>
      </c>
      <c r="E6620" s="24" t="s">
        <v>25</v>
      </c>
      <c r="F6620" s="22" t="s">
        <v>129</v>
      </c>
      <c r="G6620" s="25">
        <v>14453.400000000011</v>
      </c>
      <c r="H6620" s="22" t="s">
        <v>43</v>
      </c>
      <c r="I6620" s="22">
        <v>0</v>
      </c>
      <c r="J6620" s="22" t="s">
        <v>129</v>
      </c>
      <c r="K6620" s="22" t="s">
        <v>23</v>
      </c>
      <c r="L6620" s="22">
        <v>1</v>
      </c>
      <c r="M6620" s="26">
        <v>158987</v>
      </c>
      <c r="N6620" s="26">
        <v>0</v>
      </c>
      <c r="O6620" s="15">
        <f t="shared" si="562"/>
        <v>158987</v>
      </c>
      <c r="P6620" s="15">
        <f t="shared" si="561"/>
        <v>10.999972324850892</v>
      </c>
      <c r="Q6620" s="25">
        <v>5000</v>
      </c>
      <c r="R6620" s="22">
        <v>100</v>
      </c>
      <c r="S6620" s="22" t="s">
        <v>8063</v>
      </c>
      <c r="T6620" s="22">
        <f t="shared" si="563"/>
        <v>4</v>
      </c>
      <c r="U6620" s="22">
        <f t="shared" si="564"/>
        <v>2023</v>
      </c>
      <c r="V6620" s="22" t="str">
        <f t="shared" si="565"/>
        <v>METROPOLITANA</v>
      </c>
    </row>
    <row r="6621" spans="1:22" x14ac:dyDescent="0.2">
      <c r="A6621" s="23" t="s">
        <v>8060</v>
      </c>
      <c r="B6621" s="22" t="s">
        <v>33</v>
      </c>
      <c r="C6621" s="22" t="s">
        <v>2605</v>
      </c>
      <c r="D6621" s="22" t="s">
        <v>20</v>
      </c>
      <c r="E6621" s="24" t="s">
        <v>21</v>
      </c>
      <c r="F6621" s="22" t="s">
        <v>129</v>
      </c>
      <c r="G6621" s="25">
        <v>9755.1999999999971</v>
      </c>
      <c r="H6621" s="22" t="s">
        <v>22</v>
      </c>
      <c r="I6621" s="22">
        <v>0</v>
      </c>
      <c r="J6621" s="22" t="s">
        <v>129</v>
      </c>
      <c r="K6621" s="22" t="s">
        <v>23</v>
      </c>
      <c r="L6621" s="22">
        <v>1</v>
      </c>
      <c r="M6621" s="26">
        <v>107307</v>
      </c>
      <c r="N6621" s="26">
        <v>0</v>
      </c>
      <c r="O6621" s="15">
        <f t="shared" si="562"/>
        <v>107307</v>
      </c>
      <c r="P6621" s="15">
        <f t="shared" ref="P6621:P6684" si="566">O6621/G6621</f>
        <v>10.999979498113829</v>
      </c>
      <c r="Q6621" s="25">
        <v>5000</v>
      </c>
      <c r="R6621" s="22">
        <v>100</v>
      </c>
      <c r="S6621" s="22" t="s">
        <v>8064</v>
      </c>
      <c r="T6621" s="22">
        <f t="shared" si="563"/>
        <v>4</v>
      </c>
      <c r="U6621" s="22">
        <f t="shared" si="564"/>
        <v>2023</v>
      </c>
      <c r="V6621" s="22" t="str">
        <f t="shared" si="565"/>
        <v>METROPOLITANA</v>
      </c>
    </row>
    <row r="6622" spans="1:22" x14ac:dyDescent="0.2">
      <c r="A6622" s="23" t="s">
        <v>8060</v>
      </c>
      <c r="B6622" s="22" t="s">
        <v>33</v>
      </c>
      <c r="C6622" s="22" t="s">
        <v>5796</v>
      </c>
      <c r="D6622" s="22" t="s">
        <v>37</v>
      </c>
      <c r="E6622" s="24" t="s">
        <v>40</v>
      </c>
      <c r="F6622" s="22" t="s">
        <v>129</v>
      </c>
      <c r="G6622" s="25">
        <v>14700</v>
      </c>
      <c r="H6622" s="22" t="s">
        <v>22</v>
      </c>
      <c r="I6622" s="22">
        <v>0</v>
      </c>
      <c r="J6622" s="22" t="s">
        <v>129</v>
      </c>
      <c r="K6622" s="22" t="s">
        <v>23</v>
      </c>
      <c r="L6622" s="22">
        <v>1</v>
      </c>
      <c r="M6622" s="26">
        <v>161700</v>
      </c>
      <c r="N6622" s="26">
        <v>0</v>
      </c>
      <c r="O6622" s="15">
        <f t="shared" si="562"/>
        <v>161700</v>
      </c>
      <c r="P6622" s="15">
        <f t="shared" si="566"/>
        <v>11</v>
      </c>
      <c r="Q6622" s="25">
        <v>5000</v>
      </c>
      <c r="R6622" s="22">
        <v>100</v>
      </c>
      <c r="S6622" s="22" t="s">
        <v>8065</v>
      </c>
      <c r="T6622" s="22">
        <f t="shared" si="563"/>
        <v>4</v>
      </c>
      <c r="U6622" s="22">
        <f t="shared" si="564"/>
        <v>2023</v>
      </c>
      <c r="V6622" s="22" t="str">
        <f t="shared" si="565"/>
        <v>METROPOLITANA</v>
      </c>
    </row>
    <row r="6623" spans="1:22" x14ac:dyDescent="0.2">
      <c r="A6623" s="23" t="s">
        <v>8060</v>
      </c>
      <c r="B6623" s="22" t="s">
        <v>33</v>
      </c>
      <c r="C6623" s="22" t="s">
        <v>29</v>
      </c>
      <c r="D6623" s="22" t="s">
        <v>38</v>
      </c>
      <c r="E6623" s="24" t="s">
        <v>42</v>
      </c>
      <c r="F6623" s="22" t="s">
        <v>39</v>
      </c>
      <c r="G6623" s="25">
        <f>7794.39+850</f>
        <v>8644.39</v>
      </c>
      <c r="H6623" s="22" t="s">
        <v>43</v>
      </c>
      <c r="I6623" s="22">
        <v>0</v>
      </c>
      <c r="J6623" s="22" t="s">
        <v>39</v>
      </c>
      <c r="K6623" s="22" t="s">
        <v>23</v>
      </c>
      <c r="L6623" s="22">
        <v>1</v>
      </c>
      <c r="M6623" s="26">
        <v>85738</v>
      </c>
      <c r="N6623" s="26">
        <v>0</v>
      </c>
      <c r="O6623" s="15">
        <f t="shared" si="562"/>
        <v>85738</v>
      </c>
      <c r="P6623" s="15">
        <f t="shared" si="566"/>
        <v>9.9183401026561739</v>
      </c>
      <c r="Q6623" s="25">
        <v>5000</v>
      </c>
      <c r="R6623" s="22">
        <v>100</v>
      </c>
      <c r="S6623" s="22" t="s">
        <v>8077</v>
      </c>
      <c r="T6623" s="22">
        <f t="shared" si="563"/>
        <v>4</v>
      </c>
      <c r="U6623" s="22">
        <f t="shared" si="564"/>
        <v>2023</v>
      </c>
      <c r="V6623" s="22" t="str">
        <f t="shared" si="565"/>
        <v>METROPOLITANA</v>
      </c>
    </row>
    <row r="6624" spans="1:22" x14ac:dyDescent="0.2">
      <c r="A6624" s="23" t="s">
        <v>8060</v>
      </c>
      <c r="B6624" s="22" t="s">
        <v>33</v>
      </c>
      <c r="C6624" s="22" t="s">
        <v>29</v>
      </c>
      <c r="D6624" s="22" t="s">
        <v>7819</v>
      </c>
      <c r="E6624" s="24" t="s">
        <v>8025</v>
      </c>
      <c r="F6624" s="22" t="s">
        <v>132</v>
      </c>
      <c r="G6624" s="25">
        <v>14241.6</v>
      </c>
      <c r="H6624" s="22" t="s">
        <v>24</v>
      </c>
      <c r="I6624" s="22">
        <v>1</v>
      </c>
      <c r="J6624" s="22" t="s">
        <v>132</v>
      </c>
      <c r="K6624" s="22" t="s">
        <v>124</v>
      </c>
      <c r="L6624" s="22">
        <v>0</v>
      </c>
      <c r="M6624" s="26">
        <v>440000</v>
      </c>
      <c r="N6624" s="26">
        <v>0</v>
      </c>
      <c r="O6624" s="15">
        <f t="shared" si="562"/>
        <v>440000</v>
      </c>
      <c r="P6624" s="15">
        <f t="shared" si="566"/>
        <v>30.895405010672956</v>
      </c>
      <c r="Q6624" s="25">
        <v>14000</v>
      </c>
      <c r="R6624" s="22">
        <v>100</v>
      </c>
      <c r="S6624" s="22" t="s">
        <v>8066</v>
      </c>
      <c r="T6624" s="22">
        <f t="shared" si="563"/>
        <v>4</v>
      </c>
      <c r="U6624" s="22">
        <f t="shared" si="564"/>
        <v>2023</v>
      </c>
      <c r="V6624" s="22" t="str">
        <f t="shared" si="565"/>
        <v>REGIONES</v>
      </c>
    </row>
    <row r="6625" spans="1:22" x14ac:dyDescent="0.2">
      <c r="A6625" s="23" t="s">
        <v>8060</v>
      </c>
      <c r="B6625" s="22" t="s">
        <v>33</v>
      </c>
      <c r="C6625" s="22" t="s">
        <v>29</v>
      </c>
      <c r="D6625" s="22" t="s">
        <v>8067</v>
      </c>
      <c r="E6625" s="24" t="s">
        <v>7006</v>
      </c>
      <c r="F6625" s="22" t="s">
        <v>114</v>
      </c>
      <c r="G6625" s="25">
        <v>22642</v>
      </c>
      <c r="H6625" s="22" t="s">
        <v>24</v>
      </c>
      <c r="I6625" s="22">
        <v>1</v>
      </c>
      <c r="J6625" s="22" t="s">
        <v>114</v>
      </c>
      <c r="K6625" s="22" t="s">
        <v>75</v>
      </c>
      <c r="L6625" s="22">
        <v>0</v>
      </c>
      <c r="M6625" s="26">
        <v>528000</v>
      </c>
      <c r="N6625" s="26">
        <v>0</v>
      </c>
      <c r="O6625" s="15">
        <f t="shared" si="562"/>
        <v>528000</v>
      </c>
      <c r="P6625" s="15">
        <f t="shared" si="566"/>
        <v>23.31949474428054</v>
      </c>
      <c r="Q6625" s="25">
        <v>14000</v>
      </c>
      <c r="R6625" s="22">
        <v>100</v>
      </c>
      <c r="S6625" s="22" t="s">
        <v>8068</v>
      </c>
      <c r="T6625" s="22">
        <f t="shared" si="563"/>
        <v>4</v>
      </c>
      <c r="U6625" s="22">
        <f t="shared" si="564"/>
        <v>2023</v>
      </c>
      <c r="V6625" s="22" t="str">
        <f t="shared" si="565"/>
        <v>REGIONES</v>
      </c>
    </row>
    <row r="6626" spans="1:22" x14ac:dyDescent="0.2">
      <c r="A6626" s="23" t="s">
        <v>8060</v>
      </c>
      <c r="B6626" s="22" t="s">
        <v>33</v>
      </c>
      <c r="C6626" s="22" t="s">
        <v>29</v>
      </c>
      <c r="D6626" s="22" t="s">
        <v>8039</v>
      </c>
      <c r="E6626" s="24" t="s">
        <v>7712</v>
      </c>
      <c r="F6626" s="22" t="s">
        <v>114</v>
      </c>
      <c r="G6626" s="25">
        <f>10505.6+2462</f>
        <v>12967.6</v>
      </c>
      <c r="H6626" s="22" t="s">
        <v>24</v>
      </c>
      <c r="I6626" s="22">
        <v>1</v>
      </c>
      <c r="J6626" s="22" t="s">
        <v>114</v>
      </c>
      <c r="K6626" s="22" t="s">
        <v>75</v>
      </c>
      <c r="L6626" s="22">
        <v>0</v>
      </c>
      <c r="M6626" s="26">
        <v>528000</v>
      </c>
      <c r="N6626" s="26">
        <v>0</v>
      </c>
      <c r="O6626" s="15">
        <f t="shared" si="562"/>
        <v>528000</v>
      </c>
      <c r="P6626" s="15">
        <f t="shared" si="566"/>
        <v>40.716863567660937</v>
      </c>
      <c r="Q6626" s="25">
        <v>14000</v>
      </c>
      <c r="R6626" s="22">
        <v>98</v>
      </c>
      <c r="S6626" s="22" t="s">
        <v>8076</v>
      </c>
      <c r="T6626" s="22">
        <f t="shared" si="563"/>
        <v>4</v>
      </c>
      <c r="U6626" s="22">
        <f t="shared" si="564"/>
        <v>2023</v>
      </c>
      <c r="V6626" s="22" t="str">
        <f t="shared" si="565"/>
        <v>REGIONES</v>
      </c>
    </row>
    <row r="6627" spans="1:22" x14ac:dyDescent="0.2">
      <c r="A6627" s="23" t="s">
        <v>8060</v>
      </c>
      <c r="B6627" s="22" t="s">
        <v>33</v>
      </c>
      <c r="C6627" s="22" t="s">
        <v>29</v>
      </c>
      <c r="D6627" s="22" t="s">
        <v>370</v>
      </c>
      <c r="E6627" s="24" t="s">
        <v>371</v>
      </c>
      <c r="F6627" s="22" t="s">
        <v>132</v>
      </c>
      <c r="G6627" s="25">
        <v>11764.1</v>
      </c>
      <c r="H6627" s="22" t="s">
        <v>85</v>
      </c>
      <c r="I6627" s="22">
        <v>1</v>
      </c>
      <c r="J6627" s="22" t="s">
        <v>132</v>
      </c>
      <c r="K6627" s="22" t="s">
        <v>124</v>
      </c>
      <c r="L6627" s="22">
        <v>0</v>
      </c>
      <c r="M6627" s="26">
        <v>440000</v>
      </c>
      <c r="N6627" s="26">
        <v>0</v>
      </c>
      <c r="O6627" s="15">
        <f t="shared" si="562"/>
        <v>440000</v>
      </c>
      <c r="P6627" s="15">
        <f t="shared" si="566"/>
        <v>37.401926199199259</v>
      </c>
      <c r="Q6627" s="25">
        <v>14000</v>
      </c>
      <c r="R6627" s="22">
        <v>84</v>
      </c>
      <c r="S6627" s="22" t="s">
        <v>8069</v>
      </c>
      <c r="T6627" s="22">
        <f t="shared" si="563"/>
        <v>4</v>
      </c>
      <c r="U6627" s="22">
        <f t="shared" si="564"/>
        <v>2023</v>
      </c>
      <c r="V6627" s="22" t="str">
        <f t="shared" si="565"/>
        <v>REGIONES</v>
      </c>
    </row>
    <row r="6628" spans="1:22" x14ac:dyDescent="0.2">
      <c r="A6628" s="23" t="s">
        <v>8060</v>
      </c>
      <c r="B6628" s="22" t="s">
        <v>33</v>
      </c>
      <c r="C6628" s="22" t="s">
        <v>29</v>
      </c>
      <c r="D6628" s="22" t="s">
        <v>164</v>
      </c>
      <c r="E6628" s="24" t="s">
        <v>1576</v>
      </c>
      <c r="F6628" s="22" t="s">
        <v>39</v>
      </c>
      <c r="G6628" s="25">
        <v>17306.38</v>
      </c>
      <c r="H6628" s="22" t="s">
        <v>22</v>
      </c>
      <c r="I6628" s="22">
        <v>1</v>
      </c>
      <c r="J6628" s="22" t="s">
        <v>39</v>
      </c>
      <c r="K6628" s="22" t="s">
        <v>23</v>
      </c>
      <c r="L6628" s="22">
        <v>1</v>
      </c>
      <c r="M6628" s="26">
        <v>190370</v>
      </c>
      <c r="N6628" s="26">
        <v>0</v>
      </c>
      <c r="O6628" s="15">
        <f t="shared" si="562"/>
        <v>190370</v>
      </c>
      <c r="P6628" s="15">
        <f t="shared" si="566"/>
        <v>10.999989599211389</v>
      </c>
      <c r="Q6628" s="25">
        <v>5000</v>
      </c>
      <c r="R6628" s="22">
        <v>100</v>
      </c>
      <c r="S6628" s="22" t="s">
        <v>8070</v>
      </c>
      <c r="T6628" s="22">
        <f t="shared" si="563"/>
        <v>4</v>
      </c>
      <c r="U6628" s="22">
        <f t="shared" si="564"/>
        <v>2023</v>
      </c>
      <c r="V6628" s="22" t="str">
        <f t="shared" si="565"/>
        <v>METROPOLITANA</v>
      </c>
    </row>
    <row r="6629" spans="1:22" x14ac:dyDescent="0.2">
      <c r="A6629" s="23" t="s">
        <v>8060</v>
      </c>
      <c r="B6629" s="22" t="s">
        <v>33</v>
      </c>
      <c r="C6629" s="22" t="s">
        <v>44</v>
      </c>
      <c r="D6629" s="22" t="s">
        <v>2825</v>
      </c>
      <c r="E6629" s="24" t="s">
        <v>639</v>
      </c>
      <c r="F6629" s="22" t="s">
        <v>3139</v>
      </c>
      <c r="G6629" s="25">
        <f>4240.14+3599</f>
        <v>7839.14</v>
      </c>
      <c r="H6629" s="22" t="s">
        <v>24</v>
      </c>
      <c r="I6629" s="22">
        <v>1</v>
      </c>
      <c r="J6629" s="22" t="s">
        <v>3139</v>
      </c>
      <c r="K6629" s="22" t="s">
        <v>93</v>
      </c>
      <c r="L6629" s="22">
        <v>0</v>
      </c>
      <c r="M6629" s="26">
        <v>583000</v>
      </c>
      <c r="N6629" s="26">
        <v>0</v>
      </c>
      <c r="O6629" s="15">
        <f t="shared" si="562"/>
        <v>583000</v>
      </c>
      <c r="P6629" s="15">
        <f t="shared" si="566"/>
        <v>74.370402875825661</v>
      </c>
      <c r="Q6629" s="25">
        <v>14000</v>
      </c>
      <c r="R6629" s="22">
        <v>59</v>
      </c>
      <c r="S6629" s="22" t="s">
        <v>8075</v>
      </c>
      <c r="T6629" s="22">
        <f t="shared" si="563"/>
        <v>4</v>
      </c>
      <c r="U6629" s="22">
        <f t="shared" si="564"/>
        <v>2023</v>
      </c>
      <c r="V6629" s="22" t="str">
        <f t="shared" si="565"/>
        <v>REGIONES</v>
      </c>
    </row>
    <row r="6630" spans="1:22" x14ac:dyDescent="0.2">
      <c r="A6630" s="23" t="s">
        <v>8060</v>
      </c>
      <c r="B6630" s="22" t="s">
        <v>33</v>
      </c>
      <c r="C6630" s="22" t="s">
        <v>44</v>
      </c>
      <c r="D6630" s="22" t="s">
        <v>30</v>
      </c>
      <c r="E6630" s="24" t="s">
        <v>31</v>
      </c>
      <c r="F6630" s="22" t="s">
        <v>39</v>
      </c>
      <c r="G6630" s="25">
        <v>4813.2</v>
      </c>
      <c r="H6630" s="22" t="s">
        <v>32</v>
      </c>
      <c r="I6630" s="22">
        <v>0</v>
      </c>
      <c r="J6630" s="22" t="s">
        <v>39</v>
      </c>
      <c r="K6630" s="22" t="s">
        <v>23</v>
      </c>
      <c r="L6630" s="22">
        <v>1</v>
      </c>
      <c r="M6630" s="26">
        <v>69173</v>
      </c>
      <c r="N6630" s="26">
        <v>0</v>
      </c>
      <c r="O6630" s="15">
        <f t="shared" si="562"/>
        <v>69173</v>
      </c>
      <c r="P6630" s="15">
        <f t="shared" si="566"/>
        <v>14.371519986703234</v>
      </c>
      <c r="Q6630" s="25">
        <v>5000</v>
      </c>
      <c r="R6630" s="22">
        <v>96</v>
      </c>
      <c r="S6630" s="22" t="s">
        <v>8071</v>
      </c>
      <c r="T6630" s="22">
        <f t="shared" si="563"/>
        <v>4</v>
      </c>
      <c r="U6630" s="22">
        <f t="shared" si="564"/>
        <v>2023</v>
      </c>
      <c r="V6630" s="22" t="str">
        <f t="shared" si="565"/>
        <v>METROPOLITANA</v>
      </c>
    </row>
    <row r="6631" spans="1:22" x14ac:dyDescent="0.2">
      <c r="A6631" s="23" t="s">
        <v>8060</v>
      </c>
      <c r="B6631" s="22" t="s">
        <v>33</v>
      </c>
      <c r="C6631" s="22" t="s">
        <v>44</v>
      </c>
      <c r="D6631" s="22" t="s">
        <v>45</v>
      </c>
      <c r="E6631" s="24" t="s">
        <v>49</v>
      </c>
      <c r="F6631" s="22" t="s">
        <v>26</v>
      </c>
      <c r="G6631" s="25">
        <v>3441.28</v>
      </c>
      <c r="H6631" s="22" t="s">
        <v>22</v>
      </c>
      <c r="I6631" s="22">
        <v>0</v>
      </c>
      <c r="J6631" s="22" t="s">
        <v>26</v>
      </c>
      <c r="K6631" s="22" t="s">
        <v>23</v>
      </c>
      <c r="L6631" s="22">
        <v>4</v>
      </c>
      <c r="M6631" s="26">
        <v>69173</v>
      </c>
      <c r="N6631" s="26">
        <v>0</v>
      </c>
      <c r="O6631" s="15">
        <f t="shared" si="562"/>
        <v>69173</v>
      </c>
      <c r="P6631" s="15">
        <f t="shared" si="566"/>
        <v>20.100950809001301</v>
      </c>
      <c r="Q6631" s="25">
        <v>5000</v>
      </c>
      <c r="R6631" s="22">
        <v>69</v>
      </c>
      <c r="S6631" s="22" t="s">
        <v>8072</v>
      </c>
      <c r="T6631" s="22">
        <f t="shared" si="563"/>
        <v>4</v>
      </c>
      <c r="U6631" s="22">
        <f t="shared" si="564"/>
        <v>2023</v>
      </c>
      <c r="V6631" s="22" t="str">
        <f t="shared" si="565"/>
        <v>METROPOLITANA</v>
      </c>
    </row>
    <row r="6632" spans="1:22" x14ac:dyDescent="0.2">
      <c r="A6632" s="23" t="s">
        <v>8060</v>
      </c>
      <c r="B6632" s="22" t="s">
        <v>33</v>
      </c>
      <c r="C6632" s="22" t="s">
        <v>44</v>
      </c>
      <c r="D6632" s="22" t="s">
        <v>20</v>
      </c>
      <c r="E6632" s="24" t="s">
        <v>21</v>
      </c>
      <c r="F6632" s="22" t="s">
        <v>26</v>
      </c>
      <c r="G6632" s="25">
        <v>6698.2799999999988</v>
      </c>
      <c r="H6632" s="22" t="s">
        <v>22</v>
      </c>
      <c r="I6632" s="22">
        <v>0</v>
      </c>
      <c r="J6632" s="22" t="s">
        <v>26</v>
      </c>
      <c r="K6632" s="22" t="s">
        <v>23</v>
      </c>
      <c r="L6632" s="22">
        <v>4</v>
      </c>
      <c r="M6632" s="26">
        <v>73681</v>
      </c>
      <c r="N6632" s="26">
        <v>0</v>
      </c>
      <c r="O6632" s="15">
        <f t="shared" si="562"/>
        <v>73681</v>
      </c>
      <c r="P6632" s="15">
        <f t="shared" si="566"/>
        <v>10.999988056635436</v>
      </c>
      <c r="Q6632" s="25">
        <v>5000</v>
      </c>
      <c r="R6632" s="22">
        <v>100</v>
      </c>
      <c r="S6632" s="22" t="s">
        <v>8073</v>
      </c>
      <c r="T6632" s="22">
        <f t="shared" si="563"/>
        <v>4</v>
      </c>
      <c r="U6632" s="22">
        <f t="shared" si="564"/>
        <v>2023</v>
      </c>
      <c r="V6632" s="22" t="str">
        <f t="shared" si="565"/>
        <v>METROPOLITANA</v>
      </c>
    </row>
    <row r="6633" spans="1:22" x14ac:dyDescent="0.2">
      <c r="A6633" s="23" t="s">
        <v>8060</v>
      </c>
      <c r="B6633" s="22" t="s">
        <v>33</v>
      </c>
      <c r="C6633" s="22" t="s">
        <v>4802</v>
      </c>
      <c r="D6633" s="22" t="s">
        <v>7075</v>
      </c>
      <c r="E6633" s="24" t="s">
        <v>7076</v>
      </c>
      <c r="F6633" s="22" t="s">
        <v>815</v>
      </c>
      <c r="G6633" s="25">
        <v>17004.000000000011</v>
      </c>
      <c r="H6633" s="22" t="s">
        <v>24</v>
      </c>
      <c r="I6633" s="22">
        <v>1</v>
      </c>
      <c r="J6633" s="22" t="s">
        <v>815</v>
      </c>
      <c r="K6633" s="22" t="s">
        <v>75</v>
      </c>
      <c r="L6633" s="22">
        <v>0</v>
      </c>
      <c r="M6633" s="26">
        <v>528000</v>
      </c>
      <c r="N6633" s="26">
        <v>0</v>
      </c>
      <c r="O6633" s="15">
        <f t="shared" si="562"/>
        <v>528000</v>
      </c>
      <c r="P6633" s="15">
        <f t="shared" si="566"/>
        <v>31.051517290049379</v>
      </c>
      <c r="Q6633" s="25">
        <v>14000</v>
      </c>
      <c r="R6633" s="22">
        <v>100</v>
      </c>
      <c r="S6633" s="22" t="s">
        <v>8074</v>
      </c>
      <c r="T6633" s="22">
        <f t="shared" si="563"/>
        <v>4</v>
      </c>
      <c r="U6633" s="22">
        <f t="shared" si="564"/>
        <v>2023</v>
      </c>
      <c r="V6633" s="22" t="str">
        <f t="shared" si="565"/>
        <v>REGIONES</v>
      </c>
    </row>
    <row r="6634" spans="1:22" x14ac:dyDescent="0.2">
      <c r="A6634" s="11" t="s">
        <v>8078</v>
      </c>
      <c r="B6634" s="12" t="s">
        <v>18</v>
      </c>
      <c r="C6634" s="12" t="s">
        <v>160</v>
      </c>
      <c r="D6634" s="12" t="s">
        <v>5478</v>
      </c>
      <c r="E6634" s="13" t="s">
        <v>83</v>
      </c>
      <c r="F6634" s="12" t="s">
        <v>2055</v>
      </c>
      <c r="G6634" s="14">
        <v>26978.16</v>
      </c>
      <c r="H6634" s="12" t="s">
        <v>24</v>
      </c>
      <c r="I6634" s="12">
        <v>1</v>
      </c>
      <c r="J6634" s="12" t="s">
        <v>2055</v>
      </c>
      <c r="K6634" s="12" t="s">
        <v>86</v>
      </c>
      <c r="L6634" s="12">
        <v>0</v>
      </c>
      <c r="M6634" s="15">
        <v>352000</v>
      </c>
      <c r="N6634" s="15">
        <v>0</v>
      </c>
      <c r="O6634" s="15">
        <f t="shared" si="562"/>
        <v>352000</v>
      </c>
      <c r="P6634" s="15">
        <f t="shared" si="566"/>
        <v>13.047591088495286</v>
      </c>
      <c r="Q6634" s="14">
        <v>14000</v>
      </c>
      <c r="R6634" s="12">
        <v>100</v>
      </c>
      <c r="S6634" s="12" t="s">
        <v>8079</v>
      </c>
      <c r="T6634" s="22">
        <f t="shared" si="563"/>
        <v>4</v>
      </c>
      <c r="U6634" s="22">
        <f t="shared" si="564"/>
        <v>2023</v>
      </c>
      <c r="V6634" s="22" t="str">
        <f t="shared" si="565"/>
        <v>REGIONES</v>
      </c>
    </row>
    <row r="6635" spans="1:22" x14ac:dyDescent="0.2">
      <c r="A6635" s="11" t="s">
        <v>8078</v>
      </c>
      <c r="B6635" s="12" t="s">
        <v>18</v>
      </c>
      <c r="C6635" s="12" t="s">
        <v>4331</v>
      </c>
      <c r="D6635" s="12" t="s">
        <v>37</v>
      </c>
      <c r="E6635" s="13" t="s">
        <v>40</v>
      </c>
      <c r="F6635" s="12" t="s">
        <v>161</v>
      </c>
      <c r="G6635" s="14">
        <v>13721.04</v>
      </c>
      <c r="H6635" s="12" t="s">
        <v>22</v>
      </c>
      <c r="I6635" s="12">
        <v>0</v>
      </c>
      <c r="J6635" s="12" t="s">
        <v>161</v>
      </c>
      <c r="K6635" s="12" t="s">
        <v>23</v>
      </c>
      <c r="L6635" s="12">
        <v>5</v>
      </c>
      <c r="M6635" s="15">
        <v>87500</v>
      </c>
      <c r="N6635" s="15">
        <v>0</v>
      </c>
      <c r="O6635" s="15">
        <f t="shared" si="562"/>
        <v>87500</v>
      </c>
      <c r="P6635" s="15">
        <f t="shared" si="566"/>
        <v>6.3770676275267757</v>
      </c>
      <c r="Q6635" s="14">
        <v>10000</v>
      </c>
      <c r="R6635" s="12">
        <v>100</v>
      </c>
      <c r="S6635" s="12" t="s">
        <v>8080</v>
      </c>
      <c r="T6635" s="22">
        <f t="shared" si="563"/>
        <v>4</v>
      </c>
      <c r="U6635" s="22">
        <f t="shared" si="564"/>
        <v>2023</v>
      </c>
      <c r="V6635" s="22" t="str">
        <f t="shared" si="565"/>
        <v>METROPOLITANA</v>
      </c>
    </row>
    <row r="6636" spans="1:22" x14ac:dyDescent="0.2">
      <c r="A6636" s="11" t="s">
        <v>8078</v>
      </c>
      <c r="B6636" s="12" t="s">
        <v>18</v>
      </c>
      <c r="C6636" s="12" t="s">
        <v>4331</v>
      </c>
      <c r="D6636" s="12" t="s">
        <v>20</v>
      </c>
      <c r="E6636" s="13" t="s">
        <v>21</v>
      </c>
      <c r="F6636" s="12" t="s">
        <v>161</v>
      </c>
      <c r="G6636" s="14">
        <v>11538.69</v>
      </c>
      <c r="H6636" s="12" t="s">
        <v>22</v>
      </c>
      <c r="I6636" s="12">
        <v>0</v>
      </c>
      <c r="J6636" s="12" t="s">
        <v>161</v>
      </c>
      <c r="K6636" s="12" t="s">
        <v>23</v>
      </c>
      <c r="L6636" s="12">
        <v>5</v>
      </c>
      <c r="M6636" s="15">
        <v>87500</v>
      </c>
      <c r="N6636" s="15">
        <v>0</v>
      </c>
      <c r="O6636" s="15">
        <f t="shared" si="562"/>
        <v>87500</v>
      </c>
      <c r="P6636" s="15">
        <f t="shared" si="566"/>
        <v>7.5831831863062442</v>
      </c>
      <c r="Q6636" s="14">
        <v>10000</v>
      </c>
      <c r="R6636" s="12">
        <v>100</v>
      </c>
      <c r="S6636" s="12" t="s">
        <v>8081</v>
      </c>
      <c r="T6636" s="22">
        <f t="shared" si="563"/>
        <v>4</v>
      </c>
      <c r="U6636" s="22">
        <f t="shared" si="564"/>
        <v>2023</v>
      </c>
      <c r="V6636" s="22" t="str">
        <f t="shared" si="565"/>
        <v>METROPOLITANA</v>
      </c>
    </row>
    <row r="6637" spans="1:22" x14ac:dyDescent="0.2">
      <c r="A6637" s="11" t="s">
        <v>8078</v>
      </c>
      <c r="B6637" s="12" t="s">
        <v>18</v>
      </c>
      <c r="C6637" s="12" t="s">
        <v>29</v>
      </c>
      <c r="D6637" s="12" t="s">
        <v>6221</v>
      </c>
      <c r="E6637" s="13" t="s">
        <v>7100</v>
      </c>
      <c r="F6637" s="12" t="s">
        <v>39</v>
      </c>
      <c r="G6637" s="14">
        <v>25682</v>
      </c>
      <c r="H6637" s="12" t="s">
        <v>24</v>
      </c>
      <c r="I6637" s="12">
        <v>1</v>
      </c>
      <c r="J6637" s="12" t="s">
        <v>39</v>
      </c>
      <c r="K6637" s="12" t="s">
        <v>23</v>
      </c>
      <c r="L6637" s="12">
        <v>1</v>
      </c>
      <c r="M6637" s="15">
        <v>282502</v>
      </c>
      <c r="N6637" s="15">
        <v>0</v>
      </c>
      <c r="O6637" s="15">
        <f t="shared" si="562"/>
        <v>282502</v>
      </c>
      <c r="P6637" s="15">
        <f t="shared" si="566"/>
        <v>11</v>
      </c>
      <c r="Q6637" s="14">
        <v>5000</v>
      </c>
      <c r="R6637" s="12">
        <v>100</v>
      </c>
      <c r="S6637" s="12" t="s">
        <v>8082</v>
      </c>
      <c r="T6637" s="22">
        <f t="shared" si="563"/>
        <v>4</v>
      </c>
      <c r="U6637" s="22">
        <f t="shared" si="564"/>
        <v>2023</v>
      </c>
      <c r="V6637" s="22" t="str">
        <f t="shared" si="565"/>
        <v>METROPOLITANA</v>
      </c>
    </row>
    <row r="6638" spans="1:22" x14ac:dyDescent="0.2">
      <c r="A6638" s="11" t="s">
        <v>8078</v>
      </c>
      <c r="B6638" s="12" t="s">
        <v>33</v>
      </c>
      <c r="C6638" s="12" t="s">
        <v>128</v>
      </c>
      <c r="D6638" s="12" t="s">
        <v>3641</v>
      </c>
      <c r="E6638" s="13" t="s">
        <v>5124</v>
      </c>
      <c r="F6638" s="12" t="s">
        <v>84</v>
      </c>
      <c r="G6638" s="14">
        <v>20705.099999999999</v>
      </c>
      <c r="H6638" s="12" t="s">
        <v>24</v>
      </c>
      <c r="I6638" s="12">
        <v>1</v>
      </c>
      <c r="J6638" s="12" t="s">
        <v>84</v>
      </c>
      <c r="K6638" s="12" t="s">
        <v>86</v>
      </c>
      <c r="L6638" s="12">
        <v>0</v>
      </c>
      <c r="M6638" s="15">
        <v>402000</v>
      </c>
      <c r="N6638" s="15">
        <v>0</v>
      </c>
      <c r="O6638" s="15">
        <f t="shared" si="562"/>
        <v>402000</v>
      </c>
      <c r="P6638" s="15">
        <f t="shared" si="566"/>
        <v>19.415506324528742</v>
      </c>
      <c r="Q6638" s="14">
        <v>14000</v>
      </c>
      <c r="R6638" s="12">
        <v>100</v>
      </c>
      <c r="S6638" s="12" t="s">
        <v>8083</v>
      </c>
      <c r="T6638" s="22">
        <f t="shared" si="563"/>
        <v>4</v>
      </c>
      <c r="U6638" s="22">
        <f t="shared" si="564"/>
        <v>2023</v>
      </c>
      <c r="V6638" s="22" t="str">
        <f t="shared" si="565"/>
        <v>REGIONES</v>
      </c>
    </row>
    <row r="6639" spans="1:22" x14ac:dyDescent="0.2">
      <c r="A6639" s="11" t="s">
        <v>8078</v>
      </c>
      <c r="B6639" s="12" t="s">
        <v>33</v>
      </c>
      <c r="C6639" s="12" t="s">
        <v>128</v>
      </c>
      <c r="D6639" s="12" t="s">
        <v>164</v>
      </c>
      <c r="E6639" s="13" t="s">
        <v>1576</v>
      </c>
      <c r="F6639" s="12" t="s">
        <v>34</v>
      </c>
      <c r="G6639" s="14">
        <v>8971.850000000004</v>
      </c>
      <c r="H6639" s="12" t="s">
        <v>22</v>
      </c>
      <c r="I6639" s="12">
        <v>1</v>
      </c>
      <c r="J6639" s="12" t="s">
        <v>34</v>
      </c>
      <c r="K6639" s="12" t="s">
        <v>23</v>
      </c>
      <c r="L6639" s="12">
        <v>1</v>
      </c>
      <c r="M6639" s="15">
        <v>98690</v>
      </c>
      <c r="N6639" s="15">
        <v>0</v>
      </c>
      <c r="O6639" s="15">
        <f t="shared" si="562"/>
        <v>98690</v>
      </c>
      <c r="P6639" s="15">
        <f t="shared" si="566"/>
        <v>10.99996098909366</v>
      </c>
      <c r="Q6639" s="14">
        <v>5000</v>
      </c>
      <c r="R6639" s="12">
        <v>100</v>
      </c>
      <c r="S6639" s="12" t="s">
        <v>8084</v>
      </c>
      <c r="T6639" s="22">
        <f t="shared" si="563"/>
        <v>4</v>
      </c>
      <c r="U6639" s="22">
        <f t="shared" si="564"/>
        <v>2023</v>
      </c>
      <c r="V6639" s="22" t="str">
        <f t="shared" si="565"/>
        <v>METROPOLITANA</v>
      </c>
    </row>
    <row r="6640" spans="1:22" x14ac:dyDescent="0.2">
      <c r="A6640" s="11" t="s">
        <v>8078</v>
      </c>
      <c r="B6640" s="12" t="s">
        <v>33</v>
      </c>
      <c r="C6640" s="12" t="s">
        <v>36</v>
      </c>
      <c r="D6640" s="12" t="s">
        <v>30</v>
      </c>
      <c r="E6640" s="13" t="s">
        <v>31</v>
      </c>
      <c r="F6640" s="12" t="s">
        <v>855</v>
      </c>
      <c r="G6640" s="14">
        <f>4325.66+1958</f>
        <v>6283.66</v>
      </c>
      <c r="H6640" s="12" t="s">
        <v>32</v>
      </c>
      <c r="I6640" s="12">
        <v>0</v>
      </c>
      <c r="J6640" s="12" t="s">
        <v>855</v>
      </c>
      <c r="K6640" s="12" t="s">
        <v>78</v>
      </c>
      <c r="L6640" s="12">
        <v>0</v>
      </c>
      <c r="M6640" s="15">
        <v>250000</v>
      </c>
      <c r="N6640" s="15">
        <v>0</v>
      </c>
      <c r="O6640" s="15">
        <f t="shared" si="562"/>
        <v>250000</v>
      </c>
      <c r="P6640" s="15">
        <f t="shared" si="566"/>
        <v>39.785729972659247</v>
      </c>
      <c r="Q6640" s="14">
        <v>14000</v>
      </c>
      <c r="R6640" s="12">
        <v>55</v>
      </c>
      <c r="S6640" s="12" t="s">
        <v>8089</v>
      </c>
      <c r="T6640" s="22">
        <f t="shared" si="563"/>
        <v>4</v>
      </c>
      <c r="U6640" s="22">
        <f t="shared" si="564"/>
        <v>2023</v>
      </c>
      <c r="V6640" s="22" t="str">
        <f t="shared" si="565"/>
        <v>REGIONES</v>
      </c>
    </row>
    <row r="6641" spans="1:22" x14ac:dyDescent="0.2">
      <c r="A6641" s="11" t="s">
        <v>8078</v>
      </c>
      <c r="B6641" s="12" t="s">
        <v>33</v>
      </c>
      <c r="C6641" s="12" t="s">
        <v>36</v>
      </c>
      <c r="D6641" s="12" t="s">
        <v>45</v>
      </c>
      <c r="E6641" s="13" t="s">
        <v>49</v>
      </c>
      <c r="F6641" s="12" t="s">
        <v>376</v>
      </c>
      <c r="G6641" s="14">
        <v>2568.6200000000008</v>
      </c>
      <c r="H6641" s="12" t="s">
        <v>22</v>
      </c>
      <c r="I6641" s="12">
        <v>0</v>
      </c>
      <c r="J6641" s="12" t="s">
        <v>377</v>
      </c>
      <c r="K6641" s="12" t="s">
        <v>23</v>
      </c>
      <c r="L6641" s="12">
        <v>4</v>
      </c>
      <c r="M6641" s="15">
        <v>69173</v>
      </c>
      <c r="N6641" s="15">
        <v>0</v>
      </c>
      <c r="O6641" s="15">
        <f t="shared" si="562"/>
        <v>69173</v>
      </c>
      <c r="P6641" s="15">
        <f t="shared" si="566"/>
        <v>26.930024682514336</v>
      </c>
      <c r="Q6641" s="14">
        <v>5000</v>
      </c>
      <c r="R6641" s="12">
        <v>51</v>
      </c>
      <c r="S6641" s="12" t="s">
        <v>8085</v>
      </c>
      <c r="T6641" s="22">
        <f t="shared" si="563"/>
        <v>4</v>
      </c>
      <c r="U6641" s="22">
        <f t="shared" si="564"/>
        <v>2023</v>
      </c>
      <c r="V6641" s="22" t="str">
        <f t="shared" si="565"/>
        <v>METROPOLITANA</v>
      </c>
    </row>
    <row r="6642" spans="1:22" x14ac:dyDescent="0.2">
      <c r="A6642" s="11" t="s">
        <v>8078</v>
      </c>
      <c r="B6642" s="12" t="s">
        <v>33</v>
      </c>
      <c r="C6642" s="12" t="s">
        <v>2605</v>
      </c>
      <c r="D6642" s="12" t="s">
        <v>786</v>
      </c>
      <c r="E6642" s="13" t="s">
        <v>787</v>
      </c>
      <c r="F6642" s="12" t="s">
        <v>129</v>
      </c>
      <c r="G6642" s="14">
        <v>39020.800000000039</v>
      </c>
      <c r="H6642" s="12" t="s">
        <v>788</v>
      </c>
      <c r="I6642" s="12">
        <v>1</v>
      </c>
      <c r="J6642" s="12" t="s">
        <v>129</v>
      </c>
      <c r="K6642" s="12" t="s">
        <v>23</v>
      </c>
      <c r="L6642" s="12">
        <v>1</v>
      </c>
      <c r="M6642" s="15">
        <v>429229</v>
      </c>
      <c r="N6642" s="15">
        <v>0</v>
      </c>
      <c r="O6642" s="15">
        <f t="shared" si="562"/>
        <v>429229</v>
      </c>
      <c r="P6642" s="15">
        <f t="shared" si="566"/>
        <v>11.000005125471532</v>
      </c>
      <c r="Q6642" s="14">
        <v>5000</v>
      </c>
      <c r="R6642" s="12">
        <v>100</v>
      </c>
      <c r="S6642" s="12" t="s">
        <v>8086</v>
      </c>
      <c r="T6642" s="22">
        <f t="shared" si="563"/>
        <v>4</v>
      </c>
      <c r="U6642" s="22">
        <f t="shared" si="564"/>
        <v>2023</v>
      </c>
      <c r="V6642" s="22" t="str">
        <f t="shared" si="565"/>
        <v>METROPOLITANA</v>
      </c>
    </row>
    <row r="6643" spans="1:22" x14ac:dyDescent="0.2">
      <c r="A6643" s="11" t="s">
        <v>8078</v>
      </c>
      <c r="B6643" s="12" t="s">
        <v>33</v>
      </c>
      <c r="C6643" s="12" t="s">
        <v>223</v>
      </c>
      <c r="D6643" s="12" t="s">
        <v>7779</v>
      </c>
      <c r="E6643" s="13" t="s">
        <v>131</v>
      </c>
      <c r="F6643" s="12" t="s">
        <v>2308</v>
      </c>
      <c r="G6643" s="14">
        <v>20321.2</v>
      </c>
      <c r="H6643" s="12" t="s">
        <v>24</v>
      </c>
      <c r="I6643" s="12">
        <v>1</v>
      </c>
      <c r="J6643" s="12" t="s">
        <v>2308</v>
      </c>
      <c r="K6643" s="12" t="s">
        <v>2309</v>
      </c>
      <c r="L6643" s="12">
        <v>0</v>
      </c>
      <c r="M6643" s="15">
        <v>943000</v>
      </c>
      <c r="N6643" s="15">
        <v>0</v>
      </c>
      <c r="O6643" s="15">
        <f t="shared" si="562"/>
        <v>943000</v>
      </c>
      <c r="P6643" s="15">
        <f t="shared" si="566"/>
        <v>46.404739877566286</v>
      </c>
      <c r="Q6643" s="14">
        <v>14000</v>
      </c>
      <c r="R6643" s="12">
        <v>100</v>
      </c>
      <c r="S6643" s="12" t="s">
        <v>8087</v>
      </c>
      <c r="T6643" s="22">
        <f t="shared" si="563"/>
        <v>4</v>
      </c>
      <c r="U6643" s="22">
        <f t="shared" si="564"/>
        <v>2023</v>
      </c>
      <c r="V6643" s="22" t="str">
        <f t="shared" si="565"/>
        <v>REGIONES</v>
      </c>
    </row>
    <row r="6644" spans="1:22" x14ac:dyDescent="0.2">
      <c r="A6644" s="11" t="s">
        <v>8078</v>
      </c>
      <c r="B6644" s="12" t="s">
        <v>33</v>
      </c>
      <c r="C6644" s="12" t="s">
        <v>909</v>
      </c>
      <c r="D6644" s="12" t="s">
        <v>2955</v>
      </c>
      <c r="E6644" s="13" t="s">
        <v>2956</v>
      </c>
      <c r="F6644" s="12" t="s">
        <v>910</v>
      </c>
      <c r="G6644" s="14">
        <f>6321.78+5291</f>
        <v>11612.779999999999</v>
      </c>
      <c r="H6644" s="12" t="s">
        <v>24</v>
      </c>
      <c r="I6644" s="12">
        <v>1</v>
      </c>
      <c r="J6644" s="12" t="s">
        <v>910</v>
      </c>
      <c r="K6644" s="12" t="s">
        <v>171</v>
      </c>
      <c r="L6644" s="12">
        <v>0</v>
      </c>
      <c r="M6644" s="15">
        <v>290000</v>
      </c>
      <c r="N6644" s="15">
        <v>0</v>
      </c>
      <c r="O6644" s="15">
        <f t="shared" si="562"/>
        <v>290000</v>
      </c>
      <c r="P6644" s="15">
        <f t="shared" si="566"/>
        <v>24.972487208058709</v>
      </c>
      <c r="Q6644" s="14">
        <v>14000</v>
      </c>
      <c r="R6644" s="12">
        <v>85</v>
      </c>
      <c r="S6644" s="12" t="s">
        <v>8090</v>
      </c>
      <c r="T6644" s="22">
        <f t="shared" si="563"/>
        <v>4</v>
      </c>
      <c r="U6644" s="22">
        <f t="shared" si="564"/>
        <v>2023</v>
      </c>
      <c r="V6644" s="22" t="str">
        <f t="shared" si="565"/>
        <v>REGIONES</v>
      </c>
    </row>
    <row r="6645" spans="1:22" x14ac:dyDescent="0.2">
      <c r="A6645" s="11" t="s">
        <v>8078</v>
      </c>
      <c r="B6645" s="12" t="s">
        <v>33</v>
      </c>
      <c r="C6645" s="12" t="s">
        <v>29</v>
      </c>
      <c r="D6645" s="12" t="s">
        <v>38</v>
      </c>
      <c r="E6645" s="13" t="s">
        <v>25</v>
      </c>
      <c r="F6645" s="12" t="s">
        <v>39</v>
      </c>
      <c r="G6645" s="14">
        <v>13373.13</v>
      </c>
      <c r="H6645" s="12" t="s">
        <v>43</v>
      </c>
      <c r="I6645" s="12">
        <v>0</v>
      </c>
      <c r="J6645" s="12" t="s">
        <v>39</v>
      </c>
      <c r="K6645" s="12" t="s">
        <v>23</v>
      </c>
      <c r="L6645" s="12">
        <v>1</v>
      </c>
      <c r="M6645" s="15">
        <v>147104</v>
      </c>
      <c r="N6645" s="15">
        <v>0</v>
      </c>
      <c r="O6645" s="15">
        <f t="shared" si="562"/>
        <v>147104</v>
      </c>
      <c r="P6645" s="15">
        <f t="shared" si="566"/>
        <v>10.999967845971737</v>
      </c>
      <c r="Q6645" s="14">
        <v>5000</v>
      </c>
      <c r="R6645" s="12">
        <v>100</v>
      </c>
      <c r="S6645" s="12" t="s">
        <v>8088</v>
      </c>
      <c r="T6645" s="22">
        <f t="shared" si="563"/>
        <v>4</v>
      </c>
      <c r="U6645" s="22">
        <f t="shared" si="564"/>
        <v>2023</v>
      </c>
      <c r="V6645" s="22" t="str">
        <f t="shared" si="565"/>
        <v>METROPOLITANA</v>
      </c>
    </row>
    <row r="6646" spans="1:22" x14ac:dyDescent="0.2">
      <c r="A6646" s="23" t="s">
        <v>8091</v>
      </c>
      <c r="B6646" s="22" t="s">
        <v>18</v>
      </c>
      <c r="C6646" s="22" t="s">
        <v>160</v>
      </c>
      <c r="D6646" s="22" t="s">
        <v>5478</v>
      </c>
      <c r="E6646" s="24" t="s">
        <v>83</v>
      </c>
      <c r="F6646" s="22" t="s">
        <v>2055</v>
      </c>
      <c r="G6646" s="25">
        <v>21067.439999999999</v>
      </c>
      <c r="H6646" s="22" t="s">
        <v>24</v>
      </c>
      <c r="I6646" s="22">
        <v>1</v>
      </c>
      <c r="J6646" s="22" t="s">
        <v>2055</v>
      </c>
      <c r="K6646" s="22" t="s">
        <v>86</v>
      </c>
      <c r="L6646" s="22">
        <v>0</v>
      </c>
      <c r="M6646" s="26">
        <v>352000</v>
      </c>
      <c r="N6646" s="26">
        <v>0</v>
      </c>
      <c r="O6646" s="15">
        <f t="shared" si="562"/>
        <v>352000</v>
      </c>
      <c r="P6646" s="15">
        <f t="shared" si="566"/>
        <v>16.708247418765641</v>
      </c>
      <c r="Q6646" s="25">
        <v>14000</v>
      </c>
      <c r="R6646" s="22">
        <v>100</v>
      </c>
      <c r="S6646" s="22" t="s">
        <v>8092</v>
      </c>
      <c r="T6646" s="22">
        <f t="shared" si="563"/>
        <v>4</v>
      </c>
      <c r="U6646" s="22">
        <f t="shared" si="564"/>
        <v>2023</v>
      </c>
      <c r="V6646" s="22" t="str">
        <f t="shared" si="565"/>
        <v>REGIONES</v>
      </c>
    </row>
    <row r="6647" spans="1:22" x14ac:dyDescent="0.2">
      <c r="A6647" s="23" t="s">
        <v>8091</v>
      </c>
      <c r="B6647" s="22" t="s">
        <v>18</v>
      </c>
      <c r="C6647" s="22" t="s">
        <v>4331</v>
      </c>
      <c r="D6647" s="22" t="s">
        <v>38</v>
      </c>
      <c r="E6647" s="24" t="s">
        <v>42</v>
      </c>
      <c r="F6647" s="22" t="s">
        <v>161</v>
      </c>
      <c r="G6647" s="25">
        <v>3228.48</v>
      </c>
      <c r="H6647" s="22" t="s">
        <v>43</v>
      </c>
      <c r="I6647" s="22">
        <v>0</v>
      </c>
      <c r="J6647" s="22" t="s">
        <v>161</v>
      </c>
      <c r="K6647" s="22" t="s">
        <v>23</v>
      </c>
      <c r="L6647" s="22">
        <v>5</v>
      </c>
      <c r="M6647" s="26">
        <v>87500</v>
      </c>
      <c r="N6647" s="26">
        <v>0</v>
      </c>
      <c r="O6647" s="15">
        <f t="shared" si="562"/>
        <v>87500</v>
      </c>
      <c r="P6647" s="15">
        <f t="shared" si="566"/>
        <v>27.102537416988799</v>
      </c>
      <c r="Q6647" s="25">
        <v>10000</v>
      </c>
      <c r="R6647" s="22">
        <v>32</v>
      </c>
      <c r="S6647" s="22" t="s">
        <v>8093</v>
      </c>
      <c r="T6647" s="22">
        <f t="shared" si="563"/>
        <v>4</v>
      </c>
      <c r="U6647" s="22">
        <f t="shared" si="564"/>
        <v>2023</v>
      </c>
      <c r="V6647" s="22" t="str">
        <f t="shared" si="565"/>
        <v>METROPOLITANA</v>
      </c>
    </row>
    <row r="6648" spans="1:22" x14ac:dyDescent="0.2">
      <c r="A6648" s="23" t="s">
        <v>8091</v>
      </c>
      <c r="B6648" s="22" t="s">
        <v>33</v>
      </c>
      <c r="C6648" s="22" t="s">
        <v>60</v>
      </c>
      <c r="D6648" s="22" t="s">
        <v>38</v>
      </c>
      <c r="E6648" s="24" t="s">
        <v>42</v>
      </c>
      <c r="F6648" s="22" t="s">
        <v>120</v>
      </c>
      <c r="G6648" s="25">
        <v>5314</v>
      </c>
      <c r="H6648" s="22" t="s">
        <v>43</v>
      </c>
      <c r="I6648" s="22">
        <v>0</v>
      </c>
      <c r="J6648" s="22" t="s">
        <v>120</v>
      </c>
      <c r="K6648" s="22" t="s">
        <v>23</v>
      </c>
      <c r="L6648" s="22">
        <v>5</v>
      </c>
      <c r="M6648" s="26">
        <v>87500</v>
      </c>
      <c r="N6648" s="26">
        <v>0</v>
      </c>
      <c r="O6648" s="15">
        <f t="shared" si="562"/>
        <v>87500</v>
      </c>
      <c r="P6648" s="15">
        <f t="shared" si="566"/>
        <v>16.465939028980053</v>
      </c>
      <c r="Q6648" s="25">
        <v>10000</v>
      </c>
      <c r="R6648" s="22">
        <v>53</v>
      </c>
      <c r="S6648" s="22" t="s">
        <v>8094</v>
      </c>
      <c r="T6648" s="22">
        <f t="shared" si="563"/>
        <v>4</v>
      </c>
      <c r="U6648" s="22">
        <f t="shared" si="564"/>
        <v>2023</v>
      </c>
      <c r="V6648" s="22" t="str">
        <f t="shared" si="565"/>
        <v>METROPOLITANA</v>
      </c>
    </row>
    <row r="6649" spans="1:22" x14ac:dyDescent="0.2">
      <c r="A6649" s="23" t="s">
        <v>8091</v>
      </c>
      <c r="B6649" s="22" t="s">
        <v>33</v>
      </c>
      <c r="C6649" s="22" t="s">
        <v>128</v>
      </c>
      <c r="D6649" s="22" t="s">
        <v>786</v>
      </c>
      <c r="E6649" s="24" t="s">
        <v>787</v>
      </c>
      <c r="F6649" s="22" t="s">
        <v>129</v>
      </c>
      <c r="G6649" s="25">
        <v>11951.96</v>
      </c>
      <c r="H6649" s="22" t="s">
        <v>788</v>
      </c>
      <c r="I6649" s="22">
        <v>1</v>
      </c>
      <c r="J6649" s="22" t="s">
        <v>129</v>
      </c>
      <c r="K6649" s="22" t="s">
        <v>23</v>
      </c>
      <c r="L6649" s="22">
        <v>1</v>
      </c>
      <c r="M6649" s="26">
        <v>131472</v>
      </c>
      <c r="N6649" s="26">
        <v>0</v>
      </c>
      <c r="O6649" s="15">
        <f t="shared" si="562"/>
        <v>131472</v>
      </c>
      <c r="P6649" s="15">
        <f t="shared" si="566"/>
        <v>11.000036814045563</v>
      </c>
      <c r="Q6649" s="25">
        <v>5000</v>
      </c>
      <c r="R6649" s="22">
        <v>100</v>
      </c>
      <c r="S6649" s="22" t="s">
        <v>8095</v>
      </c>
      <c r="T6649" s="22">
        <f t="shared" si="563"/>
        <v>4</v>
      </c>
      <c r="U6649" s="22">
        <f t="shared" si="564"/>
        <v>2023</v>
      </c>
      <c r="V6649" s="22" t="str">
        <f t="shared" si="565"/>
        <v>METROPOLITANA</v>
      </c>
    </row>
    <row r="6650" spans="1:22" x14ac:dyDescent="0.2">
      <c r="A6650" s="23" t="s">
        <v>8091</v>
      </c>
      <c r="B6650" s="22" t="s">
        <v>33</v>
      </c>
      <c r="C6650" s="22" t="s">
        <v>128</v>
      </c>
      <c r="D6650" s="22" t="s">
        <v>41</v>
      </c>
      <c r="E6650" s="24" t="s">
        <v>25</v>
      </c>
      <c r="F6650" s="22" t="s">
        <v>34</v>
      </c>
      <c r="G6650" s="25">
        <v>6247.2399999999989</v>
      </c>
      <c r="H6650" s="22" t="s">
        <v>43</v>
      </c>
      <c r="I6650" s="22">
        <v>0</v>
      </c>
      <c r="J6650" s="22" t="s">
        <v>34</v>
      </c>
      <c r="K6650" s="22" t="s">
        <v>23</v>
      </c>
      <c r="L6650" s="22">
        <v>1</v>
      </c>
      <c r="M6650" s="26">
        <v>68720</v>
      </c>
      <c r="N6650" s="26">
        <v>0</v>
      </c>
      <c r="O6650" s="15">
        <f t="shared" si="562"/>
        <v>68720</v>
      </c>
      <c r="P6650" s="15">
        <f t="shared" si="566"/>
        <v>11.000057625447399</v>
      </c>
      <c r="Q6650" s="25">
        <v>5000</v>
      </c>
      <c r="R6650" s="22">
        <v>100</v>
      </c>
      <c r="S6650" s="22" t="s">
        <v>8096</v>
      </c>
      <c r="T6650" s="22">
        <f t="shared" si="563"/>
        <v>4</v>
      </c>
      <c r="U6650" s="22">
        <f t="shared" si="564"/>
        <v>2023</v>
      </c>
      <c r="V6650" s="22" t="str">
        <f t="shared" si="565"/>
        <v>METROPOLITANA</v>
      </c>
    </row>
    <row r="6651" spans="1:22" x14ac:dyDescent="0.2">
      <c r="A6651" s="23" t="s">
        <v>8091</v>
      </c>
      <c r="B6651" s="22" t="s">
        <v>33</v>
      </c>
      <c r="C6651" s="22" t="s">
        <v>5851</v>
      </c>
      <c r="D6651" s="22" t="s">
        <v>37</v>
      </c>
      <c r="E6651" s="24" t="s">
        <v>40</v>
      </c>
      <c r="F6651" s="22" t="s">
        <v>274</v>
      </c>
      <c r="G6651" s="25">
        <v>6003.1999999999989</v>
      </c>
      <c r="H6651" s="22" t="s">
        <v>22</v>
      </c>
      <c r="I6651" s="22">
        <v>0</v>
      </c>
      <c r="J6651" s="22" t="s">
        <v>274</v>
      </c>
      <c r="K6651" s="22" t="s">
        <v>78</v>
      </c>
      <c r="L6651" s="22">
        <v>0</v>
      </c>
      <c r="M6651" s="26">
        <v>227000</v>
      </c>
      <c r="N6651" s="26">
        <v>0</v>
      </c>
      <c r="O6651" s="15">
        <f t="shared" ref="O6651:O6714" si="567">SUM(M6651:N6651)</f>
        <v>227000</v>
      </c>
      <c r="P6651" s="15">
        <f t="shared" si="566"/>
        <v>37.813166311300648</v>
      </c>
      <c r="Q6651" s="25">
        <v>14000</v>
      </c>
      <c r="R6651" s="22">
        <v>43</v>
      </c>
      <c r="S6651" s="22" t="s">
        <v>8097</v>
      </c>
      <c r="T6651" s="22">
        <f t="shared" si="563"/>
        <v>4</v>
      </c>
      <c r="U6651" s="22">
        <f t="shared" si="564"/>
        <v>2023</v>
      </c>
      <c r="V6651" s="22" t="str">
        <f t="shared" si="565"/>
        <v>REGIONES</v>
      </c>
    </row>
    <row r="6652" spans="1:22" x14ac:dyDescent="0.2">
      <c r="A6652" s="23" t="s">
        <v>8091</v>
      </c>
      <c r="B6652" s="22" t="s">
        <v>33</v>
      </c>
      <c r="C6652" s="22" t="s">
        <v>36</v>
      </c>
      <c r="D6652" s="22" t="s">
        <v>37</v>
      </c>
      <c r="E6652" s="24" t="s">
        <v>40</v>
      </c>
      <c r="F6652" s="22" t="s">
        <v>129</v>
      </c>
      <c r="G6652" s="25">
        <v>3001.6</v>
      </c>
      <c r="H6652" s="22" t="s">
        <v>22</v>
      </c>
      <c r="I6652" s="22">
        <v>0</v>
      </c>
      <c r="J6652" s="22" t="s">
        <v>129</v>
      </c>
      <c r="K6652" s="22" t="s">
        <v>23</v>
      </c>
      <c r="L6652" s="22">
        <v>1</v>
      </c>
      <c r="M6652" s="26">
        <v>69173</v>
      </c>
      <c r="N6652" s="26">
        <v>0</v>
      </c>
      <c r="O6652" s="15">
        <f t="shared" si="567"/>
        <v>69173</v>
      </c>
      <c r="P6652" s="15">
        <f t="shared" si="566"/>
        <v>23.045375799573563</v>
      </c>
      <c r="Q6652" s="25">
        <v>5000</v>
      </c>
      <c r="R6652" s="22">
        <v>60</v>
      </c>
      <c r="S6652" s="22" t="s">
        <v>8098</v>
      </c>
      <c r="T6652" s="22">
        <f t="shared" si="563"/>
        <v>4</v>
      </c>
      <c r="U6652" s="22">
        <f t="shared" si="564"/>
        <v>2023</v>
      </c>
      <c r="V6652" s="22" t="str">
        <f t="shared" si="565"/>
        <v>METROPOLITANA</v>
      </c>
    </row>
    <row r="6653" spans="1:22" x14ac:dyDescent="0.2">
      <c r="A6653" s="23" t="s">
        <v>8091</v>
      </c>
      <c r="B6653" s="22" t="s">
        <v>33</v>
      </c>
      <c r="C6653" s="22" t="s">
        <v>909</v>
      </c>
      <c r="D6653" s="22" t="s">
        <v>30</v>
      </c>
      <c r="E6653" s="24" t="s">
        <v>31</v>
      </c>
      <c r="F6653" s="22" t="s">
        <v>8099</v>
      </c>
      <c r="G6653" s="25">
        <v>4819.32</v>
      </c>
      <c r="H6653" s="22" t="s">
        <v>32</v>
      </c>
      <c r="I6653" s="22">
        <v>0</v>
      </c>
      <c r="J6653" s="22" t="s">
        <v>8099</v>
      </c>
      <c r="K6653" s="22" t="s">
        <v>171</v>
      </c>
      <c r="L6653" s="22">
        <v>0</v>
      </c>
      <c r="M6653" s="26">
        <v>250000</v>
      </c>
      <c r="N6653" s="26">
        <v>0</v>
      </c>
      <c r="O6653" s="15">
        <f t="shared" si="567"/>
        <v>250000</v>
      </c>
      <c r="P6653" s="15">
        <f t="shared" si="566"/>
        <v>51.874538316608984</v>
      </c>
      <c r="Q6653" s="25">
        <v>14000</v>
      </c>
      <c r="R6653" s="22">
        <v>34</v>
      </c>
      <c r="S6653" s="22" t="s">
        <v>8100</v>
      </c>
      <c r="T6653" s="22">
        <f t="shared" si="563"/>
        <v>4</v>
      </c>
      <c r="U6653" s="22">
        <f t="shared" si="564"/>
        <v>2023</v>
      </c>
      <c r="V6653" s="22" t="str">
        <f t="shared" si="565"/>
        <v>REGIONES</v>
      </c>
    </row>
    <row r="6654" spans="1:22" x14ac:dyDescent="0.2">
      <c r="A6654" s="23" t="s">
        <v>8091</v>
      </c>
      <c r="B6654" s="22" t="s">
        <v>33</v>
      </c>
      <c r="C6654" s="22" t="s">
        <v>29</v>
      </c>
      <c r="D6654" s="22" t="s">
        <v>6595</v>
      </c>
      <c r="E6654" s="24" t="s">
        <v>7771</v>
      </c>
      <c r="F6654" s="22" t="s">
        <v>132</v>
      </c>
      <c r="G6654" s="25">
        <v>11078.36</v>
      </c>
      <c r="H6654" s="22" t="s">
        <v>24</v>
      </c>
      <c r="I6654" s="22">
        <v>1</v>
      </c>
      <c r="J6654" s="22" t="s">
        <v>132</v>
      </c>
      <c r="K6654" s="22" t="s">
        <v>124</v>
      </c>
      <c r="L6654" s="22">
        <v>0</v>
      </c>
      <c r="M6654" s="26">
        <v>440000</v>
      </c>
      <c r="N6654" s="26">
        <v>0</v>
      </c>
      <c r="O6654" s="15">
        <f t="shared" si="567"/>
        <v>440000</v>
      </c>
      <c r="P6654" s="15">
        <f t="shared" si="566"/>
        <v>39.717070035637043</v>
      </c>
      <c r="Q6654" s="25">
        <v>14000</v>
      </c>
      <c r="R6654" s="22">
        <v>79</v>
      </c>
      <c r="S6654" s="22" t="s">
        <v>8101</v>
      </c>
      <c r="T6654" s="22">
        <f t="shared" si="563"/>
        <v>4</v>
      </c>
      <c r="U6654" s="22">
        <f t="shared" si="564"/>
        <v>2023</v>
      </c>
      <c r="V6654" s="22" t="str">
        <f t="shared" si="565"/>
        <v>REGIONES</v>
      </c>
    </row>
    <row r="6655" spans="1:22" x14ac:dyDescent="0.2">
      <c r="A6655" s="23" t="s">
        <v>8091</v>
      </c>
      <c r="B6655" s="22" t="s">
        <v>33</v>
      </c>
      <c r="C6655" s="22" t="s">
        <v>29</v>
      </c>
      <c r="D6655" s="22" t="s">
        <v>164</v>
      </c>
      <c r="E6655" s="24" t="s">
        <v>1576</v>
      </c>
      <c r="F6655" s="22" t="s">
        <v>39</v>
      </c>
      <c r="G6655" s="25">
        <v>16573.28</v>
      </c>
      <c r="H6655" s="22" t="s">
        <v>22</v>
      </c>
      <c r="I6655" s="22">
        <v>1</v>
      </c>
      <c r="J6655" s="22" t="s">
        <v>39</v>
      </c>
      <c r="K6655" s="22" t="s">
        <v>23</v>
      </c>
      <c r="L6655" s="22">
        <v>1</v>
      </c>
      <c r="M6655" s="26">
        <v>182306</v>
      </c>
      <c r="N6655" s="26">
        <v>0</v>
      </c>
      <c r="O6655" s="15">
        <f t="shared" si="567"/>
        <v>182306</v>
      </c>
      <c r="P6655" s="15">
        <f t="shared" si="566"/>
        <v>10.999995172953092</v>
      </c>
      <c r="Q6655" s="25">
        <v>5000</v>
      </c>
      <c r="R6655" s="22">
        <v>100</v>
      </c>
      <c r="S6655" s="22" t="s">
        <v>8102</v>
      </c>
      <c r="T6655" s="22">
        <f t="shared" si="563"/>
        <v>4</v>
      </c>
      <c r="U6655" s="22">
        <f t="shared" si="564"/>
        <v>2023</v>
      </c>
      <c r="V6655" s="22" t="str">
        <f t="shared" si="565"/>
        <v>METROPOLITANA</v>
      </c>
    </row>
    <row r="6656" spans="1:22" x14ac:dyDescent="0.2">
      <c r="A6656" s="23" t="s">
        <v>8091</v>
      </c>
      <c r="B6656" s="22" t="s">
        <v>33</v>
      </c>
      <c r="C6656" s="22" t="s">
        <v>29</v>
      </c>
      <c r="D6656" s="22" t="s">
        <v>20</v>
      </c>
      <c r="E6656" s="24" t="s">
        <v>21</v>
      </c>
      <c r="F6656" s="22" t="s">
        <v>39</v>
      </c>
      <c r="G6656" s="25">
        <v>9945.9400000000023</v>
      </c>
      <c r="H6656" s="22" t="s">
        <v>22</v>
      </c>
      <c r="I6656" s="22">
        <v>0</v>
      </c>
      <c r="J6656" s="22" t="s">
        <v>39</v>
      </c>
      <c r="K6656" s="22" t="s">
        <v>23</v>
      </c>
      <c r="L6656" s="22">
        <v>1</v>
      </c>
      <c r="M6656" s="26">
        <v>109405</v>
      </c>
      <c r="N6656" s="26">
        <v>0</v>
      </c>
      <c r="O6656" s="15">
        <f t="shared" si="567"/>
        <v>109405</v>
      </c>
      <c r="P6656" s="15">
        <f t="shared" si="566"/>
        <v>10.999965815196953</v>
      </c>
      <c r="Q6656" s="25">
        <v>5000</v>
      </c>
      <c r="R6656" s="22">
        <v>100</v>
      </c>
      <c r="S6656" s="22" t="s">
        <v>8103</v>
      </c>
      <c r="T6656" s="22">
        <f t="shared" si="563"/>
        <v>4</v>
      </c>
      <c r="U6656" s="22">
        <f t="shared" si="564"/>
        <v>2023</v>
      </c>
      <c r="V6656" s="22" t="str">
        <f t="shared" si="565"/>
        <v>METROPOLITANA</v>
      </c>
    </row>
    <row r="6657" spans="1:22" x14ac:dyDescent="0.2">
      <c r="A6657" s="23" t="s">
        <v>8091</v>
      </c>
      <c r="B6657" s="22" t="s">
        <v>33</v>
      </c>
      <c r="C6657" s="22" t="s">
        <v>44</v>
      </c>
      <c r="D6657" s="22" t="s">
        <v>45</v>
      </c>
      <c r="E6657" s="24" t="s">
        <v>49</v>
      </c>
      <c r="F6657" s="22" t="s">
        <v>48</v>
      </c>
      <c r="G6657" s="25">
        <v>2307.38</v>
      </c>
      <c r="H6657" s="22" t="s">
        <v>22</v>
      </c>
      <c r="I6657" s="22">
        <v>0</v>
      </c>
      <c r="J6657" s="22" t="s">
        <v>48</v>
      </c>
      <c r="K6657" s="22" t="s">
        <v>23</v>
      </c>
      <c r="L6657" s="22">
        <v>1</v>
      </c>
      <c r="M6657" s="26">
        <v>69173</v>
      </c>
      <c r="N6657" s="26">
        <v>0</v>
      </c>
      <c r="O6657" s="15">
        <f t="shared" si="567"/>
        <v>69173</v>
      </c>
      <c r="P6657" s="15">
        <f t="shared" si="566"/>
        <v>29.979023827891375</v>
      </c>
      <c r="Q6657" s="25">
        <v>5000</v>
      </c>
      <c r="R6657" s="22">
        <v>46</v>
      </c>
      <c r="S6657" s="22" t="s">
        <v>8104</v>
      </c>
      <c r="T6657" s="22">
        <f t="shared" si="563"/>
        <v>4</v>
      </c>
      <c r="U6657" s="22">
        <f t="shared" si="564"/>
        <v>2023</v>
      </c>
      <c r="V6657" s="22" t="str">
        <f t="shared" si="565"/>
        <v>METROPOLITANA</v>
      </c>
    </row>
    <row r="6658" spans="1:22" x14ac:dyDescent="0.2">
      <c r="A6658" s="11" t="s">
        <v>8105</v>
      </c>
      <c r="B6658" s="12" t="s">
        <v>18</v>
      </c>
      <c r="C6658" s="12" t="s">
        <v>4331</v>
      </c>
      <c r="D6658" s="12" t="s">
        <v>164</v>
      </c>
      <c r="E6658" s="13" t="s">
        <v>1576</v>
      </c>
      <c r="F6658" s="12" t="s">
        <v>161</v>
      </c>
      <c r="G6658" s="14">
        <v>15267.06</v>
      </c>
      <c r="H6658" s="12" t="s">
        <v>22</v>
      </c>
      <c r="I6658" s="12">
        <v>1</v>
      </c>
      <c r="J6658" s="12" t="s">
        <v>161</v>
      </c>
      <c r="K6658" s="12" t="s">
        <v>23</v>
      </c>
      <c r="L6658" s="12">
        <v>5</v>
      </c>
      <c r="M6658" s="15">
        <v>187000</v>
      </c>
      <c r="N6658" s="15">
        <v>0</v>
      </c>
      <c r="O6658" s="15">
        <f t="shared" si="567"/>
        <v>187000</v>
      </c>
      <c r="P6658" s="15">
        <f t="shared" si="566"/>
        <v>12.248592721846904</v>
      </c>
      <c r="Q6658" s="14">
        <v>10000</v>
      </c>
      <c r="R6658" s="12">
        <v>100</v>
      </c>
      <c r="S6658" s="12" t="s">
        <v>8106</v>
      </c>
      <c r="T6658" s="22">
        <f t="shared" si="563"/>
        <v>4</v>
      </c>
      <c r="U6658" s="22">
        <f t="shared" si="564"/>
        <v>2023</v>
      </c>
      <c r="V6658" s="22" t="str">
        <f t="shared" si="565"/>
        <v>METROPOLITANA</v>
      </c>
    </row>
    <row r="6659" spans="1:22" x14ac:dyDescent="0.2">
      <c r="A6659" s="11" t="s">
        <v>8105</v>
      </c>
      <c r="B6659" s="12" t="s">
        <v>18</v>
      </c>
      <c r="C6659" s="12" t="s">
        <v>5796</v>
      </c>
      <c r="D6659" s="12" t="s">
        <v>38</v>
      </c>
      <c r="E6659" s="13" t="s">
        <v>42</v>
      </c>
      <c r="F6659" s="12" t="s">
        <v>129</v>
      </c>
      <c r="G6659" s="14">
        <v>4192.3999999999996</v>
      </c>
      <c r="H6659" s="12" t="s">
        <v>43</v>
      </c>
      <c r="I6659" s="12">
        <v>0</v>
      </c>
      <c r="J6659" s="12" t="s">
        <v>129</v>
      </c>
      <c r="K6659" s="12" t="s">
        <v>23</v>
      </c>
      <c r="L6659" s="12">
        <v>1</v>
      </c>
      <c r="M6659" s="15">
        <v>69173</v>
      </c>
      <c r="N6659" s="15">
        <v>0</v>
      </c>
      <c r="O6659" s="15">
        <f t="shared" si="567"/>
        <v>69173</v>
      </c>
      <c r="P6659" s="15">
        <f t="shared" si="566"/>
        <v>16.499618357027003</v>
      </c>
      <c r="Q6659" s="14">
        <v>5000</v>
      </c>
      <c r="R6659" s="12">
        <v>84</v>
      </c>
      <c r="S6659" s="12" t="s">
        <v>8107</v>
      </c>
      <c r="T6659" s="22">
        <f t="shared" si="563"/>
        <v>4</v>
      </c>
      <c r="U6659" s="22">
        <f t="shared" si="564"/>
        <v>2023</v>
      </c>
      <c r="V6659" s="22" t="str">
        <f t="shared" si="565"/>
        <v>METROPOLITANA</v>
      </c>
    </row>
    <row r="6660" spans="1:22" x14ac:dyDescent="0.2">
      <c r="A6660" s="11" t="s">
        <v>8105</v>
      </c>
      <c r="B6660" s="12" t="s">
        <v>18</v>
      </c>
      <c r="C6660" s="12" t="s">
        <v>5796</v>
      </c>
      <c r="D6660" s="12" t="s">
        <v>41</v>
      </c>
      <c r="E6660" s="13" t="s">
        <v>25</v>
      </c>
      <c r="F6660" s="12" t="s">
        <v>129</v>
      </c>
      <c r="G6660" s="14">
        <v>5347.2000000000025</v>
      </c>
      <c r="H6660" s="12" t="s">
        <v>43</v>
      </c>
      <c r="I6660" s="12">
        <v>0</v>
      </c>
      <c r="J6660" s="12" t="s">
        <v>129</v>
      </c>
      <c r="K6660" s="12" t="s">
        <v>23</v>
      </c>
      <c r="L6660" s="12">
        <v>1</v>
      </c>
      <c r="M6660" s="15">
        <v>58819</v>
      </c>
      <c r="N6660" s="15">
        <v>0</v>
      </c>
      <c r="O6660" s="15">
        <f t="shared" si="567"/>
        <v>58819</v>
      </c>
      <c r="P6660" s="15">
        <f t="shared" si="566"/>
        <v>10.999962597247151</v>
      </c>
      <c r="Q6660" s="14">
        <v>5000</v>
      </c>
      <c r="R6660" s="12">
        <v>100</v>
      </c>
      <c r="S6660" s="12" t="s">
        <v>8108</v>
      </c>
      <c r="T6660" s="22">
        <f t="shared" si="563"/>
        <v>4</v>
      </c>
      <c r="U6660" s="22">
        <f t="shared" si="564"/>
        <v>2023</v>
      </c>
      <c r="V6660" s="22" t="str">
        <f t="shared" si="565"/>
        <v>METROPOLITANA</v>
      </c>
    </row>
    <row r="6661" spans="1:22" x14ac:dyDescent="0.2">
      <c r="A6661" s="11" t="s">
        <v>8105</v>
      </c>
      <c r="B6661" s="12" t="s">
        <v>18</v>
      </c>
      <c r="C6661" s="12" t="s">
        <v>5796</v>
      </c>
      <c r="D6661" s="12" t="s">
        <v>20</v>
      </c>
      <c r="E6661" s="13" t="s">
        <v>21</v>
      </c>
      <c r="F6661" s="12" t="s">
        <v>129</v>
      </c>
      <c r="G6661" s="14">
        <v>4451.6000000000004</v>
      </c>
      <c r="H6661" s="12" t="s">
        <v>22</v>
      </c>
      <c r="I6661" s="12">
        <v>0</v>
      </c>
      <c r="J6661" s="12" t="s">
        <v>129</v>
      </c>
      <c r="K6661" s="12" t="s">
        <v>23</v>
      </c>
      <c r="L6661" s="12">
        <v>1</v>
      </c>
      <c r="M6661" s="15">
        <v>69173</v>
      </c>
      <c r="N6661" s="15">
        <v>0</v>
      </c>
      <c r="O6661" s="15">
        <f t="shared" si="567"/>
        <v>69173</v>
      </c>
      <c r="P6661" s="15">
        <f t="shared" si="566"/>
        <v>15.538907359151764</v>
      </c>
      <c r="Q6661" s="14">
        <v>5000</v>
      </c>
      <c r="R6661" s="12">
        <v>89</v>
      </c>
      <c r="S6661" s="12" t="s">
        <v>8109</v>
      </c>
      <c r="T6661" s="22">
        <f t="shared" si="563"/>
        <v>4</v>
      </c>
      <c r="U6661" s="22">
        <f t="shared" si="564"/>
        <v>2023</v>
      </c>
      <c r="V6661" s="22" t="str">
        <f t="shared" si="565"/>
        <v>METROPOLITANA</v>
      </c>
    </row>
    <row r="6662" spans="1:22" x14ac:dyDescent="0.2">
      <c r="A6662" s="11" t="s">
        <v>8105</v>
      </c>
      <c r="B6662" s="12" t="s">
        <v>33</v>
      </c>
      <c r="C6662" s="12" t="s">
        <v>60</v>
      </c>
      <c r="D6662" s="12" t="s">
        <v>8056</v>
      </c>
      <c r="E6662" s="13" t="s">
        <v>7143</v>
      </c>
      <c r="F6662" s="12" t="s">
        <v>120</v>
      </c>
      <c r="G6662" s="14">
        <v>5338</v>
      </c>
      <c r="H6662" s="12" t="s">
        <v>24</v>
      </c>
      <c r="I6662" s="12">
        <v>1</v>
      </c>
      <c r="J6662" s="12" t="s">
        <v>120</v>
      </c>
      <c r="K6662" s="12" t="s">
        <v>23</v>
      </c>
      <c r="L6662" s="12">
        <v>5</v>
      </c>
      <c r="M6662" s="15">
        <v>187000</v>
      </c>
      <c r="N6662" s="15">
        <v>0</v>
      </c>
      <c r="O6662" s="15">
        <f t="shared" si="567"/>
        <v>187000</v>
      </c>
      <c r="P6662" s="15">
        <f t="shared" si="566"/>
        <v>35.031847133757964</v>
      </c>
      <c r="Q6662" s="14">
        <v>10000</v>
      </c>
      <c r="R6662" s="12">
        <v>53</v>
      </c>
      <c r="S6662" s="12" t="s">
        <v>8110</v>
      </c>
      <c r="T6662" s="22">
        <f t="shared" si="563"/>
        <v>4</v>
      </c>
      <c r="U6662" s="22">
        <f t="shared" si="564"/>
        <v>2023</v>
      </c>
      <c r="V6662" s="22" t="str">
        <f t="shared" si="565"/>
        <v>METROPOLITANA</v>
      </c>
    </row>
    <row r="6663" spans="1:22" x14ac:dyDescent="0.2">
      <c r="A6663" s="11" t="s">
        <v>8105</v>
      </c>
      <c r="B6663" s="12" t="s">
        <v>33</v>
      </c>
      <c r="C6663" s="12" t="s">
        <v>36</v>
      </c>
      <c r="D6663" s="12" t="s">
        <v>30</v>
      </c>
      <c r="E6663" s="13" t="s">
        <v>31</v>
      </c>
      <c r="F6663" s="12" t="s">
        <v>251</v>
      </c>
      <c r="G6663" s="14">
        <v>5485.2</v>
      </c>
      <c r="H6663" s="12" t="s">
        <v>32</v>
      </c>
      <c r="I6663" s="12">
        <v>0</v>
      </c>
      <c r="J6663" s="12" t="s">
        <v>251</v>
      </c>
      <c r="K6663" s="12" t="s">
        <v>78</v>
      </c>
      <c r="L6663" s="12">
        <v>0</v>
      </c>
      <c r="M6663" s="15">
        <v>227000</v>
      </c>
      <c r="N6663" s="15">
        <v>0</v>
      </c>
      <c r="O6663" s="15">
        <f t="shared" si="567"/>
        <v>227000</v>
      </c>
      <c r="P6663" s="15">
        <f t="shared" si="566"/>
        <v>41.38408809159192</v>
      </c>
      <c r="Q6663" s="14">
        <v>14000</v>
      </c>
      <c r="R6663" s="12">
        <v>39</v>
      </c>
      <c r="S6663" s="12" t="s">
        <v>8111</v>
      </c>
      <c r="T6663" s="22">
        <f t="shared" ref="T6663:T6726" si="568">MONTH(A6663)</f>
        <v>4</v>
      </c>
      <c r="U6663" s="22">
        <f t="shared" ref="U6663:U6726" si="569">YEAR(A6663)</f>
        <v>2023</v>
      </c>
      <c r="V6663" s="22" t="str">
        <f t="shared" ref="V6663:V6726" si="570">IF(K6663="METROPOLITANA DE SANTIAGO","METROPOLITANA","REGIONES")</f>
        <v>REGIONES</v>
      </c>
    </row>
    <row r="6664" spans="1:22" x14ac:dyDescent="0.2">
      <c r="A6664" s="11" t="s">
        <v>8105</v>
      </c>
      <c r="B6664" s="12" t="s">
        <v>33</v>
      </c>
      <c r="C6664" s="12" t="s">
        <v>29</v>
      </c>
      <c r="D6664" s="12" t="s">
        <v>2612</v>
      </c>
      <c r="E6664" s="13" t="s">
        <v>6370</v>
      </c>
      <c r="F6664" s="12" t="s">
        <v>815</v>
      </c>
      <c r="G6664" s="14">
        <v>20994.25</v>
      </c>
      <c r="H6664" s="12" t="s">
        <v>24</v>
      </c>
      <c r="I6664" s="12">
        <v>1</v>
      </c>
      <c r="J6664" s="12" t="s">
        <v>815</v>
      </c>
      <c r="K6664" s="12" t="s">
        <v>75</v>
      </c>
      <c r="L6664" s="12">
        <v>0</v>
      </c>
      <c r="M6664" s="15">
        <v>528000</v>
      </c>
      <c r="N6664" s="15">
        <v>0</v>
      </c>
      <c r="O6664" s="15">
        <f t="shared" si="567"/>
        <v>528000</v>
      </c>
      <c r="P6664" s="15">
        <f t="shared" si="566"/>
        <v>25.149743382116533</v>
      </c>
      <c r="Q6664" s="14">
        <v>14000</v>
      </c>
      <c r="R6664" s="12">
        <v>100</v>
      </c>
      <c r="S6664" s="12" t="s">
        <v>8112</v>
      </c>
      <c r="T6664" s="22">
        <f t="shared" si="568"/>
        <v>4</v>
      </c>
      <c r="U6664" s="22">
        <f t="shared" si="569"/>
        <v>2023</v>
      </c>
      <c r="V6664" s="22" t="str">
        <f t="shared" si="570"/>
        <v>REGIONES</v>
      </c>
    </row>
    <row r="6665" spans="1:22" x14ac:dyDescent="0.2">
      <c r="A6665" s="11" t="s">
        <v>8105</v>
      </c>
      <c r="B6665" s="12" t="s">
        <v>33</v>
      </c>
      <c r="C6665" s="12" t="s">
        <v>29</v>
      </c>
      <c r="D6665" s="12" t="s">
        <v>8039</v>
      </c>
      <c r="E6665" s="13" t="s">
        <v>7712</v>
      </c>
      <c r="F6665" s="12" t="s">
        <v>114</v>
      </c>
      <c r="G6665" s="14">
        <v>18378.400000000009</v>
      </c>
      <c r="H6665" s="12" t="s">
        <v>24</v>
      </c>
      <c r="I6665" s="12">
        <v>1</v>
      </c>
      <c r="J6665" s="12" t="s">
        <v>114</v>
      </c>
      <c r="K6665" s="12" t="s">
        <v>75</v>
      </c>
      <c r="L6665" s="12">
        <v>0</v>
      </c>
      <c r="M6665" s="15">
        <v>528000</v>
      </c>
      <c r="N6665" s="15">
        <v>0</v>
      </c>
      <c r="O6665" s="15">
        <f t="shared" si="567"/>
        <v>528000</v>
      </c>
      <c r="P6665" s="15">
        <f t="shared" si="566"/>
        <v>28.729377965437674</v>
      </c>
      <c r="Q6665" s="14">
        <v>14000</v>
      </c>
      <c r="R6665" s="12">
        <v>100</v>
      </c>
      <c r="S6665" s="12" t="s">
        <v>8113</v>
      </c>
      <c r="T6665" s="22">
        <f t="shared" si="568"/>
        <v>4</v>
      </c>
      <c r="U6665" s="22">
        <f t="shared" si="569"/>
        <v>2023</v>
      </c>
      <c r="V6665" s="22" t="str">
        <f t="shared" si="570"/>
        <v>REGIONES</v>
      </c>
    </row>
    <row r="6666" spans="1:22" x14ac:dyDescent="0.2">
      <c r="A6666" s="11" t="s">
        <v>8105</v>
      </c>
      <c r="B6666" s="12" t="s">
        <v>33</v>
      </c>
      <c r="C6666" s="12" t="s">
        <v>29</v>
      </c>
      <c r="D6666" s="12" t="s">
        <v>7491</v>
      </c>
      <c r="E6666" s="13" t="s">
        <v>7938</v>
      </c>
      <c r="F6666" s="12" t="s">
        <v>114</v>
      </c>
      <c r="G6666" s="14">
        <v>19780.68</v>
      </c>
      <c r="H6666" s="12" t="s">
        <v>24</v>
      </c>
      <c r="I6666" s="12">
        <v>1</v>
      </c>
      <c r="J6666" s="12" t="s">
        <v>114</v>
      </c>
      <c r="K6666" s="12" t="s">
        <v>75</v>
      </c>
      <c r="L6666" s="12">
        <v>0</v>
      </c>
      <c r="M6666" s="15">
        <v>528000</v>
      </c>
      <c r="N6666" s="15">
        <v>0</v>
      </c>
      <c r="O6666" s="15">
        <f t="shared" si="567"/>
        <v>528000</v>
      </c>
      <c r="P6666" s="15">
        <f t="shared" si="566"/>
        <v>26.692712282894217</v>
      </c>
      <c r="Q6666" s="14">
        <v>14000</v>
      </c>
      <c r="R6666" s="12">
        <v>100</v>
      </c>
      <c r="S6666" s="12" t="s">
        <v>8114</v>
      </c>
      <c r="T6666" s="22">
        <f t="shared" si="568"/>
        <v>4</v>
      </c>
      <c r="U6666" s="22">
        <f t="shared" si="569"/>
        <v>2023</v>
      </c>
      <c r="V6666" s="22" t="str">
        <f t="shared" si="570"/>
        <v>REGIONES</v>
      </c>
    </row>
    <row r="6667" spans="1:22" x14ac:dyDescent="0.2">
      <c r="A6667" s="23" t="s">
        <v>8115</v>
      </c>
      <c r="B6667" s="22" t="s">
        <v>18</v>
      </c>
      <c r="C6667" s="22" t="s">
        <v>7400</v>
      </c>
      <c r="D6667" s="22" t="s">
        <v>37</v>
      </c>
      <c r="E6667" s="24" t="s">
        <v>40</v>
      </c>
      <c r="F6667" s="22" t="s">
        <v>51</v>
      </c>
      <c r="G6667" s="25">
        <v>9776.8999999999978</v>
      </c>
      <c r="H6667" s="22" t="s">
        <v>22</v>
      </c>
      <c r="I6667" s="22">
        <v>0</v>
      </c>
      <c r="J6667" s="22" t="s">
        <v>51</v>
      </c>
      <c r="K6667" s="22" t="s">
        <v>23</v>
      </c>
      <c r="L6667" s="22">
        <v>4</v>
      </c>
      <c r="M6667" s="26">
        <v>107546</v>
      </c>
      <c r="N6667" s="26">
        <v>0</v>
      </c>
      <c r="O6667" s="15">
        <f t="shared" si="567"/>
        <v>107546</v>
      </c>
      <c r="P6667" s="15">
        <f t="shared" si="566"/>
        <v>11.000010228190943</v>
      </c>
      <c r="Q6667" s="25">
        <v>5000</v>
      </c>
      <c r="R6667" s="22">
        <v>100</v>
      </c>
      <c r="S6667" s="22" t="s">
        <v>8116</v>
      </c>
      <c r="T6667" s="22">
        <f t="shared" si="568"/>
        <v>5</v>
      </c>
      <c r="U6667" s="22">
        <f t="shared" si="569"/>
        <v>2023</v>
      </c>
      <c r="V6667" s="22" t="str">
        <f t="shared" si="570"/>
        <v>METROPOLITANA</v>
      </c>
    </row>
    <row r="6668" spans="1:22" x14ac:dyDescent="0.2">
      <c r="A6668" s="23" t="s">
        <v>8115</v>
      </c>
      <c r="B6668" s="22" t="s">
        <v>33</v>
      </c>
      <c r="C6668" s="22" t="s">
        <v>36</v>
      </c>
      <c r="D6668" s="22" t="s">
        <v>5128</v>
      </c>
      <c r="E6668" s="24" t="s">
        <v>304</v>
      </c>
      <c r="F6668" s="22" t="s">
        <v>2055</v>
      </c>
      <c r="G6668" s="25">
        <f>4404.861378</f>
        <v>4404.8613779999996</v>
      </c>
      <c r="H6668" s="22" t="s">
        <v>24</v>
      </c>
      <c r="I6668" s="22">
        <v>1</v>
      </c>
      <c r="J6668" s="22" t="s">
        <v>2055</v>
      </c>
      <c r="K6668" s="22" t="s">
        <v>86</v>
      </c>
      <c r="L6668" s="22">
        <v>0</v>
      </c>
      <c r="M6668" s="26">
        <v>352000</v>
      </c>
      <c r="N6668" s="26">
        <v>0</v>
      </c>
      <c r="O6668" s="15">
        <f t="shared" si="567"/>
        <v>352000</v>
      </c>
      <c r="P6668" s="15">
        <f t="shared" si="566"/>
        <v>79.911708858321319</v>
      </c>
      <c r="Q6668" s="25">
        <v>14000</v>
      </c>
      <c r="R6668" s="22">
        <v>41</v>
      </c>
      <c r="S6668" s="22" t="s">
        <v>8120</v>
      </c>
      <c r="T6668" s="22">
        <f t="shared" si="568"/>
        <v>5</v>
      </c>
      <c r="U6668" s="22">
        <f t="shared" si="569"/>
        <v>2023</v>
      </c>
      <c r="V6668" s="22" t="str">
        <f t="shared" si="570"/>
        <v>REGIONES</v>
      </c>
    </row>
    <row r="6669" spans="1:22" x14ac:dyDescent="0.2">
      <c r="A6669" s="23" t="s">
        <v>8115</v>
      </c>
      <c r="B6669" s="22" t="s">
        <v>33</v>
      </c>
      <c r="C6669" s="22" t="s">
        <v>44</v>
      </c>
      <c r="D6669" s="22" t="s">
        <v>7615</v>
      </c>
      <c r="E6669" s="24" t="s">
        <v>8117</v>
      </c>
      <c r="F6669" s="22" t="s">
        <v>92</v>
      </c>
      <c r="G6669" s="25">
        <f>3057.16+4839</f>
        <v>7896.16</v>
      </c>
      <c r="H6669" s="22" t="s">
        <v>24</v>
      </c>
      <c r="I6669" s="22">
        <v>1</v>
      </c>
      <c r="J6669" s="22" t="s">
        <v>92</v>
      </c>
      <c r="K6669" s="22" t="s">
        <v>93</v>
      </c>
      <c r="L6669" s="22">
        <v>0</v>
      </c>
      <c r="M6669" s="26">
        <v>779000</v>
      </c>
      <c r="N6669" s="26">
        <v>0</v>
      </c>
      <c r="O6669" s="15">
        <f t="shared" si="567"/>
        <v>779000</v>
      </c>
      <c r="P6669" s="15">
        <f t="shared" si="566"/>
        <v>98.655549026362181</v>
      </c>
      <c r="Q6669" s="25">
        <v>14000</v>
      </c>
      <c r="R6669" s="22">
        <v>65</v>
      </c>
      <c r="S6669" s="22" t="s">
        <v>8121</v>
      </c>
      <c r="T6669" s="22">
        <f t="shared" si="568"/>
        <v>5</v>
      </c>
      <c r="U6669" s="22">
        <f t="shared" si="569"/>
        <v>2023</v>
      </c>
      <c r="V6669" s="22" t="str">
        <f t="shared" si="570"/>
        <v>REGIONES</v>
      </c>
    </row>
    <row r="6670" spans="1:22" x14ac:dyDescent="0.2">
      <c r="A6670" s="23" t="s">
        <v>8115</v>
      </c>
      <c r="B6670" s="22" t="s">
        <v>33</v>
      </c>
      <c r="C6670" s="22" t="s">
        <v>44</v>
      </c>
      <c r="D6670" s="22" t="s">
        <v>37</v>
      </c>
      <c r="E6670" s="24" t="s">
        <v>40</v>
      </c>
      <c r="F6670" s="22" t="s">
        <v>48</v>
      </c>
      <c r="G6670" s="25">
        <v>7114.64</v>
      </c>
      <c r="H6670" s="22" t="s">
        <v>22</v>
      </c>
      <c r="I6670" s="22">
        <v>0</v>
      </c>
      <c r="J6670" s="22" t="s">
        <v>48</v>
      </c>
      <c r="K6670" s="22" t="s">
        <v>23</v>
      </c>
      <c r="L6670" s="22">
        <v>1</v>
      </c>
      <c r="M6670" s="26">
        <v>78261</v>
      </c>
      <c r="N6670" s="26">
        <v>0</v>
      </c>
      <c r="O6670" s="15">
        <f t="shared" si="567"/>
        <v>78261</v>
      </c>
      <c r="P6670" s="15">
        <f t="shared" si="566"/>
        <v>10.999994377790021</v>
      </c>
      <c r="Q6670" s="25">
        <v>5000</v>
      </c>
      <c r="R6670" s="22">
        <v>100</v>
      </c>
      <c r="S6670" s="22" t="s">
        <v>8118</v>
      </c>
      <c r="T6670" s="22">
        <f t="shared" si="568"/>
        <v>5</v>
      </c>
      <c r="U6670" s="22">
        <f t="shared" si="569"/>
        <v>2023</v>
      </c>
      <c r="V6670" s="22" t="str">
        <f t="shared" si="570"/>
        <v>METROPOLITANA</v>
      </c>
    </row>
    <row r="6671" spans="1:22" x14ac:dyDescent="0.2">
      <c r="A6671" s="23" t="s">
        <v>8115</v>
      </c>
      <c r="B6671" s="22" t="s">
        <v>33</v>
      </c>
      <c r="C6671" s="22" t="s">
        <v>44</v>
      </c>
      <c r="D6671" s="22" t="s">
        <v>20</v>
      </c>
      <c r="E6671" s="24" t="s">
        <v>21</v>
      </c>
      <c r="F6671" s="22" t="s">
        <v>48</v>
      </c>
      <c r="G6671" s="25">
        <v>7764.7499999999991</v>
      </c>
      <c r="H6671" s="22" t="s">
        <v>22</v>
      </c>
      <c r="I6671" s="22">
        <v>0</v>
      </c>
      <c r="J6671" s="22" t="s">
        <v>48</v>
      </c>
      <c r="K6671" s="22" t="s">
        <v>23</v>
      </c>
      <c r="L6671" s="22">
        <v>1</v>
      </c>
      <c r="M6671" s="26">
        <v>85412</v>
      </c>
      <c r="N6671" s="26">
        <v>0</v>
      </c>
      <c r="O6671" s="15">
        <f t="shared" si="567"/>
        <v>85412</v>
      </c>
      <c r="P6671" s="15">
        <f t="shared" si="566"/>
        <v>10.99996780321324</v>
      </c>
      <c r="Q6671" s="25">
        <v>5000</v>
      </c>
      <c r="R6671" s="22">
        <v>100</v>
      </c>
      <c r="S6671" s="22" t="s">
        <v>8119</v>
      </c>
      <c r="T6671" s="22">
        <f t="shared" si="568"/>
        <v>5</v>
      </c>
      <c r="U6671" s="22">
        <f t="shared" si="569"/>
        <v>2023</v>
      </c>
      <c r="V6671" s="22" t="str">
        <f t="shared" si="570"/>
        <v>METROPOLITANA</v>
      </c>
    </row>
    <row r="6672" spans="1:22" x14ac:dyDescent="0.2">
      <c r="A6672" s="11" t="s">
        <v>8122</v>
      </c>
      <c r="B6672" s="12" t="s">
        <v>18</v>
      </c>
      <c r="C6672" s="12" t="s">
        <v>29</v>
      </c>
      <c r="D6672" s="12" t="s">
        <v>38</v>
      </c>
      <c r="E6672" s="13" t="s">
        <v>42</v>
      </c>
      <c r="F6672" s="12" t="s">
        <v>39</v>
      </c>
      <c r="G6672" s="14">
        <v>3013.56</v>
      </c>
      <c r="H6672" s="12" t="s">
        <v>43</v>
      </c>
      <c r="I6672" s="12">
        <v>0</v>
      </c>
      <c r="J6672" s="12" t="s">
        <v>39</v>
      </c>
      <c r="K6672" s="12" t="s">
        <v>23</v>
      </c>
      <c r="L6672" s="12">
        <v>1</v>
      </c>
      <c r="M6672" s="15">
        <v>69173</v>
      </c>
      <c r="N6672" s="15">
        <v>0</v>
      </c>
      <c r="O6672" s="15">
        <f t="shared" si="567"/>
        <v>69173</v>
      </c>
      <c r="P6672" s="15">
        <f t="shared" si="566"/>
        <v>22.953914970997758</v>
      </c>
      <c r="Q6672" s="14">
        <v>5000</v>
      </c>
      <c r="R6672" s="12">
        <v>60</v>
      </c>
      <c r="S6672" s="12" t="s">
        <v>8123</v>
      </c>
      <c r="T6672" s="22">
        <f t="shared" si="568"/>
        <v>5</v>
      </c>
      <c r="U6672" s="22">
        <f t="shared" si="569"/>
        <v>2023</v>
      </c>
      <c r="V6672" s="22" t="str">
        <f t="shared" si="570"/>
        <v>METROPOLITANA</v>
      </c>
    </row>
    <row r="6673" spans="1:22" x14ac:dyDescent="0.2">
      <c r="A6673" s="11" t="s">
        <v>8122</v>
      </c>
      <c r="B6673" s="12" t="s">
        <v>33</v>
      </c>
      <c r="C6673" s="12" t="s">
        <v>36</v>
      </c>
      <c r="D6673" s="12" t="s">
        <v>30</v>
      </c>
      <c r="E6673" s="13" t="s">
        <v>31</v>
      </c>
      <c r="F6673" s="12" t="s">
        <v>59</v>
      </c>
      <c r="G6673" s="14">
        <v>4049.6</v>
      </c>
      <c r="H6673" s="12" t="s">
        <v>32</v>
      </c>
      <c r="I6673" s="12">
        <v>0</v>
      </c>
      <c r="J6673" s="12" t="s">
        <v>59</v>
      </c>
      <c r="K6673" s="12" t="s">
        <v>78</v>
      </c>
      <c r="L6673" s="12">
        <v>0</v>
      </c>
      <c r="M6673" s="15">
        <v>227000</v>
      </c>
      <c r="N6673" s="15">
        <v>0</v>
      </c>
      <c r="O6673" s="15">
        <f t="shared" si="567"/>
        <v>227000</v>
      </c>
      <c r="P6673" s="15">
        <f t="shared" si="566"/>
        <v>56.054919004346111</v>
      </c>
      <c r="Q6673" s="14">
        <v>14000</v>
      </c>
      <c r="R6673" s="12">
        <v>29</v>
      </c>
      <c r="S6673" s="12" t="s">
        <v>8124</v>
      </c>
      <c r="T6673" s="22">
        <f t="shared" si="568"/>
        <v>5</v>
      </c>
      <c r="U6673" s="22">
        <f t="shared" si="569"/>
        <v>2023</v>
      </c>
      <c r="V6673" s="22" t="str">
        <f t="shared" si="570"/>
        <v>REGIONES</v>
      </c>
    </row>
    <row r="6674" spans="1:22" x14ac:dyDescent="0.2">
      <c r="A6674" s="11" t="s">
        <v>8122</v>
      </c>
      <c r="B6674" s="12" t="s">
        <v>33</v>
      </c>
      <c r="C6674" s="12" t="s">
        <v>2862</v>
      </c>
      <c r="D6674" s="12" t="s">
        <v>30</v>
      </c>
      <c r="E6674" s="13" t="s">
        <v>31</v>
      </c>
      <c r="F6674" s="12" t="s">
        <v>129</v>
      </c>
      <c r="G6674" s="14">
        <v>9379.9999999999982</v>
      </c>
      <c r="H6674" s="12" t="s">
        <v>32</v>
      </c>
      <c r="I6674" s="12">
        <v>0</v>
      </c>
      <c r="J6674" s="12" t="s">
        <v>129</v>
      </c>
      <c r="K6674" s="12" t="s">
        <v>23</v>
      </c>
      <c r="L6674" s="12">
        <v>1</v>
      </c>
      <c r="M6674" s="15">
        <v>103180</v>
      </c>
      <c r="N6674" s="15">
        <v>0</v>
      </c>
      <c r="O6674" s="15">
        <f t="shared" si="567"/>
        <v>103180</v>
      </c>
      <c r="P6674" s="15">
        <f t="shared" si="566"/>
        <v>11.000000000000002</v>
      </c>
      <c r="Q6674" s="14">
        <v>5000</v>
      </c>
      <c r="R6674" s="12">
        <v>100</v>
      </c>
      <c r="S6674" s="12" t="s">
        <v>8125</v>
      </c>
      <c r="T6674" s="22">
        <f t="shared" si="568"/>
        <v>5</v>
      </c>
      <c r="U6674" s="22">
        <f t="shared" si="569"/>
        <v>2023</v>
      </c>
      <c r="V6674" s="22" t="str">
        <f t="shared" si="570"/>
        <v>METROPOLITANA</v>
      </c>
    </row>
    <row r="6675" spans="1:22" x14ac:dyDescent="0.2">
      <c r="A6675" s="11" t="s">
        <v>8122</v>
      </c>
      <c r="B6675" s="12" t="s">
        <v>33</v>
      </c>
      <c r="C6675" s="12" t="s">
        <v>29</v>
      </c>
      <c r="D6675" s="12" t="s">
        <v>38</v>
      </c>
      <c r="E6675" s="13" t="s">
        <v>42</v>
      </c>
      <c r="F6675" s="12" t="s">
        <v>39</v>
      </c>
      <c r="G6675" s="14">
        <v>9442.0000000000018</v>
      </c>
      <c r="H6675" s="12" t="s">
        <v>43</v>
      </c>
      <c r="I6675" s="12">
        <v>0</v>
      </c>
      <c r="J6675" s="12" t="s">
        <v>39</v>
      </c>
      <c r="K6675" s="12" t="s">
        <v>23</v>
      </c>
      <c r="L6675" s="12">
        <v>1</v>
      </c>
      <c r="M6675" s="15">
        <v>103862</v>
      </c>
      <c r="N6675" s="15">
        <v>0</v>
      </c>
      <c r="O6675" s="15">
        <f t="shared" si="567"/>
        <v>103862</v>
      </c>
      <c r="P6675" s="15">
        <f t="shared" si="566"/>
        <v>10.999999999999998</v>
      </c>
      <c r="Q6675" s="14">
        <v>5000</v>
      </c>
      <c r="R6675" s="12">
        <v>100</v>
      </c>
      <c r="S6675" s="12" t="s">
        <v>8126</v>
      </c>
      <c r="T6675" s="22">
        <f t="shared" si="568"/>
        <v>5</v>
      </c>
      <c r="U6675" s="22">
        <f t="shared" si="569"/>
        <v>2023</v>
      </c>
      <c r="V6675" s="22" t="str">
        <f t="shared" si="570"/>
        <v>METROPOLITANA</v>
      </c>
    </row>
    <row r="6676" spans="1:22" x14ac:dyDescent="0.2">
      <c r="A6676" s="11" t="s">
        <v>8122</v>
      </c>
      <c r="B6676" s="12" t="s">
        <v>33</v>
      </c>
      <c r="C6676" s="12" t="s">
        <v>29</v>
      </c>
      <c r="D6676" s="12" t="s">
        <v>37</v>
      </c>
      <c r="E6676" s="13" t="s">
        <v>40</v>
      </c>
      <c r="F6676" s="12" t="s">
        <v>129</v>
      </c>
      <c r="G6676" s="14">
        <v>3811.44</v>
      </c>
      <c r="H6676" s="12" t="s">
        <v>22</v>
      </c>
      <c r="I6676" s="12">
        <v>0</v>
      </c>
      <c r="J6676" s="12" t="s">
        <v>129</v>
      </c>
      <c r="K6676" s="12" t="s">
        <v>23</v>
      </c>
      <c r="L6676" s="12">
        <v>1</v>
      </c>
      <c r="M6676" s="15">
        <v>69173</v>
      </c>
      <c r="N6676" s="15">
        <v>0</v>
      </c>
      <c r="O6676" s="15">
        <f t="shared" si="567"/>
        <v>69173</v>
      </c>
      <c r="P6676" s="15">
        <f t="shared" si="566"/>
        <v>18.148783661818104</v>
      </c>
      <c r="Q6676" s="14">
        <v>5000</v>
      </c>
      <c r="R6676" s="12">
        <v>76</v>
      </c>
      <c r="S6676" s="12" t="s">
        <v>8127</v>
      </c>
      <c r="T6676" s="22">
        <f t="shared" si="568"/>
        <v>5</v>
      </c>
      <c r="U6676" s="22">
        <f t="shared" si="569"/>
        <v>2023</v>
      </c>
      <c r="V6676" s="22" t="str">
        <f t="shared" si="570"/>
        <v>METROPOLITANA</v>
      </c>
    </row>
    <row r="6677" spans="1:22" x14ac:dyDescent="0.2">
      <c r="A6677" s="11" t="s">
        <v>8122</v>
      </c>
      <c r="B6677" s="12" t="s">
        <v>33</v>
      </c>
      <c r="C6677" s="12" t="s">
        <v>29</v>
      </c>
      <c r="D6677" s="12" t="s">
        <v>41</v>
      </c>
      <c r="E6677" s="13" t="s">
        <v>25</v>
      </c>
      <c r="F6677" s="12" t="s">
        <v>39</v>
      </c>
      <c r="G6677" s="14">
        <v>10596.58</v>
      </c>
      <c r="H6677" s="12" t="s">
        <v>43</v>
      </c>
      <c r="I6677" s="12">
        <v>0</v>
      </c>
      <c r="J6677" s="12" t="s">
        <v>39</v>
      </c>
      <c r="K6677" s="12" t="s">
        <v>23</v>
      </c>
      <c r="L6677" s="12">
        <v>1</v>
      </c>
      <c r="M6677" s="15">
        <v>116562</v>
      </c>
      <c r="N6677" s="15">
        <v>0</v>
      </c>
      <c r="O6677" s="15">
        <f t="shared" si="567"/>
        <v>116562</v>
      </c>
      <c r="P6677" s="15">
        <f t="shared" si="566"/>
        <v>10.999964139373269</v>
      </c>
      <c r="Q6677" s="14">
        <v>5000</v>
      </c>
      <c r="R6677" s="12">
        <v>100</v>
      </c>
      <c r="S6677" s="12" t="s">
        <v>8128</v>
      </c>
      <c r="T6677" s="22">
        <f t="shared" si="568"/>
        <v>5</v>
      </c>
      <c r="U6677" s="22">
        <f t="shared" si="569"/>
        <v>2023</v>
      </c>
      <c r="V6677" s="22" t="str">
        <f t="shared" si="570"/>
        <v>METROPOLITANA</v>
      </c>
    </row>
    <row r="6678" spans="1:22" x14ac:dyDescent="0.2">
      <c r="A6678" s="11" t="s">
        <v>8122</v>
      </c>
      <c r="B6678" s="12" t="s">
        <v>33</v>
      </c>
      <c r="C6678" s="12" t="s">
        <v>29</v>
      </c>
      <c r="D6678" s="12" t="s">
        <v>164</v>
      </c>
      <c r="E6678" s="13" t="s">
        <v>1576</v>
      </c>
      <c r="F6678" s="12" t="s">
        <v>39</v>
      </c>
      <c r="G6678" s="14">
        <v>17082.14</v>
      </c>
      <c r="H6678" s="12" t="s">
        <v>22</v>
      </c>
      <c r="I6678" s="12">
        <v>1</v>
      </c>
      <c r="J6678" s="12" t="s">
        <v>39</v>
      </c>
      <c r="K6678" s="12" t="s">
        <v>23</v>
      </c>
      <c r="L6678" s="12">
        <v>1</v>
      </c>
      <c r="M6678" s="15">
        <v>187904</v>
      </c>
      <c r="N6678" s="15">
        <v>0</v>
      </c>
      <c r="O6678" s="15">
        <f t="shared" si="567"/>
        <v>187904</v>
      </c>
      <c r="P6678" s="15">
        <f t="shared" si="566"/>
        <v>11.000026928710337</v>
      </c>
      <c r="Q6678" s="14">
        <v>5000</v>
      </c>
      <c r="R6678" s="12">
        <v>100</v>
      </c>
      <c r="S6678" s="12" t="s">
        <v>8129</v>
      </c>
      <c r="T6678" s="22">
        <f t="shared" si="568"/>
        <v>5</v>
      </c>
      <c r="U6678" s="22">
        <f t="shared" si="569"/>
        <v>2023</v>
      </c>
      <c r="V6678" s="22" t="str">
        <f t="shared" si="570"/>
        <v>METROPOLITANA</v>
      </c>
    </row>
    <row r="6679" spans="1:22" x14ac:dyDescent="0.2">
      <c r="A6679" s="11" t="s">
        <v>8122</v>
      </c>
      <c r="B6679" s="12" t="s">
        <v>33</v>
      </c>
      <c r="C6679" s="12" t="s">
        <v>29</v>
      </c>
      <c r="D6679" s="12" t="s">
        <v>20</v>
      </c>
      <c r="E6679" s="13" t="s">
        <v>21</v>
      </c>
      <c r="F6679" s="12" t="s">
        <v>134</v>
      </c>
      <c r="G6679" s="14">
        <v>8314.7199999999993</v>
      </c>
      <c r="H6679" s="12" t="s">
        <v>22</v>
      </c>
      <c r="I6679" s="12">
        <v>0</v>
      </c>
      <c r="J6679" s="12" t="s">
        <v>134</v>
      </c>
      <c r="K6679" s="12" t="s">
        <v>23</v>
      </c>
      <c r="L6679" s="12">
        <v>2</v>
      </c>
      <c r="M6679" s="15">
        <v>91462</v>
      </c>
      <c r="N6679" s="15">
        <v>0</v>
      </c>
      <c r="O6679" s="15">
        <f t="shared" si="567"/>
        <v>91462</v>
      </c>
      <c r="P6679" s="15">
        <f t="shared" si="566"/>
        <v>11.000009621490562</v>
      </c>
      <c r="Q6679" s="14">
        <v>5000</v>
      </c>
      <c r="R6679" s="12">
        <v>100</v>
      </c>
      <c r="S6679" s="12" t="s">
        <v>8130</v>
      </c>
      <c r="T6679" s="22">
        <f t="shared" si="568"/>
        <v>5</v>
      </c>
      <c r="U6679" s="22">
        <f t="shared" si="569"/>
        <v>2023</v>
      </c>
      <c r="V6679" s="22" t="str">
        <f t="shared" si="570"/>
        <v>METROPOLITANA</v>
      </c>
    </row>
    <row r="6680" spans="1:22" x14ac:dyDescent="0.2">
      <c r="A6680" s="11" t="s">
        <v>8122</v>
      </c>
      <c r="B6680" s="12" t="s">
        <v>33</v>
      </c>
      <c r="C6680" s="12" t="s">
        <v>44</v>
      </c>
      <c r="D6680" s="12" t="s">
        <v>37</v>
      </c>
      <c r="E6680" s="13" t="s">
        <v>40</v>
      </c>
      <c r="F6680" s="12" t="s">
        <v>48</v>
      </c>
      <c r="G6680" s="14">
        <v>4287.3400000000011</v>
      </c>
      <c r="H6680" s="12" t="s">
        <v>22</v>
      </c>
      <c r="I6680" s="12">
        <v>0</v>
      </c>
      <c r="J6680" s="12" t="s">
        <v>48</v>
      </c>
      <c r="K6680" s="12" t="s">
        <v>23</v>
      </c>
      <c r="L6680" s="12">
        <v>1</v>
      </c>
      <c r="M6680" s="15">
        <v>69173</v>
      </c>
      <c r="N6680" s="15">
        <v>0</v>
      </c>
      <c r="O6680" s="15">
        <f t="shared" si="567"/>
        <v>69173</v>
      </c>
      <c r="P6680" s="15">
        <f t="shared" si="566"/>
        <v>16.134246409195441</v>
      </c>
      <c r="Q6680" s="14">
        <v>5000</v>
      </c>
      <c r="R6680" s="12">
        <v>86</v>
      </c>
      <c r="S6680" s="12" t="s">
        <v>8131</v>
      </c>
      <c r="T6680" s="22">
        <f t="shared" si="568"/>
        <v>5</v>
      </c>
      <c r="U6680" s="22">
        <f t="shared" si="569"/>
        <v>2023</v>
      </c>
      <c r="V6680" s="22" t="str">
        <f t="shared" si="570"/>
        <v>METROPOLITANA</v>
      </c>
    </row>
    <row r="6681" spans="1:22" x14ac:dyDescent="0.2">
      <c r="A6681" s="11" t="s">
        <v>8122</v>
      </c>
      <c r="B6681" s="12" t="s">
        <v>33</v>
      </c>
      <c r="C6681" s="12" t="s">
        <v>44</v>
      </c>
      <c r="D6681" s="12" t="s">
        <v>45</v>
      </c>
      <c r="E6681" s="13" t="s">
        <v>49</v>
      </c>
      <c r="F6681" s="12" t="s">
        <v>53</v>
      </c>
      <c r="G6681" s="14">
        <v>3339</v>
      </c>
      <c r="H6681" s="12" t="s">
        <v>22</v>
      </c>
      <c r="I6681" s="12">
        <v>0</v>
      </c>
      <c r="J6681" s="12" t="s">
        <v>53</v>
      </c>
      <c r="K6681" s="12" t="s">
        <v>23</v>
      </c>
      <c r="L6681" s="12">
        <v>3</v>
      </c>
      <c r="M6681" s="15">
        <v>69173</v>
      </c>
      <c r="N6681" s="15">
        <v>0</v>
      </c>
      <c r="O6681" s="15">
        <f t="shared" si="567"/>
        <v>69173</v>
      </c>
      <c r="P6681" s="15">
        <f t="shared" si="566"/>
        <v>20.716681641209941</v>
      </c>
      <c r="Q6681" s="14">
        <v>5000</v>
      </c>
      <c r="R6681" s="12">
        <v>67</v>
      </c>
      <c r="S6681" s="12" t="s">
        <v>8132</v>
      </c>
      <c r="T6681" s="22">
        <f t="shared" si="568"/>
        <v>5</v>
      </c>
      <c r="U6681" s="22">
        <f t="shared" si="569"/>
        <v>2023</v>
      </c>
      <c r="V6681" s="22" t="str">
        <f t="shared" si="570"/>
        <v>METROPOLITANA</v>
      </c>
    </row>
    <row r="6682" spans="1:22" x14ac:dyDescent="0.2">
      <c r="A6682" s="23" t="s">
        <v>8133</v>
      </c>
      <c r="B6682" s="22" t="s">
        <v>18</v>
      </c>
      <c r="C6682" s="22" t="s">
        <v>7923</v>
      </c>
      <c r="D6682" s="22" t="s">
        <v>1869</v>
      </c>
      <c r="E6682" s="24" t="s">
        <v>1870</v>
      </c>
      <c r="F6682" s="22" t="s">
        <v>132</v>
      </c>
      <c r="G6682" s="25">
        <v>19671.2</v>
      </c>
      <c r="H6682" s="22" t="s">
        <v>24</v>
      </c>
      <c r="I6682" s="22">
        <v>1</v>
      </c>
      <c r="J6682" s="22" t="s">
        <v>132</v>
      </c>
      <c r="K6682" s="22" t="s">
        <v>124</v>
      </c>
      <c r="L6682" s="22">
        <v>0</v>
      </c>
      <c r="M6682" s="26">
        <v>440000</v>
      </c>
      <c r="N6682" s="26">
        <v>0</v>
      </c>
      <c r="O6682" s="15">
        <f t="shared" si="567"/>
        <v>440000</v>
      </c>
      <c r="P6682" s="15">
        <f t="shared" si="566"/>
        <v>22.367725405669201</v>
      </c>
      <c r="Q6682" s="25">
        <v>14000</v>
      </c>
      <c r="R6682" s="22">
        <v>100</v>
      </c>
      <c r="S6682" s="22" t="s">
        <v>8134</v>
      </c>
      <c r="T6682" s="22">
        <f t="shared" si="568"/>
        <v>5</v>
      </c>
      <c r="U6682" s="22">
        <f t="shared" si="569"/>
        <v>2023</v>
      </c>
      <c r="V6682" s="22" t="str">
        <f t="shared" si="570"/>
        <v>REGIONES</v>
      </c>
    </row>
    <row r="6683" spans="1:22" x14ac:dyDescent="0.2">
      <c r="A6683" s="23" t="s">
        <v>8133</v>
      </c>
      <c r="B6683" s="22" t="s">
        <v>18</v>
      </c>
      <c r="C6683" s="22" t="s">
        <v>7148</v>
      </c>
      <c r="D6683" s="22" t="s">
        <v>7990</v>
      </c>
      <c r="E6683" s="24" t="s">
        <v>7991</v>
      </c>
      <c r="F6683" s="22" t="s">
        <v>129</v>
      </c>
      <c r="G6683" s="25">
        <v>1718.28</v>
      </c>
      <c r="H6683" s="22" t="s">
        <v>24</v>
      </c>
      <c r="I6683" s="22">
        <v>1</v>
      </c>
      <c r="J6683" s="22" t="s">
        <v>129</v>
      </c>
      <c r="K6683" s="22" t="s">
        <v>23</v>
      </c>
      <c r="L6683" s="22">
        <v>1</v>
      </c>
      <c r="M6683" s="26">
        <v>69173</v>
      </c>
      <c r="N6683" s="26">
        <v>0</v>
      </c>
      <c r="O6683" s="15">
        <f t="shared" si="567"/>
        <v>69173</v>
      </c>
      <c r="P6683" s="15">
        <f t="shared" si="566"/>
        <v>40.257117582698982</v>
      </c>
      <c r="Q6683" s="25">
        <v>5000</v>
      </c>
      <c r="R6683" s="22">
        <v>34</v>
      </c>
      <c r="S6683" s="22" t="s">
        <v>8135</v>
      </c>
      <c r="T6683" s="22">
        <f t="shared" si="568"/>
        <v>5</v>
      </c>
      <c r="U6683" s="22">
        <f t="shared" si="569"/>
        <v>2023</v>
      </c>
      <c r="V6683" s="22" t="str">
        <f t="shared" si="570"/>
        <v>METROPOLITANA</v>
      </c>
    </row>
    <row r="6684" spans="1:22" x14ac:dyDescent="0.2">
      <c r="A6684" s="23" t="s">
        <v>8133</v>
      </c>
      <c r="B6684" s="22" t="s">
        <v>33</v>
      </c>
      <c r="C6684" s="22" t="s">
        <v>36</v>
      </c>
      <c r="D6684" s="22" t="s">
        <v>37</v>
      </c>
      <c r="E6684" s="24" t="s">
        <v>40</v>
      </c>
      <c r="F6684" s="22" t="s">
        <v>274</v>
      </c>
      <c r="G6684" s="25">
        <v>3888.2</v>
      </c>
      <c r="H6684" s="22" t="s">
        <v>22</v>
      </c>
      <c r="I6684" s="22">
        <v>0</v>
      </c>
      <c r="J6684" s="22" t="s">
        <v>274</v>
      </c>
      <c r="K6684" s="22" t="s">
        <v>78</v>
      </c>
      <c r="L6684" s="22">
        <v>0</v>
      </c>
      <c r="M6684" s="26">
        <v>227000</v>
      </c>
      <c r="N6684" s="26">
        <v>0</v>
      </c>
      <c r="O6684" s="15">
        <f t="shared" si="567"/>
        <v>227000</v>
      </c>
      <c r="P6684" s="15">
        <f t="shared" si="566"/>
        <v>58.381770485057359</v>
      </c>
      <c r="Q6684" s="25">
        <v>14000</v>
      </c>
      <c r="R6684" s="22">
        <v>28</v>
      </c>
      <c r="S6684" s="22" t="s">
        <v>8136</v>
      </c>
      <c r="T6684" s="22">
        <f t="shared" si="568"/>
        <v>5</v>
      </c>
      <c r="U6684" s="22">
        <f t="shared" si="569"/>
        <v>2023</v>
      </c>
      <c r="V6684" s="22" t="str">
        <f t="shared" si="570"/>
        <v>REGIONES</v>
      </c>
    </row>
    <row r="6685" spans="1:22" x14ac:dyDescent="0.2">
      <c r="A6685" s="23" t="s">
        <v>8133</v>
      </c>
      <c r="B6685" s="22" t="s">
        <v>33</v>
      </c>
      <c r="C6685" s="22" t="s">
        <v>36</v>
      </c>
      <c r="D6685" s="22" t="s">
        <v>8137</v>
      </c>
      <c r="E6685" s="24" t="s">
        <v>8138</v>
      </c>
      <c r="F6685" s="22" t="s">
        <v>305</v>
      </c>
      <c r="G6685" s="25">
        <v>7237.3600000000006</v>
      </c>
      <c r="H6685" s="22" t="s">
        <v>24</v>
      </c>
      <c r="I6685" s="22">
        <v>1</v>
      </c>
      <c r="J6685" s="22" t="s">
        <v>305</v>
      </c>
      <c r="K6685" s="22" t="s">
        <v>306</v>
      </c>
      <c r="L6685" s="22">
        <v>0</v>
      </c>
      <c r="M6685" s="26">
        <v>1760000</v>
      </c>
      <c r="N6685" s="26">
        <v>0</v>
      </c>
      <c r="O6685" s="15">
        <f t="shared" si="567"/>
        <v>1760000</v>
      </c>
      <c r="P6685" s="15">
        <f t="shared" ref="P6685:P6748" si="571">O6685/G6685</f>
        <v>243.18259696906051</v>
      </c>
      <c r="Q6685" s="25">
        <v>14000</v>
      </c>
      <c r="R6685" s="22">
        <v>52</v>
      </c>
      <c r="S6685" s="22" t="s">
        <v>8139</v>
      </c>
      <c r="T6685" s="22">
        <f t="shared" si="568"/>
        <v>5</v>
      </c>
      <c r="U6685" s="22">
        <f t="shared" si="569"/>
        <v>2023</v>
      </c>
      <c r="V6685" s="22" t="str">
        <f t="shared" si="570"/>
        <v>REGIONES</v>
      </c>
    </row>
    <row r="6686" spans="1:22" x14ac:dyDescent="0.2">
      <c r="A6686" s="23" t="s">
        <v>8133</v>
      </c>
      <c r="B6686" s="22" t="s">
        <v>33</v>
      </c>
      <c r="C6686" s="22" t="s">
        <v>2862</v>
      </c>
      <c r="D6686" s="22" t="s">
        <v>38</v>
      </c>
      <c r="E6686" s="24" t="s">
        <v>42</v>
      </c>
      <c r="F6686" s="22" t="s">
        <v>129</v>
      </c>
      <c r="G6686" s="25">
        <f>3752+5628</f>
        <v>9380</v>
      </c>
      <c r="H6686" s="22" t="s">
        <v>43</v>
      </c>
      <c r="I6686" s="22">
        <v>0</v>
      </c>
      <c r="J6686" s="22" t="s">
        <v>129</v>
      </c>
      <c r="K6686" s="22" t="s">
        <v>23</v>
      </c>
      <c r="L6686" s="22">
        <v>1</v>
      </c>
      <c r="M6686" s="26">
        <v>69173</v>
      </c>
      <c r="N6686" s="26">
        <v>0</v>
      </c>
      <c r="O6686" s="15">
        <f t="shared" si="567"/>
        <v>69173</v>
      </c>
      <c r="P6686" s="15">
        <f t="shared" si="571"/>
        <v>7.3745202558635397</v>
      </c>
      <c r="Q6686" s="25">
        <v>5000</v>
      </c>
      <c r="R6686" s="22">
        <v>100</v>
      </c>
      <c r="S6686" s="22" t="s">
        <v>8147</v>
      </c>
      <c r="T6686" s="22">
        <f t="shared" si="568"/>
        <v>5</v>
      </c>
      <c r="U6686" s="22">
        <f t="shared" si="569"/>
        <v>2023</v>
      </c>
      <c r="V6686" s="22" t="str">
        <f t="shared" si="570"/>
        <v>METROPOLITANA</v>
      </c>
    </row>
    <row r="6687" spans="1:22" x14ac:dyDescent="0.2">
      <c r="A6687" s="23" t="s">
        <v>8133</v>
      </c>
      <c r="B6687" s="22" t="s">
        <v>33</v>
      </c>
      <c r="C6687" s="22" t="s">
        <v>29</v>
      </c>
      <c r="D6687" s="22" t="s">
        <v>2251</v>
      </c>
      <c r="E6687" s="24" t="s">
        <v>2376</v>
      </c>
      <c r="F6687" s="22" t="s">
        <v>132</v>
      </c>
      <c r="G6687" s="25">
        <f>7328.54+2387</f>
        <v>9715.5400000000009</v>
      </c>
      <c r="H6687" s="22" t="s">
        <v>24</v>
      </c>
      <c r="I6687" s="22">
        <v>1</v>
      </c>
      <c r="J6687" s="22" t="s">
        <v>132</v>
      </c>
      <c r="K6687" s="22" t="s">
        <v>124</v>
      </c>
      <c r="L6687" s="22">
        <v>0</v>
      </c>
      <c r="M6687" s="26">
        <v>440000</v>
      </c>
      <c r="N6687" s="26">
        <v>0</v>
      </c>
      <c r="O6687" s="15">
        <f t="shared" si="567"/>
        <v>440000</v>
      </c>
      <c r="P6687" s="15">
        <f t="shared" si="571"/>
        <v>45.288270132179989</v>
      </c>
      <c r="Q6687" s="25">
        <v>14000</v>
      </c>
      <c r="R6687" s="22">
        <v>80</v>
      </c>
      <c r="S6687" s="22" t="s">
        <v>8148</v>
      </c>
      <c r="T6687" s="22">
        <f t="shared" si="568"/>
        <v>5</v>
      </c>
      <c r="U6687" s="22">
        <f t="shared" si="569"/>
        <v>2023</v>
      </c>
      <c r="V6687" s="22" t="str">
        <f t="shared" si="570"/>
        <v>REGIONES</v>
      </c>
    </row>
    <row r="6688" spans="1:22" x14ac:dyDescent="0.2">
      <c r="A6688" s="23" t="s">
        <v>8133</v>
      </c>
      <c r="B6688" s="22" t="s">
        <v>33</v>
      </c>
      <c r="C6688" s="22" t="s">
        <v>29</v>
      </c>
      <c r="D6688" s="22" t="s">
        <v>8140</v>
      </c>
      <c r="E6688" s="24" t="s">
        <v>8141</v>
      </c>
      <c r="F6688" s="22" t="s">
        <v>4064</v>
      </c>
      <c r="G6688" s="25">
        <v>5176.4100000000017</v>
      </c>
      <c r="H6688" s="22" t="s">
        <v>24</v>
      </c>
      <c r="I6688" s="22">
        <v>1</v>
      </c>
      <c r="J6688" s="22" t="s">
        <v>4064</v>
      </c>
      <c r="K6688" s="22" t="s">
        <v>171</v>
      </c>
      <c r="L6688" s="22">
        <v>0</v>
      </c>
      <c r="M6688" s="26">
        <v>352000</v>
      </c>
      <c r="N6688" s="26">
        <v>0</v>
      </c>
      <c r="O6688" s="15">
        <f t="shared" si="567"/>
        <v>352000</v>
      </c>
      <c r="P6688" s="15">
        <f t="shared" si="571"/>
        <v>68.000795918406752</v>
      </c>
      <c r="Q6688" s="25">
        <v>14000</v>
      </c>
      <c r="R6688" s="22">
        <v>37</v>
      </c>
      <c r="S6688" s="22" t="s">
        <v>8142</v>
      </c>
      <c r="T6688" s="22">
        <f t="shared" si="568"/>
        <v>5</v>
      </c>
      <c r="U6688" s="22">
        <f t="shared" si="569"/>
        <v>2023</v>
      </c>
      <c r="V6688" s="22" t="str">
        <f t="shared" si="570"/>
        <v>REGIONES</v>
      </c>
    </row>
    <row r="6689" spans="1:22" x14ac:dyDescent="0.2">
      <c r="A6689" s="23" t="s">
        <v>8133</v>
      </c>
      <c r="B6689" s="22" t="s">
        <v>33</v>
      </c>
      <c r="C6689" s="22" t="s">
        <v>44</v>
      </c>
      <c r="D6689" s="22" t="s">
        <v>5478</v>
      </c>
      <c r="E6689" s="24" t="s">
        <v>83</v>
      </c>
      <c r="F6689" s="22" t="s">
        <v>84</v>
      </c>
      <c r="G6689" s="25">
        <v>4084.73</v>
      </c>
      <c r="H6689" s="22" t="s">
        <v>24</v>
      </c>
      <c r="I6689" s="22">
        <v>1</v>
      </c>
      <c r="J6689" s="22" t="s">
        <v>84</v>
      </c>
      <c r="K6689" s="22" t="s">
        <v>86</v>
      </c>
      <c r="L6689" s="22">
        <v>0</v>
      </c>
      <c r="M6689" s="26">
        <v>402000</v>
      </c>
      <c r="N6689" s="26">
        <v>0</v>
      </c>
      <c r="O6689" s="15">
        <f t="shared" si="567"/>
        <v>402000</v>
      </c>
      <c r="P6689" s="15">
        <f t="shared" si="571"/>
        <v>98.415317536287588</v>
      </c>
      <c r="Q6689" s="25">
        <v>14000</v>
      </c>
      <c r="R6689" s="22">
        <v>29</v>
      </c>
      <c r="S6689" s="22" t="s">
        <v>8143</v>
      </c>
      <c r="T6689" s="22">
        <f t="shared" si="568"/>
        <v>5</v>
      </c>
      <c r="U6689" s="22">
        <f t="shared" si="569"/>
        <v>2023</v>
      </c>
      <c r="V6689" s="22" t="str">
        <f t="shared" si="570"/>
        <v>REGIONES</v>
      </c>
    </row>
    <row r="6690" spans="1:22" x14ac:dyDescent="0.2">
      <c r="A6690" s="23" t="s">
        <v>8133</v>
      </c>
      <c r="B6690" s="22" t="s">
        <v>33</v>
      </c>
      <c r="C6690" s="22" t="s">
        <v>44</v>
      </c>
      <c r="D6690" s="22" t="s">
        <v>2825</v>
      </c>
      <c r="E6690" s="24" t="s">
        <v>639</v>
      </c>
      <c r="F6690" s="22" t="s">
        <v>815</v>
      </c>
      <c r="G6690" s="25">
        <v>8244.0000000000036</v>
      </c>
      <c r="H6690" s="22" t="s">
        <v>24</v>
      </c>
      <c r="I6690" s="22">
        <v>1</v>
      </c>
      <c r="J6690" s="22" t="s">
        <v>815</v>
      </c>
      <c r="K6690" s="22" t="s">
        <v>75</v>
      </c>
      <c r="L6690" s="22">
        <v>0</v>
      </c>
      <c r="M6690" s="26">
        <v>528000</v>
      </c>
      <c r="N6690" s="26">
        <v>0</v>
      </c>
      <c r="O6690" s="15">
        <f t="shared" si="567"/>
        <v>528000</v>
      </c>
      <c r="P6690" s="15">
        <f t="shared" si="571"/>
        <v>64.046579330422091</v>
      </c>
      <c r="Q6690" s="25">
        <v>14000</v>
      </c>
      <c r="R6690" s="22">
        <v>59</v>
      </c>
      <c r="S6690" s="22" t="s">
        <v>8144</v>
      </c>
      <c r="T6690" s="22">
        <f t="shared" si="568"/>
        <v>5</v>
      </c>
      <c r="U6690" s="22">
        <f t="shared" si="569"/>
        <v>2023</v>
      </c>
      <c r="V6690" s="22" t="str">
        <f t="shared" si="570"/>
        <v>REGIONES</v>
      </c>
    </row>
    <row r="6691" spans="1:22" x14ac:dyDescent="0.2">
      <c r="A6691" s="23" t="s">
        <v>8133</v>
      </c>
      <c r="B6691" s="22" t="s">
        <v>33</v>
      </c>
      <c r="C6691" s="22" t="s">
        <v>44</v>
      </c>
      <c r="D6691" s="22" t="s">
        <v>6989</v>
      </c>
      <c r="E6691" s="24" t="s">
        <v>8145</v>
      </c>
      <c r="F6691" s="22" t="s">
        <v>815</v>
      </c>
      <c r="G6691" s="25">
        <v>9504.0000000000091</v>
      </c>
      <c r="H6691" s="22" t="s">
        <v>24</v>
      </c>
      <c r="I6691" s="22">
        <v>1</v>
      </c>
      <c r="J6691" s="22" t="s">
        <v>815</v>
      </c>
      <c r="K6691" s="22" t="s">
        <v>75</v>
      </c>
      <c r="L6691" s="22">
        <v>0</v>
      </c>
      <c r="M6691" s="26">
        <v>528000</v>
      </c>
      <c r="N6691" s="26">
        <v>0</v>
      </c>
      <c r="O6691" s="15">
        <f t="shared" si="567"/>
        <v>528000</v>
      </c>
      <c r="P6691" s="15">
        <f t="shared" si="571"/>
        <v>55.5555555555555</v>
      </c>
      <c r="Q6691" s="25">
        <v>14000</v>
      </c>
      <c r="R6691" s="22">
        <v>68</v>
      </c>
      <c r="S6691" s="22" t="s">
        <v>8146</v>
      </c>
      <c r="T6691" s="22">
        <f t="shared" si="568"/>
        <v>5</v>
      </c>
      <c r="U6691" s="22">
        <f t="shared" si="569"/>
        <v>2023</v>
      </c>
      <c r="V6691" s="22" t="str">
        <f t="shared" si="570"/>
        <v>REGIONES</v>
      </c>
    </row>
    <row r="6692" spans="1:22" x14ac:dyDescent="0.2">
      <c r="A6692" s="11" t="s">
        <v>8149</v>
      </c>
      <c r="B6692" s="12" t="s">
        <v>33</v>
      </c>
      <c r="C6692" s="12" t="s">
        <v>540</v>
      </c>
      <c r="D6692" s="12" t="s">
        <v>37</v>
      </c>
      <c r="E6692" s="13" t="s">
        <v>40</v>
      </c>
      <c r="F6692" s="12" t="s">
        <v>995</v>
      </c>
      <c r="G6692" s="14">
        <v>3203.2</v>
      </c>
      <c r="H6692" s="12" t="s">
        <v>22</v>
      </c>
      <c r="I6692" s="12">
        <v>0</v>
      </c>
      <c r="J6692" s="12" t="s">
        <v>995</v>
      </c>
      <c r="K6692" s="12" t="s">
        <v>23</v>
      </c>
      <c r="L6692" s="12">
        <v>1</v>
      </c>
      <c r="M6692" s="15">
        <v>69173</v>
      </c>
      <c r="N6692" s="15">
        <v>0</v>
      </c>
      <c r="O6692" s="15">
        <f t="shared" si="567"/>
        <v>69173</v>
      </c>
      <c r="P6692" s="15">
        <f t="shared" si="571"/>
        <v>21.594967532467535</v>
      </c>
      <c r="Q6692" s="14">
        <v>5000</v>
      </c>
      <c r="R6692" s="12">
        <v>64</v>
      </c>
      <c r="S6692" s="12" t="s">
        <v>8150</v>
      </c>
      <c r="T6692" s="22">
        <f t="shared" si="568"/>
        <v>5</v>
      </c>
      <c r="U6692" s="22">
        <f t="shared" si="569"/>
        <v>2023</v>
      </c>
      <c r="V6692" s="22" t="str">
        <f t="shared" si="570"/>
        <v>METROPOLITANA</v>
      </c>
    </row>
    <row r="6693" spans="1:22" x14ac:dyDescent="0.2">
      <c r="A6693" s="11" t="s">
        <v>8149</v>
      </c>
      <c r="B6693" s="12" t="s">
        <v>33</v>
      </c>
      <c r="C6693" s="12" t="s">
        <v>2507</v>
      </c>
      <c r="D6693" s="12" t="s">
        <v>30</v>
      </c>
      <c r="E6693" s="13" t="s">
        <v>31</v>
      </c>
      <c r="F6693" s="12" t="s">
        <v>418</v>
      </c>
      <c r="G6693" s="14">
        <v>12500.05</v>
      </c>
      <c r="H6693" s="12" t="s">
        <v>32</v>
      </c>
      <c r="I6693" s="12">
        <v>0</v>
      </c>
      <c r="J6693" s="12" t="s">
        <v>418</v>
      </c>
      <c r="K6693" s="12" t="s">
        <v>171</v>
      </c>
      <c r="L6693" s="12">
        <v>0</v>
      </c>
      <c r="M6693" s="15">
        <v>180000</v>
      </c>
      <c r="N6693" s="15">
        <v>0</v>
      </c>
      <c r="O6693" s="15">
        <f t="shared" si="567"/>
        <v>180000</v>
      </c>
      <c r="P6693" s="15">
        <f t="shared" si="571"/>
        <v>14.399942400230399</v>
      </c>
      <c r="Q6693" s="14">
        <v>14000</v>
      </c>
      <c r="R6693" s="12">
        <v>89</v>
      </c>
      <c r="S6693" s="12" t="s">
        <v>8151</v>
      </c>
      <c r="T6693" s="22">
        <f t="shared" si="568"/>
        <v>5</v>
      </c>
      <c r="U6693" s="22">
        <f t="shared" si="569"/>
        <v>2023</v>
      </c>
      <c r="V6693" s="22" t="str">
        <f t="shared" si="570"/>
        <v>REGIONES</v>
      </c>
    </row>
    <row r="6694" spans="1:22" x14ac:dyDescent="0.2">
      <c r="A6694" s="11" t="s">
        <v>8149</v>
      </c>
      <c r="B6694" s="12" t="s">
        <v>33</v>
      </c>
      <c r="C6694" s="12" t="s">
        <v>128</v>
      </c>
      <c r="D6694" s="12" t="s">
        <v>786</v>
      </c>
      <c r="E6694" s="13" t="s">
        <v>787</v>
      </c>
      <c r="F6694" s="12" t="s">
        <v>129</v>
      </c>
      <c r="G6694" s="14">
        <v>8963.4299999999967</v>
      </c>
      <c r="H6694" s="12" t="s">
        <v>788</v>
      </c>
      <c r="I6694" s="12">
        <v>1</v>
      </c>
      <c r="J6694" s="12" t="s">
        <v>129</v>
      </c>
      <c r="K6694" s="12" t="s">
        <v>23</v>
      </c>
      <c r="L6694" s="12">
        <v>1</v>
      </c>
      <c r="M6694" s="15">
        <v>98598</v>
      </c>
      <c r="N6694" s="15">
        <v>0</v>
      </c>
      <c r="O6694" s="15">
        <f t="shared" si="567"/>
        <v>98598</v>
      </c>
      <c r="P6694" s="15">
        <f t="shared" si="571"/>
        <v>11.000030122397344</v>
      </c>
      <c r="Q6694" s="14">
        <v>5000</v>
      </c>
      <c r="R6694" s="12">
        <v>100</v>
      </c>
      <c r="S6694" s="12" t="s">
        <v>8152</v>
      </c>
      <c r="T6694" s="22">
        <f t="shared" si="568"/>
        <v>5</v>
      </c>
      <c r="U6694" s="22">
        <f t="shared" si="569"/>
        <v>2023</v>
      </c>
      <c r="V6694" s="22" t="str">
        <f t="shared" si="570"/>
        <v>METROPOLITANA</v>
      </c>
    </row>
    <row r="6695" spans="1:22" x14ac:dyDescent="0.2">
      <c r="A6695" s="11" t="s">
        <v>8149</v>
      </c>
      <c r="B6695" s="12" t="s">
        <v>33</v>
      </c>
      <c r="C6695" s="12" t="s">
        <v>8153</v>
      </c>
      <c r="D6695" s="12" t="s">
        <v>38</v>
      </c>
      <c r="E6695" s="13" t="s">
        <v>8154</v>
      </c>
      <c r="F6695" s="12" t="s">
        <v>26</v>
      </c>
      <c r="G6695" s="14">
        <v>5547.66</v>
      </c>
      <c r="H6695" s="12" t="s">
        <v>43</v>
      </c>
      <c r="I6695" s="12">
        <v>0</v>
      </c>
      <c r="J6695" s="12" t="s">
        <v>26</v>
      </c>
      <c r="K6695" s="12" t="s">
        <v>23</v>
      </c>
      <c r="L6695" s="12">
        <v>4</v>
      </c>
      <c r="M6695" s="15">
        <v>61024</v>
      </c>
      <c r="N6695" s="15">
        <v>0</v>
      </c>
      <c r="O6695" s="15">
        <f t="shared" si="567"/>
        <v>61024</v>
      </c>
      <c r="P6695" s="15">
        <f t="shared" si="571"/>
        <v>10.999953133393179</v>
      </c>
      <c r="Q6695" s="14">
        <v>5000</v>
      </c>
      <c r="R6695" s="12">
        <v>100</v>
      </c>
      <c r="S6695" s="12" t="s">
        <v>8155</v>
      </c>
      <c r="T6695" s="22">
        <f t="shared" si="568"/>
        <v>5</v>
      </c>
      <c r="U6695" s="22">
        <f t="shared" si="569"/>
        <v>2023</v>
      </c>
      <c r="V6695" s="22" t="str">
        <f t="shared" si="570"/>
        <v>METROPOLITANA</v>
      </c>
    </row>
    <row r="6696" spans="1:22" x14ac:dyDescent="0.2">
      <c r="A6696" s="11" t="s">
        <v>8149</v>
      </c>
      <c r="B6696" s="12" t="s">
        <v>33</v>
      </c>
      <c r="C6696" s="12" t="s">
        <v>223</v>
      </c>
      <c r="D6696" s="12" t="s">
        <v>20</v>
      </c>
      <c r="E6696" s="13" t="s">
        <v>21</v>
      </c>
      <c r="F6696" s="12" t="s">
        <v>51</v>
      </c>
      <c r="G6696" s="14">
        <v>5702.1999999999989</v>
      </c>
      <c r="H6696" s="12" t="s">
        <v>22</v>
      </c>
      <c r="I6696" s="12">
        <v>0</v>
      </c>
      <c r="J6696" s="12" t="s">
        <v>51</v>
      </c>
      <c r="K6696" s="12" t="s">
        <v>23</v>
      </c>
      <c r="L6696" s="12">
        <v>4</v>
      </c>
      <c r="M6696" s="15">
        <v>62724</v>
      </c>
      <c r="N6696" s="15">
        <v>0</v>
      </c>
      <c r="O6696" s="15">
        <f t="shared" si="567"/>
        <v>62724</v>
      </c>
      <c r="P6696" s="15">
        <f t="shared" si="571"/>
        <v>10.999964925818107</v>
      </c>
      <c r="Q6696" s="14">
        <v>5000</v>
      </c>
      <c r="R6696" s="12">
        <v>100</v>
      </c>
      <c r="S6696" s="12" t="s">
        <v>8156</v>
      </c>
      <c r="T6696" s="22">
        <f t="shared" si="568"/>
        <v>5</v>
      </c>
      <c r="U6696" s="22">
        <f t="shared" si="569"/>
        <v>2023</v>
      </c>
      <c r="V6696" s="22" t="str">
        <f t="shared" si="570"/>
        <v>METROPOLITANA</v>
      </c>
    </row>
    <row r="6697" spans="1:22" x14ac:dyDescent="0.2">
      <c r="A6697" s="11" t="s">
        <v>8149</v>
      </c>
      <c r="B6697" s="12" t="s">
        <v>33</v>
      </c>
      <c r="C6697" s="12" t="s">
        <v>29</v>
      </c>
      <c r="D6697" s="12" t="s">
        <v>38</v>
      </c>
      <c r="E6697" s="13" t="s">
        <v>25</v>
      </c>
      <c r="F6697" s="12" t="s">
        <v>173</v>
      </c>
      <c r="G6697" s="14">
        <v>7164.8199999999988</v>
      </c>
      <c r="H6697" s="12" t="s">
        <v>43</v>
      </c>
      <c r="I6697" s="12">
        <v>0</v>
      </c>
      <c r="J6697" s="12" t="s">
        <v>173</v>
      </c>
      <c r="K6697" s="12" t="s">
        <v>23</v>
      </c>
      <c r="L6697" s="12">
        <v>5</v>
      </c>
      <c r="M6697" s="15">
        <v>112500</v>
      </c>
      <c r="N6697" s="15">
        <v>0</v>
      </c>
      <c r="O6697" s="15">
        <f t="shared" si="567"/>
        <v>112500</v>
      </c>
      <c r="P6697" s="15">
        <f t="shared" si="571"/>
        <v>15.701720350267001</v>
      </c>
      <c r="Q6697" s="14">
        <v>10000</v>
      </c>
      <c r="R6697" s="12">
        <v>72</v>
      </c>
      <c r="S6697" s="12" t="s">
        <v>8157</v>
      </c>
      <c r="T6697" s="22">
        <f t="shared" si="568"/>
        <v>5</v>
      </c>
      <c r="U6697" s="22">
        <f t="shared" si="569"/>
        <v>2023</v>
      </c>
      <c r="V6697" s="22" t="str">
        <f t="shared" si="570"/>
        <v>METROPOLITANA</v>
      </c>
    </row>
    <row r="6698" spans="1:22" x14ac:dyDescent="0.2">
      <c r="A6698" s="11" t="s">
        <v>8149</v>
      </c>
      <c r="B6698" s="12" t="s">
        <v>33</v>
      </c>
      <c r="C6698" s="12" t="s">
        <v>29</v>
      </c>
      <c r="D6698" s="12" t="s">
        <v>37</v>
      </c>
      <c r="E6698" s="13" t="s">
        <v>40</v>
      </c>
      <c r="F6698" s="12" t="s">
        <v>134</v>
      </c>
      <c r="G6698" s="14">
        <v>10642.67</v>
      </c>
      <c r="H6698" s="12" t="s">
        <v>22</v>
      </c>
      <c r="I6698" s="12">
        <v>0</v>
      </c>
      <c r="J6698" s="12" t="s">
        <v>134</v>
      </c>
      <c r="K6698" s="12" t="s">
        <v>23</v>
      </c>
      <c r="L6698" s="12">
        <v>2</v>
      </c>
      <c r="M6698" s="15">
        <v>117069</v>
      </c>
      <c r="N6698" s="15">
        <v>0</v>
      </c>
      <c r="O6698" s="15">
        <f t="shared" si="567"/>
        <v>117069</v>
      </c>
      <c r="P6698" s="15">
        <f t="shared" si="571"/>
        <v>10.999965234288013</v>
      </c>
      <c r="Q6698" s="14">
        <v>5000</v>
      </c>
      <c r="R6698" s="12">
        <v>100</v>
      </c>
      <c r="S6698" s="12" t="s">
        <v>8158</v>
      </c>
      <c r="T6698" s="22">
        <f t="shared" si="568"/>
        <v>5</v>
      </c>
      <c r="U6698" s="22">
        <f t="shared" si="569"/>
        <v>2023</v>
      </c>
      <c r="V6698" s="22" t="str">
        <f t="shared" si="570"/>
        <v>METROPOLITANA</v>
      </c>
    </row>
    <row r="6699" spans="1:22" x14ac:dyDescent="0.2">
      <c r="A6699" s="11" t="s">
        <v>8149</v>
      </c>
      <c r="B6699" s="12" t="s">
        <v>33</v>
      </c>
      <c r="C6699" s="12" t="s">
        <v>29</v>
      </c>
      <c r="D6699" s="12" t="s">
        <v>7491</v>
      </c>
      <c r="E6699" s="13" t="s">
        <v>7938</v>
      </c>
      <c r="F6699" s="12" t="s">
        <v>114</v>
      </c>
      <c r="G6699" s="14">
        <v>21398.30000000001</v>
      </c>
      <c r="H6699" s="12" t="s">
        <v>24</v>
      </c>
      <c r="I6699" s="12">
        <v>1</v>
      </c>
      <c r="J6699" s="12" t="s">
        <v>114</v>
      </c>
      <c r="K6699" s="12" t="s">
        <v>75</v>
      </c>
      <c r="L6699" s="12">
        <v>0</v>
      </c>
      <c r="M6699" s="15">
        <v>528000</v>
      </c>
      <c r="N6699" s="15">
        <v>0</v>
      </c>
      <c r="O6699" s="15">
        <f t="shared" si="567"/>
        <v>528000</v>
      </c>
      <c r="P6699" s="15">
        <f t="shared" si="571"/>
        <v>24.674857348480941</v>
      </c>
      <c r="Q6699" s="14">
        <v>14000</v>
      </c>
      <c r="R6699" s="12">
        <v>100</v>
      </c>
      <c r="S6699" s="12" t="s">
        <v>8159</v>
      </c>
      <c r="T6699" s="22">
        <f t="shared" si="568"/>
        <v>5</v>
      </c>
      <c r="U6699" s="22">
        <f t="shared" si="569"/>
        <v>2023</v>
      </c>
      <c r="V6699" s="22" t="str">
        <f t="shared" si="570"/>
        <v>REGIONES</v>
      </c>
    </row>
    <row r="6700" spans="1:22" x14ac:dyDescent="0.2">
      <c r="A6700" s="23" t="s">
        <v>8160</v>
      </c>
      <c r="B6700" s="22" t="s">
        <v>18</v>
      </c>
      <c r="C6700" s="22" t="s">
        <v>1525</v>
      </c>
      <c r="D6700" s="22" t="s">
        <v>30</v>
      </c>
      <c r="E6700" s="24" t="s">
        <v>31</v>
      </c>
      <c r="F6700" s="22" t="s">
        <v>132</v>
      </c>
      <c r="G6700" s="25">
        <v>4496.9599999999991</v>
      </c>
      <c r="H6700" s="22" t="s">
        <v>32</v>
      </c>
      <c r="I6700" s="22">
        <v>0</v>
      </c>
      <c r="J6700" s="22" t="s">
        <v>132</v>
      </c>
      <c r="K6700" s="22" t="s">
        <v>124</v>
      </c>
      <c r="L6700" s="22">
        <v>0</v>
      </c>
      <c r="M6700" s="26">
        <v>320000</v>
      </c>
      <c r="N6700" s="26">
        <v>0</v>
      </c>
      <c r="O6700" s="15">
        <f t="shared" si="567"/>
        <v>320000</v>
      </c>
      <c r="P6700" s="15">
        <f t="shared" si="571"/>
        <v>71.159183092578104</v>
      </c>
      <c r="Q6700" s="25">
        <v>14000</v>
      </c>
      <c r="R6700" s="22">
        <v>32</v>
      </c>
      <c r="S6700" s="22" t="s">
        <v>8161</v>
      </c>
      <c r="T6700" s="22">
        <f t="shared" si="568"/>
        <v>5</v>
      </c>
      <c r="U6700" s="22">
        <f t="shared" si="569"/>
        <v>2023</v>
      </c>
      <c r="V6700" s="22" t="str">
        <f t="shared" si="570"/>
        <v>REGIONES</v>
      </c>
    </row>
    <row r="6701" spans="1:22" x14ac:dyDescent="0.2">
      <c r="A6701" s="23" t="s">
        <v>8160</v>
      </c>
      <c r="B6701" s="22" t="s">
        <v>18</v>
      </c>
      <c r="C6701" s="22" t="s">
        <v>29</v>
      </c>
      <c r="D6701" s="22" t="s">
        <v>41</v>
      </c>
      <c r="E6701" s="24" t="s">
        <v>25</v>
      </c>
      <c r="F6701" s="22" t="s">
        <v>39</v>
      </c>
      <c r="G6701" s="25">
        <v>10647.12</v>
      </c>
      <c r="H6701" s="22" t="s">
        <v>43</v>
      </c>
      <c r="I6701" s="22">
        <v>0</v>
      </c>
      <c r="J6701" s="22" t="s">
        <v>39</v>
      </c>
      <c r="K6701" s="22" t="s">
        <v>23</v>
      </c>
      <c r="L6701" s="22">
        <v>1</v>
      </c>
      <c r="M6701" s="26">
        <v>117118</v>
      </c>
      <c r="N6701" s="26">
        <v>0</v>
      </c>
      <c r="O6701" s="15">
        <f t="shared" si="567"/>
        <v>117118</v>
      </c>
      <c r="P6701" s="15">
        <f t="shared" si="571"/>
        <v>10.999969944924073</v>
      </c>
      <c r="Q6701" s="25">
        <v>5000</v>
      </c>
      <c r="R6701" s="22">
        <v>100</v>
      </c>
      <c r="S6701" s="22" t="s">
        <v>8162</v>
      </c>
      <c r="T6701" s="22">
        <f t="shared" si="568"/>
        <v>5</v>
      </c>
      <c r="U6701" s="22">
        <f t="shared" si="569"/>
        <v>2023</v>
      </c>
      <c r="V6701" s="22" t="str">
        <f t="shared" si="570"/>
        <v>METROPOLITANA</v>
      </c>
    </row>
    <row r="6702" spans="1:22" x14ac:dyDescent="0.2">
      <c r="A6702" s="23" t="s">
        <v>8160</v>
      </c>
      <c r="B6702" s="22" t="s">
        <v>33</v>
      </c>
      <c r="C6702" s="22" t="s">
        <v>60</v>
      </c>
      <c r="D6702" s="22" t="s">
        <v>30</v>
      </c>
      <c r="E6702" s="24" t="s">
        <v>31</v>
      </c>
      <c r="F6702" s="22" t="s">
        <v>51</v>
      </c>
      <c r="G6702" s="25">
        <v>9755.1999999999971</v>
      </c>
      <c r="H6702" s="22" t="s">
        <v>32</v>
      </c>
      <c r="I6702" s="22">
        <v>0</v>
      </c>
      <c r="J6702" s="22" t="s">
        <v>51</v>
      </c>
      <c r="K6702" s="22" t="s">
        <v>23</v>
      </c>
      <c r="L6702" s="22">
        <v>4</v>
      </c>
      <c r="M6702" s="26">
        <v>107307</v>
      </c>
      <c r="N6702" s="26">
        <v>0</v>
      </c>
      <c r="O6702" s="15">
        <f t="shared" si="567"/>
        <v>107307</v>
      </c>
      <c r="P6702" s="15">
        <f t="shared" si="571"/>
        <v>10.999979498113829</v>
      </c>
      <c r="Q6702" s="25">
        <v>5000</v>
      </c>
      <c r="R6702" s="22">
        <v>100</v>
      </c>
      <c r="S6702" s="22" t="s">
        <v>8163</v>
      </c>
      <c r="T6702" s="22">
        <f t="shared" si="568"/>
        <v>5</v>
      </c>
      <c r="U6702" s="22">
        <f t="shared" si="569"/>
        <v>2023</v>
      </c>
      <c r="V6702" s="22" t="str">
        <f t="shared" si="570"/>
        <v>METROPOLITANA</v>
      </c>
    </row>
    <row r="6703" spans="1:22" x14ac:dyDescent="0.2">
      <c r="A6703" s="23" t="s">
        <v>8160</v>
      </c>
      <c r="B6703" s="22" t="s">
        <v>33</v>
      </c>
      <c r="C6703" s="22" t="s">
        <v>60</v>
      </c>
      <c r="D6703" s="22" t="s">
        <v>41</v>
      </c>
      <c r="E6703" s="24" t="s">
        <v>25</v>
      </c>
      <c r="F6703" s="22" t="s">
        <v>51</v>
      </c>
      <c r="G6703" s="25">
        <v>9755.1999999999971</v>
      </c>
      <c r="H6703" s="22" t="s">
        <v>43</v>
      </c>
      <c r="I6703" s="22">
        <v>0</v>
      </c>
      <c r="J6703" s="22" t="s">
        <v>51</v>
      </c>
      <c r="K6703" s="22" t="s">
        <v>23</v>
      </c>
      <c r="L6703" s="22">
        <v>4</v>
      </c>
      <c r="M6703" s="26">
        <v>107307</v>
      </c>
      <c r="N6703" s="26">
        <v>0</v>
      </c>
      <c r="O6703" s="15">
        <f t="shared" si="567"/>
        <v>107307</v>
      </c>
      <c r="P6703" s="15">
        <f t="shared" si="571"/>
        <v>10.999979498113829</v>
      </c>
      <c r="Q6703" s="25">
        <v>5000</v>
      </c>
      <c r="R6703" s="22">
        <v>100</v>
      </c>
      <c r="S6703" s="22" t="s">
        <v>8164</v>
      </c>
      <c r="T6703" s="22">
        <f t="shared" si="568"/>
        <v>5</v>
      </c>
      <c r="U6703" s="22">
        <f t="shared" si="569"/>
        <v>2023</v>
      </c>
      <c r="V6703" s="22" t="str">
        <f t="shared" si="570"/>
        <v>METROPOLITANA</v>
      </c>
    </row>
    <row r="6704" spans="1:22" x14ac:dyDescent="0.2">
      <c r="A6704" s="23" t="s">
        <v>8160</v>
      </c>
      <c r="B6704" s="22" t="s">
        <v>33</v>
      </c>
      <c r="C6704" s="22" t="s">
        <v>2507</v>
      </c>
      <c r="D6704" s="22" t="s">
        <v>37</v>
      </c>
      <c r="E6704" s="24" t="s">
        <v>40</v>
      </c>
      <c r="F6704" s="22" t="s">
        <v>2508</v>
      </c>
      <c r="G6704" s="25">
        <v>12423.6</v>
      </c>
      <c r="H6704" s="22" t="s">
        <v>22</v>
      </c>
      <c r="I6704" s="22">
        <v>0</v>
      </c>
      <c r="J6704" s="22" t="s">
        <v>2508</v>
      </c>
      <c r="K6704" s="22" t="s">
        <v>171</v>
      </c>
      <c r="L6704" s="22">
        <v>0</v>
      </c>
      <c r="M6704" s="26">
        <v>300000</v>
      </c>
      <c r="N6704" s="26">
        <v>0</v>
      </c>
      <c r="O6704" s="15">
        <f t="shared" si="567"/>
        <v>300000</v>
      </c>
      <c r="P6704" s="15">
        <f t="shared" si="571"/>
        <v>24.147590070510962</v>
      </c>
      <c r="Q6704" s="25">
        <v>14000</v>
      </c>
      <c r="R6704" s="22">
        <v>89</v>
      </c>
      <c r="S6704" s="22" t="s">
        <v>8165</v>
      </c>
      <c r="T6704" s="22">
        <f t="shared" si="568"/>
        <v>5</v>
      </c>
      <c r="U6704" s="22">
        <f t="shared" si="569"/>
        <v>2023</v>
      </c>
      <c r="V6704" s="22" t="str">
        <f t="shared" si="570"/>
        <v>REGIONES</v>
      </c>
    </row>
    <row r="6705" spans="1:22" x14ac:dyDescent="0.2">
      <c r="A6705" s="23" t="s">
        <v>8160</v>
      </c>
      <c r="B6705" s="22" t="s">
        <v>33</v>
      </c>
      <c r="C6705" s="22" t="s">
        <v>128</v>
      </c>
      <c r="D6705" s="22" t="s">
        <v>35</v>
      </c>
      <c r="E6705" s="24" t="s">
        <v>21</v>
      </c>
      <c r="F6705" s="22" t="s">
        <v>34</v>
      </c>
      <c r="G6705" s="25">
        <v>6528.7700000000013</v>
      </c>
      <c r="H6705" s="22" t="s">
        <v>22</v>
      </c>
      <c r="I6705" s="22">
        <v>0</v>
      </c>
      <c r="J6705" s="22" t="s">
        <v>34</v>
      </c>
      <c r="K6705" s="22" t="s">
        <v>23</v>
      </c>
      <c r="L6705" s="22">
        <v>1</v>
      </c>
      <c r="M6705" s="26">
        <v>71816</v>
      </c>
      <c r="N6705" s="26">
        <v>0</v>
      </c>
      <c r="O6705" s="15">
        <f t="shared" si="567"/>
        <v>71816</v>
      </c>
      <c r="P6705" s="15">
        <f t="shared" si="571"/>
        <v>10.999928010942334</v>
      </c>
      <c r="Q6705" s="25">
        <v>5000</v>
      </c>
      <c r="R6705" s="22">
        <v>100</v>
      </c>
      <c r="S6705" s="22" t="s">
        <v>8166</v>
      </c>
      <c r="T6705" s="22">
        <f t="shared" si="568"/>
        <v>5</v>
      </c>
      <c r="U6705" s="22">
        <f t="shared" si="569"/>
        <v>2023</v>
      </c>
      <c r="V6705" s="22" t="str">
        <f t="shared" si="570"/>
        <v>METROPOLITANA</v>
      </c>
    </row>
    <row r="6706" spans="1:22" x14ac:dyDescent="0.2">
      <c r="A6706" s="23" t="s">
        <v>8160</v>
      </c>
      <c r="B6706" s="22" t="s">
        <v>33</v>
      </c>
      <c r="C6706" s="22" t="s">
        <v>29</v>
      </c>
      <c r="D6706" s="22" t="s">
        <v>7134</v>
      </c>
      <c r="E6706" s="24" t="s">
        <v>7135</v>
      </c>
      <c r="F6706" s="22" t="s">
        <v>132</v>
      </c>
      <c r="G6706" s="25">
        <v>13647.740000000011</v>
      </c>
      <c r="H6706" s="22" t="s">
        <v>24</v>
      </c>
      <c r="I6706" s="22">
        <v>1</v>
      </c>
      <c r="J6706" s="22" t="s">
        <v>132</v>
      </c>
      <c r="K6706" s="22" t="s">
        <v>124</v>
      </c>
      <c r="L6706" s="22">
        <v>0</v>
      </c>
      <c r="M6706" s="26">
        <v>440000</v>
      </c>
      <c r="N6706" s="26">
        <v>0</v>
      </c>
      <c r="O6706" s="15">
        <f t="shared" si="567"/>
        <v>440000</v>
      </c>
      <c r="P6706" s="15">
        <f t="shared" si="571"/>
        <v>32.239770101130269</v>
      </c>
      <c r="Q6706" s="25">
        <v>14000</v>
      </c>
      <c r="R6706" s="22">
        <v>97</v>
      </c>
      <c r="S6706" s="22" t="s">
        <v>8167</v>
      </c>
      <c r="T6706" s="22">
        <f t="shared" si="568"/>
        <v>5</v>
      </c>
      <c r="U6706" s="22">
        <f t="shared" si="569"/>
        <v>2023</v>
      </c>
      <c r="V6706" s="22" t="str">
        <f t="shared" si="570"/>
        <v>REGIONES</v>
      </c>
    </row>
    <row r="6707" spans="1:22" x14ac:dyDescent="0.2">
      <c r="A6707" s="23" t="s">
        <v>8160</v>
      </c>
      <c r="B6707" s="22" t="s">
        <v>33</v>
      </c>
      <c r="C6707" s="22" t="s">
        <v>29</v>
      </c>
      <c r="D6707" s="22" t="s">
        <v>164</v>
      </c>
      <c r="E6707" s="24" t="s">
        <v>1576</v>
      </c>
      <c r="F6707" s="22" t="s">
        <v>39</v>
      </c>
      <c r="G6707" s="25">
        <v>19287.049999999988</v>
      </c>
      <c r="H6707" s="22" t="s">
        <v>22</v>
      </c>
      <c r="I6707" s="22">
        <v>1</v>
      </c>
      <c r="J6707" s="22" t="s">
        <v>39</v>
      </c>
      <c r="K6707" s="22" t="s">
        <v>23</v>
      </c>
      <c r="L6707" s="22">
        <v>1</v>
      </c>
      <c r="M6707" s="26">
        <v>212158</v>
      </c>
      <c r="N6707" s="26">
        <v>0</v>
      </c>
      <c r="O6707" s="15">
        <f t="shared" si="567"/>
        <v>212158</v>
      </c>
      <c r="P6707" s="15">
        <f t="shared" si="571"/>
        <v>11.000023331717403</v>
      </c>
      <c r="Q6707" s="25">
        <v>5000</v>
      </c>
      <c r="R6707" s="22">
        <v>100</v>
      </c>
      <c r="S6707" s="22" t="s">
        <v>8168</v>
      </c>
      <c r="T6707" s="22">
        <f t="shared" si="568"/>
        <v>5</v>
      </c>
      <c r="U6707" s="22">
        <f t="shared" si="569"/>
        <v>2023</v>
      </c>
      <c r="V6707" s="22" t="str">
        <f t="shared" si="570"/>
        <v>METROPOLITANA</v>
      </c>
    </row>
    <row r="6708" spans="1:22" x14ac:dyDescent="0.2">
      <c r="A6708" s="23" t="s">
        <v>8160</v>
      </c>
      <c r="B6708" s="22" t="s">
        <v>33</v>
      </c>
      <c r="C6708" s="22" t="s">
        <v>44</v>
      </c>
      <c r="D6708" s="22" t="s">
        <v>45</v>
      </c>
      <c r="E6708" s="24" t="s">
        <v>49</v>
      </c>
      <c r="F6708" s="22" t="s">
        <v>182</v>
      </c>
      <c r="G6708" s="25">
        <v>2640.76</v>
      </c>
      <c r="H6708" s="22" t="s">
        <v>22</v>
      </c>
      <c r="I6708" s="22">
        <v>0</v>
      </c>
      <c r="J6708" s="22" t="s">
        <v>182</v>
      </c>
      <c r="K6708" s="22" t="s">
        <v>23</v>
      </c>
      <c r="L6708" s="22">
        <v>4</v>
      </c>
      <c r="M6708" s="26">
        <v>69173</v>
      </c>
      <c r="N6708" s="26">
        <v>0</v>
      </c>
      <c r="O6708" s="15">
        <f t="shared" si="567"/>
        <v>69173</v>
      </c>
      <c r="P6708" s="15">
        <f t="shared" si="571"/>
        <v>26.194353140762505</v>
      </c>
      <c r="Q6708" s="25">
        <v>5000</v>
      </c>
      <c r="R6708" s="22">
        <v>53</v>
      </c>
      <c r="S6708" s="22" t="s">
        <v>8169</v>
      </c>
      <c r="T6708" s="22">
        <f t="shared" si="568"/>
        <v>5</v>
      </c>
      <c r="U6708" s="22">
        <f t="shared" si="569"/>
        <v>2023</v>
      </c>
      <c r="V6708" s="22" t="str">
        <f t="shared" si="570"/>
        <v>METROPOLITANA</v>
      </c>
    </row>
    <row r="6709" spans="1:22" x14ac:dyDescent="0.2">
      <c r="A6709" s="11" t="s">
        <v>8170</v>
      </c>
      <c r="B6709" s="12" t="s">
        <v>33</v>
      </c>
      <c r="C6709" s="12" t="s">
        <v>60</v>
      </c>
      <c r="D6709" s="12" t="s">
        <v>45</v>
      </c>
      <c r="E6709" s="13">
        <v>107643206</v>
      </c>
      <c r="F6709" s="12" t="s">
        <v>51</v>
      </c>
      <c r="G6709" s="14">
        <v>7005</v>
      </c>
      <c r="H6709" s="12" t="s">
        <v>22</v>
      </c>
      <c r="I6709" s="12">
        <v>0</v>
      </c>
      <c r="J6709" s="12" t="s">
        <v>51</v>
      </c>
      <c r="K6709" s="12" t="s">
        <v>23</v>
      </c>
      <c r="L6709" s="12">
        <v>4</v>
      </c>
      <c r="M6709" s="15">
        <v>77055</v>
      </c>
      <c r="N6709" s="15">
        <v>0</v>
      </c>
      <c r="O6709" s="15">
        <f t="shared" si="567"/>
        <v>77055</v>
      </c>
      <c r="P6709" s="15">
        <f t="shared" si="571"/>
        <v>11</v>
      </c>
      <c r="Q6709" s="14">
        <v>5000</v>
      </c>
      <c r="R6709" s="12">
        <v>100</v>
      </c>
      <c r="S6709" s="12" t="s">
        <v>8171</v>
      </c>
      <c r="T6709" s="22">
        <f t="shared" si="568"/>
        <v>5</v>
      </c>
      <c r="U6709" s="22">
        <f t="shared" si="569"/>
        <v>2023</v>
      </c>
      <c r="V6709" s="22" t="str">
        <f t="shared" si="570"/>
        <v>METROPOLITANA</v>
      </c>
    </row>
    <row r="6710" spans="1:22" x14ac:dyDescent="0.2">
      <c r="A6710" s="11" t="s">
        <v>8170</v>
      </c>
      <c r="B6710" s="12" t="s">
        <v>33</v>
      </c>
      <c r="C6710" s="12" t="s">
        <v>128</v>
      </c>
      <c r="D6710" s="12" t="s">
        <v>45</v>
      </c>
      <c r="E6710" s="13">
        <v>107643206</v>
      </c>
      <c r="F6710" s="12" t="s">
        <v>129</v>
      </c>
      <c r="G6710" s="14">
        <v>4228.32</v>
      </c>
      <c r="H6710" s="12" t="s">
        <v>22</v>
      </c>
      <c r="I6710" s="12">
        <v>0</v>
      </c>
      <c r="J6710" s="12" t="s">
        <v>129</v>
      </c>
      <c r="K6710" s="12" t="s">
        <v>23</v>
      </c>
      <c r="L6710" s="12">
        <v>1</v>
      </c>
      <c r="M6710" s="15">
        <v>69173</v>
      </c>
      <c r="N6710" s="15">
        <v>0</v>
      </c>
      <c r="O6710" s="15">
        <f t="shared" si="567"/>
        <v>69173</v>
      </c>
      <c r="P6710" s="15">
        <f t="shared" si="571"/>
        <v>16.359452453929695</v>
      </c>
      <c r="Q6710" s="14">
        <v>5000</v>
      </c>
      <c r="R6710" s="12">
        <v>85</v>
      </c>
      <c r="S6710" s="12" t="s">
        <v>8172</v>
      </c>
      <c r="T6710" s="22">
        <f t="shared" si="568"/>
        <v>5</v>
      </c>
      <c r="U6710" s="22">
        <f t="shared" si="569"/>
        <v>2023</v>
      </c>
      <c r="V6710" s="22" t="str">
        <f t="shared" si="570"/>
        <v>METROPOLITANA</v>
      </c>
    </row>
    <row r="6711" spans="1:22" x14ac:dyDescent="0.2">
      <c r="A6711" s="11" t="s">
        <v>8170</v>
      </c>
      <c r="B6711" s="12" t="s">
        <v>33</v>
      </c>
      <c r="C6711" s="12" t="s">
        <v>87</v>
      </c>
      <c r="D6711" s="12" t="s">
        <v>45</v>
      </c>
      <c r="E6711" s="13">
        <v>107643206</v>
      </c>
      <c r="F6711" s="12" t="s">
        <v>51</v>
      </c>
      <c r="G6711" s="14">
        <v>1957</v>
      </c>
      <c r="H6711" s="12" t="s">
        <v>22</v>
      </c>
      <c r="I6711" s="12">
        <v>0</v>
      </c>
      <c r="J6711" s="12" t="s">
        <v>51</v>
      </c>
      <c r="K6711" s="12" t="s">
        <v>23</v>
      </c>
      <c r="L6711" s="12">
        <v>4</v>
      </c>
      <c r="M6711" s="15">
        <v>69173</v>
      </c>
      <c r="N6711" s="15">
        <v>0</v>
      </c>
      <c r="O6711" s="15">
        <f t="shared" si="567"/>
        <v>69173</v>
      </c>
      <c r="P6711" s="15">
        <f t="shared" si="571"/>
        <v>35.346448645886561</v>
      </c>
      <c r="Q6711" s="14">
        <v>5000</v>
      </c>
      <c r="R6711" s="12">
        <v>39</v>
      </c>
      <c r="S6711" s="12" t="s">
        <v>8173</v>
      </c>
      <c r="T6711" s="22">
        <f t="shared" si="568"/>
        <v>5</v>
      </c>
      <c r="U6711" s="22">
        <f t="shared" si="569"/>
        <v>2023</v>
      </c>
      <c r="V6711" s="22" t="str">
        <f t="shared" si="570"/>
        <v>METROPOLITANA</v>
      </c>
    </row>
    <row r="6712" spans="1:22" x14ac:dyDescent="0.2">
      <c r="A6712" s="11" t="s">
        <v>8170</v>
      </c>
      <c r="B6712" s="12" t="s">
        <v>33</v>
      </c>
      <c r="C6712" s="12" t="s">
        <v>29</v>
      </c>
      <c r="D6712" s="12" t="s">
        <v>38</v>
      </c>
      <c r="E6712" s="13">
        <v>125108660</v>
      </c>
      <c r="F6712" s="12" t="s">
        <v>173</v>
      </c>
      <c r="G6712" s="14">
        <v>5802.4</v>
      </c>
      <c r="H6712" s="12" t="s">
        <v>43</v>
      </c>
      <c r="I6712" s="12">
        <v>0</v>
      </c>
      <c r="J6712" s="12" t="s">
        <v>173</v>
      </c>
      <c r="K6712" s="12" t="s">
        <v>23</v>
      </c>
      <c r="L6712" s="12">
        <v>5</v>
      </c>
      <c r="M6712" s="15">
        <v>112500</v>
      </c>
      <c r="N6712" s="15">
        <v>0</v>
      </c>
      <c r="O6712" s="15">
        <f t="shared" si="567"/>
        <v>112500</v>
      </c>
      <c r="P6712" s="15">
        <f t="shared" si="571"/>
        <v>19.388528884599477</v>
      </c>
      <c r="Q6712" s="14">
        <v>10000</v>
      </c>
      <c r="R6712" s="12">
        <v>58</v>
      </c>
      <c r="S6712" s="12" t="s">
        <v>8174</v>
      </c>
      <c r="T6712" s="22">
        <f t="shared" si="568"/>
        <v>5</v>
      </c>
      <c r="U6712" s="22">
        <f t="shared" si="569"/>
        <v>2023</v>
      </c>
      <c r="V6712" s="22" t="str">
        <f t="shared" si="570"/>
        <v>METROPOLITANA</v>
      </c>
    </row>
    <row r="6713" spans="1:22" x14ac:dyDescent="0.2">
      <c r="A6713" s="11" t="s">
        <v>8170</v>
      </c>
      <c r="B6713" s="12" t="s">
        <v>33</v>
      </c>
      <c r="C6713" s="12" t="s">
        <v>29</v>
      </c>
      <c r="D6713" s="12" t="s">
        <v>38</v>
      </c>
      <c r="E6713" s="13">
        <v>53173292</v>
      </c>
      <c r="F6713" s="12" t="s">
        <v>134</v>
      </c>
      <c r="G6713" s="14">
        <v>6147.5999999999995</v>
      </c>
      <c r="H6713" s="12" t="s">
        <v>43</v>
      </c>
      <c r="I6713" s="12">
        <v>0</v>
      </c>
      <c r="J6713" s="12" t="s">
        <v>134</v>
      </c>
      <c r="K6713" s="12" t="s">
        <v>23</v>
      </c>
      <c r="L6713" s="12">
        <v>2</v>
      </c>
      <c r="M6713" s="15">
        <v>67624</v>
      </c>
      <c r="N6713" s="15">
        <v>0</v>
      </c>
      <c r="O6713" s="15">
        <f t="shared" si="567"/>
        <v>67624</v>
      </c>
      <c r="P6713" s="15">
        <f t="shared" si="571"/>
        <v>11.000065066042033</v>
      </c>
      <c r="Q6713" s="14">
        <v>5000</v>
      </c>
      <c r="R6713" s="12">
        <v>100</v>
      </c>
      <c r="S6713" s="12" t="s">
        <v>8175</v>
      </c>
      <c r="T6713" s="22">
        <f t="shared" si="568"/>
        <v>5</v>
      </c>
      <c r="U6713" s="22">
        <f t="shared" si="569"/>
        <v>2023</v>
      </c>
      <c r="V6713" s="22" t="str">
        <f t="shared" si="570"/>
        <v>METROPOLITANA</v>
      </c>
    </row>
    <row r="6714" spans="1:22" x14ac:dyDescent="0.2">
      <c r="A6714" s="11" t="s">
        <v>8170</v>
      </c>
      <c r="B6714" s="12" t="s">
        <v>33</v>
      </c>
      <c r="C6714" s="12" t="s">
        <v>29</v>
      </c>
      <c r="D6714" s="12" t="s">
        <v>30</v>
      </c>
      <c r="E6714" s="13">
        <v>72564391</v>
      </c>
      <c r="F6714" s="12" t="s">
        <v>134</v>
      </c>
      <c r="G6714" s="14">
        <v>5690</v>
      </c>
      <c r="H6714" s="12" t="s">
        <v>32</v>
      </c>
      <c r="I6714" s="12">
        <v>0</v>
      </c>
      <c r="J6714" s="12" t="s">
        <v>134</v>
      </c>
      <c r="K6714" s="12" t="s">
        <v>23</v>
      </c>
      <c r="L6714" s="12">
        <v>2</v>
      </c>
      <c r="M6714" s="15">
        <v>62590</v>
      </c>
      <c r="N6714" s="15">
        <v>0</v>
      </c>
      <c r="O6714" s="15">
        <f t="shared" si="567"/>
        <v>62590</v>
      </c>
      <c r="P6714" s="15">
        <f t="shared" si="571"/>
        <v>11</v>
      </c>
      <c r="Q6714" s="14">
        <v>5000</v>
      </c>
      <c r="R6714" s="12">
        <v>100</v>
      </c>
      <c r="S6714" s="12" t="s">
        <v>8176</v>
      </c>
      <c r="T6714" s="22">
        <f t="shared" si="568"/>
        <v>5</v>
      </c>
      <c r="U6714" s="22">
        <f t="shared" si="569"/>
        <v>2023</v>
      </c>
      <c r="V6714" s="22" t="str">
        <f t="shared" si="570"/>
        <v>METROPOLITANA</v>
      </c>
    </row>
    <row r="6715" spans="1:22" x14ac:dyDescent="0.2">
      <c r="A6715" s="11" t="s">
        <v>8170</v>
      </c>
      <c r="B6715" s="12" t="s">
        <v>33</v>
      </c>
      <c r="C6715" s="12" t="s">
        <v>29</v>
      </c>
      <c r="D6715" s="12" t="s">
        <v>41</v>
      </c>
      <c r="E6715" s="13">
        <v>125108660</v>
      </c>
      <c r="F6715" s="12" t="s">
        <v>39</v>
      </c>
      <c r="G6715" s="14">
        <v>8805.3999999999978</v>
      </c>
      <c r="H6715" s="12" t="s">
        <v>43</v>
      </c>
      <c r="I6715" s="12">
        <v>0</v>
      </c>
      <c r="J6715" s="12" t="s">
        <v>39</v>
      </c>
      <c r="K6715" s="12" t="s">
        <v>23</v>
      </c>
      <c r="L6715" s="12">
        <v>1</v>
      </c>
      <c r="M6715" s="15">
        <v>96859</v>
      </c>
      <c r="N6715" s="15">
        <v>0</v>
      </c>
      <c r="O6715" s="15">
        <f t="shared" ref="O6715:O6778" si="572">SUM(M6715:N6715)</f>
        <v>96859</v>
      </c>
      <c r="P6715" s="15">
        <f t="shared" si="571"/>
        <v>10.999954573330005</v>
      </c>
      <c r="Q6715" s="14">
        <v>5000</v>
      </c>
      <c r="R6715" s="12">
        <v>100</v>
      </c>
      <c r="S6715" s="12" t="s">
        <v>8177</v>
      </c>
      <c r="T6715" s="22">
        <f t="shared" si="568"/>
        <v>5</v>
      </c>
      <c r="U6715" s="22">
        <f t="shared" si="569"/>
        <v>2023</v>
      </c>
      <c r="V6715" s="22" t="str">
        <f t="shared" si="570"/>
        <v>METROPOLITANA</v>
      </c>
    </row>
    <row r="6716" spans="1:22" x14ac:dyDescent="0.2">
      <c r="A6716" s="11" t="s">
        <v>8170</v>
      </c>
      <c r="B6716" s="12" t="s">
        <v>33</v>
      </c>
      <c r="C6716" s="12" t="s">
        <v>29</v>
      </c>
      <c r="D6716" s="12" t="s">
        <v>164</v>
      </c>
      <c r="E6716" s="13">
        <v>154837728</v>
      </c>
      <c r="F6716" s="12" t="s">
        <v>39</v>
      </c>
      <c r="G6716" s="14">
        <v>19310.34</v>
      </c>
      <c r="H6716" s="12" t="s">
        <v>22</v>
      </c>
      <c r="I6716" s="12">
        <v>1</v>
      </c>
      <c r="J6716" s="12" t="s">
        <v>39</v>
      </c>
      <c r="K6716" s="12" t="s">
        <v>23</v>
      </c>
      <c r="L6716" s="12">
        <v>1</v>
      </c>
      <c r="M6716" s="15">
        <v>212414</v>
      </c>
      <c r="N6716" s="15">
        <v>0</v>
      </c>
      <c r="O6716" s="15">
        <f t="shared" si="572"/>
        <v>212414</v>
      </c>
      <c r="P6716" s="15">
        <f t="shared" si="571"/>
        <v>11.000013464289081</v>
      </c>
      <c r="Q6716" s="14">
        <v>5000</v>
      </c>
      <c r="R6716" s="12">
        <v>100</v>
      </c>
      <c r="S6716" s="12" t="s">
        <v>8178</v>
      </c>
      <c r="T6716" s="22">
        <f t="shared" si="568"/>
        <v>5</v>
      </c>
      <c r="U6716" s="22">
        <f t="shared" si="569"/>
        <v>2023</v>
      </c>
      <c r="V6716" s="22" t="str">
        <f t="shared" si="570"/>
        <v>METROPOLITANA</v>
      </c>
    </row>
    <row r="6717" spans="1:22" x14ac:dyDescent="0.2">
      <c r="A6717" s="23" t="s">
        <v>8179</v>
      </c>
      <c r="B6717" s="22" t="s">
        <v>18</v>
      </c>
      <c r="C6717" s="22" t="s">
        <v>19</v>
      </c>
      <c r="D6717" s="22" t="s">
        <v>4569</v>
      </c>
      <c r="E6717" s="24" t="s">
        <v>868</v>
      </c>
      <c r="F6717" s="22" t="s">
        <v>92</v>
      </c>
      <c r="G6717" s="25">
        <v>14477.86</v>
      </c>
      <c r="H6717" s="22" t="s">
        <v>24</v>
      </c>
      <c r="I6717" s="22">
        <v>1</v>
      </c>
      <c r="J6717" s="22" t="s">
        <v>92</v>
      </c>
      <c r="K6717" s="22" t="s">
        <v>93</v>
      </c>
      <c r="L6717" s="22">
        <v>0</v>
      </c>
      <c r="M6717" s="26">
        <v>779000</v>
      </c>
      <c r="N6717" s="26">
        <v>0</v>
      </c>
      <c r="O6717" s="15">
        <f t="shared" si="572"/>
        <v>779000</v>
      </c>
      <c r="P6717" s="15">
        <f t="shared" si="571"/>
        <v>53.806294576684671</v>
      </c>
      <c r="Q6717" s="25">
        <v>14000</v>
      </c>
      <c r="R6717" s="22">
        <v>100</v>
      </c>
      <c r="S6717" s="22" t="s">
        <v>8180</v>
      </c>
      <c r="T6717" s="22">
        <f t="shared" si="568"/>
        <v>5</v>
      </c>
      <c r="U6717" s="22">
        <f t="shared" si="569"/>
        <v>2023</v>
      </c>
      <c r="V6717" s="22" t="str">
        <f t="shared" si="570"/>
        <v>REGIONES</v>
      </c>
    </row>
    <row r="6718" spans="1:22" x14ac:dyDescent="0.2">
      <c r="A6718" s="23" t="s">
        <v>8179</v>
      </c>
      <c r="B6718" s="22" t="s">
        <v>18</v>
      </c>
      <c r="C6718" s="22" t="s">
        <v>19</v>
      </c>
      <c r="D6718" s="22" t="s">
        <v>7779</v>
      </c>
      <c r="E6718" s="24" t="s">
        <v>8181</v>
      </c>
      <c r="F6718" s="22" t="s">
        <v>92</v>
      </c>
      <c r="G6718" s="25">
        <v>19804.659999999989</v>
      </c>
      <c r="H6718" s="22" t="s">
        <v>24</v>
      </c>
      <c r="I6718" s="22">
        <v>1</v>
      </c>
      <c r="J6718" s="22" t="s">
        <v>92</v>
      </c>
      <c r="K6718" s="22" t="s">
        <v>93</v>
      </c>
      <c r="L6718" s="22">
        <v>0</v>
      </c>
      <c r="M6718" s="26">
        <v>779000</v>
      </c>
      <c r="N6718" s="26">
        <v>0</v>
      </c>
      <c r="O6718" s="15">
        <f t="shared" si="572"/>
        <v>779000</v>
      </c>
      <c r="P6718" s="15">
        <f t="shared" si="571"/>
        <v>39.334176905839357</v>
      </c>
      <c r="Q6718" s="25">
        <v>14000</v>
      </c>
      <c r="R6718" s="22">
        <v>100</v>
      </c>
      <c r="S6718" s="22" t="s">
        <v>8182</v>
      </c>
      <c r="T6718" s="22">
        <f t="shared" si="568"/>
        <v>5</v>
      </c>
      <c r="U6718" s="22">
        <f t="shared" si="569"/>
        <v>2023</v>
      </c>
      <c r="V6718" s="22" t="str">
        <f t="shared" si="570"/>
        <v>REGIONES</v>
      </c>
    </row>
    <row r="6719" spans="1:22" x14ac:dyDescent="0.2">
      <c r="A6719" s="23" t="s">
        <v>8179</v>
      </c>
      <c r="B6719" s="22" t="s">
        <v>33</v>
      </c>
      <c r="C6719" s="22" t="s">
        <v>8183</v>
      </c>
      <c r="D6719" s="22" t="s">
        <v>37</v>
      </c>
      <c r="E6719" s="24" t="s">
        <v>40</v>
      </c>
      <c r="F6719" s="22" t="s">
        <v>129</v>
      </c>
      <c r="G6719" s="25">
        <v>5251.28</v>
      </c>
      <c r="H6719" s="22" t="s">
        <v>22</v>
      </c>
      <c r="I6719" s="22">
        <v>0</v>
      </c>
      <c r="J6719" s="22" t="s">
        <v>129</v>
      </c>
      <c r="K6719" s="22" t="s">
        <v>23</v>
      </c>
      <c r="L6719" s="22">
        <v>1</v>
      </c>
      <c r="M6719" s="26">
        <v>57764</v>
      </c>
      <c r="N6719" s="26">
        <v>0</v>
      </c>
      <c r="O6719" s="15">
        <f t="shared" si="572"/>
        <v>57764</v>
      </c>
      <c r="P6719" s="15">
        <f t="shared" si="571"/>
        <v>10.99998476561905</v>
      </c>
      <c r="Q6719" s="25">
        <v>5000</v>
      </c>
      <c r="R6719" s="22">
        <v>100</v>
      </c>
      <c r="S6719" s="22" t="s">
        <v>8184</v>
      </c>
      <c r="T6719" s="22">
        <f t="shared" si="568"/>
        <v>5</v>
      </c>
      <c r="U6719" s="22">
        <f t="shared" si="569"/>
        <v>2023</v>
      </c>
      <c r="V6719" s="22" t="str">
        <f t="shared" si="570"/>
        <v>METROPOLITANA</v>
      </c>
    </row>
    <row r="6720" spans="1:22" x14ac:dyDescent="0.2">
      <c r="A6720" s="23" t="s">
        <v>8179</v>
      </c>
      <c r="B6720" s="22" t="s">
        <v>33</v>
      </c>
      <c r="C6720" s="22" t="s">
        <v>909</v>
      </c>
      <c r="D6720" s="22" t="s">
        <v>37</v>
      </c>
      <c r="E6720" s="24" t="s">
        <v>40</v>
      </c>
      <c r="F6720" s="22" t="s">
        <v>8185</v>
      </c>
      <c r="G6720" s="25">
        <v>5408</v>
      </c>
      <c r="H6720" s="22" t="s">
        <v>22</v>
      </c>
      <c r="I6720" s="22">
        <v>0</v>
      </c>
      <c r="J6720" s="22" t="s">
        <v>8185</v>
      </c>
      <c r="K6720" s="22" t="s">
        <v>171</v>
      </c>
      <c r="L6720" s="22">
        <v>0</v>
      </c>
      <c r="M6720" s="26">
        <v>150000</v>
      </c>
      <c r="N6720" s="26">
        <v>0</v>
      </c>
      <c r="O6720" s="15">
        <f t="shared" si="572"/>
        <v>150000</v>
      </c>
      <c r="P6720" s="15">
        <f t="shared" si="571"/>
        <v>27.736686390532544</v>
      </c>
      <c r="Q6720" s="25">
        <v>14000</v>
      </c>
      <c r="R6720" s="22">
        <v>39</v>
      </c>
      <c r="S6720" s="22" t="s">
        <v>8186</v>
      </c>
      <c r="T6720" s="22">
        <f t="shared" si="568"/>
        <v>5</v>
      </c>
      <c r="U6720" s="22">
        <f t="shared" si="569"/>
        <v>2023</v>
      </c>
      <c r="V6720" s="22" t="str">
        <f t="shared" si="570"/>
        <v>REGIONES</v>
      </c>
    </row>
    <row r="6721" spans="1:22" x14ac:dyDescent="0.2">
      <c r="A6721" s="23" t="s">
        <v>8179</v>
      </c>
      <c r="B6721" s="22" t="s">
        <v>33</v>
      </c>
      <c r="C6721" s="22" t="s">
        <v>8187</v>
      </c>
      <c r="D6721" s="22" t="s">
        <v>7423</v>
      </c>
      <c r="E6721" s="24" t="s">
        <v>8188</v>
      </c>
      <c r="F6721" s="22" t="s">
        <v>195</v>
      </c>
      <c r="G6721" s="25">
        <v>13507.2</v>
      </c>
      <c r="H6721" s="22" t="s">
        <v>24</v>
      </c>
      <c r="I6721" s="22">
        <v>1</v>
      </c>
      <c r="J6721" s="22" t="s">
        <v>195</v>
      </c>
      <c r="K6721" s="22" t="s">
        <v>124</v>
      </c>
      <c r="L6721" s="22">
        <v>0</v>
      </c>
      <c r="M6721" s="26">
        <v>440000</v>
      </c>
      <c r="N6721" s="26">
        <v>0</v>
      </c>
      <c r="O6721" s="15">
        <f t="shared" si="572"/>
        <v>440000</v>
      </c>
      <c r="P6721" s="15">
        <f t="shared" si="571"/>
        <v>32.575219142383318</v>
      </c>
      <c r="Q6721" s="25">
        <v>14000</v>
      </c>
      <c r="R6721" s="22">
        <v>96</v>
      </c>
      <c r="S6721" s="22" t="s">
        <v>8189</v>
      </c>
      <c r="T6721" s="22">
        <f t="shared" si="568"/>
        <v>5</v>
      </c>
      <c r="U6721" s="22">
        <f t="shared" si="569"/>
        <v>2023</v>
      </c>
      <c r="V6721" s="22" t="str">
        <f t="shared" si="570"/>
        <v>REGIONES</v>
      </c>
    </row>
    <row r="6722" spans="1:22" x14ac:dyDescent="0.2">
      <c r="A6722" s="23" t="s">
        <v>8179</v>
      </c>
      <c r="B6722" s="22" t="s">
        <v>33</v>
      </c>
      <c r="C6722" s="22" t="s">
        <v>29</v>
      </c>
      <c r="D6722" s="22" t="s">
        <v>35</v>
      </c>
      <c r="E6722" s="24" t="s">
        <v>21</v>
      </c>
      <c r="F6722" s="22" t="s">
        <v>129</v>
      </c>
      <c r="G6722" s="25">
        <v>3376.2000000000012</v>
      </c>
      <c r="H6722" s="22" t="s">
        <v>22</v>
      </c>
      <c r="I6722" s="22">
        <v>0</v>
      </c>
      <c r="J6722" s="22" t="s">
        <v>129</v>
      </c>
      <c r="K6722" s="22" t="s">
        <v>23</v>
      </c>
      <c r="L6722" s="22">
        <v>1</v>
      </c>
      <c r="M6722" s="26">
        <v>69173</v>
      </c>
      <c r="N6722" s="26">
        <v>0</v>
      </c>
      <c r="O6722" s="15">
        <f t="shared" si="572"/>
        <v>69173</v>
      </c>
      <c r="P6722" s="15">
        <f t="shared" si="571"/>
        <v>20.488418932527686</v>
      </c>
      <c r="Q6722" s="25">
        <v>5000</v>
      </c>
      <c r="R6722" s="22">
        <v>68</v>
      </c>
      <c r="S6722" s="22" t="s">
        <v>8190</v>
      </c>
      <c r="T6722" s="22">
        <f t="shared" si="568"/>
        <v>5</v>
      </c>
      <c r="U6722" s="22">
        <f t="shared" si="569"/>
        <v>2023</v>
      </c>
      <c r="V6722" s="22" t="str">
        <f t="shared" si="570"/>
        <v>METROPOLITANA</v>
      </c>
    </row>
    <row r="6723" spans="1:22" x14ac:dyDescent="0.2">
      <c r="A6723" s="11" t="s">
        <v>8191</v>
      </c>
      <c r="B6723" s="12" t="s">
        <v>18</v>
      </c>
      <c r="C6723" s="12" t="s">
        <v>2507</v>
      </c>
      <c r="D6723" s="12" t="s">
        <v>27</v>
      </c>
      <c r="E6723" s="13" t="s">
        <v>28</v>
      </c>
      <c r="F6723" s="12" t="s">
        <v>876</v>
      </c>
      <c r="G6723" s="14">
        <f>13505+5566</f>
        <v>19071</v>
      </c>
      <c r="H6723" s="12" t="s">
        <v>22</v>
      </c>
      <c r="I6723" s="12">
        <v>1</v>
      </c>
      <c r="J6723" s="12" t="s">
        <v>876</v>
      </c>
      <c r="K6723" s="12" t="s">
        <v>86</v>
      </c>
      <c r="L6723" s="12">
        <v>0</v>
      </c>
      <c r="M6723" s="15">
        <v>437500</v>
      </c>
      <c r="N6723" s="15">
        <v>0</v>
      </c>
      <c r="O6723" s="15">
        <f t="shared" si="572"/>
        <v>437500</v>
      </c>
      <c r="P6723" s="15">
        <f t="shared" si="571"/>
        <v>22.940590425253003</v>
      </c>
      <c r="Q6723" s="14">
        <v>14000</v>
      </c>
      <c r="R6723" s="12">
        <v>100</v>
      </c>
      <c r="S6723" s="12" t="s">
        <v>8205</v>
      </c>
      <c r="T6723" s="22">
        <f t="shared" si="568"/>
        <v>5</v>
      </c>
      <c r="U6723" s="22">
        <f t="shared" si="569"/>
        <v>2023</v>
      </c>
      <c r="V6723" s="22" t="str">
        <f t="shared" si="570"/>
        <v>REGIONES</v>
      </c>
    </row>
    <row r="6724" spans="1:22" x14ac:dyDescent="0.2">
      <c r="A6724" s="11" t="s">
        <v>8191</v>
      </c>
      <c r="B6724" s="12" t="s">
        <v>33</v>
      </c>
      <c r="C6724" s="12" t="s">
        <v>128</v>
      </c>
      <c r="D6724" s="12" t="s">
        <v>786</v>
      </c>
      <c r="E6724" s="13" t="s">
        <v>787</v>
      </c>
      <c r="F6724" s="12" t="s">
        <v>34</v>
      </c>
      <c r="G6724" s="14">
        <v>15394.660000000011</v>
      </c>
      <c r="H6724" s="12" t="s">
        <v>788</v>
      </c>
      <c r="I6724" s="12">
        <v>1</v>
      </c>
      <c r="J6724" s="12" t="s">
        <v>34</v>
      </c>
      <c r="K6724" s="12" t="s">
        <v>23</v>
      </c>
      <c r="L6724" s="12">
        <v>1</v>
      </c>
      <c r="M6724" s="15">
        <v>169341</v>
      </c>
      <c r="N6724" s="15">
        <v>0</v>
      </c>
      <c r="O6724" s="15">
        <f t="shared" si="572"/>
        <v>169341</v>
      </c>
      <c r="P6724" s="15">
        <f t="shared" si="571"/>
        <v>10.999983111026802</v>
      </c>
      <c r="Q6724" s="14">
        <v>5000</v>
      </c>
      <c r="R6724" s="12">
        <v>100</v>
      </c>
      <c r="S6724" s="12" t="s">
        <v>8192</v>
      </c>
      <c r="T6724" s="22">
        <f t="shared" si="568"/>
        <v>5</v>
      </c>
      <c r="U6724" s="22">
        <f t="shared" si="569"/>
        <v>2023</v>
      </c>
      <c r="V6724" s="22" t="str">
        <f t="shared" si="570"/>
        <v>METROPOLITANA</v>
      </c>
    </row>
    <row r="6725" spans="1:22" x14ac:dyDescent="0.2">
      <c r="A6725" s="11" t="s">
        <v>8191</v>
      </c>
      <c r="B6725" s="12" t="s">
        <v>33</v>
      </c>
      <c r="C6725" s="12" t="s">
        <v>8193</v>
      </c>
      <c r="D6725" s="12" t="s">
        <v>20</v>
      </c>
      <c r="E6725" s="13" t="s">
        <v>21</v>
      </c>
      <c r="F6725" s="12" t="s">
        <v>129</v>
      </c>
      <c r="G6725" s="14">
        <v>9556.2000000000044</v>
      </c>
      <c r="H6725" s="12" t="s">
        <v>22</v>
      </c>
      <c r="I6725" s="12">
        <v>0</v>
      </c>
      <c r="J6725" s="12" t="s">
        <v>129</v>
      </c>
      <c r="K6725" s="12" t="s">
        <v>23</v>
      </c>
      <c r="L6725" s="12">
        <v>1</v>
      </c>
      <c r="M6725" s="15">
        <v>105118</v>
      </c>
      <c r="N6725" s="15">
        <v>0</v>
      </c>
      <c r="O6725" s="15">
        <f t="shared" si="572"/>
        <v>105118</v>
      </c>
      <c r="P6725" s="15">
        <f t="shared" si="571"/>
        <v>10.999979071178915</v>
      </c>
      <c r="Q6725" s="14">
        <v>5000</v>
      </c>
      <c r="R6725" s="12">
        <v>100</v>
      </c>
      <c r="S6725" s="12" t="s">
        <v>8194</v>
      </c>
      <c r="T6725" s="22">
        <f t="shared" si="568"/>
        <v>5</v>
      </c>
      <c r="U6725" s="22">
        <f t="shared" si="569"/>
        <v>2023</v>
      </c>
      <c r="V6725" s="22" t="str">
        <f t="shared" si="570"/>
        <v>METROPOLITANA</v>
      </c>
    </row>
    <row r="6726" spans="1:22" x14ac:dyDescent="0.2">
      <c r="A6726" s="11" t="s">
        <v>8191</v>
      </c>
      <c r="B6726" s="12" t="s">
        <v>33</v>
      </c>
      <c r="C6726" s="12" t="s">
        <v>29</v>
      </c>
      <c r="D6726" s="12" t="s">
        <v>37</v>
      </c>
      <c r="E6726" s="13" t="s">
        <v>40</v>
      </c>
      <c r="F6726" s="12" t="s">
        <v>134</v>
      </c>
      <c r="G6726" s="14">
        <v>11243.000000000009</v>
      </c>
      <c r="H6726" s="12" t="s">
        <v>22</v>
      </c>
      <c r="I6726" s="12">
        <v>0</v>
      </c>
      <c r="J6726" s="12" t="s">
        <v>134</v>
      </c>
      <c r="K6726" s="12" t="s">
        <v>23</v>
      </c>
      <c r="L6726" s="12">
        <v>2</v>
      </c>
      <c r="M6726" s="15">
        <v>123673</v>
      </c>
      <c r="N6726" s="15">
        <v>0</v>
      </c>
      <c r="O6726" s="15">
        <f t="shared" si="572"/>
        <v>123673</v>
      </c>
      <c r="P6726" s="15">
        <f t="shared" si="571"/>
        <v>10.999999999999991</v>
      </c>
      <c r="Q6726" s="14">
        <v>5000</v>
      </c>
      <c r="R6726" s="12">
        <v>100</v>
      </c>
      <c r="S6726" s="12" t="s">
        <v>8195</v>
      </c>
      <c r="T6726" s="22">
        <f t="shared" si="568"/>
        <v>5</v>
      </c>
      <c r="U6726" s="22">
        <f t="shared" si="569"/>
        <v>2023</v>
      </c>
      <c r="V6726" s="22" t="str">
        <f t="shared" si="570"/>
        <v>METROPOLITANA</v>
      </c>
    </row>
    <row r="6727" spans="1:22" x14ac:dyDescent="0.2">
      <c r="A6727" s="11" t="s">
        <v>8191</v>
      </c>
      <c r="B6727" s="12" t="s">
        <v>33</v>
      </c>
      <c r="C6727" s="12" t="s">
        <v>29</v>
      </c>
      <c r="D6727" s="12" t="s">
        <v>8039</v>
      </c>
      <c r="E6727" s="13" t="s">
        <v>7712</v>
      </c>
      <c r="F6727" s="12" t="s">
        <v>114</v>
      </c>
      <c r="G6727" s="14">
        <v>13462.19999999999</v>
      </c>
      <c r="H6727" s="12" t="s">
        <v>24</v>
      </c>
      <c r="I6727" s="12">
        <v>1</v>
      </c>
      <c r="J6727" s="12" t="s">
        <v>114</v>
      </c>
      <c r="K6727" s="12" t="s">
        <v>75</v>
      </c>
      <c r="L6727" s="12">
        <v>0</v>
      </c>
      <c r="M6727" s="15">
        <v>528000</v>
      </c>
      <c r="N6727" s="15">
        <v>0</v>
      </c>
      <c r="O6727" s="15">
        <f t="shared" si="572"/>
        <v>528000</v>
      </c>
      <c r="P6727" s="15">
        <f t="shared" si="571"/>
        <v>39.220929714311211</v>
      </c>
      <c r="Q6727" s="14">
        <v>14000</v>
      </c>
      <c r="R6727" s="12">
        <v>96</v>
      </c>
      <c r="S6727" s="12" t="s">
        <v>8196</v>
      </c>
      <c r="T6727" s="22">
        <f t="shared" ref="T6727:T6790" si="573">MONTH(A6727)</f>
        <v>5</v>
      </c>
      <c r="U6727" s="22">
        <f t="shared" ref="U6727:U6790" si="574">YEAR(A6727)</f>
        <v>2023</v>
      </c>
      <c r="V6727" s="22" t="str">
        <f t="shared" ref="V6727:V6790" si="575">IF(K6727="METROPOLITANA DE SANTIAGO","METROPOLITANA","REGIONES")</f>
        <v>REGIONES</v>
      </c>
    </row>
    <row r="6728" spans="1:22" x14ac:dyDescent="0.2">
      <c r="A6728" s="11" t="s">
        <v>8191</v>
      </c>
      <c r="B6728" s="12" t="s">
        <v>33</v>
      </c>
      <c r="C6728" s="12" t="s">
        <v>29</v>
      </c>
      <c r="D6728" s="12" t="s">
        <v>8197</v>
      </c>
      <c r="E6728" s="13" t="s">
        <v>7006</v>
      </c>
      <c r="F6728" s="12" t="s">
        <v>114</v>
      </c>
      <c r="G6728" s="14">
        <f>7772.48+4672</f>
        <v>12444.48</v>
      </c>
      <c r="H6728" s="12" t="s">
        <v>24</v>
      </c>
      <c r="I6728" s="12">
        <v>1</v>
      </c>
      <c r="J6728" s="12" t="s">
        <v>114</v>
      </c>
      <c r="K6728" s="12" t="s">
        <v>75</v>
      </c>
      <c r="L6728" s="12">
        <v>0</v>
      </c>
      <c r="M6728" s="15">
        <v>528000</v>
      </c>
      <c r="N6728" s="15">
        <v>0</v>
      </c>
      <c r="O6728" s="15">
        <f t="shared" si="572"/>
        <v>528000</v>
      </c>
      <c r="P6728" s="15">
        <f t="shared" si="571"/>
        <v>42.428450204427989</v>
      </c>
      <c r="Q6728" s="14">
        <v>14000</v>
      </c>
      <c r="R6728" s="12">
        <v>86</v>
      </c>
      <c r="S6728" s="12" t="s">
        <v>8206</v>
      </c>
      <c r="T6728" s="22">
        <f t="shared" si="573"/>
        <v>5</v>
      </c>
      <c r="U6728" s="22">
        <f t="shared" si="574"/>
        <v>2023</v>
      </c>
      <c r="V6728" s="22" t="str">
        <f t="shared" si="575"/>
        <v>REGIONES</v>
      </c>
    </row>
    <row r="6729" spans="1:22" x14ac:dyDescent="0.2">
      <c r="A6729" s="11" t="s">
        <v>8191</v>
      </c>
      <c r="B6729" s="12" t="s">
        <v>33</v>
      </c>
      <c r="C6729" s="12" t="s">
        <v>29</v>
      </c>
      <c r="D6729" s="12" t="s">
        <v>45</v>
      </c>
      <c r="E6729" s="13" t="s">
        <v>49</v>
      </c>
      <c r="F6729" s="12" t="s">
        <v>129</v>
      </c>
      <c r="G6729" s="14">
        <v>3656.88</v>
      </c>
      <c r="H6729" s="12" t="s">
        <v>22</v>
      </c>
      <c r="I6729" s="12">
        <v>0</v>
      </c>
      <c r="J6729" s="12" t="s">
        <v>129</v>
      </c>
      <c r="K6729" s="12" t="s">
        <v>23</v>
      </c>
      <c r="L6729" s="12">
        <v>1</v>
      </c>
      <c r="M6729" s="15">
        <v>69173</v>
      </c>
      <c r="N6729" s="15">
        <v>0</v>
      </c>
      <c r="O6729" s="15">
        <f t="shared" si="572"/>
        <v>69173</v>
      </c>
      <c r="P6729" s="15">
        <f t="shared" si="571"/>
        <v>18.915851764345561</v>
      </c>
      <c r="Q6729" s="14">
        <v>5000</v>
      </c>
      <c r="R6729" s="12">
        <v>73</v>
      </c>
      <c r="S6729" s="12" t="s">
        <v>8198</v>
      </c>
      <c r="T6729" s="22">
        <f t="shared" si="573"/>
        <v>5</v>
      </c>
      <c r="U6729" s="22">
        <f t="shared" si="574"/>
        <v>2023</v>
      </c>
      <c r="V6729" s="22" t="str">
        <f t="shared" si="575"/>
        <v>METROPOLITANA</v>
      </c>
    </row>
    <row r="6730" spans="1:22" x14ac:dyDescent="0.2">
      <c r="A6730" s="11" t="s">
        <v>8191</v>
      </c>
      <c r="B6730" s="12" t="s">
        <v>33</v>
      </c>
      <c r="C6730" s="12" t="s">
        <v>5573</v>
      </c>
      <c r="D6730" s="12" t="s">
        <v>3641</v>
      </c>
      <c r="E6730" s="13" t="s">
        <v>5124</v>
      </c>
      <c r="F6730" s="12" t="s">
        <v>129</v>
      </c>
      <c r="G6730" s="14">
        <v>20685.900000000001</v>
      </c>
      <c r="H6730" s="12" t="s">
        <v>24</v>
      </c>
      <c r="I6730" s="12">
        <v>1</v>
      </c>
      <c r="J6730" s="12" t="s">
        <v>129</v>
      </c>
      <c r="K6730" s="12" t="s">
        <v>23</v>
      </c>
      <c r="L6730" s="12">
        <v>1</v>
      </c>
      <c r="M6730" s="15">
        <v>227545</v>
      </c>
      <c r="N6730" s="15">
        <v>0</v>
      </c>
      <c r="O6730" s="15">
        <f t="shared" si="572"/>
        <v>227545</v>
      </c>
      <c r="P6730" s="15">
        <f t="shared" si="571"/>
        <v>11.000004834210742</v>
      </c>
      <c r="Q6730" s="14">
        <v>5000</v>
      </c>
      <c r="R6730" s="12">
        <v>100</v>
      </c>
      <c r="S6730" s="12" t="s">
        <v>8199</v>
      </c>
      <c r="T6730" s="22">
        <f t="shared" si="573"/>
        <v>5</v>
      </c>
      <c r="U6730" s="22">
        <f t="shared" si="574"/>
        <v>2023</v>
      </c>
      <c r="V6730" s="22" t="str">
        <f t="shared" si="575"/>
        <v>METROPOLITANA</v>
      </c>
    </row>
    <row r="6731" spans="1:22" x14ac:dyDescent="0.2">
      <c r="A6731" s="11" t="s">
        <v>8191</v>
      </c>
      <c r="B6731" s="12" t="s">
        <v>33</v>
      </c>
      <c r="C6731" s="12" t="s">
        <v>8200</v>
      </c>
      <c r="D6731" s="12" t="s">
        <v>6969</v>
      </c>
      <c r="E6731" s="13" t="s">
        <v>6970</v>
      </c>
      <c r="F6731" s="12" t="s">
        <v>195</v>
      </c>
      <c r="G6731" s="14">
        <v>15960.38</v>
      </c>
      <c r="H6731" s="12" t="s">
        <v>24</v>
      </c>
      <c r="I6731" s="12">
        <v>1</v>
      </c>
      <c r="J6731" s="12" t="s">
        <v>195</v>
      </c>
      <c r="K6731" s="12" t="s">
        <v>124</v>
      </c>
      <c r="L6731" s="12">
        <v>0</v>
      </c>
      <c r="M6731" s="15">
        <v>440000</v>
      </c>
      <c r="N6731" s="15">
        <v>0</v>
      </c>
      <c r="O6731" s="15">
        <f t="shared" si="572"/>
        <v>440000</v>
      </c>
      <c r="P6731" s="15">
        <f t="shared" si="571"/>
        <v>27.568265918480638</v>
      </c>
      <c r="Q6731" s="14">
        <v>14000</v>
      </c>
      <c r="R6731" s="12">
        <v>100</v>
      </c>
      <c r="S6731" s="12" t="s">
        <v>8201</v>
      </c>
      <c r="T6731" s="22">
        <f t="shared" si="573"/>
        <v>5</v>
      </c>
      <c r="U6731" s="22">
        <f t="shared" si="574"/>
        <v>2023</v>
      </c>
      <c r="V6731" s="22" t="str">
        <f t="shared" si="575"/>
        <v>REGIONES</v>
      </c>
    </row>
    <row r="6732" spans="1:22" x14ac:dyDescent="0.2">
      <c r="A6732" s="11" t="s">
        <v>8191</v>
      </c>
      <c r="B6732" s="12" t="s">
        <v>33</v>
      </c>
      <c r="C6732" s="12" t="s">
        <v>8200</v>
      </c>
      <c r="D6732" s="12" t="s">
        <v>8202</v>
      </c>
      <c r="E6732" s="13" t="s">
        <v>8203</v>
      </c>
      <c r="F6732" s="12" t="s">
        <v>195</v>
      </c>
      <c r="G6732" s="14">
        <v>21082.53</v>
      </c>
      <c r="H6732" s="12" t="s">
        <v>24</v>
      </c>
      <c r="I6732" s="12">
        <v>1</v>
      </c>
      <c r="J6732" s="12" t="s">
        <v>195</v>
      </c>
      <c r="K6732" s="12" t="s">
        <v>124</v>
      </c>
      <c r="L6732" s="12">
        <v>0</v>
      </c>
      <c r="M6732" s="15">
        <v>440000</v>
      </c>
      <c r="N6732" s="15">
        <v>0</v>
      </c>
      <c r="O6732" s="15">
        <f t="shared" si="572"/>
        <v>440000</v>
      </c>
      <c r="P6732" s="15">
        <f t="shared" si="571"/>
        <v>20.870360435867994</v>
      </c>
      <c r="Q6732" s="14">
        <v>14000</v>
      </c>
      <c r="R6732" s="12">
        <v>100</v>
      </c>
      <c r="S6732" s="12" t="s">
        <v>8204</v>
      </c>
      <c r="T6732" s="22">
        <f t="shared" si="573"/>
        <v>5</v>
      </c>
      <c r="U6732" s="22">
        <f t="shared" si="574"/>
        <v>2023</v>
      </c>
      <c r="V6732" s="22" t="str">
        <f t="shared" si="575"/>
        <v>REGIONES</v>
      </c>
    </row>
    <row r="6733" spans="1:22" x14ac:dyDescent="0.2">
      <c r="A6733" s="23" t="s">
        <v>8207</v>
      </c>
      <c r="B6733" s="22" t="s">
        <v>33</v>
      </c>
      <c r="C6733" s="22" t="s">
        <v>60</v>
      </c>
      <c r="D6733" s="22" t="s">
        <v>41</v>
      </c>
      <c r="E6733" s="24" t="s">
        <v>42</v>
      </c>
      <c r="F6733" s="22" t="s">
        <v>51</v>
      </c>
      <c r="G6733" s="25">
        <v>10725</v>
      </c>
      <c r="H6733" s="22" t="s">
        <v>43</v>
      </c>
      <c r="I6733" s="22">
        <v>0</v>
      </c>
      <c r="J6733" s="22" t="s">
        <v>51</v>
      </c>
      <c r="K6733" s="22" t="s">
        <v>23</v>
      </c>
      <c r="L6733" s="22">
        <v>4</v>
      </c>
      <c r="M6733" s="26">
        <v>117975</v>
      </c>
      <c r="N6733" s="26">
        <v>0</v>
      </c>
      <c r="O6733" s="15">
        <f t="shared" si="572"/>
        <v>117975</v>
      </c>
      <c r="P6733" s="15">
        <f t="shared" si="571"/>
        <v>11</v>
      </c>
      <c r="Q6733" s="25">
        <v>5000</v>
      </c>
      <c r="R6733" s="22">
        <v>100</v>
      </c>
      <c r="S6733" s="22" t="s">
        <v>8208</v>
      </c>
      <c r="T6733" s="22">
        <f t="shared" si="573"/>
        <v>5</v>
      </c>
      <c r="U6733" s="22">
        <f t="shared" si="574"/>
        <v>2023</v>
      </c>
      <c r="V6733" s="22" t="str">
        <f t="shared" si="575"/>
        <v>METROPOLITANA</v>
      </c>
    </row>
    <row r="6734" spans="1:22" x14ac:dyDescent="0.2">
      <c r="A6734" s="23" t="s">
        <v>8207</v>
      </c>
      <c r="B6734" s="22" t="s">
        <v>33</v>
      </c>
      <c r="C6734" s="22" t="s">
        <v>2507</v>
      </c>
      <c r="D6734" s="22" t="s">
        <v>164</v>
      </c>
      <c r="E6734" s="24" t="s">
        <v>1576</v>
      </c>
      <c r="F6734" s="22" t="s">
        <v>8209</v>
      </c>
      <c r="G6734" s="25">
        <f>19684+5471</f>
        <v>25155</v>
      </c>
      <c r="H6734" s="22" t="s">
        <v>22</v>
      </c>
      <c r="I6734" s="22">
        <v>1</v>
      </c>
      <c r="J6734" s="22" t="s">
        <v>8209</v>
      </c>
      <c r="K6734" s="22" t="s">
        <v>171</v>
      </c>
      <c r="L6734" s="22">
        <v>0</v>
      </c>
      <c r="M6734" s="26">
        <v>250000</v>
      </c>
      <c r="N6734" s="26">
        <v>0</v>
      </c>
      <c r="O6734" s="15">
        <f t="shared" si="572"/>
        <v>250000</v>
      </c>
      <c r="P6734" s="15">
        <f t="shared" si="571"/>
        <v>9.938382031405288</v>
      </c>
      <c r="Q6734" s="25">
        <v>14000</v>
      </c>
      <c r="R6734" s="22">
        <v>100</v>
      </c>
      <c r="S6734" s="22" t="s">
        <v>8217</v>
      </c>
      <c r="T6734" s="22">
        <f t="shared" si="573"/>
        <v>5</v>
      </c>
      <c r="U6734" s="22">
        <f t="shared" si="574"/>
        <v>2023</v>
      </c>
      <c r="V6734" s="22" t="str">
        <f t="shared" si="575"/>
        <v>REGIONES</v>
      </c>
    </row>
    <row r="6735" spans="1:22" x14ac:dyDescent="0.2">
      <c r="A6735" s="23" t="s">
        <v>8207</v>
      </c>
      <c r="B6735" s="22" t="s">
        <v>33</v>
      </c>
      <c r="C6735" s="22" t="s">
        <v>128</v>
      </c>
      <c r="D6735" s="22" t="s">
        <v>38</v>
      </c>
      <c r="E6735" s="24" t="s">
        <v>42</v>
      </c>
      <c r="F6735" s="22" t="s">
        <v>129</v>
      </c>
      <c r="G6735" s="25">
        <v>5172.2</v>
      </c>
      <c r="H6735" s="22" t="s">
        <v>43</v>
      </c>
      <c r="I6735" s="22">
        <v>0</v>
      </c>
      <c r="J6735" s="22" t="s">
        <v>129</v>
      </c>
      <c r="K6735" s="22" t="s">
        <v>23</v>
      </c>
      <c r="L6735" s="22">
        <v>1</v>
      </c>
      <c r="M6735" s="26">
        <v>56894</v>
      </c>
      <c r="N6735" s="26">
        <v>0</v>
      </c>
      <c r="O6735" s="15">
        <f t="shared" si="572"/>
        <v>56894</v>
      </c>
      <c r="P6735" s="15">
        <f t="shared" si="571"/>
        <v>10.999961331735046</v>
      </c>
      <c r="Q6735" s="25">
        <v>5000</v>
      </c>
      <c r="R6735" s="22">
        <v>100</v>
      </c>
      <c r="S6735" s="22" t="s">
        <v>8210</v>
      </c>
      <c r="T6735" s="22">
        <f t="shared" si="573"/>
        <v>5</v>
      </c>
      <c r="U6735" s="22">
        <f t="shared" si="574"/>
        <v>2023</v>
      </c>
      <c r="V6735" s="22" t="str">
        <f t="shared" si="575"/>
        <v>METROPOLITANA</v>
      </c>
    </row>
    <row r="6736" spans="1:22" x14ac:dyDescent="0.2">
      <c r="A6736" s="23" t="s">
        <v>8207</v>
      </c>
      <c r="B6736" s="22" t="s">
        <v>33</v>
      </c>
      <c r="C6736" s="22" t="s">
        <v>5851</v>
      </c>
      <c r="D6736" s="22" t="s">
        <v>37</v>
      </c>
      <c r="E6736" s="24" t="s">
        <v>40</v>
      </c>
      <c r="F6736" s="22" t="s">
        <v>274</v>
      </c>
      <c r="G6736" s="25">
        <v>6436.0599999999986</v>
      </c>
      <c r="H6736" s="22" t="s">
        <v>22</v>
      </c>
      <c r="I6736" s="22">
        <v>0</v>
      </c>
      <c r="J6736" s="22" t="s">
        <v>274</v>
      </c>
      <c r="K6736" s="22" t="s">
        <v>78</v>
      </c>
      <c r="L6736" s="22">
        <v>0</v>
      </c>
      <c r="M6736" s="26">
        <v>227000</v>
      </c>
      <c r="N6736" s="26">
        <v>0</v>
      </c>
      <c r="O6736" s="15">
        <f t="shared" si="572"/>
        <v>227000</v>
      </c>
      <c r="P6736" s="15">
        <f t="shared" si="571"/>
        <v>35.270025450353174</v>
      </c>
      <c r="Q6736" s="25">
        <v>14000</v>
      </c>
      <c r="R6736" s="22">
        <v>46</v>
      </c>
      <c r="S6736" s="22" t="s">
        <v>8211</v>
      </c>
      <c r="T6736" s="22">
        <f t="shared" si="573"/>
        <v>5</v>
      </c>
      <c r="U6736" s="22">
        <f t="shared" si="574"/>
        <v>2023</v>
      </c>
      <c r="V6736" s="22" t="str">
        <f t="shared" si="575"/>
        <v>REGIONES</v>
      </c>
    </row>
    <row r="6737" spans="1:22" x14ac:dyDescent="0.2">
      <c r="A6737" s="23" t="s">
        <v>8207</v>
      </c>
      <c r="B6737" s="22" t="s">
        <v>33</v>
      </c>
      <c r="C6737" s="22" t="s">
        <v>3361</v>
      </c>
      <c r="D6737" s="22" t="s">
        <v>45</v>
      </c>
      <c r="E6737" s="24" t="s">
        <v>49</v>
      </c>
      <c r="F6737" s="22" t="s">
        <v>34</v>
      </c>
      <c r="G6737" s="25">
        <v>4166.3999999999996</v>
      </c>
      <c r="H6737" s="22" t="s">
        <v>22</v>
      </c>
      <c r="I6737" s="22">
        <v>0</v>
      </c>
      <c r="J6737" s="22" t="s">
        <v>34</v>
      </c>
      <c r="K6737" s="22" t="s">
        <v>23</v>
      </c>
      <c r="L6737" s="22">
        <v>1</v>
      </c>
      <c r="M6737" s="26">
        <v>69173</v>
      </c>
      <c r="N6737" s="26">
        <v>0</v>
      </c>
      <c r="O6737" s="15">
        <f t="shared" si="572"/>
        <v>69173</v>
      </c>
      <c r="P6737" s="15">
        <f t="shared" si="571"/>
        <v>16.60258256528418</v>
      </c>
      <c r="Q6737" s="25">
        <v>5000</v>
      </c>
      <c r="R6737" s="22">
        <v>83</v>
      </c>
      <c r="S6737" s="22" t="s">
        <v>8212</v>
      </c>
      <c r="T6737" s="22">
        <f t="shared" si="573"/>
        <v>5</v>
      </c>
      <c r="U6737" s="22">
        <f t="shared" si="574"/>
        <v>2023</v>
      </c>
      <c r="V6737" s="22" t="str">
        <f t="shared" si="575"/>
        <v>METROPOLITANA</v>
      </c>
    </row>
    <row r="6738" spans="1:22" x14ac:dyDescent="0.2">
      <c r="A6738" s="23" t="s">
        <v>8207</v>
      </c>
      <c r="B6738" s="22" t="s">
        <v>33</v>
      </c>
      <c r="C6738" s="22" t="s">
        <v>29</v>
      </c>
      <c r="D6738" s="22" t="s">
        <v>164</v>
      </c>
      <c r="E6738" s="24" t="s">
        <v>1576</v>
      </c>
      <c r="F6738" s="22" t="s">
        <v>39</v>
      </c>
      <c r="G6738" s="25">
        <v>16729.599999999991</v>
      </c>
      <c r="H6738" s="22" t="s">
        <v>22</v>
      </c>
      <c r="I6738" s="22">
        <v>1</v>
      </c>
      <c r="J6738" s="22" t="s">
        <v>39</v>
      </c>
      <c r="K6738" s="22" t="s">
        <v>23</v>
      </c>
      <c r="L6738" s="22">
        <v>1</v>
      </c>
      <c r="M6738" s="26">
        <v>184026</v>
      </c>
      <c r="N6738" s="26">
        <v>0</v>
      </c>
      <c r="O6738" s="15">
        <f t="shared" si="572"/>
        <v>184026</v>
      </c>
      <c r="P6738" s="15">
        <f t="shared" si="571"/>
        <v>11.000023909716914</v>
      </c>
      <c r="Q6738" s="25">
        <v>5000</v>
      </c>
      <c r="R6738" s="22">
        <v>100</v>
      </c>
      <c r="S6738" s="22" t="s">
        <v>8213</v>
      </c>
      <c r="T6738" s="22">
        <f t="shared" si="573"/>
        <v>5</v>
      </c>
      <c r="U6738" s="22">
        <f t="shared" si="574"/>
        <v>2023</v>
      </c>
      <c r="V6738" s="22" t="str">
        <f t="shared" si="575"/>
        <v>METROPOLITANA</v>
      </c>
    </row>
    <row r="6739" spans="1:22" x14ac:dyDescent="0.2">
      <c r="A6739" s="23" t="s">
        <v>8207</v>
      </c>
      <c r="B6739" s="22" t="s">
        <v>33</v>
      </c>
      <c r="C6739" s="22" t="s">
        <v>29</v>
      </c>
      <c r="D6739" s="22" t="s">
        <v>20</v>
      </c>
      <c r="E6739" s="24" t="s">
        <v>21</v>
      </c>
      <c r="F6739" s="22" t="s">
        <v>39</v>
      </c>
      <c r="G6739" s="25">
        <v>6668.62</v>
      </c>
      <c r="H6739" s="22" t="s">
        <v>22</v>
      </c>
      <c r="I6739" s="22">
        <v>0</v>
      </c>
      <c r="J6739" s="22" t="s">
        <v>39</v>
      </c>
      <c r="K6739" s="22" t="s">
        <v>23</v>
      </c>
      <c r="L6739" s="22">
        <v>1</v>
      </c>
      <c r="M6739" s="26">
        <v>73355</v>
      </c>
      <c r="N6739" s="26">
        <v>0</v>
      </c>
      <c r="O6739" s="15">
        <f t="shared" si="572"/>
        <v>73355</v>
      </c>
      <c r="P6739" s="15">
        <f t="shared" si="571"/>
        <v>11.000026992091318</v>
      </c>
      <c r="Q6739" s="25">
        <v>5000</v>
      </c>
      <c r="R6739" s="22">
        <v>100</v>
      </c>
      <c r="S6739" s="22" t="s">
        <v>8214</v>
      </c>
      <c r="T6739" s="22">
        <f t="shared" si="573"/>
        <v>5</v>
      </c>
      <c r="U6739" s="22">
        <f t="shared" si="574"/>
        <v>2023</v>
      </c>
      <c r="V6739" s="22" t="str">
        <f t="shared" si="575"/>
        <v>METROPOLITANA</v>
      </c>
    </row>
    <row r="6740" spans="1:22" x14ac:dyDescent="0.2">
      <c r="A6740" s="23" t="s">
        <v>8207</v>
      </c>
      <c r="B6740" s="22" t="s">
        <v>33</v>
      </c>
      <c r="C6740" s="22" t="s">
        <v>44</v>
      </c>
      <c r="D6740" s="22" t="s">
        <v>45</v>
      </c>
      <c r="E6740" s="24" t="s">
        <v>49</v>
      </c>
      <c r="F6740" s="22" t="s">
        <v>51</v>
      </c>
      <c r="G6740" s="25">
        <v>2743.5</v>
      </c>
      <c r="H6740" s="22" t="s">
        <v>22</v>
      </c>
      <c r="I6740" s="22">
        <v>0</v>
      </c>
      <c r="J6740" s="22" t="s">
        <v>51</v>
      </c>
      <c r="K6740" s="22" t="s">
        <v>23</v>
      </c>
      <c r="L6740" s="22">
        <v>4</v>
      </c>
      <c r="M6740" s="26">
        <v>69173</v>
      </c>
      <c r="N6740" s="26">
        <v>0</v>
      </c>
      <c r="O6740" s="15">
        <f t="shared" si="572"/>
        <v>69173</v>
      </c>
      <c r="P6740" s="15">
        <f t="shared" si="571"/>
        <v>25.213413522872244</v>
      </c>
      <c r="Q6740" s="25">
        <v>5000</v>
      </c>
      <c r="R6740" s="22">
        <v>55</v>
      </c>
      <c r="S6740" s="22" t="s">
        <v>8215</v>
      </c>
      <c r="T6740" s="22">
        <f t="shared" si="573"/>
        <v>5</v>
      </c>
      <c r="U6740" s="22">
        <f t="shared" si="574"/>
        <v>2023</v>
      </c>
      <c r="V6740" s="22" t="str">
        <f t="shared" si="575"/>
        <v>METROPOLITANA</v>
      </c>
    </row>
    <row r="6741" spans="1:22" x14ac:dyDescent="0.2">
      <c r="A6741" s="23" t="s">
        <v>8207</v>
      </c>
      <c r="B6741" s="22" t="s">
        <v>33</v>
      </c>
      <c r="C6741" s="22" t="s">
        <v>1847</v>
      </c>
      <c r="D6741" s="22" t="s">
        <v>35</v>
      </c>
      <c r="E6741" s="24" t="s">
        <v>52</v>
      </c>
      <c r="F6741" s="22" t="s">
        <v>129</v>
      </c>
      <c r="G6741" s="25">
        <v>4109.12</v>
      </c>
      <c r="H6741" s="22" t="s">
        <v>22</v>
      </c>
      <c r="I6741" s="22">
        <v>0</v>
      </c>
      <c r="J6741" s="22" t="s">
        <v>129</v>
      </c>
      <c r="K6741" s="22" t="s">
        <v>23</v>
      </c>
      <c r="L6741" s="22">
        <v>1</v>
      </c>
      <c r="M6741" s="26">
        <v>69173</v>
      </c>
      <c r="N6741" s="26">
        <v>0</v>
      </c>
      <c r="O6741" s="15">
        <f t="shared" si="572"/>
        <v>69173</v>
      </c>
      <c r="P6741" s="15">
        <f t="shared" si="571"/>
        <v>16.834017989253173</v>
      </c>
      <c r="Q6741" s="25">
        <v>5000</v>
      </c>
      <c r="R6741" s="22">
        <v>82</v>
      </c>
      <c r="S6741" s="22" t="s">
        <v>8216</v>
      </c>
      <c r="T6741" s="22">
        <f t="shared" si="573"/>
        <v>5</v>
      </c>
      <c r="U6741" s="22">
        <f t="shared" si="574"/>
        <v>2023</v>
      </c>
      <c r="V6741" s="22" t="str">
        <f t="shared" si="575"/>
        <v>METROPOLITANA</v>
      </c>
    </row>
    <row r="6742" spans="1:22" x14ac:dyDescent="0.2">
      <c r="A6742" s="11" t="s">
        <v>8218</v>
      </c>
      <c r="B6742" s="12" t="s">
        <v>18</v>
      </c>
      <c r="C6742" s="12" t="s">
        <v>44</v>
      </c>
      <c r="D6742" s="12" t="s">
        <v>8219</v>
      </c>
      <c r="E6742" s="13" t="s">
        <v>8220</v>
      </c>
      <c r="F6742" s="12" t="s">
        <v>39</v>
      </c>
      <c r="G6742" s="14">
        <v>3503.42</v>
      </c>
      <c r="H6742" s="12" t="s">
        <v>24</v>
      </c>
      <c r="I6742" s="12">
        <v>1</v>
      </c>
      <c r="J6742" s="12" t="s">
        <v>39</v>
      </c>
      <c r="K6742" s="12" t="s">
        <v>23</v>
      </c>
      <c r="L6742" s="12">
        <v>1</v>
      </c>
      <c r="M6742" s="15">
        <v>69173</v>
      </c>
      <c r="N6742" s="15">
        <v>0</v>
      </c>
      <c r="O6742" s="15">
        <f t="shared" si="572"/>
        <v>69173</v>
      </c>
      <c r="P6742" s="15">
        <f t="shared" si="571"/>
        <v>19.744421165603896</v>
      </c>
      <c r="Q6742" s="14">
        <v>5000</v>
      </c>
      <c r="R6742" s="12">
        <v>70</v>
      </c>
      <c r="S6742" s="12" t="s">
        <v>8221</v>
      </c>
      <c r="T6742" s="22">
        <f t="shared" si="573"/>
        <v>5</v>
      </c>
      <c r="U6742" s="22">
        <f t="shared" si="574"/>
        <v>2023</v>
      </c>
      <c r="V6742" s="22" t="str">
        <f t="shared" si="575"/>
        <v>METROPOLITANA</v>
      </c>
    </row>
    <row r="6743" spans="1:22" x14ac:dyDescent="0.2">
      <c r="A6743" s="11" t="s">
        <v>8218</v>
      </c>
      <c r="B6743" s="12" t="s">
        <v>33</v>
      </c>
      <c r="C6743" s="12" t="s">
        <v>8222</v>
      </c>
      <c r="D6743" s="12" t="s">
        <v>35</v>
      </c>
      <c r="E6743" s="13" t="s">
        <v>52</v>
      </c>
      <c r="F6743" s="12" t="s">
        <v>129</v>
      </c>
      <c r="G6743" s="14">
        <v>2440</v>
      </c>
      <c r="H6743" s="12" t="s">
        <v>22</v>
      </c>
      <c r="I6743" s="12">
        <v>0</v>
      </c>
      <c r="J6743" s="12" t="s">
        <v>129</v>
      </c>
      <c r="K6743" s="12" t="s">
        <v>23</v>
      </c>
      <c r="L6743" s="12">
        <v>1</v>
      </c>
      <c r="M6743" s="15">
        <v>69173</v>
      </c>
      <c r="N6743" s="15">
        <v>0</v>
      </c>
      <c r="O6743" s="15">
        <f t="shared" si="572"/>
        <v>69173</v>
      </c>
      <c r="P6743" s="15">
        <f t="shared" si="571"/>
        <v>28.349590163934426</v>
      </c>
      <c r="Q6743" s="14">
        <v>5000</v>
      </c>
      <c r="R6743" s="12">
        <v>49</v>
      </c>
      <c r="S6743" s="12" t="s">
        <v>8223</v>
      </c>
      <c r="T6743" s="22">
        <f t="shared" si="573"/>
        <v>5</v>
      </c>
      <c r="U6743" s="22">
        <f t="shared" si="574"/>
        <v>2023</v>
      </c>
      <c r="V6743" s="22" t="str">
        <f t="shared" si="575"/>
        <v>METROPOLITANA</v>
      </c>
    </row>
    <row r="6744" spans="1:22" x14ac:dyDescent="0.2">
      <c r="A6744" s="11" t="s">
        <v>8218</v>
      </c>
      <c r="B6744" s="12" t="s">
        <v>33</v>
      </c>
      <c r="C6744" s="12" t="s">
        <v>60</v>
      </c>
      <c r="D6744" s="12" t="s">
        <v>130</v>
      </c>
      <c r="E6744" s="13" t="s">
        <v>131</v>
      </c>
      <c r="F6744" s="12" t="s">
        <v>6998</v>
      </c>
      <c r="G6744" s="14">
        <v>10684.400000000011</v>
      </c>
      <c r="H6744" s="12" t="s">
        <v>85</v>
      </c>
      <c r="I6744" s="12">
        <v>1</v>
      </c>
      <c r="J6744" s="12" t="s">
        <v>6998</v>
      </c>
      <c r="K6744" s="12" t="s">
        <v>93</v>
      </c>
      <c r="L6744" s="12">
        <v>0</v>
      </c>
      <c r="M6744" s="15">
        <v>800000</v>
      </c>
      <c r="N6744" s="15">
        <v>0</v>
      </c>
      <c r="O6744" s="15">
        <f t="shared" si="572"/>
        <v>800000</v>
      </c>
      <c r="P6744" s="15">
        <f t="shared" si="571"/>
        <v>74.875519448916108</v>
      </c>
      <c r="Q6744" s="14">
        <v>14000</v>
      </c>
      <c r="R6744" s="12">
        <v>76</v>
      </c>
      <c r="S6744" s="12" t="s">
        <v>8224</v>
      </c>
      <c r="T6744" s="22">
        <f t="shared" si="573"/>
        <v>5</v>
      </c>
      <c r="U6744" s="22">
        <f t="shared" si="574"/>
        <v>2023</v>
      </c>
      <c r="V6744" s="22" t="str">
        <f t="shared" si="575"/>
        <v>REGIONES</v>
      </c>
    </row>
    <row r="6745" spans="1:22" x14ac:dyDescent="0.2">
      <c r="A6745" s="11" t="s">
        <v>8218</v>
      </c>
      <c r="B6745" s="12" t="s">
        <v>33</v>
      </c>
      <c r="C6745" s="12" t="s">
        <v>60</v>
      </c>
      <c r="D6745" s="12" t="s">
        <v>20</v>
      </c>
      <c r="E6745" s="13" t="s">
        <v>21</v>
      </c>
      <c r="F6745" s="12" t="s">
        <v>120</v>
      </c>
      <c r="G6745" s="14">
        <v>10840</v>
      </c>
      <c r="H6745" s="12" t="s">
        <v>22</v>
      </c>
      <c r="I6745" s="12">
        <v>0</v>
      </c>
      <c r="J6745" s="12" t="s">
        <v>120</v>
      </c>
      <c r="K6745" s="12" t="s">
        <v>23</v>
      </c>
      <c r="L6745" s="12">
        <v>5</v>
      </c>
      <c r="M6745" s="15">
        <v>87500</v>
      </c>
      <c r="N6745" s="15">
        <v>0</v>
      </c>
      <c r="O6745" s="15">
        <f t="shared" si="572"/>
        <v>87500</v>
      </c>
      <c r="P6745" s="15">
        <f t="shared" si="571"/>
        <v>8.0719557195571952</v>
      </c>
      <c r="Q6745" s="14">
        <v>10000</v>
      </c>
      <c r="R6745" s="12">
        <v>100</v>
      </c>
      <c r="S6745" s="12" t="s">
        <v>8225</v>
      </c>
      <c r="T6745" s="22">
        <f t="shared" si="573"/>
        <v>5</v>
      </c>
      <c r="U6745" s="22">
        <f t="shared" si="574"/>
        <v>2023</v>
      </c>
      <c r="V6745" s="22" t="str">
        <f t="shared" si="575"/>
        <v>METROPOLITANA</v>
      </c>
    </row>
    <row r="6746" spans="1:22" x14ac:dyDescent="0.2">
      <c r="A6746" s="11" t="s">
        <v>8218</v>
      </c>
      <c r="B6746" s="12" t="s">
        <v>33</v>
      </c>
      <c r="C6746" s="12" t="s">
        <v>2507</v>
      </c>
      <c r="D6746" s="12" t="s">
        <v>27</v>
      </c>
      <c r="E6746" s="13" t="s">
        <v>28</v>
      </c>
      <c r="F6746" s="12" t="s">
        <v>8209</v>
      </c>
      <c r="G6746" s="14">
        <v>19527.629999999979</v>
      </c>
      <c r="H6746" s="12" t="s">
        <v>22</v>
      </c>
      <c r="I6746" s="12">
        <v>1</v>
      </c>
      <c r="J6746" s="12" t="s">
        <v>8209</v>
      </c>
      <c r="K6746" s="12" t="s">
        <v>171</v>
      </c>
      <c r="L6746" s="12">
        <v>0</v>
      </c>
      <c r="M6746" s="15">
        <v>250000</v>
      </c>
      <c r="N6746" s="15">
        <v>0</v>
      </c>
      <c r="O6746" s="15">
        <f t="shared" si="572"/>
        <v>250000</v>
      </c>
      <c r="P6746" s="15">
        <f t="shared" si="571"/>
        <v>12.802372842992225</v>
      </c>
      <c r="Q6746" s="14">
        <v>14000</v>
      </c>
      <c r="R6746" s="12">
        <v>100</v>
      </c>
      <c r="S6746" s="12" t="s">
        <v>8226</v>
      </c>
      <c r="T6746" s="22">
        <f t="shared" si="573"/>
        <v>5</v>
      </c>
      <c r="U6746" s="22">
        <f t="shared" si="574"/>
        <v>2023</v>
      </c>
      <c r="V6746" s="22" t="str">
        <f t="shared" si="575"/>
        <v>REGIONES</v>
      </c>
    </row>
    <row r="6747" spans="1:22" x14ac:dyDescent="0.2">
      <c r="A6747" s="11" t="s">
        <v>8218</v>
      </c>
      <c r="B6747" s="12" t="s">
        <v>33</v>
      </c>
      <c r="C6747" s="12" t="s">
        <v>128</v>
      </c>
      <c r="D6747" s="12" t="s">
        <v>20</v>
      </c>
      <c r="E6747" s="13" t="s">
        <v>21</v>
      </c>
      <c r="F6747" s="12" t="s">
        <v>8227</v>
      </c>
      <c r="G6747" s="14">
        <v>4502.3999999999996</v>
      </c>
      <c r="H6747" s="12" t="s">
        <v>22</v>
      </c>
      <c r="I6747" s="12">
        <v>0</v>
      </c>
      <c r="J6747" s="12" t="s">
        <v>8227</v>
      </c>
      <c r="K6747" s="12" t="s">
        <v>873</v>
      </c>
      <c r="L6747" s="12">
        <v>0</v>
      </c>
      <c r="M6747" s="15">
        <v>300000</v>
      </c>
      <c r="N6747" s="15">
        <v>0</v>
      </c>
      <c r="O6747" s="15">
        <f t="shared" si="572"/>
        <v>300000</v>
      </c>
      <c r="P6747" s="15">
        <f t="shared" si="571"/>
        <v>66.631130063965884</v>
      </c>
      <c r="Q6747" s="14">
        <v>14000</v>
      </c>
      <c r="R6747" s="12">
        <v>32</v>
      </c>
      <c r="S6747" s="12" t="s">
        <v>8228</v>
      </c>
      <c r="T6747" s="22">
        <f t="shared" si="573"/>
        <v>5</v>
      </c>
      <c r="U6747" s="22">
        <f t="shared" si="574"/>
        <v>2023</v>
      </c>
      <c r="V6747" s="22" t="str">
        <f t="shared" si="575"/>
        <v>REGIONES</v>
      </c>
    </row>
    <row r="6748" spans="1:22" x14ac:dyDescent="0.2">
      <c r="A6748" s="11" t="s">
        <v>8218</v>
      </c>
      <c r="B6748" s="12" t="s">
        <v>33</v>
      </c>
      <c r="C6748" s="12" t="s">
        <v>36</v>
      </c>
      <c r="D6748" s="12" t="s">
        <v>37</v>
      </c>
      <c r="E6748" s="13" t="s">
        <v>40</v>
      </c>
      <c r="F6748" s="12" t="s">
        <v>127</v>
      </c>
      <c r="G6748" s="14">
        <f>2800.8+3002</f>
        <v>5802.8</v>
      </c>
      <c r="H6748" s="12" t="s">
        <v>22</v>
      </c>
      <c r="I6748" s="12">
        <v>0</v>
      </c>
      <c r="J6748" s="12" t="s">
        <v>127</v>
      </c>
      <c r="K6748" s="12" t="s">
        <v>78</v>
      </c>
      <c r="L6748" s="12">
        <v>0</v>
      </c>
      <c r="M6748" s="15">
        <v>227000</v>
      </c>
      <c r="N6748" s="15">
        <v>0</v>
      </c>
      <c r="O6748" s="15">
        <f t="shared" si="572"/>
        <v>227000</v>
      </c>
      <c r="P6748" s="15">
        <f t="shared" si="571"/>
        <v>39.119045977803815</v>
      </c>
      <c r="Q6748" s="14">
        <v>14000</v>
      </c>
      <c r="R6748" s="12">
        <v>41</v>
      </c>
      <c r="S6748" s="12" t="s">
        <v>8233</v>
      </c>
      <c r="T6748" s="22">
        <f t="shared" si="573"/>
        <v>5</v>
      </c>
      <c r="U6748" s="22">
        <f t="shared" si="574"/>
        <v>2023</v>
      </c>
      <c r="V6748" s="22" t="str">
        <f t="shared" si="575"/>
        <v>REGIONES</v>
      </c>
    </row>
    <row r="6749" spans="1:22" x14ac:dyDescent="0.2">
      <c r="A6749" s="11" t="s">
        <v>8218</v>
      </c>
      <c r="B6749" s="12" t="s">
        <v>33</v>
      </c>
      <c r="C6749" s="12" t="s">
        <v>8229</v>
      </c>
      <c r="D6749" s="12" t="s">
        <v>8219</v>
      </c>
      <c r="E6749" s="13" t="s">
        <v>8220</v>
      </c>
      <c r="F6749" s="12" t="s">
        <v>26</v>
      </c>
      <c r="G6749" s="14">
        <v>12200</v>
      </c>
      <c r="H6749" s="12" t="s">
        <v>24</v>
      </c>
      <c r="I6749" s="12">
        <v>1</v>
      </c>
      <c r="J6749" s="12" t="s">
        <v>26</v>
      </c>
      <c r="K6749" s="12" t="s">
        <v>23</v>
      </c>
      <c r="L6749" s="12">
        <v>4</v>
      </c>
      <c r="M6749" s="15">
        <v>134200</v>
      </c>
      <c r="N6749" s="15">
        <v>0</v>
      </c>
      <c r="O6749" s="15">
        <f t="shared" si="572"/>
        <v>134200</v>
      </c>
      <c r="P6749" s="15">
        <f t="shared" ref="P6749:P6812" si="576">O6749/G6749</f>
        <v>11</v>
      </c>
      <c r="Q6749" s="14">
        <v>5000</v>
      </c>
      <c r="R6749" s="12">
        <v>100</v>
      </c>
      <c r="S6749" s="12" t="s">
        <v>8230</v>
      </c>
      <c r="T6749" s="22">
        <f t="shared" si="573"/>
        <v>5</v>
      </c>
      <c r="U6749" s="22">
        <f t="shared" si="574"/>
        <v>2023</v>
      </c>
      <c r="V6749" s="22" t="str">
        <f t="shared" si="575"/>
        <v>METROPOLITANA</v>
      </c>
    </row>
    <row r="6750" spans="1:22" x14ac:dyDescent="0.2">
      <c r="A6750" s="11" t="s">
        <v>8218</v>
      </c>
      <c r="B6750" s="12" t="s">
        <v>33</v>
      </c>
      <c r="C6750" s="12" t="s">
        <v>29</v>
      </c>
      <c r="D6750" s="12" t="s">
        <v>38</v>
      </c>
      <c r="E6750" s="13" t="s">
        <v>42</v>
      </c>
      <c r="F6750" s="12" t="s">
        <v>173</v>
      </c>
      <c r="G6750" s="14">
        <v>7559.6399999999976</v>
      </c>
      <c r="H6750" s="12" t="s">
        <v>43</v>
      </c>
      <c r="I6750" s="12">
        <v>0</v>
      </c>
      <c r="J6750" s="12" t="s">
        <v>173</v>
      </c>
      <c r="K6750" s="12" t="s">
        <v>23</v>
      </c>
      <c r="L6750" s="12">
        <v>5</v>
      </c>
      <c r="M6750" s="15">
        <v>112500</v>
      </c>
      <c r="N6750" s="15">
        <v>0</v>
      </c>
      <c r="O6750" s="15">
        <f t="shared" si="572"/>
        <v>112500</v>
      </c>
      <c r="P6750" s="15">
        <f t="shared" si="576"/>
        <v>14.881661031477694</v>
      </c>
      <c r="Q6750" s="14">
        <v>10000</v>
      </c>
      <c r="R6750" s="12">
        <v>76</v>
      </c>
      <c r="S6750" s="12" t="s">
        <v>8231</v>
      </c>
      <c r="T6750" s="22">
        <f t="shared" si="573"/>
        <v>5</v>
      </c>
      <c r="U6750" s="22">
        <f t="shared" si="574"/>
        <v>2023</v>
      </c>
      <c r="V6750" s="22" t="str">
        <f t="shared" si="575"/>
        <v>METROPOLITANA</v>
      </c>
    </row>
    <row r="6751" spans="1:22" x14ac:dyDescent="0.2">
      <c r="A6751" s="11" t="s">
        <v>8218</v>
      </c>
      <c r="B6751" s="12" t="s">
        <v>33</v>
      </c>
      <c r="C6751" s="12" t="s">
        <v>29</v>
      </c>
      <c r="D6751" s="12" t="s">
        <v>45</v>
      </c>
      <c r="E6751" s="13" t="s">
        <v>49</v>
      </c>
      <c r="F6751" s="12" t="s">
        <v>134</v>
      </c>
      <c r="G6751" s="14">
        <v>4413.87</v>
      </c>
      <c r="H6751" s="12" t="s">
        <v>22</v>
      </c>
      <c r="I6751" s="12">
        <v>0</v>
      </c>
      <c r="J6751" s="12" t="s">
        <v>134</v>
      </c>
      <c r="K6751" s="12" t="s">
        <v>23</v>
      </c>
      <c r="L6751" s="12">
        <v>2</v>
      </c>
      <c r="M6751" s="15">
        <v>69173</v>
      </c>
      <c r="N6751" s="15">
        <v>0</v>
      </c>
      <c r="O6751" s="15">
        <f t="shared" si="572"/>
        <v>69173</v>
      </c>
      <c r="P6751" s="15">
        <f t="shared" si="576"/>
        <v>15.671734781495603</v>
      </c>
      <c r="Q6751" s="14">
        <v>5000</v>
      </c>
      <c r="R6751" s="12">
        <v>88</v>
      </c>
      <c r="S6751" s="12" t="s">
        <v>8232</v>
      </c>
      <c r="T6751" s="22">
        <f t="shared" si="573"/>
        <v>5</v>
      </c>
      <c r="U6751" s="22">
        <f t="shared" si="574"/>
        <v>2023</v>
      </c>
      <c r="V6751" s="22" t="str">
        <f t="shared" si="575"/>
        <v>METROPOLITANA</v>
      </c>
    </row>
    <row r="6752" spans="1:22" x14ac:dyDescent="0.2">
      <c r="A6752" s="23" t="s">
        <v>8234</v>
      </c>
      <c r="B6752" s="22" t="s">
        <v>18</v>
      </c>
      <c r="C6752" s="22" t="s">
        <v>4252</v>
      </c>
      <c r="D6752" s="22" t="s">
        <v>30</v>
      </c>
      <c r="E6752" s="24">
        <v>72564391</v>
      </c>
      <c r="F6752" s="22" t="s">
        <v>6258</v>
      </c>
      <c r="G6752" s="25">
        <v>5350.0199999999986</v>
      </c>
      <c r="H6752" s="22" t="s">
        <v>32</v>
      </c>
      <c r="I6752" s="22">
        <v>0</v>
      </c>
      <c r="J6752" s="22" t="s">
        <v>6258</v>
      </c>
      <c r="K6752" s="22" t="s">
        <v>437</v>
      </c>
      <c r="L6752" s="22">
        <v>0</v>
      </c>
      <c r="M6752" s="26">
        <v>900000</v>
      </c>
      <c r="N6752" s="26">
        <v>0</v>
      </c>
      <c r="O6752" s="15">
        <f t="shared" si="572"/>
        <v>900000</v>
      </c>
      <c r="P6752" s="15">
        <f t="shared" si="576"/>
        <v>168.22367019188718</v>
      </c>
      <c r="Q6752" s="25">
        <v>14000</v>
      </c>
      <c r="R6752" s="22">
        <v>38</v>
      </c>
      <c r="S6752" s="22" t="s">
        <v>8235</v>
      </c>
      <c r="T6752" s="22">
        <f t="shared" si="573"/>
        <v>5</v>
      </c>
      <c r="U6752" s="22">
        <f t="shared" si="574"/>
        <v>2023</v>
      </c>
      <c r="V6752" s="22" t="str">
        <f t="shared" si="575"/>
        <v>REGIONES</v>
      </c>
    </row>
    <row r="6753" spans="1:22" x14ac:dyDescent="0.2">
      <c r="A6753" s="23" t="s">
        <v>8234</v>
      </c>
      <c r="B6753" s="22" t="s">
        <v>18</v>
      </c>
      <c r="C6753" s="22" t="s">
        <v>160</v>
      </c>
      <c r="D6753" s="22" t="s">
        <v>5478</v>
      </c>
      <c r="E6753" s="24">
        <v>122975819</v>
      </c>
      <c r="F6753" s="22" t="s">
        <v>2055</v>
      </c>
      <c r="G6753" s="25">
        <v>20516.760000000009</v>
      </c>
      <c r="H6753" s="22" t="s">
        <v>24</v>
      </c>
      <c r="I6753" s="22">
        <v>1</v>
      </c>
      <c r="J6753" s="22" t="s">
        <v>2055</v>
      </c>
      <c r="K6753" s="22" t="s">
        <v>86</v>
      </c>
      <c r="L6753" s="22">
        <v>0</v>
      </c>
      <c r="M6753" s="26">
        <v>352000</v>
      </c>
      <c r="N6753" s="26">
        <v>0</v>
      </c>
      <c r="O6753" s="15">
        <f t="shared" si="572"/>
        <v>352000</v>
      </c>
      <c r="P6753" s="15">
        <f t="shared" si="576"/>
        <v>17.156705054794219</v>
      </c>
      <c r="Q6753" s="25">
        <v>14000</v>
      </c>
      <c r="R6753" s="22">
        <v>100</v>
      </c>
      <c r="S6753" s="22" t="s">
        <v>8236</v>
      </c>
      <c r="T6753" s="22">
        <f t="shared" si="573"/>
        <v>5</v>
      </c>
      <c r="U6753" s="22">
        <f t="shared" si="574"/>
        <v>2023</v>
      </c>
      <c r="V6753" s="22" t="str">
        <f t="shared" si="575"/>
        <v>REGIONES</v>
      </c>
    </row>
    <row r="6754" spans="1:22" x14ac:dyDescent="0.2">
      <c r="A6754" s="23" t="s">
        <v>8234</v>
      </c>
      <c r="B6754" s="22" t="s">
        <v>18</v>
      </c>
      <c r="C6754" s="22" t="s">
        <v>8237</v>
      </c>
      <c r="D6754" s="22" t="s">
        <v>20</v>
      </c>
      <c r="E6754" s="24">
        <v>78907355</v>
      </c>
      <c r="F6754" s="22" t="s">
        <v>129</v>
      </c>
      <c r="G6754" s="25">
        <v>7310.82</v>
      </c>
      <c r="H6754" s="22" t="s">
        <v>22</v>
      </c>
      <c r="I6754" s="22">
        <v>0</v>
      </c>
      <c r="J6754" s="22" t="s">
        <v>129</v>
      </c>
      <c r="K6754" s="22" t="s">
        <v>23</v>
      </c>
      <c r="L6754" s="22">
        <v>1</v>
      </c>
      <c r="M6754" s="26">
        <v>80419</v>
      </c>
      <c r="N6754" s="26">
        <v>0</v>
      </c>
      <c r="O6754" s="15">
        <f t="shared" si="572"/>
        <v>80419</v>
      </c>
      <c r="P6754" s="15">
        <f t="shared" si="576"/>
        <v>10.999997264328762</v>
      </c>
      <c r="Q6754" s="25">
        <v>5000</v>
      </c>
      <c r="R6754" s="22">
        <v>100</v>
      </c>
      <c r="S6754" s="22" t="s">
        <v>8238</v>
      </c>
      <c r="T6754" s="22">
        <f t="shared" si="573"/>
        <v>5</v>
      </c>
      <c r="U6754" s="22">
        <f t="shared" si="574"/>
        <v>2023</v>
      </c>
      <c r="V6754" s="22" t="str">
        <f t="shared" si="575"/>
        <v>METROPOLITANA</v>
      </c>
    </row>
    <row r="6755" spans="1:22" x14ac:dyDescent="0.2">
      <c r="A6755" s="23" t="s">
        <v>8234</v>
      </c>
      <c r="B6755" s="22" t="s">
        <v>33</v>
      </c>
      <c r="C6755" s="22" t="s">
        <v>36</v>
      </c>
      <c r="D6755" s="22" t="s">
        <v>786</v>
      </c>
      <c r="E6755" s="24">
        <v>95707734</v>
      </c>
      <c r="F6755" s="22" t="s">
        <v>1026</v>
      </c>
      <c r="G6755" s="25">
        <f>8240.6+5634</f>
        <v>13874.6</v>
      </c>
      <c r="H6755" s="22" t="s">
        <v>788</v>
      </c>
      <c r="I6755" s="22">
        <v>1</v>
      </c>
      <c r="J6755" s="22" t="s">
        <v>1026</v>
      </c>
      <c r="K6755" s="22" t="s">
        <v>408</v>
      </c>
      <c r="L6755" s="22">
        <v>0</v>
      </c>
      <c r="M6755" s="26">
        <v>754000</v>
      </c>
      <c r="N6755" s="26">
        <v>0</v>
      </c>
      <c r="O6755" s="15">
        <f t="shared" si="572"/>
        <v>754000</v>
      </c>
      <c r="P6755" s="15">
        <f t="shared" si="576"/>
        <v>54.343909013593183</v>
      </c>
      <c r="Q6755" s="25">
        <v>14000</v>
      </c>
      <c r="R6755" s="22">
        <v>100</v>
      </c>
      <c r="S6755" s="22" t="s">
        <v>8242</v>
      </c>
      <c r="T6755" s="22">
        <f t="shared" si="573"/>
        <v>5</v>
      </c>
      <c r="U6755" s="22">
        <f t="shared" si="574"/>
        <v>2023</v>
      </c>
      <c r="V6755" s="22" t="str">
        <f t="shared" si="575"/>
        <v>REGIONES</v>
      </c>
    </row>
    <row r="6756" spans="1:22" x14ac:dyDescent="0.2">
      <c r="A6756" s="23" t="s">
        <v>8234</v>
      </c>
      <c r="B6756" s="22" t="s">
        <v>33</v>
      </c>
      <c r="C6756" s="22" t="s">
        <v>5796</v>
      </c>
      <c r="D6756" s="22" t="s">
        <v>8219</v>
      </c>
      <c r="E6756" s="24">
        <v>73835526</v>
      </c>
      <c r="F6756" s="22" t="s">
        <v>129</v>
      </c>
      <c r="G6756" s="25">
        <v>6006</v>
      </c>
      <c r="H6756" s="22" t="s">
        <v>24</v>
      </c>
      <c r="I6756" s="22">
        <v>1</v>
      </c>
      <c r="J6756" s="22" t="s">
        <v>129</v>
      </c>
      <c r="K6756" s="22" t="s">
        <v>23</v>
      </c>
      <c r="L6756" s="22">
        <v>1</v>
      </c>
      <c r="M6756" s="26">
        <v>66066</v>
      </c>
      <c r="N6756" s="26">
        <v>0</v>
      </c>
      <c r="O6756" s="15">
        <f t="shared" si="572"/>
        <v>66066</v>
      </c>
      <c r="P6756" s="15">
        <f t="shared" si="576"/>
        <v>11</v>
      </c>
      <c r="Q6756" s="25">
        <v>5000</v>
      </c>
      <c r="R6756" s="22">
        <v>100</v>
      </c>
      <c r="S6756" s="22" t="s">
        <v>8239</v>
      </c>
      <c r="T6756" s="22">
        <f t="shared" si="573"/>
        <v>5</v>
      </c>
      <c r="U6756" s="22">
        <f t="shared" si="574"/>
        <v>2023</v>
      </c>
      <c r="V6756" s="22" t="str">
        <f t="shared" si="575"/>
        <v>METROPOLITANA</v>
      </c>
    </row>
    <row r="6757" spans="1:22" x14ac:dyDescent="0.2">
      <c r="A6757" s="23" t="s">
        <v>8234</v>
      </c>
      <c r="B6757" s="22" t="s">
        <v>33</v>
      </c>
      <c r="C6757" s="22" t="s">
        <v>29</v>
      </c>
      <c r="D6757" s="22" t="s">
        <v>38</v>
      </c>
      <c r="E6757" s="24">
        <v>53173292</v>
      </c>
      <c r="F6757" s="22" t="s">
        <v>39</v>
      </c>
      <c r="G6757" s="25">
        <v>8936.0000000000018</v>
      </c>
      <c r="H6757" s="22" t="s">
        <v>43</v>
      </c>
      <c r="I6757" s="22">
        <v>0</v>
      </c>
      <c r="J6757" s="22" t="s">
        <v>39</v>
      </c>
      <c r="K6757" s="22" t="s">
        <v>23</v>
      </c>
      <c r="L6757" s="22">
        <v>1</v>
      </c>
      <c r="M6757" s="26">
        <v>98296</v>
      </c>
      <c r="N6757" s="26">
        <v>0</v>
      </c>
      <c r="O6757" s="15">
        <f t="shared" si="572"/>
        <v>98296</v>
      </c>
      <c r="P6757" s="15">
        <f t="shared" si="576"/>
        <v>10.999999999999998</v>
      </c>
      <c r="Q6757" s="25">
        <v>5000</v>
      </c>
      <c r="R6757" s="22">
        <v>100</v>
      </c>
      <c r="S6757" s="22" t="s">
        <v>8240</v>
      </c>
      <c r="T6757" s="22">
        <f t="shared" si="573"/>
        <v>5</v>
      </c>
      <c r="U6757" s="22">
        <f t="shared" si="574"/>
        <v>2023</v>
      </c>
      <c r="V6757" s="22" t="str">
        <f t="shared" si="575"/>
        <v>METROPOLITANA</v>
      </c>
    </row>
    <row r="6758" spans="1:22" x14ac:dyDescent="0.2">
      <c r="A6758" s="23" t="s">
        <v>8234</v>
      </c>
      <c r="B6758" s="22" t="s">
        <v>33</v>
      </c>
      <c r="C6758" s="22" t="s">
        <v>29</v>
      </c>
      <c r="D6758" s="22" t="s">
        <v>164</v>
      </c>
      <c r="E6758" s="24">
        <v>154837728</v>
      </c>
      <c r="F6758" s="22" t="s">
        <v>39</v>
      </c>
      <c r="G6758" s="25">
        <v>13058.88000000001</v>
      </c>
      <c r="H6758" s="22" t="s">
        <v>22</v>
      </c>
      <c r="I6758" s="22">
        <v>1</v>
      </c>
      <c r="J6758" s="22" t="s">
        <v>39</v>
      </c>
      <c r="K6758" s="22" t="s">
        <v>23</v>
      </c>
      <c r="L6758" s="22">
        <v>1</v>
      </c>
      <c r="M6758" s="26">
        <v>143648</v>
      </c>
      <c r="N6758" s="26">
        <v>0</v>
      </c>
      <c r="O6758" s="15">
        <f t="shared" si="572"/>
        <v>143648</v>
      </c>
      <c r="P6758" s="15">
        <f t="shared" si="576"/>
        <v>11.000024504398532</v>
      </c>
      <c r="Q6758" s="25">
        <v>5000</v>
      </c>
      <c r="R6758" s="22">
        <v>100</v>
      </c>
      <c r="S6758" s="22" t="s">
        <v>8241</v>
      </c>
      <c r="T6758" s="22">
        <f t="shared" si="573"/>
        <v>5</v>
      </c>
      <c r="U6758" s="22">
        <f t="shared" si="574"/>
        <v>2023</v>
      </c>
      <c r="V6758" s="22" t="str">
        <f t="shared" si="575"/>
        <v>METROPOLITANA</v>
      </c>
    </row>
    <row r="6759" spans="1:22" x14ac:dyDescent="0.2">
      <c r="A6759" s="23" t="s">
        <v>8234</v>
      </c>
      <c r="B6759" s="22" t="s">
        <v>33</v>
      </c>
      <c r="C6759" s="22" t="s">
        <v>44</v>
      </c>
      <c r="D6759" s="22" t="s">
        <v>1869</v>
      </c>
      <c r="E6759" s="24">
        <v>125897258</v>
      </c>
      <c r="F6759" s="22" t="s">
        <v>2308</v>
      </c>
      <c r="G6759" s="25">
        <f>3531.24+5696</f>
        <v>9227.24</v>
      </c>
      <c r="H6759" s="22" t="s">
        <v>24</v>
      </c>
      <c r="I6759" s="22">
        <v>1</v>
      </c>
      <c r="J6759" s="22" t="s">
        <v>2308</v>
      </c>
      <c r="K6759" s="22" t="s">
        <v>2309</v>
      </c>
      <c r="L6759" s="22">
        <v>0</v>
      </c>
      <c r="M6759" s="26">
        <v>943000</v>
      </c>
      <c r="N6759" s="26">
        <v>0</v>
      </c>
      <c r="O6759" s="15">
        <f t="shared" si="572"/>
        <v>943000</v>
      </c>
      <c r="P6759" s="15">
        <f t="shared" si="576"/>
        <v>102.19740680853647</v>
      </c>
      <c r="Q6759" s="25">
        <v>14000</v>
      </c>
      <c r="R6759" s="22">
        <v>65</v>
      </c>
      <c r="S6759" s="22" t="s">
        <v>8243</v>
      </c>
      <c r="T6759" s="22">
        <f t="shared" si="573"/>
        <v>5</v>
      </c>
      <c r="U6759" s="22">
        <f t="shared" si="574"/>
        <v>2023</v>
      </c>
      <c r="V6759" s="22" t="str">
        <f t="shared" si="575"/>
        <v>REGIONES</v>
      </c>
    </row>
    <row r="6760" spans="1:22" x14ac:dyDescent="0.2">
      <c r="A6760" s="11" t="s">
        <v>8244</v>
      </c>
      <c r="B6760" s="12" t="s">
        <v>33</v>
      </c>
      <c r="C6760" s="12" t="s">
        <v>128</v>
      </c>
      <c r="D6760" s="12" t="s">
        <v>8245</v>
      </c>
      <c r="E6760" s="13" t="s">
        <v>8246</v>
      </c>
      <c r="F6760" s="12" t="s">
        <v>737</v>
      </c>
      <c r="G6760" s="14">
        <v>3752</v>
      </c>
      <c r="H6760" s="12" t="s">
        <v>24</v>
      </c>
      <c r="I6760" s="12">
        <v>1</v>
      </c>
      <c r="J6760" s="12" t="s">
        <v>737</v>
      </c>
      <c r="K6760" s="12" t="s">
        <v>78</v>
      </c>
      <c r="L6760" s="12">
        <v>0</v>
      </c>
      <c r="M6760" s="15">
        <v>352000</v>
      </c>
      <c r="N6760" s="15">
        <v>0</v>
      </c>
      <c r="O6760" s="15">
        <f t="shared" si="572"/>
        <v>352000</v>
      </c>
      <c r="P6760" s="15">
        <f t="shared" si="576"/>
        <v>93.816631130063968</v>
      </c>
      <c r="Q6760" s="14">
        <v>14000</v>
      </c>
      <c r="R6760" s="12">
        <v>27</v>
      </c>
      <c r="S6760" s="12" t="s">
        <v>8247</v>
      </c>
      <c r="T6760" s="22">
        <f t="shared" si="573"/>
        <v>5</v>
      </c>
      <c r="U6760" s="22">
        <f t="shared" si="574"/>
        <v>2023</v>
      </c>
      <c r="V6760" s="22" t="str">
        <f t="shared" si="575"/>
        <v>REGIONES</v>
      </c>
    </row>
    <row r="6761" spans="1:22" x14ac:dyDescent="0.2">
      <c r="A6761" s="11" t="s">
        <v>8244</v>
      </c>
      <c r="B6761" s="12" t="s">
        <v>33</v>
      </c>
      <c r="C6761" s="12" t="s">
        <v>223</v>
      </c>
      <c r="D6761" s="12" t="s">
        <v>38</v>
      </c>
      <c r="E6761" s="13" t="s">
        <v>42</v>
      </c>
      <c r="F6761" s="12" t="s">
        <v>51</v>
      </c>
      <c r="G6761" s="14">
        <f>4321.8+3002</f>
        <v>7323.8</v>
      </c>
      <c r="H6761" s="12" t="s">
        <v>43</v>
      </c>
      <c r="I6761" s="12">
        <v>0</v>
      </c>
      <c r="J6761" s="12" t="s">
        <v>51</v>
      </c>
      <c r="K6761" s="12" t="s">
        <v>23</v>
      </c>
      <c r="L6761" s="12">
        <v>4</v>
      </c>
      <c r="M6761" s="15">
        <v>69173</v>
      </c>
      <c r="N6761" s="15">
        <v>0</v>
      </c>
      <c r="O6761" s="15">
        <f t="shared" si="572"/>
        <v>69173</v>
      </c>
      <c r="P6761" s="15">
        <f t="shared" si="576"/>
        <v>9.4449602665283052</v>
      </c>
      <c r="Q6761" s="14">
        <v>5000</v>
      </c>
      <c r="R6761" s="12">
        <v>100</v>
      </c>
      <c r="S6761" s="12" t="s">
        <v>8254</v>
      </c>
      <c r="T6761" s="22">
        <f t="shared" si="573"/>
        <v>5</v>
      </c>
      <c r="U6761" s="22">
        <f t="shared" si="574"/>
        <v>2023</v>
      </c>
      <c r="V6761" s="22" t="str">
        <f t="shared" si="575"/>
        <v>METROPOLITANA</v>
      </c>
    </row>
    <row r="6762" spans="1:22" x14ac:dyDescent="0.2">
      <c r="A6762" s="11" t="s">
        <v>8244</v>
      </c>
      <c r="B6762" s="12" t="s">
        <v>33</v>
      </c>
      <c r="C6762" s="12" t="s">
        <v>7984</v>
      </c>
      <c r="D6762" s="12" t="s">
        <v>37</v>
      </c>
      <c r="E6762" s="13" t="s">
        <v>40</v>
      </c>
      <c r="F6762" s="12" t="s">
        <v>129</v>
      </c>
      <c r="G6762" s="14">
        <v>10830.36</v>
      </c>
      <c r="H6762" s="12" t="s">
        <v>22</v>
      </c>
      <c r="I6762" s="12">
        <v>0</v>
      </c>
      <c r="J6762" s="12" t="s">
        <v>129</v>
      </c>
      <c r="K6762" s="12" t="s">
        <v>23</v>
      </c>
      <c r="L6762" s="12">
        <v>1</v>
      </c>
      <c r="M6762" s="15">
        <v>119134</v>
      </c>
      <c r="N6762" s="15">
        <v>0</v>
      </c>
      <c r="O6762" s="15">
        <f t="shared" si="572"/>
        <v>119134</v>
      </c>
      <c r="P6762" s="15">
        <f t="shared" si="576"/>
        <v>11.000003693321366</v>
      </c>
      <c r="Q6762" s="14">
        <v>5000</v>
      </c>
      <c r="R6762" s="12">
        <v>100</v>
      </c>
      <c r="S6762" s="12" t="s">
        <v>8248</v>
      </c>
      <c r="T6762" s="22">
        <f t="shared" si="573"/>
        <v>5</v>
      </c>
      <c r="U6762" s="22">
        <f t="shared" si="574"/>
        <v>2023</v>
      </c>
      <c r="V6762" s="22" t="str">
        <f t="shared" si="575"/>
        <v>METROPOLITANA</v>
      </c>
    </row>
    <row r="6763" spans="1:22" x14ac:dyDescent="0.2">
      <c r="A6763" s="11" t="s">
        <v>8244</v>
      </c>
      <c r="B6763" s="12" t="s">
        <v>33</v>
      </c>
      <c r="C6763" s="12" t="s">
        <v>29</v>
      </c>
      <c r="D6763" s="12" t="s">
        <v>2825</v>
      </c>
      <c r="E6763" s="13" t="s">
        <v>639</v>
      </c>
      <c r="F6763" s="12" t="s">
        <v>876</v>
      </c>
      <c r="G6763" s="14">
        <v>11824.96</v>
      </c>
      <c r="H6763" s="12" t="s">
        <v>24</v>
      </c>
      <c r="I6763" s="12">
        <v>1</v>
      </c>
      <c r="J6763" s="12" t="s">
        <v>876</v>
      </c>
      <c r="K6763" s="12" t="s">
        <v>86</v>
      </c>
      <c r="L6763" s="12">
        <v>0</v>
      </c>
      <c r="M6763" s="15">
        <v>437500</v>
      </c>
      <c r="N6763" s="15">
        <v>0</v>
      </c>
      <c r="O6763" s="15">
        <f t="shared" si="572"/>
        <v>437500</v>
      </c>
      <c r="P6763" s="15">
        <f t="shared" si="576"/>
        <v>36.998010986929344</v>
      </c>
      <c r="Q6763" s="14">
        <v>14000</v>
      </c>
      <c r="R6763" s="12">
        <v>84</v>
      </c>
      <c r="S6763" s="12" t="s">
        <v>8249</v>
      </c>
      <c r="T6763" s="22">
        <f t="shared" si="573"/>
        <v>5</v>
      </c>
      <c r="U6763" s="22">
        <f t="shared" si="574"/>
        <v>2023</v>
      </c>
      <c r="V6763" s="22" t="str">
        <f t="shared" si="575"/>
        <v>REGIONES</v>
      </c>
    </row>
    <row r="6764" spans="1:22" x14ac:dyDescent="0.2">
      <c r="A6764" s="11" t="s">
        <v>8244</v>
      </c>
      <c r="B6764" s="12" t="s">
        <v>33</v>
      </c>
      <c r="C6764" s="12" t="s">
        <v>29</v>
      </c>
      <c r="D6764" s="12" t="s">
        <v>7491</v>
      </c>
      <c r="E6764" s="13" t="s">
        <v>7938</v>
      </c>
      <c r="F6764" s="12" t="s">
        <v>114</v>
      </c>
      <c r="G6764" s="14">
        <f>14084.58+3046</f>
        <v>17130.580000000002</v>
      </c>
      <c r="H6764" s="12" t="s">
        <v>24</v>
      </c>
      <c r="I6764" s="12">
        <v>1</v>
      </c>
      <c r="J6764" s="12" t="s">
        <v>114</v>
      </c>
      <c r="K6764" s="12" t="s">
        <v>75</v>
      </c>
      <c r="L6764" s="12">
        <v>0</v>
      </c>
      <c r="M6764" s="15">
        <v>528000</v>
      </c>
      <c r="N6764" s="15">
        <v>0</v>
      </c>
      <c r="O6764" s="15">
        <f t="shared" si="572"/>
        <v>528000</v>
      </c>
      <c r="P6764" s="15">
        <f t="shared" si="576"/>
        <v>30.822073741811423</v>
      </c>
      <c r="Q6764" s="14">
        <v>14000</v>
      </c>
      <c r="R6764" s="12">
        <v>100</v>
      </c>
      <c r="S6764" s="12" t="s">
        <v>8255</v>
      </c>
      <c r="T6764" s="22">
        <f t="shared" si="573"/>
        <v>5</v>
      </c>
      <c r="U6764" s="22">
        <f t="shared" si="574"/>
        <v>2023</v>
      </c>
      <c r="V6764" s="22" t="str">
        <f t="shared" si="575"/>
        <v>REGIONES</v>
      </c>
    </row>
    <row r="6765" spans="1:22" x14ac:dyDescent="0.2">
      <c r="A6765" s="11" t="s">
        <v>8244</v>
      </c>
      <c r="B6765" s="12" t="s">
        <v>33</v>
      </c>
      <c r="C6765" s="12" t="s">
        <v>29</v>
      </c>
      <c r="D6765" s="12" t="s">
        <v>164</v>
      </c>
      <c r="E6765" s="13" t="s">
        <v>1576</v>
      </c>
      <c r="F6765" s="12" t="s">
        <v>39</v>
      </c>
      <c r="G6765" s="14">
        <v>20025.669999999998</v>
      </c>
      <c r="H6765" s="12" t="s">
        <v>22</v>
      </c>
      <c r="I6765" s="12">
        <v>1</v>
      </c>
      <c r="J6765" s="12" t="s">
        <v>39</v>
      </c>
      <c r="K6765" s="12" t="s">
        <v>23</v>
      </c>
      <c r="L6765" s="12">
        <v>1</v>
      </c>
      <c r="M6765" s="15">
        <v>220282</v>
      </c>
      <c r="N6765" s="15">
        <v>0</v>
      </c>
      <c r="O6765" s="15">
        <f t="shared" si="572"/>
        <v>220282</v>
      </c>
      <c r="P6765" s="15">
        <f t="shared" si="576"/>
        <v>10.999981523714313</v>
      </c>
      <c r="Q6765" s="14">
        <v>5000</v>
      </c>
      <c r="R6765" s="12">
        <v>100</v>
      </c>
      <c r="S6765" s="12" t="s">
        <v>8250</v>
      </c>
      <c r="T6765" s="22">
        <f t="shared" si="573"/>
        <v>5</v>
      </c>
      <c r="U6765" s="22">
        <f t="shared" si="574"/>
        <v>2023</v>
      </c>
      <c r="V6765" s="22" t="str">
        <f t="shared" si="575"/>
        <v>METROPOLITANA</v>
      </c>
    </row>
    <row r="6766" spans="1:22" x14ac:dyDescent="0.2">
      <c r="A6766" s="11" t="s">
        <v>8244</v>
      </c>
      <c r="B6766" s="12" t="s">
        <v>33</v>
      </c>
      <c r="C6766" s="12" t="s">
        <v>29</v>
      </c>
      <c r="D6766" s="12" t="s">
        <v>20</v>
      </c>
      <c r="E6766" s="13" t="s">
        <v>21</v>
      </c>
      <c r="F6766" s="12" t="s">
        <v>39</v>
      </c>
      <c r="G6766" s="14">
        <v>11826.63</v>
      </c>
      <c r="H6766" s="12" t="s">
        <v>22</v>
      </c>
      <c r="I6766" s="12">
        <v>0</v>
      </c>
      <c r="J6766" s="12" t="s">
        <v>39</v>
      </c>
      <c r="K6766" s="12" t="s">
        <v>23</v>
      </c>
      <c r="L6766" s="12">
        <v>1</v>
      </c>
      <c r="M6766" s="15">
        <v>130093</v>
      </c>
      <c r="N6766" s="15">
        <v>0</v>
      </c>
      <c r="O6766" s="15">
        <f t="shared" si="572"/>
        <v>130093</v>
      </c>
      <c r="P6766" s="15">
        <f t="shared" si="576"/>
        <v>11.00000591884586</v>
      </c>
      <c r="Q6766" s="14">
        <v>5000</v>
      </c>
      <c r="R6766" s="12">
        <v>100</v>
      </c>
      <c r="S6766" s="12" t="s">
        <v>8251</v>
      </c>
      <c r="T6766" s="22">
        <f t="shared" si="573"/>
        <v>5</v>
      </c>
      <c r="U6766" s="22">
        <f t="shared" si="574"/>
        <v>2023</v>
      </c>
      <c r="V6766" s="22" t="str">
        <f t="shared" si="575"/>
        <v>METROPOLITANA</v>
      </c>
    </row>
    <row r="6767" spans="1:22" x14ac:dyDescent="0.2">
      <c r="A6767" s="11" t="s">
        <v>8244</v>
      </c>
      <c r="B6767" s="12" t="s">
        <v>33</v>
      </c>
      <c r="C6767" s="12" t="s">
        <v>8200</v>
      </c>
      <c r="D6767" s="12" t="s">
        <v>2612</v>
      </c>
      <c r="E6767" s="13" t="s">
        <v>6370</v>
      </c>
      <c r="F6767" s="12" t="s">
        <v>195</v>
      </c>
      <c r="G6767" s="14">
        <f>9944.5+9573</f>
        <v>19517.5</v>
      </c>
      <c r="H6767" s="12" t="s">
        <v>24</v>
      </c>
      <c r="I6767" s="12">
        <v>1</v>
      </c>
      <c r="J6767" s="12" t="s">
        <v>195</v>
      </c>
      <c r="K6767" s="12" t="s">
        <v>124</v>
      </c>
      <c r="L6767" s="12">
        <v>0</v>
      </c>
      <c r="M6767" s="15">
        <v>440000</v>
      </c>
      <c r="N6767" s="15">
        <v>0</v>
      </c>
      <c r="O6767" s="15">
        <f t="shared" si="572"/>
        <v>440000</v>
      </c>
      <c r="P6767" s="15">
        <f t="shared" si="576"/>
        <v>22.543870885103111</v>
      </c>
      <c r="Q6767" s="14">
        <v>14000</v>
      </c>
      <c r="R6767" s="12">
        <v>100</v>
      </c>
      <c r="S6767" s="12" t="s">
        <v>8256</v>
      </c>
      <c r="T6767" s="22">
        <f t="shared" si="573"/>
        <v>5</v>
      </c>
      <c r="U6767" s="22">
        <f t="shared" si="574"/>
        <v>2023</v>
      </c>
      <c r="V6767" s="22" t="str">
        <f t="shared" si="575"/>
        <v>REGIONES</v>
      </c>
    </row>
    <row r="6768" spans="1:22" x14ac:dyDescent="0.2">
      <c r="A6768" s="11" t="s">
        <v>8244</v>
      </c>
      <c r="B6768" s="12" t="s">
        <v>33</v>
      </c>
      <c r="C6768" s="12" t="s">
        <v>44</v>
      </c>
      <c r="D6768" s="12" t="s">
        <v>37</v>
      </c>
      <c r="E6768" s="13" t="s">
        <v>40</v>
      </c>
      <c r="F6768" s="12" t="s">
        <v>94</v>
      </c>
      <c r="G6768" s="14">
        <v>4512.9399999999996</v>
      </c>
      <c r="H6768" s="12" t="s">
        <v>22</v>
      </c>
      <c r="I6768" s="12">
        <v>0</v>
      </c>
      <c r="J6768" s="12" t="s">
        <v>59</v>
      </c>
      <c r="K6768" s="12" t="s">
        <v>78</v>
      </c>
      <c r="L6768" s="12">
        <v>0</v>
      </c>
      <c r="M6768" s="15">
        <v>227000</v>
      </c>
      <c r="N6768" s="15">
        <v>0</v>
      </c>
      <c r="O6768" s="15">
        <f t="shared" si="572"/>
        <v>227000</v>
      </c>
      <c r="P6768" s="15">
        <f t="shared" si="576"/>
        <v>50.29980456199285</v>
      </c>
      <c r="Q6768" s="14">
        <v>14000</v>
      </c>
      <c r="R6768" s="12">
        <v>32</v>
      </c>
      <c r="S6768" s="12" t="s">
        <v>8252</v>
      </c>
      <c r="T6768" s="22">
        <f t="shared" si="573"/>
        <v>5</v>
      </c>
      <c r="U6768" s="22">
        <f t="shared" si="574"/>
        <v>2023</v>
      </c>
      <c r="V6768" s="22" t="str">
        <f t="shared" si="575"/>
        <v>REGIONES</v>
      </c>
    </row>
    <row r="6769" spans="1:22" x14ac:dyDescent="0.2">
      <c r="A6769" s="11" t="s">
        <v>8244</v>
      </c>
      <c r="B6769" s="12" t="s">
        <v>33</v>
      </c>
      <c r="C6769" s="12" t="s">
        <v>44</v>
      </c>
      <c r="D6769" s="12" t="s">
        <v>45</v>
      </c>
      <c r="E6769" s="13" t="s">
        <v>49</v>
      </c>
      <c r="F6769" s="12" t="s">
        <v>129</v>
      </c>
      <c r="G6769" s="14">
        <v>3201.2000000000012</v>
      </c>
      <c r="H6769" s="12" t="s">
        <v>22</v>
      </c>
      <c r="I6769" s="12">
        <v>0</v>
      </c>
      <c r="J6769" s="12" t="s">
        <v>129</v>
      </c>
      <c r="K6769" s="12" t="s">
        <v>23</v>
      </c>
      <c r="L6769" s="12">
        <v>1</v>
      </c>
      <c r="M6769" s="15">
        <v>69173</v>
      </c>
      <c r="N6769" s="15">
        <v>0</v>
      </c>
      <c r="O6769" s="15">
        <f t="shared" si="572"/>
        <v>69173</v>
      </c>
      <c r="P6769" s="15">
        <f t="shared" si="576"/>
        <v>21.608459327752087</v>
      </c>
      <c r="Q6769" s="14">
        <v>5000</v>
      </c>
      <c r="R6769" s="12">
        <v>64</v>
      </c>
      <c r="S6769" s="12" t="s">
        <v>8253</v>
      </c>
      <c r="T6769" s="22">
        <f t="shared" si="573"/>
        <v>5</v>
      </c>
      <c r="U6769" s="22">
        <f t="shared" si="574"/>
        <v>2023</v>
      </c>
      <c r="V6769" s="22" t="str">
        <f t="shared" si="575"/>
        <v>METROPOLITANA</v>
      </c>
    </row>
    <row r="6770" spans="1:22" x14ac:dyDescent="0.2">
      <c r="A6770" s="23" t="s">
        <v>8257</v>
      </c>
      <c r="B6770" s="22" t="s">
        <v>33</v>
      </c>
      <c r="C6770" s="22" t="s">
        <v>128</v>
      </c>
      <c r="D6770" s="22" t="s">
        <v>164</v>
      </c>
      <c r="E6770" s="24">
        <v>154837728</v>
      </c>
      <c r="F6770" s="22" t="s">
        <v>129</v>
      </c>
      <c r="G6770" s="25">
        <v>6577.8799999999992</v>
      </c>
      <c r="H6770" s="22" t="s">
        <v>22</v>
      </c>
      <c r="I6770" s="22">
        <v>1</v>
      </c>
      <c r="J6770" s="22" t="s">
        <v>129</v>
      </c>
      <c r="K6770" s="22" t="s">
        <v>23</v>
      </c>
      <c r="L6770" s="22">
        <v>1</v>
      </c>
      <c r="M6770" s="26">
        <v>72357</v>
      </c>
      <c r="N6770" s="26">
        <v>0</v>
      </c>
      <c r="O6770" s="15">
        <f t="shared" si="572"/>
        <v>72357</v>
      </c>
      <c r="P6770" s="15">
        <f t="shared" si="576"/>
        <v>11.000048647892635</v>
      </c>
      <c r="Q6770" s="25">
        <v>5000</v>
      </c>
      <c r="R6770" s="22">
        <v>100</v>
      </c>
      <c r="S6770" s="22" t="s">
        <v>8258</v>
      </c>
      <c r="T6770" s="22">
        <f t="shared" si="573"/>
        <v>5</v>
      </c>
      <c r="U6770" s="22">
        <f t="shared" si="574"/>
        <v>2023</v>
      </c>
      <c r="V6770" s="22" t="str">
        <f t="shared" si="575"/>
        <v>METROPOLITANA</v>
      </c>
    </row>
    <row r="6771" spans="1:22" x14ac:dyDescent="0.2">
      <c r="A6771" s="23" t="s">
        <v>8257</v>
      </c>
      <c r="B6771" s="22" t="s">
        <v>33</v>
      </c>
      <c r="C6771" s="22" t="s">
        <v>36</v>
      </c>
      <c r="D6771" s="22" t="s">
        <v>38</v>
      </c>
      <c r="E6771" s="24">
        <v>125108660</v>
      </c>
      <c r="F6771" s="22" t="s">
        <v>129</v>
      </c>
      <c r="G6771" s="25">
        <v>4464</v>
      </c>
      <c r="H6771" s="22" t="s">
        <v>43</v>
      </c>
      <c r="I6771" s="22">
        <v>0</v>
      </c>
      <c r="J6771" s="22" t="s">
        <v>129</v>
      </c>
      <c r="K6771" s="22" t="s">
        <v>23</v>
      </c>
      <c r="L6771" s="22">
        <v>1</v>
      </c>
      <c r="M6771" s="26">
        <v>69173</v>
      </c>
      <c r="N6771" s="26">
        <v>0</v>
      </c>
      <c r="O6771" s="15">
        <f t="shared" si="572"/>
        <v>69173</v>
      </c>
      <c r="P6771" s="15">
        <f t="shared" si="576"/>
        <v>15.495743727598565</v>
      </c>
      <c r="Q6771" s="25">
        <v>5000</v>
      </c>
      <c r="R6771" s="22">
        <v>89</v>
      </c>
      <c r="S6771" s="22" t="s">
        <v>8259</v>
      </c>
      <c r="T6771" s="22">
        <f t="shared" si="573"/>
        <v>5</v>
      </c>
      <c r="U6771" s="22">
        <f t="shared" si="574"/>
        <v>2023</v>
      </c>
      <c r="V6771" s="22" t="str">
        <f t="shared" si="575"/>
        <v>METROPOLITANA</v>
      </c>
    </row>
    <row r="6772" spans="1:22" x14ac:dyDescent="0.2">
      <c r="A6772" s="23" t="s">
        <v>8257</v>
      </c>
      <c r="B6772" s="22" t="s">
        <v>33</v>
      </c>
      <c r="C6772" s="22" t="s">
        <v>29</v>
      </c>
      <c r="D6772" s="22" t="s">
        <v>2251</v>
      </c>
      <c r="E6772" s="24">
        <v>95439802</v>
      </c>
      <c r="F6772" s="22" t="s">
        <v>132</v>
      </c>
      <c r="G6772" s="25">
        <v>12711.05</v>
      </c>
      <c r="H6772" s="22" t="s">
        <v>24</v>
      </c>
      <c r="I6772" s="22">
        <v>1</v>
      </c>
      <c r="J6772" s="22" t="s">
        <v>132</v>
      </c>
      <c r="K6772" s="22" t="s">
        <v>124</v>
      </c>
      <c r="L6772" s="22">
        <v>0</v>
      </c>
      <c r="M6772" s="26">
        <v>440000</v>
      </c>
      <c r="N6772" s="26">
        <v>0</v>
      </c>
      <c r="O6772" s="15">
        <f t="shared" si="572"/>
        <v>440000</v>
      </c>
      <c r="P6772" s="15">
        <f t="shared" si="576"/>
        <v>34.61555103630306</v>
      </c>
      <c r="Q6772" s="25">
        <v>14000</v>
      </c>
      <c r="R6772" s="22">
        <v>91</v>
      </c>
      <c r="S6772" s="22" t="s">
        <v>8260</v>
      </c>
      <c r="T6772" s="22">
        <f t="shared" si="573"/>
        <v>5</v>
      </c>
      <c r="U6772" s="22">
        <f t="shared" si="574"/>
        <v>2023</v>
      </c>
      <c r="V6772" s="22" t="str">
        <f t="shared" si="575"/>
        <v>REGIONES</v>
      </c>
    </row>
    <row r="6773" spans="1:22" x14ac:dyDescent="0.2">
      <c r="A6773" s="23" t="s">
        <v>8257</v>
      </c>
      <c r="B6773" s="22" t="s">
        <v>33</v>
      </c>
      <c r="C6773" s="22" t="s">
        <v>29</v>
      </c>
      <c r="D6773" s="22" t="s">
        <v>5478</v>
      </c>
      <c r="E6773" s="24">
        <v>122975819</v>
      </c>
      <c r="F6773" s="22" t="s">
        <v>876</v>
      </c>
      <c r="G6773" s="25">
        <v>15904.599999999989</v>
      </c>
      <c r="H6773" s="22" t="s">
        <v>24</v>
      </c>
      <c r="I6773" s="22">
        <v>1</v>
      </c>
      <c r="J6773" s="22" t="s">
        <v>876</v>
      </c>
      <c r="K6773" s="22" t="s">
        <v>86</v>
      </c>
      <c r="L6773" s="22">
        <v>0</v>
      </c>
      <c r="M6773" s="26">
        <v>437500</v>
      </c>
      <c r="N6773" s="26">
        <v>0</v>
      </c>
      <c r="O6773" s="15">
        <f t="shared" si="572"/>
        <v>437500</v>
      </c>
      <c r="P6773" s="15">
        <f t="shared" si="576"/>
        <v>27.507765049105309</v>
      </c>
      <c r="Q6773" s="25">
        <v>14000</v>
      </c>
      <c r="R6773" s="22">
        <v>100</v>
      </c>
      <c r="S6773" s="22" t="s">
        <v>8261</v>
      </c>
      <c r="T6773" s="22">
        <f t="shared" si="573"/>
        <v>5</v>
      </c>
      <c r="U6773" s="22">
        <f t="shared" si="574"/>
        <v>2023</v>
      </c>
      <c r="V6773" s="22" t="str">
        <f t="shared" si="575"/>
        <v>REGIONES</v>
      </c>
    </row>
    <row r="6774" spans="1:22" x14ac:dyDescent="0.2">
      <c r="A6774" s="23" t="s">
        <v>8257</v>
      </c>
      <c r="B6774" s="22" t="s">
        <v>33</v>
      </c>
      <c r="C6774" s="22" t="s">
        <v>29</v>
      </c>
      <c r="D6774" s="22" t="s">
        <v>7831</v>
      </c>
      <c r="E6774" s="24">
        <v>137998513</v>
      </c>
      <c r="F6774" s="22" t="s">
        <v>114</v>
      </c>
      <c r="G6774" s="25">
        <v>18758.760000000009</v>
      </c>
      <c r="H6774" s="22" t="s">
        <v>24</v>
      </c>
      <c r="I6774" s="22">
        <v>1</v>
      </c>
      <c r="J6774" s="22" t="s">
        <v>114</v>
      </c>
      <c r="K6774" s="22" t="s">
        <v>75</v>
      </c>
      <c r="L6774" s="22">
        <v>0</v>
      </c>
      <c r="M6774" s="26">
        <v>528000</v>
      </c>
      <c r="N6774" s="26">
        <v>0</v>
      </c>
      <c r="O6774" s="15">
        <f t="shared" si="572"/>
        <v>528000</v>
      </c>
      <c r="P6774" s="15">
        <f t="shared" si="576"/>
        <v>28.146849791777267</v>
      </c>
      <c r="Q6774" s="25">
        <v>14000</v>
      </c>
      <c r="R6774" s="22">
        <v>100</v>
      </c>
      <c r="S6774" s="22" t="s">
        <v>8262</v>
      </c>
      <c r="T6774" s="22">
        <f t="shared" si="573"/>
        <v>5</v>
      </c>
      <c r="U6774" s="22">
        <f t="shared" si="574"/>
        <v>2023</v>
      </c>
      <c r="V6774" s="22" t="str">
        <f t="shared" si="575"/>
        <v>REGIONES</v>
      </c>
    </row>
    <row r="6775" spans="1:22" x14ac:dyDescent="0.2">
      <c r="A6775" s="23" t="s">
        <v>8257</v>
      </c>
      <c r="B6775" s="22" t="s">
        <v>33</v>
      </c>
      <c r="C6775" s="22" t="s">
        <v>29</v>
      </c>
      <c r="D6775" s="22" t="s">
        <v>6969</v>
      </c>
      <c r="E6775" s="24">
        <v>104840078</v>
      </c>
      <c r="F6775" s="22" t="s">
        <v>114</v>
      </c>
      <c r="G6775" s="25">
        <v>17485.720000000008</v>
      </c>
      <c r="H6775" s="22" t="s">
        <v>24</v>
      </c>
      <c r="I6775" s="22">
        <v>1</v>
      </c>
      <c r="J6775" s="22" t="s">
        <v>114</v>
      </c>
      <c r="K6775" s="22" t="s">
        <v>75</v>
      </c>
      <c r="L6775" s="22">
        <v>0</v>
      </c>
      <c r="M6775" s="26">
        <v>528000</v>
      </c>
      <c r="N6775" s="26">
        <v>0</v>
      </c>
      <c r="O6775" s="15">
        <f t="shared" si="572"/>
        <v>528000</v>
      </c>
      <c r="P6775" s="15">
        <f t="shared" si="576"/>
        <v>30.196068563376272</v>
      </c>
      <c r="Q6775" s="25">
        <v>14000</v>
      </c>
      <c r="R6775" s="22">
        <v>100</v>
      </c>
      <c r="S6775" s="22" t="s">
        <v>8263</v>
      </c>
      <c r="T6775" s="22">
        <f t="shared" si="573"/>
        <v>5</v>
      </c>
      <c r="U6775" s="22">
        <f t="shared" si="574"/>
        <v>2023</v>
      </c>
      <c r="V6775" s="22" t="str">
        <f t="shared" si="575"/>
        <v>REGIONES</v>
      </c>
    </row>
    <row r="6776" spans="1:22" x14ac:dyDescent="0.2">
      <c r="A6776" s="23" t="s">
        <v>8257</v>
      </c>
      <c r="B6776" s="22" t="s">
        <v>33</v>
      </c>
      <c r="C6776" s="22" t="s">
        <v>29</v>
      </c>
      <c r="D6776" s="22" t="s">
        <v>3641</v>
      </c>
      <c r="E6776" s="24">
        <v>100822326</v>
      </c>
      <c r="F6776" s="22" t="s">
        <v>815</v>
      </c>
      <c r="G6776" s="25">
        <v>20272.41999999998</v>
      </c>
      <c r="H6776" s="22" t="s">
        <v>24</v>
      </c>
      <c r="I6776" s="22">
        <v>1</v>
      </c>
      <c r="J6776" s="22" t="s">
        <v>815</v>
      </c>
      <c r="K6776" s="22" t="s">
        <v>75</v>
      </c>
      <c r="L6776" s="22">
        <v>0</v>
      </c>
      <c r="M6776" s="26">
        <v>528000</v>
      </c>
      <c r="N6776" s="26">
        <v>0</v>
      </c>
      <c r="O6776" s="15">
        <f t="shared" si="572"/>
        <v>528000</v>
      </c>
      <c r="P6776" s="15">
        <f t="shared" si="576"/>
        <v>26.045237815712209</v>
      </c>
      <c r="Q6776" s="25">
        <v>14000</v>
      </c>
      <c r="R6776" s="22">
        <v>100</v>
      </c>
      <c r="S6776" s="22" t="s">
        <v>8264</v>
      </c>
      <c r="T6776" s="22">
        <f t="shared" si="573"/>
        <v>5</v>
      </c>
      <c r="U6776" s="22">
        <f t="shared" si="574"/>
        <v>2023</v>
      </c>
      <c r="V6776" s="22" t="str">
        <f t="shared" si="575"/>
        <v>REGIONES</v>
      </c>
    </row>
    <row r="6777" spans="1:22" x14ac:dyDescent="0.2">
      <c r="A6777" s="23" t="s">
        <v>8257</v>
      </c>
      <c r="B6777" s="22" t="s">
        <v>33</v>
      </c>
      <c r="C6777" s="22" t="s">
        <v>44</v>
      </c>
      <c r="D6777" s="22" t="s">
        <v>6218</v>
      </c>
      <c r="E6777" s="24">
        <v>90366327</v>
      </c>
      <c r="F6777" s="22" t="s">
        <v>407</v>
      </c>
      <c r="G6777" s="25">
        <v>16768.2</v>
      </c>
      <c r="H6777" s="22" t="s">
        <v>24</v>
      </c>
      <c r="I6777" s="22">
        <v>1</v>
      </c>
      <c r="J6777" s="22" t="s">
        <v>407</v>
      </c>
      <c r="K6777" s="22" t="s">
        <v>408</v>
      </c>
      <c r="L6777" s="22">
        <v>0</v>
      </c>
      <c r="M6777" s="26">
        <v>805000</v>
      </c>
      <c r="N6777" s="26">
        <v>0</v>
      </c>
      <c r="O6777" s="15">
        <f t="shared" si="572"/>
        <v>805000</v>
      </c>
      <c r="P6777" s="15">
        <f t="shared" si="576"/>
        <v>48.007538078028645</v>
      </c>
      <c r="Q6777" s="25">
        <v>14000</v>
      </c>
      <c r="R6777" s="22">
        <v>100</v>
      </c>
      <c r="S6777" s="22" t="s">
        <v>8265</v>
      </c>
      <c r="T6777" s="22">
        <f t="shared" si="573"/>
        <v>5</v>
      </c>
      <c r="U6777" s="22">
        <f t="shared" si="574"/>
        <v>2023</v>
      </c>
      <c r="V6777" s="22" t="str">
        <f t="shared" si="575"/>
        <v>REGIONES</v>
      </c>
    </row>
    <row r="6778" spans="1:22" x14ac:dyDescent="0.2">
      <c r="A6778" s="23" t="s">
        <v>8257</v>
      </c>
      <c r="B6778" s="22" t="s">
        <v>33</v>
      </c>
      <c r="C6778" s="22" t="s">
        <v>44</v>
      </c>
      <c r="D6778" s="22" t="s">
        <v>45</v>
      </c>
      <c r="E6778" s="24">
        <v>107643206</v>
      </c>
      <c r="F6778" s="22" t="s">
        <v>134</v>
      </c>
      <c r="G6778" s="25">
        <v>3185.44</v>
      </c>
      <c r="H6778" s="22" t="s">
        <v>22</v>
      </c>
      <c r="I6778" s="22">
        <v>0</v>
      </c>
      <c r="J6778" s="22" t="s">
        <v>134</v>
      </c>
      <c r="K6778" s="22" t="s">
        <v>23</v>
      </c>
      <c r="L6778" s="22">
        <v>2</v>
      </c>
      <c r="M6778" s="26">
        <v>69173</v>
      </c>
      <c r="N6778" s="26">
        <v>0</v>
      </c>
      <c r="O6778" s="15">
        <f t="shared" si="572"/>
        <v>69173</v>
      </c>
      <c r="P6778" s="15">
        <f t="shared" si="576"/>
        <v>21.715367421769049</v>
      </c>
      <c r="Q6778" s="25">
        <v>5000</v>
      </c>
      <c r="R6778" s="22">
        <v>64</v>
      </c>
      <c r="S6778" s="22" t="s">
        <v>8266</v>
      </c>
      <c r="T6778" s="22">
        <f t="shared" si="573"/>
        <v>5</v>
      </c>
      <c r="U6778" s="22">
        <f t="shared" si="574"/>
        <v>2023</v>
      </c>
      <c r="V6778" s="22" t="str">
        <f t="shared" si="575"/>
        <v>METROPOLITANA</v>
      </c>
    </row>
    <row r="6779" spans="1:22" x14ac:dyDescent="0.2">
      <c r="A6779" s="11" t="s">
        <v>8267</v>
      </c>
      <c r="B6779" s="12" t="s">
        <v>18</v>
      </c>
      <c r="C6779" s="12" t="s">
        <v>5796</v>
      </c>
      <c r="D6779" s="12" t="s">
        <v>20</v>
      </c>
      <c r="E6779" s="13" t="s">
        <v>21</v>
      </c>
      <c r="F6779" s="12" t="s">
        <v>129</v>
      </c>
      <c r="G6779" s="14">
        <v>6620.3999999999978</v>
      </c>
      <c r="H6779" s="12" t="s">
        <v>22</v>
      </c>
      <c r="I6779" s="12">
        <v>0</v>
      </c>
      <c r="J6779" s="12" t="s">
        <v>129</v>
      </c>
      <c r="K6779" s="12" t="s">
        <v>23</v>
      </c>
      <c r="L6779" s="12">
        <v>1</v>
      </c>
      <c r="M6779" s="15">
        <v>72824</v>
      </c>
      <c r="N6779" s="15">
        <v>0</v>
      </c>
      <c r="O6779" s="15">
        <f t="shared" ref="O6779:O6842" si="577">SUM(M6779:N6779)</f>
        <v>72824</v>
      </c>
      <c r="P6779" s="15">
        <f t="shared" si="576"/>
        <v>10.999939580689992</v>
      </c>
      <c r="Q6779" s="14">
        <v>5000</v>
      </c>
      <c r="R6779" s="12">
        <v>100</v>
      </c>
      <c r="S6779" s="12" t="s">
        <v>8268</v>
      </c>
      <c r="T6779" s="22">
        <f t="shared" si="573"/>
        <v>5</v>
      </c>
      <c r="U6779" s="22">
        <f t="shared" si="574"/>
        <v>2023</v>
      </c>
      <c r="V6779" s="22" t="str">
        <f t="shared" si="575"/>
        <v>METROPOLITANA</v>
      </c>
    </row>
    <row r="6780" spans="1:22" x14ac:dyDescent="0.2">
      <c r="A6780" s="11" t="s">
        <v>8267</v>
      </c>
      <c r="B6780" s="12" t="s">
        <v>18</v>
      </c>
      <c r="C6780" s="12" t="s">
        <v>87</v>
      </c>
      <c r="D6780" s="12" t="s">
        <v>30</v>
      </c>
      <c r="E6780" s="13" t="s">
        <v>31</v>
      </c>
      <c r="F6780" s="12" t="s">
        <v>51</v>
      </c>
      <c r="G6780" s="14">
        <v>20991.599999999999</v>
      </c>
      <c r="H6780" s="12" t="s">
        <v>32</v>
      </c>
      <c r="I6780" s="12">
        <v>0</v>
      </c>
      <c r="J6780" s="12" t="s">
        <v>51</v>
      </c>
      <c r="K6780" s="12" t="s">
        <v>23</v>
      </c>
      <c r="L6780" s="12">
        <v>4</v>
      </c>
      <c r="M6780" s="15">
        <v>230908</v>
      </c>
      <c r="N6780" s="15">
        <v>0</v>
      </c>
      <c r="O6780" s="15">
        <f t="shared" si="577"/>
        <v>230908</v>
      </c>
      <c r="P6780" s="15">
        <f t="shared" si="576"/>
        <v>11.000019055241145</v>
      </c>
      <c r="Q6780" s="14">
        <v>5000</v>
      </c>
      <c r="R6780" s="12">
        <v>100</v>
      </c>
      <c r="S6780" s="12" t="s">
        <v>8269</v>
      </c>
      <c r="T6780" s="22">
        <f t="shared" si="573"/>
        <v>5</v>
      </c>
      <c r="U6780" s="22">
        <f t="shared" si="574"/>
        <v>2023</v>
      </c>
      <c r="V6780" s="22" t="str">
        <f t="shared" si="575"/>
        <v>METROPOLITANA</v>
      </c>
    </row>
    <row r="6781" spans="1:22" x14ac:dyDescent="0.2">
      <c r="A6781" s="11" t="s">
        <v>8267</v>
      </c>
      <c r="B6781" s="12" t="s">
        <v>33</v>
      </c>
      <c r="C6781" s="12" t="s">
        <v>128</v>
      </c>
      <c r="D6781" s="12" t="s">
        <v>2825</v>
      </c>
      <c r="E6781" s="13" t="s">
        <v>639</v>
      </c>
      <c r="F6781" s="12" t="s">
        <v>84</v>
      </c>
      <c r="G6781" s="14">
        <v>20705.099999999999</v>
      </c>
      <c r="H6781" s="12" t="s">
        <v>24</v>
      </c>
      <c r="I6781" s="12">
        <v>1</v>
      </c>
      <c r="J6781" s="12" t="s">
        <v>84</v>
      </c>
      <c r="K6781" s="12" t="s">
        <v>86</v>
      </c>
      <c r="L6781" s="12">
        <v>0</v>
      </c>
      <c r="M6781" s="15">
        <v>402000</v>
      </c>
      <c r="N6781" s="15">
        <v>0</v>
      </c>
      <c r="O6781" s="15">
        <f t="shared" si="577"/>
        <v>402000</v>
      </c>
      <c r="P6781" s="15">
        <f t="shared" si="576"/>
        <v>19.415506324528742</v>
      </c>
      <c r="Q6781" s="14">
        <v>14000</v>
      </c>
      <c r="R6781" s="12">
        <v>100</v>
      </c>
      <c r="S6781" s="12" t="s">
        <v>8270</v>
      </c>
      <c r="T6781" s="22">
        <f t="shared" si="573"/>
        <v>5</v>
      </c>
      <c r="U6781" s="22">
        <f t="shared" si="574"/>
        <v>2023</v>
      </c>
      <c r="V6781" s="22" t="str">
        <f t="shared" si="575"/>
        <v>REGIONES</v>
      </c>
    </row>
    <row r="6782" spans="1:22" x14ac:dyDescent="0.2">
      <c r="A6782" s="11" t="s">
        <v>8267</v>
      </c>
      <c r="B6782" s="12" t="s">
        <v>33</v>
      </c>
      <c r="C6782" s="12" t="s">
        <v>909</v>
      </c>
      <c r="D6782" s="12" t="s">
        <v>786</v>
      </c>
      <c r="E6782" s="13" t="s">
        <v>787</v>
      </c>
      <c r="F6782" s="12" t="s">
        <v>910</v>
      </c>
      <c r="G6782" s="14">
        <v>13433.44</v>
      </c>
      <c r="H6782" s="12" t="s">
        <v>788</v>
      </c>
      <c r="I6782" s="12">
        <v>1</v>
      </c>
      <c r="J6782" s="12" t="s">
        <v>910</v>
      </c>
      <c r="K6782" s="12" t="s">
        <v>171</v>
      </c>
      <c r="L6782" s="12">
        <v>0</v>
      </c>
      <c r="M6782" s="15">
        <v>290000</v>
      </c>
      <c r="N6782" s="15">
        <v>0</v>
      </c>
      <c r="O6782" s="15">
        <f t="shared" si="577"/>
        <v>290000</v>
      </c>
      <c r="P6782" s="15">
        <f t="shared" si="576"/>
        <v>21.587917912314342</v>
      </c>
      <c r="Q6782" s="14">
        <v>14000</v>
      </c>
      <c r="R6782" s="12">
        <v>96</v>
      </c>
      <c r="S6782" s="12" t="s">
        <v>8271</v>
      </c>
      <c r="T6782" s="22">
        <f t="shared" si="573"/>
        <v>5</v>
      </c>
      <c r="U6782" s="22">
        <f t="shared" si="574"/>
        <v>2023</v>
      </c>
      <c r="V6782" s="22" t="str">
        <f t="shared" si="575"/>
        <v>REGIONES</v>
      </c>
    </row>
    <row r="6783" spans="1:22" x14ac:dyDescent="0.2">
      <c r="A6783" s="11" t="s">
        <v>8267</v>
      </c>
      <c r="B6783" s="12" t="s">
        <v>33</v>
      </c>
      <c r="C6783" s="12" t="s">
        <v>2862</v>
      </c>
      <c r="D6783" s="12" t="s">
        <v>37</v>
      </c>
      <c r="E6783" s="13" t="s">
        <v>40</v>
      </c>
      <c r="F6783" s="12" t="s">
        <v>129</v>
      </c>
      <c r="G6783" s="14">
        <v>9379.9999999999982</v>
      </c>
      <c r="H6783" s="12" t="s">
        <v>22</v>
      </c>
      <c r="I6783" s="12">
        <v>0</v>
      </c>
      <c r="J6783" s="12" t="s">
        <v>129</v>
      </c>
      <c r="K6783" s="12" t="s">
        <v>23</v>
      </c>
      <c r="L6783" s="12">
        <v>1</v>
      </c>
      <c r="M6783" s="15">
        <v>103180</v>
      </c>
      <c r="N6783" s="15">
        <v>0</v>
      </c>
      <c r="O6783" s="15">
        <f t="shared" si="577"/>
        <v>103180</v>
      </c>
      <c r="P6783" s="15">
        <f t="shared" si="576"/>
        <v>11.000000000000002</v>
      </c>
      <c r="Q6783" s="14">
        <v>5000</v>
      </c>
      <c r="R6783" s="12">
        <v>100</v>
      </c>
      <c r="S6783" s="12" t="s">
        <v>8272</v>
      </c>
      <c r="T6783" s="22">
        <f t="shared" si="573"/>
        <v>5</v>
      </c>
      <c r="U6783" s="22">
        <f t="shared" si="574"/>
        <v>2023</v>
      </c>
      <c r="V6783" s="22" t="str">
        <f t="shared" si="575"/>
        <v>METROPOLITANA</v>
      </c>
    </row>
    <row r="6784" spans="1:22" x14ac:dyDescent="0.2">
      <c r="A6784" s="11" t="s">
        <v>8267</v>
      </c>
      <c r="B6784" s="12" t="s">
        <v>33</v>
      </c>
      <c r="C6784" s="12" t="s">
        <v>29</v>
      </c>
      <c r="D6784" s="12" t="s">
        <v>7089</v>
      </c>
      <c r="E6784" s="13" t="s">
        <v>6967</v>
      </c>
      <c r="F6784" s="12" t="s">
        <v>114</v>
      </c>
      <c r="G6784" s="14">
        <v>15706.599999999989</v>
      </c>
      <c r="H6784" s="12" t="s">
        <v>24</v>
      </c>
      <c r="I6784" s="12">
        <v>1</v>
      </c>
      <c r="J6784" s="12" t="s">
        <v>114</v>
      </c>
      <c r="K6784" s="12" t="s">
        <v>75</v>
      </c>
      <c r="L6784" s="12">
        <v>0</v>
      </c>
      <c r="M6784" s="15">
        <v>528000</v>
      </c>
      <c r="N6784" s="15">
        <v>0</v>
      </c>
      <c r="O6784" s="15">
        <f t="shared" si="577"/>
        <v>528000</v>
      </c>
      <c r="P6784" s="15">
        <f t="shared" si="576"/>
        <v>33.616441495931667</v>
      </c>
      <c r="Q6784" s="14">
        <v>14000</v>
      </c>
      <c r="R6784" s="12">
        <v>100</v>
      </c>
      <c r="S6784" s="12" t="s">
        <v>8273</v>
      </c>
      <c r="T6784" s="22">
        <f t="shared" si="573"/>
        <v>5</v>
      </c>
      <c r="U6784" s="22">
        <f t="shared" si="574"/>
        <v>2023</v>
      </c>
      <c r="V6784" s="22" t="str">
        <f t="shared" si="575"/>
        <v>REGIONES</v>
      </c>
    </row>
    <row r="6785" spans="1:22" x14ac:dyDescent="0.2">
      <c r="A6785" s="11" t="s">
        <v>8267</v>
      </c>
      <c r="B6785" s="12" t="s">
        <v>33</v>
      </c>
      <c r="C6785" s="12" t="s">
        <v>29</v>
      </c>
      <c r="D6785" s="12" t="s">
        <v>7075</v>
      </c>
      <c r="E6785" s="13" t="s">
        <v>7076</v>
      </c>
      <c r="F6785" s="12" t="s">
        <v>114</v>
      </c>
      <c r="G6785" s="14">
        <v>16508.8</v>
      </c>
      <c r="H6785" s="12" t="s">
        <v>24</v>
      </c>
      <c r="I6785" s="12">
        <v>1</v>
      </c>
      <c r="J6785" s="12" t="s">
        <v>114</v>
      </c>
      <c r="K6785" s="12" t="s">
        <v>75</v>
      </c>
      <c r="L6785" s="12">
        <v>0</v>
      </c>
      <c r="M6785" s="15">
        <v>528000</v>
      </c>
      <c r="N6785" s="15">
        <v>0</v>
      </c>
      <c r="O6785" s="15">
        <f t="shared" si="577"/>
        <v>528000</v>
      </c>
      <c r="P6785" s="15">
        <f t="shared" si="576"/>
        <v>31.982942430703627</v>
      </c>
      <c r="Q6785" s="14">
        <v>14000</v>
      </c>
      <c r="R6785" s="12">
        <v>100</v>
      </c>
      <c r="S6785" s="12" t="s">
        <v>8274</v>
      </c>
      <c r="T6785" s="22">
        <f t="shared" si="573"/>
        <v>5</v>
      </c>
      <c r="U6785" s="22">
        <f t="shared" si="574"/>
        <v>2023</v>
      </c>
      <c r="V6785" s="22" t="str">
        <f t="shared" si="575"/>
        <v>REGIONES</v>
      </c>
    </row>
    <row r="6786" spans="1:22" x14ac:dyDescent="0.2">
      <c r="A6786" s="11" t="s">
        <v>8267</v>
      </c>
      <c r="B6786" s="12" t="s">
        <v>33</v>
      </c>
      <c r="C6786" s="12" t="s">
        <v>44</v>
      </c>
      <c r="D6786" s="12" t="s">
        <v>45</v>
      </c>
      <c r="E6786" s="13" t="s">
        <v>49</v>
      </c>
      <c r="F6786" s="12" t="s">
        <v>137</v>
      </c>
      <c r="G6786" s="14">
        <v>2902.6</v>
      </c>
      <c r="H6786" s="12" t="s">
        <v>22</v>
      </c>
      <c r="I6786" s="12">
        <v>0</v>
      </c>
      <c r="J6786" s="12" t="s">
        <v>137</v>
      </c>
      <c r="K6786" s="12" t="s">
        <v>23</v>
      </c>
      <c r="L6786" s="12">
        <v>1</v>
      </c>
      <c r="M6786" s="15">
        <v>69173</v>
      </c>
      <c r="N6786" s="15">
        <v>0</v>
      </c>
      <c r="O6786" s="15">
        <f t="shared" si="577"/>
        <v>69173</v>
      </c>
      <c r="P6786" s="15">
        <f t="shared" si="576"/>
        <v>23.831392544615174</v>
      </c>
      <c r="Q6786" s="14">
        <v>5000</v>
      </c>
      <c r="R6786" s="12">
        <v>58</v>
      </c>
      <c r="S6786" s="12" t="s">
        <v>8275</v>
      </c>
      <c r="T6786" s="22">
        <f t="shared" si="573"/>
        <v>5</v>
      </c>
      <c r="U6786" s="22">
        <f t="shared" si="574"/>
        <v>2023</v>
      </c>
      <c r="V6786" s="22" t="str">
        <f t="shared" si="575"/>
        <v>METROPOLITANA</v>
      </c>
    </row>
    <row r="6787" spans="1:22" x14ac:dyDescent="0.2">
      <c r="A6787" s="11" t="s">
        <v>8267</v>
      </c>
      <c r="B6787" s="12" t="s">
        <v>33</v>
      </c>
      <c r="C6787" s="12" t="s">
        <v>44</v>
      </c>
      <c r="D6787" s="12" t="s">
        <v>35</v>
      </c>
      <c r="E6787" s="13" t="s">
        <v>52</v>
      </c>
      <c r="F6787" s="12" t="s">
        <v>95</v>
      </c>
      <c r="G6787" s="14">
        <v>2726.88</v>
      </c>
      <c r="H6787" s="12" t="s">
        <v>22</v>
      </c>
      <c r="I6787" s="12">
        <v>0</v>
      </c>
      <c r="J6787" s="12" t="s">
        <v>95</v>
      </c>
      <c r="K6787" s="12" t="s">
        <v>23</v>
      </c>
      <c r="L6787" s="12">
        <v>4</v>
      </c>
      <c r="M6787" s="15">
        <v>69173</v>
      </c>
      <c r="N6787" s="15">
        <v>0</v>
      </c>
      <c r="O6787" s="15">
        <f t="shared" si="577"/>
        <v>69173</v>
      </c>
      <c r="P6787" s="15">
        <f t="shared" si="576"/>
        <v>25.36708619374523</v>
      </c>
      <c r="Q6787" s="14">
        <v>5000</v>
      </c>
      <c r="R6787" s="12">
        <v>55</v>
      </c>
      <c r="S6787" s="12" t="s">
        <v>8276</v>
      </c>
      <c r="T6787" s="22">
        <f t="shared" si="573"/>
        <v>5</v>
      </c>
      <c r="U6787" s="22">
        <f t="shared" si="574"/>
        <v>2023</v>
      </c>
      <c r="V6787" s="22" t="str">
        <f t="shared" si="575"/>
        <v>METROPOLITANA</v>
      </c>
    </row>
    <row r="6788" spans="1:22" x14ac:dyDescent="0.2">
      <c r="A6788" s="11" t="s">
        <v>8267</v>
      </c>
      <c r="B6788" s="12" t="s">
        <v>33</v>
      </c>
      <c r="C6788" s="12" t="s">
        <v>44</v>
      </c>
      <c r="D6788" s="12" t="s">
        <v>8219</v>
      </c>
      <c r="E6788" s="13" t="s">
        <v>8220</v>
      </c>
      <c r="F6788" s="12" t="s">
        <v>53</v>
      </c>
      <c r="G6788" s="14">
        <v>2471.3000000000002</v>
      </c>
      <c r="H6788" s="12" t="s">
        <v>24</v>
      </c>
      <c r="I6788" s="12">
        <v>1</v>
      </c>
      <c r="J6788" s="12" t="s">
        <v>53</v>
      </c>
      <c r="K6788" s="12" t="s">
        <v>23</v>
      </c>
      <c r="L6788" s="12">
        <v>3</v>
      </c>
      <c r="M6788" s="15">
        <v>69173</v>
      </c>
      <c r="N6788" s="15">
        <v>0</v>
      </c>
      <c r="O6788" s="15">
        <f t="shared" si="577"/>
        <v>69173</v>
      </c>
      <c r="P6788" s="15">
        <f t="shared" si="576"/>
        <v>27.990531299316146</v>
      </c>
      <c r="Q6788" s="14">
        <v>5000</v>
      </c>
      <c r="R6788" s="12">
        <v>49</v>
      </c>
      <c r="S6788" s="12" t="s">
        <v>8277</v>
      </c>
      <c r="T6788" s="22">
        <f t="shared" si="573"/>
        <v>5</v>
      </c>
      <c r="U6788" s="22">
        <f t="shared" si="574"/>
        <v>2023</v>
      </c>
      <c r="V6788" s="22" t="str">
        <f t="shared" si="575"/>
        <v>METROPOLITANA</v>
      </c>
    </row>
    <row r="6789" spans="1:22" x14ac:dyDescent="0.2">
      <c r="A6789" s="23" t="s">
        <v>8278</v>
      </c>
      <c r="B6789" s="22" t="s">
        <v>18</v>
      </c>
      <c r="C6789" s="22" t="s">
        <v>57</v>
      </c>
      <c r="D6789" s="22" t="s">
        <v>38</v>
      </c>
      <c r="E6789" s="24" t="s">
        <v>25</v>
      </c>
      <c r="F6789" s="22" t="s">
        <v>800</v>
      </c>
      <c r="G6789" s="25">
        <v>5341.8199999999988</v>
      </c>
      <c r="H6789" s="22" t="s">
        <v>43</v>
      </c>
      <c r="I6789" s="22">
        <v>0</v>
      </c>
      <c r="J6789" s="22" t="s">
        <v>800</v>
      </c>
      <c r="K6789" s="22" t="s">
        <v>23</v>
      </c>
      <c r="L6789" s="22">
        <v>5</v>
      </c>
      <c r="M6789" s="26">
        <v>112500</v>
      </c>
      <c r="N6789" s="26">
        <v>0</v>
      </c>
      <c r="O6789" s="15">
        <f t="shared" si="577"/>
        <v>112500</v>
      </c>
      <c r="P6789" s="15">
        <f t="shared" si="576"/>
        <v>21.060237896447283</v>
      </c>
      <c r="Q6789" s="25">
        <v>10000</v>
      </c>
      <c r="R6789" s="22">
        <v>53</v>
      </c>
      <c r="S6789" s="22" t="s">
        <v>8279</v>
      </c>
      <c r="T6789" s="22">
        <f t="shared" si="573"/>
        <v>5</v>
      </c>
      <c r="U6789" s="22">
        <f t="shared" si="574"/>
        <v>2023</v>
      </c>
      <c r="V6789" s="22" t="str">
        <f t="shared" si="575"/>
        <v>METROPOLITANA</v>
      </c>
    </row>
    <row r="6790" spans="1:22" x14ac:dyDescent="0.2">
      <c r="A6790" s="23" t="s">
        <v>8278</v>
      </c>
      <c r="B6790" s="22" t="s">
        <v>18</v>
      </c>
      <c r="C6790" s="22" t="s">
        <v>7400</v>
      </c>
      <c r="D6790" s="22" t="s">
        <v>8219</v>
      </c>
      <c r="E6790" s="24" t="s">
        <v>8220</v>
      </c>
      <c r="F6790" s="22" t="s">
        <v>51</v>
      </c>
      <c r="G6790" s="25">
        <v>6087.29</v>
      </c>
      <c r="H6790" s="22" t="s">
        <v>24</v>
      </c>
      <c r="I6790" s="22">
        <v>1</v>
      </c>
      <c r="J6790" s="22" t="s">
        <v>51</v>
      </c>
      <c r="K6790" s="22" t="s">
        <v>23</v>
      </c>
      <c r="L6790" s="22">
        <v>4</v>
      </c>
      <c r="M6790" s="26">
        <v>66960</v>
      </c>
      <c r="N6790" s="26">
        <v>0</v>
      </c>
      <c r="O6790" s="15">
        <f t="shared" si="577"/>
        <v>66960</v>
      </c>
      <c r="P6790" s="15">
        <f t="shared" si="576"/>
        <v>10.999968787424288</v>
      </c>
      <c r="Q6790" s="25">
        <v>5000</v>
      </c>
      <c r="R6790" s="22">
        <v>100</v>
      </c>
      <c r="S6790" s="22" t="s">
        <v>8280</v>
      </c>
      <c r="T6790" s="22">
        <f t="shared" si="573"/>
        <v>5</v>
      </c>
      <c r="U6790" s="22">
        <f t="shared" si="574"/>
        <v>2023</v>
      </c>
      <c r="V6790" s="22" t="str">
        <f t="shared" si="575"/>
        <v>METROPOLITANA</v>
      </c>
    </row>
    <row r="6791" spans="1:22" x14ac:dyDescent="0.2">
      <c r="A6791" s="23" t="s">
        <v>8278</v>
      </c>
      <c r="B6791" s="22" t="s">
        <v>33</v>
      </c>
      <c r="C6791" s="22" t="s">
        <v>8237</v>
      </c>
      <c r="D6791" s="22" t="s">
        <v>20</v>
      </c>
      <c r="E6791" s="24" t="s">
        <v>21</v>
      </c>
      <c r="F6791" s="22" t="s">
        <v>129</v>
      </c>
      <c r="G6791" s="25">
        <v>5762.27</v>
      </c>
      <c r="H6791" s="22" t="s">
        <v>22</v>
      </c>
      <c r="I6791" s="22">
        <v>0</v>
      </c>
      <c r="J6791" s="22" t="s">
        <v>129</v>
      </c>
      <c r="K6791" s="22" t="s">
        <v>23</v>
      </c>
      <c r="L6791" s="22">
        <v>1</v>
      </c>
      <c r="M6791" s="26">
        <v>63385</v>
      </c>
      <c r="N6791" s="26">
        <v>0</v>
      </c>
      <c r="O6791" s="15">
        <f t="shared" si="577"/>
        <v>63385</v>
      </c>
      <c r="P6791" s="15">
        <f t="shared" si="576"/>
        <v>11.000005206281552</v>
      </c>
      <c r="Q6791" s="25">
        <v>5000</v>
      </c>
      <c r="R6791" s="22">
        <v>100</v>
      </c>
      <c r="S6791" s="22" t="s">
        <v>8281</v>
      </c>
      <c r="T6791" s="22">
        <f t="shared" ref="T6791:T6854" si="578">MONTH(A6791)</f>
        <v>5</v>
      </c>
      <c r="U6791" s="22">
        <f t="shared" ref="U6791:U6854" si="579">YEAR(A6791)</f>
        <v>2023</v>
      </c>
      <c r="V6791" s="22" t="str">
        <f t="shared" ref="V6791:V6854" si="580">IF(K6791="METROPOLITANA DE SANTIAGO","METROPOLITANA","REGIONES")</f>
        <v>METROPOLITANA</v>
      </c>
    </row>
    <row r="6792" spans="1:22" x14ac:dyDescent="0.2">
      <c r="A6792" s="23" t="s">
        <v>8278</v>
      </c>
      <c r="B6792" s="22" t="s">
        <v>33</v>
      </c>
      <c r="C6792" s="22" t="s">
        <v>2862</v>
      </c>
      <c r="D6792" s="22" t="s">
        <v>38</v>
      </c>
      <c r="E6792" s="24" t="s">
        <v>25</v>
      </c>
      <c r="F6792" s="22" t="s">
        <v>129</v>
      </c>
      <c r="G6792" s="25">
        <v>9379.9999999999982</v>
      </c>
      <c r="H6792" s="22" t="s">
        <v>43</v>
      </c>
      <c r="I6792" s="22">
        <v>0</v>
      </c>
      <c r="J6792" s="22" t="s">
        <v>129</v>
      </c>
      <c r="K6792" s="22" t="s">
        <v>23</v>
      </c>
      <c r="L6792" s="22">
        <v>1</v>
      </c>
      <c r="M6792" s="26">
        <v>103180</v>
      </c>
      <c r="N6792" s="26">
        <v>0</v>
      </c>
      <c r="O6792" s="15">
        <f t="shared" si="577"/>
        <v>103180</v>
      </c>
      <c r="P6792" s="15">
        <f t="shared" si="576"/>
        <v>11.000000000000002</v>
      </c>
      <c r="Q6792" s="25">
        <v>5000</v>
      </c>
      <c r="R6792" s="22">
        <v>100</v>
      </c>
      <c r="S6792" s="22" t="s">
        <v>8282</v>
      </c>
      <c r="T6792" s="22">
        <f t="shared" si="578"/>
        <v>5</v>
      </c>
      <c r="U6792" s="22">
        <f t="shared" si="579"/>
        <v>2023</v>
      </c>
      <c r="V6792" s="22" t="str">
        <f t="shared" si="580"/>
        <v>METROPOLITANA</v>
      </c>
    </row>
    <row r="6793" spans="1:22" x14ac:dyDescent="0.2">
      <c r="A6793" s="23" t="s">
        <v>8278</v>
      </c>
      <c r="B6793" s="22" t="s">
        <v>33</v>
      </c>
      <c r="C6793" s="22" t="s">
        <v>29</v>
      </c>
      <c r="D6793" s="22" t="s">
        <v>8283</v>
      </c>
      <c r="E6793" s="24" t="s">
        <v>8284</v>
      </c>
      <c r="F6793" s="22" t="s">
        <v>132</v>
      </c>
      <c r="G6793" s="25">
        <v>13705.54000000001</v>
      </c>
      <c r="H6793" s="22" t="s">
        <v>24</v>
      </c>
      <c r="I6793" s="22">
        <v>1</v>
      </c>
      <c r="J6793" s="22" t="s">
        <v>132</v>
      </c>
      <c r="K6793" s="22" t="s">
        <v>124</v>
      </c>
      <c r="L6793" s="22">
        <v>0</v>
      </c>
      <c r="M6793" s="26">
        <v>500000</v>
      </c>
      <c r="N6793" s="26">
        <v>0</v>
      </c>
      <c r="O6793" s="15">
        <f t="shared" si="577"/>
        <v>500000</v>
      </c>
      <c r="P6793" s="15">
        <f t="shared" si="576"/>
        <v>36.481597952360843</v>
      </c>
      <c r="Q6793" s="25">
        <v>14000</v>
      </c>
      <c r="R6793" s="22">
        <v>98</v>
      </c>
      <c r="S6793" s="22" t="s">
        <v>8285</v>
      </c>
      <c r="T6793" s="22">
        <f t="shared" si="578"/>
        <v>5</v>
      </c>
      <c r="U6793" s="22">
        <f t="shared" si="579"/>
        <v>2023</v>
      </c>
      <c r="V6793" s="22" t="str">
        <f t="shared" si="580"/>
        <v>REGIONES</v>
      </c>
    </row>
    <row r="6794" spans="1:22" x14ac:dyDescent="0.2">
      <c r="A6794" s="23" t="s">
        <v>8278</v>
      </c>
      <c r="B6794" s="22" t="s">
        <v>33</v>
      </c>
      <c r="C6794" s="22" t="s">
        <v>29</v>
      </c>
      <c r="D6794" s="22" t="s">
        <v>30</v>
      </c>
      <c r="E6794" s="24" t="s">
        <v>31</v>
      </c>
      <c r="F6794" s="22" t="s">
        <v>876</v>
      </c>
      <c r="G6794" s="25">
        <v>8264.0399999999991</v>
      </c>
      <c r="H6794" s="22" t="s">
        <v>32</v>
      </c>
      <c r="I6794" s="22">
        <v>0</v>
      </c>
      <c r="J6794" s="22" t="s">
        <v>876</v>
      </c>
      <c r="K6794" s="22" t="s">
        <v>86</v>
      </c>
      <c r="L6794" s="22">
        <v>0</v>
      </c>
      <c r="M6794" s="26">
        <v>310000</v>
      </c>
      <c r="N6794" s="26">
        <v>0</v>
      </c>
      <c r="O6794" s="15">
        <f t="shared" si="577"/>
        <v>310000</v>
      </c>
      <c r="P6794" s="15">
        <f t="shared" si="576"/>
        <v>37.511919109781658</v>
      </c>
      <c r="Q6794" s="25">
        <v>14000</v>
      </c>
      <c r="R6794" s="22">
        <v>59</v>
      </c>
      <c r="S6794" s="22" t="s">
        <v>8286</v>
      </c>
      <c r="T6794" s="22">
        <f t="shared" si="578"/>
        <v>5</v>
      </c>
      <c r="U6794" s="22">
        <f t="shared" si="579"/>
        <v>2023</v>
      </c>
      <c r="V6794" s="22" t="str">
        <f t="shared" si="580"/>
        <v>REGIONES</v>
      </c>
    </row>
    <row r="6795" spans="1:22" x14ac:dyDescent="0.2">
      <c r="A6795" s="23" t="s">
        <v>8278</v>
      </c>
      <c r="B6795" s="22" t="s">
        <v>33</v>
      </c>
      <c r="C6795" s="22" t="s">
        <v>29</v>
      </c>
      <c r="D6795" s="22" t="s">
        <v>164</v>
      </c>
      <c r="E6795" s="24" t="s">
        <v>1576</v>
      </c>
      <c r="F6795" s="22" t="s">
        <v>39</v>
      </c>
      <c r="G6795" s="25">
        <v>16289.410000000011</v>
      </c>
      <c r="H6795" s="22" t="s">
        <v>22</v>
      </c>
      <c r="I6795" s="22">
        <v>1</v>
      </c>
      <c r="J6795" s="22" t="s">
        <v>39</v>
      </c>
      <c r="K6795" s="22" t="s">
        <v>23</v>
      </c>
      <c r="L6795" s="22">
        <v>1</v>
      </c>
      <c r="M6795" s="26">
        <v>179184</v>
      </c>
      <c r="N6795" s="26">
        <v>0</v>
      </c>
      <c r="O6795" s="15">
        <f t="shared" si="577"/>
        <v>179184</v>
      </c>
      <c r="P6795" s="15">
        <f t="shared" si="576"/>
        <v>11.000030080893039</v>
      </c>
      <c r="Q6795" s="25">
        <v>5000</v>
      </c>
      <c r="R6795" s="22">
        <v>100</v>
      </c>
      <c r="S6795" s="22" t="s">
        <v>8287</v>
      </c>
      <c r="T6795" s="22">
        <f t="shared" si="578"/>
        <v>5</v>
      </c>
      <c r="U6795" s="22">
        <f t="shared" si="579"/>
        <v>2023</v>
      </c>
      <c r="V6795" s="22" t="str">
        <f t="shared" si="580"/>
        <v>METROPOLITANA</v>
      </c>
    </row>
    <row r="6796" spans="1:22" x14ac:dyDescent="0.2">
      <c r="A6796" s="23" t="s">
        <v>8278</v>
      </c>
      <c r="B6796" s="22" t="s">
        <v>33</v>
      </c>
      <c r="C6796" s="22" t="s">
        <v>29</v>
      </c>
      <c r="D6796" s="22" t="s">
        <v>20</v>
      </c>
      <c r="E6796" s="24" t="s">
        <v>21</v>
      </c>
      <c r="F6796" s="22" t="s">
        <v>39</v>
      </c>
      <c r="G6796" s="25">
        <v>8590.8000000000011</v>
      </c>
      <c r="H6796" s="22" t="s">
        <v>22</v>
      </c>
      <c r="I6796" s="22">
        <v>0</v>
      </c>
      <c r="J6796" s="22" t="s">
        <v>39</v>
      </c>
      <c r="K6796" s="22" t="s">
        <v>23</v>
      </c>
      <c r="L6796" s="22">
        <v>1</v>
      </c>
      <c r="M6796" s="26">
        <v>94499</v>
      </c>
      <c r="N6796" s="26">
        <v>0</v>
      </c>
      <c r="O6796" s="15">
        <f t="shared" si="577"/>
        <v>94499</v>
      </c>
      <c r="P6796" s="15">
        <f t="shared" si="576"/>
        <v>11.000023280718906</v>
      </c>
      <c r="Q6796" s="25">
        <v>5000</v>
      </c>
      <c r="R6796" s="22">
        <v>100</v>
      </c>
      <c r="S6796" s="22" t="s">
        <v>8288</v>
      </c>
      <c r="T6796" s="22">
        <f t="shared" si="578"/>
        <v>5</v>
      </c>
      <c r="U6796" s="22">
        <f t="shared" si="579"/>
        <v>2023</v>
      </c>
      <c r="V6796" s="22" t="str">
        <f t="shared" si="580"/>
        <v>METROPOLITANA</v>
      </c>
    </row>
    <row r="6797" spans="1:22" x14ac:dyDescent="0.2">
      <c r="A6797" s="23" t="s">
        <v>8278</v>
      </c>
      <c r="B6797" s="22" t="s">
        <v>33</v>
      </c>
      <c r="C6797" s="22" t="s">
        <v>44</v>
      </c>
      <c r="D6797" s="22" t="s">
        <v>37</v>
      </c>
      <c r="E6797" s="24" t="s">
        <v>40</v>
      </c>
      <c r="F6797" s="22" t="s">
        <v>48</v>
      </c>
      <c r="G6797" s="25">
        <v>7384.16</v>
      </c>
      <c r="H6797" s="22" t="s">
        <v>22</v>
      </c>
      <c r="I6797" s="22">
        <v>0</v>
      </c>
      <c r="J6797" s="22" t="s">
        <v>48</v>
      </c>
      <c r="K6797" s="22" t="s">
        <v>23</v>
      </c>
      <c r="L6797" s="22">
        <v>1</v>
      </c>
      <c r="M6797" s="26">
        <v>81226</v>
      </c>
      <c r="N6797" s="26">
        <v>0</v>
      </c>
      <c r="O6797" s="15">
        <f t="shared" si="577"/>
        <v>81226</v>
      </c>
      <c r="P6797" s="15">
        <f t="shared" si="576"/>
        <v>11.00003250200429</v>
      </c>
      <c r="Q6797" s="25">
        <v>5000</v>
      </c>
      <c r="R6797" s="22">
        <v>100</v>
      </c>
      <c r="S6797" s="22" t="s">
        <v>8289</v>
      </c>
      <c r="T6797" s="22">
        <f t="shared" si="578"/>
        <v>5</v>
      </c>
      <c r="U6797" s="22">
        <f t="shared" si="579"/>
        <v>2023</v>
      </c>
      <c r="V6797" s="22" t="str">
        <f t="shared" si="580"/>
        <v>METROPOLITANA</v>
      </c>
    </row>
    <row r="6798" spans="1:22" x14ac:dyDescent="0.2">
      <c r="A6798" s="11" t="s">
        <v>8290</v>
      </c>
      <c r="B6798" s="12" t="s">
        <v>18</v>
      </c>
      <c r="C6798" s="12" t="s">
        <v>57</v>
      </c>
      <c r="D6798" s="12" t="s">
        <v>30</v>
      </c>
      <c r="E6798" s="13" t="s">
        <v>31</v>
      </c>
      <c r="F6798" s="12" t="s">
        <v>800</v>
      </c>
      <c r="G6798" s="14">
        <v>3515.65</v>
      </c>
      <c r="H6798" s="12" t="s">
        <v>32</v>
      </c>
      <c r="I6798" s="12">
        <v>0</v>
      </c>
      <c r="J6798" s="12" t="s">
        <v>800</v>
      </c>
      <c r="K6798" s="12" t="s">
        <v>23</v>
      </c>
      <c r="L6798" s="12">
        <v>5</v>
      </c>
      <c r="M6798" s="15">
        <v>112500</v>
      </c>
      <c r="N6798" s="15">
        <v>0</v>
      </c>
      <c r="O6798" s="15">
        <f t="shared" si="577"/>
        <v>112500</v>
      </c>
      <c r="P6798" s="15">
        <f t="shared" si="576"/>
        <v>31.999772446062604</v>
      </c>
      <c r="Q6798" s="14">
        <v>10000</v>
      </c>
      <c r="R6798" s="12">
        <v>35</v>
      </c>
      <c r="S6798" s="12" t="s">
        <v>8291</v>
      </c>
      <c r="T6798" s="22">
        <f t="shared" si="578"/>
        <v>5</v>
      </c>
      <c r="U6798" s="22">
        <f t="shared" si="579"/>
        <v>2023</v>
      </c>
      <c r="V6798" s="22" t="str">
        <f t="shared" si="580"/>
        <v>METROPOLITANA</v>
      </c>
    </row>
    <row r="6799" spans="1:22" x14ac:dyDescent="0.2">
      <c r="A6799" s="11" t="s">
        <v>8290</v>
      </c>
      <c r="B6799" s="12" t="s">
        <v>18</v>
      </c>
      <c r="C6799" s="12" t="s">
        <v>7400</v>
      </c>
      <c r="D6799" s="12" t="s">
        <v>37</v>
      </c>
      <c r="E6799" s="13" t="s">
        <v>40</v>
      </c>
      <c r="F6799" s="12" t="s">
        <v>51</v>
      </c>
      <c r="G6799" s="14">
        <v>6726.06</v>
      </c>
      <c r="H6799" s="12" t="s">
        <v>22</v>
      </c>
      <c r="I6799" s="12">
        <v>0</v>
      </c>
      <c r="J6799" s="12" t="s">
        <v>51</v>
      </c>
      <c r="K6799" s="12" t="s">
        <v>23</v>
      </c>
      <c r="L6799" s="12">
        <v>4</v>
      </c>
      <c r="M6799" s="15">
        <v>73987</v>
      </c>
      <c r="N6799" s="15">
        <v>0</v>
      </c>
      <c r="O6799" s="15">
        <f t="shared" si="577"/>
        <v>73987</v>
      </c>
      <c r="P6799" s="15">
        <f t="shared" si="576"/>
        <v>11.000050549653139</v>
      </c>
      <c r="Q6799" s="14">
        <v>5000</v>
      </c>
      <c r="R6799" s="12">
        <v>100</v>
      </c>
      <c r="S6799" s="12" t="s">
        <v>8292</v>
      </c>
      <c r="T6799" s="22">
        <f t="shared" si="578"/>
        <v>5</v>
      </c>
      <c r="U6799" s="22">
        <f t="shared" si="579"/>
        <v>2023</v>
      </c>
      <c r="V6799" s="22" t="str">
        <f t="shared" si="580"/>
        <v>METROPOLITANA</v>
      </c>
    </row>
    <row r="6800" spans="1:22" x14ac:dyDescent="0.2">
      <c r="A6800" s="11" t="s">
        <v>8290</v>
      </c>
      <c r="B6800" s="12" t="s">
        <v>18</v>
      </c>
      <c r="C6800" s="12" t="s">
        <v>7400</v>
      </c>
      <c r="D6800" s="12" t="s">
        <v>20</v>
      </c>
      <c r="E6800" s="13" t="s">
        <v>21</v>
      </c>
      <c r="F6800" s="12" t="s">
        <v>230</v>
      </c>
      <c r="G6800" s="14">
        <v>7817.2699999999986</v>
      </c>
      <c r="H6800" s="12" t="s">
        <v>22</v>
      </c>
      <c r="I6800" s="12">
        <v>0</v>
      </c>
      <c r="J6800" s="12" t="s">
        <v>230</v>
      </c>
      <c r="K6800" s="12" t="s">
        <v>23</v>
      </c>
      <c r="L6800" s="12">
        <v>4</v>
      </c>
      <c r="M6800" s="15">
        <v>85990</v>
      </c>
      <c r="N6800" s="15">
        <v>0</v>
      </c>
      <c r="O6800" s="15">
        <f t="shared" si="577"/>
        <v>85990</v>
      </c>
      <c r="P6800" s="15">
        <f t="shared" si="576"/>
        <v>11.000003837656882</v>
      </c>
      <c r="Q6800" s="14">
        <v>5000</v>
      </c>
      <c r="R6800" s="12">
        <v>100</v>
      </c>
      <c r="S6800" s="12" t="s">
        <v>8293</v>
      </c>
      <c r="T6800" s="22">
        <f t="shared" si="578"/>
        <v>5</v>
      </c>
      <c r="U6800" s="22">
        <f t="shared" si="579"/>
        <v>2023</v>
      </c>
      <c r="V6800" s="22" t="str">
        <f t="shared" si="580"/>
        <v>METROPOLITANA</v>
      </c>
    </row>
    <row r="6801" spans="1:22" x14ac:dyDescent="0.2">
      <c r="A6801" s="11" t="s">
        <v>8290</v>
      </c>
      <c r="B6801" s="12" t="s">
        <v>18</v>
      </c>
      <c r="C6801" s="12" t="s">
        <v>5796</v>
      </c>
      <c r="D6801" s="12" t="s">
        <v>38</v>
      </c>
      <c r="E6801" s="13" t="s">
        <v>25</v>
      </c>
      <c r="F6801" s="12" t="s">
        <v>129</v>
      </c>
      <c r="G6801" s="14">
        <v>8061.5999999999976</v>
      </c>
      <c r="H6801" s="12" t="s">
        <v>43</v>
      </c>
      <c r="I6801" s="12">
        <v>0</v>
      </c>
      <c r="J6801" s="12" t="s">
        <v>129</v>
      </c>
      <c r="K6801" s="12" t="s">
        <v>23</v>
      </c>
      <c r="L6801" s="12">
        <v>1</v>
      </c>
      <c r="M6801" s="15">
        <v>88678</v>
      </c>
      <c r="N6801" s="15">
        <v>0</v>
      </c>
      <c r="O6801" s="15">
        <f t="shared" si="577"/>
        <v>88678</v>
      </c>
      <c r="P6801" s="15">
        <f t="shared" si="576"/>
        <v>11.000049617941851</v>
      </c>
      <c r="Q6801" s="14">
        <v>5000</v>
      </c>
      <c r="R6801" s="12">
        <v>100</v>
      </c>
      <c r="S6801" s="12" t="s">
        <v>8294</v>
      </c>
      <c r="T6801" s="22">
        <f t="shared" si="578"/>
        <v>5</v>
      </c>
      <c r="U6801" s="22">
        <f t="shared" si="579"/>
        <v>2023</v>
      </c>
      <c r="V6801" s="22" t="str">
        <f t="shared" si="580"/>
        <v>METROPOLITANA</v>
      </c>
    </row>
    <row r="6802" spans="1:22" x14ac:dyDescent="0.2">
      <c r="A6802" s="11" t="s">
        <v>8290</v>
      </c>
      <c r="B6802" s="12" t="s">
        <v>33</v>
      </c>
      <c r="C6802" s="12" t="s">
        <v>4880</v>
      </c>
      <c r="D6802" s="12" t="s">
        <v>7491</v>
      </c>
      <c r="E6802" s="13" t="s">
        <v>7938</v>
      </c>
      <c r="F6802" s="12" t="s">
        <v>129</v>
      </c>
      <c r="G6802" s="14">
        <v>8502</v>
      </c>
      <c r="H6802" s="12" t="s">
        <v>24</v>
      </c>
      <c r="I6802" s="12">
        <v>1</v>
      </c>
      <c r="J6802" s="12" t="s">
        <v>129</v>
      </c>
      <c r="K6802" s="12" t="s">
        <v>23</v>
      </c>
      <c r="L6802" s="12">
        <v>1</v>
      </c>
      <c r="M6802" s="15">
        <v>93522</v>
      </c>
      <c r="N6802" s="15">
        <v>0</v>
      </c>
      <c r="O6802" s="15">
        <f t="shared" si="577"/>
        <v>93522</v>
      </c>
      <c r="P6802" s="15">
        <f t="shared" si="576"/>
        <v>11</v>
      </c>
      <c r="Q6802" s="14">
        <v>5000</v>
      </c>
      <c r="R6802" s="12">
        <v>100</v>
      </c>
      <c r="S6802" s="12" t="s">
        <v>8295</v>
      </c>
      <c r="T6802" s="22">
        <f t="shared" si="578"/>
        <v>5</v>
      </c>
      <c r="U6802" s="22">
        <f t="shared" si="579"/>
        <v>2023</v>
      </c>
      <c r="V6802" s="22" t="str">
        <f t="shared" si="580"/>
        <v>METROPOLITANA</v>
      </c>
    </row>
    <row r="6803" spans="1:22" x14ac:dyDescent="0.2">
      <c r="A6803" s="11" t="s">
        <v>8290</v>
      </c>
      <c r="B6803" s="12" t="s">
        <v>33</v>
      </c>
      <c r="C6803" s="12" t="s">
        <v>128</v>
      </c>
      <c r="D6803" s="12" t="s">
        <v>786</v>
      </c>
      <c r="E6803" s="13" t="s">
        <v>787</v>
      </c>
      <c r="F6803" s="12" t="s">
        <v>34</v>
      </c>
      <c r="G6803" s="14">
        <v>10325.629999999999</v>
      </c>
      <c r="H6803" s="12" t="s">
        <v>788</v>
      </c>
      <c r="I6803" s="12">
        <v>1</v>
      </c>
      <c r="J6803" s="12" t="s">
        <v>34</v>
      </c>
      <c r="K6803" s="12" t="s">
        <v>23</v>
      </c>
      <c r="L6803" s="12">
        <v>1</v>
      </c>
      <c r="M6803" s="15">
        <v>113582</v>
      </c>
      <c r="N6803" s="15">
        <v>0</v>
      </c>
      <c r="O6803" s="15">
        <f t="shared" si="577"/>
        <v>113582</v>
      </c>
      <c r="P6803" s="15">
        <f t="shared" si="576"/>
        <v>11.00000677924737</v>
      </c>
      <c r="Q6803" s="14">
        <v>5000</v>
      </c>
      <c r="R6803" s="12">
        <v>100</v>
      </c>
      <c r="S6803" s="12" t="s">
        <v>8296</v>
      </c>
      <c r="T6803" s="22">
        <f t="shared" si="578"/>
        <v>5</v>
      </c>
      <c r="U6803" s="22">
        <f t="shared" si="579"/>
        <v>2023</v>
      </c>
      <c r="V6803" s="22" t="str">
        <f t="shared" si="580"/>
        <v>METROPOLITANA</v>
      </c>
    </row>
    <row r="6804" spans="1:22" x14ac:dyDescent="0.2">
      <c r="A6804" s="11" t="s">
        <v>8290</v>
      </c>
      <c r="B6804" s="12" t="s">
        <v>33</v>
      </c>
      <c r="C6804" s="12" t="s">
        <v>29</v>
      </c>
      <c r="D6804" s="12" t="s">
        <v>5478</v>
      </c>
      <c r="E6804" s="13" t="s">
        <v>83</v>
      </c>
      <c r="F6804" s="12" t="s">
        <v>876</v>
      </c>
      <c r="G6804" s="14">
        <v>20417.34</v>
      </c>
      <c r="H6804" s="12" t="s">
        <v>24</v>
      </c>
      <c r="I6804" s="12">
        <v>1</v>
      </c>
      <c r="J6804" s="12" t="s">
        <v>876</v>
      </c>
      <c r="K6804" s="12" t="s">
        <v>86</v>
      </c>
      <c r="L6804" s="12">
        <v>0</v>
      </c>
      <c r="M6804" s="15">
        <v>420000</v>
      </c>
      <c r="N6804" s="15">
        <v>0</v>
      </c>
      <c r="O6804" s="15">
        <f t="shared" si="577"/>
        <v>420000</v>
      </c>
      <c r="P6804" s="15">
        <f t="shared" si="576"/>
        <v>20.570750156484635</v>
      </c>
      <c r="Q6804" s="14">
        <v>14000</v>
      </c>
      <c r="R6804" s="12">
        <v>100</v>
      </c>
      <c r="S6804" s="12" t="s">
        <v>8297</v>
      </c>
      <c r="T6804" s="22">
        <f t="shared" si="578"/>
        <v>5</v>
      </c>
      <c r="U6804" s="22">
        <f t="shared" si="579"/>
        <v>2023</v>
      </c>
      <c r="V6804" s="22" t="str">
        <f t="shared" si="580"/>
        <v>REGIONES</v>
      </c>
    </row>
    <row r="6805" spans="1:22" x14ac:dyDescent="0.2">
      <c r="A6805" s="11" t="s">
        <v>8290</v>
      </c>
      <c r="B6805" s="12" t="s">
        <v>33</v>
      </c>
      <c r="C6805" s="12" t="s">
        <v>29</v>
      </c>
      <c r="D6805" s="12" t="s">
        <v>37</v>
      </c>
      <c r="E6805" s="13" t="s">
        <v>40</v>
      </c>
      <c r="F6805" s="12" t="s">
        <v>173</v>
      </c>
      <c r="G6805" s="14">
        <v>7325.4399999999987</v>
      </c>
      <c r="H6805" s="12" t="s">
        <v>22</v>
      </c>
      <c r="I6805" s="12">
        <v>0</v>
      </c>
      <c r="J6805" s="12" t="s">
        <v>173</v>
      </c>
      <c r="K6805" s="12" t="s">
        <v>23</v>
      </c>
      <c r="L6805" s="12">
        <v>5</v>
      </c>
      <c r="M6805" s="15">
        <v>112500</v>
      </c>
      <c r="N6805" s="15">
        <v>0</v>
      </c>
      <c r="O6805" s="15">
        <f t="shared" si="577"/>
        <v>112500</v>
      </c>
      <c r="P6805" s="15">
        <f t="shared" si="576"/>
        <v>15.357439280097854</v>
      </c>
      <c r="Q6805" s="14">
        <v>10000</v>
      </c>
      <c r="R6805" s="12">
        <v>73</v>
      </c>
      <c r="S6805" s="12" t="s">
        <v>8298</v>
      </c>
      <c r="T6805" s="22">
        <f t="shared" si="578"/>
        <v>5</v>
      </c>
      <c r="U6805" s="22">
        <f t="shared" si="579"/>
        <v>2023</v>
      </c>
      <c r="V6805" s="22" t="str">
        <f t="shared" si="580"/>
        <v>METROPOLITANA</v>
      </c>
    </row>
    <row r="6806" spans="1:22" x14ac:dyDescent="0.2">
      <c r="A6806" s="11" t="s">
        <v>8290</v>
      </c>
      <c r="B6806" s="12" t="s">
        <v>33</v>
      </c>
      <c r="C6806" s="12" t="s">
        <v>44</v>
      </c>
      <c r="D6806" s="12" t="s">
        <v>3842</v>
      </c>
      <c r="E6806" s="13" t="s">
        <v>8299</v>
      </c>
      <c r="F6806" s="12" t="s">
        <v>3438</v>
      </c>
      <c r="G6806" s="14">
        <f>7327.8+3793</f>
        <v>11120.8</v>
      </c>
      <c r="H6806" s="12" t="s">
        <v>24</v>
      </c>
      <c r="I6806" s="12">
        <v>1</v>
      </c>
      <c r="J6806" s="12" t="s">
        <v>3438</v>
      </c>
      <c r="K6806" s="12" t="s">
        <v>93</v>
      </c>
      <c r="L6806" s="12">
        <v>0</v>
      </c>
      <c r="M6806" s="15">
        <v>1000000</v>
      </c>
      <c r="N6806" s="15">
        <v>0</v>
      </c>
      <c r="O6806" s="15">
        <f t="shared" si="577"/>
        <v>1000000</v>
      </c>
      <c r="P6806" s="15">
        <f t="shared" si="576"/>
        <v>89.921588374937059</v>
      </c>
      <c r="Q6806" s="14">
        <v>14000</v>
      </c>
      <c r="R6806" s="12">
        <v>80</v>
      </c>
      <c r="S6806" s="12" t="s">
        <v>8301</v>
      </c>
      <c r="T6806" s="22">
        <f t="shared" si="578"/>
        <v>5</v>
      </c>
      <c r="U6806" s="22">
        <f t="shared" si="579"/>
        <v>2023</v>
      </c>
      <c r="V6806" s="22" t="str">
        <f t="shared" si="580"/>
        <v>REGIONES</v>
      </c>
    </row>
    <row r="6807" spans="1:22" x14ac:dyDescent="0.2">
      <c r="A6807" s="11" t="s">
        <v>8290</v>
      </c>
      <c r="B6807" s="12" t="s">
        <v>33</v>
      </c>
      <c r="C6807" s="12" t="s">
        <v>4802</v>
      </c>
      <c r="D6807" s="12" t="s">
        <v>7491</v>
      </c>
      <c r="E6807" s="13" t="s">
        <v>7938</v>
      </c>
      <c r="F6807" s="12" t="s">
        <v>815</v>
      </c>
      <c r="G6807" s="14">
        <v>14170.000000000009</v>
      </c>
      <c r="H6807" s="12" t="s">
        <v>24</v>
      </c>
      <c r="I6807" s="12">
        <v>1</v>
      </c>
      <c r="J6807" s="12" t="s">
        <v>815</v>
      </c>
      <c r="K6807" s="12" t="s">
        <v>75</v>
      </c>
      <c r="L6807" s="12">
        <v>0</v>
      </c>
      <c r="M6807" s="15">
        <v>528000</v>
      </c>
      <c r="N6807" s="15">
        <v>0</v>
      </c>
      <c r="O6807" s="15">
        <f t="shared" si="577"/>
        <v>528000</v>
      </c>
      <c r="P6807" s="15">
        <f t="shared" si="576"/>
        <v>37.261820748059257</v>
      </c>
      <c r="Q6807" s="14">
        <v>14000</v>
      </c>
      <c r="R6807" s="12">
        <v>100</v>
      </c>
      <c r="S6807" s="12" t="s">
        <v>8300</v>
      </c>
      <c r="T6807" s="22">
        <f t="shared" si="578"/>
        <v>5</v>
      </c>
      <c r="U6807" s="22">
        <f t="shared" si="579"/>
        <v>2023</v>
      </c>
      <c r="V6807" s="22" t="str">
        <f t="shared" si="580"/>
        <v>REGIONES</v>
      </c>
    </row>
    <row r="6808" spans="1:22" x14ac:dyDescent="0.2">
      <c r="A6808" s="23" t="s">
        <v>8302</v>
      </c>
      <c r="B6808" s="22" t="s">
        <v>33</v>
      </c>
      <c r="C6808" s="22" t="s">
        <v>60</v>
      </c>
      <c r="D6808" s="22" t="s">
        <v>35</v>
      </c>
      <c r="E6808" s="24" t="s">
        <v>52</v>
      </c>
      <c r="F6808" s="22" t="s">
        <v>120</v>
      </c>
      <c r="G6808" s="25">
        <v>3565</v>
      </c>
      <c r="H6808" s="22" t="s">
        <v>22</v>
      </c>
      <c r="I6808" s="22">
        <v>0</v>
      </c>
      <c r="J6808" s="22" t="s">
        <v>120</v>
      </c>
      <c r="K6808" s="22" t="s">
        <v>23</v>
      </c>
      <c r="L6808" s="22">
        <v>5</v>
      </c>
      <c r="M6808" s="26">
        <v>112500</v>
      </c>
      <c r="N6808" s="26">
        <v>0</v>
      </c>
      <c r="O6808" s="15">
        <f t="shared" si="577"/>
        <v>112500</v>
      </c>
      <c r="P6808" s="15">
        <f t="shared" si="576"/>
        <v>31.556802244039272</v>
      </c>
      <c r="Q6808" s="25">
        <v>10000</v>
      </c>
      <c r="R6808" s="22">
        <v>36</v>
      </c>
      <c r="S6808" s="22" t="s">
        <v>8303</v>
      </c>
      <c r="T6808" s="22">
        <f t="shared" si="578"/>
        <v>5</v>
      </c>
      <c r="U6808" s="22">
        <f t="shared" si="579"/>
        <v>2023</v>
      </c>
      <c r="V6808" s="22" t="str">
        <f t="shared" si="580"/>
        <v>METROPOLITANA</v>
      </c>
    </row>
    <row r="6809" spans="1:22" x14ac:dyDescent="0.2">
      <c r="A6809" s="23" t="s">
        <v>8302</v>
      </c>
      <c r="B6809" s="22" t="s">
        <v>33</v>
      </c>
      <c r="C6809" s="22" t="s">
        <v>60</v>
      </c>
      <c r="D6809" s="22" t="s">
        <v>8219</v>
      </c>
      <c r="E6809" s="24" t="s">
        <v>8220</v>
      </c>
      <c r="F6809" s="22" t="s">
        <v>51</v>
      </c>
      <c r="G6809" s="25">
        <v>9004.7999999999975</v>
      </c>
      <c r="H6809" s="22" t="s">
        <v>24</v>
      </c>
      <c r="I6809" s="22">
        <v>1</v>
      </c>
      <c r="J6809" s="22" t="s">
        <v>51</v>
      </c>
      <c r="K6809" s="22" t="s">
        <v>23</v>
      </c>
      <c r="L6809" s="22">
        <v>4</v>
      </c>
      <c r="M6809" s="26">
        <v>99053</v>
      </c>
      <c r="N6809" s="26">
        <v>0</v>
      </c>
      <c r="O6809" s="15">
        <f t="shared" si="577"/>
        <v>99053</v>
      </c>
      <c r="P6809" s="15">
        <f t="shared" si="576"/>
        <v>11.000022210376692</v>
      </c>
      <c r="Q6809" s="25">
        <v>5000</v>
      </c>
      <c r="R6809" s="22">
        <v>100</v>
      </c>
      <c r="S6809" s="22" t="s">
        <v>8304</v>
      </c>
      <c r="T6809" s="22">
        <f t="shared" si="578"/>
        <v>5</v>
      </c>
      <c r="U6809" s="22">
        <f t="shared" si="579"/>
        <v>2023</v>
      </c>
      <c r="V6809" s="22" t="str">
        <f t="shared" si="580"/>
        <v>METROPOLITANA</v>
      </c>
    </row>
    <row r="6810" spans="1:22" x14ac:dyDescent="0.2">
      <c r="A6810" s="23" t="s">
        <v>8302</v>
      </c>
      <c r="B6810" s="22" t="s">
        <v>33</v>
      </c>
      <c r="C6810" s="22" t="s">
        <v>60</v>
      </c>
      <c r="D6810" s="22" t="s">
        <v>20</v>
      </c>
      <c r="E6810" s="24" t="s">
        <v>21</v>
      </c>
      <c r="F6810" s="22" t="s">
        <v>51</v>
      </c>
      <c r="G6810" s="25">
        <v>9755.1999999999971</v>
      </c>
      <c r="H6810" s="22" t="s">
        <v>22</v>
      </c>
      <c r="I6810" s="22">
        <v>0</v>
      </c>
      <c r="J6810" s="22" t="s">
        <v>51</v>
      </c>
      <c r="K6810" s="22" t="s">
        <v>23</v>
      </c>
      <c r="L6810" s="22">
        <v>4</v>
      </c>
      <c r="M6810" s="26">
        <v>107307</v>
      </c>
      <c r="N6810" s="26">
        <v>0</v>
      </c>
      <c r="O6810" s="15">
        <f t="shared" si="577"/>
        <v>107307</v>
      </c>
      <c r="P6810" s="15">
        <f t="shared" si="576"/>
        <v>10.999979498113829</v>
      </c>
      <c r="Q6810" s="25">
        <v>5000</v>
      </c>
      <c r="R6810" s="22">
        <v>100</v>
      </c>
      <c r="S6810" s="22" t="s">
        <v>8305</v>
      </c>
      <c r="T6810" s="22">
        <f t="shared" si="578"/>
        <v>5</v>
      </c>
      <c r="U6810" s="22">
        <f t="shared" si="579"/>
        <v>2023</v>
      </c>
      <c r="V6810" s="22" t="str">
        <f t="shared" si="580"/>
        <v>METROPOLITANA</v>
      </c>
    </row>
    <row r="6811" spans="1:22" x14ac:dyDescent="0.2">
      <c r="A6811" s="23" t="s">
        <v>8302</v>
      </c>
      <c r="B6811" s="22" t="s">
        <v>33</v>
      </c>
      <c r="C6811" s="22" t="s">
        <v>128</v>
      </c>
      <c r="D6811" s="22" t="s">
        <v>38</v>
      </c>
      <c r="E6811" s="24" t="s">
        <v>42</v>
      </c>
      <c r="F6811" s="22" t="s">
        <v>129</v>
      </c>
      <c r="G6811" s="25">
        <v>2145.2600000000002</v>
      </c>
      <c r="H6811" s="22" t="s">
        <v>43</v>
      </c>
      <c r="I6811" s="22">
        <v>0</v>
      </c>
      <c r="J6811" s="22" t="s">
        <v>129</v>
      </c>
      <c r="K6811" s="22" t="s">
        <v>23</v>
      </c>
      <c r="L6811" s="22">
        <v>1</v>
      </c>
      <c r="M6811" s="26">
        <v>69173</v>
      </c>
      <c r="N6811" s="26">
        <v>0</v>
      </c>
      <c r="O6811" s="15">
        <f t="shared" si="577"/>
        <v>69173</v>
      </c>
      <c r="P6811" s="15">
        <f t="shared" si="576"/>
        <v>32.244576414979996</v>
      </c>
      <c r="Q6811" s="25">
        <v>5000</v>
      </c>
      <c r="R6811" s="22">
        <v>43</v>
      </c>
      <c r="S6811" s="22" t="s">
        <v>8306</v>
      </c>
      <c r="T6811" s="22">
        <f t="shared" si="578"/>
        <v>5</v>
      </c>
      <c r="U6811" s="22">
        <f t="shared" si="579"/>
        <v>2023</v>
      </c>
      <c r="V6811" s="22" t="str">
        <f t="shared" si="580"/>
        <v>METROPOLITANA</v>
      </c>
    </row>
    <row r="6812" spans="1:22" x14ac:dyDescent="0.2">
      <c r="A6812" s="23" t="s">
        <v>8302</v>
      </c>
      <c r="B6812" s="22" t="s">
        <v>33</v>
      </c>
      <c r="C6812" s="22" t="s">
        <v>128</v>
      </c>
      <c r="D6812" s="22" t="s">
        <v>786</v>
      </c>
      <c r="E6812" s="24" t="s">
        <v>787</v>
      </c>
      <c r="F6812" s="22" t="s">
        <v>129</v>
      </c>
      <c r="G6812" s="25">
        <v>9661.2000000000007</v>
      </c>
      <c r="H6812" s="22" t="s">
        <v>788</v>
      </c>
      <c r="I6812" s="22">
        <v>1</v>
      </c>
      <c r="J6812" s="22" t="s">
        <v>129</v>
      </c>
      <c r="K6812" s="22" t="s">
        <v>23</v>
      </c>
      <c r="L6812" s="22">
        <v>1</v>
      </c>
      <c r="M6812" s="26">
        <v>106273</v>
      </c>
      <c r="N6812" s="26">
        <v>0</v>
      </c>
      <c r="O6812" s="15">
        <f t="shared" si="577"/>
        <v>106273</v>
      </c>
      <c r="P6812" s="15">
        <f t="shared" si="576"/>
        <v>10.99997929863785</v>
      </c>
      <c r="Q6812" s="25">
        <v>5000</v>
      </c>
      <c r="R6812" s="22">
        <v>100</v>
      </c>
      <c r="S6812" s="22" t="s">
        <v>8307</v>
      </c>
      <c r="T6812" s="22">
        <f t="shared" si="578"/>
        <v>5</v>
      </c>
      <c r="U6812" s="22">
        <f t="shared" si="579"/>
        <v>2023</v>
      </c>
      <c r="V6812" s="22" t="str">
        <f t="shared" si="580"/>
        <v>METROPOLITANA</v>
      </c>
    </row>
    <row r="6813" spans="1:22" x14ac:dyDescent="0.2">
      <c r="A6813" s="23" t="s">
        <v>8302</v>
      </c>
      <c r="B6813" s="22" t="s">
        <v>33</v>
      </c>
      <c r="C6813" s="22" t="s">
        <v>29</v>
      </c>
      <c r="D6813" s="22" t="s">
        <v>7990</v>
      </c>
      <c r="E6813" s="24" t="s">
        <v>7991</v>
      </c>
      <c r="F6813" s="22" t="s">
        <v>815</v>
      </c>
      <c r="G6813" s="25">
        <v>17563.5</v>
      </c>
      <c r="H6813" s="22" t="s">
        <v>24</v>
      </c>
      <c r="I6813" s="22">
        <v>1</v>
      </c>
      <c r="J6813" s="22" t="s">
        <v>815</v>
      </c>
      <c r="K6813" s="22" t="s">
        <v>75</v>
      </c>
      <c r="L6813" s="22">
        <v>0</v>
      </c>
      <c r="M6813" s="26">
        <v>528000</v>
      </c>
      <c r="N6813" s="26">
        <v>0</v>
      </c>
      <c r="O6813" s="15">
        <f t="shared" si="577"/>
        <v>528000</v>
      </c>
      <c r="P6813" s="15">
        <f t="shared" ref="P6813:P6876" si="581">O6813/G6813</f>
        <v>30.062345204543515</v>
      </c>
      <c r="Q6813" s="25">
        <v>14000</v>
      </c>
      <c r="R6813" s="22">
        <v>100</v>
      </c>
      <c r="S6813" s="22" t="s">
        <v>8308</v>
      </c>
      <c r="T6813" s="22">
        <f t="shared" si="578"/>
        <v>5</v>
      </c>
      <c r="U6813" s="22">
        <f t="shared" si="579"/>
        <v>2023</v>
      </c>
      <c r="V6813" s="22" t="str">
        <f t="shared" si="580"/>
        <v>REGIONES</v>
      </c>
    </row>
    <row r="6814" spans="1:22" x14ac:dyDescent="0.2">
      <c r="A6814" s="23" t="s">
        <v>8302</v>
      </c>
      <c r="B6814" s="22" t="s">
        <v>33</v>
      </c>
      <c r="C6814" s="22" t="s">
        <v>29</v>
      </c>
      <c r="D6814" s="22" t="s">
        <v>38</v>
      </c>
      <c r="E6814" s="24" t="s">
        <v>42</v>
      </c>
      <c r="F6814" s="22" t="s">
        <v>1783</v>
      </c>
      <c r="G6814" s="25">
        <v>12003.95</v>
      </c>
      <c r="H6814" s="22" t="s">
        <v>43</v>
      </c>
      <c r="I6814" s="22">
        <v>0</v>
      </c>
      <c r="J6814" s="22" t="s">
        <v>1784</v>
      </c>
      <c r="K6814" s="22" t="s">
        <v>23</v>
      </c>
      <c r="L6814" s="22">
        <v>5</v>
      </c>
      <c r="M6814" s="26">
        <v>112500</v>
      </c>
      <c r="N6814" s="26">
        <v>0</v>
      </c>
      <c r="O6814" s="15">
        <f t="shared" si="577"/>
        <v>112500</v>
      </c>
      <c r="P6814" s="15">
        <f t="shared" si="581"/>
        <v>9.3719150779535063</v>
      </c>
      <c r="Q6814" s="25">
        <v>10000</v>
      </c>
      <c r="R6814" s="22">
        <v>100</v>
      </c>
      <c r="S6814" s="22" t="s">
        <v>8309</v>
      </c>
      <c r="T6814" s="22">
        <f t="shared" si="578"/>
        <v>5</v>
      </c>
      <c r="U6814" s="22">
        <f t="shared" si="579"/>
        <v>2023</v>
      </c>
      <c r="V6814" s="22" t="str">
        <f t="shared" si="580"/>
        <v>METROPOLITANA</v>
      </c>
    </row>
    <row r="6815" spans="1:22" x14ac:dyDescent="0.2">
      <c r="A6815" s="23" t="s">
        <v>8302</v>
      </c>
      <c r="B6815" s="22" t="s">
        <v>33</v>
      </c>
      <c r="C6815" s="22" t="s">
        <v>29</v>
      </c>
      <c r="D6815" s="22" t="s">
        <v>37</v>
      </c>
      <c r="E6815" s="24" t="s">
        <v>40</v>
      </c>
      <c r="F6815" s="22" t="s">
        <v>39</v>
      </c>
      <c r="G6815" s="25">
        <v>10447.4</v>
      </c>
      <c r="H6815" s="22" t="s">
        <v>22</v>
      </c>
      <c r="I6815" s="22">
        <v>0</v>
      </c>
      <c r="J6815" s="22" t="s">
        <v>39</v>
      </c>
      <c r="K6815" s="22" t="s">
        <v>23</v>
      </c>
      <c r="L6815" s="22">
        <v>1</v>
      </c>
      <c r="M6815" s="26">
        <v>114921</v>
      </c>
      <c r="N6815" s="26">
        <v>0</v>
      </c>
      <c r="O6815" s="15">
        <f t="shared" si="577"/>
        <v>114921</v>
      </c>
      <c r="P6815" s="15">
        <f t="shared" si="581"/>
        <v>10.999961712962078</v>
      </c>
      <c r="Q6815" s="25">
        <v>5000</v>
      </c>
      <c r="R6815" s="22">
        <v>100</v>
      </c>
      <c r="S6815" s="22" t="s">
        <v>8310</v>
      </c>
      <c r="T6815" s="22">
        <f t="shared" si="578"/>
        <v>5</v>
      </c>
      <c r="U6815" s="22">
        <f t="shared" si="579"/>
        <v>2023</v>
      </c>
      <c r="V6815" s="22" t="str">
        <f t="shared" si="580"/>
        <v>METROPOLITANA</v>
      </c>
    </row>
    <row r="6816" spans="1:22" x14ac:dyDescent="0.2">
      <c r="A6816" s="23" t="s">
        <v>8302</v>
      </c>
      <c r="B6816" s="22" t="s">
        <v>33</v>
      </c>
      <c r="C6816" s="22" t="s">
        <v>29</v>
      </c>
      <c r="D6816" s="22" t="s">
        <v>7711</v>
      </c>
      <c r="E6816" s="24" t="s">
        <v>7712</v>
      </c>
      <c r="F6816" s="22" t="s">
        <v>114</v>
      </c>
      <c r="G6816" s="25">
        <v>11744.2</v>
      </c>
      <c r="H6816" s="22" t="s">
        <v>24</v>
      </c>
      <c r="I6816" s="22">
        <v>1</v>
      </c>
      <c r="J6816" s="22" t="s">
        <v>114</v>
      </c>
      <c r="K6816" s="22" t="s">
        <v>75</v>
      </c>
      <c r="L6816" s="22">
        <v>0</v>
      </c>
      <c r="M6816" s="26">
        <v>528000</v>
      </c>
      <c r="N6816" s="26">
        <v>0</v>
      </c>
      <c r="O6816" s="15">
        <f t="shared" si="577"/>
        <v>528000</v>
      </c>
      <c r="P6816" s="15">
        <f t="shared" si="581"/>
        <v>44.958362425708003</v>
      </c>
      <c r="Q6816" s="25">
        <v>14000</v>
      </c>
      <c r="R6816" s="22">
        <v>84</v>
      </c>
      <c r="S6816" s="22" t="s">
        <v>8311</v>
      </c>
      <c r="T6816" s="22">
        <f t="shared" si="578"/>
        <v>5</v>
      </c>
      <c r="U6816" s="22">
        <f t="shared" si="579"/>
        <v>2023</v>
      </c>
      <c r="V6816" s="22" t="str">
        <f t="shared" si="580"/>
        <v>REGIONES</v>
      </c>
    </row>
    <row r="6817" spans="1:22" x14ac:dyDescent="0.2">
      <c r="A6817" s="23" t="s">
        <v>8302</v>
      </c>
      <c r="B6817" s="22" t="s">
        <v>33</v>
      </c>
      <c r="C6817" s="22" t="s">
        <v>29</v>
      </c>
      <c r="D6817" s="22" t="s">
        <v>8219</v>
      </c>
      <c r="E6817" s="24" t="s">
        <v>8220</v>
      </c>
      <c r="F6817" s="22" t="s">
        <v>134</v>
      </c>
      <c r="G6817" s="25">
        <v>4831.75</v>
      </c>
      <c r="H6817" s="22" t="s">
        <v>24</v>
      </c>
      <c r="I6817" s="22">
        <v>1</v>
      </c>
      <c r="J6817" s="22" t="s">
        <v>134</v>
      </c>
      <c r="K6817" s="22" t="s">
        <v>23</v>
      </c>
      <c r="L6817" s="22">
        <v>2</v>
      </c>
      <c r="M6817" s="26">
        <v>69173</v>
      </c>
      <c r="N6817" s="26">
        <v>0</v>
      </c>
      <c r="O6817" s="15">
        <f t="shared" si="577"/>
        <v>69173</v>
      </c>
      <c r="P6817" s="15">
        <f t="shared" si="581"/>
        <v>14.316345009572101</v>
      </c>
      <c r="Q6817" s="25">
        <v>5000</v>
      </c>
      <c r="R6817" s="22">
        <v>97</v>
      </c>
      <c r="S6817" s="22" t="s">
        <v>8312</v>
      </c>
      <c r="T6817" s="22">
        <f t="shared" si="578"/>
        <v>5</v>
      </c>
      <c r="U6817" s="22">
        <f t="shared" si="579"/>
        <v>2023</v>
      </c>
      <c r="V6817" s="22" t="str">
        <f t="shared" si="580"/>
        <v>METROPOLITANA</v>
      </c>
    </row>
    <row r="6818" spans="1:22" x14ac:dyDescent="0.2">
      <c r="A6818" s="23" t="s">
        <v>8302</v>
      </c>
      <c r="B6818" s="22" t="s">
        <v>33</v>
      </c>
      <c r="C6818" s="22" t="s">
        <v>29</v>
      </c>
      <c r="D6818" s="22" t="s">
        <v>164</v>
      </c>
      <c r="E6818" s="24" t="s">
        <v>1576</v>
      </c>
      <c r="F6818" s="22" t="s">
        <v>39</v>
      </c>
      <c r="G6818" s="25">
        <v>16587.189999999999</v>
      </c>
      <c r="H6818" s="22" t="s">
        <v>22</v>
      </c>
      <c r="I6818" s="22">
        <v>1</v>
      </c>
      <c r="J6818" s="22" t="s">
        <v>39</v>
      </c>
      <c r="K6818" s="22" t="s">
        <v>23</v>
      </c>
      <c r="L6818" s="22">
        <v>1</v>
      </c>
      <c r="M6818" s="26">
        <v>182459</v>
      </c>
      <c r="N6818" s="26">
        <v>0</v>
      </c>
      <c r="O6818" s="15">
        <f t="shared" si="577"/>
        <v>182459</v>
      </c>
      <c r="P6818" s="15">
        <f t="shared" si="581"/>
        <v>10.999994574126179</v>
      </c>
      <c r="Q6818" s="25">
        <v>5000</v>
      </c>
      <c r="R6818" s="22">
        <v>100</v>
      </c>
      <c r="S6818" s="22" t="s">
        <v>8313</v>
      </c>
      <c r="T6818" s="22">
        <f t="shared" si="578"/>
        <v>5</v>
      </c>
      <c r="U6818" s="22">
        <f t="shared" si="579"/>
        <v>2023</v>
      </c>
      <c r="V6818" s="22" t="str">
        <f t="shared" si="580"/>
        <v>METROPOLITANA</v>
      </c>
    </row>
    <row r="6819" spans="1:22" x14ac:dyDescent="0.2">
      <c r="A6819" s="23" t="s">
        <v>8302</v>
      </c>
      <c r="B6819" s="22" t="s">
        <v>33</v>
      </c>
      <c r="C6819" s="22" t="s">
        <v>5573</v>
      </c>
      <c r="D6819" s="22" t="s">
        <v>8314</v>
      </c>
      <c r="E6819" s="24" t="s">
        <v>8315</v>
      </c>
      <c r="F6819" s="22" t="s">
        <v>129</v>
      </c>
      <c r="G6819" s="25">
        <v>16470</v>
      </c>
      <c r="H6819" s="22" t="s">
        <v>24</v>
      </c>
      <c r="I6819" s="22">
        <v>1</v>
      </c>
      <c r="J6819" s="22" t="s">
        <v>129</v>
      </c>
      <c r="K6819" s="22" t="s">
        <v>23</v>
      </c>
      <c r="L6819" s="22">
        <v>1</v>
      </c>
      <c r="M6819" s="26">
        <v>181170</v>
      </c>
      <c r="N6819" s="26">
        <v>0</v>
      </c>
      <c r="O6819" s="15">
        <f t="shared" si="577"/>
        <v>181170</v>
      </c>
      <c r="P6819" s="15">
        <f t="shared" si="581"/>
        <v>11</v>
      </c>
      <c r="Q6819" s="25">
        <v>5000</v>
      </c>
      <c r="R6819" s="22">
        <v>100</v>
      </c>
      <c r="S6819" s="22" t="s">
        <v>8316</v>
      </c>
      <c r="T6819" s="22">
        <f t="shared" si="578"/>
        <v>5</v>
      </c>
      <c r="U6819" s="22">
        <f t="shared" si="579"/>
        <v>2023</v>
      </c>
      <c r="V6819" s="22" t="str">
        <f t="shared" si="580"/>
        <v>METROPOLITANA</v>
      </c>
    </row>
    <row r="6820" spans="1:22" x14ac:dyDescent="0.2">
      <c r="A6820" s="23" t="s">
        <v>8302</v>
      </c>
      <c r="B6820" s="22" t="s">
        <v>33</v>
      </c>
      <c r="C6820" s="22" t="s">
        <v>5573</v>
      </c>
      <c r="D6820" s="22" t="s">
        <v>3641</v>
      </c>
      <c r="E6820" s="24" t="s">
        <v>5124</v>
      </c>
      <c r="F6820" s="22" t="s">
        <v>129</v>
      </c>
      <c r="G6820" s="25">
        <v>3122.4</v>
      </c>
      <c r="H6820" s="22" t="s">
        <v>24</v>
      </c>
      <c r="I6820" s="22">
        <v>1</v>
      </c>
      <c r="J6820" s="22" t="s">
        <v>129</v>
      </c>
      <c r="K6820" s="22" t="s">
        <v>23</v>
      </c>
      <c r="L6820" s="22">
        <v>1</v>
      </c>
      <c r="M6820" s="26">
        <v>69173</v>
      </c>
      <c r="N6820" s="26">
        <v>0</v>
      </c>
      <c r="O6820" s="15">
        <f t="shared" si="577"/>
        <v>69173</v>
      </c>
      <c r="P6820" s="15">
        <f t="shared" si="581"/>
        <v>22.153791954906481</v>
      </c>
      <c r="Q6820" s="25">
        <v>5000</v>
      </c>
      <c r="R6820" s="22">
        <v>62</v>
      </c>
      <c r="S6820" s="22" t="s">
        <v>8317</v>
      </c>
      <c r="T6820" s="22">
        <f t="shared" si="578"/>
        <v>5</v>
      </c>
      <c r="U6820" s="22">
        <f t="shared" si="579"/>
        <v>2023</v>
      </c>
      <c r="V6820" s="22" t="str">
        <f t="shared" si="580"/>
        <v>METROPOLITANA</v>
      </c>
    </row>
    <row r="6821" spans="1:22" x14ac:dyDescent="0.2">
      <c r="A6821" s="23" t="s">
        <v>8302</v>
      </c>
      <c r="B6821" s="22" t="s">
        <v>33</v>
      </c>
      <c r="C6821" s="22" t="s">
        <v>44</v>
      </c>
      <c r="D6821" s="22" t="s">
        <v>30</v>
      </c>
      <c r="E6821" s="24" t="s">
        <v>31</v>
      </c>
      <c r="F6821" s="22" t="s">
        <v>94</v>
      </c>
      <c r="G6821" s="25">
        <v>4219.8399999999983</v>
      </c>
      <c r="H6821" s="22" t="s">
        <v>32</v>
      </c>
      <c r="I6821" s="22">
        <v>0</v>
      </c>
      <c r="J6821" s="22" t="s">
        <v>59</v>
      </c>
      <c r="K6821" s="22" t="s">
        <v>78</v>
      </c>
      <c r="L6821" s="22">
        <v>0</v>
      </c>
      <c r="M6821" s="26">
        <v>227000</v>
      </c>
      <c r="N6821" s="26">
        <v>0</v>
      </c>
      <c r="O6821" s="15">
        <f t="shared" si="577"/>
        <v>227000</v>
      </c>
      <c r="P6821" s="15">
        <f t="shared" si="581"/>
        <v>53.79350875862594</v>
      </c>
      <c r="Q6821" s="25">
        <v>14000</v>
      </c>
      <c r="R6821" s="22">
        <v>30</v>
      </c>
      <c r="S6821" s="22" t="s">
        <v>8318</v>
      </c>
      <c r="T6821" s="22">
        <f t="shared" si="578"/>
        <v>5</v>
      </c>
      <c r="U6821" s="22">
        <f t="shared" si="579"/>
        <v>2023</v>
      </c>
      <c r="V6821" s="22" t="str">
        <f t="shared" si="580"/>
        <v>REGIONES</v>
      </c>
    </row>
    <row r="6822" spans="1:22" x14ac:dyDescent="0.2">
      <c r="A6822" s="23" t="s">
        <v>8302</v>
      </c>
      <c r="B6822" s="22" t="s">
        <v>33</v>
      </c>
      <c r="C6822" s="22" t="s">
        <v>44</v>
      </c>
      <c r="D6822" s="22" t="s">
        <v>45</v>
      </c>
      <c r="E6822" s="24" t="s">
        <v>49</v>
      </c>
      <c r="F6822" s="22" t="s">
        <v>51</v>
      </c>
      <c r="G6822" s="25">
        <v>2562.0500000000002</v>
      </c>
      <c r="H6822" s="22" t="s">
        <v>22</v>
      </c>
      <c r="I6822" s="22">
        <v>0</v>
      </c>
      <c r="J6822" s="22" t="s">
        <v>51</v>
      </c>
      <c r="K6822" s="22" t="s">
        <v>23</v>
      </c>
      <c r="L6822" s="22">
        <v>4</v>
      </c>
      <c r="M6822" s="26">
        <v>69173</v>
      </c>
      <c r="N6822" s="26">
        <v>0</v>
      </c>
      <c r="O6822" s="15">
        <f t="shared" si="577"/>
        <v>69173</v>
      </c>
      <c r="P6822" s="15">
        <f t="shared" si="581"/>
        <v>26.999082765753982</v>
      </c>
      <c r="Q6822" s="25">
        <v>5000</v>
      </c>
      <c r="R6822" s="22">
        <v>51</v>
      </c>
      <c r="S6822" s="22" t="s">
        <v>8319</v>
      </c>
      <c r="T6822" s="22">
        <f t="shared" si="578"/>
        <v>5</v>
      </c>
      <c r="U6822" s="22">
        <f t="shared" si="579"/>
        <v>2023</v>
      </c>
      <c r="V6822" s="22" t="str">
        <f t="shared" si="580"/>
        <v>METROPOLITANA</v>
      </c>
    </row>
    <row r="6823" spans="1:22" x14ac:dyDescent="0.2">
      <c r="A6823" s="23" t="s">
        <v>8302</v>
      </c>
      <c r="B6823" s="22" t="s">
        <v>33</v>
      </c>
      <c r="C6823" s="22" t="s">
        <v>44</v>
      </c>
      <c r="D6823" s="22" t="s">
        <v>35</v>
      </c>
      <c r="E6823" s="24" t="s">
        <v>6130</v>
      </c>
      <c r="F6823" s="22" t="s">
        <v>129</v>
      </c>
      <c r="G6823" s="25">
        <v>3230.96</v>
      </c>
      <c r="H6823" s="22" t="s">
        <v>22</v>
      </c>
      <c r="I6823" s="22">
        <v>0</v>
      </c>
      <c r="J6823" s="22" t="s">
        <v>129</v>
      </c>
      <c r="K6823" s="22" t="s">
        <v>23</v>
      </c>
      <c r="L6823" s="22">
        <v>1</v>
      </c>
      <c r="M6823" s="26">
        <v>69173</v>
      </c>
      <c r="N6823" s="26">
        <v>0</v>
      </c>
      <c r="O6823" s="15">
        <f t="shared" si="577"/>
        <v>69173</v>
      </c>
      <c r="P6823" s="15">
        <f t="shared" si="581"/>
        <v>21.409426300542254</v>
      </c>
      <c r="Q6823" s="25">
        <v>5000</v>
      </c>
      <c r="R6823" s="22">
        <v>65</v>
      </c>
      <c r="S6823" s="22" t="s">
        <v>8320</v>
      </c>
      <c r="T6823" s="22">
        <f t="shared" si="578"/>
        <v>5</v>
      </c>
      <c r="U6823" s="22">
        <f t="shared" si="579"/>
        <v>2023</v>
      </c>
      <c r="V6823" s="22" t="str">
        <f t="shared" si="580"/>
        <v>METROPOLITANA</v>
      </c>
    </row>
    <row r="6824" spans="1:22" x14ac:dyDescent="0.2">
      <c r="A6824" s="23" t="s">
        <v>8302</v>
      </c>
      <c r="B6824" s="22" t="s">
        <v>33</v>
      </c>
      <c r="C6824" s="22" t="s">
        <v>44</v>
      </c>
      <c r="D6824" s="22" t="s">
        <v>20</v>
      </c>
      <c r="E6824" s="24" t="s">
        <v>21</v>
      </c>
      <c r="F6824" s="22" t="s">
        <v>48</v>
      </c>
      <c r="G6824" s="25">
        <v>4717.25</v>
      </c>
      <c r="H6824" s="22" t="s">
        <v>22</v>
      </c>
      <c r="I6824" s="22">
        <v>0</v>
      </c>
      <c r="J6824" s="22" t="s">
        <v>48</v>
      </c>
      <c r="K6824" s="22" t="s">
        <v>23</v>
      </c>
      <c r="L6824" s="22">
        <v>1</v>
      </c>
      <c r="M6824" s="26">
        <v>69173</v>
      </c>
      <c r="N6824" s="26">
        <v>0</v>
      </c>
      <c r="O6824" s="15">
        <f t="shared" si="577"/>
        <v>69173</v>
      </c>
      <c r="P6824" s="15">
        <f t="shared" si="581"/>
        <v>14.663840161110818</v>
      </c>
      <c r="Q6824" s="25">
        <v>5000</v>
      </c>
      <c r="R6824" s="22">
        <v>94</v>
      </c>
      <c r="S6824" s="22" t="s">
        <v>8321</v>
      </c>
      <c r="T6824" s="22">
        <f t="shared" si="578"/>
        <v>5</v>
      </c>
      <c r="U6824" s="22">
        <f t="shared" si="579"/>
        <v>2023</v>
      </c>
      <c r="V6824" s="22" t="str">
        <f t="shared" si="580"/>
        <v>METROPOLITANA</v>
      </c>
    </row>
    <row r="6825" spans="1:22" x14ac:dyDescent="0.2">
      <c r="A6825" s="11" t="s">
        <v>8322</v>
      </c>
      <c r="B6825" s="12" t="s">
        <v>18</v>
      </c>
      <c r="C6825" s="12" t="s">
        <v>87</v>
      </c>
      <c r="D6825" s="12" t="s">
        <v>37</v>
      </c>
      <c r="E6825" s="13" t="s">
        <v>40</v>
      </c>
      <c r="F6825" s="12" t="s">
        <v>51</v>
      </c>
      <c r="G6825" s="14">
        <v>11910.38</v>
      </c>
      <c r="H6825" s="12" t="s">
        <v>22</v>
      </c>
      <c r="I6825" s="12">
        <v>0</v>
      </c>
      <c r="J6825" s="12" t="s">
        <v>51</v>
      </c>
      <c r="K6825" s="12" t="s">
        <v>23</v>
      </c>
      <c r="L6825" s="12">
        <v>4</v>
      </c>
      <c r="M6825" s="15">
        <v>131014</v>
      </c>
      <c r="N6825" s="15">
        <v>0</v>
      </c>
      <c r="O6825" s="15">
        <f t="shared" si="577"/>
        <v>131014</v>
      </c>
      <c r="P6825" s="15">
        <f t="shared" si="581"/>
        <v>10.999984887132065</v>
      </c>
      <c r="Q6825" s="14">
        <v>5000</v>
      </c>
      <c r="R6825" s="12">
        <v>100</v>
      </c>
      <c r="S6825" s="12" t="s">
        <v>8323</v>
      </c>
      <c r="T6825" s="22">
        <f t="shared" si="578"/>
        <v>6</v>
      </c>
      <c r="U6825" s="22">
        <f t="shared" si="579"/>
        <v>2023</v>
      </c>
      <c r="V6825" s="22" t="str">
        <f t="shared" si="580"/>
        <v>METROPOLITANA</v>
      </c>
    </row>
    <row r="6826" spans="1:22" x14ac:dyDescent="0.2">
      <c r="A6826" s="11" t="s">
        <v>8322</v>
      </c>
      <c r="B6826" s="12" t="s">
        <v>33</v>
      </c>
      <c r="C6826" s="12" t="s">
        <v>223</v>
      </c>
      <c r="D6826" s="12" t="s">
        <v>30</v>
      </c>
      <c r="E6826" s="13" t="s">
        <v>31</v>
      </c>
      <c r="F6826" s="12" t="s">
        <v>39</v>
      </c>
      <c r="G6826" s="14">
        <v>7503.9999999999973</v>
      </c>
      <c r="H6826" s="12" t="s">
        <v>32</v>
      </c>
      <c r="I6826" s="12">
        <v>0</v>
      </c>
      <c r="J6826" s="12" t="s">
        <v>39</v>
      </c>
      <c r="K6826" s="12" t="s">
        <v>23</v>
      </c>
      <c r="L6826" s="12">
        <v>1</v>
      </c>
      <c r="M6826" s="15">
        <v>82544</v>
      </c>
      <c r="N6826" s="15">
        <v>0</v>
      </c>
      <c r="O6826" s="15">
        <f t="shared" si="577"/>
        <v>82544</v>
      </c>
      <c r="P6826" s="15">
        <f t="shared" si="581"/>
        <v>11.000000000000004</v>
      </c>
      <c r="Q6826" s="14">
        <v>5000</v>
      </c>
      <c r="R6826" s="12">
        <v>100</v>
      </c>
      <c r="S6826" s="12" t="s">
        <v>8324</v>
      </c>
      <c r="T6826" s="22">
        <f t="shared" si="578"/>
        <v>6</v>
      </c>
      <c r="U6826" s="22">
        <f t="shared" si="579"/>
        <v>2023</v>
      </c>
      <c r="V6826" s="22" t="str">
        <f t="shared" si="580"/>
        <v>METROPOLITANA</v>
      </c>
    </row>
    <row r="6827" spans="1:22" x14ac:dyDescent="0.2">
      <c r="A6827" s="11" t="s">
        <v>8322</v>
      </c>
      <c r="B6827" s="12" t="s">
        <v>33</v>
      </c>
      <c r="C6827" s="12" t="s">
        <v>29</v>
      </c>
      <c r="D6827" s="12" t="s">
        <v>370</v>
      </c>
      <c r="E6827" s="13" t="s">
        <v>371</v>
      </c>
      <c r="F6827" s="12" t="s">
        <v>132</v>
      </c>
      <c r="G6827" s="14">
        <v>14137.4</v>
      </c>
      <c r="H6827" s="12" t="s">
        <v>85</v>
      </c>
      <c r="I6827" s="12">
        <v>1</v>
      </c>
      <c r="J6827" s="12" t="s">
        <v>132</v>
      </c>
      <c r="K6827" s="12" t="s">
        <v>124</v>
      </c>
      <c r="L6827" s="12">
        <v>0</v>
      </c>
      <c r="M6827" s="15">
        <v>500000</v>
      </c>
      <c r="N6827" s="15">
        <v>0</v>
      </c>
      <c r="O6827" s="15">
        <f t="shared" si="577"/>
        <v>500000</v>
      </c>
      <c r="P6827" s="15">
        <f t="shared" si="581"/>
        <v>35.367182084400241</v>
      </c>
      <c r="Q6827" s="14">
        <v>14000</v>
      </c>
      <c r="R6827" s="12">
        <v>100</v>
      </c>
      <c r="S6827" s="12" t="s">
        <v>8325</v>
      </c>
      <c r="T6827" s="22">
        <f t="shared" si="578"/>
        <v>6</v>
      </c>
      <c r="U6827" s="22">
        <f t="shared" si="579"/>
        <v>2023</v>
      </c>
      <c r="V6827" s="22" t="str">
        <f t="shared" si="580"/>
        <v>REGIONES</v>
      </c>
    </row>
    <row r="6828" spans="1:22" x14ac:dyDescent="0.2">
      <c r="A6828" s="11" t="s">
        <v>8322</v>
      </c>
      <c r="B6828" s="12" t="s">
        <v>33</v>
      </c>
      <c r="C6828" s="12" t="s">
        <v>44</v>
      </c>
      <c r="D6828" s="12" t="s">
        <v>45</v>
      </c>
      <c r="E6828" s="13" t="s">
        <v>49</v>
      </c>
      <c r="F6828" s="12" t="s">
        <v>34</v>
      </c>
      <c r="G6828" s="14">
        <v>4044.42</v>
      </c>
      <c r="H6828" s="12" t="s">
        <v>22</v>
      </c>
      <c r="I6828" s="12">
        <v>0</v>
      </c>
      <c r="J6828" s="12" t="s">
        <v>34</v>
      </c>
      <c r="K6828" s="12" t="s">
        <v>23</v>
      </c>
      <c r="L6828" s="12">
        <v>1</v>
      </c>
      <c r="M6828" s="15">
        <v>69173</v>
      </c>
      <c r="N6828" s="15">
        <v>0</v>
      </c>
      <c r="O6828" s="15">
        <f t="shared" si="577"/>
        <v>69173</v>
      </c>
      <c r="P6828" s="15">
        <f t="shared" si="581"/>
        <v>17.103317657414411</v>
      </c>
      <c r="Q6828" s="14">
        <v>5000</v>
      </c>
      <c r="R6828" s="12">
        <v>81</v>
      </c>
      <c r="S6828" s="12" t="s">
        <v>8326</v>
      </c>
      <c r="T6828" s="22">
        <f t="shared" si="578"/>
        <v>6</v>
      </c>
      <c r="U6828" s="22">
        <f t="shared" si="579"/>
        <v>2023</v>
      </c>
      <c r="V6828" s="22" t="str">
        <f t="shared" si="580"/>
        <v>METROPOLITANA</v>
      </c>
    </row>
    <row r="6829" spans="1:22" x14ac:dyDescent="0.2">
      <c r="A6829" s="23" t="s">
        <v>8327</v>
      </c>
      <c r="B6829" s="22" t="s">
        <v>18</v>
      </c>
      <c r="C6829" s="22" t="s">
        <v>5796</v>
      </c>
      <c r="D6829" s="22" t="s">
        <v>37</v>
      </c>
      <c r="E6829" s="24" t="s">
        <v>40</v>
      </c>
      <c r="F6829" s="22" t="s">
        <v>129</v>
      </c>
      <c r="G6829" s="25">
        <v>9129.6</v>
      </c>
      <c r="H6829" s="22" t="s">
        <v>22</v>
      </c>
      <c r="I6829" s="22">
        <v>0</v>
      </c>
      <c r="J6829" s="22" t="s">
        <v>129</v>
      </c>
      <c r="K6829" s="22" t="s">
        <v>23</v>
      </c>
      <c r="L6829" s="22">
        <v>1</v>
      </c>
      <c r="M6829" s="26">
        <v>100426</v>
      </c>
      <c r="N6829" s="26">
        <v>0</v>
      </c>
      <c r="O6829" s="15">
        <f t="shared" si="577"/>
        <v>100426</v>
      </c>
      <c r="P6829" s="15">
        <f t="shared" si="581"/>
        <v>11.000043813529617</v>
      </c>
      <c r="Q6829" s="25">
        <v>5000</v>
      </c>
      <c r="R6829" s="22">
        <v>100</v>
      </c>
      <c r="S6829" s="22" t="s">
        <v>8328</v>
      </c>
      <c r="T6829" s="22">
        <f t="shared" si="578"/>
        <v>6</v>
      </c>
      <c r="U6829" s="22">
        <f t="shared" si="579"/>
        <v>2023</v>
      </c>
      <c r="V6829" s="22" t="str">
        <f t="shared" si="580"/>
        <v>METROPOLITANA</v>
      </c>
    </row>
    <row r="6830" spans="1:22" x14ac:dyDescent="0.2">
      <c r="A6830" s="23" t="s">
        <v>8327</v>
      </c>
      <c r="B6830" s="22" t="s">
        <v>33</v>
      </c>
      <c r="C6830" s="22" t="s">
        <v>128</v>
      </c>
      <c r="D6830" s="22" t="s">
        <v>38</v>
      </c>
      <c r="E6830" s="24" t="s">
        <v>25</v>
      </c>
      <c r="F6830" s="22" t="s">
        <v>8227</v>
      </c>
      <c r="G6830" s="25">
        <v>7991.7599999999966</v>
      </c>
      <c r="H6830" s="22" t="s">
        <v>43</v>
      </c>
      <c r="I6830" s="22">
        <v>0</v>
      </c>
      <c r="J6830" s="22" t="s">
        <v>8227</v>
      </c>
      <c r="K6830" s="22" t="s">
        <v>873</v>
      </c>
      <c r="L6830" s="22">
        <v>0</v>
      </c>
      <c r="M6830" s="26">
        <v>1020000</v>
      </c>
      <c r="N6830" s="26">
        <v>0</v>
      </c>
      <c r="O6830" s="15">
        <f t="shared" si="577"/>
        <v>1020000</v>
      </c>
      <c r="P6830" s="15">
        <f t="shared" si="581"/>
        <v>127.6314604042164</v>
      </c>
      <c r="Q6830" s="25">
        <v>14000</v>
      </c>
      <c r="R6830" s="22">
        <v>57</v>
      </c>
      <c r="S6830" s="22" t="s">
        <v>8329</v>
      </c>
      <c r="T6830" s="22">
        <f t="shared" si="578"/>
        <v>6</v>
      </c>
      <c r="U6830" s="22">
        <f t="shared" si="579"/>
        <v>2023</v>
      </c>
      <c r="V6830" s="22" t="str">
        <f t="shared" si="580"/>
        <v>REGIONES</v>
      </c>
    </row>
    <row r="6831" spans="1:22" x14ac:dyDescent="0.2">
      <c r="A6831" s="23" t="s">
        <v>8327</v>
      </c>
      <c r="B6831" s="22" t="s">
        <v>33</v>
      </c>
      <c r="C6831" s="22" t="s">
        <v>29</v>
      </c>
      <c r="D6831" s="22" t="s">
        <v>38</v>
      </c>
      <c r="E6831" s="24" t="s">
        <v>42</v>
      </c>
      <c r="F6831" s="22" t="s">
        <v>39</v>
      </c>
      <c r="G6831" s="25">
        <v>10241.200000000001</v>
      </c>
      <c r="H6831" s="22" t="s">
        <v>43</v>
      </c>
      <c r="I6831" s="22">
        <v>0</v>
      </c>
      <c r="J6831" s="22" t="s">
        <v>39</v>
      </c>
      <c r="K6831" s="22" t="s">
        <v>23</v>
      </c>
      <c r="L6831" s="22">
        <v>1</v>
      </c>
      <c r="M6831" s="26">
        <v>112653</v>
      </c>
      <c r="N6831" s="26">
        <v>0</v>
      </c>
      <c r="O6831" s="15">
        <f t="shared" si="577"/>
        <v>112653</v>
      </c>
      <c r="P6831" s="15">
        <f t="shared" si="581"/>
        <v>10.999980471038549</v>
      </c>
      <c r="Q6831" s="25">
        <v>5000</v>
      </c>
      <c r="R6831" s="22">
        <v>100</v>
      </c>
      <c r="S6831" s="22" t="s">
        <v>8330</v>
      </c>
      <c r="T6831" s="22">
        <f t="shared" si="578"/>
        <v>6</v>
      </c>
      <c r="U6831" s="22">
        <f t="shared" si="579"/>
        <v>2023</v>
      </c>
      <c r="V6831" s="22" t="str">
        <f t="shared" si="580"/>
        <v>METROPOLITANA</v>
      </c>
    </row>
    <row r="6832" spans="1:22" x14ac:dyDescent="0.2">
      <c r="A6832" s="23" t="s">
        <v>8327</v>
      </c>
      <c r="B6832" s="22" t="s">
        <v>33</v>
      </c>
      <c r="C6832" s="22" t="s">
        <v>29</v>
      </c>
      <c r="D6832" s="22" t="s">
        <v>30</v>
      </c>
      <c r="E6832" s="24" t="s">
        <v>31</v>
      </c>
      <c r="F6832" s="22" t="s">
        <v>173</v>
      </c>
      <c r="G6832" s="25">
        <f>1537.2+1503</f>
        <v>3040.2</v>
      </c>
      <c r="H6832" s="22" t="s">
        <v>32</v>
      </c>
      <c r="I6832" s="22">
        <v>0</v>
      </c>
      <c r="J6832" s="22" t="s">
        <v>173</v>
      </c>
      <c r="K6832" s="22" t="s">
        <v>23</v>
      </c>
      <c r="L6832" s="22">
        <v>5</v>
      </c>
      <c r="M6832" s="26">
        <v>112500</v>
      </c>
      <c r="N6832" s="26">
        <v>0</v>
      </c>
      <c r="O6832" s="15">
        <f t="shared" si="577"/>
        <v>112500</v>
      </c>
      <c r="P6832" s="15">
        <f t="shared" si="581"/>
        <v>37.004144464179987</v>
      </c>
      <c r="Q6832" s="25">
        <v>10000</v>
      </c>
      <c r="R6832" s="22">
        <v>45</v>
      </c>
      <c r="S6832" s="22" t="s">
        <v>8338</v>
      </c>
      <c r="T6832" s="22">
        <f t="shared" si="578"/>
        <v>6</v>
      </c>
      <c r="U6832" s="22">
        <f t="shared" si="579"/>
        <v>2023</v>
      </c>
      <c r="V6832" s="22" t="str">
        <f t="shared" si="580"/>
        <v>METROPOLITANA</v>
      </c>
    </row>
    <row r="6833" spans="1:22" x14ac:dyDescent="0.2">
      <c r="A6833" s="23" t="s">
        <v>8327</v>
      </c>
      <c r="B6833" s="22" t="s">
        <v>33</v>
      </c>
      <c r="C6833" s="22" t="s">
        <v>29</v>
      </c>
      <c r="D6833" s="22" t="s">
        <v>164</v>
      </c>
      <c r="E6833" s="24" t="s">
        <v>1576</v>
      </c>
      <c r="F6833" s="22" t="s">
        <v>39</v>
      </c>
      <c r="G6833" s="25">
        <v>20521.570000000011</v>
      </c>
      <c r="H6833" s="22" t="s">
        <v>22</v>
      </c>
      <c r="I6833" s="22">
        <v>1</v>
      </c>
      <c r="J6833" s="22" t="s">
        <v>39</v>
      </c>
      <c r="K6833" s="22" t="s">
        <v>23</v>
      </c>
      <c r="L6833" s="22">
        <v>1</v>
      </c>
      <c r="M6833" s="26">
        <v>225737</v>
      </c>
      <c r="N6833" s="26">
        <v>0</v>
      </c>
      <c r="O6833" s="15">
        <f t="shared" si="577"/>
        <v>225737</v>
      </c>
      <c r="P6833" s="15">
        <f t="shared" si="581"/>
        <v>10.9999868431119</v>
      </c>
      <c r="Q6833" s="25">
        <v>5000</v>
      </c>
      <c r="R6833" s="22">
        <v>100</v>
      </c>
      <c r="S6833" s="22" t="s">
        <v>8331</v>
      </c>
      <c r="T6833" s="22">
        <f t="shared" si="578"/>
        <v>6</v>
      </c>
      <c r="U6833" s="22">
        <f t="shared" si="579"/>
        <v>2023</v>
      </c>
      <c r="V6833" s="22" t="str">
        <f t="shared" si="580"/>
        <v>METROPOLITANA</v>
      </c>
    </row>
    <row r="6834" spans="1:22" x14ac:dyDescent="0.2">
      <c r="A6834" s="23" t="s">
        <v>8327</v>
      </c>
      <c r="B6834" s="22" t="s">
        <v>33</v>
      </c>
      <c r="C6834" s="22" t="s">
        <v>29</v>
      </c>
      <c r="D6834" s="22" t="s">
        <v>20</v>
      </c>
      <c r="E6834" s="24" t="s">
        <v>21</v>
      </c>
      <c r="F6834" s="22" t="s">
        <v>134</v>
      </c>
      <c r="G6834" s="25">
        <v>9973.2900000000045</v>
      </c>
      <c r="H6834" s="22" t="s">
        <v>22</v>
      </c>
      <c r="I6834" s="22">
        <v>0</v>
      </c>
      <c r="J6834" s="22" t="s">
        <v>134</v>
      </c>
      <c r="K6834" s="22" t="s">
        <v>23</v>
      </c>
      <c r="L6834" s="22">
        <v>2</v>
      </c>
      <c r="M6834" s="26">
        <v>109706</v>
      </c>
      <c r="N6834" s="26">
        <v>0</v>
      </c>
      <c r="O6834" s="15">
        <f t="shared" si="577"/>
        <v>109706</v>
      </c>
      <c r="P6834" s="15">
        <f t="shared" si="581"/>
        <v>10.999980949115081</v>
      </c>
      <c r="Q6834" s="25">
        <v>5000</v>
      </c>
      <c r="R6834" s="22">
        <v>100</v>
      </c>
      <c r="S6834" s="22" t="s">
        <v>8332</v>
      </c>
      <c r="T6834" s="22">
        <f t="shared" si="578"/>
        <v>6</v>
      </c>
      <c r="U6834" s="22">
        <f t="shared" si="579"/>
        <v>2023</v>
      </c>
      <c r="V6834" s="22" t="str">
        <f t="shared" si="580"/>
        <v>METROPOLITANA</v>
      </c>
    </row>
    <row r="6835" spans="1:22" x14ac:dyDescent="0.2">
      <c r="A6835" s="23" t="s">
        <v>8327</v>
      </c>
      <c r="B6835" s="22" t="s">
        <v>33</v>
      </c>
      <c r="C6835" s="22" t="s">
        <v>44</v>
      </c>
      <c r="D6835" s="22" t="s">
        <v>2825</v>
      </c>
      <c r="E6835" s="24" t="s">
        <v>639</v>
      </c>
      <c r="F6835" s="22" t="s">
        <v>2639</v>
      </c>
      <c r="G6835" s="25">
        <v>5020.8999999999996</v>
      </c>
      <c r="H6835" s="22" t="s">
        <v>24</v>
      </c>
      <c r="I6835" s="22">
        <v>1</v>
      </c>
      <c r="J6835" s="22" t="s">
        <v>2639</v>
      </c>
      <c r="K6835" s="22" t="s">
        <v>75</v>
      </c>
      <c r="L6835" s="22">
        <v>0</v>
      </c>
      <c r="M6835" s="26">
        <v>478000</v>
      </c>
      <c r="N6835" s="26">
        <v>0</v>
      </c>
      <c r="O6835" s="15">
        <f t="shared" si="577"/>
        <v>478000</v>
      </c>
      <c r="P6835" s="15">
        <f t="shared" si="581"/>
        <v>95.202055408392923</v>
      </c>
      <c r="Q6835" s="25">
        <v>14000</v>
      </c>
      <c r="R6835" s="22">
        <v>36</v>
      </c>
      <c r="S6835" s="22" t="s">
        <v>8333</v>
      </c>
      <c r="T6835" s="22">
        <f t="shared" si="578"/>
        <v>6</v>
      </c>
      <c r="U6835" s="22">
        <f t="shared" si="579"/>
        <v>2023</v>
      </c>
      <c r="V6835" s="22" t="str">
        <f t="shared" si="580"/>
        <v>REGIONES</v>
      </c>
    </row>
    <row r="6836" spans="1:22" x14ac:dyDescent="0.2">
      <c r="A6836" s="23" t="s">
        <v>8327</v>
      </c>
      <c r="B6836" s="22" t="s">
        <v>33</v>
      </c>
      <c r="C6836" s="22" t="s">
        <v>44</v>
      </c>
      <c r="D6836" s="22" t="s">
        <v>45</v>
      </c>
      <c r="E6836" s="24" t="s">
        <v>49</v>
      </c>
      <c r="F6836" s="22" t="s">
        <v>53</v>
      </c>
      <c r="G6836" s="25">
        <v>3400.52</v>
      </c>
      <c r="H6836" s="22" t="s">
        <v>22</v>
      </c>
      <c r="I6836" s="22">
        <v>0</v>
      </c>
      <c r="J6836" s="22" t="s">
        <v>53</v>
      </c>
      <c r="K6836" s="22" t="s">
        <v>23</v>
      </c>
      <c r="L6836" s="22">
        <v>3</v>
      </c>
      <c r="M6836" s="26">
        <v>69173</v>
      </c>
      <c r="N6836" s="26">
        <v>0</v>
      </c>
      <c r="O6836" s="15">
        <f t="shared" si="577"/>
        <v>69173</v>
      </c>
      <c r="P6836" s="15">
        <f t="shared" si="581"/>
        <v>20.341888887581899</v>
      </c>
      <c r="Q6836" s="25">
        <v>5000</v>
      </c>
      <c r="R6836" s="22">
        <v>68</v>
      </c>
      <c r="S6836" s="22" t="s">
        <v>8334</v>
      </c>
      <c r="T6836" s="22">
        <f t="shared" si="578"/>
        <v>6</v>
      </c>
      <c r="U6836" s="22">
        <f t="shared" si="579"/>
        <v>2023</v>
      </c>
      <c r="V6836" s="22" t="str">
        <f t="shared" si="580"/>
        <v>METROPOLITANA</v>
      </c>
    </row>
    <row r="6837" spans="1:22" x14ac:dyDescent="0.2">
      <c r="A6837" s="23" t="s">
        <v>8327</v>
      </c>
      <c r="B6837" s="22" t="s">
        <v>33</v>
      </c>
      <c r="C6837" s="22" t="s">
        <v>44</v>
      </c>
      <c r="D6837" s="22" t="s">
        <v>8335</v>
      </c>
      <c r="E6837" s="24" t="s">
        <v>28</v>
      </c>
      <c r="F6837" s="22" t="s">
        <v>48</v>
      </c>
      <c r="G6837" s="25">
        <v>9368.6799999999967</v>
      </c>
      <c r="H6837" s="22" t="s">
        <v>24</v>
      </c>
      <c r="I6837" s="22">
        <v>1</v>
      </c>
      <c r="J6837" s="22" t="s">
        <v>48</v>
      </c>
      <c r="K6837" s="22" t="s">
        <v>23</v>
      </c>
      <c r="L6837" s="22">
        <v>1</v>
      </c>
      <c r="M6837" s="26">
        <v>103055</v>
      </c>
      <c r="N6837" s="26">
        <v>0</v>
      </c>
      <c r="O6837" s="15">
        <f t="shared" si="577"/>
        <v>103055</v>
      </c>
      <c r="P6837" s="15">
        <f t="shared" si="581"/>
        <v>10.999948765461093</v>
      </c>
      <c r="Q6837" s="25">
        <v>5000</v>
      </c>
      <c r="R6837" s="22">
        <v>100</v>
      </c>
      <c r="S6837" s="22" t="s">
        <v>8336</v>
      </c>
      <c r="T6837" s="22">
        <f t="shared" si="578"/>
        <v>6</v>
      </c>
      <c r="U6837" s="22">
        <f t="shared" si="579"/>
        <v>2023</v>
      </c>
      <c r="V6837" s="22" t="str">
        <f t="shared" si="580"/>
        <v>METROPOLITANA</v>
      </c>
    </row>
    <row r="6838" spans="1:22" x14ac:dyDescent="0.2">
      <c r="A6838" s="23" t="s">
        <v>8327</v>
      </c>
      <c r="B6838" s="22" t="s">
        <v>33</v>
      </c>
      <c r="C6838" s="22" t="s">
        <v>3922</v>
      </c>
      <c r="D6838" s="22" t="s">
        <v>8219</v>
      </c>
      <c r="E6838" s="24" t="s">
        <v>8220</v>
      </c>
      <c r="F6838" s="22" t="s">
        <v>34</v>
      </c>
      <c r="G6838" s="25">
        <v>8502</v>
      </c>
      <c r="H6838" s="22" t="s">
        <v>24</v>
      </c>
      <c r="I6838" s="22">
        <v>1</v>
      </c>
      <c r="J6838" s="22" t="s">
        <v>34</v>
      </c>
      <c r="K6838" s="22" t="s">
        <v>23</v>
      </c>
      <c r="L6838" s="22">
        <v>1</v>
      </c>
      <c r="M6838" s="26">
        <v>93522</v>
      </c>
      <c r="N6838" s="26">
        <v>0</v>
      </c>
      <c r="O6838" s="15">
        <f t="shared" si="577"/>
        <v>93522</v>
      </c>
      <c r="P6838" s="15">
        <f t="shared" si="581"/>
        <v>11</v>
      </c>
      <c r="Q6838" s="25">
        <v>5000</v>
      </c>
      <c r="R6838" s="22">
        <v>100</v>
      </c>
      <c r="S6838" s="22" t="s">
        <v>8337</v>
      </c>
      <c r="T6838" s="22">
        <f t="shared" si="578"/>
        <v>6</v>
      </c>
      <c r="U6838" s="22">
        <f t="shared" si="579"/>
        <v>2023</v>
      </c>
      <c r="V6838" s="22" t="str">
        <f t="shared" si="580"/>
        <v>METROPOLITANA</v>
      </c>
    </row>
    <row r="6839" spans="1:22" x14ac:dyDescent="0.2">
      <c r="A6839" s="11" t="s">
        <v>8339</v>
      </c>
      <c r="B6839" s="12" t="s">
        <v>18</v>
      </c>
      <c r="C6839" s="12" t="s">
        <v>5796</v>
      </c>
      <c r="D6839" s="12" t="s">
        <v>37</v>
      </c>
      <c r="E6839" s="13" t="s">
        <v>40</v>
      </c>
      <c r="F6839" s="12" t="s">
        <v>129</v>
      </c>
      <c r="G6839" s="14">
        <v>8885.9999999999964</v>
      </c>
      <c r="H6839" s="12" t="s">
        <v>22</v>
      </c>
      <c r="I6839" s="12">
        <v>0</v>
      </c>
      <c r="J6839" s="12" t="s">
        <v>129</v>
      </c>
      <c r="K6839" s="12" t="s">
        <v>23</v>
      </c>
      <c r="L6839" s="12">
        <v>1</v>
      </c>
      <c r="M6839" s="15">
        <v>97746</v>
      </c>
      <c r="N6839" s="15">
        <v>0</v>
      </c>
      <c r="O6839" s="15">
        <f t="shared" si="577"/>
        <v>97746</v>
      </c>
      <c r="P6839" s="15">
        <f t="shared" si="581"/>
        <v>11.000000000000005</v>
      </c>
      <c r="Q6839" s="14">
        <v>5000</v>
      </c>
      <c r="R6839" s="12">
        <v>100</v>
      </c>
      <c r="S6839" s="12" t="s">
        <v>8340</v>
      </c>
      <c r="T6839" s="22">
        <f t="shared" si="578"/>
        <v>6</v>
      </c>
      <c r="U6839" s="22">
        <f t="shared" si="579"/>
        <v>2023</v>
      </c>
      <c r="V6839" s="22" t="str">
        <f t="shared" si="580"/>
        <v>METROPOLITANA</v>
      </c>
    </row>
    <row r="6840" spans="1:22" x14ac:dyDescent="0.2">
      <c r="A6840" s="11" t="s">
        <v>8339</v>
      </c>
      <c r="B6840" s="12" t="s">
        <v>33</v>
      </c>
      <c r="C6840" s="12" t="s">
        <v>57</v>
      </c>
      <c r="D6840" s="12" t="s">
        <v>20</v>
      </c>
      <c r="E6840" s="13" t="s">
        <v>21</v>
      </c>
      <c r="F6840" s="12" t="s">
        <v>800</v>
      </c>
      <c r="G6840" s="14">
        <v>2976</v>
      </c>
      <c r="H6840" s="12" t="s">
        <v>22</v>
      </c>
      <c r="I6840" s="12">
        <v>0</v>
      </c>
      <c r="J6840" s="12" t="s">
        <v>800</v>
      </c>
      <c r="K6840" s="12" t="s">
        <v>23</v>
      </c>
      <c r="L6840" s="12">
        <v>5</v>
      </c>
      <c r="M6840" s="15">
        <v>112500</v>
      </c>
      <c r="N6840" s="15">
        <v>0</v>
      </c>
      <c r="O6840" s="15">
        <f t="shared" si="577"/>
        <v>112500</v>
      </c>
      <c r="P6840" s="15">
        <f t="shared" si="581"/>
        <v>37.802419354838712</v>
      </c>
      <c r="Q6840" s="14">
        <v>10000</v>
      </c>
      <c r="R6840" s="12">
        <v>30</v>
      </c>
      <c r="S6840" s="12" t="s">
        <v>8341</v>
      </c>
      <c r="T6840" s="22">
        <f t="shared" si="578"/>
        <v>6</v>
      </c>
      <c r="U6840" s="22">
        <f t="shared" si="579"/>
        <v>2023</v>
      </c>
      <c r="V6840" s="22" t="str">
        <f t="shared" si="580"/>
        <v>METROPOLITANA</v>
      </c>
    </row>
    <row r="6841" spans="1:22" x14ac:dyDescent="0.2">
      <c r="A6841" s="11" t="s">
        <v>8339</v>
      </c>
      <c r="B6841" s="12" t="s">
        <v>33</v>
      </c>
      <c r="C6841" s="12" t="s">
        <v>2507</v>
      </c>
      <c r="D6841" s="12" t="s">
        <v>8219</v>
      </c>
      <c r="E6841" s="13" t="s">
        <v>8220</v>
      </c>
      <c r="F6841" s="12" t="s">
        <v>876</v>
      </c>
      <c r="G6841" s="14">
        <f>2976.3+2830</f>
        <v>5806.3</v>
      </c>
      <c r="H6841" s="12" t="s">
        <v>24</v>
      </c>
      <c r="I6841" s="12">
        <v>1</v>
      </c>
      <c r="J6841" s="12" t="s">
        <v>876</v>
      </c>
      <c r="K6841" s="12" t="s">
        <v>86</v>
      </c>
      <c r="L6841" s="12">
        <v>0</v>
      </c>
      <c r="M6841" s="15">
        <v>420000</v>
      </c>
      <c r="N6841" s="15">
        <v>0</v>
      </c>
      <c r="O6841" s="15">
        <f t="shared" si="577"/>
        <v>420000</v>
      </c>
      <c r="P6841" s="15">
        <f t="shared" si="581"/>
        <v>72.335222086354477</v>
      </c>
      <c r="Q6841" s="14">
        <v>14000</v>
      </c>
      <c r="R6841" s="12">
        <v>40</v>
      </c>
      <c r="S6841" s="12" t="s">
        <v>8344</v>
      </c>
      <c r="T6841" s="22">
        <f t="shared" si="578"/>
        <v>6</v>
      </c>
      <c r="U6841" s="22">
        <f t="shared" si="579"/>
        <v>2023</v>
      </c>
      <c r="V6841" s="22" t="str">
        <f t="shared" si="580"/>
        <v>REGIONES</v>
      </c>
    </row>
    <row r="6842" spans="1:22" x14ac:dyDescent="0.2">
      <c r="A6842" s="11" t="s">
        <v>8339</v>
      </c>
      <c r="B6842" s="12" t="s">
        <v>33</v>
      </c>
      <c r="C6842" s="12" t="s">
        <v>128</v>
      </c>
      <c r="D6842" s="12" t="s">
        <v>38</v>
      </c>
      <c r="E6842" s="13" t="s">
        <v>25</v>
      </c>
      <c r="F6842" s="12" t="s">
        <v>34</v>
      </c>
      <c r="G6842" s="14">
        <v>8957.6800000000021</v>
      </c>
      <c r="H6842" s="12" t="s">
        <v>43</v>
      </c>
      <c r="I6842" s="12">
        <v>0</v>
      </c>
      <c r="J6842" s="12" t="s">
        <v>34</v>
      </c>
      <c r="K6842" s="12" t="s">
        <v>23</v>
      </c>
      <c r="L6842" s="12">
        <v>1</v>
      </c>
      <c r="M6842" s="15">
        <v>98534</v>
      </c>
      <c r="N6842" s="15">
        <v>0</v>
      </c>
      <c r="O6842" s="15">
        <f t="shared" si="577"/>
        <v>98534</v>
      </c>
      <c r="P6842" s="15">
        <f t="shared" si="581"/>
        <v>10.999946414696661</v>
      </c>
      <c r="Q6842" s="14">
        <v>5000</v>
      </c>
      <c r="R6842" s="12">
        <v>100</v>
      </c>
      <c r="S6842" s="12" t="s">
        <v>8342</v>
      </c>
      <c r="T6842" s="22">
        <f t="shared" si="578"/>
        <v>6</v>
      </c>
      <c r="U6842" s="22">
        <f t="shared" si="579"/>
        <v>2023</v>
      </c>
      <c r="V6842" s="22" t="str">
        <f t="shared" si="580"/>
        <v>METROPOLITANA</v>
      </c>
    </row>
    <row r="6843" spans="1:22" x14ac:dyDescent="0.2">
      <c r="A6843" s="11" t="s">
        <v>8339</v>
      </c>
      <c r="B6843" s="12" t="s">
        <v>33</v>
      </c>
      <c r="C6843" s="12" t="s">
        <v>29</v>
      </c>
      <c r="D6843" s="12" t="s">
        <v>2825</v>
      </c>
      <c r="E6843" s="13" t="s">
        <v>639</v>
      </c>
      <c r="F6843" s="12" t="s">
        <v>114</v>
      </c>
      <c r="G6843" s="14">
        <f>15105+6902</f>
        <v>22007</v>
      </c>
      <c r="H6843" s="12" t="s">
        <v>24</v>
      </c>
      <c r="I6843" s="12">
        <v>1</v>
      </c>
      <c r="J6843" s="12" t="s">
        <v>114</v>
      </c>
      <c r="K6843" s="12" t="s">
        <v>75</v>
      </c>
      <c r="L6843" s="12">
        <v>0</v>
      </c>
      <c r="M6843" s="15">
        <v>528000</v>
      </c>
      <c r="N6843" s="15">
        <v>0</v>
      </c>
      <c r="O6843" s="15">
        <f t="shared" ref="O6843:O6906" si="582">SUM(M6843:N6843)</f>
        <v>528000</v>
      </c>
      <c r="P6843" s="15">
        <f t="shared" si="581"/>
        <v>23.992366065342846</v>
      </c>
      <c r="Q6843" s="14">
        <v>14000</v>
      </c>
      <c r="R6843" s="12">
        <v>100</v>
      </c>
      <c r="S6843" s="12" t="s">
        <v>8345</v>
      </c>
      <c r="T6843" s="22">
        <f t="shared" si="578"/>
        <v>6</v>
      </c>
      <c r="U6843" s="22">
        <f t="shared" si="579"/>
        <v>2023</v>
      </c>
      <c r="V6843" s="22" t="str">
        <f t="shared" si="580"/>
        <v>REGIONES</v>
      </c>
    </row>
    <row r="6844" spans="1:22" x14ac:dyDescent="0.2">
      <c r="A6844" s="11" t="s">
        <v>8339</v>
      </c>
      <c r="B6844" s="12" t="s">
        <v>33</v>
      </c>
      <c r="C6844" s="12" t="s">
        <v>29</v>
      </c>
      <c r="D6844" s="12" t="s">
        <v>45</v>
      </c>
      <c r="E6844" s="13" t="s">
        <v>49</v>
      </c>
      <c r="F6844" s="12" t="s">
        <v>129</v>
      </c>
      <c r="G6844" s="14">
        <v>3189.1799999999989</v>
      </c>
      <c r="H6844" s="12" t="s">
        <v>22</v>
      </c>
      <c r="I6844" s="12">
        <v>0</v>
      </c>
      <c r="J6844" s="12" t="s">
        <v>129</v>
      </c>
      <c r="K6844" s="12" t="s">
        <v>23</v>
      </c>
      <c r="L6844" s="12">
        <v>1</v>
      </c>
      <c r="M6844" s="15">
        <v>69173</v>
      </c>
      <c r="N6844" s="15">
        <v>0</v>
      </c>
      <c r="O6844" s="15">
        <f t="shared" si="582"/>
        <v>69173</v>
      </c>
      <c r="P6844" s="15">
        <f t="shared" si="581"/>
        <v>21.689901479377152</v>
      </c>
      <c r="Q6844" s="14">
        <v>5000</v>
      </c>
      <c r="R6844" s="12">
        <v>64</v>
      </c>
      <c r="S6844" s="12" t="s">
        <v>8343</v>
      </c>
      <c r="T6844" s="22">
        <f t="shared" si="578"/>
        <v>6</v>
      </c>
      <c r="U6844" s="22">
        <f t="shared" si="579"/>
        <v>2023</v>
      </c>
      <c r="V6844" s="22" t="str">
        <f t="shared" si="580"/>
        <v>METROPOLITANA</v>
      </c>
    </row>
    <row r="6845" spans="1:22" x14ac:dyDescent="0.2">
      <c r="A6845" s="23" t="s">
        <v>8346</v>
      </c>
      <c r="B6845" s="22" t="s">
        <v>18</v>
      </c>
      <c r="C6845" s="22" t="s">
        <v>5796</v>
      </c>
      <c r="D6845" s="22" t="s">
        <v>37</v>
      </c>
      <c r="E6845" s="24" t="s">
        <v>40</v>
      </c>
      <c r="F6845" s="22" t="s">
        <v>129</v>
      </c>
      <c r="G6845" s="25">
        <v>9705.6</v>
      </c>
      <c r="H6845" s="22" t="s">
        <v>22</v>
      </c>
      <c r="I6845" s="22">
        <v>0</v>
      </c>
      <c r="J6845" s="22" t="s">
        <v>129</v>
      </c>
      <c r="K6845" s="22" t="s">
        <v>23</v>
      </c>
      <c r="L6845" s="22">
        <v>1</v>
      </c>
      <c r="M6845" s="26">
        <v>106762</v>
      </c>
      <c r="N6845" s="26">
        <v>0</v>
      </c>
      <c r="O6845" s="15">
        <f t="shared" si="582"/>
        <v>106762</v>
      </c>
      <c r="P6845" s="15">
        <f t="shared" si="581"/>
        <v>11.000041213320145</v>
      </c>
      <c r="Q6845" s="25">
        <v>5000</v>
      </c>
      <c r="R6845" s="22">
        <v>100</v>
      </c>
      <c r="S6845" s="22" t="s">
        <v>8347</v>
      </c>
      <c r="T6845" s="22">
        <f t="shared" si="578"/>
        <v>6</v>
      </c>
      <c r="U6845" s="22">
        <f t="shared" si="579"/>
        <v>2023</v>
      </c>
      <c r="V6845" s="22" t="str">
        <f t="shared" si="580"/>
        <v>METROPOLITANA</v>
      </c>
    </row>
    <row r="6846" spans="1:22" x14ac:dyDescent="0.2">
      <c r="A6846" s="23" t="s">
        <v>8346</v>
      </c>
      <c r="B6846" s="22" t="s">
        <v>33</v>
      </c>
      <c r="C6846" s="22" t="s">
        <v>8348</v>
      </c>
      <c r="D6846" s="22" t="s">
        <v>30</v>
      </c>
      <c r="E6846" s="24" t="s">
        <v>31</v>
      </c>
      <c r="F6846" s="22" t="s">
        <v>727</v>
      </c>
      <c r="G6846" s="25">
        <f>1643.72+1618</f>
        <v>3261.7200000000003</v>
      </c>
      <c r="H6846" s="22" t="s">
        <v>32</v>
      </c>
      <c r="I6846" s="22">
        <v>0</v>
      </c>
      <c r="J6846" s="22" t="s">
        <v>727</v>
      </c>
      <c r="K6846" s="22" t="s">
        <v>23</v>
      </c>
      <c r="L6846" s="22">
        <v>2</v>
      </c>
      <c r="M6846" s="26">
        <v>69173</v>
      </c>
      <c r="N6846" s="26">
        <v>0</v>
      </c>
      <c r="O6846" s="15">
        <f t="shared" si="582"/>
        <v>69173</v>
      </c>
      <c r="P6846" s="15">
        <f t="shared" si="581"/>
        <v>21.207522411488416</v>
      </c>
      <c r="Q6846" s="25">
        <v>5000</v>
      </c>
      <c r="R6846" s="22">
        <v>65</v>
      </c>
      <c r="S6846" s="22" t="s">
        <v>8354</v>
      </c>
      <c r="T6846" s="22">
        <f t="shared" si="578"/>
        <v>6</v>
      </c>
      <c r="U6846" s="22">
        <f t="shared" si="579"/>
        <v>2023</v>
      </c>
      <c r="V6846" s="22" t="str">
        <f t="shared" si="580"/>
        <v>METROPOLITANA</v>
      </c>
    </row>
    <row r="6847" spans="1:22" x14ac:dyDescent="0.2">
      <c r="A6847" s="23" t="s">
        <v>8346</v>
      </c>
      <c r="B6847" s="22" t="s">
        <v>33</v>
      </c>
      <c r="C6847" s="22" t="s">
        <v>128</v>
      </c>
      <c r="D6847" s="22" t="s">
        <v>45</v>
      </c>
      <c r="E6847" s="24" t="s">
        <v>8349</v>
      </c>
      <c r="F6847" s="22" t="s">
        <v>129</v>
      </c>
      <c r="G6847" s="25">
        <f>4502.4+2665</f>
        <v>7167.4</v>
      </c>
      <c r="H6847" s="22" t="s">
        <v>22</v>
      </c>
      <c r="I6847" s="22">
        <v>0</v>
      </c>
      <c r="J6847" s="22" t="s">
        <v>129</v>
      </c>
      <c r="K6847" s="22" t="s">
        <v>23</v>
      </c>
      <c r="L6847" s="22">
        <v>1</v>
      </c>
      <c r="M6847" s="26">
        <v>69173</v>
      </c>
      <c r="N6847" s="26">
        <v>0</v>
      </c>
      <c r="O6847" s="15">
        <f t="shared" si="582"/>
        <v>69173</v>
      </c>
      <c r="P6847" s="15">
        <f t="shared" si="581"/>
        <v>9.6510589614085998</v>
      </c>
      <c r="Q6847" s="25">
        <v>5000</v>
      </c>
      <c r="R6847" s="22">
        <v>100</v>
      </c>
      <c r="S6847" s="22" t="s">
        <v>8355</v>
      </c>
      <c r="T6847" s="22">
        <f t="shared" si="578"/>
        <v>6</v>
      </c>
      <c r="U6847" s="22">
        <f t="shared" si="579"/>
        <v>2023</v>
      </c>
      <c r="V6847" s="22" t="str">
        <f t="shared" si="580"/>
        <v>METROPOLITANA</v>
      </c>
    </row>
    <row r="6848" spans="1:22" x14ac:dyDescent="0.2">
      <c r="A6848" s="23" t="s">
        <v>8346</v>
      </c>
      <c r="B6848" s="22" t="s">
        <v>33</v>
      </c>
      <c r="C6848" s="22" t="s">
        <v>29</v>
      </c>
      <c r="D6848" s="22" t="s">
        <v>8219</v>
      </c>
      <c r="E6848" s="24" t="s">
        <v>8220</v>
      </c>
      <c r="F6848" s="22" t="s">
        <v>39</v>
      </c>
      <c r="G6848" s="25">
        <v>13654.64</v>
      </c>
      <c r="H6848" s="22" t="s">
        <v>24</v>
      </c>
      <c r="I6848" s="22">
        <v>1</v>
      </c>
      <c r="J6848" s="22" t="s">
        <v>39</v>
      </c>
      <c r="K6848" s="22" t="s">
        <v>23</v>
      </c>
      <c r="L6848" s="22">
        <v>1</v>
      </c>
      <c r="M6848" s="26">
        <v>150201</v>
      </c>
      <c r="N6848" s="26">
        <v>0</v>
      </c>
      <c r="O6848" s="15">
        <f t="shared" si="582"/>
        <v>150201</v>
      </c>
      <c r="P6848" s="15">
        <f t="shared" si="581"/>
        <v>10.999997070592855</v>
      </c>
      <c r="Q6848" s="25">
        <v>5000</v>
      </c>
      <c r="R6848" s="22">
        <v>100</v>
      </c>
      <c r="S6848" s="22" t="s">
        <v>8350</v>
      </c>
      <c r="T6848" s="22">
        <f t="shared" si="578"/>
        <v>6</v>
      </c>
      <c r="U6848" s="22">
        <f t="shared" si="579"/>
        <v>2023</v>
      </c>
      <c r="V6848" s="22" t="str">
        <f t="shared" si="580"/>
        <v>METROPOLITANA</v>
      </c>
    </row>
    <row r="6849" spans="1:22" x14ac:dyDescent="0.2">
      <c r="A6849" s="23" t="s">
        <v>8346</v>
      </c>
      <c r="B6849" s="22" t="s">
        <v>33</v>
      </c>
      <c r="C6849" s="22" t="s">
        <v>29</v>
      </c>
      <c r="D6849" s="22" t="s">
        <v>164</v>
      </c>
      <c r="E6849" s="24" t="s">
        <v>1576</v>
      </c>
      <c r="F6849" s="22" t="s">
        <v>39</v>
      </c>
      <c r="G6849" s="25">
        <v>16876.62</v>
      </c>
      <c r="H6849" s="22" t="s">
        <v>22</v>
      </c>
      <c r="I6849" s="22">
        <v>1</v>
      </c>
      <c r="J6849" s="22" t="s">
        <v>39</v>
      </c>
      <c r="K6849" s="22" t="s">
        <v>23</v>
      </c>
      <c r="L6849" s="22">
        <v>1</v>
      </c>
      <c r="M6849" s="26">
        <v>185643</v>
      </c>
      <c r="N6849" s="26">
        <v>0</v>
      </c>
      <c r="O6849" s="15">
        <f t="shared" si="582"/>
        <v>185643</v>
      </c>
      <c r="P6849" s="15">
        <f t="shared" si="581"/>
        <v>11.000010665642765</v>
      </c>
      <c r="Q6849" s="25">
        <v>5000</v>
      </c>
      <c r="R6849" s="22">
        <v>100</v>
      </c>
      <c r="S6849" s="22" t="s">
        <v>8351</v>
      </c>
      <c r="T6849" s="22">
        <f t="shared" si="578"/>
        <v>6</v>
      </c>
      <c r="U6849" s="22">
        <f t="shared" si="579"/>
        <v>2023</v>
      </c>
      <c r="V6849" s="22" t="str">
        <f t="shared" si="580"/>
        <v>METROPOLITANA</v>
      </c>
    </row>
    <row r="6850" spans="1:22" x14ac:dyDescent="0.2">
      <c r="A6850" s="23" t="s">
        <v>8346</v>
      </c>
      <c r="B6850" s="22" t="s">
        <v>33</v>
      </c>
      <c r="C6850" s="22" t="s">
        <v>29</v>
      </c>
      <c r="D6850" s="22" t="s">
        <v>20</v>
      </c>
      <c r="E6850" s="24" t="s">
        <v>21</v>
      </c>
      <c r="F6850" s="22" t="s">
        <v>134</v>
      </c>
      <c r="G6850" s="25">
        <v>10630.62</v>
      </c>
      <c r="H6850" s="22" t="s">
        <v>22</v>
      </c>
      <c r="I6850" s="22">
        <v>0</v>
      </c>
      <c r="J6850" s="22" t="s">
        <v>134</v>
      </c>
      <c r="K6850" s="22" t="s">
        <v>23</v>
      </c>
      <c r="L6850" s="22">
        <v>2</v>
      </c>
      <c r="M6850" s="26">
        <v>116937</v>
      </c>
      <c r="N6850" s="26">
        <v>0</v>
      </c>
      <c r="O6850" s="15">
        <f t="shared" si="582"/>
        <v>116937</v>
      </c>
      <c r="P6850" s="15">
        <f t="shared" si="581"/>
        <v>11.000016932220321</v>
      </c>
      <c r="Q6850" s="25">
        <v>5000</v>
      </c>
      <c r="R6850" s="22">
        <v>100</v>
      </c>
      <c r="S6850" s="22" t="s">
        <v>8352</v>
      </c>
      <c r="T6850" s="22">
        <f t="shared" si="578"/>
        <v>6</v>
      </c>
      <c r="U6850" s="22">
        <f t="shared" si="579"/>
        <v>2023</v>
      </c>
      <c r="V6850" s="22" t="str">
        <f t="shared" si="580"/>
        <v>METROPOLITANA</v>
      </c>
    </row>
    <row r="6851" spans="1:22" x14ac:dyDescent="0.2">
      <c r="A6851" s="23" t="s">
        <v>8346</v>
      </c>
      <c r="B6851" s="22" t="s">
        <v>33</v>
      </c>
      <c r="C6851" s="22" t="s">
        <v>44</v>
      </c>
      <c r="D6851" s="22" t="s">
        <v>37</v>
      </c>
      <c r="E6851" s="24" t="s">
        <v>40</v>
      </c>
      <c r="F6851" s="22" t="s">
        <v>48</v>
      </c>
      <c r="G6851" s="25">
        <v>2729.84</v>
      </c>
      <c r="H6851" s="22" t="s">
        <v>22</v>
      </c>
      <c r="I6851" s="22">
        <v>0</v>
      </c>
      <c r="J6851" s="22" t="s">
        <v>48</v>
      </c>
      <c r="K6851" s="22" t="s">
        <v>23</v>
      </c>
      <c r="L6851" s="22">
        <v>1</v>
      </c>
      <c r="M6851" s="26">
        <v>69173</v>
      </c>
      <c r="N6851" s="26">
        <v>0</v>
      </c>
      <c r="O6851" s="15">
        <f t="shared" si="582"/>
        <v>69173</v>
      </c>
      <c r="P6851" s="15">
        <f t="shared" si="581"/>
        <v>25.339580341705005</v>
      </c>
      <c r="Q6851" s="25">
        <v>5000</v>
      </c>
      <c r="R6851" s="22">
        <v>55</v>
      </c>
      <c r="S6851" s="22" t="s">
        <v>8353</v>
      </c>
      <c r="T6851" s="22">
        <f t="shared" si="578"/>
        <v>6</v>
      </c>
      <c r="U6851" s="22">
        <f t="shared" si="579"/>
        <v>2023</v>
      </c>
      <c r="V6851" s="22" t="str">
        <f t="shared" si="580"/>
        <v>METROPOLITANA</v>
      </c>
    </row>
    <row r="6852" spans="1:22" x14ac:dyDescent="0.2">
      <c r="A6852" s="11" t="s">
        <v>8356</v>
      </c>
      <c r="B6852" s="12" t="s">
        <v>18</v>
      </c>
      <c r="C6852" s="12" t="s">
        <v>5796</v>
      </c>
      <c r="D6852" s="12" t="s">
        <v>37</v>
      </c>
      <c r="E6852" s="13" t="s">
        <v>40</v>
      </c>
      <c r="F6852" s="12" t="s">
        <v>129</v>
      </c>
      <c r="G6852" s="14">
        <v>10716.8</v>
      </c>
      <c r="H6852" s="12" t="s">
        <v>22</v>
      </c>
      <c r="I6852" s="12">
        <v>0</v>
      </c>
      <c r="J6852" s="12" t="s">
        <v>129</v>
      </c>
      <c r="K6852" s="12" t="s">
        <v>23</v>
      </c>
      <c r="L6852" s="12">
        <v>1</v>
      </c>
      <c r="M6852" s="15">
        <v>117885</v>
      </c>
      <c r="N6852" s="15">
        <v>0</v>
      </c>
      <c r="O6852" s="15">
        <f t="shared" si="582"/>
        <v>117885</v>
      </c>
      <c r="P6852" s="15">
        <f t="shared" si="581"/>
        <v>11.000018662287252</v>
      </c>
      <c r="Q6852" s="14">
        <v>5000</v>
      </c>
      <c r="R6852" s="12">
        <v>100</v>
      </c>
      <c r="S6852" s="12" t="s">
        <v>8357</v>
      </c>
      <c r="T6852" s="22">
        <f t="shared" si="578"/>
        <v>6</v>
      </c>
      <c r="U6852" s="22">
        <f t="shared" si="579"/>
        <v>2023</v>
      </c>
      <c r="V6852" s="22" t="str">
        <f t="shared" si="580"/>
        <v>METROPOLITANA</v>
      </c>
    </row>
    <row r="6853" spans="1:22" x14ac:dyDescent="0.2">
      <c r="A6853" s="11" t="s">
        <v>8356</v>
      </c>
      <c r="B6853" s="12" t="s">
        <v>33</v>
      </c>
      <c r="C6853" s="12" t="s">
        <v>36</v>
      </c>
      <c r="D6853" s="12" t="s">
        <v>8358</v>
      </c>
      <c r="E6853" s="13" t="s">
        <v>8359</v>
      </c>
      <c r="F6853" s="12" t="s">
        <v>893</v>
      </c>
      <c r="G6853" s="14">
        <v>11788.28</v>
      </c>
      <c r="H6853" s="12" t="s">
        <v>24</v>
      </c>
      <c r="I6853" s="12">
        <v>1</v>
      </c>
      <c r="J6853" s="12" t="s">
        <v>893</v>
      </c>
      <c r="K6853" s="12" t="s">
        <v>437</v>
      </c>
      <c r="L6853" s="12">
        <v>0</v>
      </c>
      <c r="M6853" s="15">
        <v>1500000</v>
      </c>
      <c r="N6853" s="15">
        <v>0</v>
      </c>
      <c r="O6853" s="15">
        <f t="shared" si="582"/>
        <v>1500000</v>
      </c>
      <c r="P6853" s="15">
        <f t="shared" si="581"/>
        <v>127.24502641606747</v>
      </c>
      <c r="Q6853" s="14">
        <v>14000</v>
      </c>
      <c r="R6853" s="12">
        <v>84</v>
      </c>
      <c r="S6853" s="12" t="s">
        <v>8360</v>
      </c>
      <c r="T6853" s="22">
        <f t="shared" si="578"/>
        <v>6</v>
      </c>
      <c r="U6853" s="22">
        <f t="shared" si="579"/>
        <v>2023</v>
      </c>
      <c r="V6853" s="22" t="str">
        <f t="shared" si="580"/>
        <v>REGIONES</v>
      </c>
    </row>
    <row r="6854" spans="1:22" x14ac:dyDescent="0.2">
      <c r="A6854" s="11" t="s">
        <v>8356</v>
      </c>
      <c r="B6854" s="12" t="s">
        <v>33</v>
      </c>
      <c r="C6854" s="12" t="s">
        <v>223</v>
      </c>
      <c r="D6854" s="12" t="s">
        <v>6793</v>
      </c>
      <c r="E6854" s="13" t="s">
        <v>6794</v>
      </c>
      <c r="F6854" s="12" t="s">
        <v>2639</v>
      </c>
      <c r="G6854" s="14">
        <v>8874.7400000000016</v>
      </c>
      <c r="H6854" s="12" t="s">
        <v>24</v>
      </c>
      <c r="I6854" s="12">
        <v>1</v>
      </c>
      <c r="J6854" s="12" t="s">
        <v>2639</v>
      </c>
      <c r="K6854" s="12" t="s">
        <v>75</v>
      </c>
      <c r="L6854" s="12">
        <v>0</v>
      </c>
      <c r="M6854" s="15">
        <v>478000</v>
      </c>
      <c r="N6854" s="15">
        <v>0</v>
      </c>
      <c r="O6854" s="15">
        <f t="shared" si="582"/>
        <v>478000</v>
      </c>
      <c r="P6854" s="15">
        <f t="shared" si="581"/>
        <v>53.860732821468559</v>
      </c>
      <c r="Q6854" s="14">
        <v>14000</v>
      </c>
      <c r="R6854" s="12">
        <v>63</v>
      </c>
      <c r="S6854" s="12" t="s">
        <v>8361</v>
      </c>
      <c r="T6854" s="22">
        <f t="shared" si="578"/>
        <v>6</v>
      </c>
      <c r="U6854" s="22">
        <f t="shared" si="579"/>
        <v>2023</v>
      </c>
      <c r="V6854" s="22" t="str">
        <f t="shared" si="580"/>
        <v>REGIONES</v>
      </c>
    </row>
    <row r="6855" spans="1:22" x14ac:dyDescent="0.2">
      <c r="A6855" s="11" t="s">
        <v>8356</v>
      </c>
      <c r="B6855" s="12" t="s">
        <v>33</v>
      </c>
      <c r="C6855" s="12" t="s">
        <v>29</v>
      </c>
      <c r="D6855" s="12" t="s">
        <v>130</v>
      </c>
      <c r="E6855" s="13" t="s">
        <v>131</v>
      </c>
      <c r="F6855" s="12" t="s">
        <v>114</v>
      </c>
      <c r="G6855" s="14">
        <v>13234.22</v>
      </c>
      <c r="H6855" s="12" t="s">
        <v>85</v>
      </c>
      <c r="I6855" s="12">
        <v>1</v>
      </c>
      <c r="J6855" s="12" t="s">
        <v>114</v>
      </c>
      <c r="K6855" s="12" t="s">
        <v>75</v>
      </c>
      <c r="L6855" s="12">
        <v>0</v>
      </c>
      <c r="M6855" s="15">
        <v>528000</v>
      </c>
      <c r="N6855" s="15">
        <v>0</v>
      </c>
      <c r="O6855" s="15">
        <f t="shared" si="582"/>
        <v>528000</v>
      </c>
      <c r="P6855" s="15">
        <f t="shared" si="581"/>
        <v>39.896571161730726</v>
      </c>
      <c r="Q6855" s="14">
        <v>14000</v>
      </c>
      <c r="R6855" s="12">
        <v>95</v>
      </c>
      <c r="S6855" s="12" t="s">
        <v>8362</v>
      </c>
      <c r="T6855" s="22">
        <f t="shared" ref="T6855:T6918" si="583">MONTH(A6855)</f>
        <v>6</v>
      </c>
      <c r="U6855" s="22">
        <f t="shared" ref="U6855:U6918" si="584">YEAR(A6855)</f>
        <v>2023</v>
      </c>
      <c r="V6855" s="22" t="str">
        <f t="shared" ref="V6855:V6918" si="585">IF(K6855="METROPOLITANA DE SANTIAGO","METROPOLITANA","REGIONES")</f>
        <v>REGIONES</v>
      </c>
    </row>
    <row r="6856" spans="1:22" x14ac:dyDescent="0.2">
      <c r="A6856" s="11" t="s">
        <v>8356</v>
      </c>
      <c r="B6856" s="12" t="s">
        <v>33</v>
      </c>
      <c r="C6856" s="12" t="s">
        <v>29</v>
      </c>
      <c r="D6856" s="12" t="s">
        <v>30</v>
      </c>
      <c r="E6856" s="13" t="s">
        <v>31</v>
      </c>
      <c r="F6856" s="12" t="s">
        <v>39</v>
      </c>
      <c r="G6856" s="14">
        <v>9791</v>
      </c>
      <c r="H6856" s="12" t="s">
        <v>32</v>
      </c>
      <c r="I6856" s="12">
        <v>0</v>
      </c>
      <c r="J6856" s="12" t="s">
        <v>39</v>
      </c>
      <c r="K6856" s="12" t="s">
        <v>23</v>
      </c>
      <c r="L6856" s="12">
        <v>1</v>
      </c>
      <c r="M6856" s="15">
        <v>107701</v>
      </c>
      <c r="N6856" s="15">
        <v>0</v>
      </c>
      <c r="O6856" s="15">
        <f t="shared" si="582"/>
        <v>107701</v>
      </c>
      <c r="P6856" s="15">
        <f t="shared" si="581"/>
        <v>11</v>
      </c>
      <c r="Q6856" s="14">
        <v>5000</v>
      </c>
      <c r="R6856" s="12">
        <v>100</v>
      </c>
      <c r="S6856" s="12" t="s">
        <v>8363</v>
      </c>
      <c r="T6856" s="22">
        <f t="shared" si="583"/>
        <v>6</v>
      </c>
      <c r="U6856" s="22">
        <f t="shared" si="584"/>
        <v>2023</v>
      </c>
      <c r="V6856" s="22" t="str">
        <f t="shared" si="585"/>
        <v>METROPOLITANA</v>
      </c>
    </row>
    <row r="6857" spans="1:22" x14ac:dyDescent="0.2">
      <c r="A6857" s="11" t="s">
        <v>8356</v>
      </c>
      <c r="B6857" s="12" t="s">
        <v>33</v>
      </c>
      <c r="C6857" s="12" t="s">
        <v>29</v>
      </c>
      <c r="D6857" s="12" t="s">
        <v>164</v>
      </c>
      <c r="E6857" s="13" t="s">
        <v>1576</v>
      </c>
      <c r="F6857" s="12" t="s">
        <v>39</v>
      </c>
      <c r="G6857" s="14">
        <v>18341.48</v>
      </c>
      <c r="H6857" s="12" t="s">
        <v>22</v>
      </c>
      <c r="I6857" s="12">
        <v>1</v>
      </c>
      <c r="J6857" s="12" t="s">
        <v>39</v>
      </c>
      <c r="K6857" s="12" t="s">
        <v>23</v>
      </c>
      <c r="L6857" s="12">
        <v>1</v>
      </c>
      <c r="M6857" s="15">
        <v>201756</v>
      </c>
      <c r="N6857" s="15">
        <v>0</v>
      </c>
      <c r="O6857" s="15">
        <f t="shared" si="582"/>
        <v>201756</v>
      </c>
      <c r="P6857" s="15">
        <f t="shared" si="581"/>
        <v>10.999984734056358</v>
      </c>
      <c r="Q6857" s="14">
        <v>5000</v>
      </c>
      <c r="R6857" s="12">
        <v>100</v>
      </c>
      <c r="S6857" s="12" t="s">
        <v>8364</v>
      </c>
      <c r="T6857" s="22">
        <f t="shared" si="583"/>
        <v>6</v>
      </c>
      <c r="U6857" s="22">
        <f t="shared" si="584"/>
        <v>2023</v>
      </c>
      <c r="V6857" s="22" t="str">
        <f t="shared" si="585"/>
        <v>METROPOLITANA</v>
      </c>
    </row>
    <row r="6858" spans="1:22" x14ac:dyDescent="0.2">
      <c r="A6858" s="11" t="s">
        <v>8356</v>
      </c>
      <c r="B6858" s="12" t="s">
        <v>33</v>
      </c>
      <c r="C6858" s="12" t="s">
        <v>5573</v>
      </c>
      <c r="D6858" s="12" t="s">
        <v>7530</v>
      </c>
      <c r="E6858" s="13" t="s">
        <v>7531</v>
      </c>
      <c r="F6858" s="12" t="s">
        <v>129</v>
      </c>
      <c r="G6858" s="14">
        <v>17563.5</v>
      </c>
      <c r="H6858" s="12" t="s">
        <v>24</v>
      </c>
      <c r="I6858" s="12">
        <v>1</v>
      </c>
      <c r="J6858" s="12" t="s">
        <v>129</v>
      </c>
      <c r="K6858" s="12" t="s">
        <v>23</v>
      </c>
      <c r="L6858" s="12">
        <v>1</v>
      </c>
      <c r="M6858" s="15">
        <v>193199</v>
      </c>
      <c r="N6858" s="15">
        <v>0</v>
      </c>
      <c r="O6858" s="15">
        <f t="shared" si="582"/>
        <v>193199</v>
      </c>
      <c r="P6858" s="15">
        <f t="shared" si="581"/>
        <v>11.000028468129928</v>
      </c>
      <c r="Q6858" s="14">
        <v>5000</v>
      </c>
      <c r="R6858" s="12">
        <v>100</v>
      </c>
      <c r="S6858" s="12" t="s">
        <v>8365</v>
      </c>
      <c r="T6858" s="22">
        <f t="shared" si="583"/>
        <v>6</v>
      </c>
      <c r="U6858" s="22">
        <f t="shared" si="584"/>
        <v>2023</v>
      </c>
      <c r="V6858" s="22" t="str">
        <f t="shared" si="585"/>
        <v>METROPOLITANA</v>
      </c>
    </row>
    <row r="6859" spans="1:22" x14ac:dyDescent="0.2">
      <c r="A6859" s="23" t="s">
        <v>8366</v>
      </c>
      <c r="B6859" s="22" t="s">
        <v>18</v>
      </c>
      <c r="C6859" s="22" t="s">
        <v>5796</v>
      </c>
      <c r="D6859" s="22" t="s">
        <v>8219</v>
      </c>
      <c r="E6859" s="24">
        <v>73835526</v>
      </c>
      <c r="F6859" s="22" t="s">
        <v>129</v>
      </c>
      <c r="G6859" s="25">
        <v>3302.3999999999992</v>
      </c>
      <c r="H6859" s="22" t="s">
        <v>24</v>
      </c>
      <c r="I6859" s="22">
        <v>1</v>
      </c>
      <c r="J6859" s="22" t="s">
        <v>129</v>
      </c>
      <c r="K6859" s="22" t="s">
        <v>23</v>
      </c>
      <c r="L6859" s="22">
        <v>1</v>
      </c>
      <c r="M6859" s="26">
        <v>69173</v>
      </c>
      <c r="N6859" s="26">
        <v>0</v>
      </c>
      <c r="O6859" s="15">
        <f t="shared" si="582"/>
        <v>69173</v>
      </c>
      <c r="P6859" s="15">
        <f t="shared" si="581"/>
        <v>20.946281492248069</v>
      </c>
      <c r="Q6859" s="25">
        <v>5000</v>
      </c>
      <c r="R6859" s="22">
        <v>66</v>
      </c>
      <c r="S6859" s="22" t="s">
        <v>8367</v>
      </c>
      <c r="T6859" s="22">
        <f t="shared" si="583"/>
        <v>6</v>
      </c>
      <c r="U6859" s="22">
        <f t="shared" si="584"/>
        <v>2023</v>
      </c>
      <c r="V6859" s="22" t="str">
        <f t="shared" si="585"/>
        <v>METROPOLITANA</v>
      </c>
    </row>
    <row r="6860" spans="1:22" x14ac:dyDescent="0.2">
      <c r="A6860" s="23" t="s">
        <v>8366</v>
      </c>
      <c r="B6860" s="22" t="s">
        <v>33</v>
      </c>
      <c r="C6860" s="22" t="s">
        <v>128</v>
      </c>
      <c r="D6860" s="22" t="s">
        <v>38</v>
      </c>
      <c r="E6860" s="24">
        <v>125108660</v>
      </c>
      <c r="F6860" s="22" t="s">
        <v>137</v>
      </c>
      <c r="G6860" s="25">
        <v>4251</v>
      </c>
      <c r="H6860" s="22" t="s">
        <v>43</v>
      </c>
      <c r="I6860" s="22">
        <v>0</v>
      </c>
      <c r="J6860" s="22" t="s">
        <v>137</v>
      </c>
      <c r="K6860" s="22" t="s">
        <v>23</v>
      </c>
      <c r="L6860" s="22">
        <v>1</v>
      </c>
      <c r="M6860" s="26">
        <v>69173</v>
      </c>
      <c r="N6860" s="26">
        <v>0</v>
      </c>
      <c r="O6860" s="15">
        <f t="shared" si="582"/>
        <v>69173</v>
      </c>
      <c r="P6860" s="15">
        <f t="shared" si="581"/>
        <v>16.272171253822631</v>
      </c>
      <c r="Q6860" s="25">
        <v>5000</v>
      </c>
      <c r="R6860" s="22">
        <v>85</v>
      </c>
      <c r="S6860" s="22" t="s">
        <v>8368</v>
      </c>
      <c r="T6860" s="22">
        <f t="shared" si="583"/>
        <v>6</v>
      </c>
      <c r="U6860" s="22">
        <f t="shared" si="584"/>
        <v>2023</v>
      </c>
      <c r="V6860" s="22" t="str">
        <f t="shared" si="585"/>
        <v>METROPOLITANA</v>
      </c>
    </row>
    <row r="6861" spans="1:22" x14ac:dyDescent="0.2">
      <c r="A6861" s="23" t="s">
        <v>8366</v>
      </c>
      <c r="B6861" s="22" t="s">
        <v>33</v>
      </c>
      <c r="C6861" s="22" t="s">
        <v>29</v>
      </c>
      <c r="D6861" s="22" t="s">
        <v>1934</v>
      </c>
      <c r="E6861" s="24">
        <v>119615755</v>
      </c>
      <c r="F6861" s="22" t="s">
        <v>114</v>
      </c>
      <c r="G6861" s="25">
        <v>8244.0000000000036</v>
      </c>
      <c r="H6861" s="22" t="s">
        <v>24</v>
      </c>
      <c r="I6861" s="22">
        <v>1</v>
      </c>
      <c r="J6861" s="22" t="s">
        <v>114</v>
      </c>
      <c r="K6861" s="22" t="s">
        <v>75</v>
      </c>
      <c r="L6861" s="22">
        <v>0</v>
      </c>
      <c r="M6861" s="26">
        <v>528000</v>
      </c>
      <c r="N6861" s="26">
        <v>0</v>
      </c>
      <c r="O6861" s="15">
        <f t="shared" si="582"/>
        <v>528000</v>
      </c>
      <c r="P6861" s="15">
        <f t="shared" si="581"/>
        <v>64.046579330422091</v>
      </c>
      <c r="Q6861" s="25">
        <v>14000</v>
      </c>
      <c r="R6861" s="22">
        <v>59</v>
      </c>
      <c r="S6861" s="22" t="s">
        <v>8369</v>
      </c>
      <c r="T6861" s="22">
        <f t="shared" si="583"/>
        <v>6</v>
      </c>
      <c r="U6861" s="22">
        <f t="shared" si="584"/>
        <v>2023</v>
      </c>
      <c r="V6861" s="22" t="str">
        <f t="shared" si="585"/>
        <v>REGIONES</v>
      </c>
    </row>
    <row r="6862" spans="1:22" x14ac:dyDescent="0.2">
      <c r="A6862" s="23" t="s">
        <v>8366</v>
      </c>
      <c r="B6862" s="22" t="s">
        <v>33</v>
      </c>
      <c r="C6862" s="22" t="s">
        <v>44</v>
      </c>
      <c r="D6862" s="22" t="s">
        <v>45</v>
      </c>
      <c r="E6862" s="24">
        <v>107643206</v>
      </c>
      <c r="F6862" s="22" t="s">
        <v>51</v>
      </c>
      <c r="G6862" s="25">
        <v>2516.4</v>
      </c>
      <c r="H6862" s="22" t="s">
        <v>22</v>
      </c>
      <c r="I6862" s="22">
        <v>0</v>
      </c>
      <c r="J6862" s="22" t="s">
        <v>51</v>
      </c>
      <c r="K6862" s="22" t="s">
        <v>23</v>
      </c>
      <c r="L6862" s="22">
        <v>4</v>
      </c>
      <c r="M6862" s="26">
        <v>69173</v>
      </c>
      <c r="N6862" s="26">
        <v>0</v>
      </c>
      <c r="O6862" s="15">
        <f t="shared" si="582"/>
        <v>69173</v>
      </c>
      <c r="P6862" s="15">
        <f t="shared" si="581"/>
        <v>27.488872993164836</v>
      </c>
      <c r="Q6862" s="25">
        <v>5000</v>
      </c>
      <c r="R6862" s="22">
        <v>50</v>
      </c>
      <c r="S6862" s="22" t="s">
        <v>8370</v>
      </c>
      <c r="T6862" s="22">
        <f t="shared" si="583"/>
        <v>6</v>
      </c>
      <c r="U6862" s="22">
        <f t="shared" si="584"/>
        <v>2023</v>
      </c>
      <c r="V6862" s="22" t="str">
        <f t="shared" si="585"/>
        <v>METROPOLITANA</v>
      </c>
    </row>
    <row r="6863" spans="1:22" x14ac:dyDescent="0.2">
      <c r="A6863" s="23" t="s">
        <v>8366</v>
      </c>
      <c r="B6863" s="22" t="s">
        <v>33</v>
      </c>
      <c r="C6863" s="22" t="s">
        <v>44</v>
      </c>
      <c r="D6863" s="22" t="s">
        <v>20</v>
      </c>
      <c r="E6863" s="24">
        <v>78907355</v>
      </c>
      <c r="F6863" s="22" t="s">
        <v>46</v>
      </c>
      <c r="G6863" s="25">
        <v>2832.3</v>
      </c>
      <c r="H6863" s="22" t="s">
        <v>22</v>
      </c>
      <c r="I6863" s="22">
        <v>0</v>
      </c>
      <c r="J6863" s="22" t="s">
        <v>46</v>
      </c>
      <c r="K6863" s="22" t="s">
        <v>23</v>
      </c>
      <c r="L6863" s="22">
        <v>2</v>
      </c>
      <c r="M6863" s="26">
        <v>69173</v>
      </c>
      <c r="N6863" s="26">
        <v>0</v>
      </c>
      <c r="O6863" s="15">
        <f t="shared" si="582"/>
        <v>69173</v>
      </c>
      <c r="P6863" s="15">
        <f t="shared" si="581"/>
        <v>24.422907177911942</v>
      </c>
      <c r="Q6863" s="25">
        <v>5000</v>
      </c>
      <c r="R6863" s="22">
        <v>57</v>
      </c>
      <c r="S6863" s="22" t="s">
        <v>8371</v>
      </c>
      <c r="T6863" s="22">
        <f t="shared" si="583"/>
        <v>6</v>
      </c>
      <c r="U6863" s="22">
        <f t="shared" si="584"/>
        <v>2023</v>
      </c>
      <c r="V6863" s="22" t="str">
        <f t="shared" si="585"/>
        <v>METROPOLITANA</v>
      </c>
    </row>
    <row r="6864" spans="1:22" x14ac:dyDescent="0.2">
      <c r="A6864" s="11" t="s">
        <v>8372</v>
      </c>
      <c r="B6864" s="12" t="s">
        <v>18</v>
      </c>
      <c r="C6864" s="12" t="s">
        <v>7400</v>
      </c>
      <c r="D6864" s="12" t="s">
        <v>5478</v>
      </c>
      <c r="E6864" s="13" t="s">
        <v>83</v>
      </c>
      <c r="F6864" s="12" t="s">
        <v>66</v>
      </c>
      <c r="G6864" s="14">
        <v>20088.55</v>
      </c>
      <c r="H6864" s="12" t="s">
        <v>24</v>
      </c>
      <c r="I6864" s="12">
        <v>1</v>
      </c>
      <c r="J6864" s="12" t="s">
        <v>66</v>
      </c>
      <c r="K6864" s="12" t="s">
        <v>75</v>
      </c>
      <c r="L6864" s="12">
        <v>0</v>
      </c>
      <c r="M6864" s="15">
        <v>506000</v>
      </c>
      <c r="N6864" s="15">
        <v>0</v>
      </c>
      <c r="O6864" s="15">
        <f t="shared" si="582"/>
        <v>506000</v>
      </c>
      <c r="P6864" s="15">
        <f t="shared" si="581"/>
        <v>25.188478013594811</v>
      </c>
      <c r="Q6864" s="14">
        <v>14000</v>
      </c>
      <c r="R6864" s="12">
        <v>100</v>
      </c>
      <c r="S6864" s="12" t="s">
        <v>8373</v>
      </c>
      <c r="T6864" s="22">
        <f t="shared" si="583"/>
        <v>6</v>
      </c>
      <c r="U6864" s="22">
        <f t="shared" si="584"/>
        <v>2023</v>
      </c>
      <c r="V6864" s="22" t="str">
        <f t="shared" si="585"/>
        <v>REGIONES</v>
      </c>
    </row>
    <row r="6865" spans="1:22" x14ac:dyDescent="0.2">
      <c r="A6865" s="11" t="s">
        <v>8372</v>
      </c>
      <c r="B6865" s="12" t="s">
        <v>33</v>
      </c>
      <c r="C6865" s="12" t="s">
        <v>60</v>
      </c>
      <c r="D6865" s="12" t="s">
        <v>45</v>
      </c>
      <c r="E6865" s="13" t="s">
        <v>49</v>
      </c>
      <c r="F6865" s="12" t="s">
        <v>120</v>
      </c>
      <c r="G6865" s="14">
        <v>1767</v>
      </c>
      <c r="H6865" s="12" t="s">
        <v>22</v>
      </c>
      <c r="I6865" s="12">
        <v>0</v>
      </c>
      <c r="J6865" s="12" t="s">
        <v>120</v>
      </c>
      <c r="K6865" s="12" t="s">
        <v>23</v>
      </c>
      <c r="L6865" s="12">
        <v>5</v>
      </c>
      <c r="M6865" s="15">
        <v>112500</v>
      </c>
      <c r="N6865" s="15">
        <v>0</v>
      </c>
      <c r="O6865" s="15">
        <f t="shared" si="582"/>
        <v>112500</v>
      </c>
      <c r="P6865" s="15">
        <f t="shared" si="581"/>
        <v>63.667232597623091</v>
      </c>
      <c r="Q6865" s="14">
        <v>10000</v>
      </c>
      <c r="R6865" s="12">
        <v>18</v>
      </c>
      <c r="S6865" s="12" t="s">
        <v>8374</v>
      </c>
      <c r="T6865" s="22">
        <f t="shared" si="583"/>
        <v>6</v>
      </c>
      <c r="U6865" s="22">
        <f t="shared" si="584"/>
        <v>2023</v>
      </c>
      <c r="V6865" s="22" t="str">
        <f t="shared" si="585"/>
        <v>METROPOLITANA</v>
      </c>
    </row>
    <row r="6866" spans="1:22" x14ac:dyDescent="0.2">
      <c r="A6866" s="11" t="s">
        <v>8372</v>
      </c>
      <c r="B6866" s="12" t="s">
        <v>33</v>
      </c>
      <c r="C6866" s="12" t="s">
        <v>2507</v>
      </c>
      <c r="D6866" s="12" t="s">
        <v>8219</v>
      </c>
      <c r="E6866" s="13" t="s">
        <v>8220</v>
      </c>
      <c r="F6866" s="12" t="s">
        <v>418</v>
      </c>
      <c r="G6866" s="14">
        <v>10353</v>
      </c>
      <c r="H6866" s="12" t="s">
        <v>24</v>
      </c>
      <c r="I6866" s="12">
        <v>1</v>
      </c>
      <c r="J6866" s="12" t="s">
        <v>418</v>
      </c>
      <c r="K6866" s="12" t="s">
        <v>171</v>
      </c>
      <c r="L6866" s="12">
        <v>0</v>
      </c>
      <c r="M6866" s="15">
        <v>250000</v>
      </c>
      <c r="N6866" s="15">
        <v>0</v>
      </c>
      <c r="O6866" s="15">
        <f t="shared" si="582"/>
        <v>250000</v>
      </c>
      <c r="P6866" s="15">
        <f t="shared" si="581"/>
        <v>24.147590070510962</v>
      </c>
      <c r="Q6866" s="14">
        <v>14000</v>
      </c>
      <c r="R6866" s="12">
        <v>74</v>
      </c>
      <c r="S6866" s="12" t="s">
        <v>8375</v>
      </c>
      <c r="T6866" s="22">
        <f t="shared" si="583"/>
        <v>6</v>
      </c>
      <c r="U6866" s="22">
        <f t="shared" si="584"/>
        <v>2023</v>
      </c>
      <c r="V6866" s="22" t="str">
        <f t="shared" si="585"/>
        <v>REGIONES</v>
      </c>
    </row>
    <row r="6867" spans="1:22" x14ac:dyDescent="0.2">
      <c r="A6867" s="11" t="s">
        <v>8372</v>
      </c>
      <c r="B6867" s="12" t="s">
        <v>33</v>
      </c>
      <c r="C6867" s="12" t="s">
        <v>128</v>
      </c>
      <c r="D6867" s="12" t="s">
        <v>786</v>
      </c>
      <c r="E6867" s="13" t="s">
        <v>787</v>
      </c>
      <c r="F6867" s="12" t="s">
        <v>34</v>
      </c>
      <c r="G6867" s="14">
        <v>6624.3399999999974</v>
      </c>
      <c r="H6867" s="12" t="s">
        <v>788</v>
      </c>
      <c r="I6867" s="12">
        <v>1</v>
      </c>
      <c r="J6867" s="12" t="s">
        <v>34</v>
      </c>
      <c r="K6867" s="12" t="s">
        <v>23</v>
      </c>
      <c r="L6867" s="12">
        <v>1</v>
      </c>
      <c r="M6867" s="15">
        <v>72868</v>
      </c>
      <c r="N6867" s="15">
        <v>0</v>
      </c>
      <c r="O6867" s="15">
        <f t="shared" si="582"/>
        <v>72868</v>
      </c>
      <c r="P6867" s="15">
        <f t="shared" si="581"/>
        <v>11.000039249193131</v>
      </c>
      <c r="Q6867" s="14">
        <v>5000</v>
      </c>
      <c r="R6867" s="12">
        <v>100</v>
      </c>
      <c r="S6867" s="12" t="s">
        <v>8376</v>
      </c>
      <c r="T6867" s="22">
        <f t="shared" si="583"/>
        <v>6</v>
      </c>
      <c r="U6867" s="22">
        <f t="shared" si="584"/>
        <v>2023</v>
      </c>
      <c r="V6867" s="22" t="str">
        <f t="shared" si="585"/>
        <v>METROPOLITANA</v>
      </c>
    </row>
    <row r="6868" spans="1:22" x14ac:dyDescent="0.2">
      <c r="A6868" s="11" t="s">
        <v>8372</v>
      </c>
      <c r="B6868" s="12" t="s">
        <v>33</v>
      </c>
      <c r="C6868" s="12" t="s">
        <v>7065</v>
      </c>
      <c r="D6868" s="12" t="s">
        <v>37</v>
      </c>
      <c r="E6868" s="13" t="s">
        <v>40</v>
      </c>
      <c r="F6868" s="12" t="s">
        <v>129</v>
      </c>
      <c r="G6868" s="14">
        <v>8502</v>
      </c>
      <c r="H6868" s="12" t="s">
        <v>22</v>
      </c>
      <c r="I6868" s="12">
        <v>0</v>
      </c>
      <c r="J6868" s="12" t="s">
        <v>129</v>
      </c>
      <c r="K6868" s="12" t="s">
        <v>23</v>
      </c>
      <c r="L6868" s="12">
        <v>1</v>
      </c>
      <c r="M6868" s="15">
        <v>93522</v>
      </c>
      <c r="N6868" s="15">
        <v>0</v>
      </c>
      <c r="O6868" s="15">
        <f t="shared" si="582"/>
        <v>93522</v>
      </c>
      <c r="P6868" s="15">
        <f t="shared" si="581"/>
        <v>11</v>
      </c>
      <c r="Q6868" s="14">
        <v>5000</v>
      </c>
      <c r="R6868" s="12">
        <v>100</v>
      </c>
      <c r="S6868" s="12" t="s">
        <v>8377</v>
      </c>
      <c r="T6868" s="22">
        <f t="shared" si="583"/>
        <v>6</v>
      </c>
      <c r="U6868" s="22">
        <f t="shared" si="584"/>
        <v>2023</v>
      </c>
      <c r="V6868" s="22" t="str">
        <f t="shared" si="585"/>
        <v>METROPOLITANA</v>
      </c>
    </row>
    <row r="6869" spans="1:22" x14ac:dyDescent="0.2">
      <c r="A6869" s="11" t="s">
        <v>8372</v>
      </c>
      <c r="B6869" s="12" t="s">
        <v>33</v>
      </c>
      <c r="C6869" s="12" t="s">
        <v>7065</v>
      </c>
      <c r="D6869" s="12" t="s">
        <v>30</v>
      </c>
      <c r="E6869" s="13" t="s">
        <v>31</v>
      </c>
      <c r="F6869" s="12" t="s">
        <v>129</v>
      </c>
      <c r="G6869" s="14">
        <v>5627.9999999999991</v>
      </c>
      <c r="H6869" s="12" t="s">
        <v>32</v>
      </c>
      <c r="I6869" s="12">
        <v>0</v>
      </c>
      <c r="J6869" s="12" t="s">
        <v>129</v>
      </c>
      <c r="K6869" s="12" t="s">
        <v>23</v>
      </c>
      <c r="L6869" s="12">
        <v>1</v>
      </c>
      <c r="M6869" s="15">
        <v>61908</v>
      </c>
      <c r="N6869" s="15">
        <v>0</v>
      </c>
      <c r="O6869" s="15">
        <f t="shared" si="582"/>
        <v>61908</v>
      </c>
      <c r="P6869" s="15">
        <f t="shared" si="581"/>
        <v>11.000000000000002</v>
      </c>
      <c r="Q6869" s="14">
        <v>5000</v>
      </c>
      <c r="R6869" s="12">
        <v>100</v>
      </c>
      <c r="S6869" s="12" t="s">
        <v>8378</v>
      </c>
      <c r="T6869" s="22">
        <f t="shared" si="583"/>
        <v>6</v>
      </c>
      <c r="U6869" s="22">
        <f t="shared" si="584"/>
        <v>2023</v>
      </c>
      <c r="V6869" s="22" t="str">
        <f t="shared" si="585"/>
        <v>METROPOLITANA</v>
      </c>
    </row>
    <row r="6870" spans="1:22" x14ac:dyDescent="0.2">
      <c r="A6870" s="11" t="s">
        <v>8372</v>
      </c>
      <c r="B6870" s="12" t="s">
        <v>33</v>
      </c>
      <c r="C6870" s="12" t="s">
        <v>5690</v>
      </c>
      <c r="D6870" s="12" t="s">
        <v>30</v>
      </c>
      <c r="E6870" s="13" t="s">
        <v>31</v>
      </c>
      <c r="F6870" s="12" t="s">
        <v>34</v>
      </c>
      <c r="G6870" s="14">
        <v>2083.1999999999998</v>
      </c>
      <c r="H6870" s="12" t="s">
        <v>32</v>
      </c>
      <c r="I6870" s="12">
        <v>0</v>
      </c>
      <c r="J6870" s="12" t="s">
        <v>34</v>
      </c>
      <c r="K6870" s="12" t="s">
        <v>23</v>
      </c>
      <c r="L6870" s="12">
        <v>1</v>
      </c>
      <c r="M6870" s="15">
        <v>69173</v>
      </c>
      <c r="N6870" s="15">
        <v>0</v>
      </c>
      <c r="O6870" s="15">
        <f t="shared" si="582"/>
        <v>69173</v>
      </c>
      <c r="P6870" s="15">
        <f t="shared" si="581"/>
        <v>33.205165130568361</v>
      </c>
      <c r="Q6870" s="14">
        <v>5000</v>
      </c>
      <c r="R6870" s="12">
        <v>42</v>
      </c>
      <c r="S6870" s="12" t="s">
        <v>8379</v>
      </c>
      <c r="T6870" s="22">
        <f t="shared" si="583"/>
        <v>6</v>
      </c>
      <c r="U6870" s="22">
        <f t="shared" si="584"/>
        <v>2023</v>
      </c>
      <c r="V6870" s="22" t="str">
        <f t="shared" si="585"/>
        <v>METROPOLITANA</v>
      </c>
    </row>
    <row r="6871" spans="1:22" x14ac:dyDescent="0.2">
      <c r="A6871" s="11" t="s">
        <v>8372</v>
      </c>
      <c r="B6871" s="12" t="s">
        <v>33</v>
      </c>
      <c r="C6871" s="12" t="s">
        <v>29</v>
      </c>
      <c r="D6871" s="12" t="s">
        <v>38</v>
      </c>
      <c r="E6871" s="13" t="s">
        <v>25</v>
      </c>
      <c r="F6871" s="12" t="s">
        <v>39</v>
      </c>
      <c r="G6871" s="14">
        <v>6489.170000000001</v>
      </c>
      <c r="H6871" s="12" t="s">
        <v>43</v>
      </c>
      <c r="I6871" s="12">
        <v>0</v>
      </c>
      <c r="J6871" s="12" t="s">
        <v>39</v>
      </c>
      <c r="K6871" s="12" t="s">
        <v>23</v>
      </c>
      <c r="L6871" s="12">
        <v>1</v>
      </c>
      <c r="M6871" s="15">
        <v>71381</v>
      </c>
      <c r="N6871" s="15">
        <v>0</v>
      </c>
      <c r="O6871" s="15">
        <f t="shared" si="582"/>
        <v>71381</v>
      </c>
      <c r="P6871" s="15">
        <f t="shared" si="581"/>
        <v>11.000020033378689</v>
      </c>
      <c r="Q6871" s="14">
        <v>5000</v>
      </c>
      <c r="R6871" s="12">
        <v>100</v>
      </c>
      <c r="S6871" s="12" t="s">
        <v>8380</v>
      </c>
      <c r="T6871" s="22">
        <f t="shared" si="583"/>
        <v>6</v>
      </c>
      <c r="U6871" s="22">
        <f t="shared" si="584"/>
        <v>2023</v>
      </c>
      <c r="V6871" s="22" t="str">
        <f t="shared" si="585"/>
        <v>METROPOLITANA</v>
      </c>
    </row>
    <row r="6872" spans="1:22" x14ac:dyDescent="0.2">
      <c r="A6872" s="11" t="s">
        <v>8372</v>
      </c>
      <c r="B6872" s="12" t="s">
        <v>33</v>
      </c>
      <c r="C6872" s="12" t="s">
        <v>29</v>
      </c>
      <c r="D6872" s="12" t="s">
        <v>5478</v>
      </c>
      <c r="E6872" s="13" t="s">
        <v>83</v>
      </c>
      <c r="F6872" s="12" t="s">
        <v>132</v>
      </c>
      <c r="G6872" s="14">
        <v>14227.44</v>
      </c>
      <c r="H6872" s="12" t="s">
        <v>24</v>
      </c>
      <c r="I6872" s="12">
        <v>1</v>
      </c>
      <c r="J6872" s="12" t="s">
        <v>132</v>
      </c>
      <c r="K6872" s="12" t="s">
        <v>124</v>
      </c>
      <c r="L6872" s="12">
        <v>0</v>
      </c>
      <c r="M6872" s="15">
        <v>500000</v>
      </c>
      <c r="N6872" s="15">
        <v>0</v>
      </c>
      <c r="O6872" s="15">
        <f t="shared" si="582"/>
        <v>500000</v>
      </c>
      <c r="P6872" s="15">
        <f t="shared" si="581"/>
        <v>35.143356780980973</v>
      </c>
      <c r="Q6872" s="14">
        <v>14000</v>
      </c>
      <c r="R6872" s="12">
        <v>100</v>
      </c>
      <c r="S6872" s="12" t="s">
        <v>8381</v>
      </c>
      <c r="T6872" s="22">
        <f t="shared" si="583"/>
        <v>6</v>
      </c>
      <c r="U6872" s="22">
        <f t="shared" si="584"/>
        <v>2023</v>
      </c>
      <c r="V6872" s="22" t="str">
        <f t="shared" si="585"/>
        <v>REGIONES</v>
      </c>
    </row>
    <row r="6873" spans="1:22" x14ac:dyDescent="0.2">
      <c r="A6873" s="11" t="s">
        <v>8372</v>
      </c>
      <c r="B6873" s="12" t="s">
        <v>33</v>
      </c>
      <c r="C6873" s="12" t="s">
        <v>29</v>
      </c>
      <c r="D6873" s="12" t="s">
        <v>164</v>
      </c>
      <c r="E6873" s="13" t="s">
        <v>1576</v>
      </c>
      <c r="F6873" s="12" t="s">
        <v>39</v>
      </c>
      <c r="G6873" s="14">
        <v>18841.87</v>
      </c>
      <c r="H6873" s="12" t="s">
        <v>22</v>
      </c>
      <c r="I6873" s="12">
        <v>1</v>
      </c>
      <c r="J6873" s="12" t="s">
        <v>39</v>
      </c>
      <c r="K6873" s="12" t="s">
        <v>23</v>
      </c>
      <c r="L6873" s="12">
        <v>1</v>
      </c>
      <c r="M6873" s="15">
        <v>207261</v>
      </c>
      <c r="N6873" s="15">
        <v>0</v>
      </c>
      <c r="O6873" s="15">
        <f t="shared" si="582"/>
        <v>207261</v>
      </c>
      <c r="P6873" s="15">
        <f t="shared" si="581"/>
        <v>11.000022821514001</v>
      </c>
      <c r="Q6873" s="14">
        <v>5000</v>
      </c>
      <c r="R6873" s="12">
        <v>100</v>
      </c>
      <c r="S6873" s="12" t="s">
        <v>8382</v>
      </c>
      <c r="T6873" s="22">
        <f t="shared" si="583"/>
        <v>6</v>
      </c>
      <c r="U6873" s="22">
        <f t="shared" si="584"/>
        <v>2023</v>
      </c>
      <c r="V6873" s="22" t="str">
        <f t="shared" si="585"/>
        <v>METROPOLITANA</v>
      </c>
    </row>
    <row r="6874" spans="1:22" x14ac:dyDescent="0.2">
      <c r="A6874" s="11" t="s">
        <v>8372</v>
      </c>
      <c r="B6874" s="12" t="s">
        <v>33</v>
      </c>
      <c r="C6874" s="12" t="s">
        <v>3922</v>
      </c>
      <c r="D6874" s="12" t="s">
        <v>20</v>
      </c>
      <c r="E6874" s="13" t="s">
        <v>21</v>
      </c>
      <c r="F6874" s="12" t="s">
        <v>129</v>
      </c>
      <c r="G6874" s="14">
        <v>6586</v>
      </c>
      <c r="H6874" s="12" t="s">
        <v>22</v>
      </c>
      <c r="I6874" s="12">
        <v>0</v>
      </c>
      <c r="J6874" s="12" t="s">
        <v>129</v>
      </c>
      <c r="K6874" s="12" t="s">
        <v>23</v>
      </c>
      <c r="L6874" s="12">
        <v>1</v>
      </c>
      <c r="M6874" s="15">
        <v>72446</v>
      </c>
      <c r="N6874" s="15">
        <v>0</v>
      </c>
      <c r="O6874" s="15">
        <f t="shared" si="582"/>
        <v>72446</v>
      </c>
      <c r="P6874" s="15">
        <f t="shared" si="581"/>
        <v>11</v>
      </c>
      <c r="Q6874" s="14">
        <v>5000</v>
      </c>
      <c r="R6874" s="12">
        <v>100</v>
      </c>
      <c r="S6874" s="12" t="s">
        <v>8383</v>
      </c>
      <c r="T6874" s="22">
        <f t="shared" si="583"/>
        <v>6</v>
      </c>
      <c r="U6874" s="22">
        <f t="shared" si="584"/>
        <v>2023</v>
      </c>
      <c r="V6874" s="22" t="str">
        <f t="shared" si="585"/>
        <v>METROPOLITANA</v>
      </c>
    </row>
    <row r="6875" spans="1:22" x14ac:dyDescent="0.2">
      <c r="A6875" s="23" t="s">
        <v>8384</v>
      </c>
      <c r="B6875" s="22" t="s">
        <v>18</v>
      </c>
      <c r="C6875" s="22" t="s">
        <v>7400</v>
      </c>
      <c r="D6875" s="22" t="s">
        <v>2825</v>
      </c>
      <c r="E6875" s="24" t="s">
        <v>639</v>
      </c>
      <c r="F6875" s="22" t="s">
        <v>66</v>
      </c>
      <c r="G6875" s="25">
        <v>20210.069999999989</v>
      </c>
      <c r="H6875" s="22" t="s">
        <v>24</v>
      </c>
      <c r="I6875" s="22">
        <v>1</v>
      </c>
      <c r="J6875" s="22" t="s">
        <v>66</v>
      </c>
      <c r="K6875" s="22" t="s">
        <v>75</v>
      </c>
      <c r="L6875" s="22">
        <v>0</v>
      </c>
      <c r="M6875" s="26">
        <v>506000</v>
      </c>
      <c r="N6875" s="26">
        <v>0</v>
      </c>
      <c r="O6875" s="15">
        <f t="shared" si="582"/>
        <v>506000</v>
      </c>
      <c r="P6875" s="15">
        <f t="shared" si="581"/>
        <v>25.037023622382321</v>
      </c>
      <c r="Q6875" s="25">
        <v>14000</v>
      </c>
      <c r="R6875" s="22">
        <v>100</v>
      </c>
      <c r="S6875" s="22" t="s">
        <v>8385</v>
      </c>
      <c r="T6875" s="22">
        <f t="shared" si="583"/>
        <v>6</v>
      </c>
      <c r="U6875" s="22">
        <f t="shared" si="584"/>
        <v>2023</v>
      </c>
      <c r="V6875" s="22" t="str">
        <f t="shared" si="585"/>
        <v>REGIONES</v>
      </c>
    </row>
    <row r="6876" spans="1:22" x14ac:dyDescent="0.2">
      <c r="A6876" s="23" t="s">
        <v>8384</v>
      </c>
      <c r="B6876" s="22" t="s">
        <v>18</v>
      </c>
      <c r="C6876" s="22" t="s">
        <v>8237</v>
      </c>
      <c r="D6876" s="22" t="s">
        <v>37</v>
      </c>
      <c r="E6876" s="24" t="s">
        <v>4382</v>
      </c>
      <c r="F6876" s="22" t="s">
        <v>129</v>
      </c>
      <c r="G6876" s="25">
        <f>5970.42+5549</f>
        <v>11519.42</v>
      </c>
      <c r="H6876" s="22" t="s">
        <v>22</v>
      </c>
      <c r="I6876" s="22">
        <v>0</v>
      </c>
      <c r="J6876" s="22" t="s">
        <v>129</v>
      </c>
      <c r="K6876" s="22" t="s">
        <v>23</v>
      </c>
      <c r="L6876" s="22">
        <v>1</v>
      </c>
      <c r="M6876" s="26">
        <v>65675</v>
      </c>
      <c r="N6876" s="26">
        <v>0</v>
      </c>
      <c r="O6876" s="15">
        <f t="shared" si="582"/>
        <v>65675</v>
      </c>
      <c r="P6876" s="15">
        <f t="shared" si="581"/>
        <v>5.7012419028041341</v>
      </c>
      <c r="Q6876" s="25">
        <v>5000</v>
      </c>
      <c r="R6876" s="22">
        <v>100</v>
      </c>
      <c r="S6876" s="22" t="s">
        <v>8391</v>
      </c>
      <c r="T6876" s="22">
        <f t="shared" si="583"/>
        <v>6</v>
      </c>
      <c r="U6876" s="22">
        <f t="shared" si="584"/>
        <v>2023</v>
      </c>
      <c r="V6876" s="22" t="str">
        <f t="shared" si="585"/>
        <v>METROPOLITANA</v>
      </c>
    </row>
    <row r="6877" spans="1:22" x14ac:dyDescent="0.2">
      <c r="A6877" s="23" t="s">
        <v>8384</v>
      </c>
      <c r="B6877" s="22" t="s">
        <v>33</v>
      </c>
      <c r="C6877" s="22" t="s">
        <v>128</v>
      </c>
      <c r="D6877" s="22" t="s">
        <v>30</v>
      </c>
      <c r="E6877" s="24" t="s">
        <v>31</v>
      </c>
      <c r="F6877" s="22" t="s">
        <v>129</v>
      </c>
      <c r="G6877" s="25">
        <v>4903.760000000002</v>
      </c>
      <c r="H6877" s="22" t="s">
        <v>32</v>
      </c>
      <c r="I6877" s="22">
        <v>0</v>
      </c>
      <c r="J6877" s="22" t="s">
        <v>129</v>
      </c>
      <c r="K6877" s="22" t="s">
        <v>23</v>
      </c>
      <c r="L6877" s="22">
        <v>1</v>
      </c>
      <c r="M6877" s="26">
        <v>69173</v>
      </c>
      <c r="N6877" s="26">
        <v>0</v>
      </c>
      <c r="O6877" s="15">
        <f t="shared" si="582"/>
        <v>69173</v>
      </c>
      <c r="P6877" s="15">
        <f t="shared" ref="P6877:P6940" si="586">O6877/G6877</f>
        <v>14.106114491736948</v>
      </c>
      <c r="Q6877" s="25">
        <v>5000</v>
      </c>
      <c r="R6877" s="22">
        <v>98</v>
      </c>
      <c r="S6877" s="22" t="s">
        <v>8386</v>
      </c>
      <c r="T6877" s="22">
        <f t="shared" si="583"/>
        <v>6</v>
      </c>
      <c r="U6877" s="22">
        <f t="shared" si="584"/>
        <v>2023</v>
      </c>
      <c r="V6877" s="22" t="str">
        <f t="shared" si="585"/>
        <v>METROPOLITANA</v>
      </c>
    </row>
    <row r="6878" spans="1:22" x14ac:dyDescent="0.2">
      <c r="A6878" s="23" t="s">
        <v>8384</v>
      </c>
      <c r="B6878" s="22" t="s">
        <v>33</v>
      </c>
      <c r="C6878" s="22" t="s">
        <v>29</v>
      </c>
      <c r="D6878" s="22" t="s">
        <v>38</v>
      </c>
      <c r="E6878" s="24" t="s">
        <v>25</v>
      </c>
      <c r="F6878" s="22" t="s">
        <v>173</v>
      </c>
      <c r="G6878" s="25">
        <v>3126</v>
      </c>
      <c r="H6878" s="22" t="s">
        <v>43</v>
      </c>
      <c r="I6878" s="22">
        <v>0</v>
      </c>
      <c r="J6878" s="22" t="s">
        <v>173</v>
      </c>
      <c r="K6878" s="22" t="s">
        <v>23</v>
      </c>
      <c r="L6878" s="22">
        <v>5</v>
      </c>
      <c r="M6878" s="26">
        <v>112500</v>
      </c>
      <c r="N6878" s="26">
        <v>0</v>
      </c>
      <c r="O6878" s="15">
        <f t="shared" si="582"/>
        <v>112500</v>
      </c>
      <c r="P6878" s="15">
        <f t="shared" si="586"/>
        <v>35.988483685220729</v>
      </c>
      <c r="Q6878" s="25">
        <v>10000</v>
      </c>
      <c r="R6878" s="22">
        <v>31</v>
      </c>
      <c r="S6878" s="22" t="s">
        <v>8387</v>
      </c>
      <c r="T6878" s="22">
        <f t="shared" si="583"/>
        <v>6</v>
      </c>
      <c r="U6878" s="22">
        <f t="shared" si="584"/>
        <v>2023</v>
      </c>
      <c r="V6878" s="22" t="str">
        <f t="shared" si="585"/>
        <v>METROPOLITANA</v>
      </c>
    </row>
    <row r="6879" spans="1:22" x14ac:dyDescent="0.2">
      <c r="A6879" s="23" t="s">
        <v>8384</v>
      </c>
      <c r="B6879" s="22" t="s">
        <v>33</v>
      </c>
      <c r="C6879" s="22" t="s">
        <v>44</v>
      </c>
      <c r="D6879" s="22" t="s">
        <v>7134</v>
      </c>
      <c r="E6879" s="24" t="s">
        <v>7135</v>
      </c>
      <c r="F6879" s="22" t="s">
        <v>114</v>
      </c>
      <c r="G6879" s="25">
        <f>2792.56+4310</f>
        <v>7102.5599999999995</v>
      </c>
      <c r="H6879" s="22" t="s">
        <v>24</v>
      </c>
      <c r="I6879" s="22">
        <v>1</v>
      </c>
      <c r="J6879" s="22" t="s">
        <v>114</v>
      </c>
      <c r="K6879" s="22" t="s">
        <v>75</v>
      </c>
      <c r="L6879" s="22">
        <v>0</v>
      </c>
      <c r="M6879" s="26">
        <v>528000</v>
      </c>
      <c r="N6879" s="26">
        <v>0</v>
      </c>
      <c r="O6879" s="15">
        <f t="shared" si="582"/>
        <v>528000</v>
      </c>
      <c r="P6879" s="15">
        <f t="shared" si="586"/>
        <v>74.339393120227072</v>
      </c>
      <c r="Q6879" s="25">
        <v>14000</v>
      </c>
      <c r="R6879" s="22">
        <v>60</v>
      </c>
      <c r="S6879" s="22" t="s">
        <v>8393</v>
      </c>
      <c r="T6879" s="22">
        <f t="shared" si="583"/>
        <v>6</v>
      </c>
      <c r="U6879" s="22">
        <f t="shared" si="584"/>
        <v>2023</v>
      </c>
      <c r="V6879" s="22" t="str">
        <f t="shared" si="585"/>
        <v>REGIONES</v>
      </c>
    </row>
    <row r="6880" spans="1:22" x14ac:dyDescent="0.2">
      <c r="A6880" s="23" t="s">
        <v>8384</v>
      </c>
      <c r="B6880" s="22" t="s">
        <v>33</v>
      </c>
      <c r="C6880" s="22" t="s">
        <v>44</v>
      </c>
      <c r="D6880" s="22" t="s">
        <v>8202</v>
      </c>
      <c r="E6880" s="24" t="s">
        <v>8203</v>
      </c>
      <c r="F6880" s="22" t="s">
        <v>1105</v>
      </c>
      <c r="G6880" s="25">
        <f>5166.75+6415</f>
        <v>11581.75</v>
      </c>
      <c r="H6880" s="22" t="s">
        <v>24</v>
      </c>
      <c r="I6880" s="22">
        <v>1</v>
      </c>
      <c r="J6880" s="22" t="s">
        <v>1105</v>
      </c>
      <c r="K6880" s="22" t="s">
        <v>873</v>
      </c>
      <c r="L6880" s="22">
        <v>0</v>
      </c>
      <c r="M6880" s="26">
        <v>1131000</v>
      </c>
      <c r="N6880" s="26">
        <v>0</v>
      </c>
      <c r="O6880" s="15">
        <f t="shared" si="582"/>
        <v>1131000</v>
      </c>
      <c r="P6880" s="15">
        <f t="shared" si="586"/>
        <v>97.653636108532822</v>
      </c>
      <c r="Q6880" s="25">
        <v>14000</v>
      </c>
      <c r="R6880" s="22">
        <v>80</v>
      </c>
      <c r="S6880" s="22" t="s">
        <v>8392</v>
      </c>
      <c r="T6880" s="22">
        <f t="shared" si="583"/>
        <v>6</v>
      </c>
      <c r="U6880" s="22">
        <f t="shared" si="584"/>
        <v>2023</v>
      </c>
      <c r="V6880" s="22" t="str">
        <f t="shared" si="585"/>
        <v>REGIONES</v>
      </c>
    </row>
    <row r="6881" spans="1:22" x14ac:dyDescent="0.2">
      <c r="A6881" s="23" t="s">
        <v>8384</v>
      </c>
      <c r="B6881" s="22" t="s">
        <v>33</v>
      </c>
      <c r="C6881" s="22" t="s">
        <v>44</v>
      </c>
      <c r="D6881" s="22" t="s">
        <v>45</v>
      </c>
      <c r="E6881" s="24" t="s">
        <v>49</v>
      </c>
      <c r="F6881" s="22" t="s">
        <v>95</v>
      </c>
      <c r="G6881" s="25">
        <v>2964.12</v>
      </c>
      <c r="H6881" s="22" t="s">
        <v>22</v>
      </c>
      <c r="I6881" s="22">
        <v>0</v>
      </c>
      <c r="J6881" s="22" t="s">
        <v>95</v>
      </c>
      <c r="K6881" s="22" t="s">
        <v>23</v>
      </c>
      <c r="L6881" s="22">
        <v>4</v>
      </c>
      <c r="M6881" s="26">
        <v>69173</v>
      </c>
      <c r="N6881" s="26">
        <v>0</v>
      </c>
      <c r="O6881" s="15">
        <f t="shared" si="582"/>
        <v>69173</v>
      </c>
      <c r="P6881" s="15">
        <f t="shared" si="586"/>
        <v>23.336774489561826</v>
      </c>
      <c r="Q6881" s="25">
        <v>5000</v>
      </c>
      <c r="R6881" s="22">
        <v>59</v>
      </c>
      <c r="S6881" s="22" t="s">
        <v>8388</v>
      </c>
      <c r="T6881" s="22">
        <f t="shared" si="583"/>
        <v>6</v>
      </c>
      <c r="U6881" s="22">
        <f t="shared" si="584"/>
        <v>2023</v>
      </c>
      <c r="V6881" s="22" t="str">
        <f t="shared" si="585"/>
        <v>METROPOLITANA</v>
      </c>
    </row>
    <row r="6882" spans="1:22" x14ac:dyDescent="0.2">
      <c r="A6882" s="23" t="s">
        <v>8384</v>
      </c>
      <c r="B6882" s="22" t="s">
        <v>33</v>
      </c>
      <c r="C6882" s="22" t="s">
        <v>44</v>
      </c>
      <c r="D6882" s="22" t="s">
        <v>20</v>
      </c>
      <c r="E6882" s="24" t="s">
        <v>21</v>
      </c>
      <c r="F6882" s="22" t="s">
        <v>48</v>
      </c>
      <c r="G6882" s="25">
        <v>2971.59</v>
      </c>
      <c r="H6882" s="22" t="s">
        <v>22</v>
      </c>
      <c r="I6882" s="22">
        <v>0</v>
      </c>
      <c r="J6882" s="22" t="s">
        <v>48</v>
      </c>
      <c r="K6882" s="22" t="s">
        <v>23</v>
      </c>
      <c r="L6882" s="22">
        <v>1</v>
      </c>
      <c r="M6882" s="26">
        <v>69173</v>
      </c>
      <c r="N6882" s="26">
        <v>0</v>
      </c>
      <c r="O6882" s="15">
        <f t="shared" si="582"/>
        <v>69173</v>
      </c>
      <c r="P6882" s="15">
        <f t="shared" si="586"/>
        <v>23.278110371888449</v>
      </c>
      <c r="Q6882" s="25">
        <v>5000</v>
      </c>
      <c r="R6882" s="22">
        <v>59</v>
      </c>
      <c r="S6882" s="22" t="s">
        <v>8389</v>
      </c>
      <c r="T6882" s="22">
        <f t="shared" si="583"/>
        <v>6</v>
      </c>
      <c r="U6882" s="22">
        <f t="shared" si="584"/>
        <v>2023</v>
      </c>
      <c r="V6882" s="22" t="str">
        <f t="shared" si="585"/>
        <v>METROPOLITANA</v>
      </c>
    </row>
    <row r="6883" spans="1:22" x14ac:dyDescent="0.2">
      <c r="A6883" s="23" t="s">
        <v>8384</v>
      </c>
      <c r="B6883" s="22" t="s">
        <v>33</v>
      </c>
      <c r="C6883" s="22" t="s">
        <v>3922</v>
      </c>
      <c r="D6883" s="22" t="s">
        <v>8219</v>
      </c>
      <c r="E6883" s="24" t="s">
        <v>8220</v>
      </c>
      <c r="F6883" s="22" t="s">
        <v>129</v>
      </c>
      <c r="G6883" s="25">
        <v>5627.9999999999991</v>
      </c>
      <c r="H6883" s="22" t="s">
        <v>24</v>
      </c>
      <c r="I6883" s="22">
        <v>1</v>
      </c>
      <c r="J6883" s="22" t="s">
        <v>129</v>
      </c>
      <c r="K6883" s="22" t="s">
        <v>23</v>
      </c>
      <c r="L6883" s="22">
        <v>1</v>
      </c>
      <c r="M6883" s="26">
        <v>61908</v>
      </c>
      <c r="N6883" s="26">
        <v>0</v>
      </c>
      <c r="O6883" s="15">
        <f t="shared" si="582"/>
        <v>61908</v>
      </c>
      <c r="P6883" s="15">
        <f t="shared" si="586"/>
        <v>11.000000000000002</v>
      </c>
      <c r="Q6883" s="25">
        <v>5000</v>
      </c>
      <c r="R6883" s="22">
        <v>100</v>
      </c>
      <c r="S6883" s="22" t="s">
        <v>8390</v>
      </c>
      <c r="T6883" s="22">
        <f t="shared" si="583"/>
        <v>6</v>
      </c>
      <c r="U6883" s="22">
        <f t="shared" si="584"/>
        <v>2023</v>
      </c>
      <c r="V6883" s="22" t="str">
        <f t="shared" si="585"/>
        <v>METROPOLITANA</v>
      </c>
    </row>
    <row r="6884" spans="1:22" x14ac:dyDescent="0.2">
      <c r="A6884" s="11" t="s">
        <v>8394</v>
      </c>
      <c r="B6884" s="12" t="s">
        <v>18</v>
      </c>
      <c r="C6884" s="12" t="s">
        <v>8237</v>
      </c>
      <c r="D6884" s="12" t="s">
        <v>30</v>
      </c>
      <c r="E6884" s="13" t="s">
        <v>31</v>
      </c>
      <c r="F6884" s="12" t="s">
        <v>129</v>
      </c>
      <c r="G6884" s="14">
        <v>7239.84</v>
      </c>
      <c r="H6884" s="12" t="s">
        <v>32</v>
      </c>
      <c r="I6884" s="12">
        <v>0</v>
      </c>
      <c r="J6884" s="12" t="s">
        <v>129</v>
      </c>
      <c r="K6884" s="12" t="s">
        <v>23</v>
      </c>
      <c r="L6884" s="12">
        <v>1</v>
      </c>
      <c r="M6884" s="15">
        <v>79638</v>
      </c>
      <c r="N6884" s="15">
        <v>0</v>
      </c>
      <c r="O6884" s="15">
        <f t="shared" si="582"/>
        <v>79638</v>
      </c>
      <c r="P6884" s="15">
        <f t="shared" si="586"/>
        <v>10.999966850096135</v>
      </c>
      <c r="Q6884" s="14">
        <v>5000</v>
      </c>
      <c r="R6884" s="12">
        <v>100</v>
      </c>
      <c r="S6884" s="12" t="s">
        <v>8395</v>
      </c>
      <c r="T6884" s="22">
        <f t="shared" si="583"/>
        <v>6</v>
      </c>
      <c r="U6884" s="22">
        <f t="shared" si="584"/>
        <v>2023</v>
      </c>
      <c r="V6884" s="22" t="str">
        <f t="shared" si="585"/>
        <v>METROPOLITANA</v>
      </c>
    </row>
    <row r="6885" spans="1:22" x14ac:dyDescent="0.2">
      <c r="A6885" s="11" t="s">
        <v>8394</v>
      </c>
      <c r="B6885" s="12" t="s">
        <v>33</v>
      </c>
      <c r="C6885" s="12" t="s">
        <v>29</v>
      </c>
      <c r="D6885" s="12" t="s">
        <v>38</v>
      </c>
      <c r="E6885" s="13" t="s">
        <v>25</v>
      </c>
      <c r="F6885" s="12" t="s">
        <v>134</v>
      </c>
      <c r="G6885" s="14">
        <v>6183.3</v>
      </c>
      <c r="H6885" s="12" t="s">
        <v>43</v>
      </c>
      <c r="I6885" s="12">
        <v>0</v>
      </c>
      <c r="J6885" s="12" t="s">
        <v>134</v>
      </c>
      <c r="K6885" s="12" t="s">
        <v>23</v>
      </c>
      <c r="L6885" s="12">
        <v>2</v>
      </c>
      <c r="M6885" s="15">
        <v>68016</v>
      </c>
      <c r="N6885" s="15">
        <v>0</v>
      </c>
      <c r="O6885" s="15">
        <f t="shared" si="582"/>
        <v>68016</v>
      </c>
      <c r="P6885" s="15">
        <f t="shared" si="586"/>
        <v>10.999951482218233</v>
      </c>
      <c r="Q6885" s="14">
        <v>5000</v>
      </c>
      <c r="R6885" s="12">
        <v>100</v>
      </c>
      <c r="S6885" s="12" t="s">
        <v>8396</v>
      </c>
      <c r="T6885" s="22">
        <f t="shared" si="583"/>
        <v>6</v>
      </c>
      <c r="U6885" s="22">
        <f t="shared" si="584"/>
        <v>2023</v>
      </c>
      <c r="V6885" s="22" t="str">
        <f t="shared" si="585"/>
        <v>METROPOLITANA</v>
      </c>
    </row>
    <row r="6886" spans="1:22" x14ac:dyDescent="0.2">
      <c r="A6886" s="11" t="s">
        <v>8394</v>
      </c>
      <c r="B6886" s="12" t="s">
        <v>33</v>
      </c>
      <c r="C6886" s="12" t="s">
        <v>29</v>
      </c>
      <c r="D6886" s="12" t="s">
        <v>37</v>
      </c>
      <c r="E6886" s="13" t="s">
        <v>40</v>
      </c>
      <c r="F6886" s="12" t="s">
        <v>129</v>
      </c>
      <c r="G6886" s="14">
        <v>3146.2199999999989</v>
      </c>
      <c r="H6886" s="12" t="s">
        <v>22</v>
      </c>
      <c r="I6886" s="12">
        <v>0</v>
      </c>
      <c r="J6886" s="12" t="s">
        <v>129</v>
      </c>
      <c r="K6886" s="12" t="s">
        <v>23</v>
      </c>
      <c r="L6886" s="12">
        <v>1</v>
      </c>
      <c r="M6886" s="15">
        <v>69173</v>
      </c>
      <c r="N6886" s="15">
        <v>0</v>
      </c>
      <c r="O6886" s="15">
        <f t="shared" si="582"/>
        <v>69173</v>
      </c>
      <c r="P6886" s="15">
        <f t="shared" si="586"/>
        <v>21.986065818664944</v>
      </c>
      <c r="Q6886" s="14">
        <v>5000</v>
      </c>
      <c r="R6886" s="12">
        <v>63</v>
      </c>
      <c r="S6886" s="12" t="s">
        <v>8397</v>
      </c>
      <c r="T6886" s="22">
        <f t="shared" si="583"/>
        <v>6</v>
      </c>
      <c r="U6886" s="22">
        <f t="shared" si="584"/>
        <v>2023</v>
      </c>
      <c r="V6886" s="22" t="str">
        <f t="shared" si="585"/>
        <v>METROPOLITANA</v>
      </c>
    </row>
    <row r="6887" spans="1:22" x14ac:dyDescent="0.2">
      <c r="A6887" s="11" t="s">
        <v>8394</v>
      </c>
      <c r="B6887" s="12" t="s">
        <v>33</v>
      </c>
      <c r="C6887" s="12" t="s">
        <v>29</v>
      </c>
      <c r="D6887" s="12" t="s">
        <v>164</v>
      </c>
      <c r="E6887" s="13" t="s">
        <v>1576</v>
      </c>
      <c r="F6887" s="12" t="s">
        <v>39</v>
      </c>
      <c r="G6887" s="14">
        <v>15035.96</v>
      </c>
      <c r="H6887" s="12" t="s">
        <v>22</v>
      </c>
      <c r="I6887" s="12">
        <v>1</v>
      </c>
      <c r="J6887" s="12" t="s">
        <v>39</v>
      </c>
      <c r="K6887" s="12" t="s">
        <v>23</v>
      </c>
      <c r="L6887" s="12">
        <v>1</v>
      </c>
      <c r="M6887" s="15">
        <v>165396</v>
      </c>
      <c r="N6887" s="15">
        <v>0</v>
      </c>
      <c r="O6887" s="15">
        <f t="shared" si="582"/>
        <v>165396</v>
      </c>
      <c r="P6887" s="15">
        <f t="shared" si="586"/>
        <v>11.000029263179737</v>
      </c>
      <c r="Q6887" s="14">
        <v>5000</v>
      </c>
      <c r="R6887" s="12">
        <v>100</v>
      </c>
      <c r="S6887" s="12" t="s">
        <v>8398</v>
      </c>
      <c r="T6887" s="22">
        <f t="shared" si="583"/>
        <v>6</v>
      </c>
      <c r="U6887" s="22">
        <f t="shared" si="584"/>
        <v>2023</v>
      </c>
      <c r="V6887" s="22" t="str">
        <f t="shared" si="585"/>
        <v>METROPOLITANA</v>
      </c>
    </row>
    <row r="6888" spans="1:22" x14ac:dyDescent="0.2">
      <c r="A6888" s="11" t="s">
        <v>8394</v>
      </c>
      <c r="B6888" s="12" t="s">
        <v>33</v>
      </c>
      <c r="C6888" s="12" t="s">
        <v>29</v>
      </c>
      <c r="D6888" s="12" t="s">
        <v>20</v>
      </c>
      <c r="E6888" s="13" t="s">
        <v>21</v>
      </c>
      <c r="F6888" s="12" t="s">
        <v>39</v>
      </c>
      <c r="G6888" s="14">
        <v>8188.7099999999991</v>
      </c>
      <c r="H6888" s="12" t="s">
        <v>22</v>
      </c>
      <c r="I6888" s="12">
        <v>0</v>
      </c>
      <c r="J6888" s="12" t="s">
        <v>39</v>
      </c>
      <c r="K6888" s="12" t="s">
        <v>23</v>
      </c>
      <c r="L6888" s="12">
        <v>1</v>
      </c>
      <c r="M6888" s="15">
        <v>90076</v>
      </c>
      <c r="N6888" s="15">
        <v>0</v>
      </c>
      <c r="O6888" s="15">
        <f t="shared" si="582"/>
        <v>90076</v>
      </c>
      <c r="P6888" s="15">
        <f t="shared" si="586"/>
        <v>11.000023202677834</v>
      </c>
      <c r="Q6888" s="14">
        <v>5000</v>
      </c>
      <c r="R6888" s="12">
        <v>100</v>
      </c>
      <c r="S6888" s="12" t="s">
        <v>8399</v>
      </c>
      <c r="T6888" s="22">
        <f t="shared" si="583"/>
        <v>6</v>
      </c>
      <c r="U6888" s="22">
        <f t="shared" si="584"/>
        <v>2023</v>
      </c>
      <c r="V6888" s="22" t="str">
        <f t="shared" si="585"/>
        <v>METROPOLITANA</v>
      </c>
    </row>
    <row r="6889" spans="1:22" x14ac:dyDescent="0.2">
      <c r="A6889" s="11" t="s">
        <v>8394</v>
      </c>
      <c r="B6889" s="12" t="s">
        <v>33</v>
      </c>
      <c r="C6889" s="12" t="s">
        <v>44</v>
      </c>
      <c r="D6889" s="12" t="s">
        <v>37</v>
      </c>
      <c r="E6889" s="13" t="s">
        <v>40</v>
      </c>
      <c r="F6889" s="12" t="s">
        <v>94</v>
      </c>
      <c r="G6889" s="14">
        <v>3986</v>
      </c>
      <c r="H6889" s="12" t="s">
        <v>22</v>
      </c>
      <c r="I6889" s="12">
        <v>0</v>
      </c>
      <c r="J6889" s="12" t="s">
        <v>59</v>
      </c>
      <c r="K6889" s="12" t="s">
        <v>78</v>
      </c>
      <c r="L6889" s="12">
        <v>0</v>
      </c>
      <c r="M6889" s="15">
        <v>227000</v>
      </c>
      <c r="N6889" s="15">
        <v>0</v>
      </c>
      <c r="O6889" s="15">
        <f t="shared" si="582"/>
        <v>227000</v>
      </c>
      <c r="P6889" s="15">
        <f t="shared" si="586"/>
        <v>56.949322629202207</v>
      </c>
      <c r="Q6889" s="14">
        <v>14000</v>
      </c>
      <c r="R6889" s="12">
        <v>28</v>
      </c>
      <c r="S6889" s="12" t="s">
        <v>8400</v>
      </c>
      <c r="T6889" s="22">
        <f t="shared" si="583"/>
        <v>6</v>
      </c>
      <c r="U6889" s="22">
        <f t="shared" si="584"/>
        <v>2023</v>
      </c>
      <c r="V6889" s="22" t="str">
        <f t="shared" si="585"/>
        <v>REGIONES</v>
      </c>
    </row>
    <row r="6890" spans="1:22" x14ac:dyDescent="0.2">
      <c r="A6890" s="23" t="s">
        <v>8401</v>
      </c>
      <c r="B6890" s="22" t="s">
        <v>18</v>
      </c>
      <c r="C6890" s="22" t="s">
        <v>4331</v>
      </c>
      <c r="D6890" s="22" t="s">
        <v>8219</v>
      </c>
      <c r="E6890" s="24" t="s">
        <v>8220</v>
      </c>
      <c r="F6890" s="22" t="s">
        <v>161</v>
      </c>
      <c r="G6890" s="25">
        <v>3538</v>
      </c>
      <c r="H6890" s="22" t="s">
        <v>24</v>
      </c>
      <c r="I6890" s="22">
        <v>1</v>
      </c>
      <c r="J6890" s="22" t="s">
        <v>161</v>
      </c>
      <c r="K6890" s="22" t="s">
        <v>23</v>
      </c>
      <c r="L6890" s="22">
        <v>5</v>
      </c>
      <c r="M6890" s="26">
        <v>180000</v>
      </c>
      <c r="N6890" s="26">
        <v>0</v>
      </c>
      <c r="O6890" s="15">
        <f t="shared" si="582"/>
        <v>180000</v>
      </c>
      <c r="P6890" s="15">
        <f t="shared" si="586"/>
        <v>50.876201243640473</v>
      </c>
      <c r="Q6890" s="25">
        <v>10000</v>
      </c>
      <c r="R6890" s="22">
        <v>35</v>
      </c>
      <c r="S6890" s="22" t="s">
        <v>8402</v>
      </c>
      <c r="T6890" s="22">
        <f t="shared" si="583"/>
        <v>6</v>
      </c>
      <c r="U6890" s="22">
        <f t="shared" si="584"/>
        <v>2023</v>
      </c>
      <c r="V6890" s="22" t="str">
        <f t="shared" si="585"/>
        <v>METROPOLITANA</v>
      </c>
    </row>
    <row r="6891" spans="1:22" x14ac:dyDescent="0.2">
      <c r="A6891" s="23" t="s">
        <v>8401</v>
      </c>
      <c r="B6891" s="22" t="s">
        <v>18</v>
      </c>
      <c r="C6891" s="22" t="s">
        <v>7400</v>
      </c>
      <c r="D6891" s="22" t="s">
        <v>38</v>
      </c>
      <c r="E6891" s="24" t="s">
        <v>42</v>
      </c>
      <c r="F6891" s="22" t="s">
        <v>51</v>
      </c>
      <c r="G6891" s="25">
        <v>3707.4900000000011</v>
      </c>
      <c r="H6891" s="22" t="s">
        <v>43</v>
      </c>
      <c r="I6891" s="22">
        <v>0</v>
      </c>
      <c r="J6891" s="22" t="s">
        <v>51</v>
      </c>
      <c r="K6891" s="22" t="s">
        <v>23</v>
      </c>
      <c r="L6891" s="22">
        <v>4</v>
      </c>
      <c r="M6891" s="26">
        <v>69173</v>
      </c>
      <c r="N6891" s="26">
        <v>0</v>
      </c>
      <c r="O6891" s="15">
        <f t="shared" si="582"/>
        <v>69173</v>
      </c>
      <c r="P6891" s="15">
        <f t="shared" si="586"/>
        <v>18.657636298412129</v>
      </c>
      <c r="Q6891" s="25">
        <v>5000</v>
      </c>
      <c r="R6891" s="22">
        <v>74</v>
      </c>
      <c r="S6891" s="22" t="s">
        <v>8403</v>
      </c>
      <c r="T6891" s="22">
        <f t="shared" si="583"/>
        <v>6</v>
      </c>
      <c r="U6891" s="22">
        <f t="shared" si="584"/>
        <v>2023</v>
      </c>
      <c r="V6891" s="22" t="str">
        <f t="shared" si="585"/>
        <v>METROPOLITANA</v>
      </c>
    </row>
    <row r="6892" spans="1:22" x14ac:dyDescent="0.2">
      <c r="A6892" s="23" t="s">
        <v>8401</v>
      </c>
      <c r="B6892" s="22" t="s">
        <v>18</v>
      </c>
      <c r="C6892" s="22" t="s">
        <v>8237</v>
      </c>
      <c r="D6892" s="22" t="s">
        <v>20</v>
      </c>
      <c r="E6892" s="24" t="s">
        <v>21</v>
      </c>
      <c r="F6892" s="22" t="s">
        <v>129</v>
      </c>
      <c r="G6892" s="25">
        <v>6425.1200000000008</v>
      </c>
      <c r="H6892" s="22" t="s">
        <v>22</v>
      </c>
      <c r="I6892" s="22">
        <v>0</v>
      </c>
      <c r="J6892" s="22" t="s">
        <v>129</v>
      </c>
      <c r="K6892" s="22" t="s">
        <v>23</v>
      </c>
      <c r="L6892" s="22">
        <v>1</v>
      </c>
      <c r="M6892" s="26">
        <v>70676</v>
      </c>
      <c r="N6892" s="26">
        <v>0</v>
      </c>
      <c r="O6892" s="15">
        <f t="shared" si="582"/>
        <v>70676</v>
      </c>
      <c r="P6892" s="15">
        <f t="shared" si="586"/>
        <v>10.999950195482729</v>
      </c>
      <c r="Q6892" s="25">
        <v>5000</v>
      </c>
      <c r="R6892" s="22">
        <v>100</v>
      </c>
      <c r="S6892" s="22" t="s">
        <v>8404</v>
      </c>
      <c r="T6892" s="22">
        <f t="shared" si="583"/>
        <v>6</v>
      </c>
      <c r="U6892" s="22">
        <f t="shared" si="584"/>
        <v>2023</v>
      </c>
      <c r="V6892" s="22" t="str">
        <f t="shared" si="585"/>
        <v>METROPOLITANA</v>
      </c>
    </row>
    <row r="6893" spans="1:22" x14ac:dyDescent="0.2">
      <c r="A6893" s="23" t="s">
        <v>8401</v>
      </c>
      <c r="B6893" s="22" t="s">
        <v>33</v>
      </c>
      <c r="C6893" s="22" t="s">
        <v>29</v>
      </c>
      <c r="D6893" s="22" t="s">
        <v>37</v>
      </c>
      <c r="E6893" s="24" t="s">
        <v>40</v>
      </c>
      <c r="F6893" s="22" t="s">
        <v>39</v>
      </c>
      <c r="G6893" s="25">
        <v>7040.8000000000011</v>
      </c>
      <c r="H6893" s="22" t="s">
        <v>22</v>
      </c>
      <c r="I6893" s="22">
        <v>0</v>
      </c>
      <c r="J6893" s="22" t="s">
        <v>39</v>
      </c>
      <c r="K6893" s="22" t="s">
        <v>23</v>
      </c>
      <c r="L6893" s="22">
        <v>1</v>
      </c>
      <c r="M6893" s="26">
        <v>77449</v>
      </c>
      <c r="N6893" s="26">
        <v>0</v>
      </c>
      <c r="O6893" s="15">
        <f t="shared" si="582"/>
        <v>77449</v>
      </c>
      <c r="P6893" s="15">
        <f t="shared" si="586"/>
        <v>11.000028405862968</v>
      </c>
      <c r="Q6893" s="25">
        <v>5000</v>
      </c>
      <c r="R6893" s="22">
        <v>100</v>
      </c>
      <c r="S6893" s="22" t="s">
        <v>8405</v>
      </c>
      <c r="T6893" s="22">
        <f t="shared" si="583"/>
        <v>6</v>
      </c>
      <c r="U6893" s="22">
        <f t="shared" si="584"/>
        <v>2023</v>
      </c>
      <c r="V6893" s="22" t="str">
        <f t="shared" si="585"/>
        <v>METROPOLITANA</v>
      </c>
    </row>
    <row r="6894" spans="1:22" x14ac:dyDescent="0.2">
      <c r="A6894" s="23" t="s">
        <v>8401</v>
      </c>
      <c r="B6894" s="22" t="s">
        <v>33</v>
      </c>
      <c r="C6894" s="22" t="s">
        <v>29</v>
      </c>
      <c r="D6894" s="22" t="s">
        <v>45</v>
      </c>
      <c r="E6894" s="24" t="s">
        <v>49</v>
      </c>
      <c r="F6894" s="22" t="s">
        <v>129</v>
      </c>
      <c r="G6894" s="25">
        <v>5688.0399999999991</v>
      </c>
      <c r="H6894" s="22" t="s">
        <v>22</v>
      </c>
      <c r="I6894" s="22">
        <v>0</v>
      </c>
      <c r="J6894" s="22" t="s">
        <v>129</v>
      </c>
      <c r="K6894" s="22" t="s">
        <v>23</v>
      </c>
      <c r="L6894" s="22">
        <v>1</v>
      </c>
      <c r="M6894" s="26">
        <v>62568</v>
      </c>
      <c r="N6894" s="26">
        <v>0</v>
      </c>
      <c r="O6894" s="15">
        <f t="shared" si="582"/>
        <v>62568</v>
      </c>
      <c r="P6894" s="15">
        <f t="shared" si="586"/>
        <v>10.999922644707143</v>
      </c>
      <c r="Q6894" s="25">
        <v>5000</v>
      </c>
      <c r="R6894" s="22">
        <v>100</v>
      </c>
      <c r="S6894" s="22" t="s">
        <v>8406</v>
      </c>
      <c r="T6894" s="22">
        <f t="shared" si="583"/>
        <v>6</v>
      </c>
      <c r="U6894" s="22">
        <f t="shared" si="584"/>
        <v>2023</v>
      </c>
      <c r="V6894" s="22" t="str">
        <f t="shared" si="585"/>
        <v>METROPOLITANA</v>
      </c>
    </row>
    <row r="6895" spans="1:22" x14ac:dyDescent="0.2">
      <c r="A6895" s="23" t="s">
        <v>8401</v>
      </c>
      <c r="B6895" s="22" t="s">
        <v>33</v>
      </c>
      <c r="C6895" s="22" t="s">
        <v>29</v>
      </c>
      <c r="D6895" s="22" t="s">
        <v>164</v>
      </c>
      <c r="E6895" s="24" t="s">
        <v>1576</v>
      </c>
      <c r="F6895" s="22" t="s">
        <v>39</v>
      </c>
      <c r="G6895" s="25">
        <v>16700.73</v>
      </c>
      <c r="H6895" s="22" t="s">
        <v>22</v>
      </c>
      <c r="I6895" s="22">
        <v>1</v>
      </c>
      <c r="J6895" s="22" t="s">
        <v>39</v>
      </c>
      <c r="K6895" s="22" t="s">
        <v>23</v>
      </c>
      <c r="L6895" s="22">
        <v>1</v>
      </c>
      <c r="M6895" s="26">
        <v>183708</v>
      </c>
      <c r="N6895" s="26">
        <v>0</v>
      </c>
      <c r="O6895" s="15">
        <f t="shared" si="582"/>
        <v>183708</v>
      </c>
      <c r="P6895" s="15">
        <f t="shared" si="586"/>
        <v>10.999998203671337</v>
      </c>
      <c r="Q6895" s="25">
        <v>5000</v>
      </c>
      <c r="R6895" s="22">
        <v>100</v>
      </c>
      <c r="S6895" s="22" t="s">
        <v>8407</v>
      </c>
      <c r="T6895" s="22">
        <f t="shared" si="583"/>
        <v>6</v>
      </c>
      <c r="U6895" s="22">
        <f t="shared" si="584"/>
        <v>2023</v>
      </c>
      <c r="V6895" s="22" t="str">
        <f t="shared" si="585"/>
        <v>METROPOLITANA</v>
      </c>
    </row>
    <row r="6896" spans="1:22" x14ac:dyDescent="0.2">
      <c r="A6896" s="23" t="s">
        <v>8401</v>
      </c>
      <c r="B6896" s="22" t="s">
        <v>33</v>
      </c>
      <c r="C6896" s="22" t="s">
        <v>44</v>
      </c>
      <c r="D6896" s="22" t="s">
        <v>8219</v>
      </c>
      <c r="E6896" s="24" t="s">
        <v>8220</v>
      </c>
      <c r="F6896" s="22" t="s">
        <v>229</v>
      </c>
      <c r="G6896" s="25">
        <v>2607.84</v>
      </c>
      <c r="H6896" s="22" t="s">
        <v>24</v>
      </c>
      <c r="I6896" s="22">
        <v>1</v>
      </c>
      <c r="J6896" s="22" t="s">
        <v>230</v>
      </c>
      <c r="K6896" s="22" t="s">
        <v>23</v>
      </c>
      <c r="L6896" s="22">
        <v>4</v>
      </c>
      <c r="M6896" s="26">
        <v>69173</v>
      </c>
      <c r="N6896" s="26">
        <v>0</v>
      </c>
      <c r="O6896" s="15">
        <f t="shared" si="582"/>
        <v>69173</v>
      </c>
      <c r="P6896" s="15">
        <f t="shared" si="586"/>
        <v>26.525016872200748</v>
      </c>
      <c r="Q6896" s="25">
        <v>5000</v>
      </c>
      <c r="R6896" s="22">
        <v>52</v>
      </c>
      <c r="S6896" s="22" t="s">
        <v>8408</v>
      </c>
      <c r="T6896" s="22">
        <f t="shared" si="583"/>
        <v>6</v>
      </c>
      <c r="U6896" s="22">
        <f t="shared" si="584"/>
        <v>2023</v>
      </c>
      <c r="V6896" s="22" t="str">
        <f t="shared" si="585"/>
        <v>METROPOLITANA</v>
      </c>
    </row>
    <row r="6897" spans="1:22" x14ac:dyDescent="0.2">
      <c r="A6897" s="23" t="s">
        <v>8401</v>
      </c>
      <c r="B6897" s="22" t="s">
        <v>33</v>
      </c>
      <c r="C6897" s="22" t="s">
        <v>44</v>
      </c>
      <c r="D6897" s="22" t="s">
        <v>20</v>
      </c>
      <c r="E6897" s="24" t="s">
        <v>21</v>
      </c>
      <c r="F6897" s="22" t="s">
        <v>6841</v>
      </c>
      <c r="G6897" s="25">
        <v>2487.86</v>
      </c>
      <c r="H6897" s="22" t="s">
        <v>22</v>
      </c>
      <c r="I6897" s="22">
        <v>0</v>
      </c>
      <c r="J6897" s="22" t="s">
        <v>6841</v>
      </c>
      <c r="K6897" s="22" t="s">
        <v>23</v>
      </c>
      <c r="L6897" s="22">
        <v>1</v>
      </c>
      <c r="M6897" s="26">
        <v>69173</v>
      </c>
      <c r="N6897" s="26">
        <v>0</v>
      </c>
      <c r="O6897" s="15">
        <f t="shared" si="582"/>
        <v>69173</v>
      </c>
      <c r="P6897" s="15">
        <f t="shared" si="586"/>
        <v>27.804217279107345</v>
      </c>
      <c r="Q6897" s="25">
        <v>5000</v>
      </c>
      <c r="R6897" s="22">
        <v>50</v>
      </c>
      <c r="S6897" s="22" t="s">
        <v>8409</v>
      </c>
      <c r="T6897" s="22">
        <f t="shared" si="583"/>
        <v>6</v>
      </c>
      <c r="U6897" s="22">
        <f t="shared" si="584"/>
        <v>2023</v>
      </c>
      <c r="V6897" s="22" t="str">
        <f t="shared" si="585"/>
        <v>METROPOLITANA</v>
      </c>
    </row>
    <row r="6898" spans="1:22" x14ac:dyDescent="0.2">
      <c r="A6898" s="23" t="s">
        <v>8401</v>
      </c>
      <c r="B6898" s="22" t="s">
        <v>33</v>
      </c>
      <c r="C6898" s="22" t="s">
        <v>44</v>
      </c>
      <c r="D6898" s="22" t="s">
        <v>8410</v>
      </c>
      <c r="E6898" s="24" t="s">
        <v>8411</v>
      </c>
      <c r="F6898" s="22" t="s">
        <v>92</v>
      </c>
      <c r="G6898" s="25">
        <f>5902.74+4631</f>
        <v>10533.74</v>
      </c>
      <c r="H6898" s="22" t="s">
        <v>24</v>
      </c>
      <c r="I6898" s="22">
        <v>1</v>
      </c>
      <c r="J6898" s="22" t="s">
        <v>92</v>
      </c>
      <c r="K6898" s="22" t="s">
        <v>93</v>
      </c>
      <c r="L6898" s="22">
        <v>0</v>
      </c>
      <c r="M6898" s="26">
        <v>900000</v>
      </c>
      <c r="N6898" s="26">
        <v>0</v>
      </c>
      <c r="O6898" s="15">
        <f t="shared" si="582"/>
        <v>900000</v>
      </c>
      <c r="P6898" s="15">
        <f t="shared" si="586"/>
        <v>85.439739351835158</v>
      </c>
      <c r="Q6898" s="25">
        <v>14000</v>
      </c>
      <c r="R6898" s="22">
        <v>75</v>
      </c>
      <c r="S6898" s="22" t="s">
        <v>8413</v>
      </c>
      <c r="T6898" s="22">
        <f t="shared" si="583"/>
        <v>6</v>
      </c>
      <c r="U6898" s="22">
        <f t="shared" si="584"/>
        <v>2023</v>
      </c>
      <c r="V6898" s="22" t="str">
        <f t="shared" si="585"/>
        <v>REGIONES</v>
      </c>
    </row>
    <row r="6899" spans="1:22" x14ac:dyDescent="0.2">
      <c r="A6899" s="23" t="s">
        <v>8401</v>
      </c>
      <c r="B6899" s="22" t="s">
        <v>33</v>
      </c>
      <c r="C6899" s="22" t="s">
        <v>3922</v>
      </c>
      <c r="D6899" s="22" t="s">
        <v>38</v>
      </c>
      <c r="E6899" s="24" t="s">
        <v>42</v>
      </c>
      <c r="F6899" s="22" t="s">
        <v>129</v>
      </c>
      <c r="G6899" s="25">
        <v>4831.3999999999996</v>
      </c>
      <c r="H6899" s="22" t="s">
        <v>43</v>
      </c>
      <c r="I6899" s="22">
        <v>0</v>
      </c>
      <c r="J6899" s="22" t="s">
        <v>129</v>
      </c>
      <c r="K6899" s="22" t="s">
        <v>23</v>
      </c>
      <c r="L6899" s="22">
        <v>1</v>
      </c>
      <c r="M6899" s="26">
        <v>69173</v>
      </c>
      <c r="N6899" s="26">
        <v>0</v>
      </c>
      <c r="O6899" s="15">
        <f t="shared" si="582"/>
        <v>69173</v>
      </c>
      <c r="P6899" s="15">
        <f t="shared" si="586"/>
        <v>14.317382125263899</v>
      </c>
      <c r="Q6899" s="25">
        <v>5000</v>
      </c>
      <c r="R6899" s="22">
        <v>97</v>
      </c>
      <c r="S6899" s="22" t="s">
        <v>8412</v>
      </c>
      <c r="T6899" s="22">
        <f t="shared" si="583"/>
        <v>6</v>
      </c>
      <c r="U6899" s="22">
        <f t="shared" si="584"/>
        <v>2023</v>
      </c>
      <c r="V6899" s="22" t="str">
        <f t="shared" si="585"/>
        <v>METROPOLITANA</v>
      </c>
    </row>
    <row r="6900" spans="1:22" x14ac:dyDescent="0.2">
      <c r="A6900" s="11" t="s">
        <v>8414</v>
      </c>
      <c r="B6900" s="12" t="s">
        <v>18</v>
      </c>
      <c r="C6900" s="12" t="s">
        <v>57</v>
      </c>
      <c r="D6900" s="12" t="s">
        <v>37</v>
      </c>
      <c r="E6900" s="13" t="s">
        <v>40</v>
      </c>
      <c r="F6900" s="12" t="s">
        <v>800</v>
      </c>
      <c r="G6900" s="14">
        <f>7188.65+1335</f>
        <v>8523.65</v>
      </c>
      <c r="H6900" s="12" t="s">
        <v>22</v>
      </c>
      <c r="I6900" s="12">
        <v>0</v>
      </c>
      <c r="J6900" s="12" t="s">
        <v>800</v>
      </c>
      <c r="K6900" s="12" t="s">
        <v>23</v>
      </c>
      <c r="L6900" s="12">
        <v>5</v>
      </c>
      <c r="M6900" s="15">
        <v>112500</v>
      </c>
      <c r="N6900" s="15">
        <v>0</v>
      </c>
      <c r="O6900" s="15">
        <f t="shared" si="582"/>
        <v>112500</v>
      </c>
      <c r="P6900" s="15">
        <f t="shared" si="586"/>
        <v>13.198571034709309</v>
      </c>
      <c r="Q6900" s="14">
        <v>10000</v>
      </c>
      <c r="R6900" s="12">
        <v>86</v>
      </c>
      <c r="S6900" s="12" t="s">
        <v>8426</v>
      </c>
      <c r="T6900" s="22">
        <f t="shared" si="583"/>
        <v>6</v>
      </c>
      <c r="U6900" s="22">
        <f t="shared" si="584"/>
        <v>2023</v>
      </c>
      <c r="V6900" s="22" t="str">
        <f t="shared" si="585"/>
        <v>METROPOLITANA</v>
      </c>
    </row>
    <row r="6901" spans="1:22" x14ac:dyDescent="0.2">
      <c r="A6901" s="11" t="s">
        <v>8414</v>
      </c>
      <c r="B6901" s="12" t="s">
        <v>18</v>
      </c>
      <c r="C6901" s="12" t="s">
        <v>19</v>
      </c>
      <c r="D6901" s="12" t="s">
        <v>38</v>
      </c>
      <c r="E6901" s="13" t="s">
        <v>42</v>
      </c>
      <c r="F6901" s="12" t="s">
        <v>161</v>
      </c>
      <c r="G6901" s="14">
        <v>6655.5800000000008</v>
      </c>
      <c r="H6901" s="12" t="s">
        <v>43</v>
      </c>
      <c r="I6901" s="12">
        <v>0</v>
      </c>
      <c r="J6901" s="12" t="s">
        <v>161</v>
      </c>
      <c r="K6901" s="12" t="s">
        <v>23</v>
      </c>
      <c r="L6901" s="12">
        <v>5</v>
      </c>
      <c r="M6901" s="15">
        <v>112500</v>
      </c>
      <c r="N6901" s="15">
        <v>0</v>
      </c>
      <c r="O6901" s="15">
        <f t="shared" si="582"/>
        <v>112500</v>
      </c>
      <c r="P6901" s="15">
        <f t="shared" si="586"/>
        <v>16.903109871716662</v>
      </c>
      <c r="Q6901" s="14">
        <v>10000</v>
      </c>
      <c r="R6901" s="12">
        <v>67</v>
      </c>
      <c r="S6901" s="12" t="s">
        <v>8415</v>
      </c>
      <c r="T6901" s="22">
        <f t="shared" si="583"/>
        <v>6</v>
      </c>
      <c r="U6901" s="22">
        <f t="shared" si="584"/>
        <v>2023</v>
      </c>
      <c r="V6901" s="22" t="str">
        <f t="shared" si="585"/>
        <v>METROPOLITANA</v>
      </c>
    </row>
    <row r="6902" spans="1:22" x14ac:dyDescent="0.2">
      <c r="A6902" s="11" t="s">
        <v>8414</v>
      </c>
      <c r="B6902" s="12" t="s">
        <v>33</v>
      </c>
      <c r="C6902" s="12" t="s">
        <v>60</v>
      </c>
      <c r="D6902" s="12" t="s">
        <v>30</v>
      </c>
      <c r="E6902" s="13" t="s">
        <v>31</v>
      </c>
      <c r="F6902" s="12" t="s">
        <v>51</v>
      </c>
      <c r="G6902" s="14">
        <v>6006</v>
      </c>
      <c r="H6902" s="12" t="s">
        <v>32</v>
      </c>
      <c r="I6902" s="12">
        <v>0</v>
      </c>
      <c r="J6902" s="12" t="s">
        <v>51</v>
      </c>
      <c r="K6902" s="12" t="s">
        <v>23</v>
      </c>
      <c r="L6902" s="12">
        <v>4</v>
      </c>
      <c r="M6902" s="15">
        <v>66066</v>
      </c>
      <c r="N6902" s="15">
        <v>0</v>
      </c>
      <c r="O6902" s="15">
        <f t="shared" si="582"/>
        <v>66066</v>
      </c>
      <c r="P6902" s="15">
        <f t="shared" si="586"/>
        <v>11</v>
      </c>
      <c r="Q6902" s="14">
        <v>5000</v>
      </c>
      <c r="R6902" s="12">
        <v>100</v>
      </c>
      <c r="S6902" s="12" t="s">
        <v>8416</v>
      </c>
      <c r="T6902" s="22">
        <f t="shared" si="583"/>
        <v>6</v>
      </c>
      <c r="U6902" s="22">
        <f t="shared" si="584"/>
        <v>2023</v>
      </c>
      <c r="V6902" s="22" t="str">
        <f t="shared" si="585"/>
        <v>METROPOLITANA</v>
      </c>
    </row>
    <row r="6903" spans="1:22" x14ac:dyDescent="0.2">
      <c r="A6903" s="11" t="s">
        <v>8414</v>
      </c>
      <c r="B6903" s="12" t="s">
        <v>33</v>
      </c>
      <c r="C6903" s="12" t="s">
        <v>60</v>
      </c>
      <c r="D6903" s="12" t="s">
        <v>20</v>
      </c>
      <c r="E6903" s="13" t="s">
        <v>49</v>
      </c>
      <c r="F6903" s="12" t="s">
        <v>120</v>
      </c>
      <c r="G6903" s="14">
        <v>7159</v>
      </c>
      <c r="H6903" s="12" t="s">
        <v>22</v>
      </c>
      <c r="I6903" s="12">
        <v>0</v>
      </c>
      <c r="J6903" s="12" t="s">
        <v>120</v>
      </c>
      <c r="K6903" s="12" t="s">
        <v>23</v>
      </c>
      <c r="L6903" s="12">
        <v>5</v>
      </c>
      <c r="M6903" s="15">
        <v>112500</v>
      </c>
      <c r="N6903" s="15">
        <v>0</v>
      </c>
      <c r="O6903" s="15">
        <f t="shared" si="582"/>
        <v>112500</v>
      </c>
      <c r="P6903" s="15">
        <f t="shared" si="586"/>
        <v>15.714485263304931</v>
      </c>
      <c r="Q6903" s="14">
        <v>10000</v>
      </c>
      <c r="R6903" s="12">
        <v>72</v>
      </c>
      <c r="S6903" s="12" t="s">
        <v>8417</v>
      </c>
      <c r="T6903" s="22">
        <f t="shared" si="583"/>
        <v>6</v>
      </c>
      <c r="U6903" s="22">
        <f t="shared" si="584"/>
        <v>2023</v>
      </c>
      <c r="V6903" s="22" t="str">
        <f t="shared" si="585"/>
        <v>METROPOLITANA</v>
      </c>
    </row>
    <row r="6904" spans="1:22" x14ac:dyDescent="0.2">
      <c r="A6904" s="11" t="s">
        <v>8414</v>
      </c>
      <c r="B6904" s="12" t="s">
        <v>33</v>
      </c>
      <c r="C6904" s="12" t="s">
        <v>128</v>
      </c>
      <c r="D6904" s="12" t="s">
        <v>786</v>
      </c>
      <c r="E6904" s="13" t="s">
        <v>787</v>
      </c>
      <c r="F6904" s="12" t="s">
        <v>34</v>
      </c>
      <c r="G6904" s="14">
        <f>6419.771501+950</f>
        <v>7369.7715010000002</v>
      </c>
      <c r="H6904" s="12" t="s">
        <v>788</v>
      </c>
      <c r="I6904" s="12">
        <v>1</v>
      </c>
      <c r="J6904" s="12" t="s">
        <v>34</v>
      </c>
      <c r="K6904" s="12" t="s">
        <v>23</v>
      </c>
      <c r="L6904" s="12">
        <v>1</v>
      </c>
      <c r="M6904" s="15">
        <v>70617</v>
      </c>
      <c r="N6904" s="15">
        <v>0</v>
      </c>
      <c r="O6904" s="15">
        <f t="shared" si="582"/>
        <v>70617</v>
      </c>
      <c r="P6904" s="15">
        <f t="shared" si="586"/>
        <v>9.5819795756785702</v>
      </c>
      <c r="Q6904" s="14">
        <v>5000</v>
      </c>
      <c r="R6904" s="12">
        <v>100</v>
      </c>
      <c r="S6904" s="12" t="s">
        <v>8425</v>
      </c>
      <c r="T6904" s="22">
        <f t="shared" si="583"/>
        <v>6</v>
      </c>
      <c r="U6904" s="22">
        <f t="shared" si="584"/>
        <v>2023</v>
      </c>
      <c r="V6904" s="22" t="str">
        <f t="shared" si="585"/>
        <v>METROPOLITANA</v>
      </c>
    </row>
    <row r="6905" spans="1:22" x14ac:dyDescent="0.2">
      <c r="A6905" s="11" t="s">
        <v>8414</v>
      </c>
      <c r="B6905" s="12" t="s">
        <v>33</v>
      </c>
      <c r="C6905" s="12" t="s">
        <v>8229</v>
      </c>
      <c r="D6905" s="12" t="s">
        <v>30</v>
      </c>
      <c r="E6905" s="13" t="s">
        <v>31</v>
      </c>
      <c r="F6905" s="12" t="s">
        <v>26</v>
      </c>
      <c r="G6905" s="14">
        <v>10094.700000000001</v>
      </c>
      <c r="H6905" s="12" t="s">
        <v>32</v>
      </c>
      <c r="I6905" s="12">
        <v>0</v>
      </c>
      <c r="J6905" s="12" t="s">
        <v>26</v>
      </c>
      <c r="K6905" s="12" t="s">
        <v>23</v>
      </c>
      <c r="L6905" s="12">
        <v>4</v>
      </c>
      <c r="M6905" s="15">
        <v>111042</v>
      </c>
      <c r="N6905" s="15">
        <v>0</v>
      </c>
      <c r="O6905" s="15">
        <f t="shared" si="582"/>
        <v>111042</v>
      </c>
      <c r="P6905" s="15">
        <f t="shared" si="586"/>
        <v>11.000029718565187</v>
      </c>
      <c r="Q6905" s="14">
        <v>5000</v>
      </c>
      <c r="R6905" s="12">
        <v>100</v>
      </c>
      <c r="S6905" s="12" t="s">
        <v>8418</v>
      </c>
      <c r="T6905" s="22">
        <f t="shared" si="583"/>
        <v>6</v>
      </c>
      <c r="U6905" s="22">
        <f t="shared" si="584"/>
        <v>2023</v>
      </c>
      <c r="V6905" s="22" t="str">
        <f t="shared" si="585"/>
        <v>METROPOLITANA</v>
      </c>
    </row>
    <row r="6906" spans="1:22" x14ac:dyDescent="0.2">
      <c r="A6906" s="11" t="s">
        <v>8414</v>
      </c>
      <c r="B6906" s="12" t="s">
        <v>33</v>
      </c>
      <c r="C6906" s="12" t="s">
        <v>8229</v>
      </c>
      <c r="D6906" s="12" t="s">
        <v>8219</v>
      </c>
      <c r="E6906" s="13" t="s">
        <v>8220</v>
      </c>
      <c r="F6906" s="12" t="s">
        <v>26</v>
      </c>
      <c r="G6906" s="14">
        <v>7823.0000000000009</v>
      </c>
      <c r="H6906" s="12" t="s">
        <v>24</v>
      </c>
      <c r="I6906" s="12">
        <v>1</v>
      </c>
      <c r="J6906" s="12" t="s">
        <v>26</v>
      </c>
      <c r="K6906" s="12" t="s">
        <v>23</v>
      </c>
      <c r="L6906" s="12">
        <v>4</v>
      </c>
      <c r="M6906" s="15">
        <v>86053</v>
      </c>
      <c r="N6906" s="15">
        <v>0</v>
      </c>
      <c r="O6906" s="15">
        <f t="shared" si="582"/>
        <v>86053</v>
      </c>
      <c r="P6906" s="15">
        <f t="shared" si="586"/>
        <v>10.999999999999998</v>
      </c>
      <c r="Q6906" s="14">
        <v>5000</v>
      </c>
      <c r="R6906" s="12">
        <v>100</v>
      </c>
      <c r="S6906" s="12" t="s">
        <v>8419</v>
      </c>
      <c r="T6906" s="22">
        <f t="shared" si="583"/>
        <v>6</v>
      </c>
      <c r="U6906" s="22">
        <f t="shared" si="584"/>
        <v>2023</v>
      </c>
      <c r="V6906" s="22" t="str">
        <f t="shared" si="585"/>
        <v>METROPOLITANA</v>
      </c>
    </row>
    <row r="6907" spans="1:22" x14ac:dyDescent="0.2">
      <c r="A6907" s="11" t="s">
        <v>8414</v>
      </c>
      <c r="B6907" s="12" t="s">
        <v>33</v>
      </c>
      <c r="C6907" s="12" t="s">
        <v>29</v>
      </c>
      <c r="D6907" s="12" t="s">
        <v>8420</v>
      </c>
      <c r="E6907" s="13" t="s">
        <v>8421</v>
      </c>
      <c r="F6907" s="12" t="s">
        <v>114</v>
      </c>
      <c r="G6907" s="14">
        <v>19134.599999999999</v>
      </c>
      <c r="H6907" s="12" t="s">
        <v>24</v>
      </c>
      <c r="I6907" s="12">
        <v>1</v>
      </c>
      <c r="J6907" s="12" t="s">
        <v>114</v>
      </c>
      <c r="K6907" s="12" t="s">
        <v>75</v>
      </c>
      <c r="L6907" s="12">
        <v>0</v>
      </c>
      <c r="M6907" s="15">
        <v>528000</v>
      </c>
      <c r="N6907" s="15">
        <v>0</v>
      </c>
      <c r="O6907" s="15">
        <f t="shared" ref="O6907:O6970" si="587">SUM(M6907:N6907)</f>
        <v>528000</v>
      </c>
      <c r="P6907" s="15">
        <f t="shared" si="586"/>
        <v>27.593992035370484</v>
      </c>
      <c r="Q6907" s="14">
        <v>14000</v>
      </c>
      <c r="R6907" s="12">
        <v>100</v>
      </c>
      <c r="S6907" s="12" t="s">
        <v>8422</v>
      </c>
      <c r="T6907" s="22">
        <f t="shared" si="583"/>
        <v>6</v>
      </c>
      <c r="U6907" s="22">
        <f t="shared" si="584"/>
        <v>2023</v>
      </c>
      <c r="V6907" s="22" t="str">
        <f t="shared" si="585"/>
        <v>REGIONES</v>
      </c>
    </row>
    <row r="6908" spans="1:22" x14ac:dyDescent="0.2">
      <c r="A6908" s="11" t="s">
        <v>8414</v>
      </c>
      <c r="B6908" s="12" t="s">
        <v>33</v>
      </c>
      <c r="C6908" s="12" t="s">
        <v>44</v>
      </c>
      <c r="D6908" s="12" t="s">
        <v>8219</v>
      </c>
      <c r="E6908" s="13" t="s">
        <v>8220</v>
      </c>
      <c r="F6908" s="12" t="s">
        <v>51</v>
      </c>
      <c r="G6908" s="14">
        <v>3144.73</v>
      </c>
      <c r="H6908" s="12" t="s">
        <v>24</v>
      </c>
      <c r="I6908" s="12">
        <v>1</v>
      </c>
      <c r="J6908" s="12" t="s">
        <v>51</v>
      </c>
      <c r="K6908" s="12" t="s">
        <v>23</v>
      </c>
      <c r="L6908" s="12">
        <v>4</v>
      </c>
      <c r="M6908" s="15">
        <v>69173</v>
      </c>
      <c r="N6908" s="15">
        <v>0</v>
      </c>
      <c r="O6908" s="15">
        <f t="shared" si="587"/>
        <v>69173</v>
      </c>
      <c r="P6908" s="15">
        <f t="shared" si="586"/>
        <v>21.996483004900263</v>
      </c>
      <c r="Q6908" s="14">
        <v>5000</v>
      </c>
      <c r="R6908" s="12">
        <v>63</v>
      </c>
      <c r="S6908" s="12" t="s">
        <v>8423</v>
      </c>
      <c r="T6908" s="22">
        <f t="shared" si="583"/>
        <v>6</v>
      </c>
      <c r="U6908" s="22">
        <f t="shared" si="584"/>
        <v>2023</v>
      </c>
      <c r="V6908" s="22" t="str">
        <f t="shared" si="585"/>
        <v>METROPOLITANA</v>
      </c>
    </row>
    <row r="6909" spans="1:22" x14ac:dyDescent="0.2">
      <c r="A6909" s="11" t="s">
        <v>8414</v>
      </c>
      <c r="B6909" s="12" t="s">
        <v>33</v>
      </c>
      <c r="C6909" s="12" t="s">
        <v>44</v>
      </c>
      <c r="D6909" s="12" t="s">
        <v>20</v>
      </c>
      <c r="E6909" s="13" t="s">
        <v>21</v>
      </c>
      <c r="F6909" s="12" t="s">
        <v>95</v>
      </c>
      <c r="G6909" s="14">
        <v>2826.52</v>
      </c>
      <c r="H6909" s="12" t="s">
        <v>22</v>
      </c>
      <c r="I6909" s="12">
        <v>0</v>
      </c>
      <c r="J6909" s="12" t="s">
        <v>95</v>
      </c>
      <c r="K6909" s="12" t="s">
        <v>23</v>
      </c>
      <c r="L6909" s="12">
        <v>4</v>
      </c>
      <c r="M6909" s="15">
        <v>69173</v>
      </c>
      <c r="N6909" s="15">
        <v>0</v>
      </c>
      <c r="O6909" s="15">
        <f t="shared" si="587"/>
        <v>69173</v>
      </c>
      <c r="P6909" s="15">
        <f t="shared" si="586"/>
        <v>24.472850006368255</v>
      </c>
      <c r="Q6909" s="14">
        <v>5000</v>
      </c>
      <c r="R6909" s="12">
        <v>57</v>
      </c>
      <c r="S6909" s="12" t="s">
        <v>8424</v>
      </c>
      <c r="T6909" s="22">
        <f t="shared" si="583"/>
        <v>6</v>
      </c>
      <c r="U6909" s="22">
        <f t="shared" si="584"/>
        <v>2023</v>
      </c>
      <c r="V6909" s="22" t="str">
        <f t="shared" si="585"/>
        <v>METROPOLITANA</v>
      </c>
    </row>
    <row r="6910" spans="1:22" x14ac:dyDescent="0.2">
      <c r="A6910" s="23" t="s">
        <v>8427</v>
      </c>
      <c r="B6910" s="22" t="s">
        <v>18</v>
      </c>
      <c r="C6910" s="22" t="s">
        <v>57</v>
      </c>
      <c r="D6910" s="22" t="s">
        <v>164</v>
      </c>
      <c r="E6910" s="24" t="s">
        <v>1576</v>
      </c>
      <c r="F6910" s="22" t="s">
        <v>800</v>
      </c>
      <c r="G6910" s="25">
        <v>10475.83</v>
      </c>
      <c r="H6910" s="22" t="s">
        <v>22</v>
      </c>
      <c r="I6910" s="22">
        <v>1</v>
      </c>
      <c r="J6910" s="22" t="s">
        <v>800</v>
      </c>
      <c r="K6910" s="22" t="s">
        <v>23</v>
      </c>
      <c r="L6910" s="22">
        <v>5</v>
      </c>
      <c r="M6910" s="26">
        <v>180000</v>
      </c>
      <c r="N6910" s="26">
        <v>0</v>
      </c>
      <c r="O6910" s="15">
        <f t="shared" si="587"/>
        <v>180000</v>
      </c>
      <c r="P6910" s="15">
        <f t="shared" si="586"/>
        <v>17.182409412905709</v>
      </c>
      <c r="Q6910" s="25">
        <v>10000</v>
      </c>
      <c r="R6910" s="22">
        <v>100</v>
      </c>
      <c r="S6910" s="22" t="s">
        <v>8428</v>
      </c>
      <c r="T6910" s="22">
        <f t="shared" si="583"/>
        <v>6</v>
      </c>
      <c r="U6910" s="22">
        <f t="shared" si="584"/>
        <v>2023</v>
      </c>
      <c r="V6910" s="22" t="str">
        <f t="shared" si="585"/>
        <v>METROPOLITANA</v>
      </c>
    </row>
    <row r="6911" spans="1:22" x14ac:dyDescent="0.2">
      <c r="A6911" s="23" t="s">
        <v>8427</v>
      </c>
      <c r="B6911" s="22" t="s">
        <v>18</v>
      </c>
      <c r="C6911" s="22" t="s">
        <v>19</v>
      </c>
      <c r="D6911" s="22" t="s">
        <v>38</v>
      </c>
      <c r="E6911" s="24" t="s">
        <v>25</v>
      </c>
      <c r="F6911" s="22" t="s">
        <v>161</v>
      </c>
      <c r="G6911" s="25">
        <v>9902.36</v>
      </c>
      <c r="H6911" s="22" t="s">
        <v>43</v>
      </c>
      <c r="I6911" s="22">
        <v>0</v>
      </c>
      <c r="J6911" s="22" t="s">
        <v>161</v>
      </c>
      <c r="K6911" s="22" t="s">
        <v>23</v>
      </c>
      <c r="L6911" s="22">
        <v>5</v>
      </c>
      <c r="M6911" s="26">
        <v>112500</v>
      </c>
      <c r="N6911" s="26">
        <v>0</v>
      </c>
      <c r="O6911" s="15">
        <f t="shared" si="587"/>
        <v>112500</v>
      </c>
      <c r="P6911" s="15">
        <f t="shared" si="586"/>
        <v>11.360928101987808</v>
      </c>
      <c r="Q6911" s="25">
        <v>10000</v>
      </c>
      <c r="R6911" s="22">
        <v>99</v>
      </c>
      <c r="S6911" s="22" t="s">
        <v>8429</v>
      </c>
      <c r="T6911" s="22">
        <f t="shared" si="583"/>
        <v>6</v>
      </c>
      <c r="U6911" s="22">
        <f t="shared" si="584"/>
        <v>2023</v>
      </c>
      <c r="V6911" s="22" t="str">
        <f t="shared" si="585"/>
        <v>METROPOLITANA</v>
      </c>
    </row>
    <row r="6912" spans="1:22" x14ac:dyDescent="0.2">
      <c r="A6912" s="23" t="s">
        <v>8427</v>
      </c>
      <c r="B6912" s="22" t="s">
        <v>33</v>
      </c>
      <c r="C6912" s="22" t="s">
        <v>36</v>
      </c>
      <c r="D6912" s="22" t="s">
        <v>8219</v>
      </c>
      <c r="E6912" s="24" t="s">
        <v>8220</v>
      </c>
      <c r="F6912" s="22" t="s">
        <v>182</v>
      </c>
      <c r="G6912" s="25">
        <f>1976+1206</f>
        <v>3182</v>
      </c>
      <c r="H6912" s="22" t="s">
        <v>24</v>
      </c>
      <c r="I6912" s="22">
        <v>1</v>
      </c>
      <c r="J6912" s="22" t="s">
        <v>182</v>
      </c>
      <c r="K6912" s="22" t="s">
        <v>23</v>
      </c>
      <c r="L6912" s="22">
        <v>4</v>
      </c>
      <c r="M6912" s="26">
        <v>69173</v>
      </c>
      <c r="N6912" s="26">
        <v>0</v>
      </c>
      <c r="O6912" s="15">
        <f t="shared" si="587"/>
        <v>69173</v>
      </c>
      <c r="P6912" s="15">
        <f t="shared" si="586"/>
        <v>21.738843494657448</v>
      </c>
      <c r="Q6912" s="25">
        <v>5000</v>
      </c>
      <c r="R6912" s="22">
        <v>65</v>
      </c>
      <c r="S6912" s="22" t="s">
        <v>8432</v>
      </c>
      <c r="T6912" s="22">
        <f t="shared" si="583"/>
        <v>6</v>
      </c>
      <c r="U6912" s="22">
        <f t="shared" si="584"/>
        <v>2023</v>
      </c>
      <c r="V6912" s="22" t="str">
        <f t="shared" si="585"/>
        <v>METROPOLITANA</v>
      </c>
    </row>
    <row r="6913" spans="1:22" x14ac:dyDescent="0.2">
      <c r="A6913" s="23" t="s">
        <v>8427</v>
      </c>
      <c r="B6913" s="22" t="s">
        <v>33</v>
      </c>
      <c r="C6913" s="22" t="s">
        <v>29</v>
      </c>
      <c r="D6913" s="22" t="s">
        <v>20</v>
      </c>
      <c r="E6913" s="24" t="s">
        <v>21</v>
      </c>
      <c r="F6913" s="22" t="s">
        <v>134</v>
      </c>
      <c r="G6913" s="25">
        <v>9339.52</v>
      </c>
      <c r="H6913" s="22" t="s">
        <v>22</v>
      </c>
      <c r="I6913" s="22">
        <v>0</v>
      </c>
      <c r="J6913" s="22" t="s">
        <v>134</v>
      </c>
      <c r="K6913" s="22" t="s">
        <v>23</v>
      </c>
      <c r="L6913" s="22">
        <v>2</v>
      </c>
      <c r="M6913" s="26">
        <v>102735</v>
      </c>
      <c r="N6913" s="26">
        <v>0</v>
      </c>
      <c r="O6913" s="15">
        <f t="shared" si="587"/>
        <v>102735</v>
      </c>
      <c r="P6913" s="15">
        <f t="shared" si="586"/>
        <v>11.000029980127458</v>
      </c>
      <c r="Q6913" s="25">
        <v>5000</v>
      </c>
      <c r="R6913" s="22">
        <v>100</v>
      </c>
      <c r="S6913" s="22" t="s">
        <v>8430</v>
      </c>
      <c r="T6913" s="22">
        <f t="shared" si="583"/>
        <v>6</v>
      </c>
      <c r="U6913" s="22">
        <f t="shared" si="584"/>
        <v>2023</v>
      </c>
      <c r="V6913" s="22" t="str">
        <f t="shared" si="585"/>
        <v>METROPOLITANA</v>
      </c>
    </row>
    <row r="6914" spans="1:22" x14ac:dyDescent="0.2">
      <c r="A6914" s="23" t="s">
        <v>8427</v>
      </c>
      <c r="B6914" s="22" t="s">
        <v>33</v>
      </c>
      <c r="C6914" s="22" t="s">
        <v>44</v>
      </c>
      <c r="D6914" s="22" t="s">
        <v>37</v>
      </c>
      <c r="E6914" s="24" t="s">
        <v>40</v>
      </c>
      <c r="F6914" s="22" t="s">
        <v>48</v>
      </c>
      <c r="G6914" s="25">
        <v>3516.98</v>
      </c>
      <c r="H6914" s="22" t="s">
        <v>22</v>
      </c>
      <c r="I6914" s="22">
        <v>0</v>
      </c>
      <c r="J6914" s="22" t="s">
        <v>48</v>
      </c>
      <c r="K6914" s="22" t="s">
        <v>23</v>
      </c>
      <c r="L6914" s="22">
        <v>1</v>
      </c>
      <c r="M6914" s="26">
        <v>69173</v>
      </c>
      <c r="N6914" s="26">
        <v>0</v>
      </c>
      <c r="O6914" s="15">
        <f t="shared" si="587"/>
        <v>69173</v>
      </c>
      <c r="P6914" s="15">
        <f t="shared" si="586"/>
        <v>19.668294957605674</v>
      </c>
      <c r="Q6914" s="25">
        <v>5000</v>
      </c>
      <c r="R6914" s="22">
        <v>70</v>
      </c>
      <c r="S6914" s="22" t="s">
        <v>8431</v>
      </c>
      <c r="T6914" s="22">
        <f t="shared" si="583"/>
        <v>6</v>
      </c>
      <c r="U6914" s="22">
        <f t="shared" si="584"/>
        <v>2023</v>
      </c>
      <c r="V6914" s="22" t="str">
        <f t="shared" si="585"/>
        <v>METROPOLITANA</v>
      </c>
    </row>
    <row r="6915" spans="1:22" x14ac:dyDescent="0.2">
      <c r="A6915" s="11" t="s">
        <v>8433</v>
      </c>
      <c r="B6915" s="12" t="s">
        <v>33</v>
      </c>
      <c r="C6915" s="12" t="s">
        <v>128</v>
      </c>
      <c r="D6915" s="12" t="s">
        <v>30</v>
      </c>
      <c r="E6915" s="13" t="s">
        <v>31</v>
      </c>
      <c r="F6915" s="12" t="s">
        <v>84</v>
      </c>
      <c r="G6915" s="14">
        <v>5955.4000000000005</v>
      </c>
      <c r="H6915" s="12" t="s">
        <v>32</v>
      </c>
      <c r="I6915" s="12">
        <v>0</v>
      </c>
      <c r="J6915" s="12" t="s">
        <v>84</v>
      </c>
      <c r="K6915" s="12" t="s">
        <v>86</v>
      </c>
      <c r="L6915" s="12">
        <v>0</v>
      </c>
      <c r="M6915" s="15">
        <v>327000</v>
      </c>
      <c r="N6915" s="15">
        <v>0</v>
      </c>
      <c r="O6915" s="15">
        <f t="shared" si="587"/>
        <v>327000</v>
      </c>
      <c r="P6915" s="15">
        <f t="shared" si="586"/>
        <v>54.908150586022764</v>
      </c>
      <c r="Q6915" s="14">
        <v>14000</v>
      </c>
      <c r="R6915" s="12">
        <v>43</v>
      </c>
      <c r="S6915" s="12" t="s">
        <v>8434</v>
      </c>
      <c r="T6915" s="22">
        <f t="shared" si="583"/>
        <v>6</v>
      </c>
      <c r="U6915" s="22">
        <f t="shared" si="584"/>
        <v>2023</v>
      </c>
      <c r="V6915" s="22" t="str">
        <f t="shared" si="585"/>
        <v>REGIONES</v>
      </c>
    </row>
    <row r="6916" spans="1:22" x14ac:dyDescent="0.2">
      <c r="A6916" s="11" t="s">
        <v>8433</v>
      </c>
      <c r="B6916" s="12" t="s">
        <v>33</v>
      </c>
      <c r="C6916" s="12" t="s">
        <v>8229</v>
      </c>
      <c r="D6916" s="12" t="s">
        <v>37</v>
      </c>
      <c r="E6916" s="13" t="s">
        <v>40</v>
      </c>
      <c r="F6916" s="12" t="s">
        <v>26</v>
      </c>
      <c r="G6916" s="14">
        <v>9177</v>
      </c>
      <c r="H6916" s="12" t="s">
        <v>22</v>
      </c>
      <c r="I6916" s="12">
        <v>0</v>
      </c>
      <c r="J6916" s="12" t="s">
        <v>26</v>
      </c>
      <c r="K6916" s="12" t="s">
        <v>23</v>
      </c>
      <c r="L6916" s="12">
        <v>4</v>
      </c>
      <c r="M6916" s="15">
        <v>100947</v>
      </c>
      <c r="N6916" s="15">
        <v>0</v>
      </c>
      <c r="O6916" s="15">
        <f t="shared" si="587"/>
        <v>100947</v>
      </c>
      <c r="P6916" s="15">
        <f t="shared" si="586"/>
        <v>11</v>
      </c>
      <c r="Q6916" s="14">
        <v>5000</v>
      </c>
      <c r="R6916" s="12">
        <v>100</v>
      </c>
      <c r="S6916" s="12" t="s">
        <v>8435</v>
      </c>
      <c r="T6916" s="22">
        <f t="shared" si="583"/>
        <v>6</v>
      </c>
      <c r="U6916" s="22">
        <f t="shared" si="584"/>
        <v>2023</v>
      </c>
      <c r="V6916" s="22" t="str">
        <f t="shared" si="585"/>
        <v>METROPOLITANA</v>
      </c>
    </row>
    <row r="6917" spans="1:22" x14ac:dyDescent="0.2">
      <c r="A6917" s="11" t="s">
        <v>8433</v>
      </c>
      <c r="B6917" s="12" t="s">
        <v>33</v>
      </c>
      <c r="C6917" s="12" t="s">
        <v>29</v>
      </c>
      <c r="D6917" s="12" t="s">
        <v>38</v>
      </c>
      <c r="E6917" s="13" t="s">
        <v>25</v>
      </c>
      <c r="F6917" s="12" t="s">
        <v>39</v>
      </c>
      <c r="G6917" s="14">
        <v>9156.7000000000044</v>
      </c>
      <c r="H6917" s="12" t="s">
        <v>43</v>
      </c>
      <c r="I6917" s="12">
        <v>0</v>
      </c>
      <c r="J6917" s="12" t="s">
        <v>39</v>
      </c>
      <c r="K6917" s="12" t="s">
        <v>23</v>
      </c>
      <c r="L6917" s="12">
        <v>1</v>
      </c>
      <c r="M6917" s="15">
        <v>100724</v>
      </c>
      <c r="N6917" s="15">
        <v>0</v>
      </c>
      <c r="O6917" s="15">
        <f t="shared" si="587"/>
        <v>100724</v>
      </c>
      <c r="P6917" s="15">
        <f t="shared" si="586"/>
        <v>11.000032762894923</v>
      </c>
      <c r="Q6917" s="14">
        <v>5000</v>
      </c>
      <c r="R6917" s="12">
        <v>100</v>
      </c>
      <c r="S6917" s="12" t="s">
        <v>8436</v>
      </c>
      <c r="T6917" s="22">
        <f t="shared" si="583"/>
        <v>6</v>
      </c>
      <c r="U6917" s="22">
        <f t="shared" si="584"/>
        <v>2023</v>
      </c>
      <c r="V6917" s="22" t="str">
        <f t="shared" si="585"/>
        <v>METROPOLITANA</v>
      </c>
    </row>
    <row r="6918" spans="1:22" x14ac:dyDescent="0.2">
      <c r="A6918" s="11" t="s">
        <v>8433</v>
      </c>
      <c r="B6918" s="12" t="s">
        <v>33</v>
      </c>
      <c r="C6918" s="12" t="s">
        <v>29</v>
      </c>
      <c r="D6918" s="12" t="s">
        <v>7203</v>
      </c>
      <c r="E6918" s="13" t="s">
        <v>7204</v>
      </c>
      <c r="F6918" s="12" t="s">
        <v>114</v>
      </c>
      <c r="G6918" s="14">
        <v>18629.34</v>
      </c>
      <c r="H6918" s="12" t="s">
        <v>24</v>
      </c>
      <c r="I6918" s="12">
        <v>1</v>
      </c>
      <c r="J6918" s="12" t="s">
        <v>114</v>
      </c>
      <c r="K6918" s="12" t="s">
        <v>75</v>
      </c>
      <c r="L6918" s="12">
        <v>0</v>
      </c>
      <c r="M6918" s="15">
        <v>528000</v>
      </c>
      <c r="N6918" s="15">
        <v>0</v>
      </c>
      <c r="O6918" s="15">
        <f t="shared" si="587"/>
        <v>528000</v>
      </c>
      <c r="P6918" s="15">
        <f t="shared" si="586"/>
        <v>28.34238894131515</v>
      </c>
      <c r="Q6918" s="14">
        <v>14000</v>
      </c>
      <c r="R6918" s="12">
        <v>100</v>
      </c>
      <c r="S6918" s="12" t="s">
        <v>8437</v>
      </c>
      <c r="T6918" s="22">
        <f t="shared" si="583"/>
        <v>6</v>
      </c>
      <c r="U6918" s="22">
        <f t="shared" si="584"/>
        <v>2023</v>
      </c>
      <c r="V6918" s="22" t="str">
        <f t="shared" si="585"/>
        <v>REGIONES</v>
      </c>
    </row>
    <row r="6919" spans="1:22" x14ac:dyDescent="0.2">
      <c r="A6919" s="11" t="s">
        <v>8433</v>
      </c>
      <c r="B6919" s="12" t="s">
        <v>33</v>
      </c>
      <c r="C6919" s="12" t="s">
        <v>29</v>
      </c>
      <c r="D6919" s="12" t="s">
        <v>8314</v>
      </c>
      <c r="E6919" s="13" t="s">
        <v>8315</v>
      </c>
      <c r="F6919" s="12" t="s">
        <v>114</v>
      </c>
      <c r="G6919" s="14">
        <v>19778.48</v>
      </c>
      <c r="H6919" s="12" t="s">
        <v>24</v>
      </c>
      <c r="I6919" s="12">
        <v>1</v>
      </c>
      <c r="J6919" s="12" t="s">
        <v>114</v>
      </c>
      <c r="K6919" s="12" t="s">
        <v>75</v>
      </c>
      <c r="L6919" s="12">
        <v>0</v>
      </c>
      <c r="M6919" s="15">
        <v>528000</v>
      </c>
      <c r="N6919" s="15">
        <v>0</v>
      </c>
      <c r="O6919" s="15">
        <f t="shared" si="587"/>
        <v>528000</v>
      </c>
      <c r="P6919" s="15">
        <f t="shared" si="586"/>
        <v>26.695681366818885</v>
      </c>
      <c r="Q6919" s="14">
        <v>14000</v>
      </c>
      <c r="R6919" s="12">
        <v>100</v>
      </c>
      <c r="S6919" s="12" t="s">
        <v>8438</v>
      </c>
      <c r="T6919" s="22">
        <f t="shared" ref="T6919:T6982" si="588">MONTH(A6919)</f>
        <v>6</v>
      </c>
      <c r="U6919" s="22">
        <f t="shared" ref="U6919:U6982" si="589">YEAR(A6919)</f>
        <v>2023</v>
      </c>
      <c r="V6919" s="22" t="str">
        <f t="shared" ref="V6919:V6982" si="590">IF(K6919="METROPOLITANA DE SANTIAGO","METROPOLITANA","REGIONES")</f>
        <v>REGIONES</v>
      </c>
    </row>
    <row r="6920" spans="1:22" x14ac:dyDescent="0.2">
      <c r="A6920" s="11" t="s">
        <v>8433</v>
      </c>
      <c r="B6920" s="12" t="s">
        <v>33</v>
      </c>
      <c r="C6920" s="12" t="s">
        <v>29</v>
      </c>
      <c r="D6920" s="12" t="s">
        <v>30</v>
      </c>
      <c r="E6920" s="13" t="s">
        <v>31</v>
      </c>
      <c r="F6920" s="12" t="s">
        <v>170</v>
      </c>
      <c r="G6920" s="14">
        <v>4968.6000000000004</v>
      </c>
      <c r="H6920" s="12" t="s">
        <v>32</v>
      </c>
      <c r="I6920" s="12">
        <v>0</v>
      </c>
      <c r="J6920" s="12" t="s">
        <v>170</v>
      </c>
      <c r="K6920" s="12" t="s">
        <v>171</v>
      </c>
      <c r="L6920" s="12">
        <v>0</v>
      </c>
      <c r="M6920" s="15">
        <v>226400</v>
      </c>
      <c r="N6920" s="15">
        <v>0</v>
      </c>
      <c r="O6920" s="15">
        <f t="shared" si="587"/>
        <v>226400</v>
      </c>
      <c r="P6920" s="15">
        <f t="shared" si="586"/>
        <v>45.566155456265342</v>
      </c>
      <c r="Q6920" s="14">
        <v>14000</v>
      </c>
      <c r="R6920" s="12">
        <v>35</v>
      </c>
      <c r="S6920" s="12" t="s">
        <v>8439</v>
      </c>
      <c r="T6920" s="22">
        <f t="shared" si="588"/>
        <v>6</v>
      </c>
      <c r="U6920" s="22">
        <f t="shared" si="589"/>
        <v>2023</v>
      </c>
      <c r="V6920" s="22" t="str">
        <f t="shared" si="590"/>
        <v>REGIONES</v>
      </c>
    </row>
    <row r="6921" spans="1:22" x14ac:dyDescent="0.2">
      <c r="A6921" s="11" t="s">
        <v>8433</v>
      </c>
      <c r="B6921" s="12" t="s">
        <v>33</v>
      </c>
      <c r="C6921" s="12" t="s">
        <v>29</v>
      </c>
      <c r="D6921" s="12" t="s">
        <v>164</v>
      </c>
      <c r="E6921" s="13" t="s">
        <v>1576</v>
      </c>
      <c r="F6921" s="12" t="s">
        <v>39</v>
      </c>
      <c r="G6921" s="14">
        <v>23612.64000000001</v>
      </c>
      <c r="H6921" s="12" t="s">
        <v>22</v>
      </c>
      <c r="I6921" s="12">
        <v>1</v>
      </c>
      <c r="J6921" s="12" t="s">
        <v>39</v>
      </c>
      <c r="K6921" s="12" t="s">
        <v>23</v>
      </c>
      <c r="L6921" s="12">
        <v>1</v>
      </c>
      <c r="M6921" s="15">
        <v>259739</v>
      </c>
      <c r="N6921" s="15">
        <v>0</v>
      </c>
      <c r="O6921" s="15">
        <f t="shared" si="587"/>
        <v>259739</v>
      </c>
      <c r="P6921" s="15">
        <f t="shared" si="586"/>
        <v>10.99999830599204</v>
      </c>
      <c r="Q6921" s="14">
        <v>5000</v>
      </c>
      <c r="R6921" s="12">
        <v>100</v>
      </c>
      <c r="S6921" s="12" t="s">
        <v>8440</v>
      </c>
      <c r="T6921" s="22">
        <f t="shared" si="588"/>
        <v>6</v>
      </c>
      <c r="U6921" s="22">
        <f t="shared" si="589"/>
        <v>2023</v>
      </c>
      <c r="V6921" s="22" t="str">
        <f t="shared" si="590"/>
        <v>METROPOLITANA</v>
      </c>
    </row>
    <row r="6922" spans="1:22" x14ac:dyDescent="0.2">
      <c r="A6922" s="11" t="s">
        <v>8433</v>
      </c>
      <c r="B6922" s="12" t="s">
        <v>33</v>
      </c>
      <c r="C6922" s="12" t="s">
        <v>44</v>
      </c>
      <c r="D6922" s="12" t="s">
        <v>35</v>
      </c>
      <c r="E6922" s="13" t="s">
        <v>21</v>
      </c>
      <c r="F6922" s="12" t="s">
        <v>26</v>
      </c>
      <c r="G6922" s="14">
        <v>3210.44</v>
      </c>
      <c r="H6922" s="12" t="s">
        <v>22</v>
      </c>
      <c r="I6922" s="12">
        <v>0</v>
      </c>
      <c r="J6922" s="12" t="s">
        <v>26</v>
      </c>
      <c r="K6922" s="12" t="s">
        <v>23</v>
      </c>
      <c r="L6922" s="12">
        <v>4</v>
      </c>
      <c r="M6922" s="15">
        <v>69173</v>
      </c>
      <c r="N6922" s="15">
        <v>0</v>
      </c>
      <c r="O6922" s="15">
        <f t="shared" si="587"/>
        <v>69173</v>
      </c>
      <c r="P6922" s="15">
        <f t="shared" si="586"/>
        <v>21.546267801298264</v>
      </c>
      <c r="Q6922" s="14">
        <v>5000</v>
      </c>
      <c r="R6922" s="12">
        <v>64</v>
      </c>
      <c r="S6922" s="12" t="s">
        <v>8441</v>
      </c>
      <c r="T6922" s="22">
        <f t="shared" si="588"/>
        <v>6</v>
      </c>
      <c r="U6922" s="22">
        <f t="shared" si="589"/>
        <v>2023</v>
      </c>
      <c r="V6922" s="22" t="str">
        <f t="shared" si="590"/>
        <v>METROPOLITANA</v>
      </c>
    </row>
    <row r="6923" spans="1:22" x14ac:dyDescent="0.2">
      <c r="A6923" s="23" t="s">
        <v>8442</v>
      </c>
      <c r="B6923" s="22" t="s">
        <v>18</v>
      </c>
      <c r="C6923" s="22" t="s">
        <v>57</v>
      </c>
      <c r="D6923" s="22" t="s">
        <v>38</v>
      </c>
      <c r="E6923" s="24" t="s">
        <v>2330</v>
      </c>
      <c r="F6923" s="22" t="s">
        <v>800</v>
      </c>
      <c r="G6923" s="25">
        <f>1682.36+1153+1575</f>
        <v>4410.3599999999997</v>
      </c>
      <c r="H6923" s="22" t="s">
        <v>43</v>
      </c>
      <c r="I6923" s="22">
        <v>0</v>
      </c>
      <c r="J6923" s="22" t="s">
        <v>800</v>
      </c>
      <c r="K6923" s="22" t="s">
        <v>23</v>
      </c>
      <c r="L6923" s="22">
        <v>5</v>
      </c>
      <c r="M6923" s="26">
        <v>112500</v>
      </c>
      <c r="N6923" s="26">
        <v>0</v>
      </c>
      <c r="O6923" s="15">
        <f t="shared" si="587"/>
        <v>112500</v>
      </c>
      <c r="P6923" s="15">
        <f t="shared" si="586"/>
        <v>25.508121785976655</v>
      </c>
      <c r="Q6923" s="25">
        <v>10000</v>
      </c>
      <c r="R6923" s="22">
        <v>55</v>
      </c>
      <c r="S6923" s="22" t="s">
        <v>8454</v>
      </c>
      <c r="T6923" s="22">
        <f t="shared" si="588"/>
        <v>6</v>
      </c>
      <c r="U6923" s="22">
        <f t="shared" si="589"/>
        <v>2023</v>
      </c>
      <c r="V6923" s="22" t="str">
        <f t="shared" si="590"/>
        <v>METROPOLITANA</v>
      </c>
    </row>
    <row r="6924" spans="1:22" x14ac:dyDescent="0.2">
      <c r="A6924" s="23" t="s">
        <v>8442</v>
      </c>
      <c r="B6924" s="22" t="s">
        <v>18</v>
      </c>
      <c r="C6924" s="22" t="s">
        <v>7400</v>
      </c>
      <c r="D6924" s="22" t="s">
        <v>20</v>
      </c>
      <c r="E6924" s="24" t="s">
        <v>21</v>
      </c>
      <c r="F6924" s="22" t="s">
        <v>230</v>
      </c>
      <c r="G6924" s="25">
        <v>1404.3</v>
      </c>
      <c r="H6924" s="22" t="s">
        <v>22</v>
      </c>
      <c r="I6924" s="22">
        <v>0</v>
      </c>
      <c r="J6924" s="22" t="s">
        <v>230</v>
      </c>
      <c r="K6924" s="22" t="s">
        <v>23</v>
      </c>
      <c r="L6924" s="22">
        <v>4</v>
      </c>
      <c r="M6924" s="26">
        <v>69173</v>
      </c>
      <c r="N6924" s="26">
        <v>0</v>
      </c>
      <c r="O6924" s="15">
        <f t="shared" si="587"/>
        <v>69173</v>
      </c>
      <c r="P6924" s="15">
        <f t="shared" si="586"/>
        <v>49.25799330627359</v>
      </c>
      <c r="Q6924" s="25">
        <v>5000</v>
      </c>
      <c r="R6924" s="22">
        <v>28</v>
      </c>
      <c r="S6924" s="22" t="s">
        <v>8443</v>
      </c>
      <c r="T6924" s="22">
        <f t="shared" si="588"/>
        <v>6</v>
      </c>
      <c r="U6924" s="22">
        <f t="shared" si="589"/>
        <v>2023</v>
      </c>
      <c r="V6924" s="22" t="str">
        <f t="shared" si="590"/>
        <v>METROPOLITANA</v>
      </c>
    </row>
    <row r="6925" spans="1:22" x14ac:dyDescent="0.2">
      <c r="A6925" s="23" t="s">
        <v>8442</v>
      </c>
      <c r="B6925" s="22" t="s">
        <v>33</v>
      </c>
      <c r="C6925" s="22" t="s">
        <v>128</v>
      </c>
      <c r="D6925" s="22" t="s">
        <v>786</v>
      </c>
      <c r="E6925" s="24" t="s">
        <v>787</v>
      </c>
      <c r="F6925" s="22" t="s">
        <v>34</v>
      </c>
      <c r="G6925" s="25">
        <v>10072.08</v>
      </c>
      <c r="H6925" s="22" t="s">
        <v>788</v>
      </c>
      <c r="I6925" s="22">
        <v>1</v>
      </c>
      <c r="J6925" s="22" t="s">
        <v>34</v>
      </c>
      <c r="K6925" s="22" t="s">
        <v>23</v>
      </c>
      <c r="L6925" s="22">
        <v>1</v>
      </c>
      <c r="M6925" s="26">
        <v>110793</v>
      </c>
      <c r="N6925" s="26">
        <v>0</v>
      </c>
      <c r="O6925" s="15">
        <f t="shared" si="587"/>
        <v>110793</v>
      </c>
      <c r="P6925" s="15">
        <f t="shared" si="586"/>
        <v>11.000011914123002</v>
      </c>
      <c r="Q6925" s="25">
        <v>5000</v>
      </c>
      <c r="R6925" s="22">
        <v>100</v>
      </c>
      <c r="S6925" s="22" t="s">
        <v>8444</v>
      </c>
      <c r="T6925" s="22">
        <f t="shared" si="588"/>
        <v>6</v>
      </c>
      <c r="U6925" s="22">
        <f t="shared" si="589"/>
        <v>2023</v>
      </c>
      <c r="V6925" s="22" t="str">
        <f t="shared" si="590"/>
        <v>METROPOLITANA</v>
      </c>
    </row>
    <row r="6926" spans="1:22" x14ac:dyDescent="0.2">
      <c r="A6926" s="23" t="s">
        <v>8442</v>
      </c>
      <c r="B6926" s="22" t="s">
        <v>33</v>
      </c>
      <c r="C6926" s="22" t="s">
        <v>128</v>
      </c>
      <c r="D6926" s="22" t="s">
        <v>8219</v>
      </c>
      <c r="E6926" s="24" t="s">
        <v>8220</v>
      </c>
      <c r="F6926" s="22" t="s">
        <v>84</v>
      </c>
      <c r="G6926" s="25">
        <f>5955.4+2768</f>
        <v>8723.4</v>
      </c>
      <c r="H6926" s="22" t="s">
        <v>24</v>
      </c>
      <c r="I6926" s="22">
        <v>1</v>
      </c>
      <c r="J6926" s="22" t="s">
        <v>84</v>
      </c>
      <c r="K6926" s="22" t="s">
        <v>86</v>
      </c>
      <c r="L6926" s="22">
        <v>0</v>
      </c>
      <c r="M6926" s="26">
        <v>402000</v>
      </c>
      <c r="N6926" s="26">
        <v>0</v>
      </c>
      <c r="O6926" s="15">
        <f t="shared" si="587"/>
        <v>402000</v>
      </c>
      <c r="P6926" s="15">
        <f t="shared" si="586"/>
        <v>46.082949308755765</v>
      </c>
      <c r="Q6926" s="25">
        <v>14000</v>
      </c>
      <c r="R6926" s="22">
        <v>90</v>
      </c>
      <c r="S6926" s="22" t="s">
        <v>8455</v>
      </c>
      <c r="T6926" s="22">
        <f t="shared" si="588"/>
        <v>6</v>
      </c>
      <c r="U6926" s="22">
        <f t="shared" si="589"/>
        <v>2023</v>
      </c>
      <c r="V6926" s="22" t="str">
        <f t="shared" si="590"/>
        <v>REGIONES</v>
      </c>
    </row>
    <row r="6927" spans="1:22" x14ac:dyDescent="0.2">
      <c r="A6927" s="23" t="s">
        <v>8442</v>
      </c>
      <c r="B6927" s="22" t="s">
        <v>33</v>
      </c>
      <c r="C6927" s="22" t="s">
        <v>36</v>
      </c>
      <c r="D6927" s="22" t="s">
        <v>35</v>
      </c>
      <c r="E6927" s="24" t="s">
        <v>52</v>
      </c>
      <c r="F6927" s="22" t="s">
        <v>46</v>
      </c>
      <c r="G6927" s="25">
        <v>2251.1999999999998</v>
      </c>
      <c r="H6927" s="22" t="s">
        <v>22</v>
      </c>
      <c r="I6927" s="22">
        <v>0</v>
      </c>
      <c r="J6927" s="22" t="s">
        <v>46</v>
      </c>
      <c r="K6927" s="22" t="s">
        <v>23</v>
      </c>
      <c r="L6927" s="22">
        <v>2</v>
      </c>
      <c r="M6927" s="26">
        <v>69173</v>
      </c>
      <c r="N6927" s="26">
        <v>0</v>
      </c>
      <c r="O6927" s="15">
        <f t="shared" si="587"/>
        <v>69173</v>
      </c>
      <c r="P6927" s="15">
        <f t="shared" si="586"/>
        <v>30.727167732764752</v>
      </c>
      <c r="Q6927" s="25">
        <v>5000</v>
      </c>
      <c r="R6927" s="22">
        <v>45</v>
      </c>
      <c r="S6927" s="22" t="s">
        <v>8445</v>
      </c>
      <c r="T6927" s="22">
        <f t="shared" si="588"/>
        <v>6</v>
      </c>
      <c r="U6927" s="22">
        <f t="shared" si="589"/>
        <v>2023</v>
      </c>
      <c r="V6927" s="22" t="str">
        <f t="shared" si="590"/>
        <v>METROPOLITANA</v>
      </c>
    </row>
    <row r="6928" spans="1:22" x14ac:dyDescent="0.2">
      <c r="A6928" s="23" t="s">
        <v>8442</v>
      </c>
      <c r="B6928" s="22" t="s">
        <v>33</v>
      </c>
      <c r="C6928" s="22" t="s">
        <v>223</v>
      </c>
      <c r="D6928" s="22" t="s">
        <v>3641</v>
      </c>
      <c r="E6928" s="24" t="s">
        <v>5124</v>
      </c>
      <c r="F6928" s="22" t="s">
        <v>2639</v>
      </c>
      <c r="G6928" s="25">
        <v>9662.7999999999993</v>
      </c>
      <c r="H6928" s="22" t="s">
        <v>24</v>
      </c>
      <c r="I6928" s="22">
        <v>1</v>
      </c>
      <c r="J6928" s="22" t="s">
        <v>2639</v>
      </c>
      <c r="K6928" s="22" t="s">
        <v>75</v>
      </c>
      <c r="L6928" s="22">
        <v>0</v>
      </c>
      <c r="M6928" s="26">
        <v>478000</v>
      </c>
      <c r="N6928" s="26">
        <v>0</v>
      </c>
      <c r="O6928" s="15">
        <f t="shared" si="587"/>
        <v>478000</v>
      </c>
      <c r="P6928" s="15">
        <f t="shared" si="586"/>
        <v>49.468063087303889</v>
      </c>
      <c r="Q6928" s="25">
        <v>14000</v>
      </c>
      <c r="R6928" s="22">
        <v>69</v>
      </c>
      <c r="S6928" s="22" t="s">
        <v>8446</v>
      </c>
      <c r="T6928" s="22">
        <f t="shared" si="588"/>
        <v>6</v>
      </c>
      <c r="U6928" s="22">
        <f t="shared" si="589"/>
        <v>2023</v>
      </c>
      <c r="V6928" s="22" t="str">
        <f t="shared" si="590"/>
        <v>REGIONES</v>
      </c>
    </row>
    <row r="6929" spans="1:22" x14ac:dyDescent="0.2">
      <c r="A6929" s="23" t="s">
        <v>8442</v>
      </c>
      <c r="B6929" s="22" t="s">
        <v>33</v>
      </c>
      <c r="C6929" s="22" t="s">
        <v>29</v>
      </c>
      <c r="D6929" s="22" t="s">
        <v>7530</v>
      </c>
      <c r="E6929" s="24" t="s">
        <v>7531</v>
      </c>
      <c r="F6929" s="22" t="s">
        <v>114</v>
      </c>
      <c r="G6929" s="25">
        <v>6068.4000000000024</v>
      </c>
      <c r="H6929" s="22" t="s">
        <v>24</v>
      </c>
      <c r="I6929" s="22">
        <v>1</v>
      </c>
      <c r="J6929" s="22" t="s">
        <v>114</v>
      </c>
      <c r="K6929" s="22" t="s">
        <v>75</v>
      </c>
      <c r="L6929" s="22">
        <v>0</v>
      </c>
      <c r="M6929" s="26">
        <v>528000</v>
      </c>
      <c r="N6929" s="26">
        <v>0</v>
      </c>
      <c r="O6929" s="15">
        <f t="shared" si="587"/>
        <v>528000</v>
      </c>
      <c r="P6929" s="15">
        <f t="shared" si="586"/>
        <v>87.00810757366024</v>
      </c>
      <c r="Q6929" s="25">
        <v>14000</v>
      </c>
      <c r="R6929" s="22">
        <v>43</v>
      </c>
      <c r="S6929" s="22" t="s">
        <v>8447</v>
      </c>
      <c r="T6929" s="22">
        <f t="shared" si="588"/>
        <v>6</v>
      </c>
      <c r="U6929" s="22">
        <f t="shared" si="589"/>
        <v>2023</v>
      </c>
      <c r="V6929" s="22" t="str">
        <f t="shared" si="590"/>
        <v>REGIONES</v>
      </c>
    </row>
    <row r="6930" spans="1:22" x14ac:dyDescent="0.2">
      <c r="A6930" s="23" t="s">
        <v>8442</v>
      </c>
      <c r="B6930" s="22" t="s">
        <v>33</v>
      </c>
      <c r="C6930" s="22" t="s">
        <v>29</v>
      </c>
      <c r="D6930" s="22" t="s">
        <v>8448</v>
      </c>
      <c r="E6930" s="24" t="s">
        <v>7815</v>
      </c>
      <c r="F6930" s="22" t="s">
        <v>114</v>
      </c>
      <c r="G6930" s="25">
        <v>7442.1000000000022</v>
      </c>
      <c r="H6930" s="22" t="s">
        <v>24</v>
      </c>
      <c r="I6930" s="22">
        <v>1</v>
      </c>
      <c r="J6930" s="22" t="s">
        <v>114</v>
      </c>
      <c r="K6930" s="22" t="s">
        <v>75</v>
      </c>
      <c r="L6930" s="22">
        <v>0</v>
      </c>
      <c r="M6930" s="26">
        <v>528000</v>
      </c>
      <c r="N6930" s="26">
        <v>0</v>
      </c>
      <c r="O6930" s="15">
        <f t="shared" si="587"/>
        <v>528000</v>
      </c>
      <c r="P6930" s="15">
        <f t="shared" si="586"/>
        <v>70.947716370379311</v>
      </c>
      <c r="Q6930" s="25">
        <v>14000</v>
      </c>
      <c r="R6930" s="22">
        <v>53</v>
      </c>
      <c r="S6930" s="22" t="s">
        <v>8449</v>
      </c>
      <c r="T6930" s="22">
        <f t="shared" si="588"/>
        <v>6</v>
      </c>
      <c r="U6930" s="22">
        <f t="shared" si="589"/>
        <v>2023</v>
      </c>
      <c r="V6930" s="22" t="str">
        <f t="shared" si="590"/>
        <v>REGIONES</v>
      </c>
    </row>
    <row r="6931" spans="1:22" x14ac:dyDescent="0.2">
      <c r="A6931" s="23" t="s">
        <v>8442</v>
      </c>
      <c r="B6931" s="22" t="s">
        <v>33</v>
      </c>
      <c r="C6931" s="22" t="s">
        <v>5573</v>
      </c>
      <c r="D6931" s="22" t="s">
        <v>786</v>
      </c>
      <c r="E6931" s="24" t="s">
        <v>787</v>
      </c>
      <c r="F6931" s="22" t="s">
        <v>129</v>
      </c>
      <c r="G6931" s="25">
        <v>10416</v>
      </c>
      <c r="H6931" s="22" t="s">
        <v>788</v>
      </c>
      <c r="I6931" s="22">
        <v>1</v>
      </c>
      <c r="J6931" s="22" t="s">
        <v>129</v>
      </c>
      <c r="K6931" s="22" t="s">
        <v>23</v>
      </c>
      <c r="L6931" s="22">
        <v>1</v>
      </c>
      <c r="M6931" s="26">
        <v>114576</v>
      </c>
      <c r="N6931" s="26">
        <v>0</v>
      </c>
      <c r="O6931" s="15">
        <f t="shared" si="587"/>
        <v>114576</v>
      </c>
      <c r="P6931" s="15">
        <f t="shared" si="586"/>
        <v>11</v>
      </c>
      <c r="Q6931" s="25">
        <v>5000</v>
      </c>
      <c r="R6931" s="22">
        <v>100</v>
      </c>
      <c r="S6931" s="22" t="s">
        <v>8450</v>
      </c>
      <c r="T6931" s="22">
        <f t="shared" si="588"/>
        <v>6</v>
      </c>
      <c r="U6931" s="22">
        <f t="shared" si="589"/>
        <v>2023</v>
      </c>
      <c r="V6931" s="22" t="str">
        <f t="shared" si="590"/>
        <v>METROPOLITANA</v>
      </c>
    </row>
    <row r="6932" spans="1:22" x14ac:dyDescent="0.2">
      <c r="A6932" s="23" t="s">
        <v>8442</v>
      </c>
      <c r="B6932" s="22" t="s">
        <v>33</v>
      </c>
      <c r="C6932" s="22" t="s">
        <v>44</v>
      </c>
      <c r="D6932" s="22" t="s">
        <v>37</v>
      </c>
      <c r="E6932" s="24" t="s">
        <v>40</v>
      </c>
      <c r="F6932" s="22" t="s">
        <v>2004</v>
      </c>
      <c r="G6932" s="25">
        <v>4576.4000000000005</v>
      </c>
      <c r="H6932" s="22" t="s">
        <v>22</v>
      </c>
      <c r="I6932" s="22">
        <v>0</v>
      </c>
      <c r="J6932" s="22" t="s">
        <v>2004</v>
      </c>
      <c r="K6932" s="22" t="s">
        <v>23</v>
      </c>
      <c r="L6932" s="22">
        <v>5</v>
      </c>
      <c r="M6932" s="26">
        <v>112500</v>
      </c>
      <c r="N6932" s="26">
        <v>0</v>
      </c>
      <c r="O6932" s="15">
        <f t="shared" si="587"/>
        <v>112500</v>
      </c>
      <c r="P6932" s="15">
        <f t="shared" si="586"/>
        <v>24.582641377501965</v>
      </c>
      <c r="Q6932" s="25">
        <v>10000</v>
      </c>
      <c r="R6932" s="22">
        <v>46</v>
      </c>
      <c r="S6932" s="22" t="s">
        <v>8451</v>
      </c>
      <c r="T6932" s="22">
        <f t="shared" si="588"/>
        <v>6</v>
      </c>
      <c r="U6932" s="22">
        <f t="shared" si="589"/>
        <v>2023</v>
      </c>
      <c r="V6932" s="22" t="str">
        <f t="shared" si="590"/>
        <v>METROPOLITANA</v>
      </c>
    </row>
    <row r="6933" spans="1:22" x14ac:dyDescent="0.2">
      <c r="A6933" s="23" t="s">
        <v>8442</v>
      </c>
      <c r="B6933" s="22" t="s">
        <v>33</v>
      </c>
      <c r="C6933" s="22" t="s">
        <v>44</v>
      </c>
      <c r="D6933" s="22" t="s">
        <v>3641</v>
      </c>
      <c r="E6933" s="24" t="s">
        <v>5124</v>
      </c>
      <c r="F6933" s="22" t="s">
        <v>132</v>
      </c>
      <c r="G6933" s="25">
        <v>5073.3599999999997</v>
      </c>
      <c r="H6933" s="22" t="s">
        <v>24</v>
      </c>
      <c r="I6933" s="22">
        <v>1</v>
      </c>
      <c r="J6933" s="22" t="s">
        <v>132</v>
      </c>
      <c r="K6933" s="22" t="s">
        <v>124</v>
      </c>
      <c r="L6933" s="22">
        <v>0</v>
      </c>
      <c r="M6933" s="26">
        <v>500000</v>
      </c>
      <c r="N6933" s="26">
        <v>0</v>
      </c>
      <c r="O6933" s="15">
        <f t="shared" si="587"/>
        <v>500000</v>
      </c>
      <c r="P6933" s="15">
        <f t="shared" si="586"/>
        <v>98.554015484806925</v>
      </c>
      <c r="Q6933" s="25">
        <v>14000</v>
      </c>
      <c r="R6933" s="22">
        <v>36</v>
      </c>
      <c r="S6933" s="22" t="s">
        <v>8452</v>
      </c>
      <c r="T6933" s="22">
        <f t="shared" si="588"/>
        <v>6</v>
      </c>
      <c r="U6933" s="22">
        <f t="shared" si="589"/>
        <v>2023</v>
      </c>
      <c r="V6933" s="22" t="str">
        <f t="shared" si="590"/>
        <v>REGIONES</v>
      </c>
    </row>
    <row r="6934" spans="1:22" x14ac:dyDescent="0.2">
      <c r="A6934" s="23" t="s">
        <v>8442</v>
      </c>
      <c r="B6934" s="22" t="s">
        <v>33</v>
      </c>
      <c r="C6934" s="22" t="s">
        <v>44</v>
      </c>
      <c r="D6934" s="22" t="s">
        <v>35</v>
      </c>
      <c r="E6934" s="24" t="s">
        <v>52</v>
      </c>
      <c r="F6934" s="22" t="s">
        <v>46</v>
      </c>
      <c r="G6934" s="25">
        <v>3363.41</v>
      </c>
      <c r="H6934" s="22" t="s">
        <v>22</v>
      </c>
      <c r="I6934" s="22">
        <v>0</v>
      </c>
      <c r="J6934" s="22" t="s">
        <v>46</v>
      </c>
      <c r="K6934" s="22" t="s">
        <v>23</v>
      </c>
      <c r="L6934" s="22">
        <v>2</v>
      </c>
      <c r="M6934" s="26">
        <v>69173</v>
      </c>
      <c r="N6934" s="26">
        <v>0</v>
      </c>
      <c r="O6934" s="15">
        <f t="shared" si="587"/>
        <v>69173</v>
      </c>
      <c r="P6934" s="15">
        <f t="shared" si="586"/>
        <v>20.566330004370567</v>
      </c>
      <c r="Q6934" s="25">
        <v>5000</v>
      </c>
      <c r="R6934" s="22">
        <v>67</v>
      </c>
      <c r="S6934" s="22" t="s">
        <v>8453</v>
      </c>
      <c r="T6934" s="22">
        <f t="shared" si="588"/>
        <v>6</v>
      </c>
      <c r="U6934" s="22">
        <f t="shared" si="589"/>
        <v>2023</v>
      </c>
      <c r="V6934" s="22" t="str">
        <f t="shared" si="590"/>
        <v>METROPOLITANA</v>
      </c>
    </row>
    <row r="6935" spans="1:22" x14ac:dyDescent="0.2">
      <c r="A6935" s="11" t="s">
        <v>8456</v>
      </c>
      <c r="B6935" s="12" t="s">
        <v>18</v>
      </c>
      <c r="C6935" s="12" t="s">
        <v>57</v>
      </c>
      <c r="D6935" s="12" t="s">
        <v>20</v>
      </c>
      <c r="E6935" s="13">
        <v>78907355</v>
      </c>
      <c r="F6935" s="12" t="s">
        <v>51</v>
      </c>
      <c r="G6935" s="14">
        <v>5127.09</v>
      </c>
      <c r="H6935" s="12" t="s">
        <v>22</v>
      </c>
      <c r="I6935" s="12">
        <v>0</v>
      </c>
      <c r="J6935" s="12" t="s">
        <v>51</v>
      </c>
      <c r="K6935" s="12" t="s">
        <v>23</v>
      </c>
      <c r="L6935" s="12">
        <v>4</v>
      </c>
      <c r="M6935" s="15">
        <v>56398</v>
      </c>
      <c r="N6935" s="15">
        <v>0</v>
      </c>
      <c r="O6935" s="15">
        <f t="shared" si="587"/>
        <v>56398</v>
      </c>
      <c r="P6935" s="15">
        <f t="shared" si="586"/>
        <v>11.000001950424119</v>
      </c>
      <c r="Q6935" s="14">
        <v>5000</v>
      </c>
      <c r="R6935" s="12">
        <v>100</v>
      </c>
      <c r="S6935" s="12" t="s">
        <v>8457</v>
      </c>
      <c r="T6935" s="22">
        <f t="shared" si="588"/>
        <v>6</v>
      </c>
      <c r="U6935" s="22">
        <f t="shared" si="589"/>
        <v>2023</v>
      </c>
      <c r="V6935" s="22" t="str">
        <f t="shared" si="590"/>
        <v>METROPOLITANA</v>
      </c>
    </row>
    <row r="6936" spans="1:22" x14ac:dyDescent="0.2">
      <c r="A6936" s="11" t="s">
        <v>8456</v>
      </c>
      <c r="B6936" s="12" t="s">
        <v>18</v>
      </c>
      <c r="C6936" s="12" t="s">
        <v>160</v>
      </c>
      <c r="D6936" s="12" t="s">
        <v>5478</v>
      </c>
      <c r="E6936" s="13">
        <v>122975819</v>
      </c>
      <c r="F6936" s="12" t="s">
        <v>2055</v>
      </c>
      <c r="G6936" s="14">
        <v>23705.939999999981</v>
      </c>
      <c r="H6936" s="12" t="s">
        <v>24</v>
      </c>
      <c r="I6936" s="12">
        <v>1</v>
      </c>
      <c r="J6936" s="12" t="s">
        <v>2055</v>
      </c>
      <c r="K6936" s="12" t="s">
        <v>86</v>
      </c>
      <c r="L6936" s="12">
        <v>0</v>
      </c>
      <c r="M6936" s="15">
        <v>352000</v>
      </c>
      <c r="N6936" s="15">
        <v>0</v>
      </c>
      <c r="O6936" s="15">
        <f t="shared" si="587"/>
        <v>352000</v>
      </c>
      <c r="P6936" s="15">
        <f t="shared" si="586"/>
        <v>14.84859912747608</v>
      </c>
      <c r="Q6936" s="14">
        <v>14000</v>
      </c>
      <c r="R6936" s="12">
        <v>100</v>
      </c>
      <c r="S6936" s="12" t="s">
        <v>8458</v>
      </c>
      <c r="T6936" s="22">
        <f t="shared" si="588"/>
        <v>6</v>
      </c>
      <c r="U6936" s="22">
        <f t="shared" si="589"/>
        <v>2023</v>
      </c>
      <c r="V6936" s="22" t="str">
        <f t="shared" si="590"/>
        <v>REGIONES</v>
      </c>
    </row>
    <row r="6937" spans="1:22" x14ac:dyDescent="0.2">
      <c r="A6937" s="11" t="s">
        <v>8456</v>
      </c>
      <c r="B6937" s="12" t="s">
        <v>18</v>
      </c>
      <c r="C6937" s="12" t="s">
        <v>8229</v>
      </c>
      <c r="D6937" s="12" t="s">
        <v>41</v>
      </c>
      <c r="E6937" s="13">
        <v>125108660</v>
      </c>
      <c r="F6937" s="12" t="s">
        <v>26</v>
      </c>
      <c r="G6937" s="14">
        <v>5527</v>
      </c>
      <c r="H6937" s="12" t="s">
        <v>43</v>
      </c>
      <c r="I6937" s="12">
        <v>0</v>
      </c>
      <c r="J6937" s="12" t="s">
        <v>26</v>
      </c>
      <c r="K6937" s="12" t="s">
        <v>23</v>
      </c>
      <c r="L6937" s="12">
        <v>4</v>
      </c>
      <c r="M6937" s="15">
        <v>60797</v>
      </c>
      <c r="N6937" s="15">
        <v>0</v>
      </c>
      <c r="O6937" s="15">
        <f t="shared" si="587"/>
        <v>60797</v>
      </c>
      <c r="P6937" s="15">
        <f t="shared" si="586"/>
        <v>11</v>
      </c>
      <c r="Q6937" s="14">
        <v>5000</v>
      </c>
      <c r="R6937" s="12">
        <v>100</v>
      </c>
      <c r="S6937" s="12" t="s">
        <v>8459</v>
      </c>
      <c r="T6937" s="22">
        <f t="shared" si="588"/>
        <v>6</v>
      </c>
      <c r="U6937" s="22">
        <f t="shared" si="589"/>
        <v>2023</v>
      </c>
      <c r="V6937" s="22" t="str">
        <f t="shared" si="590"/>
        <v>METROPOLITANA</v>
      </c>
    </row>
    <row r="6938" spans="1:22" x14ac:dyDescent="0.2">
      <c r="A6938" s="11" t="s">
        <v>8456</v>
      </c>
      <c r="B6938" s="12" t="s">
        <v>33</v>
      </c>
      <c r="C6938" s="12" t="s">
        <v>128</v>
      </c>
      <c r="D6938" s="12" t="s">
        <v>164</v>
      </c>
      <c r="E6938" s="13">
        <v>154837728</v>
      </c>
      <c r="F6938" s="12" t="s">
        <v>129</v>
      </c>
      <c r="G6938" s="14">
        <v>14601.099999999989</v>
      </c>
      <c r="H6938" s="12" t="s">
        <v>22</v>
      </c>
      <c r="I6938" s="12">
        <v>1</v>
      </c>
      <c r="J6938" s="12" t="s">
        <v>129</v>
      </c>
      <c r="K6938" s="12" t="s">
        <v>23</v>
      </c>
      <c r="L6938" s="12">
        <v>1</v>
      </c>
      <c r="M6938" s="15">
        <v>160612</v>
      </c>
      <c r="N6938" s="15">
        <v>0</v>
      </c>
      <c r="O6938" s="15">
        <f t="shared" si="587"/>
        <v>160612</v>
      </c>
      <c r="P6938" s="15">
        <f t="shared" si="586"/>
        <v>10.999993151200945</v>
      </c>
      <c r="Q6938" s="14">
        <v>5000</v>
      </c>
      <c r="R6938" s="12">
        <v>100</v>
      </c>
      <c r="S6938" s="12" t="s">
        <v>8460</v>
      </c>
      <c r="T6938" s="22">
        <f t="shared" si="588"/>
        <v>6</v>
      </c>
      <c r="U6938" s="22">
        <f t="shared" si="589"/>
        <v>2023</v>
      </c>
      <c r="V6938" s="22" t="str">
        <f t="shared" si="590"/>
        <v>METROPOLITANA</v>
      </c>
    </row>
    <row r="6939" spans="1:22" x14ac:dyDescent="0.2">
      <c r="A6939" s="11" t="s">
        <v>8456</v>
      </c>
      <c r="B6939" s="12" t="s">
        <v>33</v>
      </c>
      <c r="C6939" s="12" t="s">
        <v>36</v>
      </c>
      <c r="D6939" s="12" t="s">
        <v>2955</v>
      </c>
      <c r="E6939" s="13">
        <v>138841065</v>
      </c>
      <c r="F6939" s="12" t="s">
        <v>8461</v>
      </c>
      <c r="G6939" s="14">
        <v>13507.2</v>
      </c>
      <c r="H6939" s="12" t="s">
        <v>24</v>
      </c>
      <c r="I6939" s="12">
        <v>1</v>
      </c>
      <c r="J6939" s="12" t="s">
        <v>8461</v>
      </c>
      <c r="K6939" s="12" t="s">
        <v>78</v>
      </c>
      <c r="L6939" s="12">
        <v>0</v>
      </c>
      <c r="M6939" s="15">
        <v>315000</v>
      </c>
      <c r="N6939" s="15">
        <v>0</v>
      </c>
      <c r="O6939" s="15">
        <f t="shared" si="587"/>
        <v>315000</v>
      </c>
      <c r="P6939" s="15">
        <f t="shared" si="586"/>
        <v>23.32089552238806</v>
      </c>
      <c r="Q6939" s="14">
        <v>14000</v>
      </c>
      <c r="R6939" s="12">
        <v>96</v>
      </c>
      <c r="S6939" s="12" t="s">
        <v>8462</v>
      </c>
      <c r="T6939" s="22">
        <f t="shared" si="588"/>
        <v>6</v>
      </c>
      <c r="U6939" s="22">
        <f t="shared" si="589"/>
        <v>2023</v>
      </c>
      <c r="V6939" s="22" t="str">
        <f t="shared" si="590"/>
        <v>REGIONES</v>
      </c>
    </row>
    <row r="6940" spans="1:22" x14ac:dyDescent="0.2">
      <c r="A6940" s="11" t="s">
        <v>8456</v>
      </c>
      <c r="B6940" s="12" t="s">
        <v>33</v>
      </c>
      <c r="C6940" s="12" t="s">
        <v>2605</v>
      </c>
      <c r="D6940" s="12" t="s">
        <v>786</v>
      </c>
      <c r="E6940" s="13">
        <v>95707734</v>
      </c>
      <c r="F6940" s="12" t="s">
        <v>129</v>
      </c>
      <c r="G6940" s="14">
        <v>19510.400000000001</v>
      </c>
      <c r="H6940" s="12" t="s">
        <v>788</v>
      </c>
      <c r="I6940" s="12">
        <v>1</v>
      </c>
      <c r="J6940" s="12" t="s">
        <v>129</v>
      </c>
      <c r="K6940" s="12" t="s">
        <v>23</v>
      </c>
      <c r="L6940" s="12">
        <v>1</v>
      </c>
      <c r="M6940" s="15">
        <v>214614</v>
      </c>
      <c r="N6940" s="15">
        <v>0</v>
      </c>
      <c r="O6940" s="15">
        <f t="shared" si="587"/>
        <v>214614</v>
      </c>
      <c r="P6940" s="15">
        <f t="shared" si="586"/>
        <v>10.999979498113825</v>
      </c>
      <c r="Q6940" s="14">
        <v>5000</v>
      </c>
      <c r="R6940" s="12">
        <v>100</v>
      </c>
      <c r="S6940" s="12" t="s">
        <v>8463</v>
      </c>
      <c r="T6940" s="22">
        <f t="shared" si="588"/>
        <v>6</v>
      </c>
      <c r="U6940" s="22">
        <f t="shared" si="589"/>
        <v>2023</v>
      </c>
      <c r="V6940" s="22" t="str">
        <f t="shared" si="590"/>
        <v>METROPOLITANA</v>
      </c>
    </row>
    <row r="6941" spans="1:22" x14ac:dyDescent="0.2">
      <c r="A6941" s="11" t="s">
        <v>8456</v>
      </c>
      <c r="B6941" s="12" t="s">
        <v>33</v>
      </c>
      <c r="C6941" s="12" t="s">
        <v>2605</v>
      </c>
      <c r="D6941" s="12" t="s">
        <v>35</v>
      </c>
      <c r="E6941" s="13">
        <v>99626232</v>
      </c>
      <c r="F6941" s="12" t="s">
        <v>129</v>
      </c>
      <c r="G6941" s="14">
        <v>4612.8</v>
      </c>
      <c r="H6941" s="12" t="s">
        <v>22</v>
      </c>
      <c r="I6941" s="12">
        <v>0</v>
      </c>
      <c r="J6941" s="12" t="s">
        <v>129</v>
      </c>
      <c r="K6941" s="12" t="s">
        <v>23</v>
      </c>
      <c r="L6941" s="12">
        <v>1</v>
      </c>
      <c r="M6941" s="15">
        <v>69173</v>
      </c>
      <c r="N6941" s="15">
        <v>0</v>
      </c>
      <c r="O6941" s="15">
        <f t="shared" si="587"/>
        <v>69173</v>
      </c>
      <c r="P6941" s="15">
        <f t="shared" ref="P6941:P7004" si="591">O6941/G6941</f>
        <v>14.99588102670829</v>
      </c>
      <c r="Q6941" s="14">
        <v>5000</v>
      </c>
      <c r="R6941" s="12">
        <v>92</v>
      </c>
      <c r="S6941" s="12" t="s">
        <v>8464</v>
      </c>
      <c r="T6941" s="22">
        <f t="shared" si="588"/>
        <v>6</v>
      </c>
      <c r="U6941" s="22">
        <f t="shared" si="589"/>
        <v>2023</v>
      </c>
      <c r="V6941" s="22" t="str">
        <f t="shared" si="590"/>
        <v>METROPOLITANA</v>
      </c>
    </row>
    <row r="6942" spans="1:22" x14ac:dyDescent="0.2">
      <c r="A6942" s="11" t="s">
        <v>8456</v>
      </c>
      <c r="B6942" s="12" t="s">
        <v>33</v>
      </c>
      <c r="C6942" s="12" t="s">
        <v>223</v>
      </c>
      <c r="D6942" s="12" t="s">
        <v>38</v>
      </c>
      <c r="E6942" s="13">
        <v>53173292</v>
      </c>
      <c r="F6942" s="12" t="s">
        <v>51</v>
      </c>
      <c r="G6942" s="14">
        <v>6753.5999999999995</v>
      </c>
      <c r="H6942" s="12" t="s">
        <v>43</v>
      </c>
      <c r="I6942" s="12">
        <v>0</v>
      </c>
      <c r="J6942" s="12" t="s">
        <v>51</v>
      </c>
      <c r="K6942" s="12" t="s">
        <v>23</v>
      </c>
      <c r="L6942" s="12">
        <v>4</v>
      </c>
      <c r="M6942" s="15">
        <v>74290</v>
      </c>
      <c r="N6942" s="15">
        <v>0</v>
      </c>
      <c r="O6942" s="15">
        <f t="shared" si="587"/>
        <v>74290</v>
      </c>
      <c r="P6942" s="15">
        <f t="shared" si="591"/>
        <v>11.000059227671169</v>
      </c>
      <c r="Q6942" s="14">
        <v>5000</v>
      </c>
      <c r="R6942" s="12">
        <v>100</v>
      </c>
      <c r="S6942" s="12" t="s">
        <v>8465</v>
      </c>
      <c r="T6942" s="22">
        <f t="shared" si="588"/>
        <v>6</v>
      </c>
      <c r="U6942" s="22">
        <f t="shared" si="589"/>
        <v>2023</v>
      </c>
      <c r="V6942" s="22" t="str">
        <f t="shared" si="590"/>
        <v>METROPOLITANA</v>
      </c>
    </row>
    <row r="6943" spans="1:22" x14ac:dyDescent="0.2">
      <c r="A6943" s="11" t="s">
        <v>8456</v>
      </c>
      <c r="B6943" s="12" t="s">
        <v>33</v>
      </c>
      <c r="C6943" s="12" t="s">
        <v>8229</v>
      </c>
      <c r="D6943" s="12" t="s">
        <v>41</v>
      </c>
      <c r="E6943" s="13">
        <v>125108660</v>
      </c>
      <c r="F6943" s="12" t="s">
        <v>26</v>
      </c>
      <c r="G6943" s="14">
        <v>14784.499999999991</v>
      </c>
      <c r="H6943" s="12" t="s">
        <v>43</v>
      </c>
      <c r="I6943" s="12">
        <v>0</v>
      </c>
      <c r="J6943" s="12" t="s">
        <v>26</v>
      </c>
      <c r="K6943" s="12" t="s">
        <v>23</v>
      </c>
      <c r="L6943" s="12">
        <v>4</v>
      </c>
      <c r="M6943" s="15">
        <v>162629</v>
      </c>
      <c r="N6943" s="15">
        <v>0</v>
      </c>
      <c r="O6943" s="15">
        <f t="shared" si="587"/>
        <v>162629</v>
      </c>
      <c r="P6943" s="15">
        <f t="shared" si="591"/>
        <v>10.999966180797463</v>
      </c>
      <c r="Q6943" s="14">
        <v>5000</v>
      </c>
      <c r="R6943" s="12">
        <v>100</v>
      </c>
      <c r="S6943" s="12" t="s">
        <v>8466</v>
      </c>
      <c r="T6943" s="22">
        <f t="shared" si="588"/>
        <v>6</v>
      </c>
      <c r="U6943" s="22">
        <f t="shared" si="589"/>
        <v>2023</v>
      </c>
      <c r="V6943" s="22" t="str">
        <f t="shared" si="590"/>
        <v>METROPOLITANA</v>
      </c>
    </row>
    <row r="6944" spans="1:22" x14ac:dyDescent="0.2">
      <c r="A6944" s="11" t="s">
        <v>8456</v>
      </c>
      <c r="B6944" s="12" t="s">
        <v>33</v>
      </c>
      <c r="C6944" s="12" t="s">
        <v>29</v>
      </c>
      <c r="D6944" s="12" t="s">
        <v>4361</v>
      </c>
      <c r="E6944" s="13">
        <v>200217330</v>
      </c>
      <c r="F6944" s="12" t="s">
        <v>114</v>
      </c>
      <c r="G6944" s="14">
        <v>8874.0000000000073</v>
      </c>
      <c r="H6944" s="12" t="s">
        <v>85</v>
      </c>
      <c r="I6944" s="12">
        <v>1</v>
      </c>
      <c r="J6944" s="12" t="s">
        <v>114</v>
      </c>
      <c r="K6944" s="12" t="s">
        <v>75</v>
      </c>
      <c r="L6944" s="12">
        <v>0</v>
      </c>
      <c r="M6944" s="15">
        <v>528000</v>
      </c>
      <c r="N6944" s="15">
        <v>0</v>
      </c>
      <c r="O6944" s="15">
        <f t="shared" si="587"/>
        <v>528000</v>
      </c>
      <c r="P6944" s="15">
        <f t="shared" si="591"/>
        <v>59.499661933738963</v>
      </c>
      <c r="Q6944" s="14">
        <v>14000</v>
      </c>
      <c r="R6944" s="12">
        <v>63</v>
      </c>
      <c r="S6944" s="12" t="s">
        <v>8467</v>
      </c>
      <c r="T6944" s="22">
        <f t="shared" si="588"/>
        <v>6</v>
      </c>
      <c r="U6944" s="22">
        <f t="shared" si="589"/>
        <v>2023</v>
      </c>
      <c r="V6944" s="22" t="str">
        <f t="shared" si="590"/>
        <v>REGIONES</v>
      </c>
    </row>
    <row r="6945" spans="1:22" x14ac:dyDescent="0.2">
      <c r="A6945" s="11" t="s">
        <v>8456</v>
      </c>
      <c r="B6945" s="12" t="s">
        <v>33</v>
      </c>
      <c r="C6945" s="12" t="s">
        <v>29</v>
      </c>
      <c r="D6945" s="12" t="s">
        <v>35</v>
      </c>
      <c r="E6945" s="13">
        <v>99626232</v>
      </c>
      <c r="F6945" s="12" t="s">
        <v>173</v>
      </c>
      <c r="G6945" s="14">
        <v>4156.0300000000016</v>
      </c>
      <c r="H6945" s="12" t="s">
        <v>22</v>
      </c>
      <c r="I6945" s="12">
        <v>0</v>
      </c>
      <c r="J6945" s="12" t="s">
        <v>173</v>
      </c>
      <c r="K6945" s="12" t="s">
        <v>23</v>
      </c>
      <c r="L6945" s="12">
        <v>5</v>
      </c>
      <c r="M6945" s="15">
        <v>112500</v>
      </c>
      <c r="N6945" s="15">
        <v>0</v>
      </c>
      <c r="O6945" s="15">
        <f t="shared" si="587"/>
        <v>112500</v>
      </c>
      <c r="P6945" s="15">
        <f t="shared" si="591"/>
        <v>27.069102003594768</v>
      </c>
      <c r="Q6945" s="14">
        <v>10000</v>
      </c>
      <c r="R6945" s="12">
        <v>42</v>
      </c>
      <c r="S6945" s="12" t="s">
        <v>8468</v>
      </c>
      <c r="T6945" s="22">
        <f t="shared" si="588"/>
        <v>6</v>
      </c>
      <c r="U6945" s="22">
        <f t="shared" si="589"/>
        <v>2023</v>
      </c>
      <c r="V6945" s="22" t="str">
        <f t="shared" si="590"/>
        <v>METROPOLITANA</v>
      </c>
    </row>
    <row r="6946" spans="1:22" x14ac:dyDescent="0.2">
      <c r="A6946" s="11" t="s">
        <v>8456</v>
      </c>
      <c r="B6946" s="12" t="s">
        <v>33</v>
      </c>
      <c r="C6946" s="12" t="s">
        <v>29</v>
      </c>
      <c r="D6946" s="12" t="s">
        <v>8219</v>
      </c>
      <c r="E6946" s="13">
        <v>73835526</v>
      </c>
      <c r="F6946" s="12" t="s">
        <v>134</v>
      </c>
      <c r="G6946" s="14">
        <v>5736.5200000000013</v>
      </c>
      <c r="H6946" s="12" t="s">
        <v>24</v>
      </c>
      <c r="I6946" s="12">
        <v>1</v>
      </c>
      <c r="J6946" s="12" t="s">
        <v>134</v>
      </c>
      <c r="K6946" s="12" t="s">
        <v>23</v>
      </c>
      <c r="L6946" s="12">
        <v>2</v>
      </c>
      <c r="M6946" s="15">
        <v>63102</v>
      </c>
      <c r="N6946" s="15">
        <v>0</v>
      </c>
      <c r="O6946" s="15">
        <f t="shared" si="587"/>
        <v>63102</v>
      </c>
      <c r="P6946" s="15">
        <f t="shared" si="591"/>
        <v>11.000048810079976</v>
      </c>
      <c r="Q6946" s="14">
        <v>5000</v>
      </c>
      <c r="R6946" s="12">
        <v>100</v>
      </c>
      <c r="S6946" s="12" t="s">
        <v>8469</v>
      </c>
      <c r="T6946" s="22">
        <f t="shared" si="588"/>
        <v>6</v>
      </c>
      <c r="U6946" s="22">
        <f t="shared" si="589"/>
        <v>2023</v>
      </c>
      <c r="V6946" s="22" t="str">
        <f t="shared" si="590"/>
        <v>METROPOLITANA</v>
      </c>
    </row>
    <row r="6947" spans="1:22" x14ac:dyDescent="0.2">
      <c r="A6947" s="11" t="s">
        <v>8456</v>
      </c>
      <c r="B6947" s="12" t="s">
        <v>33</v>
      </c>
      <c r="C6947" s="12" t="s">
        <v>29</v>
      </c>
      <c r="D6947" s="12" t="s">
        <v>164</v>
      </c>
      <c r="E6947" s="13">
        <v>154837728</v>
      </c>
      <c r="F6947" s="12" t="s">
        <v>39</v>
      </c>
      <c r="G6947" s="14">
        <v>18802.79</v>
      </c>
      <c r="H6947" s="12" t="s">
        <v>22</v>
      </c>
      <c r="I6947" s="12">
        <v>1</v>
      </c>
      <c r="J6947" s="12" t="s">
        <v>39</v>
      </c>
      <c r="K6947" s="12" t="s">
        <v>23</v>
      </c>
      <c r="L6947" s="12">
        <v>1</v>
      </c>
      <c r="M6947" s="15">
        <v>206831</v>
      </c>
      <c r="N6947" s="15">
        <v>0</v>
      </c>
      <c r="O6947" s="15">
        <f t="shared" si="587"/>
        <v>206831</v>
      </c>
      <c r="P6947" s="15">
        <f t="shared" si="591"/>
        <v>11.000016486914973</v>
      </c>
      <c r="Q6947" s="14">
        <v>5000</v>
      </c>
      <c r="R6947" s="12">
        <v>100</v>
      </c>
      <c r="S6947" s="12" t="s">
        <v>8470</v>
      </c>
      <c r="T6947" s="22">
        <f t="shared" si="588"/>
        <v>6</v>
      </c>
      <c r="U6947" s="22">
        <f t="shared" si="589"/>
        <v>2023</v>
      </c>
      <c r="V6947" s="22" t="str">
        <f t="shared" si="590"/>
        <v>METROPOLITANA</v>
      </c>
    </row>
    <row r="6948" spans="1:22" x14ac:dyDescent="0.2">
      <c r="A6948" s="11" t="s">
        <v>8456</v>
      </c>
      <c r="B6948" s="12" t="s">
        <v>33</v>
      </c>
      <c r="C6948" s="12" t="s">
        <v>44</v>
      </c>
      <c r="D6948" s="12" t="s">
        <v>20</v>
      </c>
      <c r="E6948" s="13">
        <v>78907355</v>
      </c>
      <c r="F6948" s="12" t="s">
        <v>48</v>
      </c>
      <c r="G6948" s="14">
        <v>2684.9</v>
      </c>
      <c r="H6948" s="12" t="s">
        <v>22</v>
      </c>
      <c r="I6948" s="12">
        <v>0</v>
      </c>
      <c r="J6948" s="12" t="s">
        <v>48</v>
      </c>
      <c r="K6948" s="12" t="s">
        <v>23</v>
      </c>
      <c r="L6948" s="12">
        <v>1</v>
      </c>
      <c r="M6948" s="15">
        <v>69173</v>
      </c>
      <c r="N6948" s="15">
        <v>0</v>
      </c>
      <c r="O6948" s="15">
        <f t="shared" si="587"/>
        <v>69173</v>
      </c>
      <c r="P6948" s="15">
        <f t="shared" si="591"/>
        <v>25.763715594621772</v>
      </c>
      <c r="Q6948" s="14">
        <v>5000</v>
      </c>
      <c r="R6948" s="12">
        <v>54</v>
      </c>
      <c r="S6948" s="12" t="s">
        <v>8471</v>
      </c>
      <c r="T6948" s="22">
        <f t="shared" si="588"/>
        <v>6</v>
      </c>
      <c r="U6948" s="22">
        <f t="shared" si="589"/>
        <v>2023</v>
      </c>
      <c r="V6948" s="22" t="str">
        <f t="shared" si="590"/>
        <v>METROPOLITANA</v>
      </c>
    </row>
    <row r="6949" spans="1:22" x14ac:dyDescent="0.2">
      <c r="A6949" s="11" t="s">
        <v>8456</v>
      </c>
      <c r="B6949" s="12" t="s">
        <v>33</v>
      </c>
      <c r="C6949" s="12" t="s">
        <v>1163</v>
      </c>
      <c r="D6949" s="12" t="s">
        <v>20</v>
      </c>
      <c r="E6949" s="13">
        <v>78907355</v>
      </c>
      <c r="F6949" s="12" t="s">
        <v>165</v>
      </c>
      <c r="G6949" s="14">
        <v>9150</v>
      </c>
      <c r="H6949" s="12" t="s">
        <v>22</v>
      </c>
      <c r="I6949" s="12">
        <v>0</v>
      </c>
      <c r="J6949" s="12" t="s">
        <v>165</v>
      </c>
      <c r="K6949" s="12" t="s">
        <v>23</v>
      </c>
      <c r="L6949" s="12">
        <v>4</v>
      </c>
      <c r="M6949" s="15">
        <v>100650</v>
      </c>
      <c r="N6949" s="15">
        <v>0</v>
      </c>
      <c r="O6949" s="15">
        <f t="shared" si="587"/>
        <v>100650</v>
      </c>
      <c r="P6949" s="15">
        <f t="shared" si="591"/>
        <v>11</v>
      </c>
      <c r="Q6949" s="14">
        <v>5000</v>
      </c>
      <c r="R6949" s="12">
        <v>100</v>
      </c>
      <c r="S6949" s="12" t="s">
        <v>8472</v>
      </c>
      <c r="T6949" s="22">
        <f t="shared" si="588"/>
        <v>6</v>
      </c>
      <c r="U6949" s="22">
        <f t="shared" si="589"/>
        <v>2023</v>
      </c>
      <c r="V6949" s="22" t="str">
        <f t="shared" si="590"/>
        <v>METROPOLITANA</v>
      </c>
    </row>
    <row r="6950" spans="1:22" x14ac:dyDescent="0.2">
      <c r="A6950" s="23" t="s">
        <v>8473</v>
      </c>
      <c r="B6950" s="22" t="s">
        <v>18</v>
      </c>
      <c r="C6950" s="22" t="s">
        <v>57</v>
      </c>
      <c r="D6950" s="22" t="s">
        <v>20</v>
      </c>
      <c r="E6950" s="24">
        <v>78907355</v>
      </c>
      <c r="F6950" s="22" t="s">
        <v>51</v>
      </c>
      <c r="G6950" s="25">
        <v>2668.8900000000008</v>
      </c>
      <c r="H6950" s="22" t="s">
        <v>22</v>
      </c>
      <c r="I6950" s="22">
        <v>0</v>
      </c>
      <c r="J6950" s="22" t="s">
        <v>51</v>
      </c>
      <c r="K6950" s="22" t="s">
        <v>23</v>
      </c>
      <c r="L6950" s="22">
        <v>4</v>
      </c>
      <c r="M6950" s="26">
        <v>69173</v>
      </c>
      <c r="N6950" s="26">
        <v>0</v>
      </c>
      <c r="O6950" s="15">
        <f t="shared" si="587"/>
        <v>69173</v>
      </c>
      <c r="P6950" s="15">
        <f t="shared" si="591"/>
        <v>25.918265646017627</v>
      </c>
      <c r="Q6950" s="25">
        <v>5000</v>
      </c>
      <c r="R6950" s="22">
        <v>53</v>
      </c>
      <c r="S6950" s="22" t="s">
        <v>8474</v>
      </c>
      <c r="T6950" s="22">
        <f t="shared" si="588"/>
        <v>6</v>
      </c>
      <c r="U6950" s="22">
        <f t="shared" si="589"/>
        <v>2023</v>
      </c>
      <c r="V6950" s="22" t="str">
        <f t="shared" si="590"/>
        <v>METROPOLITANA</v>
      </c>
    </row>
    <row r="6951" spans="1:22" x14ac:dyDescent="0.2">
      <c r="A6951" s="23" t="s">
        <v>8473</v>
      </c>
      <c r="B6951" s="22" t="s">
        <v>18</v>
      </c>
      <c r="C6951" s="22" t="s">
        <v>19</v>
      </c>
      <c r="D6951" s="22" t="s">
        <v>5478</v>
      </c>
      <c r="E6951" s="24">
        <v>122975819</v>
      </c>
      <c r="F6951" s="22" t="s">
        <v>84</v>
      </c>
      <c r="G6951" s="25">
        <v>20589.84</v>
      </c>
      <c r="H6951" s="22" t="s">
        <v>24</v>
      </c>
      <c r="I6951" s="22">
        <v>1</v>
      </c>
      <c r="J6951" s="22" t="s">
        <v>84</v>
      </c>
      <c r="K6951" s="22" t="s">
        <v>86</v>
      </c>
      <c r="L6951" s="22">
        <v>0</v>
      </c>
      <c r="M6951" s="26">
        <v>402000</v>
      </c>
      <c r="N6951" s="26">
        <v>0</v>
      </c>
      <c r="O6951" s="15">
        <f t="shared" si="587"/>
        <v>402000</v>
      </c>
      <c r="P6951" s="15">
        <f t="shared" si="591"/>
        <v>19.524192514366309</v>
      </c>
      <c r="Q6951" s="25">
        <v>14000</v>
      </c>
      <c r="R6951" s="22">
        <v>100</v>
      </c>
      <c r="S6951" s="22" t="s">
        <v>8475</v>
      </c>
      <c r="T6951" s="22">
        <f t="shared" si="588"/>
        <v>6</v>
      </c>
      <c r="U6951" s="22">
        <f t="shared" si="589"/>
        <v>2023</v>
      </c>
      <c r="V6951" s="22" t="str">
        <f t="shared" si="590"/>
        <v>REGIONES</v>
      </c>
    </row>
    <row r="6952" spans="1:22" x14ac:dyDescent="0.2">
      <c r="A6952" s="23" t="s">
        <v>8473</v>
      </c>
      <c r="B6952" s="22" t="s">
        <v>33</v>
      </c>
      <c r="C6952" s="22" t="s">
        <v>60</v>
      </c>
      <c r="D6952" s="22" t="s">
        <v>38</v>
      </c>
      <c r="E6952" s="24">
        <v>12510860</v>
      </c>
      <c r="F6952" s="22" t="s">
        <v>51</v>
      </c>
      <c r="G6952" s="25">
        <v>14170.000000000009</v>
      </c>
      <c r="H6952" s="22" t="s">
        <v>43</v>
      </c>
      <c r="I6952" s="22">
        <v>0</v>
      </c>
      <c r="J6952" s="22" t="s">
        <v>51</v>
      </c>
      <c r="K6952" s="22" t="s">
        <v>23</v>
      </c>
      <c r="L6952" s="22">
        <v>4</v>
      </c>
      <c r="M6952" s="26">
        <v>155870</v>
      </c>
      <c r="N6952" s="26">
        <v>0</v>
      </c>
      <c r="O6952" s="15">
        <f t="shared" si="587"/>
        <v>155870</v>
      </c>
      <c r="P6952" s="15">
        <f t="shared" si="591"/>
        <v>10.999999999999993</v>
      </c>
      <c r="Q6952" s="25">
        <v>5000</v>
      </c>
      <c r="R6952" s="22">
        <v>100</v>
      </c>
      <c r="S6952" s="22" t="s">
        <v>8476</v>
      </c>
      <c r="T6952" s="22">
        <f t="shared" si="588"/>
        <v>6</v>
      </c>
      <c r="U6952" s="22">
        <f t="shared" si="589"/>
        <v>2023</v>
      </c>
      <c r="V6952" s="22" t="str">
        <f t="shared" si="590"/>
        <v>METROPOLITANA</v>
      </c>
    </row>
    <row r="6953" spans="1:22" x14ac:dyDescent="0.2">
      <c r="A6953" s="23" t="s">
        <v>8473</v>
      </c>
      <c r="B6953" s="22" t="s">
        <v>33</v>
      </c>
      <c r="C6953" s="22" t="s">
        <v>60</v>
      </c>
      <c r="D6953" s="22" t="s">
        <v>41</v>
      </c>
      <c r="E6953" s="24">
        <v>125108660</v>
      </c>
      <c r="F6953" s="22" t="s">
        <v>120</v>
      </c>
      <c r="G6953" s="25">
        <v>10778</v>
      </c>
      <c r="H6953" s="22" t="s">
        <v>43</v>
      </c>
      <c r="I6953" s="22">
        <v>0</v>
      </c>
      <c r="J6953" s="22" t="s">
        <v>120</v>
      </c>
      <c r="K6953" s="22" t="s">
        <v>23</v>
      </c>
      <c r="L6953" s="22">
        <v>5</v>
      </c>
      <c r="M6953" s="26">
        <v>112500</v>
      </c>
      <c r="N6953" s="26">
        <v>0</v>
      </c>
      <c r="O6953" s="15">
        <f t="shared" si="587"/>
        <v>112500</v>
      </c>
      <c r="P6953" s="15">
        <f t="shared" si="591"/>
        <v>10.437929114863611</v>
      </c>
      <c r="Q6953" s="25">
        <v>10000</v>
      </c>
      <c r="R6953" s="22">
        <v>100</v>
      </c>
      <c r="S6953" s="22" t="s">
        <v>8477</v>
      </c>
      <c r="T6953" s="22">
        <f t="shared" si="588"/>
        <v>6</v>
      </c>
      <c r="U6953" s="22">
        <f t="shared" si="589"/>
        <v>2023</v>
      </c>
      <c r="V6953" s="22" t="str">
        <f t="shared" si="590"/>
        <v>METROPOLITANA</v>
      </c>
    </row>
    <row r="6954" spans="1:22" x14ac:dyDescent="0.2">
      <c r="A6954" s="23" t="s">
        <v>8473</v>
      </c>
      <c r="B6954" s="22" t="s">
        <v>33</v>
      </c>
      <c r="C6954" s="22" t="s">
        <v>57</v>
      </c>
      <c r="D6954" s="22" t="s">
        <v>20</v>
      </c>
      <c r="E6954" s="24">
        <v>78907355</v>
      </c>
      <c r="F6954" s="22" t="s">
        <v>26</v>
      </c>
      <c r="G6954" s="25">
        <v>2187.87</v>
      </c>
      <c r="H6954" s="22" t="s">
        <v>22</v>
      </c>
      <c r="I6954" s="22">
        <v>0</v>
      </c>
      <c r="J6954" s="22" t="s">
        <v>26</v>
      </c>
      <c r="K6954" s="22" t="s">
        <v>23</v>
      </c>
      <c r="L6954" s="22">
        <v>4</v>
      </c>
      <c r="M6954" s="26">
        <v>69173</v>
      </c>
      <c r="N6954" s="26">
        <v>0</v>
      </c>
      <c r="O6954" s="15">
        <f t="shared" si="587"/>
        <v>69173</v>
      </c>
      <c r="P6954" s="15">
        <f t="shared" si="591"/>
        <v>31.616595135908444</v>
      </c>
      <c r="Q6954" s="25">
        <v>5000</v>
      </c>
      <c r="R6954" s="22">
        <v>44</v>
      </c>
      <c r="S6954" s="22" t="s">
        <v>8478</v>
      </c>
      <c r="T6954" s="22">
        <f t="shared" si="588"/>
        <v>6</v>
      </c>
      <c r="U6954" s="22">
        <f t="shared" si="589"/>
        <v>2023</v>
      </c>
      <c r="V6954" s="22" t="str">
        <f t="shared" si="590"/>
        <v>METROPOLITANA</v>
      </c>
    </row>
    <row r="6955" spans="1:22" x14ac:dyDescent="0.2">
      <c r="A6955" s="23" t="s">
        <v>8473</v>
      </c>
      <c r="B6955" s="22" t="s">
        <v>33</v>
      </c>
      <c r="C6955" s="22" t="s">
        <v>223</v>
      </c>
      <c r="D6955" s="22" t="s">
        <v>8479</v>
      </c>
      <c r="E6955" s="24">
        <v>95707734</v>
      </c>
      <c r="F6955" s="22" t="s">
        <v>51</v>
      </c>
      <c r="G6955" s="25">
        <v>16272.8</v>
      </c>
      <c r="H6955" s="22" t="s">
        <v>24</v>
      </c>
      <c r="I6955" s="22">
        <v>1</v>
      </c>
      <c r="J6955" s="22" t="s">
        <v>51</v>
      </c>
      <c r="K6955" s="22" t="s">
        <v>23</v>
      </c>
      <c r="L6955" s="22">
        <v>4</v>
      </c>
      <c r="M6955" s="26">
        <v>179001</v>
      </c>
      <c r="N6955" s="26">
        <v>0</v>
      </c>
      <c r="O6955" s="15">
        <f t="shared" si="587"/>
        <v>179001</v>
      </c>
      <c r="P6955" s="15">
        <f t="shared" si="591"/>
        <v>11.000012290447865</v>
      </c>
      <c r="Q6955" s="25">
        <v>5000</v>
      </c>
      <c r="R6955" s="22">
        <v>100</v>
      </c>
      <c r="S6955" s="22" t="s">
        <v>8480</v>
      </c>
      <c r="T6955" s="22">
        <f t="shared" si="588"/>
        <v>6</v>
      </c>
      <c r="U6955" s="22">
        <f t="shared" si="589"/>
        <v>2023</v>
      </c>
      <c r="V6955" s="22" t="str">
        <f t="shared" si="590"/>
        <v>METROPOLITANA</v>
      </c>
    </row>
    <row r="6956" spans="1:22" x14ac:dyDescent="0.2">
      <c r="A6956" s="23" t="s">
        <v>8473</v>
      </c>
      <c r="B6956" s="22" t="s">
        <v>33</v>
      </c>
      <c r="C6956" s="22" t="s">
        <v>223</v>
      </c>
      <c r="D6956" s="22" t="s">
        <v>7075</v>
      </c>
      <c r="E6956" s="24">
        <v>101495566</v>
      </c>
      <c r="F6956" s="22" t="s">
        <v>815</v>
      </c>
      <c r="G6956" s="25">
        <v>18760</v>
      </c>
      <c r="H6956" s="22" t="s">
        <v>24</v>
      </c>
      <c r="I6956" s="22">
        <v>1</v>
      </c>
      <c r="J6956" s="22" t="s">
        <v>815</v>
      </c>
      <c r="K6956" s="22" t="s">
        <v>75</v>
      </c>
      <c r="L6956" s="22">
        <v>0</v>
      </c>
      <c r="M6956" s="26">
        <v>528000</v>
      </c>
      <c r="N6956" s="26">
        <v>0</v>
      </c>
      <c r="O6956" s="15">
        <f t="shared" si="587"/>
        <v>528000</v>
      </c>
      <c r="P6956" s="15">
        <f t="shared" si="591"/>
        <v>28.14498933901919</v>
      </c>
      <c r="Q6956" s="25">
        <v>14000</v>
      </c>
      <c r="R6956" s="22">
        <v>100</v>
      </c>
      <c r="S6956" s="22" t="s">
        <v>8481</v>
      </c>
      <c r="T6956" s="22">
        <f t="shared" si="588"/>
        <v>6</v>
      </c>
      <c r="U6956" s="22">
        <f t="shared" si="589"/>
        <v>2023</v>
      </c>
      <c r="V6956" s="22" t="str">
        <f t="shared" si="590"/>
        <v>REGIONES</v>
      </c>
    </row>
    <row r="6957" spans="1:22" x14ac:dyDescent="0.2">
      <c r="A6957" s="23" t="s">
        <v>8473</v>
      </c>
      <c r="B6957" s="22" t="s">
        <v>33</v>
      </c>
      <c r="C6957" s="22" t="s">
        <v>223</v>
      </c>
      <c r="D6957" s="22" t="s">
        <v>41</v>
      </c>
      <c r="E6957" s="24">
        <v>125108660</v>
      </c>
      <c r="F6957" s="22" t="s">
        <v>51</v>
      </c>
      <c r="G6957" s="25">
        <v>5628</v>
      </c>
      <c r="H6957" s="22" t="s">
        <v>43</v>
      </c>
      <c r="I6957" s="22">
        <v>0</v>
      </c>
      <c r="J6957" s="22" t="s">
        <v>51</v>
      </c>
      <c r="K6957" s="22" t="s">
        <v>23</v>
      </c>
      <c r="L6957" s="22">
        <v>4</v>
      </c>
      <c r="M6957" s="26">
        <v>61908</v>
      </c>
      <c r="N6957" s="26">
        <v>0</v>
      </c>
      <c r="O6957" s="15">
        <f t="shared" si="587"/>
        <v>61908</v>
      </c>
      <c r="P6957" s="15">
        <f t="shared" si="591"/>
        <v>11</v>
      </c>
      <c r="Q6957" s="25">
        <v>5000</v>
      </c>
      <c r="R6957" s="22">
        <v>100</v>
      </c>
      <c r="S6957" s="22" t="s">
        <v>8482</v>
      </c>
      <c r="T6957" s="22">
        <f t="shared" si="588"/>
        <v>6</v>
      </c>
      <c r="U6957" s="22">
        <f t="shared" si="589"/>
        <v>2023</v>
      </c>
      <c r="V6957" s="22" t="str">
        <f t="shared" si="590"/>
        <v>METROPOLITANA</v>
      </c>
    </row>
    <row r="6958" spans="1:22" x14ac:dyDescent="0.2">
      <c r="A6958" s="23" t="s">
        <v>8473</v>
      </c>
      <c r="B6958" s="22" t="s">
        <v>33</v>
      </c>
      <c r="C6958" s="22" t="s">
        <v>29</v>
      </c>
      <c r="D6958" s="22" t="s">
        <v>38</v>
      </c>
      <c r="E6958" s="24">
        <v>53173292</v>
      </c>
      <c r="F6958" s="22" t="s">
        <v>39</v>
      </c>
      <c r="G6958" s="25">
        <v>8762.4</v>
      </c>
      <c r="H6958" s="22" t="s">
        <v>43</v>
      </c>
      <c r="I6958" s="22">
        <v>0</v>
      </c>
      <c r="J6958" s="22" t="s">
        <v>39</v>
      </c>
      <c r="K6958" s="22" t="s">
        <v>23</v>
      </c>
      <c r="L6958" s="22">
        <v>1</v>
      </c>
      <c r="M6958" s="26">
        <v>96386</v>
      </c>
      <c r="N6958" s="26">
        <v>0</v>
      </c>
      <c r="O6958" s="15">
        <f t="shared" si="587"/>
        <v>96386</v>
      </c>
      <c r="P6958" s="15">
        <f t="shared" si="591"/>
        <v>10.999954350406282</v>
      </c>
      <c r="Q6958" s="25">
        <v>5000</v>
      </c>
      <c r="R6958" s="22">
        <v>100</v>
      </c>
      <c r="S6958" s="22" t="s">
        <v>8483</v>
      </c>
      <c r="T6958" s="22">
        <f t="shared" si="588"/>
        <v>6</v>
      </c>
      <c r="U6958" s="22">
        <f t="shared" si="589"/>
        <v>2023</v>
      </c>
      <c r="V6958" s="22" t="str">
        <f t="shared" si="590"/>
        <v>METROPOLITANA</v>
      </c>
    </row>
    <row r="6959" spans="1:22" x14ac:dyDescent="0.2">
      <c r="A6959" s="23" t="s">
        <v>8473</v>
      </c>
      <c r="B6959" s="22" t="s">
        <v>33</v>
      </c>
      <c r="C6959" s="22" t="s">
        <v>29</v>
      </c>
      <c r="D6959" s="22" t="s">
        <v>164</v>
      </c>
      <c r="E6959" s="24">
        <v>154837728</v>
      </c>
      <c r="F6959" s="22" t="s">
        <v>39</v>
      </c>
      <c r="G6959" s="25">
        <v>13929.5</v>
      </c>
      <c r="H6959" s="22" t="s">
        <v>22</v>
      </c>
      <c r="I6959" s="22">
        <v>1</v>
      </c>
      <c r="J6959" s="22" t="s">
        <v>39</v>
      </c>
      <c r="K6959" s="22" t="s">
        <v>23</v>
      </c>
      <c r="L6959" s="22">
        <v>1</v>
      </c>
      <c r="M6959" s="26">
        <v>153224</v>
      </c>
      <c r="N6959" s="26">
        <v>0</v>
      </c>
      <c r="O6959" s="15">
        <f t="shared" si="587"/>
        <v>153224</v>
      </c>
      <c r="P6959" s="15">
        <f t="shared" si="591"/>
        <v>10.999964104957105</v>
      </c>
      <c r="Q6959" s="25">
        <v>5000</v>
      </c>
      <c r="R6959" s="22">
        <v>100</v>
      </c>
      <c r="S6959" s="22" t="s">
        <v>8484</v>
      </c>
      <c r="T6959" s="22">
        <f t="shared" si="588"/>
        <v>6</v>
      </c>
      <c r="U6959" s="22">
        <f t="shared" si="589"/>
        <v>2023</v>
      </c>
      <c r="V6959" s="22" t="str">
        <f t="shared" si="590"/>
        <v>METROPOLITANA</v>
      </c>
    </row>
    <row r="6960" spans="1:22" x14ac:dyDescent="0.2">
      <c r="A6960" s="23" t="s">
        <v>8473</v>
      </c>
      <c r="B6960" s="22" t="s">
        <v>33</v>
      </c>
      <c r="C6960" s="22" t="s">
        <v>44</v>
      </c>
      <c r="D6960" s="22" t="s">
        <v>35</v>
      </c>
      <c r="E6960" s="24">
        <v>99626232</v>
      </c>
      <c r="F6960" s="22" t="s">
        <v>137</v>
      </c>
      <c r="G6960" s="25">
        <v>2505.5</v>
      </c>
      <c r="H6960" s="22" t="s">
        <v>22</v>
      </c>
      <c r="I6960" s="22">
        <v>0</v>
      </c>
      <c r="J6960" s="22" t="s">
        <v>137</v>
      </c>
      <c r="K6960" s="22" t="s">
        <v>23</v>
      </c>
      <c r="L6960" s="22">
        <v>1</v>
      </c>
      <c r="M6960" s="26">
        <v>69173</v>
      </c>
      <c r="N6960" s="26">
        <v>0</v>
      </c>
      <c r="O6960" s="15">
        <f t="shared" si="587"/>
        <v>69173</v>
      </c>
      <c r="P6960" s="15">
        <f t="shared" si="591"/>
        <v>27.608461384953102</v>
      </c>
      <c r="Q6960" s="25">
        <v>5000</v>
      </c>
      <c r="R6960" s="22">
        <v>50</v>
      </c>
      <c r="S6960" s="22" t="s">
        <v>8485</v>
      </c>
      <c r="T6960" s="22">
        <f t="shared" si="588"/>
        <v>6</v>
      </c>
      <c r="U6960" s="22">
        <f t="shared" si="589"/>
        <v>2023</v>
      </c>
      <c r="V6960" s="22" t="str">
        <f t="shared" si="590"/>
        <v>METROPOLITANA</v>
      </c>
    </row>
    <row r="6961" spans="1:22" x14ac:dyDescent="0.2">
      <c r="A6961" s="23" t="s">
        <v>8473</v>
      </c>
      <c r="B6961" s="22" t="s">
        <v>33</v>
      </c>
      <c r="C6961" s="22" t="s">
        <v>44</v>
      </c>
      <c r="D6961" s="22" t="s">
        <v>8219</v>
      </c>
      <c r="E6961" s="24">
        <v>73835526</v>
      </c>
      <c r="F6961" s="22" t="s">
        <v>67</v>
      </c>
      <c r="G6961" s="25">
        <v>2587.54</v>
      </c>
      <c r="H6961" s="22" t="s">
        <v>24</v>
      </c>
      <c r="I6961" s="22">
        <v>1</v>
      </c>
      <c r="J6961" s="22" t="s">
        <v>67</v>
      </c>
      <c r="K6961" s="22" t="s">
        <v>23</v>
      </c>
      <c r="L6961" s="22">
        <v>2</v>
      </c>
      <c r="M6961" s="26">
        <v>69173</v>
      </c>
      <c r="N6961" s="26">
        <v>0</v>
      </c>
      <c r="O6961" s="15">
        <f t="shared" si="587"/>
        <v>69173</v>
      </c>
      <c r="P6961" s="15">
        <f t="shared" si="591"/>
        <v>26.733113304528626</v>
      </c>
      <c r="Q6961" s="25">
        <v>5000</v>
      </c>
      <c r="R6961" s="22">
        <v>52</v>
      </c>
      <c r="S6961" s="22" t="s">
        <v>8486</v>
      </c>
      <c r="T6961" s="22">
        <f t="shared" si="588"/>
        <v>6</v>
      </c>
      <c r="U6961" s="22">
        <f t="shared" si="589"/>
        <v>2023</v>
      </c>
      <c r="V6961" s="22" t="str">
        <f t="shared" si="590"/>
        <v>METROPOLITANA</v>
      </c>
    </row>
    <row r="6962" spans="1:22" x14ac:dyDescent="0.2">
      <c r="A6962" s="23" t="s">
        <v>8473</v>
      </c>
      <c r="B6962" s="22" t="s">
        <v>33</v>
      </c>
      <c r="C6962" s="22" t="s">
        <v>44</v>
      </c>
      <c r="D6962" s="22" t="s">
        <v>20</v>
      </c>
      <c r="E6962" s="24">
        <v>78907355</v>
      </c>
      <c r="F6962" s="22" t="s">
        <v>26</v>
      </c>
      <c r="G6962" s="25">
        <v>3400.8</v>
      </c>
      <c r="H6962" s="22" t="s">
        <v>22</v>
      </c>
      <c r="I6962" s="22">
        <v>0</v>
      </c>
      <c r="J6962" s="22" t="s">
        <v>26</v>
      </c>
      <c r="K6962" s="22" t="s">
        <v>23</v>
      </c>
      <c r="L6962" s="22">
        <v>4</v>
      </c>
      <c r="M6962" s="26">
        <v>69173</v>
      </c>
      <c r="N6962" s="26">
        <v>0</v>
      </c>
      <c r="O6962" s="15">
        <f t="shared" si="587"/>
        <v>69173</v>
      </c>
      <c r="P6962" s="15">
        <f t="shared" si="591"/>
        <v>20.340214067278286</v>
      </c>
      <c r="Q6962" s="25">
        <v>5000</v>
      </c>
      <c r="R6962" s="22">
        <v>68</v>
      </c>
      <c r="S6962" s="22" t="s">
        <v>8487</v>
      </c>
      <c r="T6962" s="22">
        <f t="shared" si="588"/>
        <v>6</v>
      </c>
      <c r="U6962" s="22">
        <f t="shared" si="589"/>
        <v>2023</v>
      </c>
      <c r="V6962" s="22" t="str">
        <f t="shared" si="590"/>
        <v>METROPOLITANA</v>
      </c>
    </row>
    <row r="6963" spans="1:22" x14ac:dyDescent="0.2">
      <c r="A6963" s="11" t="s">
        <v>8488</v>
      </c>
      <c r="B6963" s="12" t="s">
        <v>18</v>
      </c>
      <c r="C6963" s="12" t="s">
        <v>57</v>
      </c>
      <c r="D6963" s="12" t="s">
        <v>20</v>
      </c>
      <c r="E6963" s="13">
        <v>78907355</v>
      </c>
      <c r="F6963" s="12" t="s">
        <v>800</v>
      </c>
      <c r="G6963" s="14">
        <f>6434.75+1137</f>
        <v>7571.75</v>
      </c>
      <c r="H6963" s="12" t="s">
        <v>22</v>
      </c>
      <c r="I6963" s="12">
        <v>0</v>
      </c>
      <c r="J6963" s="12" t="s">
        <v>800</v>
      </c>
      <c r="K6963" s="12" t="s">
        <v>23</v>
      </c>
      <c r="L6963" s="12">
        <v>5</v>
      </c>
      <c r="M6963" s="15">
        <v>112500</v>
      </c>
      <c r="N6963" s="15">
        <v>0</v>
      </c>
      <c r="O6963" s="15">
        <f t="shared" si="587"/>
        <v>112500</v>
      </c>
      <c r="P6963" s="15">
        <f t="shared" si="591"/>
        <v>14.857859807838347</v>
      </c>
      <c r="Q6963" s="14">
        <v>10000</v>
      </c>
      <c r="R6963" s="12">
        <v>75</v>
      </c>
      <c r="S6963" s="12" t="s">
        <v>8495</v>
      </c>
      <c r="T6963" s="22">
        <f t="shared" si="588"/>
        <v>7</v>
      </c>
      <c r="U6963" s="22">
        <f t="shared" si="589"/>
        <v>2023</v>
      </c>
      <c r="V6963" s="22" t="str">
        <f t="shared" si="590"/>
        <v>METROPOLITANA</v>
      </c>
    </row>
    <row r="6964" spans="1:22" x14ac:dyDescent="0.2">
      <c r="A6964" s="11" t="s">
        <v>8488</v>
      </c>
      <c r="B6964" s="12" t="s">
        <v>18</v>
      </c>
      <c r="C6964" s="12" t="s">
        <v>19</v>
      </c>
      <c r="D6964" s="12" t="s">
        <v>38</v>
      </c>
      <c r="E6964" s="13">
        <v>53173292</v>
      </c>
      <c r="F6964" s="12" t="s">
        <v>161</v>
      </c>
      <c r="G6964" s="14">
        <v>12627.66</v>
      </c>
      <c r="H6964" s="12" t="s">
        <v>43</v>
      </c>
      <c r="I6964" s="12">
        <v>0</v>
      </c>
      <c r="J6964" s="12" t="s">
        <v>161</v>
      </c>
      <c r="K6964" s="12" t="s">
        <v>23</v>
      </c>
      <c r="L6964" s="12">
        <v>5</v>
      </c>
      <c r="M6964" s="15">
        <v>112500</v>
      </c>
      <c r="N6964" s="15">
        <v>0</v>
      </c>
      <c r="O6964" s="15">
        <f t="shared" si="587"/>
        <v>112500</v>
      </c>
      <c r="P6964" s="15">
        <f t="shared" si="591"/>
        <v>8.9090140216002016</v>
      </c>
      <c r="Q6964" s="14">
        <v>10000</v>
      </c>
      <c r="R6964" s="12">
        <v>100</v>
      </c>
      <c r="S6964" s="12" t="s">
        <v>8489</v>
      </c>
      <c r="T6964" s="22">
        <f t="shared" si="588"/>
        <v>7</v>
      </c>
      <c r="U6964" s="22">
        <f t="shared" si="589"/>
        <v>2023</v>
      </c>
      <c r="V6964" s="22" t="str">
        <f t="shared" si="590"/>
        <v>METROPOLITANA</v>
      </c>
    </row>
    <row r="6965" spans="1:22" x14ac:dyDescent="0.2">
      <c r="A6965" s="11" t="s">
        <v>8488</v>
      </c>
      <c r="B6965" s="12" t="s">
        <v>18</v>
      </c>
      <c r="C6965" s="12" t="s">
        <v>29</v>
      </c>
      <c r="D6965" s="12" t="s">
        <v>6793</v>
      </c>
      <c r="E6965" s="13">
        <v>129210451</v>
      </c>
      <c r="F6965" s="12" t="s">
        <v>2639</v>
      </c>
      <c r="G6965" s="14">
        <v>14085.48000000001</v>
      </c>
      <c r="H6965" s="12" t="s">
        <v>24</v>
      </c>
      <c r="I6965" s="12">
        <v>1</v>
      </c>
      <c r="J6965" s="12" t="s">
        <v>2639</v>
      </c>
      <c r="K6965" s="12" t="s">
        <v>75</v>
      </c>
      <c r="L6965" s="12">
        <v>0</v>
      </c>
      <c r="M6965" s="15">
        <v>478000</v>
      </c>
      <c r="N6965" s="15">
        <v>0</v>
      </c>
      <c r="O6965" s="15">
        <f t="shared" si="587"/>
        <v>478000</v>
      </c>
      <c r="P6965" s="15">
        <f t="shared" si="591"/>
        <v>33.935655724902496</v>
      </c>
      <c r="Q6965" s="14">
        <v>14000</v>
      </c>
      <c r="R6965" s="12">
        <v>100</v>
      </c>
      <c r="S6965" s="12" t="s">
        <v>8490</v>
      </c>
      <c r="T6965" s="22">
        <f t="shared" si="588"/>
        <v>7</v>
      </c>
      <c r="U6965" s="22">
        <f t="shared" si="589"/>
        <v>2023</v>
      </c>
      <c r="V6965" s="22" t="str">
        <f t="shared" si="590"/>
        <v>REGIONES</v>
      </c>
    </row>
    <row r="6966" spans="1:22" x14ac:dyDescent="0.2">
      <c r="A6966" s="11" t="s">
        <v>8488</v>
      </c>
      <c r="B6966" s="12" t="s">
        <v>33</v>
      </c>
      <c r="C6966" s="12" t="s">
        <v>8491</v>
      </c>
      <c r="D6966" s="12" t="s">
        <v>38</v>
      </c>
      <c r="E6966" s="13">
        <v>53173292</v>
      </c>
      <c r="F6966" s="12" t="s">
        <v>129</v>
      </c>
      <c r="G6966" s="14">
        <v>6100</v>
      </c>
      <c r="H6966" s="12" t="s">
        <v>43</v>
      </c>
      <c r="I6966" s="12">
        <v>0</v>
      </c>
      <c r="J6966" s="12" t="s">
        <v>129</v>
      </c>
      <c r="K6966" s="12" t="s">
        <v>23</v>
      </c>
      <c r="L6966" s="12">
        <v>1</v>
      </c>
      <c r="M6966" s="15">
        <v>67100</v>
      </c>
      <c r="N6966" s="15">
        <v>0</v>
      </c>
      <c r="O6966" s="15">
        <f t="shared" si="587"/>
        <v>67100</v>
      </c>
      <c r="P6966" s="15">
        <f t="shared" si="591"/>
        <v>11</v>
      </c>
      <c r="Q6966" s="14">
        <v>5000</v>
      </c>
      <c r="R6966" s="12">
        <v>100</v>
      </c>
      <c r="S6966" s="12" t="s">
        <v>8492</v>
      </c>
      <c r="T6966" s="22">
        <f t="shared" si="588"/>
        <v>7</v>
      </c>
      <c r="U6966" s="22">
        <f t="shared" si="589"/>
        <v>2023</v>
      </c>
      <c r="V6966" s="22" t="str">
        <f t="shared" si="590"/>
        <v>METROPOLITANA</v>
      </c>
    </row>
    <row r="6967" spans="1:22" x14ac:dyDescent="0.2">
      <c r="A6967" s="11" t="s">
        <v>8488</v>
      </c>
      <c r="B6967" s="12" t="s">
        <v>33</v>
      </c>
      <c r="C6967" s="12" t="s">
        <v>44</v>
      </c>
      <c r="D6967" s="12" t="s">
        <v>35</v>
      </c>
      <c r="E6967" s="13">
        <v>99626232</v>
      </c>
      <c r="F6967" s="12" t="s">
        <v>26</v>
      </c>
      <c r="G6967" s="14">
        <v>2500</v>
      </c>
      <c r="H6967" s="12" t="s">
        <v>22</v>
      </c>
      <c r="I6967" s="12">
        <v>0</v>
      </c>
      <c r="J6967" s="12" t="s">
        <v>26</v>
      </c>
      <c r="K6967" s="12" t="s">
        <v>23</v>
      </c>
      <c r="L6967" s="12">
        <v>4</v>
      </c>
      <c r="M6967" s="15">
        <v>69173</v>
      </c>
      <c r="N6967" s="15">
        <v>0</v>
      </c>
      <c r="O6967" s="15">
        <f t="shared" si="587"/>
        <v>69173</v>
      </c>
      <c r="P6967" s="15">
        <f t="shared" si="591"/>
        <v>27.6692</v>
      </c>
      <c r="Q6967" s="14">
        <v>5000</v>
      </c>
      <c r="R6967" s="12">
        <v>50</v>
      </c>
      <c r="S6967" s="12" t="s">
        <v>8493</v>
      </c>
      <c r="T6967" s="22">
        <f t="shared" si="588"/>
        <v>7</v>
      </c>
      <c r="U6967" s="22">
        <f t="shared" si="589"/>
        <v>2023</v>
      </c>
      <c r="V6967" s="22" t="str">
        <f t="shared" si="590"/>
        <v>METROPOLITANA</v>
      </c>
    </row>
    <row r="6968" spans="1:22" x14ac:dyDescent="0.2">
      <c r="A6968" s="11" t="s">
        <v>8488</v>
      </c>
      <c r="B6968" s="12" t="s">
        <v>33</v>
      </c>
      <c r="C6968" s="12" t="s">
        <v>44</v>
      </c>
      <c r="D6968" s="12" t="s">
        <v>20</v>
      </c>
      <c r="E6968" s="13">
        <v>78907355</v>
      </c>
      <c r="F6968" s="12" t="s">
        <v>53</v>
      </c>
      <c r="G6968" s="14">
        <v>2511.52</v>
      </c>
      <c r="H6968" s="12" t="s">
        <v>22</v>
      </c>
      <c r="I6968" s="12">
        <v>0</v>
      </c>
      <c r="J6968" s="12" t="s">
        <v>53</v>
      </c>
      <c r="K6968" s="12" t="s">
        <v>23</v>
      </c>
      <c r="L6968" s="12">
        <v>3</v>
      </c>
      <c r="M6968" s="15">
        <v>69173</v>
      </c>
      <c r="N6968" s="15">
        <v>0</v>
      </c>
      <c r="O6968" s="15">
        <f t="shared" si="587"/>
        <v>69173</v>
      </c>
      <c r="P6968" s="15">
        <f t="shared" si="591"/>
        <v>27.542285150028668</v>
      </c>
      <c r="Q6968" s="14">
        <v>5000</v>
      </c>
      <c r="R6968" s="12">
        <v>50</v>
      </c>
      <c r="S6968" s="12" t="s">
        <v>8494</v>
      </c>
      <c r="T6968" s="22">
        <f t="shared" si="588"/>
        <v>7</v>
      </c>
      <c r="U6968" s="22">
        <f t="shared" si="589"/>
        <v>2023</v>
      </c>
      <c r="V6968" s="22" t="str">
        <f t="shared" si="590"/>
        <v>METROPOLITANA</v>
      </c>
    </row>
    <row r="6969" spans="1:22" x14ac:dyDescent="0.2">
      <c r="A6969" s="23" t="s">
        <v>8496</v>
      </c>
      <c r="B6969" s="22" t="s">
        <v>18</v>
      </c>
      <c r="C6969" s="22" t="s">
        <v>57</v>
      </c>
      <c r="D6969" s="22" t="s">
        <v>8219</v>
      </c>
      <c r="E6969" s="24" t="s">
        <v>8220</v>
      </c>
      <c r="F6969" s="22" t="s">
        <v>51</v>
      </c>
      <c r="G6969" s="25">
        <v>2408.42</v>
      </c>
      <c r="H6969" s="22" t="s">
        <v>24</v>
      </c>
      <c r="I6969" s="22">
        <v>1</v>
      </c>
      <c r="J6969" s="22" t="s">
        <v>51</v>
      </c>
      <c r="K6969" s="22" t="s">
        <v>23</v>
      </c>
      <c r="L6969" s="22">
        <v>4</v>
      </c>
      <c r="M6969" s="26">
        <v>69173</v>
      </c>
      <c r="N6969" s="26">
        <v>0</v>
      </c>
      <c r="O6969" s="15">
        <f t="shared" si="587"/>
        <v>69173</v>
      </c>
      <c r="P6969" s="15">
        <f t="shared" si="591"/>
        <v>28.721319371206018</v>
      </c>
      <c r="Q6969" s="25">
        <v>5000</v>
      </c>
      <c r="R6969" s="22">
        <v>48</v>
      </c>
      <c r="S6969" s="22" t="s">
        <v>8497</v>
      </c>
      <c r="T6969" s="22">
        <f t="shared" si="588"/>
        <v>7</v>
      </c>
      <c r="U6969" s="22">
        <f t="shared" si="589"/>
        <v>2023</v>
      </c>
      <c r="V6969" s="22" t="str">
        <f t="shared" si="590"/>
        <v>METROPOLITANA</v>
      </c>
    </row>
    <row r="6970" spans="1:22" x14ac:dyDescent="0.2">
      <c r="A6970" s="23" t="s">
        <v>8496</v>
      </c>
      <c r="B6970" s="22" t="s">
        <v>18</v>
      </c>
      <c r="C6970" s="22" t="s">
        <v>19</v>
      </c>
      <c r="D6970" s="22" t="s">
        <v>41</v>
      </c>
      <c r="E6970" s="24" t="s">
        <v>25</v>
      </c>
      <c r="F6970" s="22" t="s">
        <v>161</v>
      </c>
      <c r="G6970" s="25">
        <v>14925.32</v>
      </c>
      <c r="H6970" s="22" t="s">
        <v>43</v>
      </c>
      <c r="I6970" s="22">
        <v>0</v>
      </c>
      <c r="J6970" s="22" t="s">
        <v>161</v>
      </c>
      <c r="K6970" s="22" t="s">
        <v>23</v>
      </c>
      <c r="L6970" s="22">
        <v>5</v>
      </c>
      <c r="M6970" s="26">
        <v>112500</v>
      </c>
      <c r="N6970" s="26">
        <v>0</v>
      </c>
      <c r="O6970" s="15">
        <f t="shared" si="587"/>
        <v>112500</v>
      </c>
      <c r="P6970" s="15">
        <f t="shared" si="591"/>
        <v>7.5375268335955274</v>
      </c>
      <c r="Q6970" s="25">
        <v>10000</v>
      </c>
      <c r="R6970" s="22">
        <v>100</v>
      </c>
      <c r="S6970" s="22" t="s">
        <v>8498</v>
      </c>
      <c r="T6970" s="22">
        <f t="shared" si="588"/>
        <v>7</v>
      </c>
      <c r="U6970" s="22">
        <f t="shared" si="589"/>
        <v>2023</v>
      </c>
      <c r="V6970" s="22" t="str">
        <f t="shared" si="590"/>
        <v>METROPOLITANA</v>
      </c>
    </row>
    <row r="6971" spans="1:22" x14ac:dyDescent="0.2">
      <c r="A6971" s="23" t="s">
        <v>8496</v>
      </c>
      <c r="B6971" s="22" t="s">
        <v>18</v>
      </c>
      <c r="C6971" s="22" t="s">
        <v>7400</v>
      </c>
      <c r="D6971" s="22" t="s">
        <v>8499</v>
      </c>
      <c r="E6971" s="24" t="s">
        <v>7712</v>
      </c>
      <c r="F6971" s="22" t="s">
        <v>66</v>
      </c>
      <c r="G6971" s="25">
        <v>16494.329999999991</v>
      </c>
      <c r="H6971" s="22" t="s">
        <v>24</v>
      </c>
      <c r="I6971" s="22">
        <v>1</v>
      </c>
      <c r="J6971" s="22" t="s">
        <v>66</v>
      </c>
      <c r="K6971" s="22" t="s">
        <v>75</v>
      </c>
      <c r="L6971" s="22">
        <v>0</v>
      </c>
      <c r="M6971" s="26">
        <v>506000</v>
      </c>
      <c r="N6971" s="26">
        <v>0</v>
      </c>
      <c r="O6971" s="15">
        <f t="shared" ref="O6971:O7034" si="592">SUM(M6971:N6971)</f>
        <v>506000</v>
      </c>
      <c r="P6971" s="15">
        <f t="shared" si="591"/>
        <v>30.677208471032184</v>
      </c>
      <c r="Q6971" s="25">
        <v>14000</v>
      </c>
      <c r="R6971" s="22">
        <v>100</v>
      </c>
      <c r="S6971" s="22" t="s">
        <v>8500</v>
      </c>
      <c r="T6971" s="22">
        <f t="shared" si="588"/>
        <v>7</v>
      </c>
      <c r="U6971" s="22">
        <f t="shared" si="589"/>
        <v>2023</v>
      </c>
      <c r="V6971" s="22" t="str">
        <f t="shared" si="590"/>
        <v>REGIONES</v>
      </c>
    </row>
    <row r="6972" spans="1:22" x14ac:dyDescent="0.2">
      <c r="A6972" s="23" t="s">
        <v>8496</v>
      </c>
      <c r="B6972" s="22" t="s">
        <v>18</v>
      </c>
      <c r="C6972" s="22" t="s">
        <v>8237</v>
      </c>
      <c r="D6972" s="22" t="s">
        <v>38</v>
      </c>
      <c r="E6972" s="24" t="s">
        <v>42</v>
      </c>
      <c r="F6972" s="22" t="s">
        <v>129</v>
      </c>
      <c r="G6972" s="25">
        <v>6870.0800000000008</v>
      </c>
      <c r="H6972" s="22" t="s">
        <v>43</v>
      </c>
      <c r="I6972" s="22">
        <v>0</v>
      </c>
      <c r="J6972" s="22" t="s">
        <v>129</v>
      </c>
      <c r="K6972" s="22" t="s">
        <v>23</v>
      </c>
      <c r="L6972" s="22">
        <v>1</v>
      </c>
      <c r="M6972" s="26">
        <v>75571</v>
      </c>
      <c r="N6972" s="26">
        <v>0</v>
      </c>
      <c r="O6972" s="15">
        <f t="shared" si="592"/>
        <v>75571</v>
      </c>
      <c r="P6972" s="15">
        <f t="shared" si="591"/>
        <v>11.000017467045506</v>
      </c>
      <c r="Q6972" s="25">
        <v>5000</v>
      </c>
      <c r="R6972" s="22">
        <v>100</v>
      </c>
      <c r="S6972" s="22" t="s">
        <v>8501</v>
      </c>
      <c r="T6972" s="22">
        <f t="shared" si="588"/>
        <v>7</v>
      </c>
      <c r="U6972" s="22">
        <f t="shared" si="589"/>
        <v>2023</v>
      </c>
      <c r="V6972" s="22" t="str">
        <f t="shared" si="590"/>
        <v>METROPOLITANA</v>
      </c>
    </row>
    <row r="6973" spans="1:22" x14ac:dyDescent="0.2">
      <c r="A6973" s="23" t="s">
        <v>8496</v>
      </c>
      <c r="B6973" s="22" t="s">
        <v>33</v>
      </c>
      <c r="C6973" s="22" t="s">
        <v>8502</v>
      </c>
      <c r="D6973" s="22" t="s">
        <v>20</v>
      </c>
      <c r="E6973" s="24" t="s">
        <v>21</v>
      </c>
      <c r="F6973" s="22" t="s">
        <v>727</v>
      </c>
      <c r="G6973" s="25">
        <v>11043.2</v>
      </c>
      <c r="H6973" s="22" t="s">
        <v>22</v>
      </c>
      <c r="I6973" s="22">
        <v>0</v>
      </c>
      <c r="J6973" s="22" t="s">
        <v>727</v>
      </c>
      <c r="K6973" s="22" t="s">
        <v>23</v>
      </c>
      <c r="L6973" s="22">
        <v>2</v>
      </c>
      <c r="M6973" s="26">
        <v>121475</v>
      </c>
      <c r="N6973" s="26">
        <v>0</v>
      </c>
      <c r="O6973" s="15">
        <f t="shared" si="592"/>
        <v>121475</v>
      </c>
      <c r="P6973" s="15">
        <f t="shared" si="591"/>
        <v>10.999981889307447</v>
      </c>
      <c r="Q6973" s="25">
        <v>5000</v>
      </c>
      <c r="R6973" s="22">
        <v>100</v>
      </c>
      <c r="S6973" s="22" t="s">
        <v>8503</v>
      </c>
      <c r="T6973" s="22">
        <f t="shared" si="588"/>
        <v>7</v>
      </c>
      <c r="U6973" s="22">
        <f t="shared" si="589"/>
        <v>2023</v>
      </c>
      <c r="V6973" s="22" t="str">
        <f t="shared" si="590"/>
        <v>METROPOLITANA</v>
      </c>
    </row>
    <row r="6974" spans="1:22" x14ac:dyDescent="0.2">
      <c r="A6974" s="23" t="s">
        <v>8496</v>
      </c>
      <c r="B6974" s="22" t="s">
        <v>33</v>
      </c>
      <c r="C6974" s="22" t="s">
        <v>57</v>
      </c>
      <c r="D6974" s="22" t="s">
        <v>8219</v>
      </c>
      <c r="E6974" s="24" t="s">
        <v>8220</v>
      </c>
      <c r="F6974" s="22" t="s">
        <v>26</v>
      </c>
      <c r="G6974" s="25">
        <v>2976</v>
      </c>
      <c r="H6974" s="22" t="s">
        <v>24</v>
      </c>
      <c r="I6974" s="22">
        <v>1</v>
      </c>
      <c r="J6974" s="22" t="s">
        <v>26</v>
      </c>
      <c r="K6974" s="22" t="s">
        <v>23</v>
      </c>
      <c r="L6974" s="22">
        <v>4</v>
      </c>
      <c r="M6974" s="26">
        <v>69173</v>
      </c>
      <c r="N6974" s="26">
        <v>0</v>
      </c>
      <c r="O6974" s="15">
        <f t="shared" si="592"/>
        <v>69173</v>
      </c>
      <c r="P6974" s="15">
        <f t="shared" si="591"/>
        <v>23.243615591397848</v>
      </c>
      <c r="Q6974" s="25">
        <v>5000</v>
      </c>
      <c r="R6974" s="22">
        <v>60</v>
      </c>
      <c r="S6974" s="22" t="s">
        <v>8504</v>
      </c>
      <c r="T6974" s="22">
        <f t="shared" si="588"/>
        <v>7</v>
      </c>
      <c r="U6974" s="22">
        <f t="shared" si="589"/>
        <v>2023</v>
      </c>
      <c r="V6974" s="22" t="str">
        <f t="shared" si="590"/>
        <v>METROPOLITANA</v>
      </c>
    </row>
    <row r="6975" spans="1:22" x14ac:dyDescent="0.2">
      <c r="A6975" s="23" t="s">
        <v>8496</v>
      </c>
      <c r="B6975" s="22" t="s">
        <v>33</v>
      </c>
      <c r="C6975" s="22" t="s">
        <v>128</v>
      </c>
      <c r="D6975" s="22" t="s">
        <v>20</v>
      </c>
      <c r="E6975" s="24" t="s">
        <v>21</v>
      </c>
      <c r="F6975" s="22" t="s">
        <v>34</v>
      </c>
      <c r="G6975" s="25">
        <v>3911.52</v>
      </c>
      <c r="H6975" s="22" t="s">
        <v>22</v>
      </c>
      <c r="I6975" s="22">
        <v>0</v>
      </c>
      <c r="J6975" s="22" t="s">
        <v>34</v>
      </c>
      <c r="K6975" s="22" t="s">
        <v>23</v>
      </c>
      <c r="L6975" s="22">
        <v>1</v>
      </c>
      <c r="M6975" s="26">
        <v>69173</v>
      </c>
      <c r="N6975" s="26">
        <v>0</v>
      </c>
      <c r="O6975" s="15">
        <f t="shared" si="592"/>
        <v>69173</v>
      </c>
      <c r="P6975" s="15">
        <f t="shared" si="591"/>
        <v>17.684429582361844</v>
      </c>
      <c r="Q6975" s="25">
        <v>5000</v>
      </c>
      <c r="R6975" s="22">
        <v>78</v>
      </c>
      <c r="S6975" s="22" t="s">
        <v>8505</v>
      </c>
      <c r="T6975" s="22">
        <f t="shared" si="588"/>
        <v>7</v>
      </c>
      <c r="U6975" s="22">
        <f t="shared" si="589"/>
        <v>2023</v>
      </c>
      <c r="V6975" s="22" t="str">
        <f t="shared" si="590"/>
        <v>METROPOLITANA</v>
      </c>
    </row>
    <row r="6976" spans="1:22" x14ac:dyDescent="0.2">
      <c r="A6976" s="23" t="s">
        <v>8496</v>
      </c>
      <c r="B6976" s="22" t="s">
        <v>33</v>
      </c>
      <c r="C6976" s="22" t="s">
        <v>5851</v>
      </c>
      <c r="D6976" s="22" t="s">
        <v>786</v>
      </c>
      <c r="E6976" s="24" t="s">
        <v>787</v>
      </c>
      <c r="F6976" s="22" t="s">
        <v>274</v>
      </c>
      <c r="G6976" s="25">
        <v>7279.6599999999971</v>
      </c>
      <c r="H6976" s="22" t="s">
        <v>788</v>
      </c>
      <c r="I6976" s="22">
        <v>1</v>
      </c>
      <c r="J6976" s="22" t="s">
        <v>274</v>
      </c>
      <c r="K6976" s="22" t="s">
        <v>78</v>
      </c>
      <c r="L6976" s="22">
        <v>0</v>
      </c>
      <c r="M6976" s="26">
        <v>289000</v>
      </c>
      <c r="N6976" s="26">
        <v>0</v>
      </c>
      <c r="O6976" s="15">
        <f t="shared" si="592"/>
        <v>289000</v>
      </c>
      <c r="P6976" s="15">
        <f t="shared" si="591"/>
        <v>39.699656302629535</v>
      </c>
      <c r="Q6976" s="25">
        <v>14000</v>
      </c>
      <c r="R6976" s="22">
        <v>52</v>
      </c>
      <c r="S6976" s="22" t="s">
        <v>8506</v>
      </c>
      <c r="T6976" s="22">
        <f t="shared" si="588"/>
        <v>7</v>
      </c>
      <c r="U6976" s="22">
        <f t="shared" si="589"/>
        <v>2023</v>
      </c>
      <c r="V6976" s="22" t="str">
        <f t="shared" si="590"/>
        <v>REGIONES</v>
      </c>
    </row>
    <row r="6977" spans="1:22" x14ac:dyDescent="0.2">
      <c r="A6977" s="23" t="s">
        <v>8496</v>
      </c>
      <c r="B6977" s="22" t="s">
        <v>33</v>
      </c>
      <c r="C6977" s="22" t="s">
        <v>223</v>
      </c>
      <c r="D6977" s="22" t="s">
        <v>6989</v>
      </c>
      <c r="E6977" s="24" t="s">
        <v>126</v>
      </c>
      <c r="F6977" s="22" t="s">
        <v>815</v>
      </c>
      <c r="G6977" s="25">
        <v>7522.800000000002</v>
      </c>
      <c r="H6977" s="22" t="s">
        <v>24</v>
      </c>
      <c r="I6977" s="22">
        <v>1</v>
      </c>
      <c r="J6977" s="22" t="s">
        <v>815</v>
      </c>
      <c r="K6977" s="22" t="s">
        <v>75</v>
      </c>
      <c r="L6977" s="22">
        <v>0</v>
      </c>
      <c r="M6977" s="26">
        <v>528000</v>
      </c>
      <c r="N6977" s="26">
        <v>0</v>
      </c>
      <c r="O6977" s="15">
        <f t="shared" si="592"/>
        <v>528000</v>
      </c>
      <c r="P6977" s="15">
        <f t="shared" si="591"/>
        <v>70.186632636784154</v>
      </c>
      <c r="Q6977" s="25">
        <v>14000</v>
      </c>
      <c r="R6977" s="22">
        <v>54</v>
      </c>
      <c r="S6977" s="22" t="s">
        <v>8507</v>
      </c>
      <c r="T6977" s="22">
        <f t="shared" si="588"/>
        <v>7</v>
      </c>
      <c r="U6977" s="22">
        <f t="shared" si="589"/>
        <v>2023</v>
      </c>
      <c r="V6977" s="22" t="str">
        <f t="shared" si="590"/>
        <v>REGIONES</v>
      </c>
    </row>
    <row r="6978" spans="1:22" x14ac:dyDescent="0.2">
      <c r="A6978" s="23" t="s">
        <v>8496</v>
      </c>
      <c r="B6978" s="22" t="s">
        <v>33</v>
      </c>
      <c r="C6978" s="22" t="s">
        <v>223</v>
      </c>
      <c r="D6978" s="22" t="s">
        <v>164</v>
      </c>
      <c r="E6978" s="24" t="s">
        <v>28</v>
      </c>
      <c r="F6978" s="22" t="s">
        <v>51</v>
      </c>
      <c r="G6978" s="25">
        <v>13155.999999999991</v>
      </c>
      <c r="H6978" s="22" t="s">
        <v>22</v>
      </c>
      <c r="I6978" s="22">
        <v>1</v>
      </c>
      <c r="J6978" s="22" t="s">
        <v>51</v>
      </c>
      <c r="K6978" s="22" t="s">
        <v>23</v>
      </c>
      <c r="L6978" s="22">
        <v>4</v>
      </c>
      <c r="M6978" s="26">
        <v>144716</v>
      </c>
      <c r="N6978" s="26">
        <v>0</v>
      </c>
      <c r="O6978" s="15">
        <f t="shared" si="592"/>
        <v>144716</v>
      </c>
      <c r="P6978" s="15">
        <f t="shared" si="591"/>
        <v>11.000000000000007</v>
      </c>
      <c r="Q6978" s="25">
        <v>5000</v>
      </c>
      <c r="R6978" s="22">
        <v>100</v>
      </c>
      <c r="S6978" s="22" t="s">
        <v>8508</v>
      </c>
      <c r="T6978" s="22">
        <f t="shared" si="588"/>
        <v>7</v>
      </c>
      <c r="U6978" s="22">
        <f t="shared" si="589"/>
        <v>2023</v>
      </c>
      <c r="V6978" s="22" t="str">
        <f t="shared" si="590"/>
        <v>METROPOLITANA</v>
      </c>
    </row>
    <row r="6979" spans="1:22" x14ac:dyDescent="0.2">
      <c r="A6979" s="23" t="s">
        <v>8496</v>
      </c>
      <c r="B6979" s="22" t="s">
        <v>33</v>
      </c>
      <c r="C6979" s="22" t="s">
        <v>2862</v>
      </c>
      <c r="D6979" s="22" t="s">
        <v>8410</v>
      </c>
      <c r="E6979" s="24" t="s">
        <v>8411</v>
      </c>
      <c r="F6979" s="22" t="s">
        <v>3438</v>
      </c>
      <c r="G6979" s="25">
        <v>9755.1999999999971</v>
      </c>
      <c r="H6979" s="22" t="s">
        <v>24</v>
      </c>
      <c r="I6979" s="22">
        <v>1</v>
      </c>
      <c r="J6979" s="22" t="s">
        <v>3438</v>
      </c>
      <c r="K6979" s="22" t="s">
        <v>93</v>
      </c>
      <c r="L6979" s="22">
        <v>0</v>
      </c>
      <c r="M6979" s="26">
        <v>1000000</v>
      </c>
      <c r="N6979" s="26">
        <v>0</v>
      </c>
      <c r="O6979" s="15">
        <f t="shared" si="592"/>
        <v>1000000</v>
      </c>
      <c r="P6979" s="15">
        <f t="shared" si="591"/>
        <v>102.50943086763985</v>
      </c>
      <c r="Q6979" s="25">
        <v>14000</v>
      </c>
      <c r="R6979" s="22">
        <v>70</v>
      </c>
      <c r="S6979" s="22" t="s">
        <v>8509</v>
      </c>
      <c r="T6979" s="22">
        <f t="shared" si="588"/>
        <v>7</v>
      </c>
      <c r="U6979" s="22">
        <f t="shared" si="589"/>
        <v>2023</v>
      </c>
      <c r="V6979" s="22" t="str">
        <f t="shared" si="590"/>
        <v>REGIONES</v>
      </c>
    </row>
    <row r="6980" spans="1:22" x14ac:dyDescent="0.2">
      <c r="A6980" s="23" t="s">
        <v>8496</v>
      </c>
      <c r="B6980" s="22" t="s">
        <v>33</v>
      </c>
      <c r="C6980" s="22" t="s">
        <v>44</v>
      </c>
      <c r="D6980" s="22" t="s">
        <v>2825</v>
      </c>
      <c r="E6980" s="24" t="s">
        <v>639</v>
      </c>
      <c r="F6980" s="22" t="s">
        <v>114</v>
      </c>
      <c r="G6980" s="25">
        <f>3225.32+3565</f>
        <v>6790.32</v>
      </c>
      <c r="H6980" s="22" t="s">
        <v>24</v>
      </c>
      <c r="I6980" s="22">
        <v>1</v>
      </c>
      <c r="J6980" s="22" t="s">
        <v>114</v>
      </c>
      <c r="K6980" s="22" t="s">
        <v>75</v>
      </c>
      <c r="L6980" s="22">
        <v>0</v>
      </c>
      <c r="M6980" s="26">
        <v>528000</v>
      </c>
      <c r="N6980" s="26">
        <v>0</v>
      </c>
      <c r="O6980" s="15">
        <f t="shared" si="592"/>
        <v>528000</v>
      </c>
      <c r="P6980" s="15">
        <f t="shared" si="591"/>
        <v>77.757749266603057</v>
      </c>
      <c r="Q6980" s="25">
        <v>14000</v>
      </c>
      <c r="R6980" s="22">
        <v>55</v>
      </c>
      <c r="S6980" s="22" t="s">
        <v>8515</v>
      </c>
      <c r="T6980" s="22">
        <f t="shared" si="588"/>
        <v>7</v>
      </c>
      <c r="U6980" s="22">
        <f t="shared" si="589"/>
        <v>2023</v>
      </c>
      <c r="V6980" s="22" t="str">
        <f t="shared" si="590"/>
        <v>REGIONES</v>
      </c>
    </row>
    <row r="6981" spans="1:22" x14ac:dyDescent="0.2">
      <c r="A6981" s="23" t="s">
        <v>8496</v>
      </c>
      <c r="B6981" s="22" t="s">
        <v>33</v>
      </c>
      <c r="C6981" s="22" t="s">
        <v>44</v>
      </c>
      <c r="D6981" s="22" t="s">
        <v>6989</v>
      </c>
      <c r="E6981" s="24" t="s">
        <v>126</v>
      </c>
      <c r="F6981" s="22" t="s">
        <v>39</v>
      </c>
      <c r="G6981" s="25">
        <v>3752</v>
      </c>
      <c r="H6981" s="22" t="s">
        <v>24</v>
      </c>
      <c r="I6981" s="22">
        <v>1</v>
      </c>
      <c r="J6981" s="22" t="s">
        <v>39</v>
      </c>
      <c r="K6981" s="22" t="s">
        <v>23</v>
      </c>
      <c r="L6981" s="22">
        <v>1</v>
      </c>
      <c r="M6981" s="26">
        <v>69173</v>
      </c>
      <c r="N6981" s="26">
        <v>0</v>
      </c>
      <c r="O6981" s="15">
        <f t="shared" si="592"/>
        <v>69173</v>
      </c>
      <c r="P6981" s="15">
        <f t="shared" si="591"/>
        <v>18.43630063965885</v>
      </c>
      <c r="Q6981" s="25">
        <v>5000</v>
      </c>
      <c r="R6981" s="22">
        <v>75</v>
      </c>
      <c r="S6981" s="22" t="s">
        <v>8510</v>
      </c>
      <c r="T6981" s="22">
        <f t="shared" si="588"/>
        <v>7</v>
      </c>
      <c r="U6981" s="22">
        <f t="shared" si="589"/>
        <v>2023</v>
      </c>
      <c r="V6981" s="22" t="str">
        <f t="shared" si="590"/>
        <v>METROPOLITANA</v>
      </c>
    </row>
    <row r="6982" spans="1:22" x14ac:dyDescent="0.2">
      <c r="A6982" s="23" t="s">
        <v>8496</v>
      </c>
      <c r="B6982" s="22" t="s">
        <v>33</v>
      </c>
      <c r="C6982" s="22" t="s">
        <v>44</v>
      </c>
      <c r="D6982" s="22" t="s">
        <v>35</v>
      </c>
      <c r="E6982" s="24" t="s">
        <v>52</v>
      </c>
      <c r="F6982" s="22" t="s">
        <v>134</v>
      </c>
      <c r="G6982" s="25">
        <v>2853.8</v>
      </c>
      <c r="H6982" s="22" t="s">
        <v>22</v>
      </c>
      <c r="I6982" s="22">
        <v>0</v>
      </c>
      <c r="J6982" s="22" t="s">
        <v>134</v>
      </c>
      <c r="K6982" s="22" t="s">
        <v>23</v>
      </c>
      <c r="L6982" s="22">
        <v>2</v>
      </c>
      <c r="M6982" s="26">
        <v>69173</v>
      </c>
      <c r="N6982" s="26">
        <v>0</v>
      </c>
      <c r="O6982" s="15">
        <f t="shared" si="592"/>
        <v>69173</v>
      </c>
      <c r="P6982" s="15">
        <f t="shared" si="591"/>
        <v>24.238909524143246</v>
      </c>
      <c r="Q6982" s="25">
        <v>5000</v>
      </c>
      <c r="R6982" s="22">
        <v>57</v>
      </c>
      <c r="S6982" s="22" t="s">
        <v>8511</v>
      </c>
      <c r="T6982" s="22">
        <f t="shared" si="588"/>
        <v>7</v>
      </c>
      <c r="U6982" s="22">
        <f t="shared" si="589"/>
        <v>2023</v>
      </c>
      <c r="V6982" s="22" t="str">
        <f t="shared" si="590"/>
        <v>METROPOLITANA</v>
      </c>
    </row>
    <row r="6983" spans="1:22" x14ac:dyDescent="0.2">
      <c r="A6983" s="23" t="s">
        <v>8496</v>
      </c>
      <c r="B6983" s="22" t="s">
        <v>33</v>
      </c>
      <c r="C6983" s="22" t="s">
        <v>44</v>
      </c>
      <c r="D6983" s="22" t="s">
        <v>8219</v>
      </c>
      <c r="E6983" s="24" t="s">
        <v>8220</v>
      </c>
      <c r="F6983" s="22" t="s">
        <v>182</v>
      </c>
      <c r="G6983" s="25">
        <v>2787.4</v>
      </c>
      <c r="H6983" s="22" t="s">
        <v>24</v>
      </c>
      <c r="I6983" s="22">
        <v>1</v>
      </c>
      <c r="J6983" s="22" t="s">
        <v>182</v>
      </c>
      <c r="K6983" s="22" t="s">
        <v>23</v>
      </c>
      <c r="L6983" s="22">
        <v>4</v>
      </c>
      <c r="M6983" s="26">
        <v>69173</v>
      </c>
      <c r="N6983" s="26">
        <v>0</v>
      </c>
      <c r="O6983" s="15">
        <f t="shared" si="592"/>
        <v>69173</v>
      </c>
      <c r="P6983" s="15">
        <f t="shared" si="591"/>
        <v>24.816316280404678</v>
      </c>
      <c r="Q6983" s="25">
        <v>5000</v>
      </c>
      <c r="R6983" s="22">
        <v>56</v>
      </c>
      <c r="S6983" s="22" t="s">
        <v>8512</v>
      </c>
      <c r="T6983" s="22">
        <f t="shared" ref="T6983:T7046" si="593">MONTH(A6983)</f>
        <v>7</v>
      </c>
      <c r="U6983" s="22">
        <f t="shared" ref="U6983:U7046" si="594">YEAR(A6983)</f>
        <v>2023</v>
      </c>
      <c r="V6983" s="22" t="str">
        <f t="shared" ref="V6983:V7046" si="595">IF(K6983="METROPOLITANA DE SANTIAGO","METROPOLITANA","REGIONES")</f>
        <v>METROPOLITANA</v>
      </c>
    </row>
    <row r="6984" spans="1:22" x14ac:dyDescent="0.2">
      <c r="A6984" s="23" t="s">
        <v>8496</v>
      </c>
      <c r="B6984" s="22" t="s">
        <v>33</v>
      </c>
      <c r="C6984" s="22" t="s">
        <v>1163</v>
      </c>
      <c r="D6984" s="22" t="s">
        <v>35</v>
      </c>
      <c r="E6984" s="24" t="s">
        <v>49</v>
      </c>
      <c r="F6984" s="22" t="s">
        <v>165</v>
      </c>
      <c r="G6984" s="25">
        <v>3303.72</v>
      </c>
      <c r="H6984" s="22" t="s">
        <v>22</v>
      </c>
      <c r="I6984" s="22">
        <v>0</v>
      </c>
      <c r="J6984" s="22" t="s">
        <v>165</v>
      </c>
      <c r="K6984" s="22" t="s">
        <v>23</v>
      </c>
      <c r="L6984" s="22">
        <v>4</v>
      </c>
      <c r="M6984" s="26">
        <v>69173</v>
      </c>
      <c r="N6984" s="26">
        <v>0</v>
      </c>
      <c r="O6984" s="15">
        <f t="shared" si="592"/>
        <v>69173</v>
      </c>
      <c r="P6984" s="15">
        <f t="shared" si="591"/>
        <v>20.937912413884955</v>
      </c>
      <c r="Q6984" s="25">
        <v>5000</v>
      </c>
      <c r="R6984" s="22">
        <v>66</v>
      </c>
      <c r="S6984" s="22" t="s">
        <v>8513</v>
      </c>
      <c r="T6984" s="22">
        <f t="shared" si="593"/>
        <v>7</v>
      </c>
      <c r="U6984" s="22">
        <f t="shared" si="594"/>
        <v>2023</v>
      </c>
      <c r="V6984" s="22" t="str">
        <f t="shared" si="595"/>
        <v>METROPOLITANA</v>
      </c>
    </row>
    <row r="6985" spans="1:22" x14ac:dyDescent="0.2">
      <c r="A6985" s="23" t="s">
        <v>8496</v>
      </c>
      <c r="B6985" s="22" t="s">
        <v>33</v>
      </c>
      <c r="C6985" s="22" t="s">
        <v>1722</v>
      </c>
      <c r="D6985" s="22" t="s">
        <v>38</v>
      </c>
      <c r="E6985" s="24" t="s">
        <v>25</v>
      </c>
      <c r="F6985" s="22" t="s">
        <v>26</v>
      </c>
      <c r="G6985" s="25">
        <v>2578.6800000000012</v>
      </c>
      <c r="H6985" s="22" t="s">
        <v>43</v>
      </c>
      <c r="I6985" s="22">
        <v>0</v>
      </c>
      <c r="J6985" s="22" t="s">
        <v>26</v>
      </c>
      <c r="K6985" s="22" t="s">
        <v>23</v>
      </c>
      <c r="L6985" s="22">
        <v>4</v>
      </c>
      <c r="M6985" s="26">
        <v>69173</v>
      </c>
      <c r="N6985" s="26">
        <v>0</v>
      </c>
      <c r="O6985" s="15">
        <f t="shared" si="592"/>
        <v>69173</v>
      </c>
      <c r="P6985" s="15">
        <f t="shared" si="591"/>
        <v>26.824964710627132</v>
      </c>
      <c r="Q6985" s="25">
        <v>5000</v>
      </c>
      <c r="R6985" s="22">
        <v>52</v>
      </c>
      <c r="S6985" s="22" t="s">
        <v>8514</v>
      </c>
      <c r="T6985" s="22">
        <f t="shared" si="593"/>
        <v>7</v>
      </c>
      <c r="U6985" s="22">
        <f t="shared" si="594"/>
        <v>2023</v>
      </c>
      <c r="V6985" s="22" t="str">
        <f t="shared" si="595"/>
        <v>METROPOLITANA</v>
      </c>
    </row>
    <row r="6986" spans="1:22" x14ac:dyDescent="0.2">
      <c r="A6986" s="11" t="s">
        <v>8516</v>
      </c>
      <c r="B6986" s="12" t="s">
        <v>18</v>
      </c>
      <c r="C6986" s="12" t="s">
        <v>8517</v>
      </c>
      <c r="D6986" s="12" t="s">
        <v>41</v>
      </c>
      <c r="E6986" s="13">
        <v>125108660</v>
      </c>
      <c r="F6986" s="12" t="s">
        <v>26</v>
      </c>
      <c r="G6986" s="14">
        <v>1035.25</v>
      </c>
      <c r="H6986" s="12" t="s">
        <v>43</v>
      </c>
      <c r="I6986" s="12">
        <v>0</v>
      </c>
      <c r="J6986" s="12" t="s">
        <v>26</v>
      </c>
      <c r="K6986" s="12" t="s">
        <v>23</v>
      </c>
      <c r="L6986" s="12">
        <v>4</v>
      </c>
      <c r="M6986" s="15">
        <v>69173</v>
      </c>
      <c r="N6986" s="15">
        <v>0</v>
      </c>
      <c r="O6986" s="15">
        <f t="shared" si="592"/>
        <v>69173</v>
      </c>
      <c r="P6986" s="15">
        <f t="shared" si="591"/>
        <v>66.817676889640182</v>
      </c>
      <c r="Q6986" s="14">
        <v>5000</v>
      </c>
      <c r="R6986" s="12">
        <v>21</v>
      </c>
      <c r="S6986" s="12" t="s">
        <v>8518</v>
      </c>
      <c r="T6986" s="22">
        <f t="shared" si="593"/>
        <v>7</v>
      </c>
      <c r="U6986" s="22">
        <f t="shared" si="594"/>
        <v>2023</v>
      </c>
      <c r="V6986" s="22" t="str">
        <f t="shared" si="595"/>
        <v>METROPOLITANA</v>
      </c>
    </row>
    <row r="6987" spans="1:22" x14ac:dyDescent="0.2">
      <c r="A6987" s="11" t="s">
        <v>8516</v>
      </c>
      <c r="B6987" s="12" t="s">
        <v>18</v>
      </c>
      <c r="C6987" s="12" t="s">
        <v>8237</v>
      </c>
      <c r="D6987" s="12" t="s">
        <v>20</v>
      </c>
      <c r="E6987" s="13">
        <v>78907355</v>
      </c>
      <c r="F6987" s="12" t="s">
        <v>129</v>
      </c>
      <c r="G6987" s="14">
        <v>3782.88</v>
      </c>
      <c r="H6987" s="12" t="s">
        <v>22</v>
      </c>
      <c r="I6987" s="12">
        <v>0</v>
      </c>
      <c r="J6987" s="12" t="s">
        <v>129</v>
      </c>
      <c r="K6987" s="12" t="s">
        <v>23</v>
      </c>
      <c r="L6987" s="12">
        <v>1</v>
      </c>
      <c r="M6987" s="15">
        <v>69173</v>
      </c>
      <c r="N6987" s="15">
        <v>0</v>
      </c>
      <c r="O6987" s="15">
        <f t="shared" si="592"/>
        <v>69173</v>
      </c>
      <c r="P6987" s="15">
        <f t="shared" si="591"/>
        <v>18.285803409042845</v>
      </c>
      <c r="Q6987" s="14">
        <v>5000</v>
      </c>
      <c r="R6987" s="12">
        <v>76</v>
      </c>
      <c r="S6987" s="12" t="s">
        <v>8519</v>
      </c>
      <c r="T6987" s="22">
        <f t="shared" si="593"/>
        <v>7</v>
      </c>
      <c r="U6987" s="22">
        <f t="shared" si="594"/>
        <v>2023</v>
      </c>
      <c r="V6987" s="22" t="str">
        <f t="shared" si="595"/>
        <v>METROPOLITANA</v>
      </c>
    </row>
    <row r="6988" spans="1:22" x14ac:dyDescent="0.2">
      <c r="A6988" s="11" t="s">
        <v>8516</v>
      </c>
      <c r="B6988" s="12" t="s">
        <v>33</v>
      </c>
      <c r="C6988" s="12" t="s">
        <v>8520</v>
      </c>
      <c r="D6988" s="12" t="s">
        <v>38</v>
      </c>
      <c r="E6988" s="13">
        <v>53173292</v>
      </c>
      <c r="F6988" s="12" t="s">
        <v>89</v>
      </c>
      <c r="G6988" s="14">
        <v>3512.400000000001</v>
      </c>
      <c r="H6988" s="12" t="s">
        <v>43</v>
      </c>
      <c r="I6988" s="12">
        <v>0</v>
      </c>
      <c r="J6988" s="12" t="s">
        <v>89</v>
      </c>
      <c r="K6988" s="12" t="s">
        <v>23</v>
      </c>
      <c r="L6988" s="12">
        <v>5</v>
      </c>
      <c r="M6988" s="15">
        <v>112500</v>
      </c>
      <c r="N6988" s="15">
        <v>0</v>
      </c>
      <c r="O6988" s="15">
        <f t="shared" si="592"/>
        <v>112500</v>
      </c>
      <c r="P6988" s="15">
        <f t="shared" si="591"/>
        <v>32.029381619405527</v>
      </c>
      <c r="Q6988" s="14">
        <v>10000</v>
      </c>
      <c r="R6988" s="12">
        <v>35</v>
      </c>
      <c r="S6988" s="12" t="s">
        <v>8521</v>
      </c>
      <c r="T6988" s="22">
        <f t="shared" si="593"/>
        <v>7</v>
      </c>
      <c r="U6988" s="22">
        <f t="shared" si="594"/>
        <v>2023</v>
      </c>
      <c r="V6988" s="22" t="str">
        <f t="shared" si="595"/>
        <v>METROPOLITANA</v>
      </c>
    </row>
    <row r="6989" spans="1:22" x14ac:dyDescent="0.2">
      <c r="A6989" s="11" t="s">
        <v>8516</v>
      </c>
      <c r="B6989" s="12" t="s">
        <v>33</v>
      </c>
      <c r="C6989" s="12" t="s">
        <v>1173</v>
      </c>
      <c r="D6989" s="12" t="s">
        <v>8219</v>
      </c>
      <c r="E6989" s="13">
        <v>73835526</v>
      </c>
      <c r="F6989" s="12" t="s">
        <v>182</v>
      </c>
      <c r="G6989" s="14">
        <f>2148.37975</f>
        <v>2148.3797500000001</v>
      </c>
      <c r="H6989" s="12" t="s">
        <v>24</v>
      </c>
      <c r="I6989" s="12">
        <v>1</v>
      </c>
      <c r="J6989" s="12" t="s">
        <v>182</v>
      </c>
      <c r="K6989" s="12" t="s">
        <v>23</v>
      </c>
      <c r="L6989" s="12">
        <v>4</v>
      </c>
      <c r="M6989" s="15">
        <v>69173</v>
      </c>
      <c r="N6989" s="15">
        <v>0</v>
      </c>
      <c r="O6989" s="15">
        <f t="shared" si="592"/>
        <v>69173</v>
      </c>
      <c r="P6989" s="15">
        <f t="shared" si="591"/>
        <v>32.197752748321143</v>
      </c>
      <c r="Q6989" s="14">
        <v>5000</v>
      </c>
      <c r="R6989" s="12">
        <v>65</v>
      </c>
      <c r="S6989" s="12" t="s">
        <v>8528</v>
      </c>
      <c r="T6989" s="22">
        <f t="shared" si="593"/>
        <v>7</v>
      </c>
      <c r="U6989" s="22">
        <f t="shared" si="594"/>
        <v>2023</v>
      </c>
      <c r="V6989" s="22" t="str">
        <f t="shared" si="595"/>
        <v>METROPOLITANA</v>
      </c>
    </row>
    <row r="6990" spans="1:22" x14ac:dyDescent="0.2">
      <c r="A6990" s="11" t="s">
        <v>8516</v>
      </c>
      <c r="B6990" s="12" t="s">
        <v>33</v>
      </c>
      <c r="C6990" s="12" t="s">
        <v>36</v>
      </c>
      <c r="D6990" s="12" t="s">
        <v>8219</v>
      </c>
      <c r="E6990" s="13">
        <v>73835526</v>
      </c>
      <c r="F6990" s="12" t="s">
        <v>376</v>
      </c>
      <c r="G6990" s="14">
        <v>4043.56</v>
      </c>
      <c r="H6990" s="12" t="s">
        <v>24</v>
      </c>
      <c r="I6990" s="12">
        <v>1</v>
      </c>
      <c r="J6990" s="12" t="s">
        <v>377</v>
      </c>
      <c r="K6990" s="12" t="s">
        <v>23</v>
      </c>
      <c r="L6990" s="12">
        <v>4</v>
      </c>
      <c r="M6990" s="15">
        <v>69173</v>
      </c>
      <c r="N6990" s="15">
        <v>0</v>
      </c>
      <c r="O6990" s="15">
        <f t="shared" si="592"/>
        <v>69173</v>
      </c>
      <c r="P6990" s="15">
        <f t="shared" si="591"/>
        <v>17.106955257248565</v>
      </c>
      <c r="Q6990" s="14">
        <v>5000</v>
      </c>
      <c r="R6990" s="12">
        <v>81</v>
      </c>
      <c r="S6990" s="12" t="s">
        <v>8522</v>
      </c>
      <c r="T6990" s="22">
        <f t="shared" si="593"/>
        <v>7</v>
      </c>
      <c r="U6990" s="22">
        <f t="shared" si="594"/>
        <v>2023</v>
      </c>
      <c r="V6990" s="22" t="str">
        <f t="shared" si="595"/>
        <v>METROPOLITANA</v>
      </c>
    </row>
    <row r="6991" spans="1:22" x14ac:dyDescent="0.2">
      <c r="A6991" s="11" t="s">
        <v>8516</v>
      </c>
      <c r="B6991" s="12" t="s">
        <v>33</v>
      </c>
      <c r="C6991" s="12" t="s">
        <v>29</v>
      </c>
      <c r="D6991" s="12" t="s">
        <v>7814</v>
      </c>
      <c r="E6991" s="13">
        <v>121384531</v>
      </c>
      <c r="F6991" s="12" t="s">
        <v>114</v>
      </c>
      <c r="G6991" s="14">
        <v>21904.5</v>
      </c>
      <c r="H6991" s="12" t="s">
        <v>24</v>
      </c>
      <c r="I6991" s="12">
        <v>1</v>
      </c>
      <c r="J6991" s="12" t="s">
        <v>114</v>
      </c>
      <c r="K6991" s="12" t="s">
        <v>75</v>
      </c>
      <c r="L6991" s="12">
        <v>0</v>
      </c>
      <c r="M6991" s="15">
        <v>528000</v>
      </c>
      <c r="N6991" s="15">
        <v>0</v>
      </c>
      <c r="O6991" s="15">
        <f t="shared" si="592"/>
        <v>528000</v>
      </c>
      <c r="P6991" s="15">
        <f t="shared" si="591"/>
        <v>24.104636033691708</v>
      </c>
      <c r="Q6991" s="14">
        <v>14000</v>
      </c>
      <c r="R6991" s="12">
        <v>100</v>
      </c>
      <c r="S6991" s="12" t="s">
        <v>8523</v>
      </c>
      <c r="T6991" s="22">
        <f t="shared" si="593"/>
        <v>7</v>
      </c>
      <c r="U6991" s="22">
        <f t="shared" si="594"/>
        <v>2023</v>
      </c>
      <c r="V6991" s="22" t="str">
        <f t="shared" si="595"/>
        <v>REGIONES</v>
      </c>
    </row>
    <row r="6992" spans="1:22" x14ac:dyDescent="0.2">
      <c r="A6992" s="11" t="s">
        <v>8516</v>
      </c>
      <c r="B6992" s="12" t="s">
        <v>33</v>
      </c>
      <c r="C6992" s="12" t="s">
        <v>29</v>
      </c>
      <c r="D6992" s="12" t="s">
        <v>41</v>
      </c>
      <c r="E6992" s="13">
        <v>125108660</v>
      </c>
      <c r="F6992" s="12" t="s">
        <v>39</v>
      </c>
      <c r="G6992" s="14">
        <v>12421.49</v>
      </c>
      <c r="H6992" s="12" t="s">
        <v>43</v>
      </c>
      <c r="I6992" s="12">
        <v>0</v>
      </c>
      <c r="J6992" s="12" t="s">
        <v>39</v>
      </c>
      <c r="K6992" s="12" t="s">
        <v>23</v>
      </c>
      <c r="L6992" s="12">
        <v>1</v>
      </c>
      <c r="M6992" s="15">
        <v>136636</v>
      </c>
      <c r="N6992" s="15">
        <v>0</v>
      </c>
      <c r="O6992" s="15">
        <f t="shared" si="592"/>
        <v>136636</v>
      </c>
      <c r="P6992" s="15">
        <f t="shared" si="591"/>
        <v>10.99996860280047</v>
      </c>
      <c r="Q6992" s="14">
        <v>5000</v>
      </c>
      <c r="R6992" s="12">
        <v>100</v>
      </c>
      <c r="S6992" s="12" t="s">
        <v>8524</v>
      </c>
      <c r="T6992" s="22">
        <f t="shared" si="593"/>
        <v>7</v>
      </c>
      <c r="U6992" s="22">
        <f t="shared" si="594"/>
        <v>2023</v>
      </c>
      <c r="V6992" s="22" t="str">
        <f t="shared" si="595"/>
        <v>METROPOLITANA</v>
      </c>
    </row>
    <row r="6993" spans="1:22" x14ac:dyDescent="0.2">
      <c r="A6993" s="11" t="s">
        <v>8516</v>
      </c>
      <c r="B6993" s="12" t="s">
        <v>33</v>
      </c>
      <c r="C6993" s="12" t="s">
        <v>29</v>
      </c>
      <c r="D6993" s="12" t="s">
        <v>164</v>
      </c>
      <c r="E6993" s="13">
        <v>154837728</v>
      </c>
      <c r="F6993" s="12" t="s">
        <v>39</v>
      </c>
      <c r="G6993" s="14">
        <v>18775.55</v>
      </c>
      <c r="H6993" s="12" t="s">
        <v>22</v>
      </c>
      <c r="I6993" s="12">
        <v>1</v>
      </c>
      <c r="J6993" s="12" t="s">
        <v>39</v>
      </c>
      <c r="K6993" s="12" t="s">
        <v>23</v>
      </c>
      <c r="L6993" s="12">
        <v>1</v>
      </c>
      <c r="M6993" s="15">
        <v>206531</v>
      </c>
      <c r="N6993" s="15">
        <v>0</v>
      </c>
      <c r="O6993" s="15">
        <f t="shared" si="592"/>
        <v>206531</v>
      </c>
      <c r="P6993" s="15">
        <f t="shared" si="591"/>
        <v>10.999997336962167</v>
      </c>
      <c r="Q6993" s="14">
        <v>5000</v>
      </c>
      <c r="R6993" s="12">
        <v>100</v>
      </c>
      <c r="S6993" s="12" t="s">
        <v>8525</v>
      </c>
      <c r="T6993" s="22">
        <f t="shared" si="593"/>
        <v>7</v>
      </c>
      <c r="U6993" s="22">
        <f t="shared" si="594"/>
        <v>2023</v>
      </c>
      <c r="V6993" s="22" t="str">
        <f t="shared" si="595"/>
        <v>METROPOLITANA</v>
      </c>
    </row>
    <row r="6994" spans="1:22" x14ac:dyDescent="0.2">
      <c r="A6994" s="11" t="s">
        <v>8516</v>
      </c>
      <c r="B6994" s="12" t="s">
        <v>33</v>
      </c>
      <c r="C6994" s="12" t="s">
        <v>44</v>
      </c>
      <c r="D6994" s="12" t="s">
        <v>7831</v>
      </c>
      <c r="E6994" s="13">
        <v>137998513</v>
      </c>
      <c r="F6994" s="12" t="s">
        <v>2308</v>
      </c>
      <c r="G6994" s="14">
        <f>5445.46+4470</f>
        <v>9915.4599999999991</v>
      </c>
      <c r="H6994" s="12" t="s">
        <v>24</v>
      </c>
      <c r="I6994" s="12">
        <v>1</v>
      </c>
      <c r="J6994" s="12" t="s">
        <v>2308</v>
      </c>
      <c r="K6994" s="12" t="s">
        <v>2309</v>
      </c>
      <c r="L6994" s="12">
        <v>0</v>
      </c>
      <c r="M6994" s="15">
        <v>1100000</v>
      </c>
      <c r="N6994" s="15">
        <v>0</v>
      </c>
      <c r="O6994" s="15">
        <f t="shared" si="592"/>
        <v>1100000</v>
      </c>
      <c r="P6994" s="15">
        <f t="shared" si="591"/>
        <v>110.93786874234782</v>
      </c>
      <c r="Q6994" s="14">
        <v>14000</v>
      </c>
      <c r="R6994" s="12">
        <v>75</v>
      </c>
      <c r="S6994" s="12" t="s">
        <v>8529</v>
      </c>
      <c r="T6994" s="22">
        <f t="shared" si="593"/>
        <v>7</v>
      </c>
      <c r="U6994" s="22">
        <f t="shared" si="594"/>
        <v>2023</v>
      </c>
      <c r="V6994" s="22" t="str">
        <f t="shared" si="595"/>
        <v>REGIONES</v>
      </c>
    </row>
    <row r="6995" spans="1:22" x14ac:dyDescent="0.2">
      <c r="A6995" s="11" t="s">
        <v>8516</v>
      </c>
      <c r="B6995" s="12" t="s">
        <v>33</v>
      </c>
      <c r="C6995" s="12" t="s">
        <v>44</v>
      </c>
      <c r="D6995" s="12" t="s">
        <v>35</v>
      </c>
      <c r="E6995" s="13">
        <v>99626232</v>
      </c>
      <c r="F6995" s="12" t="s">
        <v>95</v>
      </c>
      <c r="G6995" s="14">
        <v>2628.1400000000008</v>
      </c>
      <c r="H6995" s="12" t="s">
        <v>22</v>
      </c>
      <c r="I6995" s="12">
        <v>0</v>
      </c>
      <c r="J6995" s="12" t="s">
        <v>95</v>
      </c>
      <c r="K6995" s="12" t="s">
        <v>23</v>
      </c>
      <c r="L6995" s="12">
        <v>4</v>
      </c>
      <c r="M6995" s="15">
        <v>69173</v>
      </c>
      <c r="N6995" s="15">
        <v>0</v>
      </c>
      <c r="O6995" s="15">
        <f t="shared" si="592"/>
        <v>69173</v>
      </c>
      <c r="P6995" s="15">
        <f t="shared" si="591"/>
        <v>26.320135152617432</v>
      </c>
      <c r="Q6995" s="14">
        <v>5000</v>
      </c>
      <c r="R6995" s="12">
        <v>53</v>
      </c>
      <c r="S6995" s="12" t="s">
        <v>8526</v>
      </c>
      <c r="T6995" s="22">
        <f t="shared" si="593"/>
        <v>7</v>
      </c>
      <c r="U6995" s="22">
        <f t="shared" si="594"/>
        <v>2023</v>
      </c>
      <c r="V6995" s="22" t="str">
        <f t="shared" si="595"/>
        <v>METROPOLITANA</v>
      </c>
    </row>
    <row r="6996" spans="1:22" x14ac:dyDescent="0.2">
      <c r="A6996" s="11" t="s">
        <v>8516</v>
      </c>
      <c r="B6996" s="12" t="s">
        <v>33</v>
      </c>
      <c r="C6996" s="12" t="s">
        <v>44</v>
      </c>
      <c r="D6996" s="12" t="s">
        <v>20</v>
      </c>
      <c r="E6996" s="13">
        <v>78907355</v>
      </c>
      <c r="F6996" s="12" t="s">
        <v>48</v>
      </c>
      <c r="G6996" s="14">
        <v>2949.72</v>
      </c>
      <c r="H6996" s="12" t="s">
        <v>22</v>
      </c>
      <c r="I6996" s="12">
        <v>0</v>
      </c>
      <c r="J6996" s="12" t="s">
        <v>48</v>
      </c>
      <c r="K6996" s="12" t="s">
        <v>23</v>
      </c>
      <c r="L6996" s="12">
        <v>1</v>
      </c>
      <c r="M6996" s="15">
        <v>69173</v>
      </c>
      <c r="N6996" s="15">
        <v>0</v>
      </c>
      <c r="O6996" s="15">
        <f t="shared" si="592"/>
        <v>69173</v>
      </c>
      <c r="P6996" s="15">
        <f t="shared" si="591"/>
        <v>23.450700405462214</v>
      </c>
      <c r="Q6996" s="14">
        <v>5000</v>
      </c>
      <c r="R6996" s="12">
        <v>59</v>
      </c>
      <c r="S6996" s="12" t="s">
        <v>8527</v>
      </c>
      <c r="T6996" s="22">
        <f t="shared" si="593"/>
        <v>7</v>
      </c>
      <c r="U6996" s="22">
        <f t="shared" si="594"/>
        <v>2023</v>
      </c>
      <c r="V6996" s="22" t="str">
        <f t="shared" si="595"/>
        <v>METROPOLITANA</v>
      </c>
    </row>
    <row r="6997" spans="1:22" x14ac:dyDescent="0.2">
      <c r="A6997" s="23" t="s">
        <v>8530</v>
      </c>
      <c r="B6997" s="22" t="s">
        <v>18</v>
      </c>
      <c r="C6997" s="22" t="s">
        <v>7400</v>
      </c>
      <c r="D6997" s="22" t="s">
        <v>20</v>
      </c>
      <c r="E6997" s="24">
        <v>81417709</v>
      </c>
      <c r="F6997" s="22" t="s">
        <v>230</v>
      </c>
      <c r="G6997" s="25">
        <v>8566.2300000000014</v>
      </c>
      <c r="H6997" s="22" t="s">
        <v>22</v>
      </c>
      <c r="I6997" s="22">
        <v>0</v>
      </c>
      <c r="J6997" s="22" t="s">
        <v>230</v>
      </c>
      <c r="K6997" s="22" t="s">
        <v>23</v>
      </c>
      <c r="L6997" s="22">
        <v>4</v>
      </c>
      <c r="M6997" s="26">
        <v>94229</v>
      </c>
      <c r="N6997" s="26">
        <v>0</v>
      </c>
      <c r="O6997" s="15">
        <f t="shared" si="592"/>
        <v>94229</v>
      </c>
      <c r="P6997" s="15">
        <f t="shared" si="591"/>
        <v>11.000054866609931</v>
      </c>
      <c r="Q6997" s="25">
        <v>5000</v>
      </c>
      <c r="R6997" s="22">
        <v>100</v>
      </c>
      <c r="S6997" s="22" t="s">
        <v>8531</v>
      </c>
      <c r="T6997" s="22">
        <f t="shared" si="593"/>
        <v>7</v>
      </c>
      <c r="U6997" s="22">
        <f t="shared" si="594"/>
        <v>2023</v>
      </c>
      <c r="V6997" s="22" t="str">
        <f t="shared" si="595"/>
        <v>METROPOLITANA</v>
      </c>
    </row>
    <row r="6998" spans="1:22" x14ac:dyDescent="0.2">
      <c r="A6998" s="23" t="s">
        <v>8530</v>
      </c>
      <c r="B6998" s="22" t="s">
        <v>18</v>
      </c>
      <c r="C6998" s="22" t="s">
        <v>8517</v>
      </c>
      <c r="D6998" s="22" t="s">
        <v>38</v>
      </c>
      <c r="E6998" s="24">
        <v>53173292</v>
      </c>
      <c r="F6998" s="22" t="s">
        <v>26</v>
      </c>
      <c r="G6998" s="25">
        <v>7229.79</v>
      </c>
      <c r="H6998" s="22" t="s">
        <v>43</v>
      </c>
      <c r="I6998" s="22">
        <v>0</v>
      </c>
      <c r="J6998" s="22" t="s">
        <v>26</v>
      </c>
      <c r="K6998" s="22" t="s">
        <v>23</v>
      </c>
      <c r="L6998" s="22">
        <v>4</v>
      </c>
      <c r="M6998" s="26">
        <v>79528</v>
      </c>
      <c r="N6998" s="26">
        <v>0</v>
      </c>
      <c r="O6998" s="15">
        <f t="shared" si="592"/>
        <v>79528</v>
      </c>
      <c r="P6998" s="15">
        <f t="shared" si="591"/>
        <v>11.000042878147221</v>
      </c>
      <c r="Q6998" s="25">
        <v>5000</v>
      </c>
      <c r="R6998" s="22">
        <v>100</v>
      </c>
      <c r="S6998" s="22" t="s">
        <v>8532</v>
      </c>
      <c r="T6998" s="22">
        <f t="shared" si="593"/>
        <v>7</v>
      </c>
      <c r="U6998" s="22">
        <f t="shared" si="594"/>
        <v>2023</v>
      </c>
      <c r="V6998" s="22" t="str">
        <f t="shared" si="595"/>
        <v>METROPOLITANA</v>
      </c>
    </row>
    <row r="6999" spans="1:22" x14ac:dyDescent="0.2">
      <c r="A6999" s="23" t="s">
        <v>8530</v>
      </c>
      <c r="B6999" s="22" t="s">
        <v>18</v>
      </c>
      <c r="C6999" s="22" t="s">
        <v>29</v>
      </c>
      <c r="D6999" s="22" t="s">
        <v>8219</v>
      </c>
      <c r="E6999" s="24">
        <v>73835526</v>
      </c>
      <c r="F6999" s="22" t="s">
        <v>182</v>
      </c>
      <c r="G6999" s="25">
        <v>3654</v>
      </c>
      <c r="H6999" s="22" t="s">
        <v>24</v>
      </c>
      <c r="I6999" s="22">
        <v>1</v>
      </c>
      <c r="J6999" s="22" t="s">
        <v>182</v>
      </c>
      <c r="K6999" s="22" t="s">
        <v>23</v>
      </c>
      <c r="L6999" s="22">
        <v>4</v>
      </c>
      <c r="M6999" s="26">
        <v>69173</v>
      </c>
      <c r="N6999" s="26">
        <v>0</v>
      </c>
      <c r="O6999" s="15">
        <f t="shared" si="592"/>
        <v>69173</v>
      </c>
      <c r="P6999" s="15">
        <f t="shared" si="591"/>
        <v>18.930760810071156</v>
      </c>
      <c r="Q6999" s="25">
        <v>5000</v>
      </c>
      <c r="R6999" s="22">
        <v>73</v>
      </c>
      <c r="S6999" s="22" t="s">
        <v>8533</v>
      </c>
      <c r="T6999" s="22">
        <f t="shared" si="593"/>
        <v>7</v>
      </c>
      <c r="U6999" s="22">
        <f t="shared" si="594"/>
        <v>2023</v>
      </c>
      <c r="V6999" s="22" t="str">
        <f t="shared" si="595"/>
        <v>METROPOLITANA</v>
      </c>
    </row>
    <row r="7000" spans="1:22" x14ac:dyDescent="0.2">
      <c r="A7000" s="23" t="s">
        <v>8530</v>
      </c>
      <c r="B7000" s="22" t="s">
        <v>33</v>
      </c>
      <c r="C7000" s="22" t="s">
        <v>57</v>
      </c>
      <c r="D7000" s="22" t="s">
        <v>38</v>
      </c>
      <c r="E7000" s="24">
        <v>53173292</v>
      </c>
      <c r="F7000" s="22" t="s">
        <v>51</v>
      </c>
      <c r="G7000" s="25">
        <v>2187.87</v>
      </c>
      <c r="H7000" s="22" t="s">
        <v>43</v>
      </c>
      <c r="I7000" s="22">
        <v>0</v>
      </c>
      <c r="J7000" s="22" t="s">
        <v>51</v>
      </c>
      <c r="K7000" s="22" t="s">
        <v>23</v>
      </c>
      <c r="L7000" s="22">
        <v>4</v>
      </c>
      <c r="M7000" s="26">
        <v>69173</v>
      </c>
      <c r="N7000" s="26">
        <v>0</v>
      </c>
      <c r="O7000" s="15">
        <f t="shared" si="592"/>
        <v>69173</v>
      </c>
      <c r="P7000" s="15">
        <f t="shared" si="591"/>
        <v>31.616595135908444</v>
      </c>
      <c r="Q7000" s="25">
        <v>5000</v>
      </c>
      <c r="R7000" s="22">
        <v>44</v>
      </c>
      <c r="S7000" s="22" t="s">
        <v>8534</v>
      </c>
      <c r="T7000" s="22">
        <f t="shared" si="593"/>
        <v>7</v>
      </c>
      <c r="U7000" s="22">
        <f t="shared" si="594"/>
        <v>2023</v>
      </c>
      <c r="V7000" s="22" t="str">
        <f t="shared" si="595"/>
        <v>METROPOLITANA</v>
      </c>
    </row>
    <row r="7001" spans="1:22" x14ac:dyDescent="0.2">
      <c r="A7001" s="23" t="s">
        <v>8530</v>
      </c>
      <c r="B7001" s="22" t="s">
        <v>33</v>
      </c>
      <c r="C7001" s="22" t="s">
        <v>128</v>
      </c>
      <c r="D7001" s="22" t="s">
        <v>35</v>
      </c>
      <c r="E7001" s="24">
        <v>99626232</v>
      </c>
      <c r="F7001" s="22" t="s">
        <v>129</v>
      </c>
      <c r="G7001" s="25">
        <f>2169.6+1876</f>
        <v>4045.6</v>
      </c>
      <c r="H7001" s="22" t="s">
        <v>22</v>
      </c>
      <c r="I7001" s="22">
        <v>0</v>
      </c>
      <c r="J7001" s="22" t="s">
        <v>129</v>
      </c>
      <c r="K7001" s="22" t="s">
        <v>23</v>
      </c>
      <c r="L7001" s="22">
        <v>1</v>
      </c>
      <c r="M7001" s="26">
        <v>69173</v>
      </c>
      <c r="N7001" s="26">
        <v>0</v>
      </c>
      <c r="O7001" s="15">
        <f t="shared" si="592"/>
        <v>69173</v>
      </c>
      <c r="P7001" s="15">
        <f t="shared" si="591"/>
        <v>17.098329048843187</v>
      </c>
      <c r="Q7001" s="25">
        <v>5000</v>
      </c>
      <c r="R7001" s="22">
        <v>65</v>
      </c>
      <c r="S7001" s="22" t="s">
        <v>8537</v>
      </c>
      <c r="T7001" s="22">
        <f t="shared" si="593"/>
        <v>7</v>
      </c>
      <c r="U7001" s="22">
        <f t="shared" si="594"/>
        <v>2023</v>
      </c>
      <c r="V7001" s="22" t="str">
        <f t="shared" si="595"/>
        <v>METROPOLITANA</v>
      </c>
    </row>
    <row r="7002" spans="1:22" x14ac:dyDescent="0.2">
      <c r="A7002" s="23" t="s">
        <v>8530</v>
      </c>
      <c r="B7002" s="22" t="s">
        <v>33</v>
      </c>
      <c r="C7002" s="22" t="s">
        <v>29</v>
      </c>
      <c r="D7002" s="22" t="s">
        <v>164</v>
      </c>
      <c r="E7002" s="24">
        <v>154837728</v>
      </c>
      <c r="F7002" s="22" t="s">
        <v>39</v>
      </c>
      <c r="G7002" s="25">
        <v>24954.59</v>
      </c>
      <c r="H7002" s="22" t="s">
        <v>22</v>
      </c>
      <c r="I7002" s="22">
        <v>1</v>
      </c>
      <c r="J7002" s="22" t="s">
        <v>39</v>
      </c>
      <c r="K7002" s="22" t="s">
        <v>23</v>
      </c>
      <c r="L7002" s="22">
        <v>1</v>
      </c>
      <c r="M7002" s="26">
        <v>274500</v>
      </c>
      <c r="N7002" s="26">
        <v>0</v>
      </c>
      <c r="O7002" s="15">
        <f t="shared" si="592"/>
        <v>274500</v>
      </c>
      <c r="P7002" s="15">
        <f t="shared" si="591"/>
        <v>10.999980364333776</v>
      </c>
      <c r="Q7002" s="25">
        <v>5000</v>
      </c>
      <c r="R7002" s="22">
        <v>100</v>
      </c>
      <c r="S7002" s="22" t="s">
        <v>8535</v>
      </c>
      <c r="T7002" s="22">
        <f t="shared" si="593"/>
        <v>7</v>
      </c>
      <c r="U7002" s="22">
        <f t="shared" si="594"/>
        <v>2023</v>
      </c>
      <c r="V7002" s="22" t="str">
        <f t="shared" si="595"/>
        <v>METROPOLITANA</v>
      </c>
    </row>
    <row r="7003" spans="1:22" x14ac:dyDescent="0.2">
      <c r="A7003" s="23" t="s">
        <v>8530</v>
      </c>
      <c r="B7003" s="22" t="s">
        <v>33</v>
      </c>
      <c r="C7003" s="22" t="s">
        <v>44</v>
      </c>
      <c r="D7003" s="22" t="s">
        <v>20</v>
      </c>
      <c r="E7003" s="24">
        <v>81417709</v>
      </c>
      <c r="F7003" s="22" t="s">
        <v>94</v>
      </c>
      <c r="G7003" s="25">
        <v>4015.8</v>
      </c>
      <c r="H7003" s="22" t="s">
        <v>22</v>
      </c>
      <c r="I7003" s="22">
        <v>0</v>
      </c>
      <c r="J7003" s="22" t="s">
        <v>59</v>
      </c>
      <c r="K7003" s="22" t="s">
        <v>78</v>
      </c>
      <c r="L7003" s="22">
        <v>0</v>
      </c>
      <c r="M7003" s="26">
        <v>227000</v>
      </c>
      <c r="N7003" s="26">
        <v>0</v>
      </c>
      <c r="O7003" s="15">
        <f t="shared" si="592"/>
        <v>227000</v>
      </c>
      <c r="P7003" s="15">
        <f t="shared" si="591"/>
        <v>56.526719458140342</v>
      </c>
      <c r="Q7003" s="25">
        <v>5000</v>
      </c>
      <c r="R7003" s="22">
        <v>85</v>
      </c>
      <c r="S7003" s="22" t="s">
        <v>8536</v>
      </c>
      <c r="T7003" s="22">
        <f t="shared" si="593"/>
        <v>7</v>
      </c>
      <c r="U7003" s="22">
        <f t="shared" si="594"/>
        <v>2023</v>
      </c>
      <c r="V7003" s="22" t="str">
        <f t="shared" si="595"/>
        <v>REGIONES</v>
      </c>
    </row>
    <row r="7004" spans="1:22" x14ac:dyDescent="0.2">
      <c r="A7004" s="11" t="s">
        <v>8538</v>
      </c>
      <c r="B7004" s="12" t="s">
        <v>18</v>
      </c>
      <c r="C7004" s="12" t="s">
        <v>19</v>
      </c>
      <c r="D7004" s="12" t="s">
        <v>38</v>
      </c>
      <c r="E7004" s="13">
        <v>53173292</v>
      </c>
      <c r="F7004" s="12" t="s">
        <v>161</v>
      </c>
      <c r="G7004" s="14">
        <v>13109.819999999991</v>
      </c>
      <c r="H7004" s="12" t="s">
        <v>43</v>
      </c>
      <c r="I7004" s="12">
        <v>0</v>
      </c>
      <c r="J7004" s="12" t="s">
        <v>161</v>
      </c>
      <c r="K7004" s="12" t="s">
        <v>23</v>
      </c>
      <c r="L7004" s="12">
        <v>5</v>
      </c>
      <c r="M7004" s="15">
        <v>112500</v>
      </c>
      <c r="N7004" s="15">
        <v>0</v>
      </c>
      <c r="O7004" s="15">
        <f t="shared" si="592"/>
        <v>112500</v>
      </c>
      <c r="P7004" s="15">
        <f t="shared" si="591"/>
        <v>8.5813535197279656</v>
      </c>
      <c r="Q7004" s="14">
        <v>10000</v>
      </c>
      <c r="R7004" s="12">
        <v>100</v>
      </c>
      <c r="S7004" s="12" t="s">
        <v>8539</v>
      </c>
      <c r="T7004" s="22">
        <f t="shared" si="593"/>
        <v>7</v>
      </c>
      <c r="U7004" s="22">
        <f t="shared" si="594"/>
        <v>2023</v>
      </c>
      <c r="V7004" s="22" t="str">
        <f t="shared" si="595"/>
        <v>METROPOLITANA</v>
      </c>
    </row>
    <row r="7005" spans="1:22" x14ac:dyDescent="0.2">
      <c r="A7005" s="11" t="s">
        <v>8538</v>
      </c>
      <c r="B7005" s="12" t="s">
        <v>18</v>
      </c>
      <c r="C7005" s="12" t="s">
        <v>19</v>
      </c>
      <c r="D7005" s="12" t="s">
        <v>7814</v>
      </c>
      <c r="E7005" s="13">
        <v>121384531</v>
      </c>
      <c r="F7005" s="12" t="s">
        <v>92</v>
      </c>
      <c r="G7005" s="14">
        <v>17635.29</v>
      </c>
      <c r="H7005" s="12" t="s">
        <v>24</v>
      </c>
      <c r="I7005" s="12">
        <v>1</v>
      </c>
      <c r="J7005" s="12" t="s">
        <v>92</v>
      </c>
      <c r="K7005" s="12" t="s">
        <v>93</v>
      </c>
      <c r="L7005" s="12">
        <v>0</v>
      </c>
      <c r="M7005" s="15">
        <v>900000</v>
      </c>
      <c r="N7005" s="15">
        <v>0</v>
      </c>
      <c r="O7005" s="15">
        <f t="shared" si="592"/>
        <v>900000</v>
      </c>
      <c r="P7005" s="15">
        <f t="shared" ref="P7005:P7068" si="596">O7005/G7005</f>
        <v>51.034034597673184</v>
      </c>
      <c r="Q7005" s="14">
        <v>14000</v>
      </c>
      <c r="R7005" s="12">
        <v>100</v>
      </c>
      <c r="S7005" s="12" t="s">
        <v>8540</v>
      </c>
      <c r="T7005" s="22">
        <f t="shared" si="593"/>
        <v>7</v>
      </c>
      <c r="U7005" s="22">
        <f t="shared" si="594"/>
        <v>2023</v>
      </c>
      <c r="V7005" s="22" t="str">
        <f t="shared" si="595"/>
        <v>REGIONES</v>
      </c>
    </row>
    <row r="7006" spans="1:22" x14ac:dyDescent="0.2">
      <c r="A7006" s="11" t="s">
        <v>8538</v>
      </c>
      <c r="B7006" s="12" t="s">
        <v>18</v>
      </c>
      <c r="C7006" s="12" t="s">
        <v>19</v>
      </c>
      <c r="D7006" s="12" t="s">
        <v>8219</v>
      </c>
      <c r="E7006" s="13">
        <v>73835526</v>
      </c>
      <c r="F7006" s="12" t="s">
        <v>161</v>
      </c>
      <c r="G7006" s="14">
        <v>10574.46</v>
      </c>
      <c r="H7006" s="12" t="s">
        <v>24</v>
      </c>
      <c r="I7006" s="12">
        <v>1</v>
      </c>
      <c r="J7006" s="12" t="s">
        <v>161</v>
      </c>
      <c r="K7006" s="12" t="s">
        <v>23</v>
      </c>
      <c r="L7006" s="12">
        <v>5</v>
      </c>
      <c r="M7006" s="15">
        <v>180000</v>
      </c>
      <c r="N7006" s="15">
        <v>0</v>
      </c>
      <c r="O7006" s="15">
        <f t="shared" si="592"/>
        <v>180000</v>
      </c>
      <c r="P7006" s="15">
        <f t="shared" si="596"/>
        <v>17.022145811701023</v>
      </c>
      <c r="Q7006" s="14">
        <v>10000</v>
      </c>
      <c r="R7006" s="12">
        <v>100</v>
      </c>
      <c r="S7006" s="12" t="s">
        <v>8541</v>
      </c>
      <c r="T7006" s="22">
        <f t="shared" si="593"/>
        <v>7</v>
      </c>
      <c r="U7006" s="22">
        <f t="shared" si="594"/>
        <v>2023</v>
      </c>
      <c r="V7006" s="22" t="str">
        <f t="shared" si="595"/>
        <v>METROPOLITANA</v>
      </c>
    </row>
    <row r="7007" spans="1:22" x14ac:dyDescent="0.2">
      <c r="A7007" s="11" t="s">
        <v>8538</v>
      </c>
      <c r="B7007" s="12" t="s">
        <v>18</v>
      </c>
      <c r="C7007" s="12" t="s">
        <v>8517</v>
      </c>
      <c r="D7007" s="12" t="s">
        <v>41</v>
      </c>
      <c r="E7007" s="13">
        <v>125108660</v>
      </c>
      <c r="F7007" s="12" t="s">
        <v>26</v>
      </c>
      <c r="G7007" s="14">
        <v>5178.4399999999996</v>
      </c>
      <c r="H7007" s="12" t="s">
        <v>43</v>
      </c>
      <c r="I7007" s="12">
        <v>0</v>
      </c>
      <c r="J7007" s="12" t="s">
        <v>26</v>
      </c>
      <c r="K7007" s="12" t="s">
        <v>23</v>
      </c>
      <c r="L7007" s="12">
        <v>4</v>
      </c>
      <c r="M7007" s="15">
        <v>56963</v>
      </c>
      <c r="N7007" s="15">
        <v>0</v>
      </c>
      <c r="O7007" s="15">
        <f t="shared" si="592"/>
        <v>56963</v>
      </c>
      <c r="P7007" s="15">
        <f t="shared" si="596"/>
        <v>11.000030897335877</v>
      </c>
      <c r="Q7007" s="14">
        <v>5000</v>
      </c>
      <c r="R7007" s="12">
        <v>100</v>
      </c>
      <c r="S7007" s="12" t="s">
        <v>8542</v>
      </c>
      <c r="T7007" s="22">
        <f t="shared" si="593"/>
        <v>7</v>
      </c>
      <c r="U7007" s="22">
        <f t="shared" si="594"/>
        <v>2023</v>
      </c>
      <c r="V7007" s="22" t="str">
        <f t="shared" si="595"/>
        <v>METROPOLITANA</v>
      </c>
    </row>
    <row r="7008" spans="1:22" x14ac:dyDescent="0.2">
      <c r="A7008" s="11" t="s">
        <v>8538</v>
      </c>
      <c r="B7008" s="12" t="s">
        <v>33</v>
      </c>
      <c r="C7008" s="12" t="s">
        <v>29</v>
      </c>
      <c r="D7008" s="12" t="s">
        <v>41</v>
      </c>
      <c r="E7008" s="13">
        <v>125108660</v>
      </c>
      <c r="F7008" s="12" t="s">
        <v>173</v>
      </c>
      <c r="G7008" s="14">
        <v>3127.46</v>
      </c>
      <c r="H7008" s="12" t="s">
        <v>43</v>
      </c>
      <c r="I7008" s="12">
        <v>0</v>
      </c>
      <c r="J7008" s="12" t="s">
        <v>173</v>
      </c>
      <c r="K7008" s="12" t="s">
        <v>23</v>
      </c>
      <c r="L7008" s="12">
        <v>5</v>
      </c>
      <c r="M7008" s="15">
        <v>112500</v>
      </c>
      <c r="N7008" s="15">
        <v>0</v>
      </c>
      <c r="O7008" s="15">
        <f t="shared" si="592"/>
        <v>112500</v>
      </c>
      <c r="P7008" s="15">
        <f t="shared" si="596"/>
        <v>35.971683091070709</v>
      </c>
      <c r="Q7008" s="14">
        <v>10000</v>
      </c>
      <c r="R7008" s="12">
        <v>31</v>
      </c>
      <c r="S7008" s="12" t="s">
        <v>8543</v>
      </c>
      <c r="T7008" s="22">
        <f t="shared" si="593"/>
        <v>7</v>
      </c>
      <c r="U7008" s="22">
        <f t="shared" si="594"/>
        <v>2023</v>
      </c>
      <c r="V7008" s="22" t="str">
        <f t="shared" si="595"/>
        <v>METROPOLITANA</v>
      </c>
    </row>
    <row r="7009" spans="1:22" x14ac:dyDescent="0.2">
      <c r="A7009" s="11" t="s">
        <v>8538</v>
      </c>
      <c r="B7009" s="12" t="s">
        <v>33</v>
      </c>
      <c r="C7009" s="12" t="s">
        <v>44</v>
      </c>
      <c r="D7009" s="12" t="s">
        <v>5478</v>
      </c>
      <c r="E7009" s="13">
        <v>122975819</v>
      </c>
      <c r="F7009" s="12" t="s">
        <v>1105</v>
      </c>
      <c r="G7009" s="14">
        <v>10056.35</v>
      </c>
      <c r="H7009" s="12" t="s">
        <v>24</v>
      </c>
      <c r="I7009" s="12">
        <v>1</v>
      </c>
      <c r="J7009" s="12" t="s">
        <v>1105</v>
      </c>
      <c r="K7009" s="12" t="s">
        <v>873</v>
      </c>
      <c r="L7009" s="12">
        <v>0</v>
      </c>
      <c r="M7009" s="15">
        <v>1131000</v>
      </c>
      <c r="N7009" s="15">
        <v>0</v>
      </c>
      <c r="O7009" s="15">
        <f t="shared" si="592"/>
        <v>1131000</v>
      </c>
      <c r="P7009" s="15">
        <f t="shared" si="596"/>
        <v>112.46625266622581</v>
      </c>
      <c r="Q7009" s="14">
        <v>14000</v>
      </c>
      <c r="R7009" s="12">
        <v>72</v>
      </c>
      <c r="S7009" s="12" t="s">
        <v>8544</v>
      </c>
      <c r="T7009" s="22">
        <f t="shared" si="593"/>
        <v>7</v>
      </c>
      <c r="U7009" s="22">
        <f t="shared" si="594"/>
        <v>2023</v>
      </c>
      <c r="V7009" s="22" t="str">
        <f t="shared" si="595"/>
        <v>REGIONES</v>
      </c>
    </row>
    <row r="7010" spans="1:22" x14ac:dyDescent="0.2">
      <c r="A7010" s="11" t="s">
        <v>8538</v>
      </c>
      <c r="B7010" s="12" t="s">
        <v>33</v>
      </c>
      <c r="C7010" s="12" t="s">
        <v>44</v>
      </c>
      <c r="D7010" s="12" t="s">
        <v>2825</v>
      </c>
      <c r="E7010" s="13">
        <v>113693568</v>
      </c>
      <c r="F7010" s="12" t="s">
        <v>114</v>
      </c>
      <c r="G7010" s="14">
        <f>4018.16+2709</f>
        <v>6727.16</v>
      </c>
      <c r="H7010" s="12" t="s">
        <v>24</v>
      </c>
      <c r="I7010" s="12">
        <v>1</v>
      </c>
      <c r="J7010" s="12" t="s">
        <v>114</v>
      </c>
      <c r="K7010" s="12" t="s">
        <v>75</v>
      </c>
      <c r="L7010" s="12">
        <v>0</v>
      </c>
      <c r="M7010" s="15">
        <v>528000</v>
      </c>
      <c r="N7010" s="15">
        <v>0</v>
      </c>
      <c r="O7010" s="15">
        <f t="shared" si="592"/>
        <v>528000</v>
      </c>
      <c r="P7010" s="15">
        <f t="shared" si="596"/>
        <v>78.487801687487732</v>
      </c>
      <c r="Q7010" s="14">
        <v>14000</v>
      </c>
      <c r="R7010" s="12">
        <v>55</v>
      </c>
      <c r="S7010" s="12" t="s">
        <v>8548</v>
      </c>
      <c r="T7010" s="22">
        <f t="shared" si="593"/>
        <v>7</v>
      </c>
      <c r="U7010" s="22">
        <f t="shared" si="594"/>
        <v>2023</v>
      </c>
      <c r="V7010" s="22" t="str">
        <f t="shared" si="595"/>
        <v>REGIONES</v>
      </c>
    </row>
    <row r="7011" spans="1:22" x14ac:dyDescent="0.2">
      <c r="A7011" s="11" t="s">
        <v>8538</v>
      </c>
      <c r="B7011" s="12" t="s">
        <v>33</v>
      </c>
      <c r="C7011" s="12" t="s">
        <v>44</v>
      </c>
      <c r="D7011" s="12" t="s">
        <v>35</v>
      </c>
      <c r="E7011" s="13">
        <v>99626232</v>
      </c>
      <c r="F7011" s="12" t="s">
        <v>138</v>
      </c>
      <c r="G7011" s="14">
        <v>2626.26</v>
      </c>
      <c r="H7011" s="12" t="s">
        <v>22</v>
      </c>
      <c r="I7011" s="12">
        <v>0</v>
      </c>
      <c r="J7011" s="12" t="s">
        <v>138</v>
      </c>
      <c r="K7011" s="12" t="s">
        <v>23</v>
      </c>
      <c r="L7011" s="12">
        <v>3</v>
      </c>
      <c r="M7011" s="15">
        <v>69173</v>
      </c>
      <c r="N7011" s="15">
        <v>0</v>
      </c>
      <c r="O7011" s="15">
        <f t="shared" si="592"/>
        <v>69173</v>
      </c>
      <c r="P7011" s="15">
        <f t="shared" si="596"/>
        <v>26.338976338976337</v>
      </c>
      <c r="Q7011" s="14">
        <v>5000</v>
      </c>
      <c r="R7011" s="12">
        <v>53</v>
      </c>
      <c r="S7011" s="12" t="s">
        <v>8545</v>
      </c>
      <c r="T7011" s="22">
        <f t="shared" si="593"/>
        <v>7</v>
      </c>
      <c r="U7011" s="22">
        <f t="shared" si="594"/>
        <v>2023</v>
      </c>
      <c r="V7011" s="22" t="str">
        <f t="shared" si="595"/>
        <v>METROPOLITANA</v>
      </c>
    </row>
    <row r="7012" spans="1:22" x14ac:dyDescent="0.2">
      <c r="A7012" s="11" t="s">
        <v>8538</v>
      </c>
      <c r="B7012" s="12" t="s">
        <v>33</v>
      </c>
      <c r="C7012" s="12" t="s">
        <v>44</v>
      </c>
      <c r="D7012" s="12" t="s">
        <v>8219</v>
      </c>
      <c r="E7012" s="13">
        <v>73835526</v>
      </c>
      <c r="F7012" s="12" t="s">
        <v>554</v>
      </c>
      <c r="G7012" s="14">
        <v>2711.59</v>
      </c>
      <c r="H7012" s="12" t="s">
        <v>24</v>
      </c>
      <c r="I7012" s="12">
        <v>1</v>
      </c>
      <c r="J7012" s="12" t="s">
        <v>554</v>
      </c>
      <c r="K7012" s="12" t="s">
        <v>23</v>
      </c>
      <c r="L7012" s="12">
        <v>4</v>
      </c>
      <c r="M7012" s="15">
        <v>69173</v>
      </c>
      <c r="N7012" s="15">
        <v>0</v>
      </c>
      <c r="O7012" s="15">
        <f t="shared" si="592"/>
        <v>69173</v>
      </c>
      <c r="P7012" s="15">
        <f t="shared" si="596"/>
        <v>25.510125055779081</v>
      </c>
      <c r="Q7012" s="14">
        <v>5000</v>
      </c>
      <c r="R7012" s="12">
        <v>54</v>
      </c>
      <c r="S7012" s="12" t="s">
        <v>8546</v>
      </c>
      <c r="T7012" s="22">
        <f t="shared" si="593"/>
        <v>7</v>
      </c>
      <c r="U7012" s="22">
        <f t="shared" si="594"/>
        <v>2023</v>
      </c>
      <c r="V7012" s="22" t="str">
        <f t="shared" si="595"/>
        <v>METROPOLITANA</v>
      </c>
    </row>
    <row r="7013" spans="1:22" x14ac:dyDescent="0.2">
      <c r="A7013" s="11" t="s">
        <v>8538</v>
      </c>
      <c r="B7013" s="12" t="s">
        <v>33</v>
      </c>
      <c r="C7013" s="12" t="s">
        <v>44</v>
      </c>
      <c r="D7013" s="12" t="s">
        <v>20</v>
      </c>
      <c r="E7013" s="13">
        <v>107643206</v>
      </c>
      <c r="F7013" s="12" t="s">
        <v>48</v>
      </c>
      <c r="G7013" s="14">
        <v>2587.5100000000002</v>
      </c>
      <c r="H7013" s="12" t="s">
        <v>22</v>
      </c>
      <c r="I7013" s="12">
        <v>0</v>
      </c>
      <c r="J7013" s="12" t="s">
        <v>48</v>
      </c>
      <c r="K7013" s="12" t="s">
        <v>23</v>
      </c>
      <c r="L7013" s="12">
        <v>1</v>
      </c>
      <c r="M7013" s="15">
        <v>69173</v>
      </c>
      <c r="N7013" s="15">
        <v>0</v>
      </c>
      <c r="O7013" s="15">
        <f t="shared" si="592"/>
        <v>69173</v>
      </c>
      <c r="P7013" s="15">
        <f t="shared" si="596"/>
        <v>26.733423252470519</v>
      </c>
      <c r="Q7013" s="14">
        <v>5000</v>
      </c>
      <c r="R7013" s="12">
        <v>52</v>
      </c>
      <c r="S7013" s="12" t="s">
        <v>8547</v>
      </c>
      <c r="T7013" s="22">
        <f t="shared" si="593"/>
        <v>7</v>
      </c>
      <c r="U7013" s="22">
        <f t="shared" si="594"/>
        <v>2023</v>
      </c>
      <c r="V7013" s="22" t="str">
        <f t="shared" si="595"/>
        <v>METROPOLITANA</v>
      </c>
    </row>
    <row r="7014" spans="1:22" x14ac:dyDescent="0.2">
      <c r="A7014" s="23" t="s">
        <v>8549</v>
      </c>
      <c r="B7014" s="22" t="s">
        <v>18</v>
      </c>
      <c r="C7014" s="22" t="s">
        <v>19</v>
      </c>
      <c r="D7014" s="22" t="s">
        <v>8219</v>
      </c>
      <c r="E7014" s="24">
        <v>73835526</v>
      </c>
      <c r="F7014" s="22" t="s">
        <v>161</v>
      </c>
      <c r="G7014" s="25">
        <v>2737.4</v>
      </c>
      <c r="H7014" s="22" t="s">
        <v>24</v>
      </c>
      <c r="I7014" s="22">
        <v>0</v>
      </c>
      <c r="J7014" s="22" t="s">
        <v>161</v>
      </c>
      <c r="K7014" s="22" t="s">
        <v>23</v>
      </c>
      <c r="L7014" s="22">
        <v>5</v>
      </c>
      <c r="M7014" s="26">
        <v>180000</v>
      </c>
      <c r="N7014" s="26">
        <v>0</v>
      </c>
      <c r="O7014" s="15">
        <f t="shared" si="592"/>
        <v>180000</v>
      </c>
      <c r="P7014" s="15">
        <f t="shared" si="596"/>
        <v>65.75582669686564</v>
      </c>
      <c r="Q7014" s="25">
        <v>10000</v>
      </c>
      <c r="R7014" s="22">
        <v>57</v>
      </c>
      <c r="S7014" s="22" t="s">
        <v>8550</v>
      </c>
      <c r="T7014" s="22">
        <f t="shared" si="593"/>
        <v>7</v>
      </c>
      <c r="U7014" s="22">
        <f t="shared" si="594"/>
        <v>2023</v>
      </c>
      <c r="V7014" s="22" t="str">
        <f t="shared" si="595"/>
        <v>METROPOLITANA</v>
      </c>
    </row>
    <row r="7015" spans="1:22" x14ac:dyDescent="0.2">
      <c r="A7015" s="23" t="s">
        <v>8549</v>
      </c>
      <c r="B7015" s="22" t="s">
        <v>18</v>
      </c>
      <c r="C7015" s="22" t="s">
        <v>8229</v>
      </c>
      <c r="D7015" s="22" t="s">
        <v>38</v>
      </c>
      <c r="E7015" s="24">
        <v>53173292</v>
      </c>
      <c r="F7015" s="22" t="s">
        <v>26</v>
      </c>
      <c r="G7015" s="25">
        <v>5526.9999999999991</v>
      </c>
      <c r="H7015" s="22" t="s">
        <v>43</v>
      </c>
      <c r="I7015" s="22">
        <v>0</v>
      </c>
      <c r="J7015" s="22" t="s">
        <v>26</v>
      </c>
      <c r="K7015" s="22" t="s">
        <v>23</v>
      </c>
      <c r="L7015" s="22">
        <v>4</v>
      </c>
      <c r="M7015" s="26">
        <v>60797</v>
      </c>
      <c r="N7015" s="26">
        <v>0</v>
      </c>
      <c r="O7015" s="15">
        <f t="shared" si="592"/>
        <v>60797</v>
      </c>
      <c r="P7015" s="15">
        <f t="shared" si="596"/>
        <v>11.000000000000002</v>
      </c>
      <c r="Q7015" s="25">
        <v>5000</v>
      </c>
      <c r="R7015" s="22">
        <v>100</v>
      </c>
      <c r="S7015" s="22" t="s">
        <v>8551</v>
      </c>
      <c r="T7015" s="22">
        <f t="shared" si="593"/>
        <v>7</v>
      </c>
      <c r="U7015" s="22">
        <f t="shared" si="594"/>
        <v>2023</v>
      </c>
      <c r="V7015" s="22" t="str">
        <f t="shared" si="595"/>
        <v>METROPOLITANA</v>
      </c>
    </row>
    <row r="7016" spans="1:22" x14ac:dyDescent="0.2">
      <c r="A7016" s="23" t="s">
        <v>8549</v>
      </c>
      <c r="B7016" s="22" t="s">
        <v>33</v>
      </c>
      <c r="C7016" s="22" t="s">
        <v>60</v>
      </c>
      <c r="D7016" s="22" t="s">
        <v>20</v>
      </c>
      <c r="E7016" s="24">
        <v>107643206</v>
      </c>
      <c r="F7016" s="22" t="s">
        <v>120</v>
      </c>
      <c r="G7016" s="25">
        <v>7295</v>
      </c>
      <c r="H7016" s="22" t="s">
        <v>22</v>
      </c>
      <c r="I7016" s="22">
        <v>0</v>
      </c>
      <c r="J7016" s="22" t="s">
        <v>120</v>
      </c>
      <c r="K7016" s="22" t="s">
        <v>23</v>
      </c>
      <c r="L7016" s="22">
        <v>5</v>
      </c>
      <c r="M7016" s="26">
        <v>112500</v>
      </c>
      <c r="N7016" s="26">
        <v>0</v>
      </c>
      <c r="O7016" s="15">
        <f t="shared" si="592"/>
        <v>112500</v>
      </c>
      <c r="P7016" s="15">
        <f t="shared" si="596"/>
        <v>15.421521590130226</v>
      </c>
      <c r="Q7016" s="25">
        <v>10000</v>
      </c>
      <c r="R7016" s="22">
        <v>73</v>
      </c>
      <c r="S7016" s="22" t="s">
        <v>8552</v>
      </c>
      <c r="T7016" s="22">
        <f t="shared" si="593"/>
        <v>7</v>
      </c>
      <c r="U7016" s="22">
        <f t="shared" si="594"/>
        <v>2023</v>
      </c>
      <c r="V7016" s="22" t="str">
        <f t="shared" si="595"/>
        <v>METROPOLITANA</v>
      </c>
    </row>
    <row r="7017" spans="1:22" x14ac:dyDescent="0.2">
      <c r="A7017" s="23" t="s">
        <v>8549</v>
      </c>
      <c r="B7017" s="22" t="s">
        <v>33</v>
      </c>
      <c r="C7017" s="22" t="s">
        <v>8229</v>
      </c>
      <c r="D7017" s="22" t="s">
        <v>38</v>
      </c>
      <c r="E7017" s="24">
        <v>53173292</v>
      </c>
      <c r="F7017" s="22" t="s">
        <v>26</v>
      </c>
      <c r="G7017" s="25">
        <v>3911.5</v>
      </c>
      <c r="H7017" s="22" t="s">
        <v>43</v>
      </c>
      <c r="I7017" s="22">
        <v>0</v>
      </c>
      <c r="J7017" s="22" t="s">
        <v>26</v>
      </c>
      <c r="K7017" s="22" t="s">
        <v>23</v>
      </c>
      <c r="L7017" s="22">
        <v>4</v>
      </c>
      <c r="M7017" s="26">
        <v>69173</v>
      </c>
      <c r="N7017" s="26">
        <v>0</v>
      </c>
      <c r="O7017" s="15">
        <f t="shared" si="592"/>
        <v>69173</v>
      </c>
      <c r="P7017" s="15">
        <f t="shared" si="596"/>
        <v>17.684520005113129</v>
      </c>
      <c r="Q7017" s="25">
        <v>5000</v>
      </c>
      <c r="R7017" s="22">
        <v>78</v>
      </c>
      <c r="S7017" s="22" t="s">
        <v>8553</v>
      </c>
      <c r="T7017" s="22">
        <f t="shared" si="593"/>
        <v>7</v>
      </c>
      <c r="U7017" s="22">
        <f t="shared" si="594"/>
        <v>2023</v>
      </c>
      <c r="V7017" s="22" t="str">
        <f t="shared" si="595"/>
        <v>METROPOLITANA</v>
      </c>
    </row>
    <row r="7018" spans="1:22" x14ac:dyDescent="0.2">
      <c r="A7018" s="23" t="s">
        <v>8549</v>
      </c>
      <c r="B7018" s="22" t="s">
        <v>33</v>
      </c>
      <c r="C7018" s="22" t="s">
        <v>29</v>
      </c>
      <c r="D7018" s="22" t="s">
        <v>8219</v>
      </c>
      <c r="E7018" s="24">
        <v>73835526</v>
      </c>
      <c r="F7018" s="22" t="s">
        <v>39</v>
      </c>
      <c r="G7018" s="25">
        <v>12747.63</v>
      </c>
      <c r="H7018" s="22" t="s">
        <v>24</v>
      </c>
      <c r="I7018" s="22">
        <v>1</v>
      </c>
      <c r="J7018" s="22" t="s">
        <v>39</v>
      </c>
      <c r="K7018" s="22" t="s">
        <v>23</v>
      </c>
      <c r="L7018" s="22">
        <v>1</v>
      </c>
      <c r="M7018" s="26">
        <v>140224</v>
      </c>
      <c r="N7018" s="26">
        <v>0</v>
      </c>
      <c r="O7018" s="15">
        <f t="shared" si="592"/>
        <v>140224</v>
      </c>
      <c r="P7018" s="15">
        <f t="shared" si="596"/>
        <v>11.000005491216799</v>
      </c>
      <c r="Q7018" s="25">
        <v>5000</v>
      </c>
      <c r="R7018" s="22">
        <v>100</v>
      </c>
      <c r="S7018" s="22" t="s">
        <v>8554</v>
      </c>
      <c r="T7018" s="22">
        <f t="shared" si="593"/>
        <v>7</v>
      </c>
      <c r="U7018" s="22">
        <f t="shared" si="594"/>
        <v>2023</v>
      </c>
      <c r="V7018" s="22" t="str">
        <f t="shared" si="595"/>
        <v>METROPOLITANA</v>
      </c>
    </row>
    <row r="7019" spans="1:22" x14ac:dyDescent="0.2">
      <c r="A7019" s="23" t="s">
        <v>8549</v>
      </c>
      <c r="B7019" s="22" t="s">
        <v>33</v>
      </c>
      <c r="C7019" s="22" t="s">
        <v>29</v>
      </c>
      <c r="D7019" s="22" t="s">
        <v>164</v>
      </c>
      <c r="E7019" s="24">
        <v>154837728</v>
      </c>
      <c r="F7019" s="22" t="s">
        <v>39</v>
      </c>
      <c r="G7019" s="25">
        <v>20394.419999999991</v>
      </c>
      <c r="H7019" s="22" t="s">
        <v>22</v>
      </c>
      <c r="I7019" s="22">
        <v>1</v>
      </c>
      <c r="J7019" s="22" t="s">
        <v>39</v>
      </c>
      <c r="K7019" s="22" t="s">
        <v>23</v>
      </c>
      <c r="L7019" s="22">
        <v>1</v>
      </c>
      <c r="M7019" s="26">
        <v>224339</v>
      </c>
      <c r="N7019" s="26">
        <v>0</v>
      </c>
      <c r="O7019" s="15">
        <f t="shared" si="592"/>
        <v>224339</v>
      </c>
      <c r="P7019" s="15">
        <f t="shared" si="596"/>
        <v>11.000018632547535</v>
      </c>
      <c r="Q7019" s="25">
        <v>5000</v>
      </c>
      <c r="R7019" s="22">
        <v>100</v>
      </c>
      <c r="S7019" s="22" t="s">
        <v>8555</v>
      </c>
      <c r="T7019" s="22">
        <f t="shared" si="593"/>
        <v>7</v>
      </c>
      <c r="U7019" s="22">
        <f t="shared" si="594"/>
        <v>2023</v>
      </c>
      <c r="V7019" s="22" t="str">
        <f t="shared" si="595"/>
        <v>METROPOLITANA</v>
      </c>
    </row>
    <row r="7020" spans="1:22" x14ac:dyDescent="0.2">
      <c r="A7020" s="23" t="s">
        <v>8549</v>
      </c>
      <c r="B7020" s="22" t="s">
        <v>33</v>
      </c>
      <c r="C7020" s="22" t="s">
        <v>44</v>
      </c>
      <c r="D7020" s="22" t="s">
        <v>3641</v>
      </c>
      <c r="E7020" s="24">
        <v>100822326</v>
      </c>
      <c r="F7020" s="22" t="s">
        <v>876</v>
      </c>
      <c r="G7020" s="25">
        <v>3207</v>
      </c>
      <c r="H7020" s="22" t="s">
        <v>24</v>
      </c>
      <c r="I7020" s="22">
        <v>0</v>
      </c>
      <c r="J7020" s="22" t="s">
        <v>876</v>
      </c>
      <c r="K7020" s="22" t="s">
        <v>86</v>
      </c>
      <c r="L7020" s="22">
        <v>0</v>
      </c>
      <c r="M7020" s="26">
        <v>250000</v>
      </c>
      <c r="N7020" s="26">
        <v>0</v>
      </c>
      <c r="O7020" s="15">
        <f t="shared" si="592"/>
        <v>250000</v>
      </c>
      <c r="P7020" s="15">
        <f t="shared" si="596"/>
        <v>77.954474586841286</v>
      </c>
      <c r="Q7020" s="25">
        <v>14000</v>
      </c>
      <c r="R7020" s="22">
        <v>55</v>
      </c>
      <c r="S7020" s="22" t="s">
        <v>8556</v>
      </c>
      <c r="T7020" s="22">
        <f t="shared" si="593"/>
        <v>7</v>
      </c>
      <c r="U7020" s="22">
        <f t="shared" si="594"/>
        <v>2023</v>
      </c>
      <c r="V7020" s="22" t="str">
        <f t="shared" si="595"/>
        <v>REGIONES</v>
      </c>
    </row>
    <row r="7021" spans="1:22" x14ac:dyDescent="0.2">
      <c r="A7021" s="23" t="s">
        <v>8549</v>
      </c>
      <c r="B7021" s="22" t="s">
        <v>33</v>
      </c>
      <c r="C7021" s="22" t="s">
        <v>44</v>
      </c>
      <c r="D7021" s="22" t="s">
        <v>35</v>
      </c>
      <c r="E7021" s="24">
        <v>99626232</v>
      </c>
      <c r="F7021" s="22" t="s">
        <v>26</v>
      </c>
      <c r="G7021" s="25">
        <v>3340</v>
      </c>
      <c r="H7021" s="22" t="s">
        <v>22</v>
      </c>
      <c r="I7021" s="22">
        <v>0</v>
      </c>
      <c r="J7021" s="22" t="s">
        <v>26</v>
      </c>
      <c r="K7021" s="22" t="s">
        <v>23</v>
      </c>
      <c r="L7021" s="22">
        <v>4</v>
      </c>
      <c r="M7021" s="26">
        <v>69173</v>
      </c>
      <c r="N7021" s="26">
        <v>0</v>
      </c>
      <c r="O7021" s="15">
        <f t="shared" si="592"/>
        <v>69173</v>
      </c>
      <c r="P7021" s="15">
        <f t="shared" si="596"/>
        <v>20.710479041916166</v>
      </c>
      <c r="Q7021" s="25">
        <v>5000</v>
      </c>
      <c r="R7021" s="22">
        <v>67</v>
      </c>
      <c r="S7021" s="22" t="s">
        <v>8557</v>
      </c>
      <c r="T7021" s="22">
        <f t="shared" si="593"/>
        <v>7</v>
      </c>
      <c r="U7021" s="22">
        <f t="shared" si="594"/>
        <v>2023</v>
      </c>
      <c r="V7021" s="22" t="str">
        <f t="shared" si="595"/>
        <v>METROPOLITANA</v>
      </c>
    </row>
    <row r="7022" spans="1:22" x14ac:dyDescent="0.2">
      <c r="A7022" s="65" t="s">
        <v>8558</v>
      </c>
      <c r="B7022" s="66" t="s">
        <v>18</v>
      </c>
      <c r="C7022" s="66" t="s">
        <v>160</v>
      </c>
      <c r="D7022" s="66" t="s">
        <v>8410</v>
      </c>
      <c r="E7022" s="67">
        <v>119629756</v>
      </c>
      <c r="F7022" s="66" t="s">
        <v>2055</v>
      </c>
      <c r="G7022" s="68">
        <v>21297.25</v>
      </c>
      <c r="H7022" s="66" t="s">
        <v>24</v>
      </c>
      <c r="I7022" s="66">
        <v>1</v>
      </c>
      <c r="J7022" s="66" t="s">
        <v>2055</v>
      </c>
      <c r="K7022" s="66" t="s">
        <v>86</v>
      </c>
      <c r="L7022" s="66">
        <v>0</v>
      </c>
      <c r="M7022" s="69">
        <v>352000</v>
      </c>
      <c r="N7022" s="69">
        <v>0</v>
      </c>
      <c r="O7022" s="15">
        <f t="shared" si="592"/>
        <v>352000</v>
      </c>
      <c r="P7022" s="15">
        <f t="shared" si="596"/>
        <v>16.527955487210789</v>
      </c>
      <c r="Q7022" s="68">
        <v>14000</v>
      </c>
      <c r="R7022" s="66">
        <v>100</v>
      </c>
      <c r="S7022" s="66" t="s">
        <v>8559</v>
      </c>
      <c r="T7022" s="22">
        <f t="shared" si="593"/>
        <v>7</v>
      </c>
      <c r="U7022" s="22">
        <f t="shared" si="594"/>
        <v>2023</v>
      </c>
      <c r="V7022" s="22" t="str">
        <f t="shared" si="595"/>
        <v>REGIONES</v>
      </c>
    </row>
    <row r="7023" spans="1:22" x14ac:dyDescent="0.2">
      <c r="A7023" s="65" t="s">
        <v>8558</v>
      </c>
      <c r="B7023" s="66" t="s">
        <v>18</v>
      </c>
      <c r="C7023" s="66" t="s">
        <v>19</v>
      </c>
      <c r="D7023" s="66" t="s">
        <v>2825</v>
      </c>
      <c r="E7023" s="67">
        <v>113693568</v>
      </c>
      <c r="F7023" s="66" t="s">
        <v>92</v>
      </c>
      <c r="G7023" s="68">
        <v>5902.24</v>
      </c>
      <c r="H7023" s="66" t="s">
        <v>24</v>
      </c>
      <c r="I7023" s="66">
        <v>1</v>
      </c>
      <c r="J7023" s="66" t="s">
        <v>92</v>
      </c>
      <c r="K7023" s="66" t="s">
        <v>93</v>
      </c>
      <c r="L7023" s="66">
        <v>0</v>
      </c>
      <c r="M7023" s="69">
        <v>900000</v>
      </c>
      <c r="N7023" s="69">
        <v>0</v>
      </c>
      <c r="O7023" s="15">
        <f t="shared" si="592"/>
        <v>900000</v>
      </c>
      <c r="P7023" s="15">
        <f t="shared" si="596"/>
        <v>152.48448046843234</v>
      </c>
      <c r="Q7023" s="68">
        <v>14000</v>
      </c>
      <c r="R7023" s="66">
        <v>42</v>
      </c>
      <c r="S7023" s="66" t="s">
        <v>8560</v>
      </c>
      <c r="T7023" s="22">
        <f t="shared" si="593"/>
        <v>7</v>
      </c>
      <c r="U7023" s="22">
        <f t="shared" si="594"/>
        <v>2023</v>
      </c>
      <c r="V7023" s="22" t="str">
        <f t="shared" si="595"/>
        <v>REGIONES</v>
      </c>
    </row>
    <row r="7024" spans="1:22" x14ac:dyDescent="0.2">
      <c r="A7024" s="65" t="s">
        <v>8558</v>
      </c>
      <c r="B7024" s="66" t="s">
        <v>18</v>
      </c>
      <c r="C7024" s="66" t="s">
        <v>19</v>
      </c>
      <c r="D7024" s="66" t="s">
        <v>370</v>
      </c>
      <c r="E7024" s="67">
        <v>94742285</v>
      </c>
      <c r="F7024" s="66" t="s">
        <v>84</v>
      </c>
      <c r="G7024" s="68">
        <v>8848.2799999999988</v>
      </c>
      <c r="H7024" s="66" t="s">
        <v>85</v>
      </c>
      <c r="I7024" s="66">
        <v>1</v>
      </c>
      <c r="J7024" s="66" t="s">
        <v>84</v>
      </c>
      <c r="K7024" s="66" t="s">
        <v>86</v>
      </c>
      <c r="L7024" s="66">
        <v>0</v>
      </c>
      <c r="M7024" s="69">
        <v>402000</v>
      </c>
      <c r="N7024" s="69">
        <v>0</v>
      </c>
      <c r="O7024" s="15">
        <f t="shared" si="592"/>
        <v>402000</v>
      </c>
      <c r="P7024" s="15">
        <f t="shared" si="596"/>
        <v>45.43255864416588</v>
      </c>
      <c r="Q7024" s="68">
        <v>14000</v>
      </c>
      <c r="R7024" s="66">
        <v>63</v>
      </c>
      <c r="S7024" s="66" t="s">
        <v>8561</v>
      </c>
      <c r="T7024" s="22">
        <f t="shared" si="593"/>
        <v>7</v>
      </c>
      <c r="U7024" s="22">
        <f t="shared" si="594"/>
        <v>2023</v>
      </c>
      <c r="V7024" s="22" t="str">
        <f t="shared" si="595"/>
        <v>REGIONES</v>
      </c>
    </row>
    <row r="7025" spans="1:22" x14ac:dyDescent="0.2">
      <c r="A7025" s="65" t="s">
        <v>8558</v>
      </c>
      <c r="B7025" s="66" t="s">
        <v>18</v>
      </c>
      <c r="C7025" s="66" t="s">
        <v>8517</v>
      </c>
      <c r="D7025" s="66" t="s">
        <v>41</v>
      </c>
      <c r="E7025" s="67">
        <v>125108660</v>
      </c>
      <c r="F7025" s="66" t="s">
        <v>26</v>
      </c>
      <c r="G7025" s="68">
        <v>6369.72</v>
      </c>
      <c r="H7025" s="66" t="s">
        <v>43</v>
      </c>
      <c r="I7025" s="66">
        <v>0</v>
      </c>
      <c r="J7025" s="66" t="s">
        <v>26</v>
      </c>
      <c r="K7025" s="66" t="s">
        <v>23</v>
      </c>
      <c r="L7025" s="66">
        <v>4</v>
      </c>
      <c r="M7025" s="69">
        <v>70067</v>
      </c>
      <c r="N7025" s="69">
        <v>0</v>
      </c>
      <c r="O7025" s="15">
        <f t="shared" si="592"/>
        <v>70067</v>
      </c>
      <c r="P7025" s="15">
        <f t="shared" si="596"/>
        <v>11.000012559421764</v>
      </c>
      <c r="Q7025" s="68">
        <v>5000</v>
      </c>
      <c r="R7025" s="66">
        <v>100</v>
      </c>
      <c r="S7025" s="66" t="s">
        <v>8562</v>
      </c>
      <c r="T7025" s="22">
        <f t="shared" si="593"/>
        <v>7</v>
      </c>
      <c r="U7025" s="22">
        <f t="shared" si="594"/>
        <v>2023</v>
      </c>
      <c r="V7025" s="22" t="str">
        <f t="shared" si="595"/>
        <v>METROPOLITANA</v>
      </c>
    </row>
    <row r="7026" spans="1:22" x14ac:dyDescent="0.2">
      <c r="A7026" s="65" t="s">
        <v>8558</v>
      </c>
      <c r="B7026" s="66" t="s">
        <v>33</v>
      </c>
      <c r="C7026" s="66" t="s">
        <v>60</v>
      </c>
      <c r="D7026" s="66" t="s">
        <v>38</v>
      </c>
      <c r="E7026" s="67">
        <v>53173292</v>
      </c>
      <c r="F7026" s="66" t="s">
        <v>120</v>
      </c>
      <c r="G7026" s="68">
        <v>8742</v>
      </c>
      <c r="H7026" s="66" t="s">
        <v>43</v>
      </c>
      <c r="I7026" s="66">
        <v>0</v>
      </c>
      <c r="J7026" s="66" t="s">
        <v>120</v>
      </c>
      <c r="K7026" s="66" t="s">
        <v>23</v>
      </c>
      <c r="L7026" s="66">
        <v>5</v>
      </c>
      <c r="M7026" s="69">
        <v>112500</v>
      </c>
      <c r="N7026" s="69">
        <v>0</v>
      </c>
      <c r="O7026" s="15">
        <f t="shared" si="592"/>
        <v>112500</v>
      </c>
      <c r="P7026" s="15">
        <f t="shared" si="596"/>
        <v>12.868908716540837</v>
      </c>
      <c r="Q7026" s="68">
        <v>10000</v>
      </c>
      <c r="R7026" s="66">
        <v>87</v>
      </c>
      <c r="S7026" s="66" t="s">
        <v>8563</v>
      </c>
      <c r="T7026" s="22">
        <f t="shared" si="593"/>
        <v>7</v>
      </c>
      <c r="U7026" s="22">
        <f t="shared" si="594"/>
        <v>2023</v>
      </c>
      <c r="V7026" s="22" t="str">
        <f t="shared" si="595"/>
        <v>METROPOLITANA</v>
      </c>
    </row>
    <row r="7027" spans="1:22" x14ac:dyDescent="0.2">
      <c r="A7027" s="65" t="s">
        <v>8558</v>
      </c>
      <c r="B7027" s="66" t="s">
        <v>33</v>
      </c>
      <c r="C7027" s="66" t="s">
        <v>128</v>
      </c>
      <c r="D7027" s="66" t="s">
        <v>2955</v>
      </c>
      <c r="E7027" s="67">
        <v>138841065</v>
      </c>
      <c r="F7027" s="66" t="s">
        <v>34</v>
      </c>
      <c r="G7027" s="68">
        <f>9157.84+654+218</f>
        <v>10029.84</v>
      </c>
      <c r="H7027" s="66" t="s">
        <v>24</v>
      </c>
      <c r="I7027" s="66">
        <v>1</v>
      </c>
      <c r="J7027" s="66" t="s">
        <v>34</v>
      </c>
      <c r="K7027" s="66" t="s">
        <v>23</v>
      </c>
      <c r="L7027" s="66">
        <v>1</v>
      </c>
      <c r="M7027" s="69">
        <v>100736</v>
      </c>
      <c r="N7027" s="69">
        <v>0</v>
      </c>
      <c r="O7027" s="15">
        <f t="shared" si="592"/>
        <v>100736</v>
      </c>
      <c r="P7027" s="15">
        <f t="shared" si="596"/>
        <v>10.043629808650985</v>
      </c>
      <c r="Q7027" s="68">
        <v>5000</v>
      </c>
      <c r="R7027" s="66">
        <v>100</v>
      </c>
      <c r="S7027" s="66" t="s">
        <v>8566</v>
      </c>
      <c r="T7027" s="22">
        <f t="shared" si="593"/>
        <v>7</v>
      </c>
      <c r="U7027" s="22">
        <f t="shared" si="594"/>
        <v>2023</v>
      </c>
      <c r="V7027" s="22" t="str">
        <f t="shared" si="595"/>
        <v>METROPOLITANA</v>
      </c>
    </row>
    <row r="7028" spans="1:22" x14ac:dyDescent="0.2">
      <c r="A7028" s="65" t="s">
        <v>8558</v>
      </c>
      <c r="B7028" s="66" t="s">
        <v>33</v>
      </c>
      <c r="C7028" s="66" t="s">
        <v>128</v>
      </c>
      <c r="D7028" s="66" t="s">
        <v>20</v>
      </c>
      <c r="E7028" s="67">
        <v>81417709</v>
      </c>
      <c r="F7028" s="66" t="s">
        <v>58</v>
      </c>
      <c r="G7028" s="68">
        <v>5118.72</v>
      </c>
      <c r="H7028" s="66" t="s">
        <v>22</v>
      </c>
      <c r="I7028" s="66">
        <v>0</v>
      </c>
      <c r="J7028" s="66" t="s">
        <v>58</v>
      </c>
      <c r="K7028" s="66" t="s">
        <v>23</v>
      </c>
      <c r="L7028" s="66">
        <v>5</v>
      </c>
      <c r="M7028" s="69">
        <v>112500</v>
      </c>
      <c r="N7028" s="69">
        <v>0</v>
      </c>
      <c r="O7028" s="15">
        <f t="shared" si="592"/>
        <v>112500</v>
      </c>
      <c r="P7028" s="15">
        <f t="shared" si="596"/>
        <v>21.978150787696922</v>
      </c>
      <c r="Q7028" s="68">
        <v>10000</v>
      </c>
      <c r="R7028" s="66">
        <v>51</v>
      </c>
      <c r="S7028" s="66" t="s">
        <v>8564</v>
      </c>
      <c r="T7028" s="22">
        <f t="shared" si="593"/>
        <v>7</v>
      </c>
      <c r="U7028" s="22">
        <f t="shared" si="594"/>
        <v>2023</v>
      </c>
      <c r="V7028" s="22" t="str">
        <f t="shared" si="595"/>
        <v>METROPOLITANA</v>
      </c>
    </row>
    <row r="7029" spans="1:22" x14ac:dyDescent="0.2">
      <c r="A7029" s="65" t="s">
        <v>8558</v>
      </c>
      <c r="B7029" s="66" t="s">
        <v>33</v>
      </c>
      <c r="C7029" s="66" t="s">
        <v>44</v>
      </c>
      <c r="D7029" s="66" t="s">
        <v>45</v>
      </c>
      <c r="E7029" s="67">
        <v>107643206</v>
      </c>
      <c r="F7029" s="66" t="s">
        <v>182</v>
      </c>
      <c r="G7029" s="68">
        <v>2681.42</v>
      </c>
      <c r="H7029" s="66" t="s">
        <v>22</v>
      </c>
      <c r="I7029" s="66">
        <v>0</v>
      </c>
      <c r="J7029" s="66" t="s">
        <v>182</v>
      </c>
      <c r="K7029" s="66" t="s">
        <v>23</v>
      </c>
      <c r="L7029" s="66">
        <v>4</v>
      </c>
      <c r="M7029" s="69">
        <v>69173</v>
      </c>
      <c r="N7029" s="69">
        <v>0</v>
      </c>
      <c r="O7029" s="15">
        <f t="shared" si="592"/>
        <v>69173</v>
      </c>
      <c r="P7029" s="15">
        <f t="shared" si="596"/>
        <v>25.79715225514839</v>
      </c>
      <c r="Q7029" s="68">
        <v>5000</v>
      </c>
      <c r="R7029" s="66">
        <v>54</v>
      </c>
      <c r="S7029" s="66" t="s">
        <v>8565</v>
      </c>
      <c r="T7029" s="22">
        <f t="shared" si="593"/>
        <v>7</v>
      </c>
      <c r="U7029" s="22">
        <f t="shared" si="594"/>
        <v>2023</v>
      </c>
      <c r="V7029" s="22" t="str">
        <f t="shared" si="595"/>
        <v>METROPOLITANA</v>
      </c>
    </row>
    <row r="7030" spans="1:22" x14ac:dyDescent="0.2">
      <c r="A7030" s="23" t="s">
        <v>8567</v>
      </c>
      <c r="B7030" s="22" t="s">
        <v>18</v>
      </c>
      <c r="C7030" s="22" t="s">
        <v>1525</v>
      </c>
      <c r="D7030" s="22" t="s">
        <v>7814</v>
      </c>
      <c r="E7030" s="24">
        <v>121384531</v>
      </c>
      <c r="F7030" s="22" t="s">
        <v>132</v>
      </c>
      <c r="G7030" s="25">
        <v>16357.54</v>
      </c>
      <c r="H7030" s="22" t="s">
        <v>24</v>
      </c>
      <c r="I7030" s="22">
        <v>1</v>
      </c>
      <c r="J7030" s="22" t="s">
        <v>132</v>
      </c>
      <c r="K7030" s="22" t="s">
        <v>124</v>
      </c>
      <c r="L7030" s="22">
        <v>0</v>
      </c>
      <c r="M7030" s="26">
        <v>500000</v>
      </c>
      <c r="N7030" s="26">
        <v>0</v>
      </c>
      <c r="O7030" s="15">
        <f t="shared" si="592"/>
        <v>500000</v>
      </c>
      <c r="P7030" s="15">
        <f t="shared" si="596"/>
        <v>30.566943440150535</v>
      </c>
      <c r="Q7030" s="25">
        <v>14000</v>
      </c>
      <c r="R7030" s="22">
        <v>100</v>
      </c>
      <c r="S7030" s="22" t="s">
        <v>8568</v>
      </c>
      <c r="T7030" s="22">
        <f t="shared" si="593"/>
        <v>7</v>
      </c>
      <c r="U7030" s="22">
        <f t="shared" si="594"/>
        <v>2023</v>
      </c>
      <c r="V7030" s="22" t="str">
        <f t="shared" si="595"/>
        <v>REGIONES</v>
      </c>
    </row>
    <row r="7031" spans="1:22" x14ac:dyDescent="0.2">
      <c r="A7031" s="23" t="s">
        <v>8567</v>
      </c>
      <c r="B7031" s="22" t="s">
        <v>18</v>
      </c>
      <c r="C7031" s="22" t="s">
        <v>5796</v>
      </c>
      <c r="D7031" s="22" t="s">
        <v>20</v>
      </c>
      <c r="E7031" s="24">
        <v>81417709</v>
      </c>
      <c r="F7031" s="22" t="s">
        <v>129</v>
      </c>
      <c r="G7031" s="25">
        <v>5347.2000000000025</v>
      </c>
      <c r="H7031" s="22" t="s">
        <v>22</v>
      </c>
      <c r="I7031" s="22">
        <v>0</v>
      </c>
      <c r="J7031" s="22" t="s">
        <v>129</v>
      </c>
      <c r="K7031" s="22" t="s">
        <v>23</v>
      </c>
      <c r="L7031" s="22">
        <v>1</v>
      </c>
      <c r="M7031" s="26">
        <v>58819</v>
      </c>
      <c r="N7031" s="26">
        <v>0</v>
      </c>
      <c r="O7031" s="15">
        <f t="shared" si="592"/>
        <v>58819</v>
      </c>
      <c r="P7031" s="15">
        <f t="shared" si="596"/>
        <v>10.999962597247151</v>
      </c>
      <c r="Q7031" s="25">
        <v>5000</v>
      </c>
      <c r="R7031" s="22">
        <v>100</v>
      </c>
      <c r="S7031" s="22" t="s">
        <v>8569</v>
      </c>
      <c r="T7031" s="22">
        <f t="shared" si="593"/>
        <v>7</v>
      </c>
      <c r="U7031" s="22">
        <f t="shared" si="594"/>
        <v>2023</v>
      </c>
      <c r="V7031" s="22" t="str">
        <f t="shared" si="595"/>
        <v>METROPOLITANA</v>
      </c>
    </row>
    <row r="7032" spans="1:22" x14ac:dyDescent="0.2">
      <c r="A7032" s="23" t="s">
        <v>8567</v>
      </c>
      <c r="B7032" s="22" t="s">
        <v>33</v>
      </c>
      <c r="C7032" s="22" t="s">
        <v>36</v>
      </c>
      <c r="D7032" s="22" t="s">
        <v>38</v>
      </c>
      <c r="E7032" s="24">
        <v>53173292</v>
      </c>
      <c r="F7032" s="22" t="s">
        <v>129</v>
      </c>
      <c r="G7032" s="25">
        <v>7850.2200000000012</v>
      </c>
      <c r="H7032" s="22" t="s">
        <v>43</v>
      </c>
      <c r="I7032" s="22">
        <v>0</v>
      </c>
      <c r="J7032" s="22" t="s">
        <v>129</v>
      </c>
      <c r="K7032" s="22" t="s">
        <v>23</v>
      </c>
      <c r="L7032" s="22">
        <v>1</v>
      </c>
      <c r="M7032" s="26">
        <v>86352</v>
      </c>
      <c r="N7032" s="26">
        <v>0</v>
      </c>
      <c r="O7032" s="15">
        <f t="shared" si="592"/>
        <v>86352</v>
      </c>
      <c r="P7032" s="15">
        <f t="shared" si="596"/>
        <v>10.999946498314696</v>
      </c>
      <c r="Q7032" s="25">
        <v>5000</v>
      </c>
      <c r="R7032" s="22">
        <v>100</v>
      </c>
      <c r="S7032" s="22" t="s">
        <v>8570</v>
      </c>
      <c r="T7032" s="22">
        <f t="shared" si="593"/>
        <v>7</v>
      </c>
      <c r="U7032" s="22">
        <f t="shared" si="594"/>
        <v>2023</v>
      </c>
      <c r="V7032" s="22" t="str">
        <f t="shared" si="595"/>
        <v>METROPOLITANA</v>
      </c>
    </row>
    <row r="7033" spans="1:22" x14ac:dyDescent="0.2">
      <c r="A7033" s="23" t="s">
        <v>8567</v>
      </c>
      <c r="B7033" s="22" t="s">
        <v>33</v>
      </c>
      <c r="C7033" s="22" t="s">
        <v>36</v>
      </c>
      <c r="D7033" s="22" t="s">
        <v>41</v>
      </c>
      <c r="E7033" s="24">
        <v>125108660</v>
      </c>
      <c r="F7033" s="22" t="s">
        <v>129</v>
      </c>
      <c r="G7033" s="25">
        <v>7680.1399999999994</v>
      </c>
      <c r="H7033" s="22" t="s">
        <v>43</v>
      </c>
      <c r="I7033" s="22">
        <v>0</v>
      </c>
      <c r="J7033" s="22" t="s">
        <v>129</v>
      </c>
      <c r="K7033" s="22" t="s">
        <v>23</v>
      </c>
      <c r="L7033" s="22">
        <v>1</v>
      </c>
      <c r="M7033" s="26">
        <v>84482</v>
      </c>
      <c r="N7033" s="26">
        <v>0</v>
      </c>
      <c r="O7033" s="15">
        <f t="shared" si="592"/>
        <v>84482</v>
      </c>
      <c r="P7033" s="15">
        <f t="shared" si="596"/>
        <v>11.000059894741502</v>
      </c>
      <c r="Q7033" s="25">
        <v>5000</v>
      </c>
      <c r="R7033" s="22">
        <v>100</v>
      </c>
      <c r="S7033" s="22" t="s">
        <v>8571</v>
      </c>
      <c r="T7033" s="22">
        <f t="shared" si="593"/>
        <v>7</v>
      </c>
      <c r="U7033" s="22">
        <f t="shared" si="594"/>
        <v>2023</v>
      </c>
      <c r="V7033" s="22" t="str">
        <f t="shared" si="595"/>
        <v>METROPOLITANA</v>
      </c>
    </row>
    <row r="7034" spans="1:22" x14ac:dyDescent="0.2">
      <c r="A7034" s="23" t="s">
        <v>8567</v>
      </c>
      <c r="B7034" s="22" t="s">
        <v>33</v>
      </c>
      <c r="C7034" s="22" t="s">
        <v>8193</v>
      </c>
      <c r="D7034" s="22" t="s">
        <v>45</v>
      </c>
      <c r="E7034" s="24">
        <v>107643206</v>
      </c>
      <c r="F7034" s="22" t="s">
        <v>129</v>
      </c>
      <c r="G7034" s="25">
        <v>1708</v>
      </c>
      <c r="H7034" s="22" t="s">
        <v>22</v>
      </c>
      <c r="I7034" s="22">
        <v>0</v>
      </c>
      <c r="J7034" s="22" t="s">
        <v>129</v>
      </c>
      <c r="K7034" s="22" t="s">
        <v>23</v>
      </c>
      <c r="L7034" s="22">
        <v>1</v>
      </c>
      <c r="M7034" s="26">
        <v>69173</v>
      </c>
      <c r="N7034" s="26">
        <v>0</v>
      </c>
      <c r="O7034" s="15">
        <f t="shared" si="592"/>
        <v>69173</v>
      </c>
      <c r="P7034" s="15">
        <f t="shared" si="596"/>
        <v>40.499414519906324</v>
      </c>
      <c r="Q7034" s="25">
        <v>5000</v>
      </c>
      <c r="R7034" s="22">
        <v>34</v>
      </c>
      <c r="S7034" s="22" t="s">
        <v>8572</v>
      </c>
      <c r="T7034" s="22">
        <f t="shared" si="593"/>
        <v>7</v>
      </c>
      <c r="U7034" s="22">
        <f t="shared" si="594"/>
        <v>2023</v>
      </c>
      <c r="V7034" s="22" t="str">
        <f t="shared" si="595"/>
        <v>METROPOLITANA</v>
      </c>
    </row>
    <row r="7035" spans="1:22" x14ac:dyDescent="0.2">
      <c r="A7035" s="23" t="s">
        <v>8567</v>
      </c>
      <c r="B7035" s="22" t="s">
        <v>33</v>
      </c>
      <c r="C7035" s="22" t="s">
        <v>29</v>
      </c>
      <c r="D7035" s="22" t="s">
        <v>164</v>
      </c>
      <c r="E7035" s="24">
        <v>154837728</v>
      </c>
      <c r="F7035" s="22" t="s">
        <v>39</v>
      </c>
      <c r="G7035" s="25">
        <v>18346.060000000001</v>
      </c>
      <c r="H7035" s="22" t="s">
        <v>22</v>
      </c>
      <c r="I7035" s="22">
        <v>1</v>
      </c>
      <c r="J7035" s="22" t="s">
        <v>39</v>
      </c>
      <c r="K7035" s="22" t="s">
        <v>23</v>
      </c>
      <c r="L7035" s="22">
        <v>1</v>
      </c>
      <c r="M7035" s="26">
        <v>201807</v>
      </c>
      <c r="N7035" s="26">
        <v>0</v>
      </c>
      <c r="O7035" s="15">
        <f t="shared" ref="O7035:O7068" si="597">SUM(M7035:N7035)</f>
        <v>201807</v>
      </c>
      <c r="P7035" s="15">
        <f t="shared" si="596"/>
        <v>11.000018532589557</v>
      </c>
      <c r="Q7035" s="25">
        <v>5000</v>
      </c>
      <c r="R7035" s="22">
        <v>100</v>
      </c>
      <c r="S7035" s="22" t="s">
        <v>8573</v>
      </c>
      <c r="T7035" s="22">
        <f t="shared" si="593"/>
        <v>7</v>
      </c>
      <c r="U7035" s="22">
        <f t="shared" si="594"/>
        <v>2023</v>
      </c>
      <c r="V7035" s="22" t="str">
        <f t="shared" si="595"/>
        <v>METROPOLITANA</v>
      </c>
    </row>
    <row r="7036" spans="1:22" x14ac:dyDescent="0.2">
      <c r="A7036" s="23" t="s">
        <v>8567</v>
      </c>
      <c r="B7036" s="22" t="s">
        <v>33</v>
      </c>
      <c r="C7036" s="22" t="s">
        <v>29</v>
      </c>
      <c r="D7036" s="22" t="s">
        <v>20</v>
      </c>
      <c r="E7036" s="24">
        <v>81417709</v>
      </c>
      <c r="F7036" s="22" t="s">
        <v>39</v>
      </c>
      <c r="G7036" s="25">
        <f>8055.8+1862</f>
        <v>9917.7999999999993</v>
      </c>
      <c r="H7036" s="22" t="s">
        <v>22</v>
      </c>
      <c r="I7036" s="22">
        <v>0</v>
      </c>
      <c r="J7036" s="22" t="s">
        <v>39</v>
      </c>
      <c r="K7036" s="22" t="s">
        <v>23</v>
      </c>
      <c r="L7036" s="22">
        <v>1</v>
      </c>
      <c r="M7036" s="26">
        <v>88614</v>
      </c>
      <c r="N7036" s="26">
        <v>0</v>
      </c>
      <c r="O7036" s="15">
        <f t="shared" si="597"/>
        <v>88614</v>
      </c>
      <c r="P7036" s="15">
        <f t="shared" si="596"/>
        <v>8.9348444211417863</v>
      </c>
      <c r="Q7036" s="25">
        <v>5000</v>
      </c>
      <c r="R7036" s="22">
        <v>100</v>
      </c>
      <c r="S7036" s="22" t="s">
        <v>8577</v>
      </c>
      <c r="T7036" s="22">
        <f t="shared" si="593"/>
        <v>7</v>
      </c>
      <c r="U7036" s="22">
        <f t="shared" si="594"/>
        <v>2023</v>
      </c>
      <c r="V7036" s="22" t="str">
        <f t="shared" si="595"/>
        <v>METROPOLITANA</v>
      </c>
    </row>
    <row r="7037" spans="1:22" x14ac:dyDescent="0.2">
      <c r="A7037" s="23" t="s">
        <v>8567</v>
      </c>
      <c r="B7037" s="22" t="s">
        <v>33</v>
      </c>
      <c r="C7037" s="22" t="s">
        <v>44</v>
      </c>
      <c r="D7037" s="22" t="s">
        <v>5478</v>
      </c>
      <c r="E7037" s="24">
        <v>122975819</v>
      </c>
      <c r="F7037" s="22" t="s">
        <v>815</v>
      </c>
      <c r="G7037" s="25">
        <v>14879.2</v>
      </c>
      <c r="H7037" s="22" t="s">
        <v>24</v>
      </c>
      <c r="I7037" s="22">
        <v>1</v>
      </c>
      <c r="J7037" s="22" t="s">
        <v>815</v>
      </c>
      <c r="K7037" s="22" t="s">
        <v>75</v>
      </c>
      <c r="L7037" s="22">
        <v>0</v>
      </c>
      <c r="M7037" s="26">
        <v>528000</v>
      </c>
      <c r="N7037" s="26">
        <v>0</v>
      </c>
      <c r="O7037" s="15">
        <f t="shared" si="597"/>
        <v>528000</v>
      </c>
      <c r="P7037" s="15">
        <f t="shared" si="596"/>
        <v>35.485778805312108</v>
      </c>
      <c r="Q7037" s="25">
        <v>14000</v>
      </c>
      <c r="R7037" s="22">
        <v>100</v>
      </c>
      <c r="S7037" s="22" t="s">
        <v>8574</v>
      </c>
      <c r="T7037" s="22">
        <f t="shared" si="593"/>
        <v>7</v>
      </c>
      <c r="U7037" s="22">
        <f t="shared" si="594"/>
        <v>2023</v>
      </c>
      <c r="V7037" s="22" t="str">
        <f t="shared" si="595"/>
        <v>REGIONES</v>
      </c>
    </row>
    <row r="7038" spans="1:22" x14ac:dyDescent="0.2">
      <c r="A7038" s="23" t="s">
        <v>8567</v>
      </c>
      <c r="B7038" s="22" t="s">
        <v>33</v>
      </c>
      <c r="C7038" s="22" t="s">
        <v>44</v>
      </c>
      <c r="D7038" s="22" t="s">
        <v>45</v>
      </c>
      <c r="E7038" s="24">
        <v>107643206</v>
      </c>
      <c r="F7038" s="22" t="s">
        <v>51</v>
      </c>
      <c r="G7038" s="25">
        <v>2619.42</v>
      </c>
      <c r="H7038" s="22" t="s">
        <v>22</v>
      </c>
      <c r="I7038" s="22">
        <v>0</v>
      </c>
      <c r="J7038" s="22" t="s">
        <v>51</v>
      </c>
      <c r="K7038" s="22" t="s">
        <v>23</v>
      </c>
      <c r="L7038" s="22">
        <v>4</v>
      </c>
      <c r="M7038" s="26">
        <v>69173</v>
      </c>
      <c r="N7038" s="26">
        <v>0</v>
      </c>
      <c r="O7038" s="15">
        <f t="shared" si="597"/>
        <v>69173</v>
      </c>
      <c r="P7038" s="15">
        <f t="shared" si="596"/>
        <v>26.407754388376052</v>
      </c>
      <c r="Q7038" s="25">
        <v>5000</v>
      </c>
      <c r="R7038" s="22">
        <v>52</v>
      </c>
      <c r="S7038" s="22" t="s">
        <v>8575</v>
      </c>
      <c r="T7038" s="22">
        <f t="shared" si="593"/>
        <v>7</v>
      </c>
      <c r="U7038" s="22">
        <f t="shared" si="594"/>
        <v>2023</v>
      </c>
      <c r="V7038" s="22" t="str">
        <f t="shared" si="595"/>
        <v>METROPOLITANA</v>
      </c>
    </row>
    <row r="7039" spans="1:22" x14ac:dyDescent="0.2">
      <c r="A7039" s="23" t="s">
        <v>8567</v>
      </c>
      <c r="B7039" s="22" t="s">
        <v>33</v>
      </c>
      <c r="C7039" s="22" t="s">
        <v>44</v>
      </c>
      <c r="D7039" s="22" t="s">
        <v>35</v>
      </c>
      <c r="E7039" s="24">
        <v>99626232</v>
      </c>
      <c r="F7039" s="22" t="s">
        <v>34</v>
      </c>
      <c r="G7039" s="25">
        <v>3250</v>
      </c>
      <c r="H7039" s="22" t="s">
        <v>22</v>
      </c>
      <c r="I7039" s="22">
        <v>0</v>
      </c>
      <c r="J7039" s="22" t="s">
        <v>34</v>
      </c>
      <c r="K7039" s="22" t="s">
        <v>23</v>
      </c>
      <c r="L7039" s="22">
        <v>1</v>
      </c>
      <c r="M7039" s="26">
        <v>69173</v>
      </c>
      <c r="N7039" s="26">
        <v>0</v>
      </c>
      <c r="O7039" s="15">
        <f t="shared" si="597"/>
        <v>69173</v>
      </c>
      <c r="P7039" s="15">
        <f t="shared" si="596"/>
        <v>21.283999999999999</v>
      </c>
      <c r="Q7039" s="25">
        <v>5000</v>
      </c>
      <c r="R7039" s="22">
        <v>65</v>
      </c>
      <c r="S7039" s="22" t="s">
        <v>8576</v>
      </c>
      <c r="T7039" s="22">
        <f t="shared" si="593"/>
        <v>7</v>
      </c>
      <c r="U7039" s="22">
        <f t="shared" si="594"/>
        <v>2023</v>
      </c>
      <c r="V7039" s="22" t="str">
        <f t="shared" si="595"/>
        <v>METROPOLITANA</v>
      </c>
    </row>
    <row r="7040" spans="1:22" x14ac:dyDescent="0.2">
      <c r="A7040" s="11" t="s">
        <v>8578</v>
      </c>
      <c r="B7040" s="12" t="s">
        <v>18</v>
      </c>
      <c r="C7040" s="12" t="s">
        <v>57</v>
      </c>
      <c r="D7040" s="12" t="s">
        <v>8219</v>
      </c>
      <c r="E7040" s="13">
        <v>73835526</v>
      </c>
      <c r="F7040" s="12" t="s">
        <v>51</v>
      </c>
      <c r="G7040" s="14">
        <v>11777.23</v>
      </c>
      <c r="H7040" s="12" t="s">
        <v>24</v>
      </c>
      <c r="I7040" s="12">
        <v>1</v>
      </c>
      <c r="J7040" s="12" t="s">
        <v>51</v>
      </c>
      <c r="K7040" s="12" t="s">
        <v>23</v>
      </c>
      <c r="L7040" s="12">
        <v>4</v>
      </c>
      <c r="M7040" s="15">
        <v>129550</v>
      </c>
      <c r="N7040" s="15">
        <v>0</v>
      </c>
      <c r="O7040" s="15">
        <f t="shared" si="597"/>
        <v>129550</v>
      </c>
      <c r="P7040" s="15">
        <f t="shared" si="596"/>
        <v>11.000039907516454</v>
      </c>
      <c r="Q7040" s="14">
        <v>5000</v>
      </c>
      <c r="R7040" s="12">
        <v>100</v>
      </c>
      <c r="S7040" s="12" t="s">
        <v>8579</v>
      </c>
      <c r="T7040" s="22">
        <f t="shared" si="593"/>
        <v>7</v>
      </c>
      <c r="U7040" s="22">
        <f t="shared" si="594"/>
        <v>2023</v>
      </c>
      <c r="V7040" s="22" t="str">
        <f t="shared" si="595"/>
        <v>METROPOLITANA</v>
      </c>
    </row>
    <row r="7041" spans="1:22" x14ac:dyDescent="0.2">
      <c r="A7041" s="11" t="s">
        <v>8578</v>
      </c>
      <c r="B7041" s="12" t="s">
        <v>33</v>
      </c>
      <c r="C7041" s="12" t="s">
        <v>128</v>
      </c>
      <c r="D7041" s="12" t="s">
        <v>786</v>
      </c>
      <c r="E7041" s="13">
        <v>95707734</v>
      </c>
      <c r="F7041" s="12" t="s">
        <v>129</v>
      </c>
      <c r="G7041" s="14">
        <f>7174.66+4466</f>
        <v>11640.66</v>
      </c>
      <c r="H7041" s="12" t="s">
        <v>788</v>
      </c>
      <c r="I7041" s="12">
        <v>1</v>
      </c>
      <c r="J7041" s="12" t="s">
        <v>129</v>
      </c>
      <c r="K7041" s="12" t="s">
        <v>23</v>
      </c>
      <c r="L7041" s="12">
        <v>1</v>
      </c>
      <c r="M7041" s="15">
        <v>78921</v>
      </c>
      <c r="N7041" s="15">
        <v>0</v>
      </c>
      <c r="O7041" s="15">
        <f t="shared" si="597"/>
        <v>78921</v>
      </c>
      <c r="P7041" s="15">
        <f t="shared" si="596"/>
        <v>6.7797702192143747</v>
      </c>
      <c r="Q7041" s="14">
        <v>5000</v>
      </c>
      <c r="R7041" s="12">
        <v>100</v>
      </c>
      <c r="S7041" s="12" t="s">
        <v>8585</v>
      </c>
      <c r="T7041" s="22">
        <f t="shared" si="593"/>
        <v>7</v>
      </c>
      <c r="U7041" s="22">
        <f t="shared" si="594"/>
        <v>2023</v>
      </c>
      <c r="V7041" s="22" t="str">
        <f t="shared" si="595"/>
        <v>METROPOLITANA</v>
      </c>
    </row>
    <row r="7042" spans="1:22" x14ac:dyDescent="0.2">
      <c r="A7042" s="11" t="s">
        <v>8578</v>
      </c>
      <c r="B7042" s="12" t="s">
        <v>33</v>
      </c>
      <c r="C7042" s="12" t="s">
        <v>128</v>
      </c>
      <c r="D7042" s="12" t="s">
        <v>8580</v>
      </c>
      <c r="E7042" s="13">
        <v>276547747</v>
      </c>
      <c r="F7042" s="12" t="s">
        <v>8227</v>
      </c>
      <c r="G7042" s="14">
        <v>5065.1999999999989</v>
      </c>
      <c r="H7042" s="12" t="s">
        <v>24</v>
      </c>
      <c r="I7042" s="12">
        <v>1</v>
      </c>
      <c r="J7042" s="12" t="s">
        <v>8227</v>
      </c>
      <c r="K7042" s="12" t="s">
        <v>873</v>
      </c>
      <c r="L7042" s="12">
        <v>0</v>
      </c>
      <c r="M7042" s="15">
        <v>1282000</v>
      </c>
      <c r="N7042" s="15">
        <v>0</v>
      </c>
      <c r="O7042" s="15">
        <f t="shared" si="597"/>
        <v>1282000</v>
      </c>
      <c r="P7042" s="15">
        <f t="shared" si="596"/>
        <v>253.09958145779046</v>
      </c>
      <c r="Q7042" s="14">
        <v>14000</v>
      </c>
      <c r="R7042" s="12">
        <v>36</v>
      </c>
      <c r="S7042" s="12" t="s">
        <v>8581</v>
      </c>
      <c r="T7042" s="22">
        <f t="shared" si="593"/>
        <v>7</v>
      </c>
      <c r="U7042" s="22">
        <f t="shared" si="594"/>
        <v>2023</v>
      </c>
      <c r="V7042" s="22" t="str">
        <f t="shared" si="595"/>
        <v>REGIONES</v>
      </c>
    </row>
    <row r="7043" spans="1:22" x14ac:dyDescent="0.2">
      <c r="A7043" s="11" t="s">
        <v>8578</v>
      </c>
      <c r="B7043" s="12" t="s">
        <v>33</v>
      </c>
      <c r="C7043" s="12" t="s">
        <v>29</v>
      </c>
      <c r="D7043" s="12" t="s">
        <v>35</v>
      </c>
      <c r="E7043" s="13">
        <v>99626232</v>
      </c>
      <c r="F7043" s="12" t="s">
        <v>134</v>
      </c>
      <c r="G7043" s="14">
        <v>3266.07</v>
      </c>
      <c r="H7043" s="12" t="s">
        <v>22</v>
      </c>
      <c r="I7043" s="12">
        <v>0</v>
      </c>
      <c r="J7043" s="12" t="s">
        <v>134</v>
      </c>
      <c r="K7043" s="12" t="s">
        <v>23</v>
      </c>
      <c r="L7043" s="12">
        <v>2</v>
      </c>
      <c r="M7043" s="15">
        <v>69173</v>
      </c>
      <c r="N7043" s="15">
        <v>0</v>
      </c>
      <c r="O7043" s="15">
        <f t="shared" si="597"/>
        <v>69173</v>
      </c>
      <c r="P7043" s="15">
        <f t="shared" si="596"/>
        <v>21.17927662297501</v>
      </c>
      <c r="Q7043" s="14">
        <v>5000</v>
      </c>
      <c r="R7043" s="12">
        <v>65</v>
      </c>
      <c r="S7043" s="12" t="s">
        <v>8582</v>
      </c>
      <c r="T7043" s="22">
        <f t="shared" si="593"/>
        <v>7</v>
      </c>
      <c r="U7043" s="22">
        <f t="shared" si="594"/>
        <v>2023</v>
      </c>
      <c r="V7043" s="22" t="str">
        <f t="shared" si="595"/>
        <v>METROPOLITANA</v>
      </c>
    </row>
    <row r="7044" spans="1:22" x14ac:dyDescent="0.2">
      <c r="A7044" s="11" t="s">
        <v>8578</v>
      </c>
      <c r="B7044" s="12" t="s">
        <v>33</v>
      </c>
      <c r="C7044" s="12" t="s">
        <v>44</v>
      </c>
      <c r="D7044" s="12" t="s">
        <v>45</v>
      </c>
      <c r="E7044" s="13">
        <v>107643206</v>
      </c>
      <c r="F7044" s="12" t="s">
        <v>67</v>
      </c>
      <c r="G7044" s="14">
        <v>2518.56</v>
      </c>
      <c r="H7044" s="12" t="s">
        <v>22</v>
      </c>
      <c r="I7044" s="12">
        <v>0</v>
      </c>
      <c r="J7044" s="12" t="s">
        <v>67</v>
      </c>
      <c r="K7044" s="12" t="s">
        <v>23</v>
      </c>
      <c r="L7044" s="12">
        <v>2</v>
      </c>
      <c r="M7044" s="15">
        <v>69173</v>
      </c>
      <c r="N7044" s="15">
        <v>0</v>
      </c>
      <c r="O7044" s="15">
        <f t="shared" si="597"/>
        <v>69173</v>
      </c>
      <c r="P7044" s="15">
        <f t="shared" si="596"/>
        <v>27.465297630391969</v>
      </c>
      <c r="Q7044" s="14">
        <v>5000</v>
      </c>
      <c r="R7044" s="12">
        <v>50</v>
      </c>
      <c r="S7044" s="12" t="s">
        <v>8583</v>
      </c>
      <c r="T7044" s="22">
        <f t="shared" si="593"/>
        <v>7</v>
      </c>
      <c r="U7044" s="22">
        <f t="shared" si="594"/>
        <v>2023</v>
      </c>
      <c r="V7044" s="22" t="str">
        <f t="shared" si="595"/>
        <v>METROPOLITANA</v>
      </c>
    </row>
    <row r="7045" spans="1:22" x14ac:dyDescent="0.2">
      <c r="A7045" s="11" t="s">
        <v>8578</v>
      </c>
      <c r="B7045" s="12" t="s">
        <v>33</v>
      </c>
      <c r="C7045" s="12" t="s">
        <v>44</v>
      </c>
      <c r="D7045" s="12" t="s">
        <v>20</v>
      </c>
      <c r="E7045" s="13">
        <v>81417709</v>
      </c>
      <c r="F7045" s="12" t="s">
        <v>94</v>
      </c>
      <c r="G7045" s="14">
        <v>4028.2399999999989</v>
      </c>
      <c r="H7045" s="12" t="s">
        <v>22</v>
      </c>
      <c r="I7045" s="12">
        <v>0</v>
      </c>
      <c r="J7045" s="12" t="s">
        <v>59</v>
      </c>
      <c r="K7045" s="12" t="s">
        <v>78</v>
      </c>
      <c r="L7045" s="12">
        <v>0</v>
      </c>
      <c r="M7045" s="15">
        <v>227000</v>
      </c>
      <c r="N7045" s="15">
        <v>0</v>
      </c>
      <c r="O7045" s="15">
        <f t="shared" si="597"/>
        <v>227000</v>
      </c>
      <c r="P7045" s="15">
        <f t="shared" si="596"/>
        <v>56.352153794212875</v>
      </c>
      <c r="Q7045" s="14">
        <v>14000</v>
      </c>
      <c r="R7045" s="12">
        <v>29</v>
      </c>
      <c r="S7045" s="12" t="s">
        <v>8584</v>
      </c>
      <c r="T7045" s="22">
        <f t="shared" si="593"/>
        <v>7</v>
      </c>
      <c r="U7045" s="22">
        <f t="shared" si="594"/>
        <v>2023</v>
      </c>
      <c r="V7045" s="22" t="str">
        <f t="shared" si="595"/>
        <v>REGIONES</v>
      </c>
    </row>
    <row r="7046" spans="1:22" x14ac:dyDescent="0.2">
      <c r="A7046" s="11" t="s">
        <v>8578</v>
      </c>
      <c r="B7046" s="12" t="s">
        <v>33</v>
      </c>
      <c r="C7046" s="12" t="s">
        <v>44</v>
      </c>
      <c r="D7046" s="12" t="s">
        <v>8410</v>
      </c>
      <c r="E7046" s="13">
        <v>119629766</v>
      </c>
      <c r="F7046" s="12" t="s">
        <v>132</v>
      </c>
      <c r="G7046" s="14">
        <f>2762.83+2553</f>
        <v>5315.83</v>
      </c>
      <c r="H7046" s="12" t="s">
        <v>24</v>
      </c>
      <c r="I7046" s="12">
        <v>1</v>
      </c>
      <c r="J7046" s="12" t="s">
        <v>132</v>
      </c>
      <c r="K7046" s="12" t="s">
        <v>124</v>
      </c>
      <c r="L7046" s="12">
        <v>0</v>
      </c>
      <c r="M7046" s="15">
        <v>500000</v>
      </c>
      <c r="N7046" s="15">
        <v>0</v>
      </c>
      <c r="O7046" s="15">
        <f t="shared" si="597"/>
        <v>500000</v>
      </c>
      <c r="P7046" s="15">
        <f t="shared" si="596"/>
        <v>94.058688859500776</v>
      </c>
      <c r="Q7046" s="14">
        <v>14000</v>
      </c>
      <c r="R7046" s="12">
        <v>55</v>
      </c>
      <c r="S7046" s="12" t="s">
        <v>8586</v>
      </c>
      <c r="T7046" s="22">
        <f t="shared" si="593"/>
        <v>7</v>
      </c>
      <c r="U7046" s="22">
        <f t="shared" si="594"/>
        <v>2023</v>
      </c>
      <c r="V7046" s="22" t="str">
        <f t="shared" si="595"/>
        <v>REGIONES</v>
      </c>
    </row>
    <row r="7047" spans="1:22" x14ac:dyDescent="0.2">
      <c r="A7047" s="23" t="s">
        <v>8587</v>
      </c>
      <c r="B7047" s="22" t="s">
        <v>18</v>
      </c>
      <c r="C7047" s="22" t="s">
        <v>57</v>
      </c>
      <c r="D7047" s="22" t="s">
        <v>30</v>
      </c>
      <c r="E7047" s="24">
        <v>72564391</v>
      </c>
      <c r="F7047" s="22" t="s">
        <v>51</v>
      </c>
      <c r="G7047" s="25">
        <v>7534.4900000000034</v>
      </c>
      <c r="H7047" s="22" t="s">
        <v>32</v>
      </c>
      <c r="I7047" s="22">
        <v>0</v>
      </c>
      <c r="J7047" s="22" t="s">
        <v>51</v>
      </c>
      <c r="K7047" s="22" t="s">
        <v>23</v>
      </c>
      <c r="L7047" s="22">
        <v>4</v>
      </c>
      <c r="M7047" s="26">
        <v>82879</v>
      </c>
      <c r="N7047" s="26">
        <v>0</v>
      </c>
      <c r="O7047" s="15">
        <f t="shared" si="597"/>
        <v>82879</v>
      </c>
      <c r="P7047" s="15">
        <f t="shared" si="596"/>
        <v>10.999948238036014</v>
      </c>
      <c r="Q7047" s="25">
        <v>5000</v>
      </c>
      <c r="R7047" s="22">
        <v>100</v>
      </c>
      <c r="S7047" s="22" t="s">
        <v>8588</v>
      </c>
      <c r="T7047" s="22">
        <f t="shared" ref="T7047:T7104" si="598">MONTH(A7047)</f>
        <v>7</v>
      </c>
      <c r="U7047" s="22">
        <f t="shared" ref="U7047:U7104" si="599">YEAR(A7047)</f>
        <v>2023</v>
      </c>
      <c r="V7047" s="22" t="str">
        <f t="shared" ref="V7047:V7104" si="600">IF(K7047="METROPOLITANA DE SANTIAGO","METROPOLITANA","REGIONES")</f>
        <v>METROPOLITANA</v>
      </c>
    </row>
    <row r="7048" spans="1:22" x14ac:dyDescent="0.2">
      <c r="A7048" s="23" t="s">
        <v>8587</v>
      </c>
      <c r="B7048" s="22" t="s">
        <v>18</v>
      </c>
      <c r="C7048" s="22" t="s">
        <v>8517</v>
      </c>
      <c r="D7048" s="22" t="s">
        <v>30</v>
      </c>
      <c r="E7048" s="24">
        <v>72564391</v>
      </c>
      <c r="F7048" s="22" t="s">
        <v>26</v>
      </c>
      <c r="G7048" s="25">
        <v>1196.97</v>
      </c>
      <c r="H7048" s="22" t="s">
        <v>32</v>
      </c>
      <c r="I7048" s="22">
        <v>0</v>
      </c>
      <c r="J7048" s="22" t="s">
        <v>26</v>
      </c>
      <c r="K7048" s="22" t="s">
        <v>23</v>
      </c>
      <c r="L7048" s="22">
        <v>4</v>
      </c>
      <c r="M7048" s="26">
        <v>69173</v>
      </c>
      <c r="N7048" s="26">
        <v>0</v>
      </c>
      <c r="O7048" s="15">
        <f t="shared" si="597"/>
        <v>69173</v>
      </c>
      <c r="P7048" s="15">
        <f t="shared" si="596"/>
        <v>57.790086635421105</v>
      </c>
      <c r="Q7048" s="25">
        <v>5000</v>
      </c>
      <c r="R7048" s="22">
        <v>24</v>
      </c>
      <c r="S7048" s="22" t="s">
        <v>8589</v>
      </c>
      <c r="T7048" s="22">
        <f t="shared" si="598"/>
        <v>7</v>
      </c>
      <c r="U7048" s="22">
        <f t="shared" si="599"/>
        <v>2023</v>
      </c>
      <c r="V7048" s="22" t="str">
        <f t="shared" si="600"/>
        <v>METROPOLITANA</v>
      </c>
    </row>
    <row r="7049" spans="1:22" x14ac:dyDescent="0.2">
      <c r="A7049" s="23" t="s">
        <v>8587</v>
      </c>
      <c r="B7049" s="22" t="s">
        <v>18</v>
      </c>
      <c r="C7049" s="22" t="s">
        <v>1722</v>
      </c>
      <c r="D7049" s="22" t="s">
        <v>20</v>
      </c>
      <c r="E7049" s="24">
        <v>78907355</v>
      </c>
      <c r="F7049" s="22" t="s">
        <v>26</v>
      </c>
      <c r="G7049" s="25">
        <v>2482</v>
      </c>
      <c r="H7049" s="22" t="s">
        <v>22</v>
      </c>
      <c r="I7049" s="22">
        <v>0</v>
      </c>
      <c r="J7049" s="22" t="s">
        <v>26</v>
      </c>
      <c r="K7049" s="22" t="s">
        <v>23</v>
      </c>
      <c r="L7049" s="22">
        <v>4</v>
      </c>
      <c r="M7049" s="26">
        <v>69173</v>
      </c>
      <c r="N7049" s="26">
        <v>0</v>
      </c>
      <c r="O7049" s="15">
        <f t="shared" si="597"/>
        <v>69173</v>
      </c>
      <c r="P7049" s="15">
        <f t="shared" si="596"/>
        <v>27.86986301369863</v>
      </c>
      <c r="Q7049" s="25">
        <v>5000</v>
      </c>
      <c r="R7049" s="22">
        <v>50</v>
      </c>
      <c r="S7049" s="22" t="s">
        <v>8590</v>
      </c>
      <c r="T7049" s="22">
        <f t="shared" si="598"/>
        <v>7</v>
      </c>
      <c r="U7049" s="22">
        <f t="shared" si="599"/>
        <v>2023</v>
      </c>
      <c r="V7049" s="22" t="str">
        <f t="shared" si="600"/>
        <v>METROPOLITANA</v>
      </c>
    </row>
    <row r="7050" spans="1:22" x14ac:dyDescent="0.2">
      <c r="A7050" s="23" t="s">
        <v>8587</v>
      </c>
      <c r="B7050" s="22" t="s">
        <v>33</v>
      </c>
      <c r="C7050" s="22" t="s">
        <v>29</v>
      </c>
      <c r="D7050" s="22" t="s">
        <v>38</v>
      </c>
      <c r="E7050" s="24">
        <v>125108660</v>
      </c>
      <c r="F7050" s="22" t="s">
        <v>39</v>
      </c>
      <c r="G7050" s="25">
        <v>14033.06</v>
      </c>
      <c r="H7050" s="22" t="s">
        <v>43</v>
      </c>
      <c r="I7050" s="22">
        <v>0</v>
      </c>
      <c r="J7050" s="22" t="s">
        <v>39</v>
      </c>
      <c r="K7050" s="22" t="s">
        <v>23</v>
      </c>
      <c r="L7050" s="22">
        <v>1</v>
      </c>
      <c r="M7050" s="26">
        <v>154364</v>
      </c>
      <c r="N7050" s="26">
        <v>0</v>
      </c>
      <c r="O7050" s="15">
        <f t="shared" si="597"/>
        <v>154364</v>
      </c>
      <c r="P7050" s="15">
        <f t="shared" si="596"/>
        <v>11.000024228500413</v>
      </c>
      <c r="Q7050" s="25">
        <v>5000</v>
      </c>
      <c r="R7050" s="22">
        <v>100</v>
      </c>
      <c r="S7050" s="22" t="s">
        <v>8591</v>
      </c>
      <c r="T7050" s="22">
        <f t="shared" si="598"/>
        <v>7</v>
      </c>
      <c r="U7050" s="22">
        <f t="shared" si="599"/>
        <v>2023</v>
      </c>
      <c r="V7050" s="22" t="str">
        <f t="shared" si="600"/>
        <v>METROPOLITANA</v>
      </c>
    </row>
    <row r="7051" spans="1:22" x14ac:dyDescent="0.2">
      <c r="A7051" s="23" t="s">
        <v>8587</v>
      </c>
      <c r="B7051" s="22" t="s">
        <v>33</v>
      </c>
      <c r="C7051" s="22" t="s">
        <v>29</v>
      </c>
      <c r="D7051" s="22" t="s">
        <v>164</v>
      </c>
      <c r="E7051" s="24">
        <v>154837728</v>
      </c>
      <c r="F7051" s="22" t="s">
        <v>39</v>
      </c>
      <c r="G7051" s="25">
        <v>19862.2</v>
      </c>
      <c r="H7051" s="22" t="s">
        <v>22</v>
      </c>
      <c r="I7051" s="22">
        <v>1</v>
      </c>
      <c r="J7051" s="22" t="s">
        <v>39</v>
      </c>
      <c r="K7051" s="22" t="s">
        <v>23</v>
      </c>
      <c r="L7051" s="22">
        <v>1</v>
      </c>
      <c r="M7051" s="26">
        <v>218484</v>
      </c>
      <c r="N7051" s="26">
        <v>0</v>
      </c>
      <c r="O7051" s="15">
        <f t="shared" si="597"/>
        <v>218484</v>
      </c>
      <c r="P7051" s="15">
        <f t="shared" si="596"/>
        <v>10.999989930621986</v>
      </c>
      <c r="Q7051" s="25">
        <v>5000</v>
      </c>
      <c r="R7051" s="22">
        <v>100</v>
      </c>
      <c r="S7051" s="22" t="s">
        <v>8592</v>
      </c>
      <c r="T7051" s="22">
        <f t="shared" si="598"/>
        <v>7</v>
      </c>
      <c r="U7051" s="22">
        <f t="shared" si="599"/>
        <v>2023</v>
      </c>
      <c r="V7051" s="22" t="str">
        <f t="shared" si="600"/>
        <v>METROPOLITANA</v>
      </c>
    </row>
    <row r="7052" spans="1:22" x14ac:dyDescent="0.2">
      <c r="A7052" s="23" t="s">
        <v>8587</v>
      </c>
      <c r="B7052" s="22" t="s">
        <v>33</v>
      </c>
      <c r="C7052" s="22" t="s">
        <v>29</v>
      </c>
      <c r="D7052" s="22" t="s">
        <v>20</v>
      </c>
      <c r="E7052" s="24">
        <v>78907355</v>
      </c>
      <c r="F7052" s="22" t="s">
        <v>129</v>
      </c>
      <c r="G7052" s="25">
        <v>3223.4</v>
      </c>
      <c r="H7052" s="22" t="s">
        <v>22</v>
      </c>
      <c r="I7052" s="22">
        <v>0</v>
      </c>
      <c r="J7052" s="22" t="s">
        <v>129</v>
      </c>
      <c r="K7052" s="22" t="s">
        <v>23</v>
      </c>
      <c r="L7052" s="22">
        <v>1</v>
      </c>
      <c r="M7052" s="26">
        <v>69173</v>
      </c>
      <c r="N7052" s="26">
        <v>0</v>
      </c>
      <c r="O7052" s="15">
        <f t="shared" si="597"/>
        <v>69173</v>
      </c>
      <c r="P7052" s="15">
        <f t="shared" si="596"/>
        <v>21.459638890612396</v>
      </c>
      <c r="Q7052" s="25">
        <v>5000</v>
      </c>
      <c r="R7052" s="22">
        <v>64</v>
      </c>
      <c r="S7052" s="22" t="s">
        <v>8593</v>
      </c>
      <c r="T7052" s="22">
        <f t="shared" si="598"/>
        <v>7</v>
      </c>
      <c r="U7052" s="22">
        <f t="shared" si="599"/>
        <v>2023</v>
      </c>
      <c r="V7052" s="22" t="str">
        <f t="shared" si="600"/>
        <v>METROPOLITANA</v>
      </c>
    </row>
    <row r="7053" spans="1:22" x14ac:dyDescent="0.2">
      <c r="A7053" s="23" t="s">
        <v>8587</v>
      </c>
      <c r="B7053" s="22" t="s">
        <v>33</v>
      </c>
      <c r="C7053" s="22" t="s">
        <v>44</v>
      </c>
      <c r="D7053" s="22" t="s">
        <v>45</v>
      </c>
      <c r="E7053" s="24">
        <v>107643206</v>
      </c>
      <c r="F7053" s="22" t="s">
        <v>95</v>
      </c>
      <c r="G7053" s="25">
        <v>2818.36</v>
      </c>
      <c r="H7053" s="22" t="s">
        <v>22</v>
      </c>
      <c r="I7053" s="22">
        <v>0</v>
      </c>
      <c r="J7053" s="22" t="s">
        <v>95</v>
      </c>
      <c r="K7053" s="22" t="s">
        <v>23</v>
      </c>
      <c r="L7053" s="22">
        <v>4</v>
      </c>
      <c r="M7053" s="26">
        <v>69173</v>
      </c>
      <c r="N7053" s="26">
        <v>0</v>
      </c>
      <c r="O7053" s="15">
        <f t="shared" si="597"/>
        <v>69173</v>
      </c>
      <c r="P7053" s="15">
        <f t="shared" si="596"/>
        <v>24.543706268893967</v>
      </c>
      <c r="Q7053" s="25">
        <v>5000</v>
      </c>
      <c r="R7053" s="22">
        <v>56</v>
      </c>
      <c r="S7053" s="22" t="s">
        <v>8594</v>
      </c>
      <c r="T7053" s="22">
        <f t="shared" si="598"/>
        <v>7</v>
      </c>
      <c r="U7053" s="22">
        <f t="shared" si="599"/>
        <v>2023</v>
      </c>
      <c r="V7053" s="22" t="str">
        <f t="shared" si="600"/>
        <v>METROPOLITANA</v>
      </c>
    </row>
    <row r="7054" spans="1:22" x14ac:dyDescent="0.2">
      <c r="A7054" s="23" t="s">
        <v>8587</v>
      </c>
      <c r="B7054" s="22" t="s">
        <v>33</v>
      </c>
      <c r="C7054" s="22" t="s">
        <v>44</v>
      </c>
      <c r="D7054" s="22" t="s">
        <v>35</v>
      </c>
      <c r="E7054" s="24">
        <v>99626232</v>
      </c>
      <c r="F7054" s="22" t="s">
        <v>53</v>
      </c>
      <c r="G7054" s="25">
        <v>2489.8000000000002</v>
      </c>
      <c r="H7054" s="22" t="s">
        <v>22</v>
      </c>
      <c r="I7054" s="22">
        <v>0</v>
      </c>
      <c r="J7054" s="22" t="s">
        <v>53</v>
      </c>
      <c r="K7054" s="22" t="s">
        <v>23</v>
      </c>
      <c r="L7054" s="22">
        <v>3</v>
      </c>
      <c r="M7054" s="26">
        <v>69173</v>
      </c>
      <c r="N7054" s="26">
        <v>0</v>
      </c>
      <c r="O7054" s="15">
        <f t="shared" si="597"/>
        <v>69173</v>
      </c>
      <c r="P7054" s="15">
        <f t="shared" si="596"/>
        <v>27.782552815487186</v>
      </c>
      <c r="Q7054" s="25">
        <v>5000</v>
      </c>
      <c r="R7054" s="22">
        <v>50</v>
      </c>
      <c r="S7054" s="22" t="s">
        <v>8595</v>
      </c>
      <c r="T7054" s="22">
        <f t="shared" si="598"/>
        <v>7</v>
      </c>
      <c r="U7054" s="22">
        <f t="shared" si="599"/>
        <v>2023</v>
      </c>
      <c r="V7054" s="22" t="str">
        <f t="shared" si="600"/>
        <v>METROPOLITANA</v>
      </c>
    </row>
    <row r="7055" spans="1:22" x14ac:dyDescent="0.2">
      <c r="A7055" s="23" t="s">
        <v>8587</v>
      </c>
      <c r="B7055" s="22" t="s">
        <v>33</v>
      </c>
      <c r="C7055" s="22" t="s">
        <v>44</v>
      </c>
      <c r="D7055" s="22" t="s">
        <v>20</v>
      </c>
      <c r="E7055" s="24">
        <v>78907355</v>
      </c>
      <c r="F7055" s="22" t="s">
        <v>26</v>
      </c>
      <c r="G7055" s="25">
        <v>3560.04</v>
      </c>
      <c r="H7055" s="22" t="s">
        <v>22</v>
      </c>
      <c r="I7055" s="22">
        <v>0</v>
      </c>
      <c r="J7055" s="22" t="s">
        <v>26</v>
      </c>
      <c r="K7055" s="22" t="s">
        <v>23</v>
      </c>
      <c r="L7055" s="22">
        <v>4</v>
      </c>
      <c r="M7055" s="26">
        <v>69173</v>
      </c>
      <c r="N7055" s="26">
        <v>0</v>
      </c>
      <c r="O7055" s="15">
        <f t="shared" si="597"/>
        <v>69173</v>
      </c>
      <c r="P7055" s="15">
        <f t="shared" si="596"/>
        <v>19.430399658430805</v>
      </c>
      <c r="Q7055" s="25">
        <v>5000</v>
      </c>
      <c r="R7055" s="22">
        <v>71</v>
      </c>
      <c r="S7055" s="22" t="s">
        <v>8596</v>
      </c>
      <c r="T7055" s="22">
        <f t="shared" si="598"/>
        <v>7</v>
      </c>
      <c r="U7055" s="22">
        <f t="shared" si="599"/>
        <v>2023</v>
      </c>
      <c r="V7055" s="22" t="str">
        <f t="shared" si="600"/>
        <v>METROPOLITANA</v>
      </c>
    </row>
    <row r="7056" spans="1:22" x14ac:dyDescent="0.2">
      <c r="A7056" s="11" t="s">
        <v>8597</v>
      </c>
      <c r="B7056" s="12" t="s">
        <v>18</v>
      </c>
      <c r="C7056" s="12" t="s">
        <v>8491</v>
      </c>
      <c r="D7056" s="12" t="s">
        <v>30</v>
      </c>
      <c r="E7056" s="13">
        <v>72564391</v>
      </c>
      <c r="F7056" s="12" t="s">
        <v>129</v>
      </c>
      <c r="G7056" s="14">
        <v>5996.0000000000009</v>
      </c>
      <c r="H7056" s="12" t="s">
        <v>32</v>
      </c>
      <c r="I7056" s="12">
        <v>0</v>
      </c>
      <c r="J7056" s="12" t="s">
        <v>129</v>
      </c>
      <c r="K7056" s="12" t="s">
        <v>23</v>
      </c>
      <c r="L7056" s="12">
        <v>1</v>
      </c>
      <c r="M7056" s="15">
        <v>65956</v>
      </c>
      <c r="N7056" s="15">
        <v>0</v>
      </c>
      <c r="O7056" s="15">
        <f t="shared" si="597"/>
        <v>65956</v>
      </c>
      <c r="P7056" s="15">
        <f t="shared" si="596"/>
        <v>10.999999999999998</v>
      </c>
      <c r="Q7056" s="14">
        <v>5000</v>
      </c>
      <c r="R7056" s="12">
        <v>100</v>
      </c>
      <c r="S7056" s="12" t="s">
        <v>8598</v>
      </c>
      <c r="T7056" s="22">
        <f t="shared" si="598"/>
        <v>7</v>
      </c>
      <c r="U7056" s="22">
        <f t="shared" si="599"/>
        <v>2023</v>
      </c>
      <c r="V7056" s="22" t="str">
        <f t="shared" si="600"/>
        <v>METROPOLITANA</v>
      </c>
    </row>
    <row r="7057" spans="1:22" x14ac:dyDescent="0.2">
      <c r="A7057" s="11" t="s">
        <v>8597</v>
      </c>
      <c r="B7057" s="12" t="s">
        <v>18</v>
      </c>
      <c r="C7057" s="12" t="s">
        <v>57</v>
      </c>
      <c r="D7057" s="12" t="s">
        <v>38</v>
      </c>
      <c r="E7057" s="13">
        <v>53173292</v>
      </c>
      <c r="F7057" s="12" t="s">
        <v>51</v>
      </c>
      <c r="G7057" s="14">
        <v>2962.56</v>
      </c>
      <c r="H7057" s="12" t="s">
        <v>43</v>
      </c>
      <c r="I7057" s="12">
        <v>0</v>
      </c>
      <c r="J7057" s="12" t="s">
        <v>51</v>
      </c>
      <c r="K7057" s="12" t="s">
        <v>23</v>
      </c>
      <c r="L7057" s="12">
        <v>4</v>
      </c>
      <c r="M7057" s="15">
        <v>69173</v>
      </c>
      <c r="N7057" s="15">
        <v>0</v>
      </c>
      <c r="O7057" s="15">
        <f t="shared" si="597"/>
        <v>69173</v>
      </c>
      <c r="P7057" s="15">
        <f t="shared" si="596"/>
        <v>23.349062972564269</v>
      </c>
      <c r="Q7057" s="14">
        <v>5000</v>
      </c>
      <c r="R7057" s="12">
        <v>59</v>
      </c>
      <c r="S7057" s="12" t="s">
        <v>8599</v>
      </c>
      <c r="T7057" s="22">
        <f t="shared" si="598"/>
        <v>7</v>
      </c>
      <c r="U7057" s="22">
        <f t="shared" si="599"/>
        <v>2023</v>
      </c>
      <c r="V7057" s="22" t="str">
        <f t="shared" si="600"/>
        <v>METROPOLITANA</v>
      </c>
    </row>
    <row r="7058" spans="1:22" x14ac:dyDescent="0.2">
      <c r="A7058" s="11" t="s">
        <v>8597</v>
      </c>
      <c r="B7058" s="12" t="s">
        <v>18</v>
      </c>
      <c r="C7058" s="12" t="s">
        <v>19</v>
      </c>
      <c r="D7058" s="12" t="s">
        <v>5478</v>
      </c>
      <c r="E7058" s="13">
        <v>122975819</v>
      </c>
      <c r="F7058" s="12" t="s">
        <v>8600</v>
      </c>
      <c r="G7058" s="14">
        <v>25204.48</v>
      </c>
      <c r="H7058" s="12" t="s">
        <v>24</v>
      </c>
      <c r="I7058" s="12">
        <v>1</v>
      </c>
      <c r="J7058" s="12" t="s">
        <v>8600</v>
      </c>
      <c r="K7058" s="12" t="s">
        <v>86</v>
      </c>
      <c r="L7058" s="12">
        <v>0</v>
      </c>
      <c r="M7058" s="15">
        <v>320000</v>
      </c>
      <c r="N7058" s="15">
        <v>0</v>
      </c>
      <c r="O7058" s="15">
        <f t="shared" si="597"/>
        <v>320000</v>
      </c>
      <c r="P7058" s="15">
        <f t="shared" si="596"/>
        <v>12.696155604083083</v>
      </c>
      <c r="Q7058" s="14">
        <v>14000</v>
      </c>
      <c r="R7058" s="12">
        <v>100</v>
      </c>
      <c r="S7058" s="12" t="s">
        <v>8601</v>
      </c>
      <c r="T7058" s="22">
        <f t="shared" si="598"/>
        <v>7</v>
      </c>
      <c r="U7058" s="22">
        <f t="shared" si="599"/>
        <v>2023</v>
      </c>
      <c r="V7058" s="22" t="str">
        <f t="shared" si="600"/>
        <v>REGIONES</v>
      </c>
    </row>
    <row r="7059" spans="1:22" x14ac:dyDescent="0.2">
      <c r="A7059" s="11" t="s">
        <v>8597</v>
      </c>
      <c r="B7059" s="12" t="s">
        <v>18</v>
      </c>
      <c r="C7059" s="12" t="s">
        <v>19</v>
      </c>
      <c r="D7059" s="12" t="s">
        <v>2825</v>
      </c>
      <c r="E7059" s="13">
        <v>113693508</v>
      </c>
      <c r="F7059" s="12" t="s">
        <v>8600</v>
      </c>
      <c r="G7059" s="14">
        <v>24534.290000000012</v>
      </c>
      <c r="H7059" s="12" t="s">
        <v>24</v>
      </c>
      <c r="I7059" s="12">
        <v>1</v>
      </c>
      <c r="J7059" s="12" t="s">
        <v>8600</v>
      </c>
      <c r="K7059" s="12" t="s">
        <v>86</v>
      </c>
      <c r="L7059" s="12">
        <v>0</v>
      </c>
      <c r="M7059" s="15">
        <v>320000</v>
      </c>
      <c r="N7059" s="15">
        <v>0</v>
      </c>
      <c r="O7059" s="15">
        <f t="shared" si="597"/>
        <v>320000</v>
      </c>
      <c r="P7059" s="15">
        <f t="shared" si="596"/>
        <v>13.042969655938682</v>
      </c>
      <c r="Q7059" s="14">
        <v>14000</v>
      </c>
      <c r="R7059" s="12">
        <v>100</v>
      </c>
      <c r="S7059" s="12" t="s">
        <v>8602</v>
      </c>
      <c r="T7059" s="22">
        <f t="shared" si="598"/>
        <v>7</v>
      </c>
      <c r="U7059" s="22">
        <f t="shared" si="599"/>
        <v>2023</v>
      </c>
      <c r="V7059" s="22" t="str">
        <f t="shared" si="600"/>
        <v>REGIONES</v>
      </c>
    </row>
    <row r="7060" spans="1:22" x14ac:dyDescent="0.2">
      <c r="A7060" s="11" t="s">
        <v>8597</v>
      </c>
      <c r="B7060" s="12" t="s">
        <v>18</v>
      </c>
      <c r="C7060" s="12" t="s">
        <v>7400</v>
      </c>
      <c r="D7060" s="12" t="s">
        <v>370</v>
      </c>
      <c r="E7060" s="13">
        <v>94742285</v>
      </c>
      <c r="F7060" s="12" t="s">
        <v>66</v>
      </c>
      <c r="G7060" s="14">
        <v>22363</v>
      </c>
      <c r="H7060" s="12" t="s">
        <v>85</v>
      </c>
      <c r="I7060" s="12">
        <v>1</v>
      </c>
      <c r="J7060" s="12" t="s">
        <v>66</v>
      </c>
      <c r="K7060" s="12" t="s">
        <v>75</v>
      </c>
      <c r="L7060" s="12">
        <v>0</v>
      </c>
      <c r="M7060" s="15">
        <v>506000</v>
      </c>
      <c r="N7060" s="15">
        <v>0</v>
      </c>
      <c r="O7060" s="15">
        <f t="shared" si="597"/>
        <v>506000</v>
      </c>
      <c r="P7060" s="15">
        <f t="shared" si="596"/>
        <v>22.626660108214462</v>
      </c>
      <c r="Q7060" s="14">
        <v>14000</v>
      </c>
      <c r="R7060" s="12">
        <v>100</v>
      </c>
      <c r="S7060" s="12" t="s">
        <v>8603</v>
      </c>
      <c r="T7060" s="22">
        <f t="shared" si="598"/>
        <v>7</v>
      </c>
      <c r="U7060" s="22">
        <f t="shared" si="599"/>
        <v>2023</v>
      </c>
      <c r="V7060" s="22" t="str">
        <f t="shared" si="600"/>
        <v>REGIONES</v>
      </c>
    </row>
    <row r="7061" spans="1:22" x14ac:dyDescent="0.2">
      <c r="A7061" s="11" t="s">
        <v>8597</v>
      </c>
      <c r="B7061" s="12" t="s">
        <v>18</v>
      </c>
      <c r="C7061" s="12" t="s">
        <v>29</v>
      </c>
      <c r="D7061" s="12" t="s">
        <v>30</v>
      </c>
      <c r="E7061" s="13">
        <v>72564391</v>
      </c>
      <c r="F7061" s="12" t="s">
        <v>39</v>
      </c>
      <c r="G7061" s="14">
        <v>9040.68</v>
      </c>
      <c r="H7061" s="12" t="s">
        <v>32</v>
      </c>
      <c r="I7061" s="12">
        <v>0</v>
      </c>
      <c r="J7061" s="12" t="s">
        <v>39</v>
      </c>
      <c r="K7061" s="12" t="s">
        <v>23</v>
      </c>
      <c r="L7061" s="12">
        <v>1</v>
      </c>
      <c r="M7061" s="15">
        <v>99447</v>
      </c>
      <c r="N7061" s="15">
        <v>0</v>
      </c>
      <c r="O7061" s="15">
        <f t="shared" si="597"/>
        <v>99447</v>
      </c>
      <c r="P7061" s="15">
        <f t="shared" si="596"/>
        <v>10.999946906648615</v>
      </c>
      <c r="Q7061" s="14">
        <v>5000</v>
      </c>
      <c r="R7061" s="12">
        <v>100</v>
      </c>
      <c r="S7061" s="12" t="s">
        <v>8604</v>
      </c>
      <c r="T7061" s="22">
        <f t="shared" si="598"/>
        <v>7</v>
      </c>
      <c r="U7061" s="22">
        <f t="shared" si="599"/>
        <v>2023</v>
      </c>
      <c r="V7061" s="22" t="str">
        <f t="shared" si="600"/>
        <v>METROPOLITANA</v>
      </c>
    </row>
    <row r="7062" spans="1:22" x14ac:dyDescent="0.2">
      <c r="A7062" s="11" t="s">
        <v>8597</v>
      </c>
      <c r="B7062" s="12" t="s">
        <v>33</v>
      </c>
      <c r="C7062" s="12" t="s">
        <v>128</v>
      </c>
      <c r="D7062" s="12" t="s">
        <v>786</v>
      </c>
      <c r="E7062" s="13">
        <v>95707734</v>
      </c>
      <c r="F7062" s="12" t="s">
        <v>34</v>
      </c>
      <c r="G7062" s="14">
        <v>12020.95</v>
      </c>
      <c r="H7062" s="12" t="s">
        <v>788</v>
      </c>
      <c r="I7062" s="12">
        <v>1</v>
      </c>
      <c r="J7062" s="12" t="s">
        <v>34</v>
      </c>
      <c r="K7062" s="12" t="s">
        <v>23</v>
      </c>
      <c r="L7062" s="12">
        <v>1</v>
      </c>
      <c r="M7062" s="15">
        <v>132230</v>
      </c>
      <c r="N7062" s="15">
        <v>0</v>
      </c>
      <c r="O7062" s="15">
        <f t="shared" si="597"/>
        <v>132230</v>
      </c>
      <c r="P7062" s="15">
        <f t="shared" si="596"/>
        <v>10.99996256535465</v>
      </c>
      <c r="Q7062" s="14">
        <v>5000</v>
      </c>
      <c r="R7062" s="12">
        <v>100</v>
      </c>
      <c r="S7062" s="12" t="s">
        <v>8605</v>
      </c>
      <c r="T7062" s="22">
        <f t="shared" si="598"/>
        <v>7</v>
      </c>
      <c r="U7062" s="22">
        <f t="shared" si="599"/>
        <v>2023</v>
      </c>
      <c r="V7062" s="22" t="str">
        <f t="shared" si="600"/>
        <v>METROPOLITANA</v>
      </c>
    </row>
    <row r="7063" spans="1:22" x14ac:dyDescent="0.2">
      <c r="A7063" s="11" t="s">
        <v>8597</v>
      </c>
      <c r="B7063" s="12" t="s">
        <v>33</v>
      </c>
      <c r="C7063" s="12" t="s">
        <v>128</v>
      </c>
      <c r="D7063" s="12" t="s">
        <v>20</v>
      </c>
      <c r="E7063" s="13">
        <v>78907355</v>
      </c>
      <c r="F7063" s="12" t="s">
        <v>129</v>
      </c>
      <c r="G7063" s="14">
        <v>5195.6399999999994</v>
      </c>
      <c r="H7063" s="12" t="s">
        <v>22</v>
      </c>
      <c r="I7063" s="12">
        <v>0</v>
      </c>
      <c r="J7063" s="12" t="s">
        <v>129</v>
      </c>
      <c r="K7063" s="12" t="s">
        <v>23</v>
      </c>
      <c r="L7063" s="12">
        <v>1</v>
      </c>
      <c r="M7063" s="15">
        <v>57152</v>
      </c>
      <c r="N7063" s="15">
        <v>0</v>
      </c>
      <c r="O7063" s="15">
        <f t="shared" si="597"/>
        <v>57152</v>
      </c>
      <c r="P7063" s="15">
        <f t="shared" si="596"/>
        <v>10.999992301237192</v>
      </c>
      <c r="Q7063" s="14">
        <v>5000</v>
      </c>
      <c r="R7063" s="12">
        <v>100</v>
      </c>
      <c r="S7063" s="12" t="s">
        <v>8606</v>
      </c>
      <c r="T7063" s="22">
        <f t="shared" si="598"/>
        <v>7</v>
      </c>
      <c r="U7063" s="22">
        <f t="shared" si="599"/>
        <v>2023</v>
      </c>
      <c r="V7063" s="22" t="str">
        <f t="shared" si="600"/>
        <v>METROPOLITANA</v>
      </c>
    </row>
    <row r="7064" spans="1:22" x14ac:dyDescent="0.2">
      <c r="A7064" s="11" t="s">
        <v>8597</v>
      </c>
      <c r="B7064" s="12" t="s">
        <v>33</v>
      </c>
      <c r="C7064" s="12" t="s">
        <v>29</v>
      </c>
      <c r="D7064" s="12" t="s">
        <v>30</v>
      </c>
      <c r="E7064" s="13">
        <v>72564391</v>
      </c>
      <c r="F7064" s="12" t="s">
        <v>39</v>
      </c>
      <c r="G7064" s="14">
        <v>4548.6000000000004</v>
      </c>
      <c r="H7064" s="12" t="s">
        <v>32</v>
      </c>
      <c r="I7064" s="12">
        <v>0</v>
      </c>
      <c r="J7064" s="12" t="s">
        <v>39</v>
      </c>
      <c r="K7064" s="12" t="s">
        <v>23</v>
      </c>
      <c r="L7064" s="12">
        <v>1</v>
      </c>
      <c r="M7064" s="15">
        <v>69173</v>
      </c>
      <c r="N7064" s="15">
        <v>0</v>
      </c>
      <c r="O7064" s="15">
        <f t="shared" si="597"/>
        <v>69173</v>
      </c>
      <c r="P7064" s="15">
        <f t="shared" si="596"/>
        <v>15.207536384821703</v>
      </c>
      <c r="Q7064" s="14">
        <v>5000</v>
      </c>
      <c r="R7064" s="12">
        <v>91</v>
      </c>
      <c r="S7064" s="12" t="s">
        <v>8607</v>
      </c>
      <c r="T7064" s="22">
        <f t="shared" si="598"/>
        <v>7</v>
      </c>
      <c r="U7064" s="22">
        <f t="shared" si="599"/>
        <v>2023</v>
      </c>
      <c r="V7064" s="22" t="str">
        <f t="shared" si="600"/>
        <v>METROPOLITANA</v>
      </c>
    </row>
    <row r="7065" spans="1:22" x14ac:dyDescent="0.2">
      <c r="A7065" s="11" t="s">
        <v>8597</v>
      </c>
      <c r="B7065" s="12" t="s">
        <v>33</v>
      </c>
      <c r="C7065" s="12" t="s">
        <v>29</v>
      </c>
      <c r="D7065" s="12" t="s">
        <v>164</v>
      </c>
      <c r="E7065" s="13">
        <v>154837728</v>
      </c>
      <c r="F7065" s="12" t="s">
        <v>39</v>
      </c>
      <c r="G7065" s="14">
        <v>1374</v>
      </c>
      <c r="H7065" s="12" t="s">
        <v>22</v>
      </c>
      <c r="I7065" s="12">
        <v>1</v>
      </c>
      <c r="J7065" s="12" t="s">
        <v>39</v>
      </c>
      <c r="K7065" s="12" t="s">
        <v>23</v>
      </c>
      <c r="L7065" s="12">
        <v>1</v>
      </c>
      <c r="M7065" s="15">
        <v>69173</v>
      </c>
      <c r="N7065" s="15">
        <v>0</v>
      </c>
      <c r="O7065" s="15">
        <f t="shared" si="597"/>
        <v>69173</v>
      </c>
      <c r="P7065" s="15">
        <f t="shared" si="596"/>
        <v>50.344250363901018</v>
      </c>
      <c r="Q7065" s="14">
        <v>5000</v>
      </c>
      <c r="R7065" s="12">
        <v>27</v>
      </c>
      <c r="S7065" s="12" t="s">
        <v>8608</v>
      </c>
      <c r="T7065" s="22">
        <f t="shared" si="598"/>
        <v>7</v>
      </c>
      <c r="U7065" s="22">
        <f t="shared" si="599"/>
        <v>2023</v>
      </c>
      <c r="V7065" s="22" t="str">
        <f t="shared" si="600"/>
        <v>METROPOLITANA</v>
      </c>
    </row>
    <row r="7066" spans="1:22" x14ac:dyDescent="0.2">
      <c r="A7066" s="11" t="s">
        <v>8597</v>
      </c>
      <c r="B7066" s="12" t="s">
        <v>33</v>
      </c>
      <c r="C7066" s="12" t="s">
        <v>44</v>
      </c>
      <c r="D7066" s="12" t="s">
        <v>8580</v>
      </c>
      <c r="E7066" s="13">
        <v>276547747</v>
      </c>
      <c r="F7066" s="12" t="s">
        <v>225</v>
      </c>
      <c r="G7066" s="14">
        <v>2945.3</v>
      </c>
      <c r="H7066" s="12" t="s">
        <v>24</v>
      </c>
      <c r="I7066" s="12">
        <v>1</v>
      </c>
      <c r="J7066" s="12" t="s">
        <v>225</v>
      </c>
      <c r="K7066" s="12" t="s">
        <v>23</v>
      </c>
      <c r="L7066" s="12">
        <v>3</v>
      </c>
      <c r="M7066" s="15">
        <v>69173</v>
      </c>
      <c r="N7066" s="15">
        <v>0</v>
      </c>
      <c r="O7066" s="15">
        <f t="shared" si="597"/>
        <v>69173</v>
      </c>
      <c r="P7066" s="15">
        <f t="shared" si="596"/>
        <v>23.485892778324786</v>
      </c>
      <c r="Q7066" s="14">
        <v>5000</v>
      </c>
      <c r="R7066" s="12">
        <v>59</v>
      </c>
      <c r="S7066" s="12" t="s">
        <v>8609</v>
      </c>
      <c r="T7066" s="22">
        <f t="shared" si="598"/>
        <v>7</v>
      </c>
      <c r="U7066" s="22">
        <f t="shared" si="599"/>
        <v>2023</v>
      </c>
      <c r="V7066" s="22" t="str">
        <f t="shared" si="600"/>
        <v>METROPOLITANA</v>
      </c>
    </row>
    <row r="7067" spans="1:22" x14ac:dyDescent="0.2">
      <c r="A7067" s="11" t="s">
        <v>8597</v>
      </c>
      <c r="B7067" s="12" t="s">
        <v>33</v>
      </c>
      <c r="C7067" s="12" t="s">
        <v>44</v>
      </c>
      <c r="D7067" s="12" t="s">
        <v>45</v>
      </c>
      <c r="E7067" s="13">
        <v>107643206</v>
      </c>
      <c r="F7067" s="12" t="s">
        <v>46</v>
      </c>
      <c r="G7067" s="14">
        <v>2877.21</v>
      </c>
      <c r="H7067" s="12" t="s">
        <v>22</v>
      </c>
      <c r="I7067" s="12">
        <v>0</v>
      </c>
      <c r="J7067" s="12" t="s">
        <v>46</v>
      </c>
      <c r="K7067" s="12" t="s">
        <v>23</v>
      </c>
      <c r="L7067" s="12">
        <v>2</v>
      </c>
      <c r="M7067" s="15">
        <v>69173</v>
      </c>
      <c r="N7067" s="15">
        <v>0</v>
      </c>
      <c r="O7067" s="15">
        <f t="shared" si="597"/>
        <v>69173</v>
      </c>
      <c r="P7067" s="15">
        <f t="shared" si="596"/>
        <v>24.04169316803431</v>
      </c>
      <c r="Q7067" s="14">
        <v>5000</v>
      </c>
      <c r="R7067" s="12">
        <v>58</v>
      </c>
      <c r="S7067" s="12" t="s">
        <v>8610</v>
      </c>
      <c r="T7067" s="22">
        <f t="shared" si="598"/>
        <v>7</v>
      </c>
      <c r="U7067" s="22">
        <f t="shared" si="599"/>
        <v>2023</v>
      </c>
      <c r="V7067" s="22" t="str">
        <f t="shared" si="600"/>
        <v>METROPOLITANA</v>
      </c>
    </row>
    <row r="7068" spans="1:22" x14ac:dyDescent="0.2">
      <c r="A7068" s="11" t="s">
        <v>8597</v>
      </c>
      <c r="B7068" s="12" t="s">
        <v>33</v>
      </c>
      <c r="C7068" s="12" t="s">
        <v>44</v>
      </c>
      <c r="D7068" s="12" t="s">
        <v>35</v>
      </c>
      <c r="E7068" s="13">
        <v>99626232</v>
      </c>
      <c r="F7068" s="12" t="s">
        <v>182</v>
      </c>
      <c r="G7068" s="14">
        <v>2648.12</v>
      </c>
      <c r="H7068" s="12" t="s">
        <v>22</v>
      </c>
      <c r="I7068" s="12">
        <v>0</v>
      </c>
      <c r="J7068" s="12" t="s">
        <v>182</v>
      </c>
      <c r="K7068" s="12" t="s">
        <v>23</v>
      </c>
      <c r="L7068" s="12">
        <v>4</v>
      </c>
      <c r="M7068" s="15">
        <v>69173</v>
      </c>
      <c r="N7068" s="15">
        <v>0</v>
      </c>
      <c r="O7068" s="15">
        <f t="shared" si="597"/>
        <v>69173</v>
      </c>
      <c r="P7068" s="15">
        <f t="shared" si="596"/>
        <v>26.121550382913163</v>
      </c>
      <c r="Q7068" s="14">
        <v>5000</v>
      </c>
      <c r="R7068" s="12">
        <v>53</v>
      </c>
      <c r="S7068" s="12" t="s">
        <v>8611</v>
      </c>
      <c r="T7068" s="22">
        <f t="shared" si="598"/>
        <v>7</v>
      </c>
      <c r="U7068" s="22">
        <f t="shared" si="599"/>
        <v>2023</v>
      </c>
      <c r="V7068" s="22" t="str">
        <f t="shared" si="600"/>
        <v>METROPOLITANA</v>
      </c>
    </row>
    <row r="7069" spans="1:22" x14ac:dyDescent="0.2">
      <c r="A7069" s="23" t="s">
        <v>8612</v>
      </c>
      <c r="B7069" s="22" t="s">
        <v>18</v>
      </c>
      <c r="C7069" s="22" t="s">
        <v>57</v>
      </c>
      <c r="D7069" s="22" t="s">
        <v>38</v>
      </c>
      <c r="E7069" s="24" t="s">
        <v>42</v>
      </c>
      <c r="F7069" s="22" t="s">
        <v>51</v>
      </c>
      <c r="G7069" s="25">
        <v>1385</v>
      </c>
      <c r="H7069" s="22" t="s">
        <v>43</v>
      </c>
      <c r="I7069" s="22">
        <v>0</v>
      </c>
      <c r="J7069" s="22" t="s">
        <v>51</v>
      </c>
      <c r="K7069" s="22" t="s">
        <v>23</v>
      </c>
      <c r="L7069" s="22">
        <v>4</v>
      </c>
      <c r="M7069" s="26">
        <v>69173</v>
      </c>
      <c r="N7069" s="26">
        <v>0</v>
      </c>
      <c r="O7069" s="15">
        <f t="shared" ref="O7069:O7078" si="601">SUM(M7069:N7069)</f>
        <v>69173</v>
      </c>
      <c r="P7069" s="15">
        <f t="shared" ref="P7069:P7078" si="602">O7069/G7069</f>
        <v>49.944404332129963</v>
      </c>
      <c r="Q7069" s="25">
        <v>5000</v>
      </c>
      <c r="R7069" s="22">
        <v>28</v>
      </c>
      <c r="S7069" s="22" t="s">
        <v>8613</v>
      </c>
      <c r="T7069" s="22">
        <f t="shared" si="598"/>
        <v>7</v>
      </c>
      <c r="U7069" s="22">
        <f t="shared" si="599"/>
        <v>2023</v>
      </c>
      <c r="V7069" s="22" t="str">
        <f t="shared" si="600"/>
        <v>METROPOLITANA</v>
      </c>
    </row>
    <row r="7070" spans="1:22" x14ac:dyDescent="0.2">
      <c r="A7070" s="23" t="s">
        <v>8612</v>
      </c>
      <c r="B7070" s="22" t="s">
        <v>18</v>
      </c>
      <c r="C7070" s="22" t="s">
        <v>8517</v>
      </c>
      <c r="D7070" s="22" t="s">
        <v>38</v>
      </c>
      <c r="E7070" s="24" t="s">
        <v>42</v>
      </c>
      <c r="F7070" s="22" t="s">
        <v>26</v>
      </c>
      <c r="G7070" s="25">
        <v>2441.52</v>
      </c>
      <c r="H7070" s="22" t="s">
        <v>43</v>
      </c>
      <c r="I7070" s="22">
        <v>0</v>
      </c>
      <c r="J7070" s="22" t="s">
        <v>26</v>
      </c>
      <c r="K7070" s="22" t="s">
        <v>23</v>
      </c>
      <c r="L7070" s="22">
        <v>4</v>
      </c>
      <c r="M7070" s="26">
        <v>69173</v>
      </c>
      <c r="N7070" s="26">
        <v>0</v>
      </c>
      <c r="O7070" s="15">
        <f t="shared" si="601"/>
        <v>69173</v>
      </c>
      <c r="P7070" s="15">
        <f t="shared" si="602"/>
        <v>28.331940758216195</v>
      </c>
      <c r="Q7070" s="25">
        <v>5000</v>
      </c>
      <c r="R7070" s="22">
        <v>49</v>
      </c>
      <c r="S7070" s="22" t="s">
        <v>8614</v>
      </c>
      <c r="T7070" s="22">
        <f t="shared" si="598"/>
        <v>7</v>
      </c>
      <c r="U7070" s="22">
        <f t="shared" si="599"/>
        <v>2023</v>
      </c>
      <c r="V7070" s="22" t="str">
        <f t="shared" si="600"/>
        <v>METROPOLITANA</v>
      </c>
    </row>
    <row r="7071" spans="1:22" x14ac:dyDescent="0.2">
      <c r="A7071" s="23" t="s">
        <v>8612</v>
      </c>
      <c r="B7071" s="22" t="s">
        <v>33</v>
      </c>
      <c r="C7071" s="22" t="s">
        <v>128</v>
      </c>
      <c r="D7071" s="22" t="s">
        <v>786</v>
      </c>
      <c r="E7071" s="24" t="s">
        <v>787</v>
      </c>
      <c r="F7071" s="22" t="s">
        <v>691</v>
      </c>
      <c r="G7071" s="25">
        <f>11406.08+1201</f>
        <v>12607.08</v>
      </c>
      <c r="H7071" s="22" t="s">
        <v>788</v>
      </c>
      <c r="I7071" s="22">
        <v>1</v>
      </c>
      <c r="J7071" s="22" t="s">
        <v>691</v>
      </c>
      <c r="K7071" s="22" t="s">
        <v>873</v>
      </c>
      <c r="L7071" s="22">
        <v>0</v>
      </c>
      <c r="M7071" s="26">
        <v>1282000</v>
      </c>
      <c r="N7071" s="26">
        <v>0</v>
      </c>
      <c r="O7071" s="15">
        <f t="shared" si="601"/>
        <v>1282000</v>
      </c>
      <c r="P7071" s="15">
        <f t="shared" si="602"/>
        <v>101.68889227323059</v>
      </c>
      <c r="Q7071" s="25">
        <v>14000</v>
      </c>
      <c r="R7071" s="22">
        <v>91</v>
      </c>
      <c r="S7071" s="22" t="s">
        <v>8622</v>
      </c>
      <c r="T7071" s="22">
        <f t="shared" si="598"/>
        <v>7</v>
      </c>
      <c r="U7071" s="22">
        <f t="shared" si="599"/>
        <v>2023</v>
      </c>
      <c r="V7071" s="22" t="str">
        <f t="shared" si="600"/>
        <v>REGIONES</v>
      </c>
    </row>
    <row r="7072" spans="1:22" x14ac:dyDescent="0.2">
      <c r="A7072" s="23" t="s">
        <v>8612</v>
      </c>
      <c r="B7072" s="22" t="s">
        <v>33</v>
      </c>
      <c r="C7072" s="22" t="s">
        <v>36</v>
      </c>
      <c r="D7072" s="22" t="s">
        <v>37</v>
      </c>
      <c r="E7072" s="24" t="s">
        <v>2113</v>
      </c>
      <c r="F7072" s="22" t="s">
        <v>170</v>
      </c>
      <c r="G7072" s="25">
        <v>5234.5</v>
      </c>
      <c r="H7072" s="22" t="s">
        <v>22</v>
      </c>
      <c r="I7072" s="22">
        <v>0</v>
      </c>
      <c r="J7072" s="22" t="s">
        <v>170</v>
      </c>
      <c r="K7072" s="22" t="s">
        <v>171</v>
      </c>
      <c r="L7072" s="22">
        <v>0</v>
      </c>
      <c r="M7072" s="26">
        <v>226400</v>
      </c>
      <c r="N7072" s="26">
        <v>0</v>
      </c>
      <c r="O7072" s="15">
        <f t="shared" si="601"/>
        <v>226400</v>
      </c>
      <c r="P7072" s="15">
        <f t="shared" si="602"/>
        <v>43.251504441684972</v>
      </c>
      <c r="Q7072" s="25">
        <v>14000</v>
      </c>
      <c r="R7072" s="22">
        <v>37</v>
      </c>
      <c r="S7072" s="22" t="s">
        <v>8615</v>
      </c>
      <c r="T7072" s="22">
        <f t="shared" si="598"/>
        <v>7</v>
      </c>
      <c r="U7072" s="22">
        <f t="shared" si="599"/>
        <v>2023</v>
      </c>
      <c r="V7072" s="22" t="str">
        <f t="shared" si="600"/>
        <v>REGIONES</v>
      </c>
    </row>
    <row r="7073" spans="1:22" x14ac:dyDescent="0.2">
      <c r="A7073" s="23" t="s">
        <v>8612</v>
      </c>
      <c r="B7073" s="22" t="s">
        <v>33</v>
      </c>
      <c r="C7073" s="22" t="s">
        <v>36</v>
      </c>
      <c r="D7073" s="22" t="s">
        <v>3641</v>
      </c>
      <c r="E7073" s="24" t="s">
        <v>5124</v>
      </c>
      <c r="F7073" s="22" t="s">
        <v>876</v>
      </c>
      <c r="G7073" s="25">
        <f>4520.08+3498</f>
        <v>8018.08</v>
      </c>
      <c r="H7073" s="22" t="s">
        <v>24</v>
      </c>
      <c r="I7073" s="22">
        <v>1</v>
      </c>
      <c r="J7073" s="22" t="s">
        <v>876</v>
      </c>
      <c r="K7073" s="22" t="s">
        <v>86</v>
      </c>
      <c r="L7073" s="22">
        <v>0</v>
      </c>
      <c r="M7073" s="26">
        <v>420000</v>
      </c>
      <c r="N7073" s="26">
        <v>0</v>
      </c>
      <c r="O7073" s="15">
        <f t="shared" si="601"/>
        <v>420000</v>
      </c>
      <c r="P7073" s="15">
        <f t="shared" si="602"/>
        <v>52.381617544349773</v>
      </c>
      <c r="Q7073" s="25">
        <v>14000</v>
      </c>
      <c r="R7073" s="22">
        <v>32</v>
      </c>
      <c r="S7073" s="22" t="s">
        <v>8623</v>
      </c>
      <c r="T7073" s="22">
        <f t="shared" si="598"/>
        <v>7</v>
      </c>
      <c r="U7073" s="22">
        <f t="shared" si="599"/>
        <v>2023</v>
      </c>
      <c r="V7073" s="22" t="str">
        <f t="shared" si="600"/>
        <v>REGIONES</v>
      </c>
    </row>
    <row r="7074" spans="1:22" x14ac:dyDescent="0.2">
      <c r="A7074" s="23" t="s">
        <v>8612</v>
      </c>
      <c r="B7074" s="22" t="s">
        <v>33</v>
      </c>
      <c r="C7074" s="22" t="s">
        <v>5796</v>
      </c>
      <c r="D7074" s="22" t="s">
        <v>30</v>
      </c>
      <c r="E7074" s="24" t="s">
        <v>31</v>
      </c>
      <c r="F7074" s="22" t="s">
        <v>129</v>
      </c>
      <c r="G7074" s="25">
        <v>11760</v>
      </c>
      <c r="H7074" s="22" t="s">
        <v>32</v>
      </c>
      <c r="I7074" s="22">
        <v>0</v>
      </c>
      <c r="J7074" s="22" t="s">
        <v>129</v>
      </c>
      <c r="K7074" s="22" t="s">
        <v>23</v>
      </c>
      <c r="L7074" s="22">
        <v>1</v>
      </c>
      <c r="M7074" s="26">
        <v>129360</v>
      </c>
      <c r="N7074" s="26">
        <v>0</v>
      </c>
      <c r="O7074" s="15">
        <f t="shared" si="601"/>
        <v>129360</v>
      </c>
      <c r="P7074" s="15">
        <f t="shared" si="602"/>
        <v>11</v>
      </c>
      <c r="Q7074" s="25">
        <v>5000</v>
      </c>
      <c r="R7074" s="22">
        <v>100</v>
      </c>
      <c r="S7074" s="22" t="s">
        <v>8616</v>
      </c>
      <c r="T7074" s="22">
        <f t="shared" si="598"/>
        <v>7</v>
      </c>
      <c r="U7074" s="22">
        <f t="shared" si="599"/>
        <v>2023</v>
      </c>
      <c r="V7074" s="22" t="str">
        <f t="shared" si="600"/>
        <v>METROPOLITANA</v>
      </c>
    </row>
    <row r="7075" spans="1:22" x14ac:dyDescent="0.2">
      <c r="A7075" s="23" t="s">
        <v>8612</v>
      </c>
      <c r="B7075" s="22" t="s">
        <v>33</v>
      </c>
      <c r="C7075" s="22" t="s">
        <v>29</v>
      </c>
      <c r="D7075" s="22" t="s">
        <v>7711</v>
      </c>
      <c r="E7075" s="24" t="s">
        <v>7712</v>
      </c>
      <c r="F7075" s="22" t="s">
        <v>114</v>
      </c>
      <c r="G7075" s="25">
        <v>14548.32</v>
      </c>
      <c r="H7075" s="22" t="s">
        <v>24</v>
      </c>
      <c r="I7075" s="22">
        <v>1</v>
      </c>
      <c r="J7075" s="22" t="s">
        <v>114</v>
      </c>
      <c r="K7075" s="22" t="s">
        <v>75</v>
      </c>
      <c r="L7075" s="22">
        <v>0</v>
      </c>
      <c r="M7075" s="26">
        <v>528000</v>
      </c>
      <c r="N7075" s="26">
        <v>0</v>
      </c>
      <c r="O7075" s="15">
        <f t="shared" si="601"/>
        <v>528000</v>
      </c>
      <c r="P7075" s="15">
        <f t="shared" si="602"/>
        <v>36.292850308489228</v>
      </c>
      <c r="Q7075" s="25">
        <v>14000</v>
      </c>
      <c r="R7075" s="22">
        <v>100</v>
      </c>
      <c r="S7075" s="22" t="s">
        <v>8617</v>
      </c>
      <c r="T7075" s="22">
        <f t="shared" si="598"/>
        <v>7</v>
      </c>
      <c r="U7075" s="22">
        <f t="shared" si="599"/>
        <v>2023</v>
      </c>
      <c r="V7075" s="22" t="str">
        <f t="shared" si="600"/>
        <v>REGIONES</v>
      </c>
    </row>
    <row r="7076" spans="1:22" x14ac:dyDescent="0.2">
      <c r="A7076" s="23" t="s">
        <v>8612</v>
      </c>
      <c r="B7076" s="22" t="s">
        <v>33</v>
      </c>
      <c r="C7076" s="22" t="s">
        <v>29</v>
      </c>
      <c r="D7076" s="22" t="s">
        <v>164</v>
      </c>
      <c r="E7076" s="24" t="s">
        <v>1576</v>
      </c>
      <c r="F7076" s="22" t="s">
        <v>39</v>
      </c>
      <c r="G7076" s="25">
        <v>15137.66</v>
      </c>
      <c r="H7076" s="22" t="s">
        <v>22</v>
      </c>
      <c r="I7076" s="22">
        <v>1</v>
      </c>
      <c r="J7076" s="22" t="s">
        <v>39</v>
      </c>
      <c r="K7076" s="22" t="s">
        <v>23</v>
      </c>
      <c r="L7076" s="22">
        <v>1</v>
      </c>
      <c r="M7076" s="26">
        <v>166514</v>
      </c>
      <c r="N7076" s="26">
        <v>0</v>
      </c>
      <c r="O7076" s="15">
        <f t="shared" si="601"/>
        <v>166514</v>
      </c>
      <c r="P7076" s="15">
        <f t="shared" si="602"/>
        <v>10.999982824293847</v>
      </c>
      <c r="Q7076" s="25">
        <v>5000</v>
      </c>
      <c r="R7076" s="22">
        <v>100</v>
      </c>
      <c r="S7076" s="22" t="s">
        <v>8618</v>
      </c>
      <c r="T7076" s="22">
        <f t="shared" si="598"/>
        <v>7</v>
      </c>
      <c r="U7076" s="22">
        <f t="shared" si="599"/>
        <v>2023</v>
      </c>
      <c r="V7076" s="22" t="str">
        <f t="shared" si="600"/>
        <v>METROPOLITANA</v>
      </c>
    </row>
    <row r="7077" spans="1:22" x14ac:dyDescent="0.2">
      <c r="A7077" s="23" t="s">
        <v>8612</v>
      </c>
      <c r="B7077" s="22" t="s">
        <v>33</v>
      </c>
      <c r="C7077" s="22" t="s">
        <v>44</v>
      </c>
      <c r="D7077" s="22" t="s">
        <v>8580</v>
      </c>
      <c r="E7077" s="24" t="s">
        <v>8619</v>
      </c>
      <c r="F7077" s="22" t="s">
        <v>554</v>
      </c>
      <c r="G7077" s="25">
        <v>2508.9</v>
      </c>
      <c r="H7077" s="22" t="s">
        <v>24</v>
      </c>
      <c r="I7077" s="22">
        <v>1</v>
      </c>
      <c r="J7077" s="22" t="s">
        <v>554</v>
      </c>
      <c r="K7077" s="22" t="s">
        <v>23</v>
      </c>
      <c r="L7077" s="22">
        <v>4</v>
      </c>
      <c r="M7077" s="26">
        <v>69173</v>
      </c>
      <c r="N7077" s="26">
        <v>0</v>
      </c>
      <c r="O7077" s="15">
        <f t="shared" si="601"/>
        <v>69173</v>
      </c>
      <c r="P7077" s="15">
        <f t="shared" si="602"/>
        <v>27.571047072422175</v>
      </c>
      <c r="Q7077" s="25">
        <v>5000</v>
      </c>
      <c r="R7077" s="22">
        <v>50</v>
      </c>
      <c r="S7077" s="22" t="s">
        <v>8620</v>
      </c>
      <c r="T7077" s="22">
        <f t="shared" si="598"/>
        <v>7</v>
      </c>
      <c r="U7077" s="22">
        <f t="shared" si="599"/>
        <v>2023</v>
      </c>
      <c r="V7077" s="22" t="str">
        <f t="shared" si="600"/>
        <v>METROPOLITANA</v>
      </c>
    </row>
    <row r="7078" spans="1:22" x14ac:dyDescent="0.2">
      <c r="A7078" s="23" t="s">
        <v>8612</v>
      </c>
      <c r="B7078" s="22" t="s">
        <v>33</v>
      </c>
      <c r="C7078" s="22" t="s">
        <v>44</v>
      </c>
      <c r="D7078" s="22" t="s">
        <v>20</v>
      </c>
      <c r="E7078" s="24" t="s">
        <v>21</v>
      </c>
      <c r="F7078" s="22" t="s">
        <v>48</v>
      </c>
      <c r="G7078" s="25">
        <v>3635.38</v>
      </c>
      <c r="H7078" s="22" t="s">
        <v>22</v>
      </c>
      <c r="I7078" s="22">
        <v>0</v>
      </c>
      <c r="J7078" s="22" t="s">
        <v>48</v>
      </c>
      <c r="K7078" s="22" t="s">
        <v>23</v>
      </c>
      <c r="L7078" s="22">
        <v>1</v>
      </c>
      <c r="M7078" s="26">
        <v>69173</v>
      </c>
      <c r="N7078" s="26">
        <v>0</v>
      </c>
      <c r="O7078" s="15">
        <f t="shared" si="601"/>
        <v>69173</v>
      </c>
      <c r="P7078" s="15">
        <f t="shared" si="602"/>
        <v>19.027721998800676</v>
      </c>
      <c r="Q7078" s="25">
        <v>5000</v>
      </c>
      <c r="R7078" s="22">
        <v>73</v>
      </c>
      <c r="S7078" s="22" t="s">
        <v>8621</v>
      </c>
      <c r="T7078" s="22">
        <f t="shared" si="598"/>
        <v>7</v>
      </c>
      <c r="U7078" s="22">
        <f t="shared" si="599"/>
        <v>2023</v>
      </c>
      <c r="V7078" s="22" t="str">
        <f t="shared" si="600"/>
        <v>METROPOLITANA</v>
      </c>
    </row>
    <row r="7079" spans="1:22" x14ac:dyDescent="0.2">
      <c r="A7079" s="11" t="s">
        <v>8624</v>
      </c>
      <c r="B7079" s="12" t="s">
        <v>18</v>
      </c>
      <c r="C7079" s="12" t="s">
        <v>5796</v>
      </c>
      <c r="D7079" s="12" t="s">
        <v>20</v>
      </c>
      <c r="E7079" s="13">
        <v>78907355</v>
      </c>
      <c r="F7079" s="12" t="s">
        <v>129</v>
      </c>
      <c r="G7079" s="14">
        <v>3688.7999999999988</v>
      </c>
      <c r="H7079" s="12" t="s">
        <v>22</v>
      </c>
      <c r="I7079" s="12">
        <v>0</v>
      </c>
      <c r="J7079" s="12" t="s">
        <v>129</v>
      </c>
      <c r="K7079" s="12" t="s">
        <v>23</v>
      </c>
      <c r="L7079" s="12">
        <v>1</v>
      </c>
      <c r="M7079" s="15">
        <v>69173</v>
      </c>
      <c r="N7079" s="15">
        <v>0</v>
      </c>
      <c r="O7079" s="15">
        <f t="shared" ref="O7079:O7085" si="603">SUM(M7079:N7079)</f>
        <v>69173</v>
      </c>
      <c r="P7079" s="15">
        <f t="shared" ref="P7079:P7085" si="604">O7079/G7079</f>
        <v>18.752168726957283</v>
      </c>
      <c r="Q7079" s="14">
        <v>5000</v>
      </c>
      <c r="R7079" s="12">
        <v>74</v>
      </c>
      <c r="S7079" s="12" t="s">
        <v>8625</v>
      </c>
      <c r="T7079" s="22">
        <f t="shared" si="598"/>
        <v>7</v>
      </c>
      <c r="U7079" s="22">
        <f t="shared" si="599"/>
        <v>2023</v>
      </c>
      <c r="V7079" s="22" t="str">
        <f t="shared" si="600"/>
        <v>METROPOLITANA</v>
      </c>
    </row>
    <row r="7080" spans="1:22" x14ac:dyDescent="0.2">
      <c r="A7080" s="11" t="s">
        <v>8624</v>
      </c>
      <c r="B7080" s="12" t="s">
        <v>33</v>
      </c>
      <c r="C7080" s="12" t="s">
        <v>57</v>
      </c>
      <c r="D7080" s="12" t="s">
        <v>8219</v>
      </c>
      <c r="E7080" s="13">
        <v>73835526</v>
      </c>
      <c r="F7080" s="12" t="s">
        <v>26</v>
      </c>
      <c r="G7080" s="14">
        <f>2976+2976+425</f>
        <v>6377</v>
      </c>
      <c r="H7080" s="12" t="s">
        <v>24</v>
      </c>
      <c r="I7080" s="12">
        <v>1</v>
      </c>
      <c r="J7080" s="12" t="s">
        <v>26</v>
      </c>
      <c r="K7080" s="12" t="s">
        <v>23</v>
      </c>
      <c r="L7080" s="12">
        <v>4</v>
      </c>
      <c r="M7080" s="15">
        <v>69173</v>
      </c>
      <c r="N7080" s="15">
        <v>0</v>
      </c>
      <c r="O7080" s="15">
        <f t="shared" si="603"/>
        <v>69173</v>
      </c>
      <c r="P7080" s="15">
        <f t="shared" si="604"/>
        <v>10.84726360357535</v>
      </c>
      <c r="Q7080" s="14">
        <v>5000</v>
      </c>
      <c r="R7080" s="12">
        <v>80</v>
      </c>
      <c r="S7080" s="12" t="s">
        <v>8630</v>
      </c>
      <c r="T7080" s="22">
        <f t="shared" si="598"/>
        <v>7</v>
      </c>
      <c r="U7080" s="22">
        <f t="shared" si="599"/>
        <v>2023</v>
      </c>
      <c r="V7080" s="22" t="str">
        <f t="shared" si="600"/>
        <v>METROPOLITANA</v>
      </c>
    </row>
    <row r="7081" spans="1:22" x14ac:dyDescent="0.2">
      <c r="A7081" s="11" t="s">
        <v>8624</v>
      </c>
      <c r="B7081" s="12" t="s">
        <v>33</v>
      </c>
      <c r="C7081" s="12" t="s">
        <v>128</v>
      </c>
      <c r="D7081" s="12" t="s">
        <v>30</v>
      </c>
      <c r="E7081" s="13">
        <v>72564391</v>
      </c>
      <c r="F7081" s="12" t="s">
        <v>407</v>
      </c>
      <c r="G7081" s="14">
        <f>3568.2+4773</f>
        <v>8341.2000000000007</v>
      </c>
      <c r="H7081" s="12" t="s">
        <v>32</v>
      </c>
      <c r="I7081" s="12">
        <v>0</v>
      </c>
      <c r="J7081" s="12" t="s">
        <v>407</v>
      </c>
      <c r="K7081" s="12" t="s">
        <v>408</v>
      </c>
      <c r="L7081" s="12">
        <v>0</v>
      </c>
      <c r="M7081" s="15">
        <v>800000</v>
      </c>
      <c r="N7081" s="15">
        <v>0</v>
      </c>
      <c r="O7081" s="15">
        <f t="shared" si="603"/>
        <v>800000</v>
      </c>
      <c r="P7081" s="15">
        <f t="shared" si="604"/>
        <v>95.909461468373848</v>
      </c>
      <c r="Q7081" s="14">
        <v>14000</v>
      </c>
      <c r="R7081" s="12">
        <v>65</v>
      </c>
      <c r="S7081" s="12" t="s">
        <v>8631</v>
      </c>
      <c r="T7081" s="22">
        <f t="shared" si="598"/>
        <v>7</v>
      </c>
      <c r="U7081" s="22">
        <f t="shared" si="599"/>
        <v>2023</v>
      </c>
      <c r="V7081" s="22" t="str">
        <f t="shared" si="600"/>
        <v>REGIONES</v>
      </c>
    </row>
    <row r="7082" spans="1:22" x14ac:dyDescent="0.2">
      <c r="A7082" s="11" t="s">
        <v>8624</v>
      </c>
      <c r="B7082" s="12" t="s">
        <v>33</v>
      </c>
      <c r="C7082" s="12" t="s">
        <v>29</v>
      </c>
      <c r="D7082" s="12" t="s">
        <v>35</v>
      </c>
      <c r="E7082" s="13">
        <v>99626232</v>
      </c>
      <c r="F7082" s="12" t="s">
        <v>134</v>
      </c>
      <c r="G7082" s="14">
        <v>4221.5999999999995</v>
      </c>
      <c r="H7082" s="12" t="s">
        <v>22</v>
      </c>
      <c r="I7082" s="12">
        <v>0</v>
      </c>
      <c r="J7082" s="12" t="s">
        <v>134</v>
      </c>
      <c r="K7082" s="12" t="s">
        <v>23</v>
      </c>
      <c r="L7082" s="12">
        <v>2</v>
      </c>
      <c r="M7082" s="15">
        <v>69173</v>
      </c>
      <c r="N7082" s="15">
        <v>0</v>
      </c>
      <c r="O7082" s="15">
        <f t="shared" si="603"/>
        <v>69173</v>
      </c>
      <c r="P7082" s="15">
        <f t="shared" si="604"/>
        <v>16.385493651696041</v>
      </c>
      <c r="Q7082" s="14">
        <v>5000</v>
      </c>
      <c r="R7082" s="12">
        <v>84</v>
      </c>
      <c r="S7082" s="12" t="s">
        <v>8626</v>
      </c>
      <c r="T7082" s="22">
        <f t="shared" si="598"/>
        <v>7</v>
      </c>
      <c r="U7082" s="22">
        <f t="shared" si="599"/>
        <v>2023</v>
      </c>
      <c r="V7082" s="22" t="str">
        <f t="shared" si="600"/>
        <v>METROPOLITANA</v>
      </c>
    </row>
    <row r="7083" spans="1:22" x14ac:dyDescent="0.2">
      <c r="A7083" s="11" t="s">
        <v>8624</v>
      </c>
      <c r="B7083" s="12" t="s">
        <v>33</v>
      </c>
      <c r="C7083" s="12" t="s">
        <v>29</v>
      </c>
      <c r="D7083" s="12" t="s">
        <v>41</v>
      </c>
      <c r="E7083" s="13">
        <v>125108660</v>
      </c>
      <c r="F7083" s="12" t="s">
        <v>173</v>
      </c>
      <c r="G7083" s="14">
        <v>3040.26</v>
      </c>
      <c r="H7083" s="12" t="s">
        <v>43</v>
      </c>
      <c r="I7083" s="12">
        <v>0</v>
      </c>
      <c r="J7083" s="12" t="s">
        <v>173</v>
      </c>
      <c r="K7083" s="12" t="s">
        <v>23</v>
      </c>
      <c r="L7083" s="12">
        <v>5</v>
      </c>
      <c r="M7083" s="15">
        <v>112500</v>
      </c>
      <c r="N7083" s="15">
        <v>0</v>
      </c>
      <c r="O7083" s="15">
        <f t="shared" si="603"/>
        <v>112500</v>
      </c>
      <c r="P7083" s="15">
        <f t="shared" si="604"/>
        <v>37.003414181681826</v>
      </c>
      <c r="Q7083" s="14">
        <v>10000</v>
      </c>
      <c r="R7083" s="12">
        <v>30</v>
      </c>
      <c r="S7083" s="12" t="s">
        <v>8627</v>
      </c>
      <c r="T7083" s="22">
        <f t="shared" si="598"/>
        <v>7</v>
      </c>
      <c r="U7083" s="22">
        <f t="shared" si="599"/>
        <v>2023</v>
      </c>
      <c r="V7083" s="22" t="str">
        <f t="shared" si="600"/>
        <v>METROPOLITANA</v>
      </c>
    </row>
    <row r="7084" spans="1:22" x14ac:dyDescent="0.2">
      <c r="A7084" s="11" t="s">
        <v>8624</v>
      </c>
      <c r="B7084" s="12" t="s">
        <v>33</v>
      </c>
      <c r="C7084" s="12" t="s">
        <v>44</v>
      </c>
      <c r="D7084" s="12" t="s">
        <v>45</v>
      </c>
      <c r="E7084" s="13">
        <v>107643206</v>
      </c>
      <c r="F7084" s="12" t="s">
        <v>48</v>
      </c>
      <c r="G7084" s="14">
        <v>2664.28</v>
      </c>
      <c r="H7084" s="12" t="s">
        <v>22</v>
      </c>
      <c r="I7084" s="12">
        <v>0</v>
      </c>
      <c r="J7084" s="12" t="s">
        <v>48</v>
      </c>
      <c r="K7084" s="12" t="s">
        <v>23</v>
      </c>
      <c r="L7084" s="12">
        <v>1</v>
      </c>
      <c r="M7084" s="15">
        <v>69173</v>
      </c>
      <c r="N7084" s="15">
        <v>0</v>
      </c>
      <c r="O7084" s="15">
        <f t="shared" si="603"/>
        <v>69173</v>
      </c>
      <c r="P7084" s="15">
        <f t="shared" si="604"/>
        <v>25.963111985226774</v>
      </c>
      <c r="Q7084" s="14">
        <v>5000</v>
      </c>
      <c r="R7084" s="12">
        <v>53</v>
      </c>
      <c r="S7084" s="12" t="s">
        <v>8628</v>
      </c>
      <c r="T7084" s="22">
        <f t="shared" si="598"/>
        <v>7</v>
      </c>
      <c r="U7084" s="22">
        <f t="shared" si="599"/>
        <v>2023</v>
      </c>
      <c r="V7084" s="22" t="str">
        <f t="shared" si="600"/>
        <v>METROPOLITANA</v>
      </c>
    </row>
    <row r="7085" spans="1:22" x14ac:dyDescent="0.2">
      <c r="A7085" s="11" t="s">
        <v>8624</v>
      </c>
      <c r="B7085" s="12" t="s">
        <v>33</v>
      </c>
      <c r="C7085" s="12" t="s">
        <v>44</v>
      </c>
      <c r="D7085" s="12" t="s">
        <v>20</v>
      </c>
      <c r="E7085" s="13">
        <v>78907355</v>
      </c>
      <c r="F7085" s="12" t="s">
        <v>800</v>
      </c>
      <c r="G7085" s="14">
        <v>2827.2</v>
      </c>
      <c r="H7085" s="12" t="s">
        <v>22</v>
      </c>
      <c r="I7085" s="12">
        <v>0</v>
      </c>
      <c r="J7085" s="12" t="s">
        <v>800</v>
      </c>
      <c r="K7085" s="12" t="s">
        <v>23</v>
      </c>
      <c r="L7085" s="12">
        <v>5</v>
      </c>
      <c r="M7085" s="15">
        <v>112500</v>
      </c>
      <c r="N7085" s="15">
        <v>0</v>
      </c>
      <c r="O7085" s="15">
        <f t="shared" si="603"/>
        <v>112500</v>
      </c>
      <c r="P7085" s="15">
        <f t="shared" si="604"/>
        <v>39.792020373514433</v>
      </c>
      <c r="Q7085" s="14">
        <v>10000</v>
      </c>
      <c r="R7085" s="12">
        <v>28</v>
      </c>
      <c r="S7085" s="12" t="s">
        <v>8629</v>
      </c>
      <c r="T7085" s="22">
        <f t="shared" si="598"/>
        <v>7</v>
      </c>
      <c r="U7085" s="22">
        <f t="shared" si="599"/>
        <v>2023</v>
      </c>
      <c r="V7085" s="22" t="str">
        <f t="shared" si="600"/>
        <v>METROPOLITANA</v>
      </c>
    </row>
    <row r="7086" spans="1:22" x14ac:dyDescent="0.2">
      <c r="A7086" s="23" t="s">
        <v>8632</v>
      </c>
      <c r="B7086" s="22" t="s">
        <v>33</v>
      </c>
      <c r="C7086" s="22" t="s">
        <v>36</v>
      </c>
      <c r="D7086" s="22" t="s">
        <v>45</v>
      </c>
      <c r="E7086" s="24">
        <v>107643206</v>
      </c>
      <c r="F7086" s="22" t="s">
        <v>53</v>
      </c>
      <c r="G7086" s="25">
        <f>2262.4+750</f>
        <v>3012.4</v>
      </c>
      <c r="H7086" s="22" t="s">
        <v>22</v>
      </c>
      <c r="I7086" s="22">
        <v>0</v>
      </c>
      <c r="J7086" s="22" t="s">
        <v>53</v>
      </c>
      <c r="K7086" s="22" t="s">
        <v>23</v>
      </c>
      <c r="L7086" s="22">
        <v>3</v>
      </c>
      <c r="M7086" s="26">
        <v>69173</v>
      </c>
      <c r="N7086" s="26">
        <v>0</v>
      </c>
      <c r="O7086" s="15">
        <f t="shared" ref="O7086:O7089" si="605">SUM(M7086:N7086)</f>
        <v>69173</v>
      </c>
      <c r="P7086" s="15">
        <f t="shared" ref="P7086:P7089" si="606">O7086/G7086</f>
        <v>22.962753950338598</v>
      </c>
      <c r="Q7086" s="25">
        <v>5000</v>
      </c>
      <c r="R7086" s="22">
        <v>60</v>
      </c>
      <c r="S7086" s="22" t="s">
        <v>8636</v>
      </c>
      <c r="T7086" s="22">
        <f t="shared" si="598"/>
        <v>7</v>
      </c>
      <c r="U7086" s="22">
        <f t="shared" si="599"/>
        <v>2023</v>
      </c>
      <c r="V7086" s="22" t="str">
        <f t="shared" si="600"/>
        <v>METROPOLITANA</v>
      </c>
    </row>
    <row r="7087" spans="1:22" x14ac:dyDescent="0.2">
      <c r="A7087" s="23" t="s">
        <v>8632</v>
      </c>
      <c r="B7087" s="22" t="s">
        <v>33</v>
      </c>
      <c r="C7087" s="22" t="s">
        <v>29</v>
      </c>
      <c r="D7087" s="22" t="s">
        <v>37</v>
      </c>
      <c r="E7087" s="24">
        <v>81417709</v>
      </c>
      <c r="F7087" s="22" t="s">
        <v>39</v>
      </c>
      <c r="G7087" s="25">
        <v>11806.8</v>
      </c>
      <c r="H7087" s="22" t="s">
        <v>22</v>
      </c>
      <c r="I7087" s="22">
        <v>0</v>
      </c>
      <c r="J7087" s="22" t="s">
        <v>39</v>
      </c>
      <c r="K7087" s="22" t="s">
        <v>23</v>
      </c>
      <c r="L7087" s="22">
        <v>1</v>
      </c>
      <c r="M7087" s="26">
        <v>129875</v>
      </c>
      <c r="N7087" s="26">
        <v>0</v>
      </c>
      <c r="O7087" s="15">
        <f t="shared" si="605"/>
        <v>129875</v>
      </c>
      <c r="P7087" s="15">
        <f t="shared" si="606"/>
        <v>11.000016939390861</v>
      </c>
      <c r="Q7087" s="25">
        <v>5000</v>
      </c>
      <c r="R7087" s="22">
        <v>100</v>
      </c>
      <c r="S7087" s="22" t="s">
        <v>8633</v>
      </c>
      <c r="T7087" s="22">
        <f t="shared" si="598"/>
        <v>7</v>
      </c>
      <c r="U7087" s="22">
        <f t="shared" si="599"/>
        <v>2023</v>
      </c>
      <c r="V7087" s="22" t="str">
        <f t="shared" si="600"/>
        <v>METROPOLITANA</v>
      </c>
    </row>
    <row r="7088" spans="1:22" x14ac:dyDescent="0.2">
      <c r="A7088" s="23" t="s">
        <v>8632</v>
      </c>
      <c r="B7088" s="22" t="s">
        <v>33</v>
      </c>
      <c r="C7088" s="22" t="s">
        <v>29</v>
      </c>
      <c r="D7088" s="22" t="s">
        <v>164</v>
      </c>
      <c r="E7088" s="24">
        <v>154837728</v>
      </c>
      <c r="F7088" s="22" t="s">
        <v>39</v>
      </c>
      <c r="G7088" s="25">
        <v>20248.490000000002</v>
      </c>
      <c r="H7088" s="22" t="s">
        <v>22</v>
      </c>
      <c r="I7088" s="22">
        <v>1</v>
      </c>
      <c r="J7088" s="22" t="s">
        <v>39</v>
      </c>
      <c r="K7088" s="22" t="s">
        <v>23</v>
      </c>
      <c r="L7088" s="22">
        <v>1</v>
      </c>
      <c r="M7088" s="26">
        <v>222733</v>
      </c>
      <c r="N7088" s="26">
        <v>0</v>
      </c>
      <c r="O7088" s="15">
        <f t="shared" si="605"/>
        <v>222733</v>
      </c>
      <c r="P7088" s="15">
        <f t="shared" si="606"/>
        <v>10.99998073930451</v>
      </c>
      <c r="Q7088" s="25">
        <v>5000</v>
      </c>
      <c r="R7088" s="22">
        <v>100</v>
      </c>
      <c r="S7088" s="22" t="s">
        <v>8634</v>
      </c>
      <c r="T7088" s="22">
        <f t="shared" si="598"/>
        <v>7</v>
      </c>
      <c r="U7088" s="22">
        <f t="shared" si="599"/>
        <v>2023</v>
      </c>
      <c r="V7088" s="22" t="str">
        <f t="shared" si="600"/>
        <v>METROPOLITANA</v>
      </c>
    </row>
    <row r="7089" spans="1:22" x14ac:dyDescent="0.2">
      <c r="A7089" s="23" t="s">
        <v>8632</v>
      </c>
      <c r="B7089" s="22" t="s">
        <v>33</v>
      </c>
      <c r="C7089" s="22" t="s">
        <v>44</v>
      </c>
      <c r="D7089" s="22" t="s">
        <v>35</v>
      </c>
      <c r="E7089" s="24">
        <v>99626232</v>
      </c>
      <c r="F7089" s="22" t="s">
        <v>26</v>
      </c>
      <c r="G7089" s="25">
        <v>3079.6800000000012</v>
      </c>
      <c r="H7089" s="22" t="s">
        <v>22</v>
      </c>
      <c r="I7089" s="22">
        <v>0</v>
      </c>
      <c r="J7089" s="22" t="s">
        <v>26</v>
      </c>
      <c r="K7089" s="22" t="s">
        <v>23</v>
      </c>
      <c r="L7089" s="22">
        <v>4</v>
      </c>
      <c r="M7089" s="26">
        <v>69173</v>
      </c>
      <c r="N7089" s="26">
        <v>0</v>
      </c>
      <c r="O7089" s="15">
        <f t="shared" si="605"/>
        <v>69173</v>
      </c>
      <c r="P7089" s="15">
        <f t="shared" si="606"/>
        <v>22.461099854530332</v>
      </c>
      <c r="Q7089" s="25">
        <v>5000</v>
      </c>
      <c r="R7089" s="22">
        <v>62</v>
      </c>
      <c r="S7089" s="22" t="s">
        <v>8635</v>
      </c>
      <c r="T7089" s="22">
        <f t="shared" si="598"/>
        <v>7</v>
      </c>
      <c r="U7089" s="22">
        <f t="shared" si="599"/>
        <v>2023</v>
      </c>
      <c r="V7089" s="22" t="str">
        <f t="shared" si="600"/>
        <v>METROPOLITANA</v>
      </c>
    </row>
    <row r="7090" spans="1:22" x14ac:dyDescent="0.2">
      <c r="A7090" s="11" t="s">
        <v>8637</v>
      </c>
      <c r="B7090" s="12" t="s">
        <v>18</v>
      </c>
      <c r="C7090" s="12" t="s">
        <v>57</v>
      </c>
      <c r="D7090" s="12" t="s">
        <v>8219</v>
      </c>
      <c r="E7090" s="13">
        <v>73835526</v>
      </c>
      <c r="F7090" s="12" t="s">
        <v>51</v>
      </c>
      <c r="G7090" s="14">
        <v>4016.81</v>
      </c>
      <c r="H7090" s="12" t="s">
        <v>24</v>
      </c>
      <c r="I7090" s="12">
        <v>1</v>
      </c>
      <c r="J7090" s="12" t="s">
        <v>51</v>
      </c>
      <c r="K7090" s="12" t="s">
        <v>23</v>
      </c>
      <c r="L7090" s="12">
        <v>4</v>
      </c>
      <c r="M7090" s="15">
        <v>69173</v>
      </c>
      <c r="N7090" s="15">
        <v>0</v>
      </c>
      <c r="O7090" s="15">
        <f t="shared" ref="O7090:O7104" si="607">SUM(M7090:N7090)</f>
        <v>69173</v>
      </c>
      <c r="P7090" s="15">
        <f t="shared" ref="P7090:P7104" si="608">O7090/G7090</f>
        <v>17.220879254931152</v>
      </c>
      <c r="Q7090" s="14">
        <v>5000</v>
      </c>
      <c r="R7090" s="12">
        <v>80</v>
      </c>
      <c r="S7090" s="12" t="s">
        <v>8638</v>
      </c>
      <c r="T7090" s="22">
        <f t="shared" si="598"/>
        <v>7</v>
      </c>
      <c r="U7090" s="22">
        <f t="shared" si="599"/>
        <v>2023</v>
      </c>
      <c r="V7090" s="22" t="str">
        <f t="shared" si="600"/>
        <v>METROPOLITANA</v>
      </c>
    </row>
    <row r="7091" spans="1:22" x14ac:dyDescent="0.2">
      <c r="A7091" s="11" t="s">
        <v>8637</v>
      </c>
      <c r="B7091" s="12" t="s">
        <v>18</v>
      </c>
      <c r="C7091" s="12" t="s">
        <v>57</v>
      </c>
      <c r="D7091" s="12" t="s">
        <v>20</v>
      </c>
      <c r="E7091" s="13">
        <v>78907355</v>
      </c>
      <c r="F7091" s="12" t="s">
        <v>51</v>
      </c>
      <c r="G7091" s="14">
        <v>3326.1800000000012</v>
      </c>
      <c r="H7091" s="12" t="s">
        <v>22</v>
      </c>
      <c r="I7091" s="12">
        <v>0</v>
      </c>
      <c r="J7091" s="12" t="s">
        <v>51</v>
      </c>
      <c r="K7091" s="12" t="s">
        <v>23</v>
      </c>
      <c r="L7091" s="12">
        <v>4</v>
      </c>
      <c r="M7091" s="15">
        <v>69173</v>
      </c>
      <c r="N7091" s="15">
        <v>0</v>
      </c>
      <c r="O7091" s="15">
        <f t="shared" si="607"/>
        <v>69173</v>
      </c>
      <c r="P7091" s="15">
        <f t="shared" si="608"/>
        <v>20.79652935198936</v>
      </c>
      <c r="Q7091" s="14">
        <v>5000</v>
      </c>
      <c r="R7091" s="12">
        <v>67</v>
      </c>
      <c r="S7091" s="12" t="s">
        <v>8639</v>
      </c>
      <c r="T7091" s="22">
        <f t="shared" si="598"/>
        <v>7</v>
      </c>
      <c r="U7091" s="22">
        <f t="shared" si="599"/>
        <v>2023</v>
      </c>
      <c r="V7091" s="22" t="str">
        <f t="shared" si="600"/>
        <v>METROPOLITANA</v>
      </c>
    </row>
    <row r="7092" spans="1:22" x14ac:dyDescent="0.2">
      <c r="A7092" s="11" t="s">
        <v>8637</v>
      </c>
      <c r="B7092" s="12" t="s">
        <v>18</v>
      </c>
      <c r="C7092" s="12" t="s">
        <v>19</v>
      </c>
      <c r="D7092" s="12" t="s">
        <v>5478</v>
      </c>
      <c r="E7092" s="13">
        <v>122975819</v>
      </c>
      <c r="F7092" s="12" t="s">
        <v>84</v>
      </c>
      <c r="G7092" s="14">
        <v>18249.900000000001</v>
      </c>
      <c r="H7092" s="12" t="s">
        <v>24</v>
      </c>
      <c r="I7092" s="12">
        <v>1</v>
      </c>
      <c r="J7092" s="12" t="s">
        <v>84</v>
      </c>
      <c r="K7092" s="12" t="s">
        <v>86</v>
      </c>
      <c r="L7092" s="12">
        <v>0</v>
      </c>
      <c r="M7092" s="15">
        <v>402000</v>
      </c>
      <c r="N7092" s="15">
        <v>0</v>
      </c>
      <c r="O7092" s="15">
        <f t="shared" si="607"/>
        <v>402000</v>
      </c>
      <c r="P7092" s="15">
        <f t="shared" si="608"/>
        <v>22.027517959002513</v>
      </c>
      <c r="Q7092" s="14">
        <v>14000</v>
      </c>
      <c r="R7092" s="12">
        <v>100</v>
      </c>
      <c r="S7092" s="12" t="s">
        <v>8640</v>
      </c>
      <c r="T7092" s="22">
        <f t="shared" si="598"/>
        <v>7</v>
      </c>
      <c r="U7092" s="22">
        <f t="shared" si="599"/>
        <v>2023</v>
      </c>
      <c r="V7092" s="22" t="str">
        <f t="shared" si="600"/>
        <v>REGIONES</v>
      </c>
    </row>
    <row r="7093" spans="1:22" x14ac:dyDescent="0.2">
      <c r="A7093" s="11" t="s">
        <v>8637</v>
      </c>
      <c r="B7093" s="12" t="s">
        <v>18</v>
      </c>
      <c r="C7093" s="12" t="s">
        <v>5796</v>
      </c>
      <c r="D7093" s="12" t="s">
        <v>30</v>
      </c>
      <c r="E7093" s="13">
        <v>72564391</v>
      </c>
      <c r="F7093" s="12" t="s">
        <v>129</v>
      </c>
      <c r="G7093" s="14">
        <v>5024.800000000002</v>
      </c>
      <c r="H7093" s="12" t="s">
        <v>32</v>
      </c>
      <c r="I7093" s="12">
        <v>0</v>
      </c>
      <c r="J7093" s="12" t="s">
        <v>129</v>
      </c>
      <c r="K7093" s="12" t="s">
        <v>23</v>
      </c>
      <c r="L7093" s="12">
        <v>1</v>
      </c>
      <c r="M7093" s="15">
        <v>55273</v>
      </c>
      <c r="N7093" s="15">
        <v>0</v>
      </c>
      <c r="O7093" s="15">
        <f t="shared" si="607"/>
        <v>55273</v>
      </c>
      <c r="P7093" s="15">
        <f t="shared" si="608"/>
        <v>11.000039802579202</v>
      </c>
      <c r="Q7093" s="14">
        <v>5000</v>
      </c>
      <c r="R7093" s="12">
        <v>100</v>
      </c>
      <c r="S7093" s="12" t="s">
        <v>8641</v>
      </c>
      <c r="T7093" s="22">
        <f t="shared" si="598"/>
        <v>7</v>
      </c>
      <c r="U7093" s="22">
        <f t="shared" si="599"/>
        <v>2023</v>
      </c>
      <c r="V7093" s="22" t="str">
        <f t="shared" si="600"/>
        <v>METROPOLITANA</v>
      </c>
    </row>
    <row r="7094" spans="1:22" x14ac:dyDescent="0.2">
      <c r="A7094" s="11" t="s">
        <v>8637</v>
      </c>
      <c r="B7094" s="12" t="s">
        <v>33</v>
      </c>
      <c r="C7094" s="12" t="s">
        <v>128</v>
      </c>
      <c r="D7094" s="12" t="s">
        <v>38</v>
      </c>
      <c r="E7094" s="13">
        <v>53173292</v>
      </c>
      <c r="F7094" s="12" t="s">
        <v>34</v>
      </c>
      <c r="G7094" s="14">
        <v>7275.66</v>
      </c>
      <c r="H7094" s="12" t="s">
        <v>43</v>
      </c>
      <c r="I7094" s="12">
        <v>0</v>
      </c>
      <c r="J7094" s="12" t="s">
        <v>34</v>
      </c>
      <c r="K7094" s="12" t="s">
        <v>23</v>
      </c>
      <c r="L7094" s="12">
        <v>1</v>
      </c>
      <c r="M7094" s="15">
        <v>80032</v>
      </c>
      <c r="N7094" s="15">
        <v>0</v>
      </c>
      <c r="O7094" s="15">
        <f t="shared" si="607"/>
        <v>80032</v>
      </c>
      <c r="P7094" s="15">
        <f t="shared" si="608"/>
        <v>10.999964264410377</v>
      </c>
      <c r="Q7094" s="14">
        <v>5000</v>
      </c>
      <c r="R7094" s="12">
        <v>100</v>
      </c>
      <c r="S7094" s="12" t="s">
        <v>8642</v>
      </c>
      <c r="T7094" s="22">
        <f t="shared" si="598"/>
        <v>7</v>
      </c>
      <c r="U7094" s="22">
        <f t="shared" si="599"/>
        <v>2023</v>
      </c>
      <c r="V7094" s="22" t="str">
        <f t="shared" si="600"/>
        <v>METROPOLITANA</v>
      </c>
    </row>
    <row r="7095" spans="1:22" x14ac:dyDescent="0.2">
      <c r="A7095" s="11" t="s">
        <v>8637</v>
      </c>
      <c r="B7095" s="12" t="s">
        <v>33</v>
      </c>
      <c r="C7095" s="12" t="s">
        <v>128</v>
      </c>
      <c r="D7095" s="12" t="s">
        <v>2955</v>
      </c>
      <c r="E7095" s="13">
        <v>65941082</v>
      </c>
      <c r="F7095" s="12" t="s">
        <v>34</v>
      </c>
      <c r="G7095" s="14">
        <v>19672.799999999988</v>
      </c>
      <c r="H7095" s="12" t="s">
        <v>24</v>
      </c>
      <c r="I7095" s="12">
        <v>1</v>
      </c>
      <c r="J7095" s="12" t="s">
        <v>34</v>
      </c>
      <c r="K7095" s="12" t="s">
        <v>23</v>
      </c>
      <c r="L7095" s="12">
        <v>1</v>
      </c>
      <c r="M7095" s="15">
        <v>216401</v>
      </c>
      <c r="N7095" s="15">
        <v>0</v>
      </c>
      <c r="O7095" s="15">
        <f t="shared" si="607"/>
        <v>216401</v>
      </c>
      <c r="P7095" s="15">
        <f t="shared" si="608"/>
        <v>11.000010166321019</v>
      </c>
      <c r="Q7095" s="14">
        <v>5000</v>
      </c>
      <c r="R7095" s="12">
        <v>100</v>
      </c>
      <c r="S7095" s="12" t="s">
        <v>8643</v>
      </c>
      <c r="T7095" s="22">
        <f t="shared" si="598"/>
        <v>7</v>
      </c>
      <c r="U7095" s="22">
        <f t="shared" si="599"/>
        <v>2023</v>
      </c>
      <c r="V7095" s="22" t="str">
        <f t="shared" si="600"/>
        <v>METROPOLITANA</v>
      </c>
    </row>
    <row r="7096" spans="1:22" x14ac:dyDescent="0.2">
      <c r="A7096" s="11" t="s">
        <v>8637</v>
      </c>
      <c r="B7096" s="12" t="s">
        <v>33</v>
      </c>
      <c r="C7096" s="12" t="s">
        <v>5851</v>
      </c>
      <c r="D7096" s="12" t="s">
        <v>786</v>
      </c>
      <c r="E7096" s="13">
        <v>95707734</v>
      </c>
      <c r="F7096" s="12" t="s">
        <v>274</v>
      </c>
      <c r="G7096" s="14">
        <v>7618.8599999999979</v>
      </c>
      <c r="H7096" s="12" t="s">
        <v>788</v>
      </c>
      <c r="I7096" s="12">
        <v>1</v>
      </c>
      <c r="J7096" s="12" t="s">
        <v>274</v>
      </c>
      <c r="K7096" s="12" t="s">
        <v>78</v>
      </c>
      <c r="L7096" s="12">
        <v>0</v>
      </c>
      <c r="M7096" s="15">
        <v>289000</v>
      </c>
      <c r="N7096" s="15">
        <v>0</v>
      </c>
      <c r="O7096" s="15">
        <f t="shared" si="607"/>
        <v>289000</v>
      </c>
      <c r="P7096" s="15">
        <f t="shared" si="608"/>
        <v>37.932184080032982</v>
      </c>
      <c r="Q7096" s="14">
        <v>14000</v>
      </c>
      <c r="R7096" s="12">
        <v>54</v>
      </c>
      <c r="S7096" s="12" t="s">
        <v>8644</v>
      </c>
      <c r="T7096" s="22">
        <f t="shared" si="598"/>
        <v>7</v>
      </c>
      <c r="U7096" s="22">
        <f t="shared" si="599"/>
        <v>2023</v>
      </c>
      <c r="V7096" s="22" t="str">
        <f t="shared" si="600"/>
        <v>REGIONES</v>
      </c>
    </row>
    <row r="7097" spans="1:22" x14ac:dyDescent="0.2">
      <c r="A7097" s="11" t="s">
        <v>8637</v>
      </c>
      <c r="B7097" s="12" t="s">
        <v>33</v>
      </c>
      <c r="C7097" s="12" t="s">
        <v>29</v>
      </c>
      <c r="D7097" s="12" t="s">
        <v>37</v>
      </c>
      <c r="E7097" s="13">
        <v>81417709</v>
      </c>
      <c r="F7097" s="12" t="s">
        <v>39</v>
      </c>
      <c r="G7097" s="14">
        <v>9461.0000000000018</v>
      </c>
      <c r="H7097" s="12" t="s">
        <v>22</v>
      </c>
      <c r="I7097" s="12">
        <v>0</v>
      </c>
      <c r="J7097" s="12" t="s">
        <v>39</v>
      </c>
      <c r="K7097" s="12" t="s">
        <v>23</v>
      </c>
      <c r="L7097" s="12">
        <v>1</v>
      </c>
      <c r="M7097" s="15">
        <v>104071</v>
      </c>
      <c r="N7097" s="15">
        <v>0</v>
      </c>
      <c r="O7097" s="15">
        <f t="shared" si="607"/>
        <v>104071</v>
      </c>
      <c r="P7097" s="15">
        <f t="shared" si="608"/>
        <v>10.999999999999998</v>
      </c>
      <c r="Q7097" s="14">
        <v>5000</v>
      </c>
      <c r="R7097" s="12">
        <v>100</v>
      </c>
      <c r="S7097" s="12" t="s">
        <v>8645</v>
      </c>
      <c r="T7097" s="22">
        <f t="shared" si="598"/>
        <v>7</v>
      </c>
      <c r="U7097" s="22">
        <f t="shared" si="599"/>
        <v>2023</v>
      </c>
      <c r="V7097" s="22" t="str">
        <f t="shared" si="600"/>
        <v>METROPOLITANA</v>
      </c>
    </row>
    <row r="7098" spans="1:22" x14ac:dyDescent="0.2">
      <c r="A7098" s="11" t="s">
        <v>8637</v>
      </c>
      <c r="B7098" s="12" t="s">
        <v>33</v>
      </c>
      <c r="C7098" s="12" t="s">
        <v>29</v>
      </c>
      <c r="D7098" s="12" t="s">
        <v>8219</v>
      </c>
      <c r="E7098" s="13">
        <v>73835526</v>
      </c>
      <c r="F7098" s="12" t="s">
        <v>129</v>
      </c>
      <c r="G7098" s="14">
        <v>2968.91</v>
      </c>
      <c r="H7098" s="12" t="s">
        <v>24</v>
      </c>
      <c r="I7098" s="12">
        <v>1</v>
      </c>
      <c r="J7098" s="12" t="s">
        <v>129</v>
      </c>
      <c r="K7098" s="12" t="s">
        <v>23</v>
      </c>
      <c r="L7098" s="12">
        <v>1</v>
      </c>
      <c r="M7098" s="15">
        <v>69173</v>
      </c>
      <c r="N7098" s="15">
        <v>0</v>
      </c>
      <c r="O7098" s="15">
        <f t="shared" si="607"/>
        <v>69173</v>
      </c>
      <c r="P7098" s="15">
        <f t="shared" si="608"/>
        <v>23.299123247252361</v>
      </c>
      <c r="Q7098" s="14">
        <v>5000</v>
      </c>
      <c r="R7098" s="12">
        <v>59</v>
      </c>
      <c r="S7098" s="12" t="s">
        <v>8646</v>
      </c>
      <c r="T7098" s="22">
        <f t="shared" si="598"/>
        <v>7</v>
      </c>
      <c r="U7098" s="22">
        <f t="shared" si="599"/>
        <v>2023</v>
      </c>
      <c r="V7098" s="22" t="str">
        <f t="shared" si="600"/>
        <v>METROPOLITANA</v>
      </c>
    </row>
    <row r="7099" spans="1:22" x14ac:dyDescent="0.2">
      <c r="A7099" s="11" t="s">
        <v>8637</v>
      </c>
      <c r="B7099" s="12" t="s">
        <v>33</v>
      </c>
      <c r="C7099" s="12" t="s">
        <v>29</v>
      </c>
      <c r="D7099" s="12" t="s">
        <v>164</v>
      </c>
      <c r="E7099" s="13">
        <v>154837728</v>
      </c>
      <c r="F7099" s="12" t="s">
        <v>39</v>
      </c>
      <c r="G7099" s="14">
        <v>17651.19999999999</v>
      </c>
      <c r="H7099" s="12" t="s">
        <v>22</v>
      </c>
      <c r="I7099" s="12">
        <v>1</v>
      </c>
      <c r="J7099" s="12" t="s">
        <v>39</v>
      </c>
      <c r="K7099" s="12" t="s">
        <v>23</v>
      </c>
      <c r="L7099" s="12">
        <v>1</v>
      </c>
      <c r="M7099" s="15">
        <v>194163</v>
      </c>
      <c r="N7099" s="15">
        <v>0</v>
      </c>
      <c r="O7099" s="15">
        <f t="shared" si="607"/>
        <v>194163</v>
      </c>
      <c r="P7099" s="15">
        <f t="shared" si="608"/>
        <v>10.999988669325605</v>
      </c>
      <c r="Q7099" s="14">
        <v>5000</v>
      </c>
      <c r="R7099" s="12">
        <v>100</v>
      </c>
      <c r="S7099" s="12" t="s">
        <v>8647</v>
      </c>
      <c r="T7099" s="22">
        <f t="shared" si="598"/>
        <v>7</v>
      </c>
      <c r="U7099" s="22">
        <f t="shared" si="599"/>
        <v>2023</v>
      </c>
      <c r="V7099" s="22" t="str">
        <f t="shared" si="600"/>
        <v>METROPOLITANA</v>
      </c>
    </row>
    <row r="7100" spans="1:22" x14ac:dyDescent="0.2">
      <c r="A7100" s="11" t="s">
        <v>8637</v>
      </c>
      <c r="B7100" s="12" t="s">
        <v>33</v>
      </c>
      <c r="C7100" s="12" t="s">
        <v>5573</v>
      </c>
      <c r="D7100" s="12" t="s">
        <v>7086</v>
      </c>
      <c r="E7100" s="13">
        <v>116995093</v>
      </c>
      <c r="F7100" s="12" t="s">
        <v>129</v>
      </c>
      <c r="G7100" s="14">
        <v>19642</v>
      </c>
      <c r="H7100" s="12" t="s">
        <v>24</v>
      </c>
      <c r="I7100" s="12">
        <v>1</v>
      </c>
      <c r="J7100" s="12" t="s">
        <v>129</v>
      </c>
      <c r="K7100" s="12" t="s">
        <v>23</v>
      </c>
      <c r="L7100" s="12">
        <v>1</v>
      </c>
      <c r="M7100" s="15">
        <v>216062</v>
      </c>
      <c r="N7100" s="15">
        <v>0</v>
      </c>
      <c r="O7100" s="15">
        <f t="shared" si="607"/>
        <v>216062</v>
      </c>
      <c r="P7100" s="15">
        <f t="shared" si="608"/>
        <v>11</v>
      </c>
      <c r="Q7100" s="14">
        <v>5000</v>
      </c>
      <c r="R7100" s="12">
        <v>100</v>
      </c>
      <c r="S7100" s="12" t="s">
        <v>8648</v>
      </c>
      <c r="T7100" s="22">
        <f t="shared" si="598"/>
        <v>7</v>
      </c>
      <c r="U7100" s="22">
        <f t="shared" si="599"/>
        <v>2023</v>
      </c>
      <c r="V7100" s="22" t="str">
        <f t="shared" si="600"/>
        <v>METROPOLITANA</v>
      </c>
    </row>
    <row r="7101" spans="1:22" x14ac:dyDescent="0.2">
      <c r="A7101" s="11" t="s">
        <v>8637</v>
      </c>
      <c r="B7101" s="12" t="s">
        <v>33</v>
      </c>
      <c r="C7101" s="12" t="s">
        <v>44</v>
      </c>
      <c r="D7101" s="12" t="s">
        <v>2825</v>
      </c>
      <c r="E7101" s="13">
        <v>113693568</v>
      </c>
      <c r="F7101" s="12" t="s">
        <v>3438</v>
      </c>
      <c r="G7101" s="14">
        <v>6648.3199999999988</v>
      </c>
      <c r="H7101" s="12" t="s">
        <v>24</v>
      </c>
      <c r="I7101" s="12">
        <v>1</v>
      </c>
      <c r="J7101" s="12" t="s">
        <v>3438</v>
      </c>
      <c r="K7101" s="12" t="s">
        <v>93</v>
      </c>
      <c r="L7101" s="12">
        <v>0</v>
      </c>
      <c r="M7101" s="15">
        <v>1000000</v>
      </c>
      <c r="N7101" s="15">
        <v>0</v>
      </c>
      <c r="O7101" s="15">
        <f t="shared" si="607"/>
        <v>1000000</v>
      </c>
      <c r="P7101" s="15">
        <f t="shared" si="608"/>
        <v>150.41393916056992</v>
      </c>
      <c r="Q7101" s="14">
        <v>14000</v>
      </c>
      <c r="R7101" s="12">
        <v>47</v>
      </c>
      <c r="S7101" s="12" t="s">
        <v>8649</v>
      </c>
      <c r="T7101" s="22">
        <f t="shared" si="598"/>
        <v>7</v>
      </c>
      <c r="U7101" s="22">
        <f t="shared" si="599"/>
        <v>2023</v>
      </c>
      <c r="V7101" s="22" t="str">
        <f t="shared" si="600"/>
        <v>REGIONES</v>
      </c>
    </row>
    <row r="7102" spans="1:22" x14ac:dyDescent="0.2">
      <c r="A7102" s="11" t="s">
        <v>8637</v>
      </c>
      <c r="B7102" s="12" t="s">
        <v>33</v>
      </c>
      <c r="C7102" s="12" t="s">
        <v>44</v>
      </c>
      <c r="D7102" s="12" t="s">
        <v>8580</v>
      </c>
      <c r="E7102" s="13">
        <v>276547747</v>
      </c>
      <c r="F7102" s="12" t="s">
        <v>554</v>
      </c>
      <c r="G7102" s="14">
        <v>2608.48</v>
      </c>
      <c r="H7102" s="12" t="s">
        <v>24</v>
      </c>
      <c r="I7102" s="12">
        <v>1</v>
      </c>
      <c r="J7102" s="12" t="s">
        <v>554</v>
      </c>
      <c r="K7102" s="12" t="s">
        <v>23</v>
      </c>
      <c r="L7102" s="12">
        <v>4</v>
      </c>
      <c r="M7102" s="15">
        <v>69173</v>
      </c>
      <c r="N7102" s="15">
        <v>0</v>
      </c>
      <c r="O7102" s="15">
        <f t="shared" si="607"/>
        <v>69173</v>
      </c>
      <c r="P7102" s="15">
        <f t="shared" si="608"/>
        <v>26.518508863399376</v>
      </c>
      <c r="Q7102" s="14">
        <v>5000</v>
      </c>
      <c r="R7102" s="12">
        <v>52</v>
      </c>
      <c r="S7102" s="12" t="s">
        <v>8650</v>
      </c>
      <c r="T7102" s="22">
        <f t="shared" si="598"/>
        <v>7</v>
      </c>
      <c r="U7102" s="22">
        <f t="shared" si="599"/>
        <v>2023</v>
      </c>
      <c r="V7102" s="22" t="str">
        <f t="shared" si="600"/>
        <v>METROPOLITANA</v>
      </c>
    </row>
    <row r="7103" spans="1:22" x14ac:dyDescent="0.2">
      <c r="A7103" s="11" t="s">
        <v>8637</v>
      </c>
      <c r="B7103" s="12" t="s">
        <v>33</v>
      </c>
      <c r="C7103" s="12" t="s">
        <v>44</v>
      </c>
      <c r="D7103" s="12" t="s">
        <v>45</v>
      </c>
      <c r="E7103" s="13">
        <v>107643206</v>
      </c>
      <c r="F7103" s="12" t="s">
        <v>95</v>
      </c>
      <c r="G7103" s="14">
        <v>2499.8000000000002</v>
      </c>
      <c r="H7103" s="12" t="s">
        <v>22</v>
      </c>
      <c r="I7103" s="12">
        <v>0</v>
      </c>
      <c r="J7103" s="12" t="s">
        <v>95</v>
      </c>
      <c r="K7103" s="12" t="s">
        <v>23</v>
      </c>
      <c r="L7103" s="12">
        <v>4</v>
      </c>
      <c r="M7103" s="15">
        <v>69173</v>
      </c>
      <c r="N7103" s="15">
        <v>0</v>
      </c>
      <c r="O7103" s="15">
        <f t="shared" si="607"/>
        <v>69173</v>
      </c>
      <c r="P7103" s="15">
        <f t="shared" si="608"/>
        <v>27.671413713097046</v>
      </c>
      <c r="Q7103" s="14">
        <v>5000</v>
      </c>
      <c r="R7103" s="12">
        <v>50</v>
      </c>
      <c r="S7103" s="12" t="s">
        <v>8651</v>
      </c>
      <c r="T7103" s="22">
        <f t="shared" si="598"/>
        <v>7</v>
      </c>
      <c r="U7103" s="22">
        <f t="shared" si="599"/>
        <v>2023</v>
      </c>
      <c r="V7103" s="22" t="str">
        <f t="shared" si="600"/>
        <v>METROPOLITANA</v>
      </c>
    </row>
    <row r="7104" spans="1:22" x14ac:dyDescent="0.2">
      <c r="A7104" s="11" t="s">
        <v>8637</v>
      </c>
      <c r="B7104" s="12" t="s">
        <v>33</v>
      </c>
      <c r="C7104" s="12" t="s">
        <v>44</v>
      </c>
      <c r="D7104" s="12" t="s">
        <v>35</v>
      </c>
      <c r="E7104" s="13">
        <v>99626232</v>
      </c>
      <c r="F7104" s="12" t="s">
        <v>53</v>
      </c>
      <c r="G7104" s="14">
        <v>3108.48</v>
      </c>
      <c r="H7104" s="12" t="s">
        <v>22</v>
      </c>
      <c r="I7104" s="12">
        <v>0</v>
      </c>
      <c r="J7104" s="12" t="s">
        <v>53</v>
      </c>
      <c r="K7104" s="12" t="s">
        <v>23</v>
      </c>
      <c r="L7104" s="12">
        <v>3</v>
      </c>
      <c r="M7104" s="15">
        <v>69173</v>
      </c>
      <c r="N7104" s="15">
        <v>0</v>
      </c>
      <c r="O7104" s="15">
        <f t="shared" si="607"/>
        <v>69173</v>
      </c>
      <c r="P7104" s="15">
        <f t="shared" si="608"/>
        <v>22.252998249948529</v>
      </c>
      <c r="Q7104" s="14">
        <v>5000</v>
      </c>
      <c r="R7104" s="12">
        <v>62</v>
      </c>
      <c r="S7104" s="12" t="s">
        <v>8652</v>
      </c>
      <c r="T7104" s="22">
        <f t="shared" si="598"/>
        <v>7</v>
      </c>
      <c r="U7104" s="22">
        <f t="shared" si="599"/>
        <v>2023</v>
      </c>
      <c r="V7104" s="22" t="str">
        <f t="shared" si="600"/>
        <v>METROPOLITANA</v>
      </c>
    </row>
    <row r="7105" spans="1:22" x14ac:dyDescent="0.2">
      <c r="A7105" s="23" t="s">
        <v>8653</v>
      </c>
      <c r="B7105" s="22" t="s">
        <v>18</v>
      </c>
      <c r="C7105" s="22" t="s">
        <v>57</v>
      </c>
      <c r="D7105" s="22" t="s">
        <v>30</v>
      </c>
      <c r="E7105" s="24">
        <v>72564391</v>
      </c>
      <c r="F7105" s="22" t="s">
        <v>800</v>
      </c>
      <c r="G7105" s="25">
        <v>5423.4799999999987</v>
      </c>
      <c r="H7105" s="22" t="s">
        <v>32</v>
      </c>
      <c r="I7105" s="22">
        <v>0</v>
      </c>
      <c r="J7105" s="22" t="s">
        <v>800</v>
      </c>
      <c r="K7105" s="22" t="s">
        <v>23</v>
      </c>
      <c r="L7105" s="22">
        <v>5</v>
      </c>
      <c r="M7105" s="26">
        <v>112500</v>
      </c>
      <c r="N7105" s="26">
        <v>0</v>
      </c>
      <c r="O7105" s="15">
        <f t="shared" ref="O7105:O7107" si="609">SUM(M7105:N7105)</f>
        <v>112500</v>
      </c>
      <c r="P7105" s="15">
        <f t="shared" ref="P7105:P7107" si="610">O7105/G7105</f>
        <v>20.743139091505828</v>
      </c>
      <c r="Q7105" s="25">
        <v>10000</v>
      </c>
      <c r="R7105" s="22">
        <v>54</v>
      </c>
      <c r="S7105" s="22" t="s">
        <v>8654</v>
      </c>
      <c r="T7105" s="22">
        <f t="shared" ref="T7105:T7160" si="611">MONTH(A7105)</f>
        <v>7</v>
      </c>
      <c r="U7105" s="22">
        <f t="shared" ref="U7105:U7160" si="612">YEAR(A7105)</f>
        <v>2023</v>
      </c>
      <c r="V7105" s="22" t="str">
        <f t="shared" ref="V7105:V7160" si="613">IF(K7105="METROPOLITANA DE SANTIAGO","METROPOLITANA","REGIONES")</f>
        <v>METROPOLITANA</v>
      </c>
    </row>
    <row r="7106" spans="1:22" x14ac:dyDescent="0.2">
      <c r="A7106" s="23" t="s">
        <v>8653</v>
      </c>
      <c r="B7106" s="22" t="s">
        <v>18</v>
      </c>
      <c r="C7106" s="22" t="s">
        <v>57</v>
      </c>
      <c r="D7106" s="22" t="s">
        <v>41</v>
      </c>
      <c r="E7106" s="24">
        <v>125108660</v>
      </c>
      <c r="F7106" s="22" t="s">
        <v>800</v>
      </c>
      <c r="G7106" s="25">
        <v>6310.01</v>
      </c>
      <c r="H7106" s="22" t="s">
        <v>43</v>
      </c>
      <c r="I7106" s="22">
        <v>0</v>
      </c>
      <c r="J7106" s="22" t="s">
        <v>800</v>
      </c>
      <c r="K7106" s="22" t="s">
        <v>23</v>
      </c>
      <c r="L7106" s="22">
        <v>5</v>
      </c>
      <c r="M7106" s="26">
        <v>112500</v>
      </c>
      <c r="N7106" s="26">
        <v>0</v>
      </c>
      <c r="O7106" s="15">
        <f t="shared" si="609"/>
        <v>112500</v>
      </c>
      <c r="P7106" s="15">
        <f t="shared" si="610"/>
        <v>17.828814851323532</v>
      </c>
      <c r="Q7106" s="25">
        <v>10000</v>
      </c>
      <c r="R7106" s="22">
        <v>63</v>
      </c>
      <c r="S7106" s="22" t="s">
        <v>8655</v>
      </c>
      <c r="T7106" s="22">
        <f t="shared" si="611"/>
        <v>7</v>
      </c>
      <c r="U7106" s="22">
        <f t="shared" si="612"/>
        <v>2023</v>
      </c>
      <c r="V7106" s="22" t="str">
        <f t="shared" si="613"/>
        <v>METROPOLITANA</v>
      </c>
    </row>
    <row r="7107" spans="1:22" x14ac:dyDescent="0.2">
      <c r="A7107" s="23" t="s">
        <v>8653</v>
      </c>
      <c r="B7107" s="22" t="s">
        <v>33</v>
      </c>
      <c r="C7107" s="22" t="s">
        <v>36</v>
      </c>
      <c r="D7107" s="22" t="s">
        <v>2955</v>
      </c>
      <c r="E7107" s="24">
        <v>65941082</v>
      </c>
      <c r="F7107" s="22" t="s">
        <v>59</v>
      </c>
      <c r="G7107" s="25">
        <f>2174+2274</f>
        <v>4448</v>
      </c>
      <c r="H7107" s="22" t="s">
        <v>24</v>
      </c>
      <c r="I7107" s="22">
        <v>1</v>
      </c>
      <c r="J7107" s="22" t="s">
        <v>59</v>
      </c>
      <c r="K7107" s="22" t="s">
        <v>78</v>
      </c>
      <c r="L7107" s="22">
        <v>0</v>
      </c>
      <c r="M7107" s="26">
        <v>300000</v>
      </c>
      <c r="N7107" s="26">
        <v>0</v>
      </c>
      <c r="O7107" s="15">
        <f t="shared" si="609"/>
        <v>300000</v>
      </c>
      <c r="P7107" s="15">
        <f t="shared" si="610"/>
        <v>67.446043165467628</v>
      </c>
      <c r="Q7107" s="25">
        <v>14000</v>
      </c>
      <c r="R7107" s="22">
        <v>45</v>
      </c>
      <c r="S7107" s="22" t="s">
        <v>8656</v>
      </c>
      <c r="T7107" s="22">
        <f t="shared" si="611"/>
        <v>7</v>
      </c>
      <c r="U7107" s="22">
        <f t="shared" si="612"/>
        <v>2023</v>
      </c>
      <c r="V7107" s="22" t="str">
        <f t="shared" si="613"/>
        <v>REGIONES</v>
      </c>
    </row>
    <row r="7108" spans="1:22" x14ac:dyDescent="0.2">
      <c r="A7108" s="11" t="s">
        <v>8657</v>
      </c>
      <c r="B7108" s="12" t="s">
        <v>18</v>
      </c>
      <c r="C7108" s="12" t="s">
        <v>57</v>
      </c>
      <c r="D7108" s="12" t="s">
        <v>30</v>
      </c>
      <c r="E7108" s="13">
        <v>72564391</v>
      </c>
      <c r="F7108" s="12" t="s">
        <v>800</v>
      </c>
      <c r="G7108" s="14">
        <v>3786.95</v>
      </c>
      <c r="H7108" s="12" t="s">
        <v>32</v>
      </c>
      <c r="I7108" s="12">
        <v>0</v>
      </c>
      <c r="J7108" s="12" t="s">
        <v>800</v>
      </c>
      <c r="K7108" s="12" t="s">
        <v>23</v>
      </c>
      <c r="L7108" s="12">
        <v>5</v>
      </c>
      <c r="M7108" s="15">
        <v>112500</v>
      </c>
      <c r="N7108" s="15">
        <v>0</v>
      </c>
      <c r="O7108" s="15">
        <f t="shared" ref="O7108:O7115" si="614">SUM(M7108:N7108)</f>
        <v>112500</v>
      </c>
      <c r="P7108" s="15">
        <f t="shared" ref="P7108:P7115" si="615">O7108/G7108</f>
        <v>29.707284226092238</v>
      </c>
      <c r="Q7108" s="14">
        <v>10000</v>
      </c>
      <c r="R7108" s="12">
        <v>38</v>
      </c>
      <c r="S7108" s="12" t="s">
        <v>8658</v>
      </c>
      <c r="T7108" s="22">
        <f t="shared" si="611"/>
        <v>8</v>
      </c>
      <c r="U7108" s="22">
        <f t="shared" si="612"/>
        <v>2023</v>
      </c>
      <c r="V7108" s="22" t="str">
        <f t="shared" si="613"/>
        <v>METROPOLITANA</v>
      </c>
    </row>
    <row r="7109" spans="1:22" x14ac:dyDescent="0.2">
      <c r="A7109" s="11" t="s">
        <v>8657</v>
      </c>
      <c r="B7109" s="12" t="s">
        <v>18</v>
      </c>
      <c r="C7109" s="12" t="s">
        <v>5796</v>
      </c>
      <c r="D7109" s="12" t="s">
        <v>8219</v>
      </c>
      <c r="E7109" s="13">
        <v>73835526</v>
      </c>
      <c r="F7109" s="12" t="s">
        <v>129</v>
      </c>
      <c r="G7109" s="14">
        <v>4696.7999999999975</v>
      </c>
      <c r="H7109" s="12" t="s">
        <v>24</v>
      </c>
      <c r="I7109" s="12">
        <v>1</v>
      </c>
      <c r="J7109" s="12" t="s">
        <v>129</v>
      </c>
      <c r="K7109" s="12" t="s">
        <v>23</v>
      </c>
      <c r="L7109" s="12">
        <v>1</v>
      </c>
      <c r="M7109" s="15">
        <v>69173</v>
      </c>
      <c r="N7109" s="15">
        <v>0</v>
      </c>
      <c r="O7109" s="15">
        <f t="shared" si="614"/>
        <v>69173</v>
      </c>
      <c r="P7109" s="15">
        <f t="shared" si="615"/>
        <v>14.727686935786075</v>
      </c>
      <c r="Q7109" s="14">
        <v>5000</v>
      </c>
      <c r="R7109" s="12">
        <v>94</v>
      </c>
      <c r="S7109" s="12" t="s">
        <v>8659</v>
      </c>
      <c r="T7109" s="22">
        <f t="shared" si="611"/>
        <v>8</v>
      </c>
      <c r="U7109" s="22">
        <f t="shared" si="612"/>
        <v>2023</v>
      </c>
      <c r="V7109" s="22" t="str">
        <f t="shared" si="613"/>
        <v>METROPOLITANA</v>
      </c>
    </row>
    <row r="7110" spans="1:22" x14ac:dyDescent="0.2">
      <c r="A7110" s="11" t="s">
        <v>8657</v>
      </c>
      <c r="B7110" s="12" t="s">
        <v>33</v>
      </c>
      <c r="C7110" s="12" t="s">
        <v>128</v>
      </c>
      <c r="D7110" s="12" t="s">
        <v>786</v>
      </c>
      <c r="E7110" s="13">
        <v>95707734</v>
      </c>
      <c r="F7110" s="12" t="s">
        <v>34</v>
      </c>
      <c r="G7110" s="14">
        <v>8732.1999999999989</v>
      </c>
      <c r="H7110" s="12" t="s">
        <v>788</v>
      </c>
      <c r="I7110" s="12">
        <v>1</v>
      </c>
      <c r="J7110" s="12" t="s">
        <v>34</v>
      </c>
      <c r="K7110" s="12" t="s">
        <v>23</v>
      </c>
      <c r="L7110" s="12">
        <v>1</v>
      </c>
      <c r="M7110" s="15">
        <v>96054</v>
      </c>
      <c r="N7110" s="15">
        <v>0</v>
      </c>
      <c r="O7110" s="15">
        <f t="shared" si="614"/>
        <v>96054</v>
      </c>
      <c r="P7110" s="15">
        <f t="shared" si="615"/>
        <v>10.999977096264402</v>
      </c>
      <c r="Q7110" s="14">
        <v>5000</v>
      </c>
      <c r="R7110" s="12">
        <v>100</v>
      </c>
      <c r="S7110" s="12" t="s">
        <v>8660</v>
      </c>
      <c r="T7110" s="22">
        <f t="shared" si="611"/>
        <v>8</v>
      </c>
      <c r="U7110" s="22">
        <f t="shared" si="612"/>
        <v>2023</v>
      </c>
      <c r="V7110" s="22" t="str">
        <f t="shared" si="613"/>
        <v>METROPOLITANA</v>
      </c>
    </row>
    <row r="7111" spans="1:22" x14ac:dyDescent="0.2">
      <c r="A7111" s="11" t="s">
        <v>8657</v>
      </c>
      <c r="B7111" s="12" t="s">
        <v>33</v>
      </c>
      <c r="C7111" s="12" t="s">
        <v>29</v>
      </c>
      <c r="D7111" s="12" t="s">
        <v>8219</v>
      </c>
      <c r="E7111" s="13">
        <v>73835526</v>
      </c>
      <c r="F7111" s="12" t="s">
        <v>134</v>
      </c>
      <c r="G7111" s="14">
        <f>4817.82+238</f>
        <v>5055.82</v>
      </c>
      <c r="H7111" s="12" t="s">
        <v>24</v>
      </c>
      <c r="I7111" s="12">
        <v>1</v>
      </c>
      <c r="J7111" s="12" t="s">
        <v>134</v>
      </c>
      <c r="K7111" s="12" t="s">
        <v>23</v>
      </c>
      <c r="L7111" s="12">
        <v>2</v>
      </c>
      <c r="M7111" s="15">
        <v>69173</v>
      </c>
      <c r="N7111" s="15">
        <v>0</v>
      </c>
      <c r="O7111" s="15">
        <f t="shared" si="614"/>
        <v>69173</v>
      </c>
      <c r="P7111" s="15">
        <f t="shared" si="615"/>
        <v>13.681855762270018</v>
      </c>
      <c r="Q7111" s="14">
        <v>5000</v>
      </c>
      <c r="R7111" s="12">
        <v>96</v>
      </c>
      <c r="S7111" s="12" t="s">
        <v>8665</v>
      </c>
      <c r="T7111" s="22">
        <f t="shared" si="611"/>
        <v>8</v>
      </c>
      <c r="U7111" s="22">
        <f t="shared" si="612"/>
        <v>2023</v>
      </c>
      <c r="V7111" s="22" t="str">
        <f t="shared" si="613"/>
        <v>METROPOLITANA</v>
      </c>
    </row>
    <row r="7112" spans="1:22" x14ac:dyDescent="0.2">
      <c r="A7112" s="11" t="s">
        <v>8657</v>
      </c>
      <c r="B7112" s="12" t="s">
        <v>33</v>
      </c>
      <c r="C7112" s="12" t="s">
        <v>44</v>
      </c>
      <c r="D7112" s="12" t="s">
        <v>8580</v>
      </c>
      <c r="E7112" s="13">
        <v>276547747</v>
      </c>
      <c r="F7112" s="12" t="s">
        <v>225</v>
      </c>
      <c r="G7112" s="14">
        <v>3088.4</v>
      </c>
      <c r="H7112" s="12" t="s">
        <v>24</v>
      </c>
      <c r="I7112" s="12">
        <v>1</v>
      </c>
      <c r="J7112" s="12" t="s">
        <v>225</v>
      </c>
      <c r="K7112" s="12" t="s">
        <v>23</v>
      </c>
      <c r="L7112" s="12">
        <v>3</v>
      </c>
      <c r="M7112" s="15">
        <v>69173</v>
      </c>
      <c r="N7112" s="15">
        <v>0</v>
      </c>
      <c r="O7112" s="15">
        <f t="shared" si="614"/>
        <v>69173</v>
      </c>
      <c r="P7112" s="15">
        <f t="shared" si="615"/>
        <v>22.397681647454991</v>
      </c>
      <c r="Q7112" s="14">
        <v>5000</v>
      </c>
      <c r="R7112" s="12">
        <v>62</v>
      </c>
      <c r="S7112" s="12" t="s">
        <v>8661</v>
      </c>
      <c r="T7112" s="22">
        <f t="shared" si="611"/>
        <v>8</v>
      </c>
      <c r="U7112" s="22">
        <f t="shared" si="612"/>
        <v>2023</v>
      </c>
      <c r="V7112" s="22" t="str">
        <f t="shared" si="613"/>
        <v>METROPOLITANA</v>
      </c>
    </row>
    <row r="7113" spans="1:22" x14ac:dyDescent="0.2">
      <c r="A7113" s="11" t="s">
        <v>8657</v>
      </c>
      <c r="B7113" s="12" t="s">
        <v>33</v>
      </c>
      <c r="C7113" s="12" t="s">
        <v>44</v>
      </c>
      <c r="D7113" s="12" t="s">
        <v>361</v>
      </c>
      <c r="E7113" s="13">
        <v>107643206</v>
      </c>
      <c r="F7113" s="12" t="s">
        <v>182</v>
      </c>
      <c r="G7113" s="14">
        <v>2489.8000000000002</v>
      </c>
      <c r="H7113" s="12" t="s">
        <v>24</v>
      </c>
      <c r="I7113" s="12">
        <v>1</v>
      </c>
      <c r="J7113" s="12" t="s">
        <v>182</v>
      </c>
      <c r="K7113" s="12" t="s">
        <v>23</v>
      </c>
      <c r="L7113" s="12">
        <v>4</v>
      </c>
      <c r="M7113" s="15">
        <v>69173</v>
      </c>
      <c r="N7113" s="15">
        <v>0</v>
      </c>
      <c r="O7113" s="15">
        <f t="shared" si="614"/>
        <v>69173</v>
      </c>
      <c r="P7113" s="15">
        <f t="shared" si="615"/>
        <v>27.782552815487186</v>
      </c>
      <c r="Q7113" s="14">
        <v>5000</v>
      </c>
      <c r="R7113" s="12">
        <v>50</v>
      </c>
      <c r="S7113" s="12" t="s">
        <v>8662</v>
      </c>
      <c r="T7113" s="22">
        <f t="shared" si="611"/>
        <v>8</v>
      </c>
      <c r="U7113" s="22">
        <f t="shared" si="612"/>
        <v>2023</v>
      </c>
      <c r="V7113" s="22" t="str">
        <f t="shared" si="613"/>
        <v>METROPOLITANA</v>
      </c>
    </row>
    <row r="7114" spans="1:22" x14ac:dyDescent="0.2">
      <c r="A7114" s="11" t="s">
        <v>8657</v>
      </c>
      <c r="B7114" s="12" t="s">
        <v>33</v>
      </c>
      <c r="C7114" s="12" t="s">
        <v>44</v>
      </c>
      <c r="D7114" s="12" t="s">
        <v>35</v>
      </c>
      <c r="E7114" s="13">
        <v>99626232</v>
      </c>
      <c r="F7114" s="12" t="s">
        <v>95</v>
      </c>
      <c r="G7114" s="14">
        <v>2561.92</v>
      </c>
      <c r="H7114" s="12" t="s">
        <v>22</v>
      </c>
      <c r="I7114" s="12">
        <v>0</v>
      </c>
      <c r="J7114" s="12" t="s">
        <v>95</v>
      </c>
      <c r="K7114" s="12" t="s">
        <v>23</v>
      </c>
      <c r="L7114" s="12">
        <v>4</v>
      </c>
      <c r="M7114" s="15">
        <v>69173</v>
      </c>
      <c r="N7114" s="15">
        <v>0</v>
      </c>
      <c r="O7114" s="15">
        <f t="shared" si="614"/>
        <v>69173</v>
      </c>
      <c r="P7114" s="15">
        <f t="shared" si="615"/>
        <v>27.000452785410943</v>
      </c>
      <c r="Q7114" s="14">
        <v>5000</v>
      </c>
      <c r="R7114" s="12">
        <v>51</v>
      </c>
      <c r="S7114" s="12" t="s">
        <v>8663</v>
      </c>
      <c r="T7114" s="22">
        <f t="shared" si="611"/>
        <v>8</v>
      </c>
      <c r="U7114" s="22">
        <f t="shared" si="612"/>
        <v>2023</v>
      </c>
      <c r="V7114" s="22" t="str">
        <f t="shared" si="613"/>
        <v>METROPOLITANA</v>
      </c>
    </row>
    <row r="7115" spans="1:22" x14ac:dyDescent="0.2">
      <c r="A7115" s="11" t="s">
        <v>8657</v>
      </c>
      <c r="B7115" s="12" t="s">
        <v>33</v>
      </c>
      <c r="C7115" s="12" t="s">
        <v>44</v>
      </c>
      <c r="D7115" s="12" t="s">
        <v>20</v>
      </c>
      <c r="E7115" s="13">
        <v>78907355</v>
      </c>
      <c r="F7115" s="12" t="s">
        <v>46</v>
      </c>
      <c r="G7115" s="14">
        <v>2663.76</v>
      </c>
      <c r="H7115" s="12" t="s">
        <v>22</v>
      </c>
      <c r="I7115" s="12">
        <v>0</v>
      </c>
      <c r="J7115" s="12" t="s">
        <v>46</v>
      </c>
      <c r="K7115" s="12" t="s">
        <v>23</v>
      </c>
      <c r="L7115" s="12">
        <v>2</v>
      </c>
      <c r="M7115" s="15">
        <v>69173</v>
      </c>
      <c r="N7115" s="15">
        <v>0</v>
      </c>
      <c r="O7115" s="15">
        <f t="shared" si="614"/>
        <v>69173</v>
      </c>
      <c r="P7115" s="15">
        <f t="shared" si="615"/>
        <v>25.96818031654503</v>
      </c>
      <c r="Q7115" s="14">
        <v>5000</v>
      </c>
      <c r="R7115" s="12">
        <v>53</v>
      </c>
      <c r="S7115" s="12" t="s">
        <v>8664</v>
      </c>
      <c r="T7115" s="22">
        <f t="shared" si="611"/>
        <v>8</v>
      </c>
      <c r="U7115" s="22">
        <f t="shared" si="612"/>
        <v>2023</v>
      </c>
      <c r="V7115" s="22" t="str">
        <f t="shared" si="613"/>
        <v>METROPOLITANA</v>
      </c>
    </row>
    <row r="7116" spans="1:22" x14ac:dyDescent="0.2">
      <c r="A7116" s="23" t="s">
        <v>8666</v>
      </c>
      <c r="B7116" s="22" t="s">
        <v>18</v>
      </c>
      <c r="C7116" s="22" t="s">
        <v>19</v>
      </c>
      <c r="D7116" s="22" t="s">
        <v>5478</v>
      </c>
      <c r="E7116" s="24">
        <v>122975819</v>
      </c>
      <c r="F7116" s="22" t="s">
        <v>84</v>
      </c>
      <c r="G7116" s="25">
        <v>6378.2</v>
      </c>
      <c r="H7116" s="22" t="s">
        <v>24</v>
      </c>
      <c r="I7116" s="22">
        <v>1</v>
      </c>
      <c r="J7116" s="22" t="s">
        <v>84</v>
      </c>
      <c r="K7116" s="22" t="s">
        <v>86</v>
      </c>
      <c r="L7116" s="22">
        <v>0</v>
      </c>
      <c r="M7116" s="26">
        <v>402000</v>
      </c>
      <c r="N7116" s="26">
        <v>0</v>
      </c>
      <c r="O7116" s="15">
        <f t="shared" ref="O7116:O7125" si="616">SUM(M7116:N7116)</f>
        <v>402000</v>
      </c>
      <c r="P7116" s="15">
        <f t="shared" ref="P7116:P7125" si="617">O7116/G7116</f>
        <v>63.027186353516669</v>
      </c>
      <c r="Q7116" s="25">
        <v>14000</v>
      </c>
      <c r="R7116" s="22">
        <v>46</v>
      </c>
      <c r="S7116" s="22" t="s">
        <v>8667</v>
      </c>
      <c r="T7116" s="22">
        <f t="shared" si="611"/>
        <v>8</v>
      </c>
      <c r="U7116" s="22">
        <f t="shared" si="612"/>
        <v>2023</v>
      </c>
      <c r="V7116" s="22" t="str">
        <f t="shared" si="613"/>
        <v>REGIONES</v>
      </c>
    </row>
    <row r="7117" spans="1:22" x14ac:dyDescent="0.2">
      <c r="A7117" s="23" t="s">
        <v>8666</v>
      </c>
      <c r="B7117" s="22" t="s">
        <v>18</v>
      </c>
      <c r="C7117" s="22" t="s">
        <v>7400</v>
      </c>
      <c r="D7117" s="22" t="s">
        <v>38</v>
      </c>
      <c r="E7117" s="24">
        <v>125108660</v>
      </c>
      <c r="F7117" s="22" t="s">
        <v>230</v>
      </c>
      <c r="G7117" s="25">
        <v>6881.0699999999988</v>
      </c>
      <c r="H7117" s="22" t="s">
        <v>43</v>
      </c>
      <c r="I7117" s="22">
        <v>0</v>
      </c>
      <c r="J7117" s="22" t="s">
        <v>230</v>
      </c>
      <c r="K7117" s="22" t="s">
        <v>23</v>
      </c>
      <c r="L7117" s="22">
        <v>4</v>
      </c>
      <c r="M7117" s="26">
        <v>75692</v>
      </c>
      <c r="N7117" s="26">
        <v>0</v>
      </c>
      <c r="O7117" s="15">
        <f t="shared" si="616"/>
        <v>75692</v>
      </c>
      <c r="P7117" s="15">
        <f t="shared" si="617"/>
        <v>11.000033425034189</v>
      </c>
      <c r="Q7117" s="25">
        <v>5000</v>
      </c>
      <c r="R7117" s="22">
        <v>100</v>
      </c>
      <c r="S7117" s="22" t="s">
        <v>8668</v>
      </c>
      <c r="T7117" s="22">
        <f t="shared" si="611"/>
        <v>8</v>
      </c>
      <c r="U7117" s="22">
        <f t="shared" si="612"/>
        <v>2023</v>
      </c>
      <c r="V7117" s="22" t="str">
        <f t="shared" si="613"/>
        <v>METROPOLITANA</v>
      </c>
    </row>
    <row r="7118" spans="1:22" x14ac:dyDescent="0.2">
      <c r="A7118" s="23" t="s">
        <v>8666</v>
      </c>
      <c r="B7118" s="22" t="s">
        <v>33</v>
      </c>
      <c r="C7118" s="22" t="s">
        <v>128</v>
      </c>
      <c r="D7118" s="22" t="s">
        <v>30</v>
      </c>
      <c r="E7118" s="24">
        <v>72564391</v>
      </c>
      <c r="F7118" s="22" t="s">
        <v>58</v>
      </c>
      <c r="G7118" s="25">
        <v>6936.5099999999984</v>
      </c>
      <c r="H7118" s="22" t="s">
        <v>32</v>
      </c>
      <c r="I7118" s="22">
        <v>0</v>
      </c>
      <c r="J7118" s="22" t="s">
        <v>58</v>
      </c>
      <c r="K7118" s="22" t="s">
        <v>23</v>
      </c>
      <c r="L7118" s="22">
        <v>5</v>
      </c>
      <c r="M7118" s="26">
        <v>112500</v>
      </c>
      <c r="N7118" s="26">
        <v>0</v>
      </c>
      <c r="O7118" s="15">
        <f t="shared" si="616"/>
        <v>112500</v>
      </c>
      <c r="P7118" s="15">
        <f t="shared" si="617"/>
        <v>16.21853064437304</v>
      </c>
      <c r="Q7118" s="25">
        <v>10000</v>
      </c>
      <c r="R7118" s="22">
        <v>69</v>
      </c>
      <c r="S7118" s="22" t="s">
        <v>8669</v>
      </c>
      <c r="T7118" s="22">
        <f t="shared" si="611"/>
        <v>8</v>
      </c>
      <c r="U7118" s="22">
        <f t="shared" si="612"/>
        <v>2023</v>
      </c>
      <c r="V7118" s="22" t="str">
        <f t="shared" si="613"/>
        <v>METROPOLITANA</v>
      </c>
    </row>
    <row r="7119" spans="1:22" x14ac:dyDescent="0.2">
      <c r="A7119" s="23" t="s">
        <v>8666</v>
      </c>
      <c r="B7119" s="22" t="s">
        <v>33</v>
      </c>
      <c r="C7119" s="22" t="s">
        <v>8670</v>
      </c>
      <c r="D7119" s="22" t="s">
        <v>8219</v>
      </c>
      <c r="E7119" s="24">
        <v>73835526</v>
      </c>
      <c r="F7119" s="22" t="s">
        <v>26</v>
      </c>
      <c r="G7119" s="25">
        <v>2499.84</v>
      </c>
      <c r="H7119" s="22" t="s">
        <v>24</v>
      </c>
      <c r="I7119" s="22">
        <v>1</v>
      </c>
      <c r="J7119" s="22" t="s">
        <v>26</v>
      </c>
      <c r="K7119" s="22" t="s">
        <v>23</v>
      </c>
      <c r="L7119" s="22">
        <v>4</v>
      </c>
      <c r="M7119" s="26">
        <v>69173</v>
      </c>
      <c r="N7119" s="26">
        <v>0</v>
      </c>
      <c r="O7119" s="15">
        <f t="shared" si="616"/>
        <v>69173</v>
      </c>
      <c r="P7119" s="15">
        <f t="shared" si="617"/>
        <v>27.670970942140297</v>
      </c>
      <c r="Q7119" s="25">
        <v>5000</v>
      </c>
      <c r="R7119" s="22">
        <v>50</v>
      </c>
      <c r="S7119" s="22" t="s">
        <v>8671</v>
      </c>
      <c r="T7119" s="22">
        <f t="shared" si="611"/>
        <v>8</v>
      </c>
      <c r="U7119" s="22">
        <f t="shared" si="612"/>
        <v>2023</v>
      </c>
      <c r="V7119" s="22" t="str">
        <f t="shared" si="613"/>
        <v>METROPOLITANA</v>
      </c>
    </row>
    <row r="7120" spans="1:22" x14ac:dyDescent="0.2">
      <c r="A7120" s="23" t="s">
        <v>8666</v>
      </c>
      <c r="B7120" s="22" t="s">
        <v>33</v>
      </c>
      <c r="C7120" s="22" t="s">
        <v>29</v>
      </c>
      <c r="D7120" s="22" t="s">
        <v>37</v>
      </c>
      <c r="E7120" s="24">
        <v>81417709</v>
      </c>
      <c r="F7120" s="22" t="s">
        <v>39</v>
      </c>
      <c r="G7120" s="25">
        <v>12465.250000000009</v>
      </c>
      <c r="H7120" s="22" t="s">
        <v>22</v>
      </c>
      <c r="I7120" s="22">
        <v>0</v>
      </c>
      <c r="J7120" s="22" t="s">
        <v>39</v>
      </c>
      <c r="K7120" s="22" t="s">
        <v>23</v>
      </c>
      <c r="L7120" s="22">
        <v>1</v>
      </c>
      <c r="M7120" s="26">
        <v>137118</v>
      </c>
      <c r="N7120" s="26">
        <v>0</v>
      </c>
      <c r="O7120" s="15">
        <f t="shared" si="616"/>
        <v>137118</v>
      </c>
      <c r="P7120" s="15">
        <f t="shared" si="617"/>
        <v>11.000020055754991</v>
      </c>
      <c r="Q7120" s="25">
        <v>5000</v>
      </c>
      <c r="R7120" s="22">
        <v>100</v>
      </c>
      <c r="S7120" s="22" t="s">
        <v>8672</v>
      </c>
      <c r="T7120" s="22">
        <f t="shared" si="611"/>
        <v>8</v>
      </c>
      <c r="U7120" s="22">
        <f t="shared" si="612"/>
        <v>2023</v>
      </c>
      <c r="V7120" s="22" t="str">
        <f t="shared" si="613"/>
        <v>METROPOLITANA</v>
      </c>
    </row>
    <row r="7121" spans="1:22" x14ac:dyDescent="0.2">
      <c r="A7121" s="23" t="s">
        <v>8666</v>
      </c>
      <c r="B7121" s="22" t="s">
        <v>33</v>
      </c>
      <c r="C7121" s="22" t="s">
        <v>29</v>
      </c>
      <c r="D7121" s="22" t="s">
        <v>164</v>
      </c>
      <c r="E7121" s="24">
        <v>154837728</v>
      </c>
      <c r="F7121" s="22" t="s">
        <v>39</v>
      </c>
      <c r="G7121" s="25">
        <v>18988.80000000001</v>
      </c>
      <c r="H7121" s="22" t="s">
        <v>22</v>
      </c>
      <c r="I7121" s="22">
        <v>1</v>
      </c>
      <c r="J7121" s="22" t="s">
        <v>39</v>
      </c>
      <c r="K7121" s="22" t="s">
        <v>23</v>
      </c>
      <c r="L7121" s="22">
        <v>1</v>
      </c>
      <c r="M7121" s="26">
        <v>208877</v>
      </c>
      <c r="N7121" s="26">
        <v>0</v>
      </c>
      <c r="O7121" s="15">
        <f t="shared" si="616"/>
        <v>208877</v>
      </c>
      <c r="P7121" s="15">
        <f t="shared" si="617"/>
        <v>11.00001053252443</v>
      </c>
      <c r="Q7121" s="25">
        <v>5000</v>
      </c>
      <c r="R7121" s="22">
        <v>100</v>
      </c>
      <c r="S7121" s="22" t="s">
        <v>8673</v>
      </c>
      <c r="T7121" s="22">
        <f t="shared" si="611"/>
        <v>8</v>
      </c>
      <c r="U7121" s="22">
        <f t="shared" si="612"/>
        <v>2023</v>
      </c>
      <c r="V7121" s="22" t="str">
        <f t="shared" si="613"/>
        <v>METROPOLITANA</v>
      </c>
    </row>
    <row r="7122" spans="1:22" x14ac:dyDescent="0.2">
      <c r="A7122" s="23" t="s">
        <v>8666</v>
      </c>
      <c r="B7122" s="22" t="s">
        <v>33</v>
      </c>
      <c r="C7122" s="22" t="s">
        <v>29</v>
      </c>
      <c r="D7122" s="22" t="s">
        <v>4733</v>
      </c>
      <c r="E7122" s="24">
        <v>93321006</v>
      </c>
      <c r="F7122" s="22" t="s">
        <v>114</v>
      </c>
      <c r="G7122" s="25">
        <v>18160.2</v>
      </c>
      <c r="H7122" s="22" t="s">
        <v>24</v>
      </c>
      <c r="I7122" s="22">
        <v>1</v>
      </c>
      <c r="J7122" s="22" t="s">
        <v>114</v>
      </c>
      <c r="K7122" s="22" t="s">
        <v>75</v>
      </c>
      <c r="L7122" s="22">
        <v>0</v>
      </c>
      <c r="M7122" s="26">
        <v>528000</v>
      </c>
      <c r="N7122" s="26">
        <v>0</v>
      </c>
      <c r="O7122" s="15">
        <f t="shared" si="616"/>
        <v>528000</v>
      </c>
      <c r="P7122" s="15">
        <f t="shared" si="617"/>
        <v>29.074569663329697</v>
      </c>
      <c r="Q7122" s="25">
        <v>14000</v>
      </c>
      <c r="R7122" s="22">
        <v>100</v>
      </c>
      <c r="S7122" s="22" t="s">
        <v>8674</v>
      </c>
      <c r="T7122" s="22">
        <f t="shared" si="611"/>
        <v>8</v>
      </c>
      <c r="U7122" s="22">
        <f t="shared" si="612"/>
        <v>2023</v>
      </c>
      <c r="V7122" s="22" t="str">
        <f t="shared" si="613"/>
        <v>REGIONES</v>
      </c>
    </row>
    <row r="7123" spans="1:22" x14ac:dyDescent="0.2">
      <c r="A7123" s="23" t="s">
        <v>8666</v>
      </c>
      <c r="B7123" s="22" t="s">
        <v>33</v>
      </c>
      <c r="C7123" s="22" t="s">
        <v>44</v>
      </c>
      <c r="D7123" s="22" t="s">
        <v>30</v>
      </c>
      <c r="E7123" s="24">
        <v>72564391</v>
      </c>
      <c r="F7123" s="22" t="s">
        <v>94</v>
      </c>
      <c r="G7123" s="25">
        <v>4226.7299999999996</v>
      </c>
      <c r="H7123" s="22" t="s">
        <v>32</v>
      </c>
      <c r="I7123" s="22">
        <v>0</v>
      </c>
      <c r="J7123" s="22" t="s">
        <v>59</v>
      </c>
      <c r="K7123" s="22" t="s">
        <v>78</v>
      </c>
      <c r="L7123" s="22">
        <v>0</v>
      </c>
      <c r="M7123" s="26">
        <v>227000</v>
      </c>
      <c r="N7123" s="26">
        <v>0</v>
      </c>
      <c r="O7123" s="15">
        <f t="shared" si="616"/>
        <v>227000</v>
      </c>
      <c r="P7123" s="15">
        <f t="shared" si="617"/>
        <v>53.705819865475206</v>
      </c>
      <c r="Q7123" s="25">
        <v>14000</v>
      </c>
      <c r="R7123" s="22">
        <v>30</v>
      </c>
      <c r="S7123" s="22" t="s">
        <v>8675</v>
      </c>
      <c r="T7123" s="22">
        <f t="shared" si="611"/>
        <v>8</v>
      </c>
      <c r="U7123" s="22">
        <f t="shared" si="612"/>
        <v>2023</v>
      </c>
      <c r="V7123" s="22" t="str">
        <f t="shared" si="613"/>
        <v>REGIONES</v>
      </c>
    </row>
    <row r="7124" spans="1:22" x14ac:dyDescent="0.2">
      <c r="A7124" s="23" t="s">
        <v>8666</v>
      </c>
      <c r="B7124" s="22" t="s">
        <v>33</v>
      </c>
      <c r="C7124" s="22" t="s">
        <v>44</v>
      </c>
      <c r="D7124" s="22" t="s">
        <v>45</v>
      </c>
      <c r="E7124" s="24">
        <v>107643206</v>
      </c>
      <c r="F7124" s="22" t="s">
        <v>53</v>
      </c>
      <c r="G7124" s="25">
        <v>2895.28</v>
      </c>
      <c r="H7124" s="22" t="s">
        <v>22</v>
      </c>
      <c r="I7124" s="22">
        <v>0</v>
      </c>
      <c r="J7124" s="22" t="s">
        <v>53</v>
      </c>
      <c r="K7124" s="22" t="s">
        <v>23</v>
      </c>
      <c r="L7124" s="22">
        <v>3</v>
      </c>
      <c r="M7124" s="26">
        <v>69173</v>
      </c>
      <c r="N7124" s="26">
        <v>0</v>
      </c>
      <c r="O7124" s="15">
        <f t="shared" si="616"/>
        <v>69173</v>
      </c>
      <c r="P7124" s="15">
        <f t="shared" si="617"/>
        <v>23.89164433146362</v>
      </c>
      <c r="Q7124" s="25">
        <v>5000</v>
      </c>
      <c r="R7124" s="22">
        <v>58</v>
      </c>
      <c r="S7124" s="22" t="s">
        <v>8676</v>
      </c>
      <c r="T7124" s="22">
        <f t="shared" si="611"/>
        <v>8</v>
      </c>
      <c r="U7124" s="22">
        <f t="shared" si="612"/>
        <v>2023</v>
      </c>
      <c r="V7124" s="22" t="str">
        <f t="shared" si="613"/>
        <v>METROPOLITANA</v>
      </c>
    </row>
    <row r="7125" spans="1:22" x14ac:dyDescent="0.2">
      <c r="A7125" s="23" t="s">
        <v>8666</v>
      </c>
      <c r="B7125" s="22" t="s">
        <v>33</v>
      </c>
      <c r="C7125" s="22" t="s">
        <v>44</v>
      </c>
      <c r="D7125" s="22" t="s">
        <v>35</v>
      </c>
      <c r="E7125" s="24">
        <v>99626232</v>
      </c>
      <c r="F7125" s="22" t="s">
        <v>34</v>
      </c>
      <c r="G7125" s="25">
        <v>3097.84</v>
      </c>
      <c r="H7125" s="22" t="s">
        <v>22</v>
      </c>
      <c r="I7125" s="22">
        <v>0</v>
      </c>
      <c r="J7125" s="22" t="s">
        <v>34</v>
      </c>
      <c r="K7125" s="22" t="s">
        <v>23</v>
      </c>
      <c r="L7125" s="22">
        <v>1</v>
      </c>
      <c r="M7125" s="26">
        <v>69173</v>
      </c>
      <c r="N7125" s="26">
        <v>0</v>
      </c>
      <c r="O7125" s="15">
        <f t="shared" si="616"/>
        <v>69173</v>
      </c>
      <c r="P7125" s="15">
        <f t="shared" si="617"/>
        <v>22.329429538000671</v>
      </c>
      <c r="Q7125" s="25">
        <v>5000</v>
      </c>
      <c r="R7125" s="22">
        <v>62</v>
      </c>
      <c r="S7125" s="22" t="s">
        <v>8677</v>
      </c>
      <c r="T7125" s="22">
        <f t="shared" si="611"/>
        <v>8</v>
      </c>
      <c r="U7125" s="22">
        <f t="shared" si="612"/>
        <v>2023</v>
      </c>
      <c r="V7125" s="22" t="str">
        <f t="shared" si="613"/>
        <v>METROPOLITANA</v>
      </c>
    </row>
    <row r="7126" spans="1:22" x14ac:dyDescent="0.2">
      <c r="A7126" s="11" t="s">
        <v>8666</v>
      </c>
      <c r="B7126" s="12" t="s">
        <v>18</v>
      </c>
      <c r="C7126" s="12" t="s">
        <v>19</v>
      </c>
      <c r="D7126" s="12" t="s">
        <v>5478</v>
      </c>
      <c r="E7126" s="13">
        <v>122975819</v>
      </c>
      <c r="F7126" s="12" t="s">
        <v>84</v>
      </c>
      <c r="G7126" s="14">
        <v>6378.2</v>
      </c>
      <c r="H7126" s="12" t="s">
        <v>24</v>
      </c>
      <c r="I7126" s="12">
        <v>1</v>
      </c>
      <c r="J7126" s="12" t="s">
        <v>84</v>
      </c>
      <c r="K7126" s="12" t="s">
        <v>86</v>
      </c>
      <c r="L7126" s="12">
        <v>0</v>
      </c>
      <c r="M7126" s="15">
        <v>402000</v>
      </c>
      <c r="N7126" s="15">
        <v>0</v>
      </c>
      <c r="O7126" s="15">
        <f t="shared" ref="O7126:O7145" si="618">SUM(M7126:N7126)</f>
        <v>402000</v>
      </c>
      <c r="P7126" s="15">
        <f t="shared" ref="P7126:P7145" si="619">O7126/G7126</f>
        <v>63.027186353516669</v>
      </c>
      <c r="Q7126" s="14">
        <v>14000</v>
      </c>
      <c r="R7126" s="12">
        <v>46</v>
      </c>
      <c r="S7126" s="12" t="s">
        <v>8667</v>
      </c>
      <c r="T7126" s="22">
        <f t="shared" si="611"/>
        <v>8</v>
      </c>
      <c r="U7126" s="22">
        <f t="shared" si="612"/>
        <v>2023</v>
      </c>
      <c r="V7126" s="22" t="str">
        <f t="shared" si="613"/>
        <v>REGIONES</v>
      </c>
    </row>
    <row r="7127" spans="1:22" x14ac:dyDescent="0.2">
      <c r="A7127" s="11" t="s">
        <v>8666</v>
      </c>
      <c r="B7127" s="12" t="s">
        <v>18</v>
      </c>
      <c r="C7127" s="12" t="s">
        <v>7400</v>
      </c>
      <c r="D7127" s="12" t="s">
        <v>38</v>
      </c>
      <c r="E7127" s="13">
        <v>125108660</v>
      </c>
      <c r="F7127" s="12" t="s">
        <v>230</v>
      </c>
      <c r="G7127" s="14">
        <v>6881.0699999999988</v>
      </c>
      <c r="H7127" s="12" t="s">
        <v>43</v>
      </c>
      <c r="I7127" s="12">
        <v>0</v>
      </c>
      <c r="J7127" s="12" t="s">
        <v>230</v>
      </c>
      <c r="K7127" s="12" t="s">
        <v>23</v>
      </c>
      <c r="L7127" s="12">
        <v>4</v>
      </c>
      <c r="M7127" s="15">
        <v>75692</v>
      </c>
      <c r="N7127" s="15">
        <v>0</v>
      </c>
      <c r="O7127" s="15">
        <f t="shared" si="618"/>
        <v>75692</v>
      </c>
      <c r="P7127" s="15">
        <f t="shared" si="619"/>
        <v>11.000033425034189</v>
      </c>
      <c r="Q7127" s="14">
        <v>5000</v>
      </c>
      <c r="R7127" s="12">
        <v>100</v>
      </c>
      <c r="S7127" s="12" t="s">
        <v>8668</v>
      </c>
      <c r="T7127" s="22">
        <f t="shared" si="611"/>
        <v>8</v>
      </c>
      <c r="U7127" s="22">
        <f t="shared" si="612"/>
        <v>2023</v>
      </c>
      <c r="V7127" s="22" t="str">
        <f t="shared" si="613"/>
        <v>METROPOLITANA</v>
      </c>
    </row>
    <row r="7128" spans="1:22" x14ac:dyDescent="0.2">
      <c r="A7128" s="11" t="s">
        <v>8666</v>
      </c>
      <c r="B7128" s="12" t="s">
        <v>33</v>
      </c>
      <c r="C7128" s="12" t="s">
        <v>128</v>
      </c>
      <c r="D7128" s="12" t="s">
        <v>30</v>
      </c>
      <c r="E7128" s="13">
        <v>72564391</v>
      </c>
      <c r="F7128" s="12" t="s">
        <v>58</v>
      </c>
      <c r="G7128" s="14">
        <v>6936.5099999999984</v>
      </c>
      <c r="H7128" s="12" t="s">
        <v>32</v>
      </c>
      <c r="I7128" s="12">
        <v>0</v>
      </c>
      <c r="J7128" s="12" t="s">
        <v>58</v>
      </c>
      <c r="K7128" s="12" t="s">
        <v>23</v>
      </c>
      <c r="L7128" s="12">
        <v>5</v>
      </c>
      <c r="M7128" s="15">
        <v>112500</v>
      </c>
      <c r="N7128" s="15">
        <v>0</v>
      </c>
      <c r="O7128" s="15">
        <f t="shared" si="618"/>
        <v>112500</v>
      </c>
      <c r="P7128" s="15">
        <f t="shared" si="619"/>
        <v>16.21853064437304</v>
      </c>
      <c r="Q7128" s="14">
        <v>10000</v>
      </c>
      <c r="R7128" s="12">
        <v>69</v>
      </c>
      <c r="S7128" s="12" t="s">
        <v>8669</v>
      </c>
      <c r="T7128" s="22">
        <f t="shared" si="611"/>
        <v>8</v>
      </c>
      <c r="U7128" s="22">
        <f t="shared" si="612"/>
        <v>2023</v>
      </c>
      <c r="V7128" s="22" t="str">
        <f t="shared" si="613"/>
        <v>METROPOLITANA</v>
      </c>
    </row>
    <row r="7129" spans="1:22" x14ac:dyDescent="0.2">
      <c r="A7129" s="11" t="s">
        <v>8666</v>
      </c>
      <c r="B7129" s="12" t="s">
        <v>33</v>
      </c>
      <c r="C7129" s="12" t="s">
        <v>8670</v>
      </c>
      <c r="D7129" s="12" t="s">
        <v>8219</v>
      </c>
      <c r="E7129" s="13">
        <v>73835526</v>
      </c>
      <c r="F7129" s="12" t="s">
        <v>26</v>
      </c>
      <c r="G7129" s="14">
        <v>2499.84</v>
      </c>
      <c r="H7129" s="12" t="s">
        <v>24</v>
      </c>
      <c r="I7129" s="12">
        <v>1</v>
      </c>
      <c r="J7129" s="12" t="s">
        <v>26</v>
      </c>
      <c r="K7129" s="12" t="s">
        <v>23</v>
      </c>
      <c r="L7129" s="12">
        <v>4</v>
      </c>
      <c r="M7129" s="15">
        <v>69173</v>
      </c>
      <c r="N7129" s="15">
        <v>0</v>
      </c>
      <c r="O7129" s="15">
        <f t="shared" si="618"/>
        <v>69173</v>
      </c>
      <c r="P7129" s="15">
        <f t="shared" si="619"/>
        <v>27.670970942140297</v>
      </c>
      <c r="Q7129" s="14">
        <v>5000</v>
      </c>
      <c r="R7129" s="12">
        <v>50</v>
      </c>
      <c r="S7129" s="12" t="s">
        <v>8671</v>
      </c>
      <c r="T7129" s="22">
        <f t="shared" si="611"/>
        <v>8</v>
      </c>
      <c r="U7129" s="22">
        <f t="shared" si="612"/>
        <v>2023</v>
      </c>
      <c r="V7129" s="22" t="str">
        <f t="shared" si="613"/>
        <v>METROPOLITANA</v>
      </c>
    </row>
    <row r="7130" spans="1:22" x14ac:dyDescent="0.2">
      <c r="A7130" s="11" t="s">
        <v>8666</v>
      </c>
      <c r="B7130" s="12" t="s">
        <v>33</v>
      </c>
      <c r="C7130" s="12" t="s">
        <v>29</v>
      </c>
      <c r="D7130" s="12" t="s">
        <v>6964</v>
      </c>
      <c r="E7130" s="13">
        <v>81417709</v>
      </c>
      <c r="F7130" s="12" t="s">
        <v>39</v>
      </c>
      <c r="G7130" s="14">
        <v>325</v>
      </c>
      <c r="H7130" s="12" t="s">
        <v>24</v>
      </c>
      <c r="I7130" s="12">
        <v>1</v>
      </c>
      <c r="J7130" s="12" t="s">
        <v>39</v>
      </c>
      <c r="K7130" s="12" t="s">
        <v>23</v>
      </c>
      <c r="L7130" s="12">
        <v>1</v>
      </c>
      <c r="M7130" s="15">
        <v>69173</v>
      </c>
      <c r="N7130" s="15">
        <v>0</v>
      </c>
      <c r="O7130" s="15">
        <f t="shared" si="618"/>
        <v>69173</v>
      </c>
      <c r="P7130" s="15">
        <f t="shared" si="619"/>
        <v>212.84</v>
      </c>
      <c r="Q7130" s="14">
        <v>5000</v>
      </c>
      <c r="R7130" s="12">
        <v>6</v>
      </c>
      <c r="S7130" s="12" t="s">
        <v>8678</v>
      </c>
      <c r="T7130" s="22">
        <f t="shared" si="611"/>
        <v>8</v>
      </c>
      <c r="U7130" s="22">
        <f t="shared" si="612"/>
        <v>2023</v>
      </c>
      <c r="V7130" s="22" t="str">
        <f t="shared" si="613"/>
        <v>METROPOLITANA</v>
      </c>
    </row>
    <row r="7131" spans="1:22" x14ac:dyDescent="0.2">
      <c r="A7131" s="11" t="s">
        <v>8666</v>
      </c>
      <c r="B7131" s="12" t="s">
        <v>33</v>
      </c>
      <c r="C7131" s="12" t="s">
        <v>29</v>
      </c>
      <c r="D7131" s="12" t="s">
        <v>37</v>
      </c>
      <c r="E7131" s="13">
        <v>81417709</v>
      </c>
      <c r="F7131" s="12" t="s">
        <v>39</v>
      </c>
      <c r="G7131" s="14">
        <v>12465.250000000009</v>
      </c>
      <c r="H7131" s="12" t="s">
        <v>22</v>
      </c>
      <c r="I7131" s="12">
        <v>0</v>
      </c>
      <c r="J7131" s="12" t="s">
        <v>39</v>
      </c>
      <c r="K7131" s="12" t="s">
        <v>23</v>
      </c>
      <c r="L7131" s="12">
        <v>1</v>
      </c>
      <c r="M7131" s="15">
        <v>137118</v>
      </c>
      <c r="N7131" s="15">
        <v>0</v>
      </c>
      <c r="O7131" s="15">
        <f t="shared" si="618"/>
        <v>137118</v>
      </c>
      <c r="P7131" s="15">
        <f t="shared" si="619"/>
        <v>11.000020055754991</v>
      </c>
      <c r="Q7131" s="14">
        <v>5000</v>
      </c>
      <c r="R7131" s="12">
        <v>100</v>
      </c>
      <c r="S7131" s="12" t="s">
        <v>8672</v>
      </c>
      <c r="T7131" s="22">
        <f t="shared" si="611"/>
        <v>8</v>
      </c>
      <c r="U7131" s="22">
        <f t="shared" si="612"/>
        <v>2023</v>
      </c>
      <c r="V7131" s="22" t="str">
        <f t="shared" si="613"/>
        <v>METROPOLITANA</v>
      </c>
    </row>
    <row r="7132" spans="1:22" x14ac:dyDescent="0.2">
      <c r="A7132" s="11" t="s">
        <v>8666</v>
      </c>
      <c r="B7132" s="12" t="s">
        <v>33</v>
      </c>
      <c r="C7132" s="12" t="s">
        <v>29</v>
      </c>
      <c r="D7132" s="12" t="s">
        <v>164</v>
      </c>
      <c r="E7132" s="13">
        <v>154837728</v>
      </c>
      <c r="F7132" s="12" t="s">
        <v>39</v>
      </c>
      <c r="G7132" s="14">
        <v>18988.80000000001</v>
      </c>
      <c r="H7132" s="12" t="s">
        <v>22</v>
      </c>
      <c r="I7132" s="12">
        <v>1</v>
      </c>
      <c r="J7132" s="12" t="s">
        <v>39</v>
      </c>
      <c r="K7132" s="12" t="s">
        <v>23</v>
      </c>
      <c r="L7132" s="12">
        <v>1</v>
      </c>
      <c r="M7132" s="15">
        <v>208877</v>
      </c>
      <c r="N7132" s="15">
        <v>0</v>
      </c>
      <c r="O7132" s="15">
        <f t="shared" si="618"/>
        <v>208877</v>
      </c>
      <c r="P7132" s="15">
        <f t="shared" si="619"/>
        <v>11.00001053252443</v>
      </c>
      <c r="Q7132" s="14">
        <v>5000</v>
      </c>
      <c r="R7132" s="12">
        <v>100</v>
      </c>
      <c r="S7132" s="12" t="s">
        <v>8673</v>
      </c>
      <c r="T7132" s="22">
        <f t="shared" si="611"/>
        <v>8</v>
      </c>
      <c r="U7132" s="22">
        <f t="shared" si="612"/>
        <v>2023</v>
      </c>
      <c r="V7132" s="22" t="str">
        <f t="shared" si="613"/>
        <v>METROPOLITANA</v>
      </c>
    </row>
    <row r="7133" spans="1:22" x14ac:dyDescent="0.2">
      <c r="A7133" s="11" t="s">
        <v>8666</v>
      </c>
      <c r="B7133" s="12" t="s">
        <v>33</v>
      </c>
      <c r="C7133" s="12" t="s">
        <v>29</v>
      </c>
      <c r="D7133" s="12" t="s">
        <v>4733</v>
      </c>
      <c r="E7133" s="13">
        <v>93321006</v>
      </c>
      <c r="F7133" s="12" t="s">
        <v>114</v>
      </c>
      <c r="G7133" s="14">
        <v>18160.2</v>
      </c>
      <c r="H7133" s="12" t="s">
        <v>24</v>
      </c>
      <c r="I7133" s="12">
        <v>1</v>
      </c>
      <c r="J7133" s="12" t="s">
        <v>114</v>
      </c>
      <c r="K7133" s="12" t="s">
        <v>75</v>
      </c>
      <c r="L7133" s="12">
        <v>0</v>
      </c>
      <c r="M7133" s="15">
        <v>528000</v>
      </c>
      <c r="N7133" s="15">
        <v>0</v>
      </c>
      <c r="O7133" s="15">
        <f t="shared" si="618"/>
        <v>528000</v>
      </c>
      <c r="P7133" s="15">
        <f t="shared" si="619"/>
        <v>29.074569663329697</v>
      </c>
      <c r="Q7133" s="14">
        <v>14000</v>
      </c>
      <c r="R7133" s="12">
        <v>100</v>
      </c>
      <c r="S7133" s="12" t="s">
        <v>8674</v>
      </c>
      <c r="T7133" s="22">
        <f t="shared" si="611"/>
        <v>8</v>
      </c>
      <c r="U7133" s="22">
        <f t="shared" si="612"/>
        <v>2023</v>
      </c>
      <c r="V7133" s="22" t="str">
        <f t="shared" si="613"/>
        <v>REGIONES</v>
      </c>
    </row>
    <row r="7134" spans="1:22" x14ac:dyDescent="0.2">
      <c r="A7134" s="11" t="s">
        <v>8666</v>
      </c>
      <c r="B7134" s="12" t="s">
        <v>33</v>
      </c>
      <c r="C7134" s="12" t="s">
        <v>44</v>
      </c>
      <c r="D7134" s="12" t="s">
        <v>30</v>
      </c>
      <c r="E7134" s="13">
        <v>72564391</v>
      </c>
      <c r="F7134" s="12" t="s">
        <v>94</v>
      </c>
      <c r="G7134" s="14">
        <v>4226.7299999999996</v>
      </c>
      <c r="H7134" s="12" t="s">
        <v>32</v>
      </c>
      <c r="I7134" s="12">
        <v>0</v>
      </c>
      <c r="J7134" s="12" t="s">
        <v>59</v>
      </c>
      <c r="K7134" s="12" t="s">
        <v>78</v>
      </c>
      <c r="L7134" s="12">
        <v>0</v>
      </c>
      <c r="M7134" s="15">
        <v>227000</v>
      </c>
      <c r="N7134" s="15">
        <v>0</v>
      </c>
      <c r="O7134" s="15">
        <f t="shared" si="618"/>
        <v>227000</v>
      </c>
      <c r="P7134" s="15">
        <f t="shared" si="619"/>
        <v>53.705819865475206</v>
      </c>
      <c r="Q7134" s="14">
        <v>14000</v>
      </c>
      <c r="R7134" s="12">
        <v>30</v>
      </c>
      <c r="S7134" s="12" t="s">
        <v>8675</v>
      </c>
      <c r="T7134" s="22">
        <f t="shared" si="611"/>
        <v>8</v>
      </c>
      <c r="U7134" s="22">
        <f t="shared" si="612"/>
        <v>2023</v>
      </c>
      <c r="V7134" s="22" t="str">
        <f t="shared" si="613"/>
        <v>REGIONES</v>
      </c>
    </row>
    <row r="7135" spans="1:22" x14ac:dyDescent="0.2">
      <c r="A7135" s="11" t="s">
        <v>8666</v>
      </c>
      <c r="B7135" s="12" t="s">
        <v>33</v>
      </c>
      <c r="C7135" s="12" t="s">
        <v>44</v>
      </c>
      <c r="D7135" s="12" t="s">
        <v>45</v>
      </c>
      <c r="E7135" s="13">
        <v>107643206</v>
      </c>
      <c r="F7135" s="12" t="s">
        <v>53</v>
      </c>
      <c r="G7135" s="14">
        <v>2895.28</v>
      </c>
      <c r="H7135" s="12" t="s">
        <v>22</v>
      </c>
      <c r="I7135" s="12">
        <v>0</v>
      </c>
      <c r="J7135" s="12" t="s">
        <v>53</v>
      </c>
      <c r="K7135" s="12" t="s">
        <v>23</v>
      </c>
      <c r="L7135" s="12">
        <v>3</v>
      </c>
      <c r="M7135" s="15">
        <v>69173</v>
      </c>
      <c r="N7135" s="15">
        <v>0</v>
      </c>
      <c r="O7135" s="15">
        <f t="shared" si="618"/>
        <v>69173</v>
      </c>
      <c r="P7135" s="15">
        <f t="shared" si="619"/>
        <v>23.89164433146362</v>
      </c>
      <c r="Q7135" s="14">
        <v>5000</v>
      </c>
      <c r="R7135" s="12">
        <v>58</v>
      </c>
      <c r="S7135" s="12" t="s">
        <v>8676</v>
      </c>
      <c r="T7135" s="22">
        <f t="shared" si="611"/>
        <v>8</v>
      </c>
      <c r="U7135" s="22">
        <f t="shared" si="612"/>
        <v>2023</v>
      </c>
      <c r="V7135" s="22" t="str">
        <f t="shared" si="613"/>
        <v>METROPOLITANA</v>
      </c>
    </row>
    <row r="7136" spans="1:22" x14ac:dyDescent="0.2">
      <c r="A7136" s="11" t="s">
        <v>8666</v>
      </c>
      <c r="B7136" s="12" t="s">
        <v>33</v>
      </c>
      <c r="C7136" s="12" t="s">
        <v>44</v>
      </c>
      <c r="D7136" s="12" t="s">
        <v>35</v>
      </c>
      <c r="E7136" s="13">
        <v>99626232</v>
      </c>
      <c r="F7136" s="12" t="s">
        <v>34</v>
      </c>
      <c r="G7136" s="14">
        <v>3097.84</v>
      </c>
      <c r="H7136" s="12" t="s">
        <v>22</v>
      </c>
      <c r="I7136" s="12">
        <v>0</v>
      </c>
      <c r="J7136" s="12" t="s">
        <v>34</v>
      </c>
      <c r="K7136" s="12" t="s">
        <v>23</v>
      </c>
      <c r="L7136" s="12">
        <v>1</v>
      </c>
      <c r="M7136" s="15">
        <v>69173</v>
      </c>
      <c r="N7136" s="15">
        <v>0</v>
      </c>
      <c r="O7136" s="15">
        <f t="shared" si="618"/>
        <v>69173</v>
      </c>
      <c r="P7136" s="15">
        <f t="shared" si="619"/>
        <v>22.329429538000671</v>
      </c>
      <c r="Q7136" s="14">
        <v>5000</v>
      </c>
      <c r="R7136" s="12">
        <v>62</v>
      </c>
      <c r="S7136" s="12" t="s">
        <v>8677</v>
      </c>
      <c r="T7136" s="22">
        <f t="shared" si="611"/>
        <v>8</v>
      </c>
      <c r="U7136" s="22">
        <f t="shared" si="612"/>
        <v>2023</v>
      </c>
      <c r="V7136" s="22" t="str">
        <f t="shared" si="613"/>
        <v>METROPOLITANA</v>
      </c>
    </row>
    <row r="7137" spans="1:22" x14ac:dyDescent="0.2">
      <c r="A7137" s="23" t="s">
        <v>8679</v>
      </c>
      <c r="B7137" s="22" t="s">
        <v>18</v>
      </c>
      <c r="C7137" s="22" t="s">
        <v>5796</v>
      </c>
      <c r="D7137" s="22" t="s">
        <v>8219</v>
      </c>
      <c r="E7137" s="24">
        <v>73835526</v>
      </c>
      <c r="F7137" s="22" t="s">
        <v>129</v>
      </c>
      <c r="G7137" s="25">
        <v>9612</v>
      </c>
      <c r="H7137" s="22" t="s">
        <v>24</v>
      </c>
      <c r="I7137" s="22">
        <v>1</v>
      </c>
      <c r="J7137" s="22" t="s">
        <v>129</v>
      </c>
      <c r="K7137" s="22" t="s">
        <v>23</v>
      </c>
      <c r="L7137" s="22">
        <v>1</v>
      </c>
      <c r="M7137" s="26">
        <v>105732</v>
      </c>
      <c r="N7137" s="26">
        <v>0</v>
      </c>
      <c r="O7137" s="15">
        <f t="shared" si="618"/>
        <v>105732</v>
      </c>
      <c r="P7137" s="15">
        <f t="shared" si="619"/>
        <v>11</v>
      </c>
      <c r="Q7137" s="25">
        <v>5000</v>
      </c>
      <c r="R7137" s="22">
        <v>100</v>
      </c>
      <c r="S7137" s="22" t="s">
        <v>8680</v>
      </c>
      <c r="T7137" s="22">
        <f t="shared" si="611"/>
        <v>8</v>
      </c>
      <c r="U7137" s="22">
        <f t="shared" si="612"/>
        <v>2023</v>
      </c>
      <c r="V7137" s="22" t="str">
        <f t="shared" si="613"/>
        <v>METROPOLITANA</v>
      </c>
    </row>
    <row r="7138" spans="1:22" x14ac:dyDescent="0.2">
      <c r="A7138" s="23" t="s">
        <v>8679</v>
      </c>
      <c r="B7138" s="22" t="s">
        <v>33</v>
      </c>
      <c r="C7138" s="22" t="s">
        <v>60</v>
      </c>
      <c r="D7138" s="22" t="s">
        <v>45</v>
      </c>
      <c r="E7138" s="24">
        <v>107643206</v>
      </c>
      <c r="F7138" s="22" t="s">
        <v>120</v>
      </c>
      <c r="G7138" s="25">
        <v>3730</v>
      </c>
      <c r="H7138" s="22" t="s">
        <v>22</v>
      </c>
      <c r="I7138" s="22">
        <v>0</v>
      </c>
      <c r="J7138" s="22" t="s">
        <v>120</v>
      </c>
      <c r="K7138" s="22" t="s">
        <v>23</v>
      </c>
      <c r="L7138" s="22">
        <v>5</v>
      </c>
      <c r="M7138" s="26">
        <v>112500</v>
      </c>
      <c r="N7138" s="26">
        <v>0</v>
      </c>
      <c r="O7138" s="15">
        <f t="shared" si="618"/>
        <v>112500</v>
      </c>
      <c r="P7138" s="15">
        <f t="shared" si="619"/>
        <v>30.160857908847184</v>
      </c>
      <c r="Q7138" s="25">
        <v>10000</v>
      </c>
      <c r="R7138" s="22">
        <v>37</v>
      </c>
      <c r="S7138" s="22" t="s">
        <v>8681</v>
      </c>
      <c r="T7138" s="22">
        <f t="shared" si="611"/>
        <v>8</v>
      </c>
      <c r="U7138" s="22">
        <f t="shared" si="612"/>
        <v>2023</v>
      </c>
      <c r="V7138" s="22" t="str">
        <f t="shared" si="613"/>
        <v>METROPOLITANA</v>
      </c>
    </row>
    <row r="7139" spans="1:22" x14ac:dyDescent="0.2">
      <c r="A7139" s="23" t="s">
        <v>8679</v>
      </c>
      <c r="B7139" s="22" t="s">
        <v>33</v>
      </c>
      <c r="C7139" s="22" t="s">
        <v>128</v>
      </c>
      <c r="D7139" s="22" t="s">
        <v>20</v>
      </c>
      <c r="E7139" s="24">
        <v>78907355</v>
      </c>
      <c r="F7139" s="22" t="s">
        <v>58</v>
      </c>
      <c r="G7139" s="25">
        <v>3451</v>
      </c>
      <c r="H7139" s="22" t="s">
        <v>22</v>
      </c>
      <c r="I7139" s="22">
        <v>0</v>
      </c>
      <c r="J7139" s="22" t="s">
        <v>58</v>
      </c>
      <c r="K7139" s="22" t="s">
        <v>23</v>
      </c>
      <c r="L7139" s="22">
        <v>5</v>
      </c>
      <c r="M7139" s="26">
        <v>112500</v>
      </c>
      <c r="N7139" s="26">
        <v>0</v>
      </c>
      <c r="O7139" s="15">
        <f t="shared" si="618"/>
        <v>112500</v>
      </c>
      <c r="P7139" s="15">
        <f t="shared" si="619"/>
        <v>32.599246595189797</v>
      </c>
      <c r="Q7139" s="25">
        <v>10000</v>
      </c>
      <c r="R7139" s="22">
        <v>35</v>
      </c>
      <c r="S7139" s="22" t="s">
        <v>8682</v>
      </c>
      <c r="T7139" s="22">
        <f t="shared" si="611"/>
        <v>8</v>
      </c>
      <c r="U7139" s="22">
        <f t="shared" si="612"/>
        <v>2023</v>
      </c>
      <c r="V7139" s="22" t="str">
        <f t="shared" si="613"/>
        <v>METROPOLITANA</v>
      </c>
    </row>
    <row r="7140" spans="1:22" x14ac:dyDescent="0.2">
      <c r="A7140" s="23" t="s">
        <v>8679</v>
      </c>
      <c r="B7140" s="22" t="s">
        <v>33</v>
      </c>
      <c r="C7140" s="22" t="s">
        <v>2605</v>
      </c>
      <c r="D7140" s="22" t="s">
        <v>20</v>
      </c>
      <c r="E7140" s="24">
        <v>78907355</v>
      </c>
      <c r="F7140" s="22" t="s">
        <v>129</v>
      </c>
      <c r="G7140" s="25">
        <v>4612.7999999999984</v>
      </c>
      <c r="H7140" s="22" t="s">
        <v>22</v>
      </c>
      <c r="I7140" s="22">
        <v>0</v>
      </c>
      <c r="J7140" s="22" t="s">
        <v>129</v>
      </c>
      <c r="K7140" s="22" t="s">
        <v>23</v>
      </c>
      <c r="L7140" s="22">
        <v>1</v>
      </c>
      <c r="M7140" s="26">
        <v>69173</v>
      </c>
      <c r="N7140" s="26">
        <v>0</v>
      </c>
      <c r="O7140" s="15">
        <f t="shared" si="618"/>
        <v>69173</v>
      </c>
      <c r="P7140" s="15">
        <f t="shared" si="619"/>
        <v>14.995881026708295</v>
      </c>
      <c r="Q7140" s="25">
        <v>5000</v>
      </c>
      <c r="R7140" s="22">
        <v>92</v>
      </c>
      <c r="S7140" s="22" t="s">
        <v>8683</v>
      </c>
      <c r="T7140" s="22">
        <f t="shared" si="611"/>
        <v>8</v>
      </c>
      <c r="U7140" s="22">
        <f t="shared" si="612"/>
        <v>2023</v>
      </c>
      <c r="V7140" s="22" t="str">
        <f t="shared" si="613"/>
        <v>METROPOLITANA</v>
      </c>
    </row>
    <row r="7141" spans="1:22" x14ac:dyDescent="0.2">
      <c r="A7141" s="23" t="s">
        <v>8679</v>
      </c>
      <c r="B7141" s="22" t="s">
        <v>33</v>
      </c>
      <c r="C7141" s="22" t="s">
        <v>7148</v>
      </c>
      <c r="D7141" s="22" t="s">
        <v>6793</v>
      </c>
      <c r="E7141" s="24">
        <v>1292210451</v>
      </c>
      <c r="F7141" s="22" t="s">
        <v>129</v>
      </c>
      <c r="G7141" s="25">
        <v>9379.9999999999982</v>
      </c>
      <c r="H7141" s="22" t="s">
        <v>24</v>
      </c>
      <c r="I7141" s="22">
        <v>1</v>
      </c>
      <c r="J7141" s="22" t="s">
        <v>129</v>
      </c>
      <c r="K7141" s="22" t="s">
        <v>23</v>
      </c>
      <c r="L7141" s="22">
        <v>1</v>
      </c>
      <c r="M7141" s="26">
        <v>103180</v>
      </c>
      <c r="N7141" s="26">
        <v>0</v>
      </c>
      <c r="O7141" s="15">
        <f t="shared" si="618"/>
        <v>103180</v>
      </c>
      <c r="P7141" s="15">
        <f t="shared" si="619"/>
        <v>11.000000000000002</v>
      </c>
      <c r="Q7141" s="25">
        <v>5000</v>
      </c>
      <c r="R7141" s="22">
        <v>100</v>
      </c>
      <c r="S7141" s="22" t="s">
        <v>8684</v>
      </c>
      <c r="T7141" s="22">
        <f t="shared" si="611"/>
        <v>8</v>
      </c>
      <c r="U7141" s="22">
        <f t="shared" si="612"/>
        <v>2023</v>
      </c>
      <c r="V7141" s="22" t="str">
        <f t="shared" si="613"/>
        <v>METROPOLITANA</v>
      </c>
    </row>
    <row r="7142" spans="1:22" x14ac:dyDescent="0.2">
      <c r="A7142" s="23" t="s">
        <v>8679</v>
      </c>
      <c r="B7142" s="22" t="s">
        <v>33</v>
      </c>
      <c r="C7142" s="22" t="s">
        <v>29</v>
      </c>
      <c r="D7142" s="22" t="s">
        <v>6793</v>
      </c>
      <c r="E7142" s="24">
        <v>129210451</v>
      </c>
      <c r="F7142" s="22" t="s">
        <v>114</v>
      </c>
      <c r="G7142" s="25">
        <v>3699.5399999999991</v>
      </c>
      <c r="H7142" s="22" t="s">
        <v>24</v>
      </c>
      <c r="I7142" s="22">
        <v>1</v>
      </c>
      <c r="J7142" s="22" t="s">
        <v>114</v>
      </c>
      <c r="K7142" s="22" t="s">
        <v>75</v>
      </c>
      <c r="L7142" s="22">
        <v>0</v>
      </c>
      <c r="M7142" s="26">
        <v>528000</v>
      </c>
      <c r="N7142" s="26">
        <v>0</v>
      </c>
      <c r="O7142" s="15">
        <f t="shared" si="618"/>
        <v>528000</v>
      </c>
      <c r="P7142" s="15">
        <f t="shared" si="619"/>
        <v>142.72044632575947</v>
      </c>
      <c r="Q7142" s="25">
        <v>14000</v>
      </c>
      <c r="R7142" s="22">
        <v>26</v>
      </c>
      <c r="S7142" s="22" t="s">
        <v>8685</v>
      </c>
      <c r="T7142" s="22">
        <f t="shared" si="611"/>
        <v>8</v>
      </c>
      <c r="U7142" s="22">
        <f t="shared" si="612"/>
        <v>2023</v>
      </c>
      <c r="V7142" s="22" t="str">
        <f t="shared" si="613"/>
        <v>REGIONES</v>
      </c>
    </row>
    <row r="7143" spans="1:22" x14ac:dyDescent="0.2">
      <c r="A7143" s="23" t="s">
        <v>8679</v>
      </c>
      <c r="B7143" s="22" t="s">
        <v>33</v>
      </c>
      <c r="C7143" s="22" t="s">
        <v>29</v>
      </c>
      <c r="D7143" s="22" t="s">
        <v>7491</v>
      </c>
      <c r="E7143" s="24">
        <v>968312638</v>
      </c>
      <c r="F7143" s="22" t="s">
        <v>114</v>
      </c>
      <c r="G7143" s="25">
        <f>6902+5840</f>
        <v>12742</v>
      </c>
      <c r="H7143" s="22" t="s">
        <v>24</v>
      </c>
      <c r="I7143" s="22">
        <v>1</v>
      </c>
      <c r="J7143" s="22" t="s">
        <v>114</v>
      </c>
      <c r="K7143" s="22" t="s">
        <v>75</v>
      </c>
      <c r="L7143" s="22">
        <v>0</v>
      </c>
      <c r="M7143" s="26">
        <v>528000</v>
      </c>
      <c r="N7143" s="26">
        <v>0</v>
      </c>
      <c r="O7143" s="15">
        <f t="shared" si="618"/>
        <v>528000</v>
      </c>
      <c r="P7143" s="15">
        <f t="shared" si="619"/>
        <v>41.437764872076599</v>
      </c>
      <c r="Q7143" s="25">
        <v>14000</v>
      </c>
      <c r="R7143" s="22">
        <v>91</v>
      </c>
      <c r="S7143" s="22" t="s">
        <v>8688</v>
      </c>
      <c r="T7143" s="22">
        <f t="shared" si="611"/>
        <v>8</v>
      </c>
      <c r="U7143" s="22">
        <f t="shared" si="612"/>
        <v>2023</v>
      </c>
      <c r="V7143" s="22" t="str">
        <f t="shared" si="613"/>
        <v>REGIONES</v>
      </c>
    </row>
    <row r="7144" spans="1:22" x14ac:dyDescent="0.2">
      <c r="A7144" s="23" t="s">
        <v>8679</v>
      </c>
      <c r="B7144" s="22" t="s">
        <v>33</v>
      </c>
      <c r="C7144" s="22" t="s">
        <v>29</v>
      </c>
      <c r="D7144" s="22" t="s">
        <v>30</v>
      </c>
      <c r="E7144" s="24">
        <v>72564391</v>
      </c>
      <c r="F7144" s="22" t="s">
        <v>129</v>
      </c>
      <c r="G7144" s="25">
        <v>3052</v>
      </c>
      <c r="H7144" s="22" t="s">
        <v>32</v>
      </c>
      <c r="I7144" s="22">
        <v>0</v>
      </c>
      <c r="J7144" s="22" t="s">
        <v>129</v>
      </c>
      <c r="K7144" s="22" t="s">
        <v>23</v>
      </c>
      <c r="L7144" s="22">
        <v>1</v>
      </c>
      <c r="M7144" s="26">
        <v>69173</v>
      </c>
      <c r="N7144" s="26">
        <v>0</v>
      </c>
      <c r="O7144" s="15">
        <f t="shared" si="618"/>
        <v>69173</v>
      </c>
      <c r="P7144" s="15">
        <f t="shared" si="619"/>
        <v>22.66480996068152</v>
      </c>
      <c r="Q7144" s="25">
        <v>5000</v>
      </c>
      <c r="R7144" s="22">
        <v>61</v>
      </c>
      <c r="S7144" s="22" t="s">
        <v>8686</v>
      </c>
      <c r="T7144" s="22">
        <f t="shared" si="611"/>
        <v>8</v>
      </c>
      <c r="U7144" s="22">
        <f t="shared" si="612"/>
        <v>2023</v>
      </c>
      <c r="V7144" s="22" t="str">
        <f t="shared" si="613"/>
        <v>METROPOLITANA</v>
      </c>
    </row>
    <row r="7145" spans="1:22" x14ac:dyDescent="0.2">
      <c r="A7145" s="23" t="s">
        <v>8679</v>
      </c>
      <c r="B7145" s="22" t="s">
        <v>33</v>
      </c>
      <c r="C7145" s="22" t="s">
        <v>44</v>
      </c>
      <c r="D7145" s="22" t="s">
        <v>37</v>
      </c>
      <c r="E7145" s="24">
        <v>78907355</v>
      </c>
      <c r="F7145" s="22" t="s">
        <v>48</v>
      </c>
      <c r="G7145" s="25">
        <v>6843.36</v>
      </c>
      <c r="H7145" s="22" t="s">
        <v>22</v>
      </c>
      <c r="I7145" s="22">
        <v>0</v>
      </c>
      <c r="J7145" s="22" t="s">
        <v>48</v>
      </c>
      <c r="K7145" s="22" t="s">
        <v>23</v>
      </c>
      <c r="L7145" s="22">
        <v>1</v>
      </c>
      <c r="M7145" s="26">
        <v>75277</v>
      </c>
      <c r="N7145" s="26">
        <v>0</v>
      </c>
      <c r="O7145" s="15">
        <f t="shared" si="618"/>
        <v>75277</v>
      </c>
      <c r="P7145" s="15">
        <f t="shared" si="619"/>
        <v>11.000005845081949</v>
      </c>
      <c r="Q7145" s="25">
        <v>5000</v>
      </c>
      <c r="R7145" s="22">
        <v>100</v>
      </c>
      <c r="S7145" s="22" t="s">
        <v>8687</v>
      </c>
      <c r="T7145" s="22">
        <f t="shared" si="611"/>
        <v>8</v>
      </c>
      <c r="U7145" s="22">
        <f t="shared" si="612"/>
        <v>2023</v>
      </c>
      <c r="V7145" s="22" t="str">
        <f t="shared" si="613"/>
        <v>METROPOLITANA</v>
      </c>
    </row>
    <row r="7146" spans="1:22" x14ac:dyDescent="0.2">
      <c r="A7146" s="11" t="s">
        <v>8689</v>
      </c>
      <c r="B7146" s="12" t="s">
        <v>18</v>
      </c>
      <c r="C7146" s="12" t="s">
        <v>19</v>
      </c>
      <c r="D7146" s="12" t="s">
        <v>370</v>
      </c>
      <c r="E7146" s="13">
        <v>94742285</v>
      </c>
      <c r="F7146" s="12" t="s">
        <v>727</v>
      </c>
      <c r="G7146" s="14">
        <v>5861.48</v>
      </c>
      <c r="H7146" s="12" t="s">
        <v>85</v>
      </c>
      <c r="I7146" s="12">
        <v>1</v>
      </c>
      <c r="J7146" s="12" t="s">
        <v>727</v>
      </c>
      <c r="K7146" s="12" t="s">
        <v>23</v>
      </c>
      <c r="L7146" s="12">
        <v>2</v>
      </c>
      <c r="M7146" s="15">
        <v>64476</v>
      </c>
      <c r="N7146" s="15">
        <v>0</v>
      </c>
      <c r="O7146" s="15">
        <f t="shared" ref="O7146:O7151" si="620">SUM(M7146:N7146)</f>
        <v>64476</v>
      </c>
      <c r="P7146" s="15">
        <f t="shared" ref="P7146:P7151" si="621">O7146/G7146</f>
        <v>10.999952230494689</v>
      </c>
      <c r="Q7146" s="14">
        <v>5000</v>
      </c>
      <c r="R7146" s="12">
        <v>100</v>
      </c>
      <c r="S7146" s="12" t="s">
        <v>8690</v>
      </c>
      <c r="T7146" s="22">
        <f t="shared" si="611"/>
        <v>8</v>
      </c>
      <c r="U7146" s="22">
        <f t="shared" si="612"/>
        <v>2023</v>
      </c>
      <c r="V7146" s="22" t="str">
        <f t="shared" si="613"/>
        <v>METROPOLITANA</v>
      </c>
    </row>
    <row r="7147" spans="1:22" x14ac:dyDescent="0.2">
      <c r="A7147" s="11" t="s">
        <v>8689</v>
      </c>
      <c r="B7147" s="12" t="s">
        <v>18</v>
      </c>
      <c r="C7147" s="12" t="s">
        <v>5796</v>
      </c>
      <c r="D7147" s="12" t="s">
        <v>38</v>
      </c>
      <c r="E7147" s="13">
        <v>125108660</v>
      </c>
      <c r="F7147" s="12" t="s">
        <v>129</v>
      </c>
      <c r="G7147" s="14">
        <v>9612</v>
      </c>
      <c r="H7147" s="12" t="s">
        <v>43</v>
      </c>
      <c r="I7147" s="12">
        <v>0</v>
      </c>
      <c r="J7147" s="12" t="s">
        <v>129</v>
      </c>
      <c r="K7147" s="12" t="s">
        <v>23</v>
      </c>
      <c r="L7147" s="12">
        <v>1</v>
      </c>
      <c r="M7147" s="15">
        <v>105732</v>
      </c>
      <c r="N7147" s="15">
        <v>0</v>
      </c>
      <c r="O7147" s="15">
        <f t="shared" si="620"/>
        <v>105732</v>
      </c>
      <c r="P7147" s="15">
        <f t="shared" si="621"/>
        <v>11</v>
      </c>
      <c r="Q7147" s="14">
        <v>5000</v>
      </c>
      <c r="R7147" s="12">
        <v>100</v>
      </c>
      <c r="S7147" s="12" t="s">
        <v>8691</v>
      </c>
      <c r="T7147" s="22">
        <f t="shared" si="611"/>
        <v>8</v>
      </c>
      <c r="U7147" s="22">
        <f t="shared" si="612"/>
        <v>2023</v>
      </c>
      <c r="V7147" s="22" t="str">
        <f t="shared" si="613"/>
        <v>METROPOLITANA</v>
      </c>
    </row>
    <row r="7148" spans="1:22" x14ac:dyDescent="0.2">
      <c r="A7148" s="11" t="s">
        <v>8689</v>
      </c>
      <c r="B7148" s="12" t="s">
        <v>33</v>
      </c>
      <c r="C7148" s="12" t="s">
        <v>29</v>
      </c>
      <c r="D7148" s="12" t="s">
        <v>30</v>
      </c>
      <c r="E7148" s="13">
        <v>72564391</v>
      </c>
      <c r="F7148" s="12" t="s">
        <v>173</v>
      </c>
      <c r="G7148" s="14">
        <v>4680.7400000000016</v>
      </c>
      <c r="H7148" s="12" t="s">
        <v>32</v>
      </c>
      <c r="I7148" s="12">
        <v>0</v>
      </c>
      <c r="J7148" s="12" t="s">
        <v>173</v>
      </c>
      <c r="K7148" s="12" t="s">
        <v>23</v>
      </c>
      <c r="L7148" s="12">
        <v>5</v>
      </c>
      <c r="M7148" s="15">
        <v>112500</v>
      </c>
      <c r="N7148" s="15">
        <v>0</v>
      </c>
      <c r="O7148" s="15">
        <f t="shared" si="620"/>
        <v>112500</v>
      </c>
      <c r="P7148" s="15">
        <f t="shared" si="621"/>
        <v>24.034661186051771</v>
      </c>
      <c r="Q7148" s="14">
        <v>10000</v>
      </c>
      <c r="R7148" s="12">
        <v>47</v>
      </c>
      <c r="S7148" s="12" t="s">
        <v>8692</v>
      </c>
      <c r="T7148" s="22">
        <f t="shared" si="611"/>
        <v>8</v>
      </c>
      <c r="U7148" s="22">
        <f t="shared" si="612"/>
        <v>2023</v>
      </c>
      <c r="V7148" s="22" t="str">
        <f t="shared" si="613"/>
        <v>METROPOLITANA</v>
      </c>
    </row>
    <row r="7149" spans="1:22" x14ac:dyDescent="0.2">
      <c r="A7149" s="11" t="s">
        <v>8689</v>
      </c>
      <c r="B7149" s="12" t="s">
        <v>33</v>
      </c>
      <c r="C7149" s="12" t="s">
        <v>29</v>
      </c>
      <c r="D7149" s="12" t="s">
        <v>8219</v>
      </c>
      <c r="E7149" s="13">
        <v>73835526</v>
      </c>
      <c r="F7149" s="12" t="s">
        <v>39</v>
      </c>
      <c r="G7149" s="14">
        <v>8939.5500000000011</v>
      </c>
      <c r="H7149" s="12" t="s">
        <v>24</v>
      </c>
      <c r="I7149" s="12">
        <v>1</v>
      </c>
      <c r="J7149" s="12" t="s">
        <v>39</v>
      </c>
      <c r="K7149" s="12" t="s">
        <v>23</v>
      </c>
      <c r="L7149" s="12">
        <v>1</v>
      </c>
      <c r="M7149" s="15">
        <v>98335</v>
      </c>
      <c r="N7149" s="15">
        <v>0</v>
      </c>
      <c r="O7149" s="15">
        <f t="shared" si="620"/>
        <v>98335</v>
      </c>
      <c r="P7149" s="15">
        <f t="shared" si="621"/>
        <v>10.999994406877303</v>
      </c>
      <c r="Q7149" s="14">
        <v>5000</v>
      </c>
      <c r="R7149" s="12">
        <v>100</v>
      </c>
      <c r="S7149" s="12" t="s">
        <v>8693</v>
      </c>
      <c r="T7149" s="22">
        <f t="shared" si="611"/>
        <v>8</v>
      </c>
      <c r="U7149" s="22">
        <f t="shared" si="612"/>
        <v>2023</v>
      </c>
      <c r="V7149" s="22" t="str">
        <f t="shared" si="613"/>
        <v>METROPOLITANA</v>
      </c>
    </row>
    <row r="7150" spans="1:22" x14ac:dyDescent="0.2">
      <c r="A7150" s="11" t="s">
        <v>8689</v>
      </c>
      <c r="B7150" s="12" t="s">
        <v>33</v>
      </c>
      <c r="C7150" s="12" t="s">
        <v>29</v>
      </c>
      <c r="D7150" s="12" t="s">
        <v>164</v>
      </c>
      <c r="E7150" s="13">
        <v>154837728</v>
      </c>
      <c r="F7150" s="12" t="s">
        <v>39</v>
      </c>
      <c r="G7150" s="14">
        <v>19388.22</v>
      </c>
      <c r="H7150" s="12" t="s">
        <v>22</v>
      </c>
      <c r="I7150" s="12">
        <v>1</v>
      </c>
      <c r="J7150" s="12" t="s">
        <v>39</v>
      </c>
      <c r="K7150" s="12" t="s">
        <v>23</v>
      </c>
      <c r="L7150" s="12">
        <v>1</v>
      </c>
      <c r="M7150" s="15">
        <v>213270</v>
      </c>
      <c r="N7150" s="15">
        <v>0</v>
      </c>
      <c r="O7150" s="15">
        <f t="shared" si="620"/>
        <v>213270</v>
      </c>
      <c r="P7150" s="15">
        <f t="shared" si="621"/>
        <v>10.999978337361553</v>
      </c>
      <c r="Q7150" s="14">
        <v>5000</v>
      </c>
      <c r="R7150" s="12">
        <v>100</v>
      </c>
      <c r="S7150" s="12" t="s">
        <v>8694</v>
      </c>
      <c r="T7150" s="22">
        <f t="shared" si="611"/>
        <v>8</v>
      </c>
      <c r="U7150" s="22">
        <f t="shared" si="612"/>
        <v>2023</v>
      </c>
      <c r="V7150" s="22" t="str">
        <f t="shared" si="613"/>
        <v>METROPOLITANA</v>
      </c>
    </row>
    <row r="7151" spans="1:22" x14ac:dyDescent="0.2">
      <c r="A7151" s="11" t="s">
        <v>8689</v>
      </c>
      <c r="B7151" s="12" t="s">
        <v>33</v>
      </c>
      <c r="C7151" s="12" t="s">
        <v>44</v>
      </c>
      <c r="D7151" s="12" t="s">
        <v>45</v>
      </c>
      <c r="E7151" s="13">
        <v>107643206</v>
      </c>
      <c r="F7151" s="12" t="s">
        <v>554</v>
      </c>
      <c r="G7151" s="14">
        <v>2656.1600000000012</v>
      </c>
      <c r="H7151" s="12" t="s">
        <v>22</v>
      </c>
      <c r="I7151" s="12">
        <v>0</v>
      </c>
      <c r="J7151" s="12" t="s">
        <v>554</v>
      </c>
      <c r="K7151" s="12" t="s">
        <v>23</v>
      </c>
      <c r="L7151" s="12">
        <v>4</v>
      </c>
      <c r="M7151" s="15">
        <v>69173</v>
      </c>
      <c r="N7151" s="15">
        <v>0</v>
      </c>
      <c r="O7151" s="15">
        <f t="shared" si="620"/>
        <v>69173</v>
      </c>
      <c r="P7151" s="15">
        <f t="shared" si="621"/>
        <v>26.042482380579472</v>
      </c>
      <c r="Q7151" s="14">
        <v>5000</v>
      </c>
      <c r="R7151" s="12">
        <v>53</v>
      </c>
      <c r="S7151" s="12" t="s">
        <v>8695</v>
      </c>
      <c r="T7151" s="22">
        <f t="shared" si="611"/>
        <v>8</v>
      </c>
      <c r="U7151" s="22">
        <f t="shared" si="612"/>
        <v>2023</v>
      </c>
      <c r="V7151" s="22" t="str">
        <f t="shared" si="613"/>
        <v>METROPOLITANA</v>
      </c>
    </row>
    <row r="7152" spans="1:22" x14ac:dyDescent="0.2">
      <c r="A7152" s="23" t="s">
        <v>8696</v>
      </c>
      <c r="B7152" s="22" t="s">
        <v>18</v>
      </c>
      <c r="C7152" s="22" t="s">
        <v>5796</v>
      </c>
      <c r="D7152" s="22" t="s">
        <v>38</v>
      </c>
      <c r="E7152" s="24">
        <v>125108660</v>
      </c>
      <c r="F7152" s="22" t="s">
        <v>129</v>
      </c>
      <c r="G7152" s="25">
        <v>10146</v>
      </c>
      <c r="H7152" s="22" t="s">
        <v>43</v>
      </c>
      <c r="I7152" s="22">
        <v>0</v>
      </c>
      <c r="J7152" s="22" t="s">
        <v>129</v>
      </c>
      <c r="K7152" s="22" t="s">
        <v>23</v>
      </c>
      <c r="L7152" s="22">
        <v>1</v>
      </c>
      <c r="M7152" s="26">
        <v>111606</v>
      </c>
      <c r="N7152" s="26">
        <v>0</v>
      </c>
      <c r="O7152" s="15">
        <f t="shared" ref="O7152:O7158" si="622">SUM(M7152:N7152)</f>
        <v>111606</v>
      </c>
      <c r="P7152" s="15">
        <f t="shared" ref="P7152:P7158" si="623">O7152/G7152</f>
        <v>11</v>
      </c>
      <c r="Q7152" s="25">
        <v>5000</v>
      </c>
      <c r="R7152" s="22">
        <v>100</v>
      </c>
      <c r="S7152" s="22" t="s">
        <v>8697</v>
      </c>
      <c r="T7152" s="22">
        <f t="shared" si="611"/>
        <v>8</v>
      </c>
      <c r="U7152" s="22">
        <f t="shared" si="612"/>
        <v>2023</v>
      </c>
      <c r="V7152" s="22" t="str">
        <f t="shared" si="613"/>
        <v>METROPOLITANA</v>
      </c>
    </row>
    <row r="7153" spans="1:22" x14ac:dyDescent="0.2">
      <c r="A7153" s="23" t="s">
        <v>8696</v>
      </c>
      <c r="B7153" s="22" t="s">
        <v>33</v>
      </c>
      <c r="C7153" s="22" t="s">
        <v>60</v>
      </c>
      <c r="D7153" s="22" t="s">
        <v>8219</v>
      </c>
      <c r="E7153" s="24">
        <v>73835526</v>
      </c>
      <c r="F7153" s="22" t="s">
        <v>5240</v>
      </c>
      <c r="G7153" s="25">
        <v>6219.8400000000029</v>
      </c>
      <c r="H7153" s="22" t="s">
        <v>24</v>
      </c>
      <c r="I7153" s="22">
        <v>1</v>
      </c>
      <c r="J7153" s="22" t="s">
        <v>5240</v>
      </c>
      <c r="K7153" s="22" t="s">
        <v>78</v>
      </c>
      <c r="L7153" s="22">
        <v>0</v>
      </c>
      <c r="M7153" s="26">
        <v>289000</v>
      </c>
      <c r="N7153" s="26">
        <v>0</v>
      </c>
      <c r="O7153" s="15">
        <f t="shared" si="622"/>
        <v>289000</v>
      </c>
      <c r="P7153" s="15">
        <f t="shared" si="623"/>
        <v>46.464217729073397</v>
      </c>
      <c r="Q7153" s="25">
        <v>14000</v>
      </c>
      <c r="R7153" s="22">
        <v>44</v>
      </c>
      <c r="S7153" s="22" t="s">
        <v>8698</v>
      </c>
      <c r="T7153" s="22">
        <f t="shared" si="611"/>
        <v>8</v>
      </c>
      <c r="U7153" s="22">
        <f t="shared" si="612"/>
        <v>2023</v>
      </c>
      <c r="V7153" s="22" t="str">
        <f t="shared" si="613"/>
        <v>REGIONES</v>
      </c>
    </row>
    <row r="7154" spans="1:22" x14ac:dyDescent="0.2">
      <c r="A7154" s="23" t="s">
        <v>8696</v>
      </c>
      <c r="B7154" s="22" t="s">
        <v>33</v>
      </c>
      <c r="C7154" s="22" t="s">
        <v>128</v>
      </c>
      <c r="D7154" s="22" t="s">
        <v>20</v>
      </c>
      <c r="E7154" s="24">
        <v>78907355</v>
      </c>
      <c r="F7154" s="22" t="s">
        <v>129</v>
      </c>
      <c r="G7154" s="25">
        <v>8077.6800000000012</v>
      </c>
      <c r="H7154" s="22" t="s">
        <v>22</v>
      </c>
      <c r="I7154" s="22">
        <v>0</v>
      </c>
      <c r="J7154" s="22" t="s">
        <v>129</v>
      </c>
      <c r="K7154" s="22" t="s">
        <v>23</v>
      </c>
      <c r="L7154" s="22">
        <v>1</v>
      </c>
      <c r="M7154" s="26">
        <v>88854</v>
      </c>
      <c r="N7154" s="26">
        <v>0</v>
      </c>
      <c r="O7154" s="15">
        <f t="shared" si="622"/>
        <v>88854</v>
      </c>
      <c r="P7154" s="15">
        <f t="shared" si="623"/>
        <v>10.999940576997354</v>
      </c>
      <c r="Q7154" s="25">
        <v>5000</v>
      </c>
      <c r="R7154" s="22">
        <v>100</v>
      </c>
      <c r="S7154" s="22" t="s">
        <v>8699</v>
      </c>
      <c r="T7154" s="22">
        <f t="shared" si="611"/>
        <v>8</v>
      </c>
      <c r="U7154" s="22">
        <f t="shared" si="612"/>
        <v>2023</v>
      </c>
      <c r="V7154" s="22" t="str">
        <f t="shared" si="613"/>
        <v>METROPOLITANA</v>
      </c>
    </row>
    <row r="7155" spans="1:22" x14ac:dyDescent="0.2">
      <c r="A7155" s="23" t="s">
        <v>8696</v>
      </c>
      <c r="B7155" s="22" t="s">
        <v>33</v>
      </c>
      <c r="C7155" s="22" t="s">
        <v>36</v>
      </c>
      <c r="D7155" s="22" t="s">
        <v>8314</v>
      </c>
      <c r="E7155" s="24">
        <v>123000153</v>
      </c>
      <c r="F7155" s="22" t="s">
        <v>815</v>
      </c>
      <c r="G7155" s="25">
        <v>9448.7999999999993</v>
      </c>
      <c r="H7155" s="22" t="s">
        <v>24</v>
      </c>
      <c r="I7155" s="22">
        <v>1</v>
      </c>
      <c r="J7155" s="22" t="s">
        <v>815</v>
      </c>
      <c r="K7155" s="22" t="s">
        <v>75</v>
      </c>
      <c r="L7155" s="22">
        <v>0</v>
      </c>
      <c r="M7155" s="26">
        <v>528000</v>
      </c>
      <c r="N7155" s="26">
        <v>0</v>
      </c>
      <c r="O7155" s="15">
        <f t="shared" si="622"/>
        <v>528000</v>
      </c>
      <c r="P7155" s="15">
        <f t="shared" si="623"/>
        <v>55.880111760223528</v>
      </c>
      <c r="Q7155" s="25">
        <v>14000</v>
      </c>
      <c r="R7155" s="22">
        <v>67</v>
      </c>
      <c r="S7155" s="22" t="s">
        <v>8700</v>
      </c>
      <c r="T7155" s="22">
        <f t="shared" si="611"/>
        <v>8</v>
      </c>
      <c r="U7155" s="22">
        <f t="shared" si="612"/>
        <v>2023</v>
      </c>
      <c r="V7155" s="22" t="str">
        <f t="shared" si="613"/>
        <v>REGIONES</v>
      </c>
    </row>
    <row r="7156" spans="1:22" x14ac:dyDescent="0.2">
      <c r="A7156" s="23" t="s">
        <v>8696</v>
      </c>
      <c r="B7156" s="22" t="s">
        <v>33</v>
      </c>
      <c r="C7156" s="22" t="s">
        <v>44</v>
      </c>
      <c r="D7156" s="22" t="s">
        <v>6989</v>
      </c>
      <c r="E7156" s="24">
        <v>172861164</v>
      </c>
      <c r="F7156" s="22" t="s">
        <v>815</v>
      </c>
      <c r="G7156" s="25">
        <f>2899.6+1092</f>
        <v>3991.6</v>
      </c>
      <c r="H7156" s="22" t="s">
        <v>24</v>
      </c>
      <c r="I7156" s="22">
        <v>1</v>
      </c>
      <c r="J7156" s="22" t="s">
        <v>815</v>
      </c>
      <c r="K7156" s="22" t="s">
        <v>75</v>
      </c>
      <c r="L7156" s="22">
        <v>0</v>
      </c>
      <c r="M7156" s="26">
        <v>528000</v>
      </c>
      <c r="N7156" s="26">
        <v>0</v>
      </c>
      <c r="O7156" s="15">
        <f t="shared" si="622"/>
        <v>528000</v>
      </c>
      <c r="P7156" s="15">
        <f t="shared" si="623"/>
        <v>132.27778334502455</v>
      </c>
      <c r="Q7156" s="25">
        <v>14000</v>
      </c>
      <c r="R7156" s="22">
        <v>35</v>
      </c>
      <c r="S7156" s="22" t="s">
        <v>8703</v>
      </c>
      <c r="T7156" s="22">
        <f t="shared" si="611"/>
        <v>8</v>
      </c>
      <c r="U7156" s="22">
        <f t="shared" si="612"/>
        <v>2023</v>
      </c>
      <c r="V7156" s="22" t="str">
        <f t="shared" si="613"/>
        <v>REGIONES</v>
      </c>
    </row>
    <row r="7157" spans="1:22" x14ac:dyDescent="0.2">
      <c r="A7157" s="23" t="s">
        <v>8696</v>
      </c>
      <c r="B7157" s="22" t="s">
        <v>33</v>
      </c>
      <c r="C7157" s="22" t="s">
        <v>44</v>
      </c>
      <c r="D7157" s="22" t="s">
        <v>8580</v>
      </c>
      <c r="E7157" s="24">
        <v>276547747</v>
      </c>
      <c r="F7157" s="22" t="s">
        <v>182</v>
      </c>
      <c r="G7157" s="25">
        <v>3182.84</v>
      </c>
      <c r="H7157" s="22" t="s">
        <v>24</v>
      </c>
      <c r="I7157" s="22">
        <v>1</v>
      </c>
      <c r="J7157" s="22" t="s">
        <v>182</v>
      </c>
      <c r="K7157" s="22" t="s">
        <v>23</v>
      </c>
      <c r="L7157" s="22">
        <v>4</v>
      </c>
      <c r="M7157" s="26">
        <v>69173</v>
      </c>
      <c r="N7157" s="26">
        <v>0</v>
      </c>
      <c r="O7157" s="15">
        <f t="shared" si="622"/>
        <v>69173</v>
      </c>
      <c r="P7157" s="15">
        <f t="shared" si="623"/>
        <v>21.733106282439582</v>
      </c>
      <c r="Q7157" s="25">
        <v>5000</v>
      </c>
      <c r="R7157" s="22">
        <v>64</v>
      </c>
      <c r="S7157" s="22" t="s">
        <v>8701</v>
      </c>
      <c r="T7157" s="22">
        <f t="shared" si="611"/>
        <v>8</v>
      </c>
      <c r="U7157" s="22">
        <f t="shared" si="612"/>
        <v>2023</v>
      </c>
      <c r="V7157" s="22" t="str">
        <f t="shared" si="613"/>
        <v>METROPOLITANA</v>
      </c>
    </row>
    <row r="7158" spans="1:22" x14ac:dyDescent="0.2">
      <c r="A7158" s="23" t="s">
        <v>8696</v>
      </c>
      <c r="B7158" s="22" t="s">
        <v>33</v>
      </c>
      <c r="C7158" s="22" t="s">
        <v>44</v>
      </c>
      <c r="D7158" s="22" t="s">
        <v>35</v>
      </c>
      <c r="E7158" s="24">
        <v>99626232</v>
      </c>
      <c r="F7158" s="22" t="s">
        <v>138</v>
      </c>
      <c r="G7158" s="25">
        <v>2496.46</v>
      </c>
      <c r="H7158" s="22" t="s">
        <v>22</v>
      </c>
      <c r="I7158" s="22">
        <v>0</v>
      </c>
      <c r="J7158" s="22" t="s">
        <v>138</v>
      </c>
      <c r="K7158" s="22" t="s">
        <v>23</v>
      </c>
      <c r="L7158" s="22">
        <v>3</v>
      </c>
      <c r="M7158" s="26">
        <v>69173</v>
      </c>
      <c r="N7158" s="26">
        <v>0</v>
      </c>
      <c r="O7158" s="15">
        <f t="shared" si="622"/>
        <v>69173</v>
      </c>
      <c r="P7158" s="15">
        <f t="shared" si="623"/>
        <v>27.708435144164135</v>
      </c>
      <c r="Q7158" s="25">
        <v>5000</v>
      </c>
      <c r="R7158" s="22">
        <v>50</v>
      </c>
      <c r="S7158" s="22" t="s">
        <v>8702</v>
      </c>
      <c r="T7158" s="22">
        <f t="shared" si="611"/>
        <v>8</v>
      </c>
      <c r="U7158" s="22">
        <f t="shared" si="612"/>
        <v>2023</v>
      </c>
      <c r="V7158" s="22" t="str">
        <f t="shared" si="613"/>
        <v>METROPOLITANA</v>
      </c>
    </row>
    <row r="7159" spans="1:22" x14ac:dyDescent="0.2">
      <c r="A7159" s="11" t="s">
        <v>8704</v>
      </c>
      <c r="B7159" s="12" t="s">
        <v>18</v>
      </c>
      <c r="C7159" s="12" t="s">
        <v>57</v>
      </c>
      <c r="D7159" s="12" t="s">
        <v>30</v>
      </c>
      <c r="E7159" s="13">
        <v>72564391</v>
      </c>
      <c r="F7159" s="12" t="s">
        <v>51</v>
      </c>
      <c r="G7159" s="14">
        <v>5568.48</v>
      </c>
      <c r="H7159" s="12" t="s">
        <v>32</v>
      </c>
      <c r="I7159" s="12">
        <v>0</v>
      </c>
      <c r="J7159" s="12" t="s">
        <v>51</v>
      </c>
      <c r="K7159" s="12" t="s">
        <v>23</v>
      </c>
      <c r="L7159" s="12">
        <v>4</v>
      </c>
      <c r="M7159" s="15">
        <v>61253</v>
      </c>
      <c r="N7159" s="15">
        <v>0</v>
      </c>
      <c r="O7159" s="15">
        <f t="shared" ref="O7159:O7170" si="624">SUM(M7159:N7159)</f>
        <v>61253</v>
      </c>
      <c r="P7159" s="15">
        <f t="shared" ref="P7159:P7170" si="625">O7159/G7159</f>
        <v>10.999949716978422</v>
      </c>
      <c r="Q7159" s="14">
        <v>5000</v>
      </c>
      <c r="R7159" s="12">
        <v>100</v>
      </c>
      <c r="S7159" s="12" t="s">
        <v>8705</v>
      </c>
      <c r="T7159" s="22">
        <f t="shared" si="611"/>
        <v>8</v>
      </c>
      <c r="U7159" s="22">
        <f t="shared" si="612"/>
        <v>2023</v>
      </c>
      <c r="V7159" s="22" t="str">
        <f t="shared" si="613"/>
        <v>METROPOLITANA</v>
      </c>
    </row>
    <row r="7160" spans="1:22" x14ac:dyDescent="0.2">
      <c r="A7160" s="11" t="s">
        <v>8704</v>
      </c>
      <c r="B7160" s="12" t="s">
        <v>18</v>
      </c>
      <c r="C7160" s="12" t="s">
        <v>5796</v>
      </c>
      <c r="D7160" s="12" t="s">
        <v>37</v>
      </c>
      <c r="E7160" s="13">
        <v>154837728</v>
      </c>
      <c r="F7160" s="12" t="s">
        <v>129</v>
      </c>
      <c r="G7160" s="14">
        <v>5347.2000000000025</v>
      </c>
      <c r="H7160" s="12" t="s">
        <v>22</v>
      </c>
      <c r="I7160" s="12">
        <v>0</v>
      </c>
      <c r="J7160" s="12" t="s">
        <v>129</v>
      </c>
      <c r="K7160" s="12" t="s">
        <v>23</v>
      </c>
      <c r="L7160" s="12">
        <v>1</v>
      </c>
      <c r="M7160" s="15">
        <v>58819</v>
      </c>
      <c r="N7160" s="15">
        <v>0</v>
      </c>
      <c r="O7160" s="15">
        <f t="shared" si="624"/>
        <v>58819</v>
      </c>
      <c r="P7160" s="15">
        <f t="shared" si="625"/>
        <v>10.999962597247151</v>
      </c>
      <c r="Q7160" s="14">
        <v>5000</v>
      </c>
      <c r="R7160" s="12">
        <v>100</v>
      </c>
      <c r="S7160" s="12" t="s">
        <v>8706</v>
      </c>
      <c r="T7160" s="22">
        <f t="shared" si="611"/>
        <v>8</v>
      </c>
      <c r="U7160" s="22">
        <f t="shared" si="612"/>
        <v>2023</v>
      </c>
      <c r="V7160" s="22" t="str">
        <f t="shared" si="613"/>
        <v>METROPOLITANA</v>
      </c>
    </row>
    <row r="7161" spans="1:22" x14ac:dyDescent="0.2">
      <c r="A7161" s="11" t="s">
        <v>8704</v>
      </c>
      <c r="B7161" s="12" t="s">
        <v>33</v>
      </c>
      <c r="C7161" s="12" t="s">
        <v>60</v>
      </c>
      <c r="D7161" s="12" t="s">
        <v>37</v>
      </c>
      <c r="E7161" s="13">
        <v>154837728</v>
      </c>
      <c r="F7161" s="12" t="s">
        <v>51</v>
      </c>
      <c r="G7161" s="14">
        <v>9058.4</v>
      </c>
      <c r="H7161" s="12" t="s">
        <v>22</v>
      </c>
      <c r="I7161" s="12">
        <v>0</v>
      </c>
      <c r="J7161" s="12" t="s">
        <v>51</v>
      </c>
      <c r="K7161" s="12" t="s">
        <v>23</v>
      </c>
      <c r="L7161" s="12">
        <v>4</v>
      </c>
      <c r="M7161" s="15">
        <v>99642</v>
      </c>
      <c r="N7161" s="15">
        <v>0</v>
      </c>
      <c r="O7161" s="15">
        <f t="shared" si="624"/>
        <v>99642</v>
      </c>
      <c r="P7161" s="15">
        <f t="shared" si="625"/>
        <v>10.999955842091319</v>
      </c>
      <c r="Q7161" s="14">
        <v>5000</v>
      </c>
      <c r="R7161" s="12">
        <v>100</v>
      </c>
      <c r="S7161" s="12" t="s">
        <v>8707</v>
      </c>
      <c r="T7161" s="22">
        <f t="shared" ref="T7161:T7218" si="626">MONTH(A7161)</f>
        <v>8</v>
      </c>
      <c r="U7161" s="22">
        <f t="shared" ref="U7161:U7218" si="627">YEAR(A7161)</f>
        <v>2023</v>
      </c>
      <c r="V7161" s="22" t="str">
        <f t="shared" ref="V7161:V7218" si="628">IF(K7161="METROPOLITANA DE SANTIAGO","METROPOLITANA","REGIONES")</f>
        <v>METROPOLITANA</v>
      </c>
    </row>
    <row r="7162" spans="1:22" x14ac:dyDescent="0.2">
      <c r="A7162" s="11" t="s">
        <v>8704</v>
      </c>
      <c r="B7162" s="12" t="s">
        <v>33</v>
      </c>
      <c r="C7162" s="12" t="s">
        <v>6326</v>
      </c>
      <c r="D7162" s="12" t="s">
        <v>41</v>
      </c>
      <c r="E7162" s="13">
        <v>125108660</v>
      </c>
      <c r="F7162" s="12" t="s">
        <v>129</v>
      </c>
      <c r="G7162" s="14">
        <v>1592.7</v>
      </c>
      <c r="H7162" s="12" t="s">
        <v>43</v>
      </c>
      <c r="I7162" s="12">
        <v>0</v>
      </c>
      <c r="J7162" s="12" t="s">
        <v>129</v>
      </c>
      <c r="K7162" s="12" t="s">
        <v>23</v>
      </c>
      <c r="L7162" s="12">
        <v>1</v>
      </c>
      <c r="M7162" s="15">
        <v>69173</v>
      </c>
      <c r="N7162" s="15">
        <v>0</v>
      </c>
      <c r="O7162" s="15">
        <f t="shared" si="624"/>
        <v>69173</v>
      </c>
      <c r="P7162" s="15">
        <f t="shared" si="625"/>
        <v>43.431280215985431</v>
      </c>
      <c r="Q7162" s="14">
        <v>5000</v>
      </c>
      <c r="R7162" s="12">
        <v>32</v>
      </c>
      <c r="S7162" s="12" t="s">
        <v>8708</v>
      </c>
      <c r="T7162" s="22">
        <f t="shared" si="626"/>
        <v>8</v>
      </c>
      <c r="U7162" s="22">
        <f t="shared" si="627"/>
        <v>2023</v>
      </c>
      <c r="V7162" s="22" t="str">
        <f t="shared" si="628"/>
        <v>METROPOLITANA</v>
      </c>
    </row>
    <row r="7163" spans="1:22" x14ac:dyDescent="0.2">
      <c r="A7163" s="11" t="s">
        <v>8704</v>
      </c>
      <c r="B7163" s="12" t="s">
        <v>33</v>
      </c>
      <c r="C7163" s="12" t="s">
        <v>128</v>
      </c>
      <c r="D7163" s="12" t="s">
        <v>786</v>
      </c>
      <c r="E7163" s="13">
        <v>95707734</v>
      </c>
      <c r="F7163" s="12" t="s">
        <v>34</v>
      </c>
      <c r="G7163" s="14">
        <f>10690.94+265+750</f>
        <v>11705.94</v>
      </c>
      <c r="H7163" s="12" t="s">
        <v>788</v>
      </c>
      <c r="I7163" s="12">
        <v>1</v>
      </c>
      <c r="J7163" s="12" t="s">
        <v>34</v>
      </c>
      <c r="K7163" s="12" t="s">
        <v>23</v>
      </c>
      <c r="L7163" s="12">
        <v>1</v>
      </c>
      <c r="M7163" s="15">
        <v>117600</v>
      </c>
      <c r="N7163" s="15">
        <v>0</v>
      </c>
      <c r="O7163" s="15">
        <f t="shared" si="624"/>
        <v>117600</v>
      </c>
      <c r="P7163" s="15">
        <f t="shared" si="625"/>
        <v>10.046181682120359</v>
      </c>
      <c r="Q7163" s="14">
        <v>5000</v>
      </c>
      <c r="R7163" s="12">
        <v>100</v>
      </c>
      <c r="S7163" s="12" t="s">
        <v>8716</v>
      </c>
      <c r="T7163" s="22">
        <f t="shared" si="626"/>
        <v>8</v>
      </c>
      <c r="U7163" s="22">
        <f t="shared" si="627"/>
        <v>2023</v>
      </c>
      <c r="V7163" s="22" t="str">
        <f t="shared" si="628"/>
        <v>METROPOLITANA</v>
      </c>
    </row>
    <row r="7164" spans="1:22" x14ac:dyDescent="0.2">
      <c r="A7164" s="11" t="s">
        <v>8704</v>
      </c>
      <c r="B7164" s="12" t="s">
        <v>33</v>
      </c>
      <c r="C7164" s="12" t="s">
        <v>36</v>
      </c>
      <c r="D7164" s="12" t="s">
        <v>20</v>
      </c>
      <c r="E7164" s="13">
        <v>78907355</v>
      </c>
      <c r="F7164" s="12" t="s">
        <v>58</v>
      </c>
      <c r="G7164" s="14">
        <v>5952.0000000000027</v>
      </c>
      <c r="H7164" s="12" t="s">
        <v>22</v>
      </c>
      <c r="I7164" s="12">
        <v>0</v>
      </c>
      <c r="J7164" s="12" t="s">
        <v>58</v>
      </c>
      <c r="K7164" s="12" t="s">
        <v>23</v>
      </c>
      <c r="L7164" s="12">
        <v>5</v>
      </c>
      <c r="M7164" s="15">
        <v>112500</v>
      </c>
      <c r="N7164" s="15">
        <v>0</v>
      </c>
      <c r="O7164" s="15">
        <f t="shared" si="624"/>
        <v>112500</v>
      </c>
      <c r="P7164" s="15">
        <f t="shared" si="625"/>
        <v>18.901209677419345</v>
      </c>
      <c r="Q7164" s="14">
        <v>10000</v>
      </c>
      <c r="R7164" s="12">
        <v>60</v>
      </c>
      <c r="S7164" s="12" t="s">
        <v>8709</v>
      </c>
      <c r="T7164" s="22">
        <f t="shared" si="626"/>
        <v>8</v>
      </c>
      <c r="U7164" s="22">
        <f t="shared" si="627"/>
        <v>2023</v>
      </c>
      <c r="V7164" s="22" t="str">
        <f t="shared" si="628"/>
        <v>METROPOLITANA</v>
      </c>
    </row>
    <row r="7165" spans="1:22" x14ac:dyDescent="0.2">
      <c r="A7165" s="11" t="s">
        <v>8704</v>
      </c>
      <c r="B7165" s="12" t="s">
        <v>33</v>
      </c>
      <c r="C7165" s="12" t="s">
        <v>29</v>
      </c>
      <c r="D7165" s="12" t="s">
        <v>41</v>
      </c>
      <c r="E7165" s="13">
        <v>125108660</v>
      </c>
      <c r="F7165" s="12" t="s">
        <v>39</v>
      </c>
      <c r="G7165" s="14">
        <v>13118.1</v>
      </c>
      <c r="H7165" s="12" t="s">
        <v>43</v>
      </c>
      <c r="I7165" s="12">
        <v>0</v>
      </c>
      <c r="J7165" s="12" t="s">
        <v>39</v>
      </c>
      <c r="K7165" s="12" t="s">
        <v>23</v>
      </c>
      <c r="L7165" s="12">
        <v>1</v>
      </c>
      <c r="M7165" s="15">
        <v>144299</v>
      </c>
      <c r="N7165" s="15">
        <v>0</v>
      </c>
      <c r="O7165" s="15">
        <f t="shared" si="624"/>
        <v>144299</v>
      </c>
      <c r="P7165" s="15">
        <f t="shared" si="625"/>
        <v>10.999992376944832</v>
      </c>
      <c r="Q7165" s="14">
        <v>5000</v>
      </c>
      <c r="R7165" s="12">
        <v>100</v>
      </c>
      <c r="S7165" s="12" t="s">
        <v>8710</v>
      </c>
      <c r="T7165" s="22">
        <f t="shared" si="626"/>
        <v>8</v>
      </c>
      <c r="U7165" s="22">
        <f t="shared" si="627"/>
        <v>2023</v>
      </c>
      <c r="V7165" s="22" t="str">
        <f t="shared" si="628"/>
        <v>METROPOLITANA</v>
      </c>
    </row>
    <row r="7166" spans="1:22" x14ac:dyDescent="0.2">
      <c r="A7166" s="11" t="s">
        <v>8704</v>
      </c>
      <c r="B7166" s="12" t="s">
        <v>33</v>
      </c>
      <c r="C7166" s="12" t="s">
        <v>29</v>
      </c>
      <c r="D7166" s="12" t="s">
        <v>8219</v>
      </c>
      <c r="E7166" s="13">
        <v>73835526</v>
      </c>
      <c r="F7166" s="12" t="s">
        <v>120</v>
      </c>
      <c r="G7166" s="14">
        <v>4253.55</v>
      </c>
      <c r="H7166" s="12" t="s">
        <v>24</v>
      </c>
      <c r="I7166" s="12">
        <v>1</v>
      </c>
      <c r="J7166" s="12" t="s">
        <v>120</v>
      </c>
      <c r="K7166" s="12" t="s">
        <v>23</v>
      </c>
      <c r="L7166" s="12">
        <v>5</v>
      </c>
      <c r="M7166" s="15">
        <v>180000</v>
      </c>
      <c r="N7166" s="15">
        <v>0</v>
      </c>
      <c r="O7166" s="15">
        <f t="shared" si="624"/>
        <v>180000</v>
      </c>
      <c r="P7166" s="15">
        <f t="shared" si="625"/>
        <v>42.31759353951405</v>
      </c>
      <c r="Q7166" s="14">
        <v>10000</v>
      </c>
      <c r="R7166" s="12">
        <v>43</v>
      </c>
      <c r="S7166" s="12" t="s">
        <v>8711</v>
      </c>
      <c r="T7166" s="22">
        <f t="shared" si="626"/>
        <v>8</v>
      </c>
      <c r="U7166" s="22">
        <f t="shared" si="627"/>
        <v>2023</v>
      </c>
      <c r="V7166" s="22" t="str">
        <f t="shared" si="628"/>
        <v>METROPOLITANA</v>
      </c>
    </row>
    <row r="7167" spans="1:22" x14ac:dyDescent="0.2">
      <c r="A7167" s="11" t="s">
        <v>8704</v>
      </c>
      <c r="B7167" s="12" t="s">
        <v>33</v>
      </c>
      <c r="C7167" s="12" t="s">
        <v>29</v>
      </c>
      <c r="D7167" s="12" t="s">
        <v>164</v>
      </c>
      <c r="E7167" s="13">
        <v>154837728</v>
      </c>
      <c r="F7167" s="12" t="s">
        <v>39</v>
      </c>
      <c r="G7167" s="14">
        <v>21794.39000000001</v>
      </c>
      <c r="H7167" s="12" t="s">
        <v>22</v>
      </c>
      <c r="I7167" s="12">
        <v>1</v>
      </c>
      <c r="J7167" s="12" t="s">
        <v>39</v>
      </c>
      <c r="K7167" s="12" t="s">
        <v>23</v>
      </c>
      <c r="L7167" s="12">
        <v>1</v>
      </c>
      <c r="M7167" s="15">
        <v>239738</v>
      </c>
      <c r="N7167" s="15">
        <v>0</v>
      </c>
      <c r="O7167" s="15">
        <f t="shared" si="624"/>
        <v>239738</v>
      </c>
      <c r="P7167" s="15">
        <f t="shared" si="625"/>
        <v>10.999986693823496</v>
      </c>
      <c r="Q7167" s="14">
        <v>5000</v>
      </c>
      <c r="R7167" s="12">
        <v>100</v>
      </c>
      <c r="S7167" s="12" t="s">
        <v>8712</v>
      </c>
      <c r="T7167" s="22">
        <f t="shared" si="626"/>
        <v>8</v>
      </c>
      <c r="U7167" s="22">
        <f t="shared" si="627"/>
        <v>2023</v>
      </c>
      <c r="V7167" s="22" t="str">
        <f t="shared" si="628"/>
        <v>METROPOLITANA</v>
      </c>
    </row>
    <row r="7168" spans="1:22" x14ac:dyDescent="0.2">
      <c r="A7168" s="11" t="s">
        <v>8704</v>
      </c>
      <c r="B7168" s="12" t="s">
        <v>33</v>
      </c>
      <c r="C7168" s="12" t="s">
        <v>44</v>
      </c>
      <c r="D7168" s="12" t="s">
        <v>8580</v>
      </c>
      <c r="E7168" s="13">
        <v>276547747</v>
      </c>
      <c r="F7168" s="12" t="s">
        <v>51</v>
      </c>
      <c r="G7168" s="14">
        <v>2763.6</v>
      </c>
      <c r="H7168" s="12" t="s">
        <v>24</v>
      </c>
      <c r="I7168" s="12">
        <v>1</v>
      </c>
      <c r="J7168" s="12" t="s">
        <v>51</v>
      </c>
      <c r="K7168" s="12" t="s">
        <v>23</v>
      </c>
      <c r="L7168" s="12">
        <v>4</v>
      </c>
      <c r="M7168" s="15">
        <v>69173</v>
      </c>
      <c r="N7168" s="15">
        <v>0</v>
      </c>
      <c r="O7168" s="15">
        <f t="shared" si="624"/>
        <v>69173</v>
      </c>
      <c r="P7168" s="15">
        <f t="shared" si="625"/>
        <v>25.03003328991171</v>
      </c>
      <c r="Q7168" s="14">
        <v>5000</v>
      </c>
      <c r="R7168" s="12">
        <v>55</v>
      </c>
      <c r="S7168" s="12" t="s">
        <v>8713</v>
      </c>
      <c r="T7168" s="22">
        <f t="shared" si="626"/>
        <v>8</v>
      </c>
      <c r="U7168" s="22">
        <f t="shared" si="627"/>
        <v>2023</v>
      </c>
      <c r="V7168" s="22" t="str">
        <f t="shared" si="628"/>
        <v>METROPOLITANA</v>
      </c>
    </row>
    <row r="7169" spans="1:22" x14ac:dyDescent="0.2">
      <c r="A7169" s="11" t="s">
        <v>8704</v>
      </c>
      <c r="B7169" s="12" t="s">
        <v>33</v>
      </c>
      <c r="C7169" s="12" t="s">
        <v>44</v>
      </c>
      <c r="D7169" s="12" t="s">
        <v>45</v>
      </c>
      <c r="E7169" s="13">
        <v>107643206</v>
      </c>
      <c r="F7169" s="12" t="s">
        <v>48</v>
      </c>
      <c r="G7169" s="14">
        <v>3199.6600000000012</v>
      </c>
      <c r="H7169" s="12" t="s">
        <v>22</v>
      </c>
      <c r="I7169" s="12">
        <v>0</v>
      </c>
      <c r="J7169" s="12" t="s">
        <v>48</v>
      </c>
      <c r="K7169" s="12" t="s">
        <v>23</v>
      </c>
      <c r="L7169" s="12">
        <v>1</v>
      </c>
      <c r="M7169" s="15">
        <v>69173</v>
      </c>
      <c r="N7169" s="15">
        <v>0</v>
      </c>
      <c r="O7169" s="15">
        <f t="shared" si="624"/>
        <v>69173</v>
      </c>
      <c r="P7169" s="15">
        <f t="shared" si="625"/>
        <v>21.618859503822272</v>
      </c>
      <c r="Q7169" s="14">
        <v>5000</v>
      </c>
      <c r="R7169" s="12">
        <v>64</v>
      </c>
      <c r="S7169" s="12" t="s">
        <v>8714</v>
      </c>
      <c r="T7169" s="22">
        <f t="shared" si="626"/>
        <v>8</v>
      </c>
      <c r="U7169" s="22">
        <f t="shared" si="627"/>
        <v>2023</v>
      </c>
      <c r="V7169" s="22" t="str">
        <f t="shared" si="628"/>
        <v>METROPOLITANA</v>
      </c>
    </row>
    <row r="7170" spans="1:22" x14ac:dyDescent="0.2">
      <c r="A7170" s="11" t="s">
        <v>8704</v>
      </c>
      <c r="B7170" s="12" t="s">
        <v>33</v>
      </c>
      <c r="C7170" s="12" t="s">
        <v>1163</v>
      </c>
      <c r="D7170" s="12" t="s">
        <v>30</v>
      </c>
      <c r="E7170" s="13">
        <v>72564391</v>
      </c>
      <c r="F7170" s="12" t="s">
        <v>165</v>
      </c>
      <c r="G7170" s="14">
        <v>12200</v>
      </c>
      <c r="H7170" s="12" t="s">
        <v>32</v>
      </c>
      <c r="I7170" s="12">
        <v>0</v>
      </c>
      <c r="J7170" s="12" t="s">
        <v>165</v>
      </c>
      <c r="K7170" s="12" t="s">
        <v>23</v>
      </c>
      <c r="L7170" s="12">
        <v>4</v>
      </c>
      <c r="M7170" s="15">
        <v>134200</v>
      </c>
      <c r="N7170" s="15">
        <v>0</v>
      </c>
      <c r="O7170" s="15">
        <f t="shared" si="624"/>
        <v>134200</v>
      </c>
      <c r="P7170" s="15">
        <f t="shared" si="625"/>
        <v>11</v>
      </c>
      <c r="Q7170" s="14">
        <v>5000</v>
      </c>
      <c r="R7170" s="12">
        <v>100</v>
      </c>
      <c r="S7170" s="12" t="s">
        <v>8715</v>
      </c>
      <c r="T7170" s="22">
        <f t="shared" si="626"/>
        <v>8</v>
      </c>
      <c r="U7170" s="22">
        <f t="shared" si="627"/>
        <v>2023</v>
      </c>
      <c r="V7170" s="22" t="str">
        <f t="shared" si="628"/>
        <v>METROPOLITANA</v>
      </c>
    </row>
    <row r="7171" spans="1:22" x14ac:dyDescent="0.2">
      <c r="A7171" s="23" t="s">
        <v>8717</v>
      </c>
      <c r="B7171" s="22" t="s">
        <v>18</v>
      </c>
      <c r="C7171" s="22" t="s">
        <v>5796</v>
      </c>
      <c r="D7171" s="22" t="s">
        <v>37</v>
      </c>
      <c r="E7171" s="24">
        <v>154837728</v>
      </c>
      <c r="F7171" s="22" t="s">
        <v>129</v>
      </c>
      <c r="G7171" s="25">
        <v>8428.4000000000033</v>
      </c>
      <c r="H7171" s="22" t="s">
        <v>22</v>
      </c>
      <c r="I7171" s="22">
        <v>0</v>
      </c>
      <c r="J7171" s="22" t="s">
        <v>129</v>
      </c>
      <c r="K7171" s="22" t="s">
        <v>23</v>
      </c>
      <c r="L7171" s="22">
        <v>1</v>
      </c>
      <c r="M7171" s="26">
        <v>92712</v>
      </c>
      <c r="N7171" s="26">
        <v>0</v>
      </c>
      <c r="O7171" s="15">
        <f t="shared" ref="O7171:O7181" si="629">SUM(M7171:N7171)</f>
        <v>92712</v>
      </c>
      <c r="P7171" s="15">
        <f t="shared" ref="P7171:P7181" si="630">O7171/G7171</f>
        <v>10.999952541407618</v>
      </c>
      <c r="Q7171" s="25">
        <v>5000</v>
      </c>
      <c r="R7171" s="22">
        <v>100</v>
      </c>
      <c r="S7171" s="22" t="s">
        <v>8718</v>
      </c>
      <c r="T7171" s="22">
        <f t="shared" si="626"/>
        <v>8</v>
      </c>
      <c r="U7171" s="22">
        <f t="shared" si="627"/>
        <v>2023</v>
      </c>
      <c r="V7171" s="22" t="str">
        <f t="shared" si="628"/>
        <v>METROPOLITANA</v>
      </c>
    </row>
    <row r="7172" spans="1:22" x14ac:dyDescent="0.2">
      <c r="A7172" s="23" t="s">
        <v>8717</v>
      </c>
      <c r="B7172" s="22" t="s">
        <v>18</v>
      </c>
      <c r="C7172" s="22" t="s">
        <v>5796</v>
      </c>
      <c r="D7172" s="22" t="s">
        <v>8219</v>
      </c>
      <c r="E7172" s="24">
        <v>73835526</v>
      </c>
      <c r="F7172" s="22" t="s">
        <v>129</v>
      </c>
      <c r="G7172" s="25">
        <v>5347.2000000000025</v>
      </c>
      <c r="H7172" s="22" t="s">
        <v>24</v>
      </c>
      <c r="I7172" s="22">
        <v>1</v>
      </c>
      <c r="J7172" s="22" t="s">
        <v>129</v>
      </c>
      <c r="K7172" s="22" t="s">
        <v>23</v>
      </c>
      <c r="L7172" s="22">
        <v>1</v>
      </c>
      <c r="M7172" s="26">
        <v>58819</v>
      </c>
      <c r="N7172" s="26">
        <v>0</v>
      </c>
      <c r="O7172" s="15">
        <f t="shared" si="629"/>
        <v>58819</v>
      </c>
      <c r="P7172" s="15">
        <f t="shared" si="630"/>
        <v>10.999962597247151</v>
      </c>
      <c r="Q7172" s="25">
        <v>5000</v>
      </c>
      <c r="R7172" s="22">
        <v>100</v>
      </c>
      <c r="S7172" s="22" t="s">
        <v>8719</v>
      </c>
      <c r="T7172" s="22">
        <f t="shared" si="626"/>
        <v>8</v>
      </c>
      <c r="U7172" s="22">
        <f t="shared" si="627"/>
        <v>2023</v>
      </c>
      <c r="V7172" s="22" t="str">
        <f t="shared" si="628"/>
        <v>METROPOLITANA</v>
      </c>
    </row>
    <row r="7173" spans="1:22" x14ac:dyDescent="0.2">
      <c r="A7173" s="23" t="s">
        <v>8717</v>
      </c>
      <c r="B7173" s="22" t="s">
        <v>33</v>
      </c>
      <c r="C7173" s="22" t="s">
        <v>60</v>
      </c>
      <c r="D7173" s="22" t="s">
        <v>38</v>
      </c>
      <c r="E7173" s="24">
        <v>125108660</v>
      </c>
      <c r="F7173" s="22" t="s">
        <v>120</v>
      </c>
      <c r="G7173" s="25">
        <v>10744</v>
      </c>
      <c r="H7173" s="22" t="s">
        <v>43</v>
      </c>
      <c r="I7173" s="22">
        <v>0</v>
      </c>
      <c r="J7173" s="22" t="s">
        <v>120</v>
      </c>
      <c r="K7173" s="22" t="s">
        <v>23</v>
      </c>
      <c r="L7173" s="22">
        <v>5</v>
      </c>
      <c r="M7173" s="26">
        <v>112500</v>
      </c>
      <c r="N7173" s="26">
        <v>0</v>
      </c>
      <c r="O7173" s="15">
        <f t="shared" si="629"/>
        <v>112500</v>
      </c>
      <c r="P7173" s="15">
        <f t="shared" si="630"/>
        <v>10.470960536113179</v>
      </c>
      <c r="Q7173" s="25">
        <v>10000</v>
      </c>
      <c r="R7173" s="22">
        <v>100</v>
      </c>
      <c r="S7173" s="22" t="s">
        <v>8720</v>
      </c>
      <c r="T7173" s="22">
        <f t="shared" si="626"/>
        <v>8</v>
      </c>
      <c r="U7173" s="22">
        <f t="shared" si="627"/>
        <v>2023</v>
      </c>
      <c r="V7173" s="22" t="str">
        <f t="shared" si="628"/>
        <v>METROPOLITANA</v>
      </c>
    </row>
    <row r="7174" spans="1:22" x14ac:dyDescent="0.2">
      <c r="A7174" s="23" t="s">
        <v>8717</v>
      </c>
      <c r="B7174" s="22" t="s">
        <v>33</v>
      </c>
      <c r="C7174" s="22" t="s">
        <v>60</v>
      </c>
      <c r="D7174" s="22" t="s">
        <v>35</v>
      </c>
      <c r="E7174" s="24">
        <v>107643206</v>
      </c>
      <c r="F7174" s="22" t="s">
        <v>120</v>
      </c>
      <c r="G7174" s="25">
        <v>8912</v>
      </c>
      <c r="H7174" s="22" t="s">
        <v>22</v>
      </c>
      <c r="I7174" s="22">
        <v>0</v>
      </c>
      <c r="J7174" s="22" t="s">
        <v>120</v>
      </c>
      <c r="K7174" s="22" t="s">
        <v>23</v>
      </c>
      <c r="L7174" s="22">
        <v>5</v>
      </c>
      <c r="M7174" s="26">
        <v>112500</v>
      </c>
      <c r="N7174" s="26">
        <v>0</v>
      </c>
      <c r="O7174" s="15">
        <f t="shared" si="629"/>
        <v>112500</v>
      </c>
      <c r="P7174" s="15">
        <f t="shared" si="630"/>
        <v>12.623429084380611</v>
      </c>
      <c r="Q7174" s="25">
        <v>10000</v>
      </c>
      <c r="R7174" s="22">
        <v>89</v>
      </c>
      <c r="S7174" s="22" t="s">
        <v>8721</v>
      </c>
      <c r="T7174" s="22">
        <f t="shared" si="626"/>
        <v>8</v>
      </c>
      <c r="U7174" s="22">
        <f t="shared" si="627"/>
        <v>2023</v>
      </c>
      <c r="V7174" s="22" t="str">
        <f t="shared" si="628"/>
        <v>METROPOLITANA</v>
      </c>
    </row>
    <row r="7175" spans="1:22" x14ac:dyDescent="0.2">
      <c r="A7175" s="23" t="s">
        <v>8717</v>
      </c>
      <c r="B7175" s="22" t="s">
        <v>33</v>
      </c>
      <c r="C7175" s="22" t="s">
        <v>128</v>
      </c>
      <c r="D7175" s="22" t="s">
        <v>37</v>
      </c>
      <c r="E7175" s="24">
        <v>154837728</v>
      </c>
      <c r="F7175" s="22" t="s">
        <v>34</v>
      </c>
      <c r="G7175" s="25">
        <v>5569.03</v>
      </c>
      <c r="H7175" s="22" t="s">
        <v>22</v>
      </c>
      <c r="I7175" s="22">
        <v>0</v>
      </c>
      <c r="J7175" s="22" t="s">
        <v>34</v>
      </c>
      <c r="K7175" s="22" t="s">
        <v>23</v>
      </c>
      <c r="L7175" s="22">
        <v>1</v>
      </c>
      <c r="M7175" s="26">
        <v>61259</v>
      </c>
      <c r="N7175" s="26">
        <v>0</v>
      </c>
      <c r="O7175" s="15">
        <f t="shared" si="629"/>
        <v>61259</v>
      </c>
      <c r="P7175" s="15">
        <f t="shared" si="630"/>
        <v>10.999940743720181</v>
      </c>
      <c r="Q7175" s="25">
        <v>5000</v>
      </c>
      <c r="R7175" s="22">
        <v>100</v>
      </c>
      <c r="S7175" s="22" t="s">
        <v>8722</v>
      </c>
      <c r="T7175" s="22">
        <f t="shared" si="626"/>
        <v>8</v>
      </c>
      <c r="U7175" s="22">
        <f t="shared" si="627"/>
        <v>2023</v>
      </c>
      <c r="V7175" s="22" t="str">
        <f t="shared" si="628"/>
        <v>METROPOLITANA</v>
      </c>
    </row>
    <row r="7176" spans="1:22" x14ac:dyDescent="0.2">
      <c r="A7176" s="23" t="s">
        <v>8717</v>
      </c>
      <c r="B7176" s="22" t="s">
        <v>33</v>
      </c>
      <c r="C7176" s="22" t="s">
        <v>36</v>
      </c>
      <c r="D7176" s="22" t="s">
        <v>38</v>
      </c>
      <c r="E7176" s="24">
        <v>53173212</v>
      </c>
      <c r="F7176" s="22" t="s">
        <v>58</v>
      </c>
      <c r="G7176" s="25">
        <v>7231.6800000000021</v>
      </c>
      <c r="H7176" s="22" t="s">
        <v>43</v>
      </c>
      <c r="I7176" s="22">
        <v>0</v>
      </c>
      <c r="J7176" s="22" t="s">
        <v>58</v>
      </c>
      <c r="K7176" s="22" t="s">
        <v>23</v>
      </c>
      <c r="L7176" s="22">
        <v>5</v>
      </c>
      <c r="M7176" s="26">
        <v>112500</v>
      </c>
      <c r="N7176" s="26">
        <v>0</v>
      </c>
      <c r="O7176" s="15">
        <f t="shared" si="629"/>
        <v>112500</v>
      </c>
      <c r="P7176" s="15">
        <f t="shared" si="630"/>
        <v>15.556551174830741</v>
      </c>
      <c r="Q7176" s="25">
        <v>10000</v>
      </c>
      <c r="R7176" s="22">
        <v>72</v>
      </c>
      <c r="S7176" s="22" t="s">
        <v>8723</v>
      </c>
      <c r="T7176" s="22">
        <f t="shared" si="626"/>
        <v>8</v>
      </c>
      <c r="U7176" s="22">
        <f t="shared" si="627"/>
        <v>2023</v>
      </c>
      <c r="V7176" s="22" t="str">
        <f t="shared" si="628"/>
        <v>METROPOLITANA</v>
      </c>
    </row>
    <row r="7177" spans="1:22" x14ac:dyDescent="0.2">
      <c r="A7177" s="23" t="s">
        <v>8717</v>
      </c>
      <c r="B7177" s="22" t="s">
        <v>33</v>
      </c>
      <c r="C7177" s="22" t="s">
        <v>29</v>
      </c>
      <c r="D7177" s="22" t="s">
        <v>8724</v>
      </c>
      <c r="E7177" s="24">
        <v>94590507</v>
      </c>
      <c r="F7177" s="22" t="s">
        <v>114</v>
      </c>
      <c r="G7177" s="25">
        <v>18009.599999999999</v>
      </c>
      <c r="H7177" s="22" t="s">
        <v>24</v>
      </c>
      <c r="I7177" s="22">
        <v>1</v>
      </c>
      <c r="J7177" s="22" t="s">
        <v>114</v>
      </c>
      <c r="K7177" s="22" t="s">
        <v>75</v>
      </c>
      <c r="L7177" s="22">
        <v>0</v>
      </c>
      <c r="M7177" s="26">
        <v>528000</v>
      </c>
      <c r="N7177" s="26">
        <v>0</v>
      </c>
      <c r="O7177" s="15">
        <f t="shared" si="629"/>
        <v>528000</v>
      </c>
      <c r="P7177" s="15">
        <f t="shared" si="630"/>
        <v>29.317697228144993</v>
      </c>
      <c r="Q7177" s="25">
        <v>14000</v>
      </c>
      <c r="R7177" s="22">
        <v>100</v>
      </c>
      <c r="S7177" s="22" t="s">
        <v>8725</v>
      </c>
      <c r="T7177" s="22">
        <f t="shared" si="626"/>
        <v>8</v>
      </c>
      <c r="U7177" s="22">
        <f t="shared" si="627"/>
        <v>2023</v>
      </c>
      <c r="V7177" s="22" t="str">
        <f t="shared" si="628"/>
        <v>REGIONES</v>
      </c>
    </row>
    <row r="7178" spans="1:22" x14ac:dyDescent="0.2">
      <c r="A7178" s="23" t="s">
        <v>8717</v>
      </c>
      <c r="B7178" s="22" t="s">
        <v>33</v>
      </c>
      <c r="C7178" s="22" t="s">
        <v>29</v>
      </c>
      <c r="D7178" s="22" t="s">
        <v>7075</v>
      </c>
      <c r="E7178" s="24">
        <v>101495566</v>
      </c>
      <c r="F7178" s="22" t="s">
        <v>114</v>
      </c>
      <c r="G7178" s="25">
        <v>16547.599999999991</v>
      </c>
      <c r="H7178" s="22" t="s">
        <v>24</v>
      </c>
      <c r="I7178" s="22">
        <v>1</v>
      </c>
      <c r="J7178" s="22" t="s">
        <v>114</v>
      </c>
      <c r="K7178" s="22" t="s">
        <v>75</v>
      </c>
      <c r="L7178" s="22">
        <v>0</v>
      </c>
      <c r="M7178" s="26">
        <v>528000</v>
      </c>
      <c r="N7178" s="26">
        <v>0</v>
      </c>
      <c r="O7178" s="15">
        <f t="shared" si="629"/>
        <v>528000</v>
      </c>
      <c r="P7178" s="15">
        <f t="shared" si="630"/>
        <v>31.907950397640761</v>
      </c>
      <c r="Q7178" s="25">
        <v>14000</v>
      </c>
      <c r="R7178" s="22">
        <v>100</v>
      </c>
      <c r="S7178" s="22" t="s">
        <v>8726</v>
      </c>
      <c r="T7178" s="22">
        <f t="shared" si="626"/>
        <v>8</v>
      </c>
      <c r="U7178" s="22">
        <f t="shared" si="627"/>
        <v>2023</v>
      </c>
      <c r="V7178" s="22" t="str">
        <f t="shared" si="628"/>
        <v>REGIONES</v>
      </c>
    </row>
    <row r="7179" spans="1:22" x14ac:dyDescent="0.2">
      <c r="A7179" s="23" t="s">
        <v>8717</v>
      </c>
      <c r="B7179" s="22" t="s">
        <v>33</v>
      </c>
      <c r="C7179" s="22" t="s">
        <v>29</v>
      </c>
      <c r="D7179" s="22" t="s">
        <v>8219</v>
      </c>
      <c r="E7179" s="24">
        <v>73835526</v>
      </c>
      <c r="F7179" s="22" t="s">
        <v>120</v>
      </c>
      <c r="G7179" s="25">
        <v>4253.55</v>
      </c>
      <c r="H7179" s="22" t="s">
        <v>24</v>
      </c>
      <c r="I7179" s="22">
        <v>1</v>
      </c>
      <c r="J7179" s="22" t="s">
        <v>120</v>
      </c>
      <c r="K7179" s="22" t="s">
        <v>23</v>
      </c>
      <c r="L7179" s="22">
        <v>5</v>
      </c>
      <c r="M7179" s="26">
        <v>180000</v>
      </c>
      <c r="N7179" s="26">
        <v>0</v>
      </c>
      <c r="O7179" s="15">
        <f t="shared" si="629"/>
        <v>180000</v>
      </c>
      <c r="P7179" s="15">
        <f t="shared" si="630"/>
        <v>42.31759353951405</v>
      </c>
      <c r="Q7179" s="25">
        <v>10000</v>
      </c>
      <c r="R7179" s="22">
        <v>43</v>
      </c>
      <c r="S7179" s="22" t="s">
        <v>8727</v>
      </c>
      <c r="T7179" s="22">
        <f t="shared" si="626"/>
        <v>8</v>
      </c>
      <c r="U7179" s="22">
        <f t="shared" si="627"/>
        <v>2023</v>
      </c>
      <c r="V7179" s="22" t="str">
        <f t="shared" si="628"/>
        <v>METROPOLITANA</v>
      </c>
    </row>
    <row r="7180" spans="1:22" x14ac:dyDescent="0.2">
      <c r="A7180" s="23" t="s">
        <v>8717</v>
      </c>
      <c r="B7180" s="22" t="s">
        <v>33</v>
      </c>
      <c r="C7180" s="22" t="s">
        <v>44</v>
      </c>
      <c r="D7180" s="22" t="s">
        <v>636</v>
      </c>
      <c r="E7180" s="24">
        <v>113693568</v>
      </c>
      <c r="F7180" s="22" t="s">
        <v>84</v>
      </c>
      <c r="G7180" s="25">
        <f>3845.86+2192</f>
        <v>6037.8600000000006</v>
      </c>
      <c r="H7180" s="22" t="s">
        <v>85</v>
      </c>
      <c r="I7180" s="22">
        <v>1</v>
      </c>
      <c r="J7180" s="22" t="s">
        <v>84</v>
      </c>
      <c r="K7180" s="22" t="s">
        <v>86</v>
      </c>
      <c r="L7180" s="22">
        <v>0</v>
      </c>
      <c r="M7180" s="26">
        <v>402000</v>
      </c>
      <c r="N7180" s="26">
        <v>0</v>
      </c>
      <c r="O7180" s="15">
        <f t="shared" si="629"/>
        <v>402000</v>
      </c>
      <c r="P7180" s="15">
        <f t="shared" si="630"/>
        <v>66.579880951197936</v>
      </c>
      <c r="Q7180" s="25">
        <v>14000</v>
      </c>
      <c r="R7180" s="22">
        <v>48</v>
      </c>
      <c r="S7180" s="22" t="s">
        <v>8729</v>
      </c>
      <c r="T7180" s="22">
        <f t="shared" si="626"/>
        <v>8</v>
      </c>
      <c r="U7180" s="22">
        <f t="shared" si="627"/>
        <v>2023</v>
      </c>
      <c r="V7180" s="22" t="str">
        <f t="shared" si="628"/>
        <v>REGIONES</v>
      </c>
    </row>
    <row r="7181" spans="1:22" x14ac:dyDescent="0.2">
      <c r="A7181" s="23" t="s">
        <v>8717</v>
      </c>
      <c r="B7181" s="22" t="s">
        <v>33</v>
      </c>
      <c r="C7181" s="22" t="s">
        <v>44</v>
      </c>
      <c r="D7181" s="22" t="s">
        <v>30</v>
      </c>
      <c r="E7181" s="24">
        <v>72564391</v>
      </c>
      <c r="F7181" s="22" t="s">
        <v>94</v>
      </c>
      <c r="G7181" s="25">
        <v>4609.5</v>
      </c>
      <c r="H7181" s="22" t="s">
        <v>32</v>
      </c>
      <c r="I7181" s="22">
        <v>0</v>
      </c>
      <c r="J7181" s="22" t="s">
        <v>59</v>
      </c>
      <c r="K7181" s="22" t="s">
        <v>78</v>
      </c>
      <c r="L7181" s="22">
        <v>0</v>
      </c>
      <c r="M7181" s="26">
        <v>227000</v>
      </c>
      <c r="N7181" s="26">
        <v>0</v>
      </c>
      <c r="O7181" s="15">
        <f t="shared" si="629"/>
        <v>227000</v>
      </c>
      <c r="P7181" s="15">
        <f t="shared" si="630"/>
        <v>49.246122139060638</v>
      </c>
      <c r="Q7181" s="25">
        <v>14000</v>
      </c>
      <c r="R7181" s="22">
        <v>33</v>
      </c>
      <c r="S7181" s="22" t="s">
        <v>8728</v>
      </c>
      <c r="T7181" s="22">
        <f t="shared" si="626"/>
        <v>8</v>
      </c>
      <c r="U7181" s="22">
        <f t="shared" si="627"/>
        <v>2023</v>
      </c>
      <c r="V7181" s="22" t="str">
        <f t="shared" si="628"/>
        <v>REGIONES</v>
      </c>
    </row>
    <row r="7182" spans="1:22" x14ac:dyDescent="0.2">
      <c r="A7182" s="11" t="s">
        <v>8730</v>
      </c>
      <c r="B7182" s="12" t="s">
        <v>18</v>
      </c>
      <c r="C7182" s="12" t="s">
        <v>5796</v>
      </c>
      <c r="D7182" s="12" t="s">
        <v>38</v>
      </c>
      <c r="E7182" s="13">
        <v>125108660</v>
      </c>
      <c r="F7182" s="12" t="s">
        <v>129</v>
      </c>
      <c r="G7182" s="14">
        <v>9428.399999999996</v>
      </c>
      <c r="H7182" s="12" t="s">
        <v>43</v>
      </c>
      <c r="I7182" s="12">
        <v>0</v>
      </c>
      <c r="J7182" s="12" t="s">
        <v>129</v>
      </c>
      <c r="K7182" s="12" t="s">
        <v>23</v>
      </c>
      <c r="L7182" s="12">
        <v>1</v>
      </c>
      <c r="M7182" s="15">
        <v>103712</v>
      </c>
      <c r="N7182" s="15">
        <v>0</v>
      </c>
      <c r="O7182" s="15">
        <f t="shared" ref="O7182:O7193" si="631">SUM(M7182:N7182)</f>
        <v>103712</v>
      </c>
      <c r="P7182" s="15">
        <f t="shared" ref="P7182:P7193" si="632">O7182/G7182</f>
        <v>10.999957574986217</v>
      </c>
      <c r="Q7182" s="14">
        <v>5000</v>
      </c>
      <c r="R7182" s="12">
        <v>100</v>
      </c>
      <c r="S7182" s="12" t="s">
        <v>8731</v>
      </c>
      <c r="T7182" s="22">
        <f t="shared" si="626"/>
        <v>8</v>
      </c>
      <c r="U7182" s="22">
        <f t="shared" si="627"/>
        <v>2023</v>
      </c>
      <c r="V7182" s="22" t="str">
        <f t="shared" si="628"/>
        <v>METROPOLITANA</v>
      </c>
    </row>
    <row r="7183" spans="1:22" x14ac:dyDescent="0.2">
      <c r="A7183" s="11" t="s">
        <v>8730</v>
      </c>
      <c r="B7183" s="12" t="s">
        <v>33</v>
      </c>
      <c r="C7183" s="12" t="s">
        <v>187</v>
      </c>
      <c r="D7183" s="12" t="s">
        <v>45</v>
      </c>
      <c r="E7183" s="13">
        <v>107643206</v>
      </c>
      <c r="F7183" s="12" t="s">
        <v>129</v>
      </c>
      <c r="G7183" s="14">
        <v>1950</v>
      </c>
      <c r="H7183" s="12" t="s">
        <v>22</v>
      </c>
      <c r="I7183" s="12">
        <v>0</v>
      </c>
      <c r="J7183" s="12" t="s">
        <v>129</v>
      </c>
      <c r="K7183" s="12" t="s">
        <v>23</v>
      </c>
      <c r="L7183" s="12">
        <v>1</v>
      </c>
      <c r="M7183" s="15">
        <v>69173</v>
      </c>
      <c r="N7183" s="15">
        <v>0</v>
      </c>
      <c r="O7183" s="15">
        <f t="shared" si="631"/>
        <v>69173</v>
      </c>
      <c r="P7183" s="15">
        <f t="shared" si="632"/>
        <v>35.473333333333336</v>
      </c>
      <c r="Q7183" s="14">
        <v>5000</v>
      </c>
      <c r="R7183" s="12">
        <v>39</v>
      </c>
      <c r="S7183" s="12" t="s">
        <v>8732</v>
      </c>
      <c r="T7183" s="22">
        <f t="shared" si="626"/>
        <v>8</v>
      </c>
      <c r="U7183" s="22">
        <f t="shared" si="627"/>
        <v>2023</v>
      </c>
      <c r="V7183" s="22" t="str">
        <f t="shared" si="628"/>
        <v>METROPOLITANA</v>
      </c>
    </row>
    <row r="7184" spans="1:22" x14ac:dyDescent="0.2">
      <c r="A7184" s="11" t="s">
        <v>8730</v>
      </c>
      <c r="B7184" s="12" t="s">
        <v>33</v>
      </c>
      <c r="C7184" s="12" t="s">
        <v>8733</v>
      </c>
      <c r="D7184" s="12" t="s">
        <v>20</v>
      </c>
      <c r="E7184" s="13">
        <v>78907355</v>
      </c>
      <c r="F7184" s="12" t="s">
        <v>129</v>
      </c>
      <c r="G7184" s="14">
        <v>3451</v>
      </c>
      <c r="H7184" s="12" t="s">
        <v>22</v>
      </c>
      <c r="I7184" s="12">
        <v>0</v>
      </c>
      <c r="J7184" s="12" t="s">
        <v>129</v>
      </c>
      <c r="K7184" s="12" t="s">
        <v>23</v>
      </c>
      <c r="L7184" s="12">
        <v>1</v>
      </c>
      <c r="M7184" s="15">
        <v>69173</v>
      </c>
      <c r="N7184" s="15">
        <v>0</v>
      </c>
      <c r="O7184" s="15">
        <f t="shared" si="631"/>
        <v>69173</v>
      </c>
      <c r="P7184" s="15">
        <f t="shared" si="632"/>
        <v>20.044334975369459</v>
      </c>
      <c r="Q7184" s="14">
        <v>5000</v>
      </c>
      <c r="R7184" s="12">
        <v>69</v>
      </c>
      <c r="S7184" s="12" t="s">
        <v>8734</v>
      </c>
      <c r="T7184" s="22">
        <f t="shared" si="626"/>
        <v>8</v>
      </c>
      <c r="U7184" s="22">
        <f t="shared" si="627"/>
        <v>2023</v>
      </c>
      <c r="V7184" s="22" t="str">
        <f t="shared" si="628"/>
        <v>METROPOLITANA</v>
      </c>
    </row>
    <row r="7185" spans="1:22" x14ac:dyDescent="0.2">
      <c r="A7185" s="11" t="s">
        <v>8730</v>
      </c>
      <c r="B7185" s="12" t="s">
        <v>33</v>
      </c>
      <c r="C7185" s="12" t="s">
        <v>2862</v>
      </c>
      <c r="D7185" s="12" t="s">
        <v>30</v>
      </c>
      <c r="E7185" s="13">
        <v>72564391</v>
      </c>
      <c r="F7185" s="12" t="s">
        <v>554</v>
      </c>
      <c r="G7185" s="14">
        <v>4025.3799999999992</v>
      </c>
      <c r="H7185" s="12" t="s">
        <v>32</v>
      </c>
      <c r="I7185" s="12">
        <v>0</v>
      </c>
      <c r="J7185" s="12" t="s">
        <v>554</v>
      </c>
      <c r="K7185" s="12" t="s">
        <v>23</v>
      </c>
      <c r="L7185" s="12">
        <v>4</v>
      </c>
      <c r="M7185" s="15">
        <v>69173</v>
      </c>
      <c r="N7185" s="15">
        <v>0</v>
      </c>
      <c r="O7185" s="15">
        <f t="shared" si="631"/>
        <v>69173</v>
      </c>
      <c r="P7185" s="15">
        <f t="shared" si="632"/>
        <v>17.184216148537534</v>
      </c>
      <c r="Q7185" s="14">
        <v>5000</v>
      </c>
      <c r="R7185" s="12">
        <v>81</v>
      </c>
      <c r="S7185" s="12" t="s">
        <v>8735</v>
      </c>
      <c r="T7185" s="22">
        <f t="shared" si="626"/>
        <v>8</v>
      </c>
      <c r="U7185" s="22">
        <f t="shared" si="627"/>
        <v>2023</v>
      </c>
      <c r="V7185" s="22" t="str">
        <f t="shared" si="628"/>
        <v>METROPOLITANA</v>
      </c>
    </row>
    <row r="7186" spans="1:22" x14ac:dyDescent="0.2">
      <c r="A7186" s="11" t="s">
        <v>8730</v>
      </c>
      <c r="B7186" s="12" t="s">
        <v>33</v>
      </c>
      <c r="C7186" s="12" t="s">
        <v>29</v>
      </c>
      <c r="D7186" s="12" t="s">
        <v>5478</v>
      </c>
      <c r="E7186" s="13">
        <v>122975819</v>
      </c>
      <c r="F7186" s="12" t="s">
        <v>2319</v>
      </c>
      <c r="G7186" s="14">
        <v>5951.23</v>
      </c>
      <c r="H7186" s="12" t="s">
        <v>24</v>
      </c>
      <c r="I7186" s="12">
        <v>1</v>
      </c>
      <c r="J7186" s="12" t="s">
        <v>2319</v>
      </c>
      <c r="K7186" s="12" t="s">
        <v>86</v>
      </c>
      <c r="L7186" s="12">
        <v>0</v>
      </c>
      <c r="M7186" s="15">
        <v>427000</v>
      </c>
      <c r="N7186" s="15">
        <v>0</v>
      </c>
      <c r="O7186" s="15">
        <f t="shared" si="631"/>
        <v>427000</v>
      </c>
      <c r="P7186" s="15">
        <f t="shared" si="632"/>
        <v>71.749873555550707</v>
      </c>
      <c r="Q7186" s="14">
        <v>14000</v>
      </c>
      <c r="R7186" s="12">
        <v>43</v>
      </c>
      <c r="S7186" s="12" t="s">
        <v>8736</v>
      </c>
      <c r="T7186" s="22">
        <f t="shared" si="626"/>
        <v>8</v>
      </c>
      <c r="U7186" s="22">
        <f t="shared" si="627"/>
        <v>2023</v>
      </c>
      <c r="V7186" s="22" t="str">
        <f t="shared" si="628"/>
        <v>REGIONES</v>
      </c>
    </row>
    <row r="7187" spans="1:22" x14ac:dyDescent="0.2">
      <c r="A7187" s="11" t="s">
        <v>8730</v>
      </c>
      <c r="B7187" s="12" t="s">
        <v>33</v>
      </c>
      <c r="C7187" s="12" t="s">
        <v>29</v>
      </c>
      <c r="D7187" s="12" t="s">
        <v>37</v>
      </c>
      <c r="E7187" s="13">
        <v>81417709</v>
      </c>
      <c r="F7187" s="12" t="s">
        <v>39</v>
      </c>
      <c r="G7187" s="14">
        <v>12947.499999999991</v>
      </c>
      <c r="H7187" s="12" t="s">
        <v>22</v>
      </c>
      <c r="I7187" s="12">
        <v>0</v>
      </c>
      <c r="J7187" s="12" t="s">
        <v>39</v>
      </c>
      <c r="K7187" s="12" t="s">
        <v>23</v>
      </c>
      <c r="L7187" s="12">
        <v>1</v>
      </c>
      <c r="M7187" s="15">
        <v>142422</v>
      </c>
      <c r="N7187" s="15">
        <v>0</v>
      </c>
      <c r="O7187" s="15">
        <f t="shared" si="631"/>
        <v>142422</v>
      </c>
      <c r="P7187" s="15">
        <f t="shared" si="632"/>
        <v>10.999961382506283</v>
      </c>
      <c r="Q7187" s="14">
        <v>5000</v>
      </c>
      <c r="R7187" s="12">
        <v>100</v>
      </c>
      <c r="S7187" s="12" t="s">
        <v>8737</v>
      </c>
      <c r="T7187" s="22">
        <f t="shared" si="626"/>
        <v>8</v>
      </c>
      <c r="U7187" s="22">
        <f t="shared" si="627"/>
        <v>2023</v>
      </c>
      <c r="V7187" s="22" t="str">
        <f t="shared" si="628"/>
        <v>METROPOLITANA</v>
      </c>
    </row>
    <row r="7188" spans="1:22" x14ac:dyDescent="0.2">
      <c r="A7188" s="11" t="s">
        <v>8730</v>
      </c>
      <c r="B7188" s="12" t="s">
        <v>33</v>
      </c>
      <c r="C7188" s="12" t="s">
        <v>29</v>
      </c>
      <c r="D7188" s="12" t="s">
        <v>786</v>
      </c>
      <c r="E7188" s="13">
        <v>95707734</v>
      </c>
      <c r="F7188" s="12" t="s">
        <v>132</v>
      </c>
      <c r="G7188" s="14">
        <v>8207.340000000002</v>
      </c>
      <c r="H7188" s="12" t="s">
        <v>788</v>
      </c>
      <c r="I7188" s="12">
        <v>1</v>
      </c>
      <c r="J7188" s="12" t="s">
        <v>132</v>
      </c>
      <c r="K7188" s="12" t="s">
        <v>124</v>
      </c>
      <c r="L7188" s="12">
        <v>0</v>
      </c>
      <c r="M7188" s="15">
        <v>500000</v>
      </c>
      <c r="N7188" s="15">
        <v>0</v>
      </c>
      <c r="O7188" s="15">
        <f t="shared" si="631"/>
        <v>500000</v>
      </c>
      <c r="P7188" s="15">
        <f t="shared" si="632"/>
        <v>60.921077961921874</v>
      </c>
      <c r="Q7188" s="14">
        <v>14000</v>
      </c>
      <c r="R7188" s="12">
        <v>59</v>
      </c>
      <c r="S7188" s="12" t="s">
        <v>8738</v>
      </c>
      <c r="T7188" s="22">
        <f t="shared" si="626"/>
        <v>8</v>
      </c>
      <c r="U7188" s="22">
        <f t="shared" si="627"/>
        <v>2023</v>
      </c>
      <c r="V7188" s="22" t="str">
        <f t="shared" si="628"/>
        <v>REGIONES</v>
      </c>
    </row>
    <row r="7189" spans="1:22" x14ac:dyDescent="0.2">
      <c r="A7189" s="11" t="s">
        <v>8730</v>
      </c>
      <c r="B7189" s="12" t="s">
        <v>33</v>
      </c>
      <c r="C7189" s="12" t="s">
        <v>29</v>
      </c>
      <c r="D7189" s="12" t="s">
        <v>164</v>
      </c>
      <c r="E7189" s="13">
        <v>154837728</v>
      </c>
      <c r="F7189" s="12" t="s">
        <v>39</v>
      </c>
      <c r="G7189" s="14">
        <v>18562.60999999999</v>
      </c>
      <c r="H7189" s="12" t="s">
        <v>22</v>
      </c>
      <c r="I7189" s="12">
        <v>1</v>
      </c>
      <c r="J7189" s="12" t="s">
        <v>39</v>
      </c>
      <c r="K7189" s="12" t="s">
        <v>23</v>
      </c>
      <c r="L7189" s="12">
        <v>1</v>
      </c>
      <c r="M7189" s="15">
        <v>204189</v>
      </c>
      <c r="N7189" s="15">
        <v>0</v>
      </c>
      <c r="O7189" s="15">
        <f t="shared" si="631"/>
        <v>204189</v>
      </c>
      <c r="P7189" s="15">
        <f t="shared" si="632"/>
        <v>11.000015622803049</v>
      </c>
      <c r="Q7189" s="14">
        <v>5000</v>
      </c>
      <c r="R7189" s="12">
        <v>100</v>
      </c>
      <c r="S7189" s="12" t="s">
        <v>8739</v>
      </c>
      <c r="T7189" s="22">
        <f t="shared" si="626"/>
        <v>8</v>
      </c>
      <c r="U7189" s="22">
        <f t="shared" si="627"/>
        <v>2023</v>
      </c>
      <c r="V7189" s="22" t="str">
        <f t="shared" si="628"/>
        <v>METROPOLITANA</v>
      </c>
    </row>
    <row r="7190" spans="1:22" x14ac:dyDescent="0.2">
      <c r="A7190" s="11" t="s">
        <v>8730</v>
      </c>
      <c r="B7190" s="12" t="s">
        <v>33</v>
      </c>
      <c r="C7190" s="12" t="s">
        <v>44</v>
      </c>
      <c r="D7190" s="12" t="s">
        <v>8580</v>
      </c>
      <c r="E7190" s="13">
        <v>276547747</v>
      </c>
      <c r="F7190" s="12" t="s">
        <v>67</v>
      </c>
      <c r="G7190" s="14">
        <v>2606.099999999999</v>
      </c>
      <c r="H7190" s="12" t="s">
        <v>24</v>
      </c>
      <c r="I7190" s="12">
        <v>1</v>
      </c>
      <c r="J7190" s="12" t="s">
        <v>67</v>
      </c>
      <c r="K7190" s="12" t="s">
        <v>23</v>
      </c>
      <c r="L7190" s="12">
        <v>2</v>
      </c>
      <c r="M7190" s="15">
        <v>69173</v>
      </c>
      <c r="N7190" s="15">
        <v>0</v>
      </c>
      <c r="O7190" s="15">
        <f t="shared" si="631"/>
        <v>69173</v>
      </c>
      <c r="P7190" s="15">
        <f t="shared" si="632"/>
        <v>26.542726679712992</v>
      </c>
      <c r="Q7190" s="14">
        <v>5000</v>
      </c>
      <c r="R7190" s="12">
        <v>52</v>
      </c>
      <c r="S7190" s="12" t="s">
        <v>8740</v>
      </c>
      <c r="T7190" s="22">
        <f t="shared" si="626"/>
        <v>8</v>
      </c>
      <c r="U7190" s="22">
        <f t="shared" si="627"/>
        <v>2023</v>
      </c>
      <c r="V7190" s="22" t="str">
        <f t="shared" si="628"/>
        <v>METROPOLITANA</v>
      </c>
    </row>
    <row r="7191" spans="1:22" x14ac:dyDescent="0.2">
      <c r="A7191" s="11" t="s">
        <v>8730</v>
      </c>
      <c r="B7191" s="12" t="s">
        <v>33</v>
      </c>
      <c r="C7191" s="12" t="s">
        <v>44</v>
      </c>
      <c r="D7191" s="12" t="s">
        <v>3641</v>
      </c>
      <c r="E7191" s="13">
        <v>100822326</v>
      </c>
      <c r="F7191" s="12" t="s">
        <v>3139</v>
      </c>
      <c r="G7191" s="14">
        <f>6145.36+2511</f>
        <v>8656.36</v>
      </c>
      <c r="H7191" s="12" t="s">
        <v>24</v>
      </c>
      <c r="I7191" s="12">
        <v>1</v>
      </c>
      <c r="J7191" s="12" t="s">
        <v>3139</v>
      </c>
      <c r="K7191" s="12" t="s">
        <v>93</v>
      </c>
      <c r="L7191" s="12">
        <v>0</v>
      </c>
      <c r="M7191" s="15">
        <v>583000</v>
      </c>
      <c r="N7191" s="15">
        <v>0</v>
      </c>
      <c r="O7191" s="15">
        <f t="shared" si="631"/>
        <v>583000</v>
      </c>
      <c r="P7191" s="15">
        <f t="shared" si="632"/>
        <v>67.349324658401443</v>
      </c>
      <c r="Q7191" s="14">
        <v>14000</v>
      </c>
      <c r="R7191" s="12">
        <v>75</v>
      </c>
      <c r="S7191" s="12" t="s">
        <v>8743</v>
      </c>
      <c r="T7191" s="22">
        <f t="shared" si="626"/>
        <v>8</v>
      </c>
      <c r="U7191" s="22">
        <f t="shared" si="627"/>
        <v>2023</v>
      </c>
      <c r="V7191" s="22" t="str">
        <f t="shared" si="628"/>
        <v>REGIONES</v>
      </c>
    </row>
    <row r="7192" spans="1:22" x14ac:dyDescent="0.2">
      <c r="A7192" s="11" t="s">
        <v>8730</v>
      </c>
      <c r="B7192" s="12" t="s">
        <v>33</v>
      </c>
      <c r="C7192" s="12" t="s">
        <v>44</v>
      </c>
      <c r="D7192" s="12" t="s">
        <v>45</v>
      </c>
      <c r="E7192" s="13">
        <v>107643206</v>
      </c>
      <c r="F7192" s="12" t="s">
        <v>48</v>
      </c>
      <c r="G7192" s="14">
        <v>4904.46</v>
      </c>
      <c r="H7192" s="12" t="s">
        <v>22</v>
      </c>
      <c r="I7192" s="12">
        <v>0</v>
      </c>
      <c r="J7192" s="12" t="s">
        <v>48</v>
      </c>
      <c r="K7192" s="12" t="s">
        <v>23</v>
      </c>
      <c r="L7192" s="12">
        <v>1</v>
      </c>
      <c r="M7192" s="15">
        <v>69173</v>
      </c>
      <c r="N7192" s="15">
        <v>0</v>
      </c>
      <c r="O7192" s="15">
        <f t="shared" si="631"/>
        <v>69173</v>
      </c>
      <c r="P7192" s="15">
        <f t="shared" si="632"/>
        <v>14.104101165062005</v>
      </c>
      <c r="Q7192" s="14">
        <v>5000</v>
      </c>
      <c r="R7192" s="12">
        <v>98</v>
      </c>
      <c r="S7192" s="12" t="s">
        <v>8741</v>
      </c>
      <c r="T7192" s="22">
        <f t="shared" si="626"/>
        <v>8</v>
      </c>
      <c r="U7192" s="22">
        <f t="shared" si="627"/>
        <v>2023</v>
      </c>
      <c r="V7192" s="22" t="str">
        <f t="shared" si="628"/>
        <v>METROPOLITANA</v>
      </c>
    </row>
    <row r="7193" spans="1:22" x14ac:dyDescent="0.2">
      <c r="A7193" s="11" t="s">
        <v>8730</v>
      </c>
      <c r="B7193" s="12" t="s">
        <v>33</v>
      </c>
      <c r="C7193" s="12" t="s">
        <v>3922</v>
      </c>
      <c r="D7193" s="12" t="s">
        <v>8219</v>
      </c>
      <c r="E7193" s="13">
        <v>73835526</v>
      </c>
      <c r="F7193" s="12" t="s">
        <v>26</v>
      </c>
      <c r="G7193" s="14">
        <v>6219.8400000000029</v>
      </c>
      <c r="H7193" s="12" t="s">
        <v>24</v>
      </c>
      <c r="I7193" s="12">
        <v>1</v>
      </c>
      <c r="J7193" s="12" t="s">
        <v>26</v>
      </c>
      <c r="K7193" s="12" t="s">
        <v>23</v>
      </c>
      <c r="L7193" s="12">
        <v>4</v>
      </c>
      <c r="M7193" s="15">
        <v>68418</v>
      </c>
      <c r="N7193" s="15">
        <v>0</v>
      </c>
      <c r="O7193" s="15">
        <f t="shared" si="631"/>
        <v>68418</v>
      </c>
      <c r="P7193" s="15">
        <f t="shared" si="632"/>
        <v>10.99996141379842</v>
      </c>
      <c r="Q7193" s="14">
        <v>5000</v>
      </c>
      <c r="R7193" s="12">
        <v>100</v>
      </c>
      <c r="S7193" s="12" t="s">
        <v>8742</v>
      </c>
      <c r="T7193" s="22">
        <f t="shared" si="626"/>
        <v>8</v>
      </c>
      <c r="U7193" s="22">
        <f t="shared" si="627"/>
        <v>2023</v>
      </c>
      <c r="V7193" s="22" t="str">
        <f t="shared" si="628"/>
        <v>METROPOLITANA</v>
      </c>
    </row>
    <row r="7194" spans="1:22" x14ac:dyDescent="0.2">
      <c r="A7194" s="23" t="s">
        <v>8744</v>
      </c>
      <c r="B7194" s="22" t="s">
        <v>33</v>
      </c>
      <c r="C7194" s="22" t="s">
        <v>2605</v>
      </c>
      <c r="D7194" s="22" t="s">
        <v>20</v>
      </c>
      <c r="E7194" s="24">
        <v>78907355</v>
      </c>
      <c r="F7194" s="22" t="s">
        <v>129</v>
      </c>
      <c r="G7194" s="25">
        <v>4761.5999999999995</v>
      </c>
      <c r="H7194" s="22" t="s">
        <v>22</v>
      </c>
      <c r="I7194" s="22">
        <v>0</v>
      </c>
      <c r="J7194" s="22" t="s">
        <v>129</v>
      </c>
      <c r="K7194" s="22" t="s">
        <v>23</v>
      </c>
      <c r="L7194" s="22">
        <v>1</v>
      </c>
      <c r="M7194" s="26">
        <v>69173</v>
      </c>
      <c r="N7194" s="26">
        <v>0</v>
      </c>
      <c r="O7194" s="15">
        <f t="shared" ref="O7194:O7204" si="633">SUM(M7194:N7194)</f>
        <v>69173</v>
      </c>
      <c r="P7194" s="15">
        <f t="shared" ref="P7194:P7204" si="634">O7194/G7194</f>
        <v>14.527259744623658</v>
      </c>
      <c r="Q7194" s="25">
        <v>5000</v>
      </c>
      <c r="R7194" s="22">
        <v>95</v>
      </c>
      <c r="S7194" s="22" t="s">
        <v>8745</v>
      </c>
      <c r="T7194" s="22">
        <f t="shared" si="626"/>
        <v>8</v>
      </c>
      <c r="U7194" s="22">
        <f t="shared" si="627"/>
        <v>2023</v>
      </c>
      <c r="V7194" s="22" t="str">
        <f t="shared" si="628"/>
        <v>METROPOLITANA</v>
      </c>
    </row>
    <row r="7195" spans="1:22" x14ac:dyDescent="0.2">
      <c r="A7195" s="23" t="s">
        <v>8744</v>
      </c>
      <c r="B7195" s="22" t="s">
        <v>33</v>
      </c>
      <c r="C7195" s="22" t="s">
        <v>8153</v>
      </c>
      <c r="D7195" s="22" t="s">
        <v>38</v>
      </c>
      <c r="E7195" s="24">
        <v>125108660</v>
      </c>
      <c r="F7195" s="22" t="s">
        <v>26</v>
      </c>
      <c r="G7195" s="25">
        <v>1858.15</v>
      </c>
      <c r="H7195" s="22" t="s">
        <v>43</v>
      </c>
      <c r="I7195" s="22">
        <v>0</v>
      </c>
      <c r="J7195" s="22" t="s">
        <v>26</v>
      </c>
      <c r="K7195" s="22" t="s">
        <v>23</v>
      </c>
      <c r="L7195" s="22">
        <v>4</v>
      </c>
      <c r="M7195" s="26">
        <v>69173</v>
      </c>
      <c r="N7195" s="26">
        <v>0</v>
      </c>
      <c r="O7195" s="15">
        <f t="shared" si="633"/>
        <v>69173</v>
      </c>
      <c r="P7195" s="15">
        <f t="shared" si="634"/>
        <v>37.226811613701798</v>
      </c>
      <c r="Q7195" s="25">
        <v>5000</v>
      </c>
      <c r="R7195" s="22">
        <v>37</v>
      </c>
      <c r="S7195" s="22" t="s">
        <v>8746</v>
      </c>
      <c r="T7195" s="22">
        <f t="shared" si="626"/>
        <v>8</v>
      </c>
      <c r="U7195" s="22">
        <f t="shared" si="627"/>
        <v>2023</v>
      </c>
      <c r="V7195" s="22" t="str">
        <f t="shared" si="628"/>
        <v>METROPOLITANA</v>
      </c>
    </row>
    <row r="7196" spans="1:22" x14ac:dyDescent="0.2">
      <c r="A7196" s="23" t="s">
        <v>8744</v>
      </c>
      <c r="B7196" s="22" t="s">
        <v>33</v>
      </c>
      <c r="C7196" s="22" t="s">
        <v>29</v>
      </c>
      <c r="D7196" s="22" t="s">
        <v>38</v>
      </c>
      <c r="E7196" s="24">
        <v>125108660</v>
      </c>
      <c r="F7196" s="22" t="s">
        <v>39</v>
      </c>
      <c r="G7196" s="25">
        <v>5464.2000000000016</v>
      </c>
      <c r="H7196" s="22" t="s">
        <v>43</v>
      </c>
      <c r="I7196" s="22">
        <v>0</v>
      </c>
      <c r="J7196" s="22" t="s">
        <v>39</v>
      </c>
      <c r="K7196" s="22" t="s">
        <v>23</v>
      </c>
      <c r="L7196" s="22">
        <v>1</v>
      </c>
      <c r="M7196" s="26">
        <v>60106</v>
      </c>
      <c r="N7196" s="26">
        <v>0</v>
      </c>
      <c r="O7196" s="15">
        <f t="shared" si="633"/>
        <v>60106</v>
      </c>
      <c r="P7196" s="15">
        <f t="shared" si="634"/>
        <v>10.999963398118661</v>
      </c>
      <c r="Q7196" s="25">
        <v>5000</v>
      </c>
      <c r="R7196" s="22">
        <v>100</v>
      </c>
      <c r="S7196" s="22" t="s">
        <v>8747</v>
      </c>
      <c r="T7196" s="22">
        <f t="shared" si="626"/>
        <v>8</v>
      </c>
      <c r="U7196" s="22">
        <f t="shared" si="627"/>
        <v>2023</v>
      </c>
      <c r="V7196" s="22" t="str">
        <f t="shared" si="628"/>
        <v>METROPOLITANA</v>
      </c>
    </row>
    <row r="7197" spans="1:22" x14ac:dyDescent="0.2">
      <c r="A7197" s="23" t="s">
        <v>8744</v>
      </c>
      <c r="B7197" s="22" t="s">
        <v>33</v>
      </c>
      <c r="C7197" s="22" t="s">
        <v>29</v>
      </c>
      <c r="D7197" s="22" t="s">
        <v>37</v>
      </c>
      <c r="E7197" s="24">
        <v>78907355</v>
      </c>
      <c r="F7197" s="22" t="s">
        <v>39</v>
      </c>
      <c r="G7197" s="25">
        <v>12123.499999999991</v>
      </c>
      <c r="H7197" s="22" t="s">
        <v>22</v>
      </c>
      <c r="I7197" s="22">
        <v>0</v>
      </c>
      <c r="J7197" s="22" t="s">
        <v>39</v>
      </c>
      <c r="K7197" s="22" t="s">
        <v>23</v>
      </c>
      <c r="L7197" s="22">
        <v>1</v>
      </c>
      <c r="M7197" s="26">
        <v>133358</v>
      </c>
      <c r="N7197" s="26">
        <v>0</v>
      </c>
      <c r="O7197" s="15">
        <f t="shared" si="633"/>
        <v>133358</v>
      </c>
      <c r="P7197" s="15">
        <f t="shared" si="634"/>
        <v>10.999958757784476</v>
      </c>
      <c r="Q7197" s="25">
        <v>5000</v>
      </c>
      <c r="R7197" s="22">
        <v>100</v>
      </c>
      <c r="S7197" s="22" t="s">
        <v>8748</v>
      </c>
      <c r="T7197" s="22">
        <f t="shared" si="626"/>
        <v>8</v>
      </c>
      <c r="U7197" s="22">
        <f t="shared" si="627"/>
        <v>2023</v>
      </c>
      <c r="V7197" s="22" t="str">
        <f t="shared" si="628"/>
        <v>METROPOLITANA</v>
      </c>
    </row>
    <row r="7198" spans="1:22" x14ac:dyDescent="0.2">
      <c r="A7198" s="23" t="s">
        <v>8744</v>
      </c>
      <c r="B7198" s="22" t="s">
        <v>33</v>
      </c>
      <c r="C7198" s="22" t="s">
        <v>29</v>
      </c>
      <c r="D7198" s="22" t="s">
        <v>45</v>
      </c>
      <c r="E7198" s="24">
        <v>107643206</v>
      </c>
      <c r="F7198" s="22" t="s">
        <v>120</v>
      </c>
      <c r="G7198" s="25">
        <v>2066.0100000000002</v>
      </c>
      <c r="H7198" s="22" t="s">
        <v>22</v>
      </c>
      <c r="I7198" s="22">
        <v>0</v>
      </c>
      <c r="J7198" s="22" t="s">
        <v>120</v>
      </c>
      <c r="K7198" s="22" t="s">
        <v>23</v>
      </c>
      <c r="L7198" s="22">
        <v>5</v>
      </c>
      <c r="M7198" s="26">
        <v>112500</v>
      </c>
      <c r="N7198" s="26">
        <v>0</v>
      </c>
      <c r="O7198" s="15">
        <f t="shared" si="633"/>
        <v>112500</v>
      </c>
      <c r="P7198" s="15">
        <f t="shared" si="634"/>
        <v>54.452785804521753</v>
      </c>
      <c r="Q7198" s="25">
        <v>10000</v>
      </c>
      <c r="R7198" s="22">
        <v>21</v>
      </c>
      <c r="S7198" s="22" t="s">
        <v>8749</v>
      </c>
      <c r="T7198" s="22">
        <f t="shared" si="626"/>
        <v>8</v>
      </c>
      <c r="U7198" s="22">
        <f t="shared" si="627"/>
        <v>2023</v>
      </c>
      <c r="V7198" s="22" t="str">
        <f t="shared" si="628"/>
        <v>METROPOLITANA</v>
      </c>
    </row>
    <row r="7199" spans="1:22" x14ac:dyDescent="0.2">
      <c r="A7199" s="23" t="s">
        <v>8744</v>
      </c>
      <c r="B7199" s="22" t="s">
        <v>33</v>
      </c>
      <c r="C7199" s="22" t="s">
        <v>29</v>
      </c>
      <c r="D7199" s="22" t="s">
        <v>164</v>
      </c>
      <c r="E7199" s="24">
        <v>154837728</v>
      </c>
      <c r="F7199" s="22" t="s">
        <v>39</v>
      </c>
      <c r="G7199" s="25">
        <v>19132.409999999982</v>
      </c>
      <c r="H7199" s="22" t="s">
        <v>22</v>
      </c>
      <c r="I7199" s="22">
        <v>1</v>
      </c>
      <c r="J7199" s="22" t="s">
        <v>39</v>
      </c>
      <c r="K7199" s="22" t="s">
        <v>23</v>
      </c>
      <c r="L7199" s="22">
        <v>1</v>
      </c>
      <c r="M7199" s="26">
        <v>210457</v>
      </c>
      <c r="N7199" s="26">
        <v>0</v>
      </c>
      <c r="O7199" s="15">
        <f t="shared" si="633"/>
        <v>210457</v>
      </c>
      <c r="P7199" s="15">
        <f t="shared" si="634"/>
        <v>11.00002561099204</v>
      </c>
      <c r="Q7199" s="25">
        <v>5000</v>
      </c>
      <c r="R7199" s="22">
        <v>100</v>
      </c>
      <c r="S7199" s="22" t="s">
        <v>8750</v>
      </c>
      <c r="T7199" s="22">
        <f t="shared" si="626"/>
        <v>8</v>
      </c>
      <c r="U7199" s="22">
        <f t="shared" si="627"/>
        <v>2023</v>
      </c>
      <c r="V7199" s="22" t="str">
        <f t="shared" si="628"/>
        <v>METROPOLITANA</v>
      </c>
    </row>
    <row r="7200" spans="1:22" x14ac:dyDescent="0.2">
      <c r="A7200" s="23" t="s">
        <v>8744</v>
      </c>
      <c r="B7200" s="22" t="s">
        <v>33</v>
      </c>
      <c r="C7200" s="22" t="s">
        <v>44</v>
      </c>
      <c r="D7200" s="22" t="s">
        <v>7075</v>
      </c>
      <c r="E7200" s="24">
        <v>101495566</v>
      </c>
      <c r="F7200" s="22" t="s">
        <v>2308</v>
      </c>
      <c r="G7200" s="25">
        <f>4836.59+1924</f>
        <v>6760.59</v>
      </c>
      <c r="H7200" s="22" t="s">
        <v>24</v>
      </c>
      <c r="I7200" s="22">
        <v>1</v>
      </c>
      <c r="J7200" s="22" t="s">
        <v>2308</v>
      </c>
      <c r="K7200" s="22" t="s">
        <v>2309</v>
      </c>
      <c r="L7200" s="22">
        <v>0</v>
      </c>
      <c r="M7200" s="26">
        <v>1100000</v>
      </c>
      <c r="N7200" s="26">
        <v>0</v>
      </c>
      <c r="O7200" s="15">
        <f t="shared" si="633"/>
        <v>1100000</v>
      </c>
      <c r="P7200" s="15">
        <f t="shared" si="634"/>
        <v>162.70769267179344</v>
      </c>
      <c r="Q7200" s="25">
        <v>14000</v>
      </c>
      <c r="R7200" s="22">
        <v>55</v>
      </c>
      <c r="S7200" s="22" t="s">
        <v>8755</v>
      </c>
      <c r="T7200" s="22">
        <f t="shared" si="626"/>
        <v>8</v>
      </c>
      <c r="U7200" s="22">
        <f t="shared" si="627"/>
        <v>2023</v>
      </c>
      <c r="V7200" s="22" t="str">
        <f t="shared" si="628"/>
        <v>REGIONES</v>
      </c>
    </row>
    <row r="7201" spans="1:22" x14ac:dyDescent="0.2">
      <c r="A7201" s="23" t="s">
        <v>8744</v>
      </c>
      <c r="B7201" s="22" t="s">
        <v>33</v>
      </c>
      <c r="C7201" s="22" t="s">
        <v>44</v>
      </c>
      <c r="D7201" s="22" t="s">
        <v>8580</v>
      </c>
      <c r="E7201" s="24">
        <v>276547747</v>
      </c>
      <c r="F7201" s="22" t="s">
        <v>554</v>
      </c>
      <c r="G7201" s="25">
        <v>2527.86</v>
      </c>
      <c r="H7201" s="22" t="s">
        <v>24</v>
      </c>
      <c r="I7201" s="22">
        <v>1</v>
      </c>
      <c r="J7201" s="22" t="s">
        <v>554</v>
      </c>
      <c r="K7201" s="22" t="s">
        <v>23</v>
      </c>
      <c r="L7201" s="22">
        <v>4</v>
      </c>
      <c r="M7201" s="26">
        <v>69173</v>
      </c>
      <c r="N7201" s="26">
        <v>0</v>
      </c>
      <c r="O7201" s="15">
        <f t="shared" si="633"/>
        <v>69173</v>
      </c>
      <c r="P7201" s="15">
        <f t="shared" si="634"/>
        <v>27.364252767162736</v>
      </c>
      <c r="Q7201" s="25">
        <v>5000</v>
      </c>
      <c r="R7201" s="22">
        <v>51</v>
      </c>
      <c r="S7201" s="22" t="s">
        <v>8751</v>
      </c>
      <c r="T7201" s="22">
        <f t="shared" si="626"/>
        <v>8</v>
      </c>
      <c r="U7201" s="22">
        <f t="shared" si="627"/>
        <v>2023</v>
      </c>
      <c r="V7201" s="22" t="str">
        <f t="shared" si="628"/>
        <v>METROPOLITANA</v>
      </c>
    </row>
    <row r="7202" spans="1:22" x14ac:dyDescent="0.2">
      <c r="A7202" s="23" t="s">
        <v>8744</v>
      </c>
      <c r="B7202" s="22" t="s">
        <v>33</v>
      </c>
      <c r="C7202" s="22" t="s">
        <v>44</v>
      </c>
      <c r="D7202" s="22" t="s">
        <v>45</v>
      </c>
      <c r="E7202" s="24">
        <v>107643206</v>
      </c>
      <c r="F7202" s="22" t="s">
        <v>182</v>
      </c>
      <c r="G7202" s="25">
        <v>2800.8</v>
      </c>
      <c r="H7202" s="22" t="s">
        <v>22</v>
      </c>
      <c r="I7202" s="22">
        <v>0</v>
      </c>
      <c r="J7202" s="22" t="s">
        <v>182</v>
      </c>
      <c r="K7202" s="22" t="s">
        <v>23</v>
      </c>
      <c r="L7202" s="22">
        <v>4</v>
      </c>
      <c r="M7202" s="26">
        <v>69173</v>
      </c>
      <c r="N7202" s="26">
        <v>0</v>
      </c>
      <c r="O7202" s="15">
        <f t="shared" si="633"/>
        <v>69173</v>
      </c>
      <c r="P7202" s="15">
        <f t="shared" si="634"/>
        <v>24.697586403884603</v>
      </c>
      <c r="Q7202" s="25">
        <v>5000</v>
      </c>
      <c r="R7202" s="22">
        <v>56</v>
      </c>
      <c r="S7202" s="22" t="s">
        <v>8752</v>
      </c>
      <c r="T7202" s="22">
        <f t="shared" si="626"/>
        <v>8</v>
      </c>
      <c r="U7202" s="22">
        <f t="shared" si="627"/>
        <v>2023</v>
      </c>
      <c r="V7202" s="22" t="str">
        <f t="shared" si="628"/>
        <v>METROPOLITANA</v>
      </c>
    </row>
    <row r="7203" spans="1:22" x14ac:dyDescent="0.2">
      <c r="A7203" s="23" t="s">
        <v>8744</v>
      </c>
      <c r="B7203" s="22" t="s">
        <v>33</v>
      </c>
      <c r="C7203" s="22" t="s">
        <v>44</v>
      </c>
      <c r="D7203" s="22" t="s">
        <v>35</v>
      </c>
      <c r="E7203" s="24">
        <v>99626232</v>
      </c>
      <c r="F7203" s="22" t="s">
        <v>95</v>
      </c>
      <c r="G7203" s="25">
        <v>2972.9</v>
      </c>
      <c r="H7203" s="22" t="s">
        <v>22</v>
      </c>
      <c r="I7203" s="22">
        <v>0</v>
      </c>
      <c r="J7203" s="22" t="s">
        <v>95</v>
      </c>
      <c r="K7203" s="22" t="s">
        <v>23</v>
      </c>
      <c r="L7203" s="22">
        <v>4</v>
      </c>
      <c r="M7203" s="26">
        <v>69173</v>
      </c>
      <c r="N7203" s="26">
        <v>0</v>
      </c>
      <c r="O7203" s="15">
        <f t="shared" si="633"/>
        <v>69173</v>
      </c>
      <c r="P7203" s="15">
        <f t="shared" si="634"/>
        <v>23.267852938208481</v>
      </c>
      <c r="Q7203" s="25">
        <v>5000</v>
      </c>
      <c r="R7203" s="22">
        <v>59</v>
      </c>
      <c r="S7203" s="22" t="s">
        <v>8753</v>
      </c>
      <c r="T7203" s="22">
        <f t="shared" si="626"/>
        <v>8</v>
      </c>
      <c r="U7203" s="22">
        <f t="shared" si="627"/>
        <v>2023</v>
      </c>
      <c r="V7203" s="22" t="str">
        <f t="shared" si="628"/>
        <v>METROPOLITANA</v>
      </c>
    </row>
    <row r="7204" spans="1:22" x14ac:dyDescent="0.2">
      <c r="A7204" s="23" t="s">
        <v>8744</v>
      </c>
      <c r="B7204" s="22" t="s">
        <v>33</v>
      </c>
      <c r="C7204" s="22" t="s">
        <v>44</v>
      </c>
      <c r="D7204" s="22" t="s">
        <v>20</v>
      </c>
      <c r="E7204" s="24">
        <v>78907355</v>
      </c>
      <c r="F7204" s="22" t="s">
        <v>34</v>
      </c>
      <c r="G7204" s="25">
        <v>2571.7800000000002</v>
      </c>
      <c r="H7204" s="22" t="s">
        <v>22</v>
      </c>
      <c r="I7204" s="22">
        <v>0</v>
      </c>
      <c r="J7204" s="22" t="s">
        <v>34</v>
      </c>
      <c r="K7204" s="22" t="s">
        <v>23</v>
      </c>
      <c r="L7204" s="22">
        <v>1</v>
      </c>
      <c r="M7204" s="26">
        <v>69173</v>
      </c>
      <c r="N7204" s="26">
        <v>0</v>
      </c>
      <c r="O7204" s="15">
        <f t="shared" si="633"/>
        <v>69173</v>
      </c>
      <c r="P7204" s="15">
        <f t="shared" si="634"/>
        <v>26.896935196634235</v>
      </c>
      <c r="Q7204" s="25">
        <v>5000</v>
      </c>
      <c r="R7204" s="22">
        <v>51</v>
      </c>
      <c r="S7204" s="22" t="s">
        <v>8754</v>
      </c>
      <c r="T7204" s="22">
        <f t="shared" si="626"/>
        <v>8</v>
      </c>
      <c r="U7204" s="22">
        <f t="shared" si="627"/>
        <v>2023</v>
      </c>
      <c r="V7204" s="22" t="str">
        <f t="shared" si="628"/>
        <v>METROPOLITANA</v>
      </c>
    </row>
    <row r="7205" spans="1:22" x14ac:dyDescent="0.2">
      <c r="A7205" s="11" t="s">
        <v>8756</v>
      </c>
      <c r="B7205" s="12" t="s">
        <v>18</v>
      </c>
      <c r="C7205" s="12" t="s">
        <v>799</v>
      </c>
      <c r="D7205" s="12" t="s">
        <v>8219</v>
      </c>
      <c r="E7205" s="13">
        <v>73835526</v>
      </c>
      <c r="F7205" s="12" t="s">
        <v>161</v>
      </c>
      <c r="G7205" s="14">
        <v>3900.5</v>
      </c>
      <c r="H7205" s="12" t="s">
        <v>24</v>
      </c>
      <c r="I7205" s="12">
        <v>1</v>
      </c>
      <c r="J7205" s="12" t="s">
        <v>161</v>
      </c>
      <c r="K7205" s="12" t="s">
        <v>23</v>
      </c>
      <c r="L7205" s="12">
        <v>5</v>
      </c>
      <c r="M7205" s="15">
        <v>180000</v>
      </c>
      <c r="N7205" s="15">
        <v>0</v>
      </c>
      <c r="O7205" s="15">
        <f t="shared" ref="O7205:O7212" si="635">SUM(M7205:N7205)</f>
        <v>180000</v>
      </c>
      <c r="P7205" s="15">
        <f t="shared" ref="P7205:P7212" si="636">O7205/G7205</f>
        <v>46.147929752595822</v>
      </c>
      <c r="Q7205" s="14">
        <v>10000</v>
      </c>
      <c r="R7205" s="12">
        <v>39</v>
      </c>
      <c r="S7205" s="12" t="s">
        <v>8757</v>
      </c>
      <c r="T7205" s="22">
        <f t="shared" si="626"/>
        <v>8</v>
      </c>
      <c r="U7205" s="22">
        <f t="shared" si="627"/>
        <v>2023</v>
      </c>
      <c r="V7205" s="22" t="str">
        <f t="shared" si="628"/>
        <v>METROPOLITANA</v>
      </c>
    </row>
    <row r="7206" spans="1:22" x14ac:dyDescent="0.2">
      <c r="A7206" s="11" t="s">
        <v>8756</v>
      </c>
      <c r="B7206" s="12" t="s">
        <v>33</v>
      </c>
      <c r="C7206" s="12" t="s">
        <v>57</v>
      </c>
      <c r="D7206" s="12" t="s">
        <v>30</v>
      </c>
      <c r="E7206" s="13">
        <v>72564391</v>
      </c>
      <c r="F7206" s="12" t="s">
        <v>58</v>
      </c>
      <c r="G7206" s="14">
        <v>4464</v>
      </c>
      <c r="H7206" s="12" t="s">
        <v>32</v>
      </c>
      <c r="I7206" s="12">
        <v>0</v>
      </c>
      <c r="J7206" s="12" t="s">
        <v>58</v>
      </c>
      <c r="K7206" s="12" t="s">
        <v>23</v>
      </c>
      <c r="L7206" s="12">
        <v>5</v>
      </c>
      <c r="M7206" s="15">
        <v>112500</v>
      </c>
      <c r="N7206" s="15">
        <v>0</v>
      </c>
      <c r="O7206" s="15">
        <f t="shared" si="635"/>
        <v>112500</v>
      </c>
      <c r="P7206" s="15">
        <f t="shared" si="636"/>
        <v>25.201612903225808</v>
      </c>
      <c r="Q7206" s="14">
        <v>10000</v>
      </c>
      <c r="R7206" s="12">
        <v>45</v>
      </c>
      <c r="S7206" s="12" t="s">
        <v>8758</v>
      </c>
      <c r="T7206" s="22">
        <f t="shared" si="626"/>
        <v>8</v>
      </c>
      <c r="U7206" s="22">
        <f t="shared" si="627"/>
        <v>2023</v>
      </c>
      <c r="V7206" s="22" t="str">
        <f t="shared" si="628"/>
        <v>METROPOLITANA</v>
      </c>
    </row>
    <row r="7207" spans="1:22" x14ac:dyDescent="0.2">
      <c r="A7207" s="11" t="s">
        <v>8756</v>
      </c>
      <c r="B7207" s="12" t="s">
        <v>33</v>
      </c>
      <c r="C7207" s="12" t="s">
        <v>36</v>
      </c>
      <c r="D7207" s="12" t="s">
        <v>45</v>
      </c>
      <c r="E7207" s="13">
        <v>107643206</v>
      </c>
      <c r="F7207" s="12" t="s">
        <v>376</v>
      </c>
      <c r="G7207" s="14">
        <v>2616.2000000000012</v>
      </c>
      <c r="H7207" s="12" t="s">
        <v>22</v>
      </c>
      <c r="I7207" s="12">
        <v>0</v>
      </c>
      <c r="J7207" s="12" t="s">
        <v>377</v>
      </c>
      <c r="K7207" s="12" t="s">
        <v>23</v>
      </c>
      <c r="L7207" s="12">
        <v>4</v>
      </c>
      <c r="M7207" s="15">
        <v>69173</v>
      </c>
      <c r="N7207" s="15">
        <v>0</v>
      </c>
      <c r="O7207" s="15">
        <f t="shared" si="635"/>
        <v>69173</v>
      </c>
      <c r="P7207" s="15">
        <f t="shared" si="636"/>
        <v>26.440256861096234</v>
      </c>
      <c r="Q7207" s="14">
        <v>5000</v>
      </c>
      <c r="R7207" s="12">
        <v>52</v>
      </c>
      <c r="S7207" s="12" t="s">
        <v>8759</v>
      </c>
      <c r="T7207" s="22">
        <f t="shared" si="626"/>
        <v>8</v>
      </c>
      <c r="U7207" s="22">
        <f t="shared" si="627"/>
        <v>2023</v>
      </c>
      <c r="V7207" s="22" t="str">
        <f t="shared" si="628"/>
        <v>METROPOLITANA</v>
      </c>
    </row>
    <row r="7208" spans="1:22" x14ac:dyDescent="0.2">
      <c r="A7208" s="11" t="s">
        <v>8756</v>
      </c>
      <c r="B7208" s="12" t="s">
        <v>33</v>
      </c>
      <c r="C7208" s="12" t="s">
        <v>8229</v>
      </c>
      <c r="D7208" s="12" t="s">
        <v>20</v>
      </c>
      <c r="E7208" s="13">
        <v>78907355</v>
      </c>
      <c r="F7208" s="12" t="s">
        <v>26</v>
      </c>
      <c r="G7208" s="14">
        <v>3129.2</v>
      </c>
      <c r="H7208" s="12" t="s">
        <v>22</v>
      </c>
      <c r="I7208" s="12">
        <v>0</v>
      </c>
      <c r="J7208" s="12" t="s">
        <v>26</v>
      </c>
      <c r="K7208" s="12" t="s">
        <v>23</v>
      </c>
      <c r="L7208" s="12">
        <v>4</v>
      </c>
      <c r="M7208" s="15">
        <v>69173</v>
      </c>
      <c r="N7208" s="15">
        <v>0</v>
      </c>
      <c r="O7208" s="15">
        <f t="shared" si="635"/>
        <v>69173</v>
      </c>
      <c r="P7208" s="15">
        <f t="shared" si="636"/>
        <v>22.105650006391411</v>
      </c>
      <c r="Q7208" s="14">
        <v>5000</v>
      </c>
      <c r="R7208" s="12">
        <v>63</v>
      </c>
      <c r="S7208" s="12" t="s">
        <v>8760</v>
      </c>
      <c r="T7208" s="22">
        <f t="shared" si="626"/>
        <v>8</v>
      </c>
      <c r="U7208" s="22">
        <f t="shared" si="627"/>
        <v>2023</v>
      </c>
      <c r="V7208" s="22" t="str">
        <f t="shared" si="628"/>
        <v>METROPOLITANA</v>
      </c>
    </row>
    <row r="7209" spans="1:22" x14ac:dyDescent="0.2">
      <c r="A7209" s="11" t="s">
        <v>8756</v>
      </c>
      <c r="B7209" s="12" t="s">
        <v>33</v>
      </c>
      <c r="C7209" s="12" t="s">
        <v>29</v>
      </c>
      <c r="D7209" s="12" t="s">
        <v>786</v>
      </c>
      <c r="E7209" s="13">
        <v>95707734</v>
      </c>
      <c r="F7209" s="12" t="s">
        <v>274</v>
      </c>
      <c r="G7209" s="14">
        <v>21649.040000000001</v>
      </c>
      <c r="H7209" s="12" t="s">
        <v>788</v>
      </c>
      <c r="I7209" s="12">
        <v>1</v>
      </c>
      <c r="J7209" s="12" t="s">
        <v>274</v>
      </c>
      <c r="K7209" s="12" t="s">
        <v>78</v>
      </c>
      <c r="L7209" s="12">
        <v>0</v>
      </c>
      <c r="M7209" s="15">
        <v>289000</v>
      </c>
      <c r="N7209" s="15">
        <v>0</v>
      </c>
      <c r="O7209" s="15">
        <f t="shared" si="635"/>
        <v>289000</v>
      </c>
      <c r="P7209" s="15">
        <f t="shared" si="636"/>
        <v>13.349321725120374</v>
      </c>
      <c r="Q7209" s="14">
        <v>14000</v>
      </c>
      <c r="R7209" s="12">
        <v>100</v>
      </c>
      <c r="S7209" s="12" t="s">
        <v>8761</v>
      </c>
      <c r="T7209" s="22">
        <f t="shared" si="626"/>
        <v>8</v>
      </c>
      <c r="U7209" s="22">
        <f t="shared" si="627"/>
        <v>2023</v>
      </c>
      <c r="V7209" s="22" t="str">
        <f t="shared" si="628"/>
        <v>REGIONES</v>
      </c>
    </row>
    <row r="7210" spans="1:22" x14ac:dyDescent="0.2">
      <c r="A7210" s="11" t="s">
        <v>8756</v>
      </c>
      <c r="B7210" s="12" t="s">
        <v>33</v>
      </c>
      <c r="C7210" s="12" t="s">
        <v>44</v>
      </c>
      <c r="D7210" s="12" t="s">
        <v>37</v>
      </c>
      <c r="E7210" s="13">
        <v>103018366</v>
      </c>
      <c r="F7210" s="12" t="s">
        <v>94</v>
      </c>
      <c r="G7210" s="14">
        <v>3463.610000000001</v>
      </c>
      <c r="H7210" s="12" t="s">
        <v>22</v>
      </c>
      <c r="I7210" s="12">
        <v>0</v>
      </c>
      <c r="J7210" s="12" t="s">
        <v>59</v>
      </c>
      <c r="K7210" s="12" t="s">
        <v>78</v>
      </c>
      <c r="L7210" s="12">
        <v>0</v>
      </c>
      <c r="M7210" s="15">
        <v>227000</v>
      </c>
      <c r="N7210" s="15">
        <v>0</v>
      </c>
      <c r="O7210" s="15">
        <f t="shared" si="635"/>
        <v>227000</v>
      </c>
      <c r="P7210" s="15">
        <f t="shared" si="636"/>
        <v>65.538556592687954</v>
      </c>
      <c r="Q7210" s="14">
        <v>14000</v>
      </c>
      <c r="R7210" s="12">
        <v>25</v>
      </c>
      <c r="S7210" s="12" t="s">
        <v>8762</v>
      </c>
      <c r="T7210" s="22">
        <f t="shared" si="626"/>
        <v>8</v>
      </c>
      <c r="U7210" s="22">
        <f t="shared" si="627"/>
        <v>2023</v>
      </c>
      <c r="V7210" s="22" t="str">
        <f t="shared" si="628"/>
        <v>REGIONES</v>
      </c>
    </row>
    <row r="7211" spans="1:22" x14ac:dyDescent="0.2">
      <c r="A7211" s="11" t="s">
        <v>8756</v>
      </c>
      <c r="B7211" s="12" t="s">
        <v>33</v>
      </c>
      <c r="C7211" s="12" t="s">
        <v>44</v>
      </c>
      <c r="D7211" s="12" t="s">
        <v>8580</v>
      </c>
      <c r="E7211" s="13">
        <v>276547747</v>
      </c>
      <c r="F7211" s="12" t="s">
        <v>182</v>
      </c>
      <c r="G7211" s="14">
        <v>2470.579999999999</v>
      </c>
      <c r="H7211" s="12" t="s">
        <v>24</v>
      </c>
      <c r="I7211" s="12">
        <v>1</v>
      </c>
      <c r="J7211" s="12" t="s">
        <v>182</v>
      </c>
      <c r="K7211" s="12" t="s">
        <v>23</v>
      </c>
      <c r="L7211" s="12">
        <v>4</v>
      </c>
      <c r="M7211" s="15">
        <v>69173</v>
      </c>
      <c r="N7211" s="15">
        <v>0</v>
      </c>
      <c r="O7211" s="15">
        <f t="shared" si="635"/>
        <v>69173</v>
      </c>
      <c r="P7211" s="15">
        <f t="shared" si="636"/>
        <v>27.99868856705714</v>
      </c>
      <c r="Q7211" s="14">
        <v>5000</v>
      </c>
      <c r="R7211" s="12">
        <v>49</v>
      </c>
      <c r="S7211" s="12" t="s">
        <v>8763</v>
      </c>
      <c r="T7211" s="22">
        <f t="shared" si="626"/>
        <v>8</v>
      </c>
      <c r="U7211" s="22">
        <f t="shared" si="627"/>
        <v>2023</v>
      </c>
      <c r="V7211" s="22" t="str">
        <f t="shared" si="628"/>
        <v>METROPOLITANA</v>
      </c>
    </row>
    <row r="7212" spans="1:22" x14ac:dyDescent="0.2">
      <c r="A7212" s="11" t="s">
        <v>8756</v>
      </c>
      <c r="B7212" s="12" t="s">
        <v>33</v>
      </c>
      <c r="C7212" s="12" t="s">
        <v>44</v>
      </c>
      <c r="D7212" s="12" t="s">
        <v>35</v>
      </c>
      <c r="E7212" s="13">
        <v>99626232</v>
      </c>
      <c r="F7212" s="12" t="s">
        <v>26</v>
      </c>
      <c r="G7212" s="14">
        <v>2623.619999999999</v>
      </c>
      <c r="H7212" s="12" t="s">
        <v>22</v>
      </c>
      <c r="I7212" s="12">
        <v>0</v>
      </c>
      <c r="J7212" s="12" t="s">
        <v>26</v>
      </c>
      <c r="K7212" s="12" t="s">
        <v>23</v>
      </c>
      <c r="L7212" s="12">
        <v>4</v>
      </c>
      <c r="M7212" s="15">
        <v>69173</v>
      </c>
      <c r="N7212" s="15">
        <v>0</v>
      </c>
      <c r="O7212" s="15">
        <f t="shared" si="635"/>
        <v>69173</v>
      </c>
      <c r="P7212" s="15">
        <f t="shared" si="636"/>
        <v>26.365479756977013</v>
      </c>
      <c r="Q7212" s="14">
        <v>5000</v>
      </c>
      <c r="R7212" s="12">
        <v>52</v>
      </c>
      <c r="S7212" s="12" t="s">
        <v>8764</v>
      </c>
      <c r="T7212" s="22">
        <f t="shared" si="626"/>
        <v>8</v>
      </c>
      <c r="U7212" s="22">
        <f t="shared" si="627"/>
        <v>2023</v>
      </c>
      <c r="V7212" s="22" t="str">
        <f t="shared" si="628"/>
        <v>METROPOLITANA</v>
      </c>
    </row>
    <row r="7213" spans="1:22" x14ac:dyDescent="0.2">
      <c r="A7213" s="23" t="s">
        <v>8765</v>
      </c>
      <c r="B7213" s="22" t="s">
        <v>33</v>
      </c>
      <c r="C7213" s="22" t="s">
        <v>7065</v>
      </c>
      <c r="D7213" s="22" t="s">
        <v>20</v>
      </c>
      <c r="E7213" s="24">
        <v>78907355</v>
      </c>
      <c r="F7213" s="22" t="s">
        <v>129</v>
      </c>
      <c r="G7213" s="25">
        <v>8462</v>
      </c>
      <c r="H7213" s="22" t="s">
        <v>22</v>
      </c>
      <c r="I7213" s="22">
        <v>0</v>
      </c>
      <c r="J7213" s="22" t="s">
        <v>129</v>
      </c>
      <c r="K7213" s="22" t="s">
        <v>23</v>
      </c>
      <c r="L7213" s="22">
        <v>1</v>
      </c>
      <c r="M7213" s="26">
        <v>93082</v>
      </c>
      <c r="N7213" s="26">
        <v>0</v>
      </c>
      <c r="O7213" s="15">
        <f t="shared" ref="O7213:O7219" si="637">SUM(M7213:N7213)</f>
        <v>93082</v>
      </c>
      <c r="P7213" s="15">
        <f t="shared" ref="P7213:P7219" si="638">O7213/G7213</f>
        <v>11</v>
      </c>
      <c r="Q7213" s="25">
        <v>5000</v>
      </c>
      <c r="R7213" s="22">
        <v>100</v>
      </c>
      <c r="S7213" s="22" t="s">
        <v>8766</v>
      </c>
      <c r="T7213" s="22">
        <f t="shared" si="626"/>
        <v>8</v>
      </c>
      <c r="U7213" s="22">
        <f t="shared" si="627"/>
        <v>2023</v>
      </c>
      <c r="V7213" s="22" t="str">
        <f t="shared" si="628"/>
        <v>METROPOLITANA</v>
      </c>
    </row>
    <row r="7214" spans="1:22" x14ac:dyDescent="0.2">
      <c r="A7214" s="23" t="s">
        <v>8765</v>
      </c>
      <c r="B7214" s="22" t="s">
        <v>33</v>
      </c>
      <c r="C7214" s="22" t="s">
        <v>5851</v>
      </c>
      <c r="D7214" s="22" t="s">
        <v>37</v>
      </c>
      <c r="E7214" s="24">
        <v>103018366</v>
      </c>
      <c r="F7214" s="22" t="s">
        <v>274</v>
      </c>
      <c r="G7214" s="25">
        <v>2541.2999999999988</v>
      </c>
      <c r="H7214" s="22" t="s">
        <v>22</v>
      </c>
      <c r="I7214" s="22">
        <v>0</v>
      </c>
      <c r="J7214" s="22" t="s">
        <v>274</v>
      </c>
      <c r="K7214" s="22" t="s">
        <v>78</v>
      </c>
      <c r="L7214" s="22">
        <v>0</v>
      </c>
      <c r="M7214" s="26">
        <v>227000</v>
      </c>
      <c r="N7214" s="26">
        <v>0</v>
      </c>
      <c r="O7214" s="15">
        <f t="shared" si="637"/>
        <v>227000</v>
      </c>
      <c r="P7214" s="15">
        <f t="shared" si="638"/>
        <v>89.324361547239647</v>
      </c>
      <c r="Q7214" s="25">
        <v>14000</v>
      </c>
      <c r="R7214" s="22">
        <v>18</v>
      </c>
      <c r="S7214" s="22" t="s">
        <v>8767</v>
      </c>
      <c r="T7214" s="22">
        <f t="shared" si="626"/>
        <v>8</v>
      </c>
      <c r="U7214" s="22">
        <f t="shared" si="627"/>
        <v>2023</v>
      </c>
      <c r="V7214" s="22" t="str">
        <f t="shared" si="628"/>
        <v>REGIONES</v>
      </c>
    </row>
    <row r="7215" spans="1:22" x14ac:dyDescent="0.2">
      <c r="A7215" s="23" t="s">
        <v>8765</v>
      </c>
      <c r="B7215" s="22" t="s">
        <v>33</v>
      </c>
      <c r="C7215" s="22" t="s">
        <v>36</v>
      </c>
      <c r="D7215" s="22" t="s">
        <v>30</v>
      </c>
      <c r="E7215" s="24">
        <v>72564391</v>
      </c>
      <c r="F7215" s="22" t="s">
        <v>308</v>
      </c>
      <c r="G7215" s="25">
        <v>5795.6000000000013</v>
      </c>
      <c r="H7215" s="22" t="s">
        <v>32</v>
      </c>
      <c r="I7215" s="22">
        <v>0</v>
      </c>
      <c r="J7215" s="22" t="s">
        <v>308</v>
      </c>
      <c r="K7215" s="22" t="s">
        <v>78</v>
      </c>
      <c r="L7215" s="22">
        <v>0</v>
      </c>
      <c r="M7215" s="26">
        <v>227000</v>
      </c>
      <c r="N7215" s="26">
        <v>0</v>
      </c>
      <c r="O7215" s="15">
        <f t="shared" si="637"/>
        <v>227000</v>
      </c>
      <c r="P7215" s="15">
        <f t="shared" si="638"/>
        <v>39.167644419904747</v>
      </c>
      <c r="Q7215" s="25">
        <v>14000</v>
      </c>
      <c r="R7215" s="22">
        <v>41</v>
      </c>
      <c r="S7215" s="22" t="s">
        <v>8768</v>
      </c>
      <c r="T7215" s="22">
        <f t="shared" si="626"/>
        <v>8</v>
      </c>
      <c r="U7215" s="22">
        <f t="shared" si="627"/>
        <v>2023</v>
      </c>
      <c r="V7215" s="22" t="str">
        <f t="shared" si="628"/>
        <v>REGIONES</v>
      </c>
    </row>
    <row r="7216" spans="1:22" x14ac:dyDescent="0.2">
      <c r="A7216" s="23" t="s">
        <v>8765</v>
      </c>
      <c r="B7216" s="22" t="s">
        <v>33</v>
      </c>
      <c r="C7216" s="22" t="s">
        <v>36</v>
      </c>
      <c r="D7216" s="22" t="s">
        <v>8219</v>
      </c>
      <c r="E7216" s="24">
        <v>73835526</v>
      </c>
      <c r="F7216" s="22" t="s">
        <v>53</v>
      </c>
      <c r="G7216" s="25">
        <v>3201.2000000000012</v>
      </c>
      <c r="H7216" s="22" t="s">
        <v>24</v>
      </c>
      <c r="I7216" s="22">
        <v>1</v>
      </c>
      <c r="J7216" s="22" t="s">
        <v>53</v>
      </c>
      <c r="K7216" s="22" t="s">
        <v>23</v>
      </c>
      <c r="L7216" s="22">
        <v>3</v>
      </c>
      <c r="M7216" s="26">
        <v>69173</v>
      </c>
      <c r="N7216" s="26">
        <v>0</v>
      </c>
      <c r="O7216" s="15">
        <f t="shared" si="637"/>
        <v>69173</v>
      </c>
      <c r="P7216" s="15">
        <f t="shared" si="638"/>
        <v>21.608459327752087</v>
      </c>
      <c r="Q7216" s="25">
        <v>5000</v>
      </c>
      <c r="R7216" s="22">
        <v>64</v>
      </c>
      <c r="S7216" s="22" t="s">
        <v>8769</v>
      </c>
      <c r="T7216" s="22">
        <f t="shared" si="626"/>
        <v>8</v>
      </c>
      <c r="U7216" s="22">
        <f t="shared" si="627"/>
        <v>2023</v>
      </c>
      <c r="V7216" s="22" t="str">
        <f t="shared" si="628"/>
        <v>METROPOLITANA</v>
      </c>
    </row>
    <row r="7217" spans="1:22" x14ac:dyDescent="0.2">
      <c r="A7217" s="23" t="s">
        <v>8765</v>
      </c>
      <c r="B7217" s="22" t="s">
        <v>33</v>
      </c>
      <c r="C7217" s="22" t="s">
        <v>8770</v>
      </c>
      <c r="D7217" s="22" t="s">
        <v>38</v>
      </c>
      <c r="E7217" s="24">
        <v>125108660</v>
      </c>
      <c r="F7217" s="22" t="s">
        <v>26</v>
      </c>
      <c r="G7217" s="25">
        <f>1700.4+3406</f>
        <v>5106.3999999999996</v>
      </c>
      <c r="H7217" s="22" t="s">
        <v>43</v>
      </c>
      <c r="I7217" s="22">
        <v>0</v>
      </c>
      <c r="J7217" s="22" t="s">
        <v>26</v>
      </c>
      <c r="K7217" s="22" t="s">
        <v>23</v>
      </c>
      <c r="L7217" s="22">
        <v>4</v>
      </c>
      <c r="M7217" s="26">
        <v>69173</v>
      </c>
      <c r="N7217" s="26">
        <v>0</v>
      </c>
      <c r="O7217" s="15">
        <f t="shared" si="637"/>
        <v>69173</v>
      </c>
      <c r="P7217" s="15">
        <f t="shared" si="638"/>
        <v>13.54633401221996</v>
      </c>
      <c r="Q7217" s="25">
        <v>5000</v>
      </c>
      <c r="R7217" s="22">
        <v>100</v>
      </c>
      <c r="S7217" s="22" t="s">
        <v>8773</v>
      </c>
      <c r="T7217" s="22">
        <f t="shared" si="626"/>
        <v>8</v>
      </c>
      <c r="U7217" s="22">
        <f t="shared" si="627"/>
        <v>2023</v>
      </c>
      <c r="V7217" s="22" t="str">
        <f t="shared" si="628"/>
        <v>METROPOLITANA</v>
      </c>
    </row>
    <row r="7218" spans="1:22" x14ac:dyDescent="0.2">
      <c r="A7218" s="23" t="s">
        <v>8765</v>
      </c>
      <c r="B7218" s="22" t="s">
        <v>33</v>
      </c>
      <c r="C7218" s="22" t="s">
        <v>29</v>
      </c>
      <c r="D7218" s="22" t="s">
        <v>164</v>
      </c>
      <c r="E7218" s="24">
        <v>154837728</v>
      </c>
      <c r="F7218" s="22" t="s">
        <v>39</v>
      </c>
      <c r="G7218" s="25">
        <v>17477.62999999999</v>
      </c>
      <c r="H7218" s="22" t="s">
        <v>22</v>
      </c>
      <c r="I7218" s="22">
        <v>1</v>
      </c>
      <c r="J7218" s="22" t="s">
        <v>39</v>
      </c>
      <c r="K7218" s="22" t="s">
        <v>23</v>
      </c>
      <c r="L7218" s="22">
        <v>1</v>
      </c>
      <c r="M7218" s="26">
        <v>192254</v>
      </c>
      <c r="N7218" s="26">
        <v>0</v>
      </c>
      <c r="O7218" s="15">
        <f t="shared" si="637"/>
        <v>192254</v>
      </c>
      <c r="P7218" s="15">
        <f t="shared" si="638"/>
        <v>11.000004005119694</v>
      </c>
      <c r="Q7218" s="25">
        <v>5000</v>
      </c>
      <c r="R7218" s="22">
        <v>100</v>
      </c>
      <c r="S7218" s="22" t="s">
        <v>8771</v>
      </c>
      <c r="T7218" s="22">
        <f t="shared" si="626"/>
        <v>8</v>
      </c>
      <c r="U7218" s="22">
        <f t="shared" si="627"/>
        <v>2023</v>
      </c>
      <c r="V7218" s="22" t="str">
        <f t="shared" si="628"/>
        <v>METROPOLITANA</v>
      </c>
    </row>
    <row r="7219" spans="1:22" x14ac:dyDescent="0.2">
      <c r="A7219" s="23" t="s">
        <v>8765</v>
      </c>
      <c r="B7219" s="22" t="s">
        <v>33</v>
      </c>
      <c r="C7219" s="22" t="s">
        <v>44</v>
      </c>
      <c r="D7219" s="22" t="s">
        <v>636</v>
      </c>
      <c r="E7219" s="24">
        <v>11693568</v>
      </c>
      <c r="F7219" s="22" t="s">
        <v>84</v>
      </c>
      <c r="G7219" s="25">
        <f>3068.72+2419</f>
        <v>5487.7199999999993</v>
      </c>
      <c r="H7219" s="22" t="s">
        <v>85</v>
      </c>
      <c r="I7219" s="22">
        <v>1</v>
      </c>
      <c r="J7219" s="22" t="s">
        <v>84</v>
      </c>
      <c r="K7219" s="22" t="s">
        <v>86</v>
      </c>
      <c r="L7219" s="22">
        <v>0</v>
      </c>
      <c r="M7219" s="26">
        <v>402000</v>
      </c>
      <c r="N7219" s="26">
        <v>0</v>
      </c>
      <c r="O7219" s="15">
        <f t="shared" si="637"/>
        <v>402000</v>
      </c>
      <c r="P7219" s="15">
        <f t="shared" si="638"/>
        <v>73.254466335746002</v>
      </c>
      <c r="Q7219" s="25">
        <v>14000</v>
      </c>
      <c r="R7219" s="22">
        <v>55</v>
      </c>
      <c r="S7219" s="22" t="s">
        <v>8772</v>
      </c>
      <c r="T7219" s="22">
        <f t="shared" ref="T7219:T7269" si="639">MONTH(A7219)</f>
        <v>8</v>
      </c>
      <c r="U7219" s="22">
        <f t="shared" ref="U7219:U7269" si="640">YEAR(A7219)</f>
        <v>2023</v>
      </c>
      <c r="V7219" s="22" t="str">
        <f t="shared" ref="V7219:V7269" si="641">IF(K7219="METROPOLITANA DE SANTIAGO","METROPOLITANA","REGIONES")</f>
        <v>REGIONES</v>
      </c>
    </row>
    <row r="7220" spans="1:22" x14ac:dyDescent="0.2">
      <c r="A7220" s="11" t="s">
        <v>8774</v>
      </c>
      <c r="B7220" s="12" t="s">
        <v>18</v>
      </c>
      <c r="C7220" s="12" t="s">
        <v>57</v>
      </c>
      <c r="D7220" s="12" t="s">
        <v>30</v>
      </c>
      <c r="E7220" s="13">
        <v>72564391</v>
      </c>
      <c r="F7220" s="12" t="s">
        <v>51</v>
      </c>
      <c r="G7220" s="14">
        <v>11802.77</v>
      </c>
      <c r="H7220" s="12" t="s">
        <v>32</v>
      </c>
      <c r="I7220" s="12">
        <v>0</v>
      </c>
      <c r="J7220" s="12" t="s">
        <v>51</v>
      </c>
      <c r="K7220" s="12" t="s">
        <v>23</v>
      </c>
      <c r="L7220" s="12">
        <v>4</v>
      </c>
      <c r="M7220" s="15">
        <v>129830</v>
      </c>
      <c r="N7220" s="15">
        <v>0</v>
      </c>
      <c r="O7220" s="15">
        <f t="shared" ref="O7220:O7228" si="642">SUM(M7220:N7220)</f>
        <v>129830</v>
      </c>
      <c r="P7220" s="15">
        <f t="shared" ref="P7220:P7228" si="643">O7220/G7220</f>
        <v>10.999960178839373</v>
      </c>
      <c r="Q7220" s="14">
        <v>5000</v>
      </c>
      <c r="R7220" s="12">
        <v>100</v>
      </c>
      <c r="S7220" s="12" t="s">
        <v>8775</v>
      </c>
      <c r="T7220" s="22">
        <f t="shared" si="639"/>
        <v>8</v>
      </c>
      <c r="U7220" s="22">
        <f t="shared" si="640"/>
        <v>2023</v>
      </c>
      <c r="V7220" s="22" t="str">
        <f t="shared" si="641"/>
        <v>METROPOLITANA</v>
      </c>
    </row>
    <row r="7221" spans="1:22" x14ac:dyDescent="0.2">
      <c r="A7221" s="11" t="s">
        <v>8774</v>
      </c>
      <c r="B7221" s="12" t="s">
        <v>18</v>
      </c>
      <c r="C7221" s="12" t="s">
        <v>19</v>
      </c>
      <c r="D7221" s="12" t="s">
        <v>5478</v>
      </c>
      <c r="E7221" s="13">
        <v>112975819</v>
      </c>
      <c r="F7221" s="12" t="s">
        <v>8600</v>
      </c>
      <c r="G7221" s="14">
        <v>24927.14</v>
      </c>
      <c r="H7221" s="12" t="s">
        <v>24</v>
      </c>
      <c r="I7221" s="12">
        <v>1</v>
      </c>
      <c r="J7221" s="12" t="s">
        <v>8600</v>
      </c>
      <c r="K7221" s="12" t="s">
        <v>86</v>
      </c>
      <c r="L7221" s="12">
        <v>0</v>
      </c>
      <c r="M7221" s="15">
        <v>300000</v>
      </c>
      <c r="N7221" s="15">
        <v>0</v>
      </c>
      <c r="O7221" s="15">
        <f t="shared" si="642"/>
        <v>300000</v>
      </c>
      <c r="P7221" s="15">
        <f t="shared" si="643"/>
        <v>12.035075022646</v>
      </c>
      <c r="Q7221" s="14">
        <v>14000</v>
      </c>
      <c r="R7221" s="12">
        <v>100</v>
      </c>
      <c r="S7221" s="12" t="s">
        <v>8776</v>
      </c>
      <c r="T7221" s="22">
        <f t="shared" si="639"/>
        <v>8</v>
      </c>
      <c r="U7221" s="22">
        <f t="shared" si="640"/>
        <v>2023</v>
      </c>
      <c r="V7221" s="22" t="str">
        <f t="shared" si="641"/>
        <v>REGIONES</v>
      </c>
    </row>
    <row r="7222" spans="1:22" x14ac:dyDescent="0.2">
      <c r="A7222" s="11" t="s">
        <v>8774</v>
      </c>
      <c r="B7222" s="12" t="s">
        <v>18</v>
      </c>
      <c r="C7222" s="12" t="s">
        <v>7400</v>
      </c>
      <c r="D7222" s="12" t="s">
        <v>8219</v>
      </c>
      <c r="E7222" s="13">
        <v>73835526</v>
      </c>
      <c r="F7222" s="12" t="s">
        <v>230</v>
      </c>
      <c r="G7222" s="14">
        <v>4774.62</v>
      </c>
      <c r="H7222" s="12" t="s">
        <v>24</v>
      </c>
      <c r="I7222" s="12">
        <v>1</v>
      </c>
      <c r="J7222" s="12" t="s">
        <v>230</v>
      </c>
      <c r="K7222" s="12" t="s">
        <v>23</v>
      </c>
      <c r="L7222" s="12">
        <v>4</v>
      </c>
      <c r="M7222" s="15">
        <v>69173</v>
      </c>
      <c r="N7222" s="15">
        <v>0</v>
      </c>
      <c r="O7222" s="15">
        <f t="shared" si="642"/>
        <v>69173</v>
      </c>
      <c r="P7222" s="15">
        <f t="shared" si="643"/>
        <v>14.487645090080468</v>
      </c>
      <c r="Q7222" s="14">
        <v>5000</v>
      </c>
      <c r="R7222" s="12">
        <v>95</v>
      </c>
      <c r="S7222" s="12" t="s">
        <v>8777</v>
      </c>
      <c r="T7222" s="22">
        <f t="shared" si="639"/>
        <v>8</v>
      </c>
      <c r="U7222" s="22">
        <f t="shared" si="640"/>
        <v>2023</v>
      </c>
      <c r="V7222" s="22" t="str">
        <f t="shared" si="641"/>
        <v>METROPOLITANA</v>
      </c>
    </row>
    <row r="7223" spans="1:22" x14ac:dyDescent="0.2">
      <c r="A7223" s="11" t="s">
        <v>8774</v>
      </c>
      <c r="B7223" s="12" t="s">
        <v>33</v>
      </c>
      <c r="C7223" s="12" t="s">
        <v>60</v>
      </c>
      <c r="D7223" s="12" t="s">
        <v>8410</v>
      </c>
      <c r="E7223" s="13">
        <v>119629756</v>
      </c>
      <c r="F7223" s="12" t="s">
        <v>691</v>
      </c>
      <c r="G7223" s="14">
        <v>12503.19999999999</v>
      </c>
      <c r="H7223" s="12" t="s">
        <v>24</v>
      </c>
      <c r="I7223" s="12">
        <v>1</v>
      </c>
      <c r="J7223" s="12" t="s">
        <v>691</v>
      </c>
      <c r="K7223" s="12" t="s">
        <v>873</v>
      </c>
      <c r="L7223" s="12">
        <v>0</v>
      </c>
      <c r="M7223" s="15">
        <v>1282000</v>
      </c>
      <c r="N7223" s="15">
        <v>0</v>
      </c>
      <c r="O7223" s="15">
        <f t="shared" si="642"/>
        <v>1282000</v>
      </c>
      <c r="P7223" s="15">
        <f t="shared" si="643"/>
        <v>102.53375135965202</v>
      </c>
      <c r="Q7223" s="14">
        <v>14000</v>
      </c>
      <c r="R7223" s="12">
        <v>89</v>
      </c>
      <c r="S7223" s="12" t="s">
        <v>8778</v>
      </c>
      <c r="T7223" s="22">
        <f t="shared" si="639"/>
        <v>8</v>
      </c>
      <c r="U7223" s="22">
        <f t="shared" si="640"/>
        <v>2023</v>
      </c>
      <c r="V7223" s="22" t="str">
        <f t="shared" si="641"/>
        <v>REGIONES</v>
      </c>
    </row>
    <row r="7224" spans="1:22" x14ac:dyDescent="0.2">
      <c r="A7224" s="11" t="s">
        <v>8774</v>
      </c>
      <c r="B7224" s="12" t="s">
        <v>33</v>
      </c>
      <c r="C7224" s="12" t="s">
        <v>36</v>
      </c>
      <c r="D7224" s="12" t="s">
        <v>45</v>
      </c>
      <c r="E7224" s="13">
        <v>107643206</v>
      </c>
      <c r="F7224" s="12" t="s">
        <v>46</v>
      </c>
      <c r="G7224" s="14">
        <v>3547.8</v>
      </c>
      <c r="H7224" s="12" t="s">
        <v>22</v>
      </c>
      <c r="I7224" s="12">
        <v>0</v>
      </c>
      <c r="J7224" s="12" t="s">
        <v>46</v>
      </c>
      <c r="K7224" s="12" t="s">
        <v>23</v>
      </c>
      <c r="L7224" s="12">
        <v>2</v>
      </c>
      <c r="M7224" s="15">
        <v>69173</v>
      </c>
      <c r="N7224" s="15">
        <v>0</v>
      </c>
      <c r="O7224" s="15">
        <f t="shared" si="642"/>
        <v>69173</v>
      </c>
      <c r="P7224" s="15">
        <f t="shared" si="643"/>
        <v>19.497435030159533</v>
      </c>
      <c r="Q7224" s="14">
        <v>5000</v>
      </c>
      <c r="R7224" s="12">
        <v>71</v>
      </c>
      <c r="S7224" s="12" t="s">
        <v>8779</v>
      </c>
      <c r="T7224" s="22">
        <f t="shared" si="639"/>
        <v>8</v>
      </c>
      <c r="U7224" s="22">
        <f t="shared" si="640"/>
        <v>2023</v>
      </c>
      <c r="V7224" s="22" t="str">
        <f t="shared" si="641"/>
        <v>METROPOLITANA</v>
      </c>
    </row>
    <row r="7225" spans="1:22" x14ac:dyDescent="0.2">
      <c r="A7225" s="11" t="s">
        <v>8774</v>
      </c>
      <c r="B7225" s="12" t="s">
        <v>33</v>
      </c>
      <c r="C7225" s="12" t="s">
        <v>29</v>
      </c>
      <c r="D7225" s="12" t="s">
        <v>8219</v>
      </c>
      <c r="E7225" s="13">
        <v>73835526</v>
      </c>
      <c r="F7225" s="12" t="s">
        <v>129</v>
      </c>
      <c r="G7225" s="14">
        <v>4321.8</v>
      </c>
      <c r="H7225" s="12" t="s">
        <v>24</v>
      </c>
      <c r="I7225" s="12">
        <v>1</v>
      </c>
      <c r="J7225" s="12" t="s">
        <v>129</v>
      </c>
      <c r="K7225" s="12" t="s">
        <v>23</v>
      </c>
      <c r="L7225" s="12">
        <v>1</v>
      </c>
      <c r="M7225" s="15">
        <v>69173</v>
      </c>
      <c r="N7225" s="15">
        <v>0</v>
      </c>
      <c r="O7225" s="15">
        <f t="shared" si="642"/>
        <v>69173</v>
      </c>
      <c r="P7225" s="15">
        <f t="shared" si="643"/>
        <v>16.005599518719052</v>
      </c>
      <c r="Q7225" s="14">
        <v>5000</v>
      </c>
      <c r="R7225" s="12">
        <v>86</v>
      </c>
      <c r="S7225" s="12" t="s">
        <v>8780</v>
      </c>
      <c r="T7225" s="22">
        <f t="shared" si="639"/>
        <v>8</v>
      </c>
      <c r="U7225" s="22">
        <f t="shared" si="640"/>
        <v>2023</v>
      </c>
      <c r="V7225" s="22" t="str">
        <f t="shared" si="641"/>
        <v>METROPOLITANA</v>
      </c>
    </row>
    <row r="7226" spans="1:22" x14ac:dyDescent="0.2">
      <c r="A7226" s="11" t="s">
        <v>8774</v>
      </c>
      <c r="B7226" s="12" t="s">
        <v>33</v>
      </c>
      <c r="C7226" s="12" t="s">
        <v>44</v>
      </c>
      <c r="D7226" s="12" t="s">
        <v>37</v>
      </c>
      <c r="E7226" s="13">
        <v>103018366</v>
      </c>
      <c r="F7226" s="12" t="s">
        <v>5240</v>
      </c>
      <c r="G7226" s="14">
        <v>4119.4399999999996</v>
      </c>
      <c r="H7226" s="12" t="s">
        <v>22</v>
      </c>
      <c r="I7226" s="12">
        <v>0</v>
      </c>
      <c r="J7226" s="12" t="s">
        <v>5240</v>
      </c>
      <c r="K7226" s="12" t="s">
        <v>78</v>
      </c>
      <c r="L7226" s="12">
        <v>0</v>
      </c>
      <c r="M7226" s="15">
        <v>227000</v>
      </c>
      <c r="N7226" s="15">
        <v>0</v>
      </c>
      <c r="O7226" s="15">
        <f t="shared" si="642"/>
        <v>227000</v>
      </c>
      <c r="P7226" s="15">
        <f t="shared" si="643"/>
        <v>55.104577321189296</v>
      </c>
      <c r="Q7226" s="14">
        <v>14000</v>
      </c>
      <c r="R7226" s="12">
        <v>29</v>
      </c>
      <c r="S7226" s="12" t="s">
        <v>8781</v>
      </c>
      <c r="T7226" s="22">
        <f t="shared" si="639"/>
        <v>8</v>
      </c>
      <c r="U7226" s="22">
        <f t="shared" si="640"/>
        <v>2023</v>
      </c>
      <c r="V7226" s="22" t="str">
        <f t="shared" si="641"/>
        <v>REGIONES</v>
      </c>
    </row>
    <row r="7227" spans="1:22" x14ac:dyDescent="0.2">
      <c r="A7227" s="11" t="s">
        <v>8774</v>
      </c>
      <c r="B7227" s="12" t="s">
        <v>33</v>
      </c>
      <c r="C7227" s="12" t="s">
        <v>44</v>
      </c>
      <c r="D7227" s="12" t="s">
        <v>35</v>
      </c>
      <c r="E7227" s="13">
        <v>99626232</v>
      </c>
      <c r="F7227" s="12" t="s">
        <v>137</v>
      </c>
      <c r="G7227" s="14">
        <v>2518.56</v>
      </c>
      <c r="H7227" s="12" t="s">
        <v>22</v>
      </c>
      <c r="I7227" s="12">
        <v>0</v>
      </c>
      <c r="J7227" s="12" t="s">
        <v>137</v>
      </c>
      <c r="K7227" s="12" t="s">
        <v>23</v>
      </c>
      <c r="L7227" s="12">
        <v>1</v>
      </c>
      <c r="M7227" s="15">
        <v>69173</v>
      </c>
      <c r="N7227" s="15">
        <v>0</v>
      </c>
      <c r="O7227" s="15">
        <f t="shared" si="642"/>
        <v>69173</v>
      </c>
      <c r="P7227" s="15">
        <f t="shared" si="643"/>
        <v>27.465297630391969</v>
      </c>
      <c r="Q7227" s="14">
        <v>5000</v>
      </c>
      <c r="R7227" s="12">
        <v>50</v>
      </c>
      <c r="S7227" s="12" t="s">
        <v>8782</v>
      </c>
      <c r="T7227" s="22">
        <f t="shared" si="639"/>
        <v>8</v>
      </c>
      <c r="U7227" s="22">
        <f t="shared" si="640"/>
        <v>2023</v>
      </c>
      <c r="V7227" s="22" t="str">
        <f t="shared" si="641"/>
        <v>METROPOLITANA</v>
      </c>
    </row>
    <row r="7228" spans="1:22" x14ac:dyDescent="0.2">
      <c r="A7228" s="11" t="s">
        <v>8774</v>
      </c>
      <c r="B7228" s="12" t="s">
        <v>33</v>
      </c>
      <c r="C7228" s="12" t="s">
        <v>44</v>
      </c>
      <c r="D7228" s="12" t="s">
        <v>20</v>
      </c>
      <c r="E7228" s="13">
        <v>78907355</v>
      </c>
      <c r="F7228" s="12" t="s">
        <v>34</v>
      </c>
      <c r="G7228" s="14">
        <v>3001.6</v>
      </c>
      <c r="H7228" s="12" t="s">
        <v>22</v>
      </c>
      <c r="I7228" s="12">
        <v>0</v>
      </c>
      <c r="J7228" s="12" t="s">
        <v>34</v>
      </c>
      <c r="K7228" s="12" t="s">
        <v>23</v>
      </c>
      <c r="L7228" s="12">
        <v>1</v>
      </c>
      <c r="M7228" s="15">
        <v>69173</v>
      </c>
      <c r="N7228" s="15">
        <v>0</v>
      </c>
      <c r="O7228" s="15">
        <f t="shared" si="642"/>
        <v>69173</v>
      </c>
      <c r="P7228" s="15">
        <f t="shared" si="643"/>
        <v>23.045375799573563</v>
      </c>
      <c r="Q7228" s="14">
        <v>5000</v>
      </c>
      <c r="R7228" s="12">
        <v>60</v>
      </c>
      <c r="S7228" s="12" t="s">
        <v>8783</v>
      </c>
      <c r="T7228" s="22">
        <f t="shared" si="639"/>
        <v>8</v>
      </c>
      <c r="U7228" s="22">
        <f t="shared" si="640"/>
        <v>2023</v>
      </c>
      <c r="V7228" s="22" t="str">
        <f t="shared" si="641"/>
        <v>METROPOLITANA</v>
      </c>
    </row>
    <row r="7229" spans="1:22" x14ac:dyDescent="0.2">
      <c r="A7229" s="23" t="s">
        <v>8784</v>
      </c>
      <c r="B7229" s="22" t="s">
        <v>18</v>
      </c>
      <c r="C7229" s="22" t="s">
        <v>57</v>
      </c>
      <c r="D7229" s="22" t="s">
        <v>38</v>
      </c>
      <c r="E7229" s="24" t="s">
        <v>25</v>
      </c>
      <c r="F7229" s="22" t="s">
        <v>51</v>
      </c>
      <c r="G7229" s="25">
        <v>9905.6200000000008</v>
      </c>
      <c r="H7229" s="22" t="s">
        <v>43</v>
      </c>
      <c r="I7229" s="22">
        <v>0</v>
      </c>
      <c r="J7229" s="22" t="s">
        <v>51</v>
      </c>
      <c r="K7229" s="22" t="s">
        <v>23</v>
      </c>
      <c r="L7229" s="22">
        <v>4</v>
      </c>
      <c r="M7229" s="26">
        <v>108962</v>
      </c>
      <c r="N7229" s="26">
        <v>0</v>
      </c>
      <c r="O7229" s="15">
        <f t="shared" ref="O7229:O7236" si="644">SUM(M7229:N7229)</f>
        <v>108962</v>
      </c>
      <c r="P7229" s="15">
        <f t="shared" ref="P7229:P7236" si="645">O7229/G7229</f>
        <v>11.00001817150264</v>
      </c>
      <c r="Q7229" s="25">
        <v>5000</v>
      </c>
      <c r="R7229" s="22">
        <v>100</v>
      </c>
      <c r="S7229" s="22" t="s">
        <v>8785</v>
      </c>
      <c r="T7229" s="22">
        <f t="shared" si="639"/>
        <v>8</v>
      </c>
      <c r="U7229" s="22">
        <f t="shared" si="640"/>
        <v>2023</v>
      </c>
      <c r="V7229" s="22" t="str">
        <f t="shared" si="641"/>
        <v>METROPOLITANA</v>
      </c>
    </row>
    <row r="7230" spans="1:22" x14ac:dyDescent="0.2">
      <c r="A7230" s="23" t="s">
        <v>8784</v>
      </c>
      <c r="B7230" s="22" t="s">
        <v>33</v>
      </c>
      <c r="C7230" s="22" t="s">
        <v>60</v>
      </c>
      <c r="D7230" s="22" t="s">
        <v>30</v>
      </c>
      <c r="E7230" s="24" t="s">
        <v>31</v>
      </c>
      <c r="F7230" s="22" t="s">
        <v>120</v>
      </c>
      <c r="G7230" s="25">
        <v>10301</v>
      </c>
      <c r="H7230" s="22" t="s">
        <v>32</v>
      </c>
      <c r="I7230" s="22">
        <v>0</v>
      </c>
      <c r="J7230" s="22" t="s">
        <v>120</v>
      </c>
      <c r="K7230" s="22" t="s">
        <v>23</v>
      </c>
      <c r="L7230" s="22">
        <v>5</v>
      </c>
      <c r="M7230" s="26">
        <v>112500</v>
      </c>
      <c r="N7230" s="26">
        <v>0</v>
      </c>
      <c r="O7230" s="15">
        <f t="shared" si="644"/>
        <v>112500</v>
      </c>
      <c r="P7230" s="15">
        <f t="shared" si="645"/>
        <v>10.921269779633045</v>
      </c>
      <c r="Q7230" s="25">
        <v>10000</v>
      </c>
      <c r="R7230" s="22">
        <v>100</v>
      </c>
      <c r="S7230" s="22" t="s">
        <v>8786</v>
      </c>
      <c r="T7230" s="22">
        <f t="shared" si="639"/>
        <v>8</v>
      </c>
      <c r="U7230" s="22">
        <f t="shared" si="640"/>
        <v>2023</v>
      </c>
      <c r="V7230" s="22" t="str">
        <f t="shared" si="641"/>
        <v>METROPOLITANA</v>
      </c>
    </row>
    <row r="7231" spans="1:22" x14ac:dyDescent="0.2">
      <c r="A7231" s="23" t="s">
        <v>8784</v>
      </c>
      <c r="B7231" s="22" t="s">
        <v>33</v>
      </c>
      <c r="C7231" s="22" t="s">
        <v>8153</v>
      </c>
      <c r="D7231" s="22" t="s">
        <v>8219</v>
      </c>
      <c r="E7231" s="24" t="s">
        <v>8220</v>
      </c>
      <c r="F7231" s="22" t="s">
        <v>26</v>
      </c>
      <c r="G7231" s="25">
        <v>5910.54</v>
      </c>
      <c r="H7231" s="22" t="s">
        <v>24</v>
      </c>
      <c r="I7231" s="22">
        <v>1</v>
      </c>
      <c r="J7231" s="22" t="s">
        <v>26</v>
      </c>
      <c r="K7231" s="22" t="s">
        <v>23</v>
      </c>
      <c r="L7231" s="22">
        <v>4</v>
      </c>
      <c r="M7231" s="26">
        <v>65016</v>
      </c>
      <c r="N7231" s="26">
        <v>0</v>
      </c>
      <c r="O7231" s="15">
        <f t="shared" si="644"/>
        <v>65016</v>
      </c>
      <c r="P7231" s="15">
        <f t="shared" si="645"/>
        <v>11.000010151356729</v>
      </c>
      <c r="Q7231" s="25">
        <v>5000</v>
      </c>
      <c r="R7231" s="22">
        <v>100</v>
      </c>
      <c r="S7231" s="22" t="s">
        <v>8787</v>
      </c>
      <c r="T7231" s="22">
        <f t="shared" si="639"/>
        <v>8</v>
      </c>
      <c r="U7231" s="22">
        <f t="shared" si="640"/>
        <v>2023</v>
      </c>
      <c r="V7231" s="22" t="str">
        <f t="shared" si="641"/>
        <v>METROPOLITANA</v>
      </c>
    </row>
    <row r="7232" spans="1:22" x14ac:dyDescent="0.2">
      <c r="A7232" s="23" t="s">
        <v>8784</v>
      </c>
      <c r="B7232" s="22" t="s">
        <v>33</v>
      </c>
      <c r="C7232" s="22" t="s">
        <v>29</v>
      </c>
      <c r="D7232" s="22" t="s">
        <v>7831</v>
      </c>
      <c r="E7232" s="24" t="s">
        <v>7150</v>
      </c>
      <c r="F7232" s="22" t="s">
        <v>815</v>
      </c>
      <c r="G7232" s="25">
        <v>20154.68</v>
      </c>
      <c r="H7232" s="22" t="s">
        <v>24</v>
      </c>
      <c r="I7232" s="22">
        <v>1</v>
      </c>
      <c r="J7232" s="22" t="s">
        <v>815</v>
      </c>
      <c r="K7232" s="22" t="s">
        <v>75</v>
      </c>
      <c r="L7232" s="22">
        <v>0</v>
      </c>
      <c r="M7232" s="26">
        <v>528000</v>
      </c>
      <c r="N7232" s="26">
        <v>0</v>
      </c>
      <c r="O7232" s="15">
        <f t="shared" si="644"/>
        <v>528000</v>
      </c>
      <c r="P7232" s="15">
        <f t="shared" si="645"/>
        <v>26.197389390454227</v>
      </c>
      <c r="Q7232" s="25">
        <v>14000</v>
      </c>
      <c r="R7232" s="22">
        <v>100</v>
      </c>
      <c r="S7232" s="22" t="s">
        <v>8788</v>
      </c>
      <c r="T7232" s="22">
        <f t="shared" si="639"/>
        <v>8</v>
      </c>
      <c r="U7232" s="22">
        <f t="shared" si="640"/>
        <v>2023</v>
      </c>
      <c r="V7232" s="22" t="str">
        <f t="shared" si="641"/>
        <v>REGIONES</v>
      </c>
    </row>
    <row r="7233" spans="1:22" x14ac:dyDescent="0.2">
      <c r="A7233" s="23" t="s">
        <v>8784</v>
      </c>
      <c r="B7233" s="22" t="s">
        <v>33</v>
      </c>
      <c r="C7233" s="22" t="s">
        <v>29</v>
      </c>
      <c r="D7233" s="22" t="s">
        <v>7711</v>
      </c>
      <c r="E7233" s="24" t="s">
        <v>7712</v>
      </c>
      <c r="F7233" s="22" t="s">
        <v>114</v>
      </c>
      <c r="G7233" s="25">
        <v>22603.400000000009</v>
      </c>
      <c r="H7233" s="22" t="s">
        <v>24</v>
      </c>
      <c r="I7233" s="22">
        <v>1</v>
      </c>
      <c r="J7233" s="22" t="s">
        <v>114</v>
      </c>
      <c r="K7233" s="22" t="s">
        <v>75</v>
      </c>
      <c r="L7233" s="22">
        <v>0</v>
      </c>
      <c r="M7233" s="26">
        <v>528000</v>
      </c>
      <c r="N7233" s="26">
        <v>0</v>
      </c>
      <c r="O7233" s="15">
        <f t="shared" si="644"/>
        <v>528000</v>
      </c>
      <c r="P7233" s="15">
        <f t="shared" si="645"/>
        <v>23.359317624782104</v>
      </c>
      <c r="Q7233" s="25">
        <v>14000</v>
      </c>
      <c r="R7233" s="22">
        <v>100</v>
      </c>
      <c r="S7233" s="22" t="s">
        <v>8789</v>
      </c>
      <c r="T7233" s="22">
        <f t="shared" si="639"/>
        <v>8</v>
      </c>
      <c r="U7233" s="22">
        <f t="shared" si="640"/>
        <v>2023</v>
      </c>
      <c r="V7233" s="22" t="str">
        <f t="shared" si="641"/>
        <v>REGIONES</v>
      </c>
    </row>
    <row r="7234" spans="1:22" x14ac:dyDescent="0.2">
      <c r="A7234" s="23" t="s">
        <v>8784</v>
      </c>
      <c r="B7234" s="22" t="s">
        <v>33</v>
      </c>
      <c r="C7234" s="22" t="s">
        <v>44</v>
      </c>
      <c r="D7234" s="22" t="s">
        <v>45</v>
      </c>
      <c r="E7234" s="24" t="s">
        <v>49</v>
      </c>
      <c r="F7234" s="22" t="s">
        <v>48</v>
      </c>
      <c r="G7234" s="25">
        <v>3865.14</v>
      </c>
      <c r="H7234" s="22" t="s">
        <v>22</v>
      </c>
      <c r="I7234" s="22">
        <v>0</v>
      </c>
      <c r="J7234" s="22" t="s">
        <v>48</v>
      </c>
      <c r="K7234" s="22" t="s">
        <v>23</v>
      </c>
      <c r="L7234" s="22">
        <v>1</v>
      </c>
      <c r="M7234" s="26">
        <v>69173</v>
      </c>
      <c r="N7234" s="26">
        <v>0</v>
      </c>
      <c r="O7234" s="15">
        <f t="shared" si="644"/>
        <v>69173</v>
      </c>
      <c r="P7234" s="15">
        <f t="shared" si="645"/>
        <v>17.896635050735551</v>
      </c>
      <c r="Q7234" s="25">
        <v>5000</v>
      </c>
      <c r="R7234" s="22">
        <v>77</v>
      </c>
      <c r="S7234" s="22" t="s">
        <v>8791</v>
      </c>
      <c r="T7234" s="22">
        <f t="shared" si="639"/>
        <v>8</v>
      </c>
      <c r="U7234" s="22">
        <f t="shared" si="640"/>
        <v>2023</v>
      </c>
      <c r="V7234" s="22" t="str">
        <f t="shared" si="641"/>
        <v>METROPOLITANA</v>
      </c>
    </row>
    <row r="7235" spans="1:22" x14ac:dyDescent="0.2">
      <c r="A7235" s="23" t="s">
        <v>8784</v>
      </c>
      <c r="B7235" s="22" t="s">
        <v>33</v>
      </c>
      <c r="C7235" s="22" t="s">
        <v>44</v>
      </c>
      <c r="D7235" s="22" t="s">
        <v>35</v>
      </c>
      <c r="E7235" s="24" t="s">
        <v>52</v>
      </c>
      <c r="F7235" s="22" t="s">
        <v>67</v>
      </c>
      <c r="G7235" s="25">
        <v>2634.119999999999</v>
      </c>
      <c r="H7235" s="22" t="s">
        <v>22</v>
      </c>
      <c r="I7235" s="22">
        <v>0</v>
      </c>
      <c r="J7235" s="22" t="s">
        <v>67</v>
      </c>
      <c r="K7235" s="22" t="s">
        <v>23</v>
      </c>
      <c r="L7235" s="22">
        <v>2</v>
      </c>
      <c r="M7235" s="26">
        <v>69173</v>
      </c>
      <c r="N7235" s="26">
        <v>0</v>
      </c>
      <c r="O7235" s="15">
        <f t="shared" si="644"/>
        <v>69173</v>
      </c>
      <c r="P7235" s="15">
        <f t="shared" si="645"/>
        <v>26.260382974200123</v>
      </c>
      <c r="Q7235" s="25">
        <v>5000</v>
      </c>
      <c r="R7235" s="22">
        <v>53</v>
      </c>
      <c r="S7235" s="22" t="s">
        <v>8792</v>
      </c>
      <c r="T7235" s="22">
        <f t="shared" si="639"/>
        <v>8</v>
      </c>
      <c r="U7235" s="22">
        <f t="shared" si="640"/>
        <v>2023</v>
      </c>
      <c r="V7235" s="22" t="str">
        <f t="shared" si="641"/>
        <v>METROPOLITANA</v>
      </c>
    </row>
    <row r="7236" spans="1:22" x14ac:dyDescent="0.2">
      <c r="A7236" s="23" t="s">
        <v>8784</v>
      </c>
      <c r="B7236" s="22" t="s">
        <v>33</v>
      </c>
      <c r="C7236" s="22" t="s">
        <v>44</v>
      </c>
      <c r="D7236" s="22" t="s">
        <v>8793</v>
      </c>
      <c r="E7236" s="24" t="s">
        <v>8790</v>
      </c>
      <c r="F7236" s="22" t="s">
        <v>66</v>
      </c>
      <c r="G7236" s="25">
        <f>5140.6+2526</f>
        <v>7666.6</v>
      </c>
      <c r="H7236" s="22" t="s">
        <v>85</v>
      </c>
      <c r="I7236" s="22">
        <v>1</v>
      </c>
      <c r="J7236" s="22" t="s">
        <v>66</v>
      </c>
      <c r="K7236" s="22" t="s">
        <v>75</v>
      </c>
      <c r="L7236" s="22">
        <v>0</v>
      </c>
      <c r="M7236" s="26">
        <v>506000</v>
      </c>
      <c r="N7236" s="26">
        <v>0</v>
      </c>
      <c r="O7236" s="15">
        <f t="shared" si="644"/>
        <v>506000</v>
      </c>
      <c r="P7236" s="15">
        <f t="shared" si="645"/>
        <v>66.000573918034064</v>
      </c>
      <c r="Q7236" s="25">
        <v>14000</v>
      </c>
      <c r="R7236" s="22">
        <v>37</v>
      </c>
      <c r="S7236" s="22" t="s">
        <v>8794</v>
      </c>
      <c r="T7236" s="22">
        <f t="shared" si="639"/>
        <v>8</v>
      </c>
      <c r="U7236" s="22">
        <f t="shared" si="640"/>
        <v>2023</v>
      </c>
      <c r="V7236" s="22" t="str">
        <f t="shared" si="641"/>
        <v>REGIONES</v>
      </c>
    </row>
    <row r="7237" spans="1:22" x14ac:dyDescent="0.2">
      <c r="A7237" s="11" t="s">
        <v>8795</v>
      </c>
      <c r="B7237" s="12" t="s">
        <v>33</v>
      </c>
      <c r="C7237" s="12" t="s">
        <v>36</v>
      </c>
      <c r="D7237" s="12" t="s">
        <v>8197</v>
      </c>
      <c r="E7237" s="13">
        <v>94590507</v>
      </c>
      <c r="F7237" s="12" t="s">
        <v>691</v>
      </c>
      <c r="G7237" s="14">
        <v>6230.2999999999984</v>
      </c>
      <c r="H7237" s="12" t="s">
        <v>24</v>
      </c>
      <c r="I7237" s="12">
        <v>1</v>
      </c>
      <c r="J7237" s="12" t="s">
        <v>691</v>
      </c>
      <c r="K7237" s="12" t="s">
        <v>873</v>
      </c>
      <c r="L7237" s="12">
        <v>0</v>
      </c>
      <c r="M7237" s="15">
        <v>1282000</v>
      </c>
      <c r="N7237" s="15">
        <v>0</v>
      </c>
      <c r="O7237" s="15">
        <f t="shared" ref="O7237:O7244" si="646">SUM(M7237:N7237)</f>
        <v>1282000</v>
      </c>
      <c r="P7237" s="15">
        <f t="shared" ref="P7237:P7244" si="647">O7237/G7237</f>
        <v>205.76858257226783</v>
      </c>
      <c r="Q7237" s="14">
        <v>14000</v>
      </c>
      <c r="R7237" s="12">
        <v>45</v>
      </c>
      <c r="S7237" s="12" t="s">
        <v>8796</v>
      </c>
      <c r="T7237" s="22">
        <f t="shared" si="639"/>
        <v>8</v>
      </c>
      <c r="U7237" s="22">
        <f t="shared" si="640"/>
        <v>2023</v>
      </c>
      <c r="V7237" s="22" t="str">
        <f t="shared" si="641"/>
        <v>REGIONES</v>
      </c>
    </row>
    <row r="7238" spans="1:22" x14ac:dyDescent="0.2">
      <c r="A7238" s="11" t="s">
        <v>8795</v>
      </c>
      <c r="B7238" s="12" t="s">
        <v>33</v>
      </c>
      <c r="C7238" s="12" t="s">
        <v>36</v>
      </c>
      <c r="D7238" s="12" t="s">
        <v>45</v>
      </c>
      <c r="E7238" s="13">
        <v>107643206</v>
      </c>
      <c r="F7238" s="12" t="s">
        <v>129</v>
      </c>
      <c r="G7238" s="14">
        <v>2429.7600000000002</v>
      </c>
      <c r="H7238" s="12" t="s">
        <v>22</v>
      </c>
      <c r="I7238" s="12">
        <v>0</v>
      </c>
      <c r="J7238" s="12" t="s">
        <v>129</v>
      </c>
      <c r="K7238" s="12" t="s">
        <v>23</v>
      </c>
      <c r="L7238" s="12">
        <v>1</v>
      </c>
      <c r="M7238" s="15">
        <v>69173</v>
      </c>
      <c r="N7238" s="15">
        <v>0</v>
      </c>
      <c r="O7238" s="15">
        <f t="shared" si="646"/>
        <v>69173</v>
      </c>
      <c r="P7238" s="15">
        <f t="shared" si="647"/>
        <v>28.469066903727114</v>
      </c>
      <c r="Q7238" s="14">
        <v>5000</v>
      </c>
      <c r="R7238" s="12">
        <v>49</v>
      </c>
      <c r="S7238" s="12" t="s">
        <v>8797</v>
      </c>
      <c r="T7238" s="22">
        <f t="shared" si="639"/>
        <v>8</v>
      </c>
      <c r="U7238" s="22">
        <f t="shared" si="640"/>
        <v>2023</v>
      </c>
      <c r="V7238" s="22" t="str">
        <f t="shared" si="641"/>
        <v>METROPOLITANA</v>
      </c>
    </row>
    <row r="7239" spans="1:22" x14ac:dyDescent="0.2">
      <c r="A7239" s="11" t="s">
        <v>8795</v>
      </c>
      <c r="B7239" s="12" t="s">
        <v>33</v>
      </c>
      <c r="C7239" s="12" t="s">
        <v>29</v>
      </c>
      <c r="D7239" s="12" t="s">
        <v>37</v>
      </c>
      <c r="E7239" s="13">
        <v>78907355</v>
      </c>
      <c r="F7239" s="12" t="s">
        <v>39</v>
      </c>
      <c r="G7239" s="14">
        <v>10741.02</v>
      </c>
      <c r="H7239" s="12" t="s">
        <v>22</v>
      </c>
      <c r="I7239" s="12">
        <v>0</v>
      </c>
      <c r="J7239" s="12" t="s">
        <v>39</v>
      </c>
      <c r="K7239" s="12" t="s">
        <v>23</v>
      </c>
      <c r="L7239" s="12">
        <v>1</v>
      </c>
      <c r="M7239" s="15">
        <v>118151</v>
      </c>
      <c r="N7239" s="15">
        <v>0</v>
      </c>
      <c r="O7239" s="15">
        <f t="shared" si="646"/>
        <v>118151</v>
      </c>
      <c r="P7239" s="15">
        <f t="shared" si="647"/>
        <v>10.999979517773916</v>
      </c>
      <c r="Q7239" s="14">
        <v>5000</v>
      </c>
      <c r="R7239" s="12">
        <v>100</v>
      </c>
      <c r="S7239" s="12" t="s">
        <v>8798</v>
      </c>
      <c r="T7239" s="22">
        <f t="shared" si="639"/>
        <v>8</v>
      </c>
      <c r="U7239" s="22">
        <f t="shared" si="640"/>
        <v>2023</v>
      </c>
      <c r="V7239" s="22" t="str">
        <f t="shared" si="641"/>
        <v>METROPOLITANA</v>
      </c>
    </row>
    <row r="7240" spans="1:22" x14ac:dyDescent="0.2">
      <c r="A7240" s="11" t="s">
        <v>8795</v>
      </c>
      <c r="B7240" s="12" t="s">
        <v>33</v>
      </c>
      <c r="C7240" s="12" t="s">
        <v>29</v>
      </c>
      <c r="D7240" s="12" t="s">
        <v>164</v>
      </c>
      <c r="E7240" s="13">
        <v>154837728</v>
      </c>
      <c r="F7240" s="12" t="s">
        <v>39</v>
      </c>
      <c r="G7240" s="14">
        <v>16893.599999999991</v>
      </c>
      <c r="H7240" s="12" t="s">
        <v>22</v>
      </c>
      <c r="I7240" s="12">
        <v>1</v>
      </c>
      <c r="J7240" s="12" t="s">
        <v>39</v>
      </c>
      <c r="K7240" s="12" t="s">
        <v>23</v>
      </c>
      <c r="L7240" s="12">
        <v>1</v>
      </c>
      <c r="M7240" s="15">
        <v>185830</v>
      </c>
      <c r="N7240" s="15">
        <v>0</v>
      </c>
      <c r="O7240" s="15">
        <f t="shared" si="646"/>
        <v>185830</v>
      </c>
      <c r="P7240" s="15">
        <f t="shared" si="647"/>
        <v>11.000023677605727</v>
      </c>
      <c r="Q7240" s="14">
        <v>5000</v>
      </c>
      <c r="R7240" s="12">
        <v>100</v>
      </c>
      <c r="S7240" s="12" t="s">
        <v>8799</v>
      </c>
      <c r="T7240" s="22">
        <f t="shared" si="639"/>
        <v>8</v>
      </c>
      <c r="U7240" s="22">
        <f t="shared" si="640"/>
        <v>2023</v>
      </c>
      <c r="V7240" s="22" t="str">
        <f t="shared" si="641"/>
        <v>METROPOLITANA</v>
      </c>
    </row>
    <row r="7241" spans="1:22" x14ac:dyDescent="0.2">
      <c r="A7241" s="11" t="s">
        <v>8795</v>
      </c>
      <c r="B7241" s="12" t="s">
        <v>33</v>
      </c>
      <c r="C7241" s="12" t="s">
        <v>44</v>
      </c>
      <c r="D7241" s="12" t="s">
        <v>7545</v>
      </c>
      <c r="E7241" s="13">
        <v>180683275</v>
      </c>
      <c r="F7241" s="12" t="s">
        <v>815</v>
      </c>
      <c r="G7241" s="14">
        <f>4566.8+2478</f>
        <v>7044.8</v>
      </c>
      <c r="H7241" s="12" t="s">
        <v>24</v>
      </c>
      <c r="I7241" s="12">
        <v>1</v>
      </c>
      <c r="J7241" s="12" t="s">
        <v>815</v>
      </c>
      <c r="K7241" s="12" t="s">
        <v>75</v>
      </c>
      <c r="L7241" s="12">
        <v>0</v>
      </c>
      <c r="M7241" s="15">
        <v>528000</v>
      </c>
      <c r="N7241" s="15">
        <v>0</v>
      </c>
      <c r="O7241" s="15">
        <f t="shared" si="646"/>
        <v>528000</v>
      </c>
      <c r="P7241" s="15">
        <f t="shared" si="647"/>
        <v>74.948898478310241</v>
      </c>
      <c r="Q7241" s="14">
        <v>14000</v>
      </c>
      <c r="R7241" s="12">
        <v>65</v>
      </c>
      <c r="S7241" s="12" t="s">
        <v>8802</v>
      </c>
      <c r="T7241" s="22">
        <f t="shared" si="639"/>
        <v>8</v>
      </c>
      <c r="U7241" s="22">
        <f t="shared" si="640"/>
        <v>2023</v>
      </c>
      <c r="V7241" s="22" t="str">
        <f t="shared" si="641"/>
        <v>REGIONES</v>
      </c>
    </row>
    <row r="7242" spans="1:22" x14ac:dyDescent="0.2">
      <c r="A7242" s="11" t="s">
        <v>8795</v>
      </c>
      <c r="B7242" s="12" t="s">
        <v>33</v>
      </c>
      <c r="C7242" s="12" t="s">
        <v>44</v>
      </c>
      <c r="D7242" s="12" t="s">
        <v>6793</v>
      </c>
      <c r="E7242" s="13">
        <v>129210451</v>
      </c>
      <c r="F7242" s="12" t="s">
        <v>1105</v>
      </c>
      <c r="G7242" s="14">
        <f>5284.06+3930</f>
        <v>9214.0600000000013</v>
      </c>
      <c r="H7242" s="12" t="s">
        <v>24</v>
      </c>
      <c r="I7242" s="12">
        <v>1</v>
      </c>
      <c r="J7242" s="12" t="s">
        <v>1105</v>
      </c>
      <c r="K7242" s="12" t="s">
        <v>873</v>
      </c>
      <c r="L7242" s="12">
        <v>0</v>
      </c>
      <c r="M7242" s="15">
        <v>1131000</v>
      </c>
      <c r="N7242" s="15">
        <v>0</v>
      </c>
      <c r="O7242" s="15">
        <f t="shared" si="646"/>
        <v>1131000</v>
      </c>
      <c r="P7242" s="15">
        <f t="shared" si="647"/>
        <v>122.74719287697279</v>
      </c>
      <c r="Q7242" s="14">
        <v>14000</v>
      </c>
      <c r="R7242" s="12">
        <v>72</v>
      </c>
      <c r="S7242" s="12" t="s">
        <v>8803</v>
      </c>
      <c r="T7242" s="22">
        <f t="shared" si="639"/>
        <v>8</v>
      </c>
      <c r="U7242" s="22">
        <f t="shared" si="640"/>
        <v>2023</v>
      </c>
      <c r="V7242" s="22" t="str">
        <f t="shared" si="641"/>
        <v>REGIONES</v>
      </c>
    </row>
    <row r="7243" spans="1:22" x14ac:dyDescent="0.2">
      <c r="A7243" s="11" t="s">
        <v>8795</v>
      </c>
      <c r="B7243" s="12" t="s">
        <v>33</v>
      </c>
      <c r="C7243" s="12" t="s">
        <v>44</v>
      </c>
      <c r="D7243" s="12" t="s">
        <v>8580</v>
      </c>
      <c r="E7243" s="13">
        <v>276547747</v>
      </c>
      <c r="F7243" s="12" t="s">
        <v>26</v>
      </c>
      <c r="G7243" s="14">
        <v>3001.6</v>
      </c>
      <c r="H7243" s="12" t="s">
        <v>24</v>
      </c>
      <c r="I7243" s="12">
        <v>1</v>
      </c>
      <c r="J7243" s="12" t="s">
        <v>26</v>
      </c>
      <c r="K7243" s="12" t="s">
        <v>23</v>
      </c>
      <c r="L7243" s="12">
        <v>4</v>
      </c>
      <c r="M7243" s="15">
        <v>69173</v>
      </c>
      <c r="N7243" s="15">
        <v>0</v>
      </c>
      <c r="O7243" s="15">
        <f t="shared" si="646"/>
        <v>69173</v>
      </c>
      <c r="P7243" s="15">
        <f t="shared" si="647"/>
        <v>23.045375799573563</v>
      </c>
      <c r="Q7243" s="14">
        <v>5000</v>
      </c>
      <c r="R7243" s="12">
        <v>60</v>
      </c>
      <c r="S7243" s="12" t="s">
        <v>8800</v>
      </c>
      <c r="T7243" s="22">
        <f t="shared" si="639"/>
        <v>8</v>
      </c>
      <c r="U7243" s="22">
        <f t="shared" si="640"/>
        <v>2023</v>
      </c>
      <c r="V7243" s="22" t="str">
        <f t="shared" si="641"/>
        <v>METROPOLITANA</v>
      </c>
    </row>
    <row r="7244" spans="1:22" x14ac:dyDescent="0.2">
      <c r="A7244" s="11" t="s">
        <v>8795</v>
      </c>
      <c r="B7244" s="12" t="s">
        <v>33</v>
      </c>
      <c r="C7244" s="12" t="s">
        <v>44</v>
      </c>
      <c r="D7244" s="12" t="s">
        <v>35</v>
      </c>
      <c r="E7244" s="13">
        <v>99626232</v>
      </c>
      <c r="F7244" s="12" t="s">
        <v>53</v>
      </c>
      <c r="G7244" s="14">
        <v>2721.7</v>
      </c>
      <c r="H7244" s="12" t="s">
        <v>22</v>
      </c>
      <c r="I7244" s="12">
        <v>0</v>
      </c>
      <c r="J7244" s="12" t="s">
        <v>53</v>
      </c>
      <c r="K7244" s="12" t="s">
        <v>23</v>
      </c>
      <c r="L7244" s="12">
        <v>3</v>
      </c>
      <c r="M7244" s="15">
        <v>69173</v>
      </c>
      <c r="N7244" s="15">
        <v>0</v>
      </c>
      <c r="O7244" s="15">
        <f t="shared" si="646"/>
        <v>69173</v>
      </c>
      <c r="P7244" s="15">
        <f t="shared" si="647"/>
        <v>25.415365396627109</v>
      </c>
      <c r="Q7244" s="14">
        <v>5000</v>
      </c>
      <c r="R7244" s="12">
        <v>54</v>
      </c>
      <c r="S7244" s="12" t="s">
        <v>8801</v>
      </c>
      <c r="T7244" s="22">
        <f t="shared" si="639"/>
        <v>8</v>
      </c>
      <c r="U7244" s="22">
        <f t="shared" si="640"/>
        <v>2023</v>
      </c>
      <c r="V7244" s="22" t="str">
        <f t="shared" si="641"/>
        <v>METROPOLITANA</v>
      </c>
    </row>
    <row r="7245" spans="1:22" x14ac:dyDescent="0.2">
      <c r="A7245" s="23" t="s">
        <v>8804</v>
      </c>
      <c r="B7245" s="22" t="s">
        <v>18</v>
      </c>
      <c r="C7245" s="22" t="s">
        <v>7400</v>
      </c>
      <c r="D7245" s="22" t="s">
        <v>370</v>
      </c>
      <c r="E7245" s="24">
        <v>94742285</v>
      </c>
      <c r="F7245" s="22" t="s">
        <v>727</v>
      </c>
      <c r="G7245" s="25">
        <v>19785.020000000011</v>
      </c>
      <c r="H7245" s="22" t="s">
        <v>85</v>
      </c>
      <c r="I7245" s="22">
        <v>1</v>
      </c>
      <c r="J7245" s="22" t="s">
        <v>727</v>
      </c>
      <c r="K7245" s="22" t="s">
        <v>23</v>
      </c>
      <c r="L7245" s="22">
        <v>2</v>
      </c>
      <c r="M7245" s="26">
        <v>217635</v>
      </c>
      <c r="N7245" s="26">
        <v>0</v>
      </c>
      <c r="O7245" s="15">
        <f t="shared" ref="O7245:O7254" si="648">SUM(M7245:N7245)</f>
        <v>217635</v>
      </c>
      <c r="P7245" s="15">
        <f t="shared" ref="P7245:P7254" si="649">O7245/G7245</f>
        <v>10.999988880476232</v>
      </c>
      <c r="Q7245" s="25">
        <v>5000</v>
      </c>
      <c r="R7245" s="22">
        <v>100</v>
      </c>
      <c r="S7245" s="22" t="s">
        <v>8805</v>
      </c>
      <c r="T7245" s="22">
        <f t="shared" si="639"/>
        <v>8</v>
      </c>
      <c r="U7245" s="22">
        <f t="shared" si="640"/>
        <v>2023</v>
      </c>
      <c r="V7245" s="22" t="str">
        <f t="shared" si="641"/>
        <v>METROPOLITANA</v>
      </c>
    </row>
    <row r="7246" spans="1:22" x14ac:dyDescent="0.2">
      <c r="A7246" s="23" t="s">
        <v>8804</v>
      </c>
      <c r="B7246" s="22" t="s">
        <v>18</v>
      </c>
      <c r="C7246" s="22" t="s">
        <v>7400</v>
      </c>
      <c r="D7246" s="22" t="s">
        <v>3641</v>
      </c>
      <c r="E7246" s="24">
        <v>100822326</v>
      </c>
      <c r="F7246" s="22" t="s">
        <v>727</v>
      </c>
      <c r="G7246" s="25">
        <f>13129.78+1295</f>
        <v>14424.78</v>
      </c>
      <c r="H7246" s="22" t="s">
        <v>24</v>
      </c>
      <c r="I7246" s="22">
        <v>1</v>
      </c>
      <c r="J7246" s="22" t="s">
        <v>727</v>
      </c>
      <c r="K7246" s="22" t="s">
        <v>23</v>
      </c>
      <c r="L7246" s="22">
        <v>2</v>
      </c>
      <c r="M7246" s="26">
        <v>144428</v>
      </c>
      <c r="N7246" s="26">
        <v>0</v>
      </c>
      <c r="O7246" s="15">
        <f t="shared" si="648"/>
        <v>144428</v>
      </c>
      <c r="P7246" s="15">
        <f t="shared" si="649"/>
        <v>10.01249239156507</v>
      </c>
      <c r="Q7246" s="25">
        <v>5000</v>
      </c>
      <c r="R7246" s="22">
        <v>100</v>
      </c>
      <c r="S7246" s="22" t="s">
        <v>8813</v>
      </c>
      <c r="T7246" s="22">
        <f t="shared" si="639"/>
        <v>8</v>
      </c>
      <c r="U7246" s="22">
        <f t="shared" si="640"/>
        <v>2023</v>
      </c>
      <c r="V7246" s="22" t="str">
        <f t="shared" si="641"/>
        <v>METROPOLITANA</v>
      </c>
    </row>
    <row r="7247" spans="1:22" x14ac:dyDescent="0.2">
      <c r="A7247" s="23" t="s">
        <v>8804</v>
      </c>
      <c r="B7247" s="22" t="s">
        <v>18</v>
      </c>
      <c r="C7247" s="22" t="s">
        <v>29</v>
      </c>
      <c r="D7247" s="22" t="s">
        <v>6218</v>
      </c>
      <c r="E7247" s="24">
        <v>60688508</v>
      </c>
      <c r="F7247" s="22" t="s">
        <v>305</v>
      </c>
      <c r="G7247" s="25">
        <v>26936</v>
      </c>
      <c r="H7247" s="22" t="s">
        <v>24</v>
      </c>
      <c r="I7247" s="22">
        <v>1</v>
      </c>
      <c r="J7247" s="22" t="s">
        <v>305</v>
      </c>
      <c r="K7247" s="22" t="s">
        <v>306</v>
      </c>
      <c r="L7247" s="22">
        <v>0</v>
      </c>
      <c r="M7247" s="26">
        <v>2550000</v>
      </c>
      <c r="N7247" s="26">
        <v>0</v>
      </c>
      <c r="O7247" s="15">
        <f t="shared" si="648"/>
        <v>2550000</v>
      </c>
      <c r="P7247" s="15">
        <f t="shared" si="649"/>
        <v>94.66884466884467</v>
      </c>
      <c r="Q7247" s="25">
        <v>14000</v>
      </c>
      <c r="R7247" s="22">
        <v>100</v>
      </c>
      <c r="S7247" s="22" t="s">
        <v>8806</v>
      </c>
      <c r="T7247" s="22">
        <f t="shared" si="639"/>
        <v>8</v>
      </c>
      <c r="U7247" s="22">
        <f t="shared" si="640"/>
        <v>2023</v>
      </c>
      <c r="V7247" s="22" t="str">
        <f t="shared" si="641"/>
        <v>REGIONES</v>
      </c>
    </row>
    <row r="7248" spans="1:22" x14ac:dyDescent="0.2">
      <c r="A7248" s="23" t="s">
        <v>8804</v>
      </c>
      <c r="B7248" s="22" t="s">
        <v>18</v>
      </c>
      <c r="C7248" s="22" t="s">
        <v>29</v>
      </c>
      <c r="D7248" s="22" t="s">
        <v>6455</v>
      </c>
      <c r="E7248" s="24">
        <v>116608979</v>
      </c>
      <c r="F7248" s="22" t="s">
        <v>305</v>
      </c>
      <c r="G7248" s="25">
        <v>26936</v>
      </c>
      <c r="H7248" s="22" t="s">
        <v>24</v>
      </c>
      <c r="I7248" s="22">
        <v>1</v>
      </c>
      <c r="J7248" s="22" t="s">
        <v>305</v>
      </c>
      <c r="K7248" s="22" t="s">
        <v>306</v>
      </c>
      <c r="L7248" s="22">
        <v>0</v>
      </c>
      <c r="M7248" s="26">
        <v>2550000</v>
      </c>
      <c r="N7248" s="26">
        <v>0</v>
      </c>
      <c r="O7248" s="15">
        <f t="shared" si="648"/>
        <v>2550000</v>
      </c>
      <c r="P7248" s="15">
        <f t="shared" si="649"/>
        <v>94.66884466884467</v>
      </c>
      <c r="Q7248" s="25">
        <v>14000</v>
      </c>
      <c r="R7248" s="22">
        <v>100</v>
      </c>
      <c r="S7248" s="22" t="s">
        <v>8807</v>
      </c>
      <c r="T7248" s="22">
        <f t="shared" si="639"/>
        <v>8</v>
      </c>
      <c r="U7248" s="22">
        <f t="shared" si="640"/>
        <v>2023</v>
      </c>
      <c r="V7248" s="22" t="str">
        <f t="shared" si="641"/>
        <v>REGIONES</v>
      </c>
    </row>
    <row r="7249" spans="1:22" x14ac:dyDescent="0.2">
      <c r="A7249" s="23" t="s">
        <v>8804</v>
      </c>
      <c r="B7249" s="22" t="s">
        <v>33</v>
      </c>
      <c r="C7249" s="22" t="s">
        <v>60</v>
      </c>
      <c r="D7249" s="22" t="s">
        <v>37</v>
      </c>
      <c r="E7249" s="24">
        <v>103018366</v>
      </c>
      <c r="F7249" s="22" t="s">
        <v>1105</v>
      </c>
      <c r="G7249" s="25">
        <f>2845.2+1052+4311</f>
        <v>8208.2000000000007</v>
      </c>
      <c r="H7249" s="22" t="s">
        <v>22</v>
      </c>
      <c r="I7249" s="22">
        <v>0</v>
      </c>
      <c r="J7249" s="22" t="s">
        <v>1105</v>
      </c>
      <c r="K7249" s="22" t="s">
        <v>873</v>
      </c>
      <c r="L7249" s="22">
        <v>0</v>
      </c>
      <c r="M7249" s="26">
        <v>1131000</v>
      </c>
      <c r="N7249" s="26">
        <v>0</v>
      </c>
      <c r="O7249" s="15">
        <f t="shared" si="648"/>
        <v>1131000</v>
      </c>
      <c r="P7249" s="15">
        <f t="shared" si="649"/>
        <v>137.78904022806461</v>
      </c>
      <c r="Q7249" s="25">
        <v>14000</v>
      </c>
      <c r="R7249" s="22">
        <v>100</v>
      </c>
      <c r="S7249" s="22" t="s">
        <v>8814</v>
      </c>
      <c r="T7249" s="22">
        <f t="shared" si="639"/>
        <v>8</v>
      </c>
      <c r="U7249" s="22">
        <f t="shared" si="640"/>
        <v>2023</v>
      </c>
      <c r="V7249" s="22" t="str">
        <f t="shared" si="641"/>
        <v>REGIONES</v>
      </c>
    </row>
    <row r="7250" spans="1:22" x14ac:dyDescent="0.2">
      <c r="A7250" s="23" t="s">
        <v>8804</v>
      </c>
      <c r="B7250" s="22" t="s">
        <v>33</v>
      </c>
      <c r="C7250" s="22" t="s">
        <v>60</v>
      </c>
      <c r="D7250" s="22" t="s">
        <v>8808</v>
      </c>
      <c r="E7250" s="24">
        <v>124860342</v>
      </c>
      <c r="F7250" s="22" t="s">
        <v>815</v>
      </c>
      <c r="G7250" s="25">
        <f>6209.9+4420</f>
        <v>10629.9</v>
      </c>
      <c r="H7250" s="22" t="s">
        <v>24</v>
      </c>
      <c r="I7250" s="22">
        <v>1</v>
      </c>
      <c r="J7250" s="22" t="s">
        <v>815</v>
      </c>
      <c r="K7250" s="22" t="s">
        <v>75</v>
      </c>
      <c r="L7250" s="22">
        <v>0</v>
      </c>
      <c r="M7250" s="26">
        <v>528000</v>
      </c>
      <c r="N7250" s="26">
        <v>0</v>
      </c>
      <c r="O7250" s="15">
        <f t="shared" si="648"/>
        <v>528000</v>
      </c>
      <c r="P7250" s="15">
        <f t="shared" si="649"/>
        <v>49.671210453532019</v>
      </c>
      <c r="Q7250" s="25">
        <v>14000</v>
      </c>
      <c r="R7250" s="22">
        <v>75</v>
      </c>
      <c r="S7250" s="22" t="s">
        <v>8815</v>
      </c>
      <c r="T7250" s="22">
        <f t="shared" si="639"/>
        <v>8</v>
      </c>
      <c r="U7250" s="22">
        <f t="shared" si="640"/>
        <v>2023</v>
      </c>
      <c r="V7250" s="22" t="str">
        <f t="shared" si="641"/>
        <v>REGIONES</v>
      </c>
    </row>
    <row r="7251" spans="1:22" x14ac:dyDescent="0.2">
      <c r="A7251" s="23" t="s">
        <v>8804</v>
      </c>
      <c r="B7251" s="22" t="s">
        <v>33</v>
      </c>
      <c r="C7251" s="22" t="s">
        <v>128</v>
      </c>
      <c r="D7251" s="22" t="s">
        <v>786</v>
      </c>
      <c r="E7251" s="24">
        <v>95707734</v>
      </c>
      <c r="F7251" s="22" t="s">
        <v>34</v>
      </c>
      <c r="G7251" s="25">
        <v>10754.4</v>
      </c>
      <c r="H7251" s="22" t="s">
        <v>788</v>
      </c>
      <c r="I7251" s="22">
        <v>1</v>
      </c>
      <c r="J7251" s="22" t="s">
        <v>34</v>
      </c>
      <c r="K7251" s="22" t="s">
        <v>23</v>
      </c>
      <c r="L7251" s="22">
        <v>1</v>
      </c>
      <c r="M7251" s="26">
        <v>118298</v>
      </c>
      <c r="N7251" s="26">
        <v>0</v>
      </c>
      <c r="O7251" s="15">
        <f t="shared" si="648"/>
        <v>118298</v>
      </c>
      <c r="P7251" s="15">
        <f t="shared" si="649"/>
        <v>10.999962805921298</v>
      </c>
      <c r="Q7251" s="25">
        <v>5000</v>
      </c>
      <c r="R7251" s="22">
        <v>100</v>
      </c>
      <c r="S7251" s="22" t="s">
        <v>8809</v>
      </c>
      <c r="T7251" s="22">
        <f t="shared" si="639"/>
        <v>8</v>
      </c>
      <c r="U7251" s="22">
        <f t="shared" si="640"/>
        <v>2023</v>
      </c>
      <c r="V7251" s="22" t="str">
        <f t="shared" si="641"/>
        <v>METROPOLITANA</v>
      </c>
    </row>
    <row r="7252" spans="1:22" x14ac:dyDescent="0.2">
      <c r="A7252" s="23" t="s">
        <v>8804</v>
      </c>
      <c r="B7252" s="22" t="s">
        <v>33</v>
      </c>
      <c r="C7252" s="22" t="s">
        <v>29</v>
      </c>
      <c r="D7252" s="22" t="s">
        <v>30</v>
      </c>
      <c r="E7252" s="24">
        <v>72564391</v>
      </c>
      <c r="F7252" s="22" t="s">
        <v>5869</v>
      </c>
      <c r="G7252" s="25">
        <v>10283.06</v>
      </c>
      <c r="H7252" s="22" t="s">
        <v>32</v>
      </c>
      <c r="I7252" s="22">
        <v>0</v>
      </c>
      <c r="J7252" s="22" t="s">
        <v>5869</v>
      </c>
      <c r="K7252" s="22" t="s">
        <v>78</v>
      </c>
      <c r="L7252" s="22">
        <v>0</v>
      </c>
      <c r="M7252" s="26">
        <v>250000</v>
      </c>
      <c r="N7252" s="26">
        <v>0</v>
      </c>
      <c r="O7252" s="15">
        <f t="shared" si="648"/>
        <v>250000</v>
      </c>
      <c r="P7252" s="15">
        <f t="shared" si="649"/>
        <v>24.311829358187154</v>
      </c>
      <c r="Q7252" s="25">
        <v>14000</v>
      </c>
      <c r="R7252" s="22">
        <v>73</v>
      </c>
      <c r="S7252" s="22" t="s">
        <v>8810</v>
      </c>
      <c r="T7252" s="22">
        <f t="shared" si="639"/>
        <v>8</v>
      </c>
      <c r="U7252" s="22">
        <f t="shared" si="640"/>
        <v>2023</v>
      </c>
      <c r="V7252" s="22" t="str">
        <f t="shared" si="641"/>
        <v>REGIONES</v>
      </c>
    </row>
    <row r="7253" spans="1:22" x14ac:dyDescent="0.2">
      <c r="A7253" s="23" t="s">
        <v>8804</v>
      </c>
      <c r="B7253" s="22" t="s">
        <v>33</v>
      </c>
      <c r="C7253" s="22" t="s">
        <v>29</v>
      </c>
      <c r="D7253" s="22" t="s">
        <v>8219</v>
      </c>
      <c r="E7253" s="24">
        <v>73835526</v>
      </c>
      <c r="F7253" s="22" t="s">
        <v>39</v>
      </c>
      <c r="G7253" s="25">
        <v>8939.6</v>
      </c>
      <c r="H7253" s="22" t="s">
        <v>24</v>
      </c>
      <c r="I7253" s="22">
        <v>1</v>
      </c>
      <c r="J7253" s="22" t="s">
        <v>39</v>
      </c>
      <c r="K7253" s="22" t="s">
        <v>23</v>
      </c>
      <c r="L7253" s="22">
        <v>1</v>
      </c>
      <c r="M7253" s="26">
        <v>98336</v>
      </c>
      <c r="N7253" s="26">
        <v>0</v>
      </c>
      <c r="O7253" s="15">
        <f t="shared" si="648"/>
        <v>98336</v>
      </c>
      <c r="P7253" s="15">
        <f t="shared" si="649"/>
        <v>11.000044744731307</v>
      </c>
      <c r="Q7253" s="25">
        <v>5000</v>
      </c>
      <c r="R7253" s="22">
        <v>100</v>
      </c>
      <c r="S7253" s="22" t="s">
        <v>8811</v>
      </c>
      <c r="T7253" s="22">
        <f t="shared" si="639"/>
        <v>8</v>
      </c>
      <c r="U7253" s="22">
        <f t="shared" si="640"/>
        <v>2023</v>
      </c>
      <c r="V7253" s="22" t="str">
        <f t="shared" si="641"/>
        <v>METROPOLITANA</v>
      </c>
    </row>
    <row r="7254" spans="1:22" x14ac:dyDescent="0.2">
      <c r="A7254" s="23" t="s">
        <v>8804</v>
      </c>
      <c r="B7254" s="22" t="s">
        <v>33</v>
      </c>
      <c r="C7254" s="22" t="s">
        <v>29</v>
      </c>
      <c r="D7254" s="22" t="s">
        <v>164</v>
      </c>
      <c r="E7254" s="24">
        <v>154837728</v>
      </c>
      <c r="F7254" s="22" t="s">
        <v>39</v>
      </c>
      <c r="G7254" s="25">
        <v>14984.46</v>
      </c>
      <c r="H7254" s="22" t="s">
        <v>22</v>
      </c>
      <c r="I7254" s="22">
        <v>1</v>
      </c>
      <c r="J7254" s="22" t="s">
        <v>39</v>
      </c>
      <c r="K7254" s="22" t="s">
        <v>23</v>
      </c>
      <c r="L7254" s="22">
        <v>1</v>
      </c>
      <c r="M7254" s="26">
        <v>164829</v>
      </c>
      <c r="N7254" s="26">
        <v>0</v>
      </c>
      <c r="O7254" s="15">
        <f t="shared" si="648"/>
        <v>164829</v>
      </c>
      <c r="P7254" s="15">
        <f t="shared" si="649"/>
        <v>10.999995995851704</v>
      </c>
      <c r="Q7254" s="25">
        <v>5000</v>
      </c>
      <c r="R7254" s="22">
        <v>100</v>
      </c>
      <c r="S7254" s="22" t="s">
        <v>8812</v>
      </c>
      <c r="T7254" s="22">
        <f t="shared" si="639"/>
        <v>8</v>
      </c>
      <c r="U7254" s="22">
        <f t="shared" si="640"/>
        <v>2023</v>
      </c>
      <c r="V7254" s="22" t="str">
        <f t="shared" si="641"/>
        <v>METROPOLITANA</v>
      </c>
    </row>
    <row r="7255" spans="1:22" x14ac:dyDescent="0.2">
      <c r="A7255" s="11" t="s">
        <v>8816</v>
      </c>
      <c r="B7255" s="12" t="s">
        <v>18</v>
      </c>
      <c r="C7255" s="12" t="s">
        <v>57</v>
      </c>
      <c r="D7255" s="12" t="s">
        <v>38</v>
      </c>
      <c r="E7255" s="13">
        <v>125108660</v>
      </c>
      <c r="F7255" s="12" t="s">
        <v>51</v>
      </c>
      <c r="G7255" s="14">
        <v>5077.83</v>
      </c>
      <c r="H7255" s="12" t="s">
        <v>43</v>
      </c>
      <c r="I7255" s="12">
        <v>0</v>
      </c>
      <c r="J7255" s="12" t="s">
        <v>51</v>
      </c>
      <c r="K7255" s="12" t="s">
        <v>23</v>
      </c>
      <c r="L7255" s="12">
        <v>4</v>
      </c>
      <c r="M7255" s="15">
        <v>55856</v>
      </c>
      <c r="N7255" s="15">
        <v>0</v>
      </c>
      <c r="O7255" s="15">
        <f t="shared" ref="O7255:O7263" si="650">SUM(M7255:N7255)</f>
        <v>55856</v>
      </c>
      <c r="P7255" s="15">
        <f t="shared" ref="P7255:P7263" si="651">O7255/G7255</f>
        <v>10.99997439851275</v>
      </c>
      <c r="Q7255" s="14">
        <v>5000</v>
      </c>
      <c r="R7255" s="12">
        <v>100</v>
      </c>
      <c r="S7255" s="12" t="s">
        <v>8817</v>
      </c>
      <c r="T7255" s="22">
        <f t="shared" si="639"/>
        <v>8</v>
      </c>
      <c r="U7255" s="22">
        <f t="shared" si="640"/>
        <v>2023</v>
      </c>
      <c r="V7255" s="22" t="str">
        <f t="shared" si="641"/>
        <v>METROPOLITANA</v>
      </c>
    </row>
    <row r="7256" spans="1:22" x14ac:dyDescent="0.2">
      <c r="A7256" s="11" t="s">
        <v>8816</v>
      </c>
      <c r="B7256" s="12" t="s">
        <v>18</v>
      </c>
      <c r="C7256" s="12" t="s">
        <v>19</v>
      </c>
      <c r="D7256" s="12" t="s">
        <v>5478</v>
      </c>
      <c r="E7256" s="13">
        <v>122975819</v>
      </c>
      <c r="F7256" s="12" t="s">
        <v>84</v>
      </c>
      <c r="G7256" s="14">
        <v>18060.96000000001</v>
      </c>
      <c r="H7256" s="12" t="s">
        <v>24</v>
      </c>
      <c r="I7256" s="12">
        <v>1</v>
      </c>
      <c r="J7256" s="12" t="s">
        <v>84</v>
      </c>
      <c r="K7256" s="12" t="s">
        <v>86</v>
      </c>
      <c r="L7256" s="12">
        <v>0</v>
      </c>
      <c r="M7256" s="15">
        <v>402000</v>
      </c>
      <c r="N7256" s="15">
        <v>0</v>
      </c>
      <c r="O7256" s="15">
        <f t="shared" si="650"/>
        <v>402000</v>
      </c>
      <c r="P7256" s="15">
        <f t="shared" si="651"/>
        <v>22.257953065617762</v>
      </c>
      <c r="Q7256" s="14">
        <v>14000</v>
      </c>
      <c r="R7256" s="12">
        <v>100</v>
      </c>
      <c r="S7256" s="12" t="s">
        <v>8818</v>
      </c>
      <c r="T7256" s="22">
        <f t="shared" si="639"/>
        <v>8</v>
      </c>
      <c r="U7256" s="22">
        <f t="shared" si="640"/>
        <v>2023</v>
      </c>
      <c r="V7256" s="22" t="str">
        <f t="shared" si="641"/>
        <v>REGIONES</v>
      </c>
    </row>
    <row r="7257" spans="1:22" x14ac:dyDescent="0.2">
      <c r="A7257" s="11" t="s">
        <v>8816</v>
      </c>
      <c r="B7257" s="12" t="s">
        <v>33</v>
      </c>
      <c r="C7257" s="12" t="s">
        <v>60</v>
      </c>
      <c r="D7257" s="12" t="s">
        <v>38</v>
      </c>
      <c r="E7257" s="13">
        <v>125108660</v>
      </c>
      <c r="F7257" s="12" t="s">
        <v>51</v>
      </c>
      <c r="G7257" s="14">
        <v>3001.6</v>
      </c>
      <c r="H7257" s="12" t="s">
        <v>43</v>
      </c>
      <c r="I7257" s="12">
        <v>0</v>
      </c>
      <c r="J7257" s="12" t="s">
        <v>51</v>
      </c>
      <c r="K7257" s="12" t="s">
        <v>23</v>
      </c>
      <c r="L7257" s="12">
        <v>4</v>
      </c>
      <c r="M7257" s="15">
        <v>69173</v>
      </c>
      <c r="N7257" s="15">
        <v>0</v>
      </c>
      <c r="O7257" s="15">
        <f t="shared" si="650"/>
        <v>69173</v>
      </c>
      <c r="P7257" s="15">
        <f t="shared" si="651"/>
        <v>23.045375799573563</v>
      </c>
      <c r="Q7257" s="14">
        <v>5000</v>
      </c>
      <c r="R7257" s="12">
        <v>60</v>
      </c>
      <c r="S7257" s="12" t="s">
        <v>8819</v>
      </c>
      <c r="T7257" s="22">
        <f t="shared" si="639"/>
        <v>8</v>
      </c>
      <c r="U7257" s="22">
        <f t="shared" si="640"/>
        <v>2023</v>
      </c>
      <c r="V7257" s="22" t="str">
        <f t="shared" si="641"/>
        <v>METROPOLITANA</v>
      </c>
    </row>
    <row r="7258" spans="1:22" x14ac:dyDescent="0.2">
      <c r="A7258" s="11" t="s">
        <v>8816</v>
      </c>
      <c r="B7258" s="12" t="s">
        <v>33</v>
      </c>
      <c r="C7258" s="12" t="s">
        <v>8229</v>
      </c>
      <c r="D7258" s="12" t="s">
        <v>20</v>
      </c>
      <c r="E7258" s="13">
        <v>7890735</v>
      </c>
      <c r="F7258" s="12" t="s">
        <v>26</v>
      </c>
      <c r="G7258" s="14">
        <v>6100</v>
      </c>
      <c r="H7258" s="12" t="s">
        <v>22</v>
      </c>
      <c r="I7258" s="12">
        <v>0</v>
      </c>
      <c r="J7258" s="12" t="s">
        <v>26</v>
      </c>
      <c r="K7258" s="12" t="s">
        <v>23</v>
      </c>
      <c r="L7258" s="12">
        <v>4</v>
      </c>
      <c r="M7258" s="15">
        <v>67100</v>
      </c>
      <c r="N7258" s="15">
        <v>0</v>
      </c>
      <c r="O7258" s="15">
        <f t="shared" si="650"/>
        <v>67100</v>
      </c>
      <c r="P7258" s="15">
        <f t="shared" si="651"/>
        <v>11</v>
      </c>
      <c r="Q7258" s="14">
        <v>5000</v>
      </c>
      <c r="R7258" s="12">
        <v>100</v>
      </c>
      <c r="S7258" s="12" t="s">
        <v>8820</v>
      </c>
      <c r="T7258" s="22">
        <f t="shared" si="639"/>
        <v>8</v>
      </c>
      <c r="U7258" s="22">
        <f t="shared" si="640"/>
        <v>2023</v>
      </c>
      <c r="V7258" s="22" t="str">
        <f t="shared" si="641"/>
        <v>METROPOLITANA</v>
      </c>
    </row>
    <row r="7259" spans="1:22" x14ac:dyDescent="0.2">
      <c r="A7259" s="11" t="s">
        <v>8816</v>
      </c>
      <c r="B7259" s="12" t="s">
        <v>33</v>
      </c>
      <c r="C7259" s="12" t="s">
        <v>29</v>
      </c>
      <c r="D7259" s="12" t="s">
        <v>7203</v>
      </c>
      <c r="E7259" s="13">
        <v>165132386</v>
      </c>
      <c r="F7259" s="12" t="s">
        <v>815</v>
      </c>
      <c r="G7259" s="14">
        <v>9108.6</v>
      </c>
      <c r="H7259" s="12" t="s">
        <v>24</v>
      </c>
      <c r="I7259" s="12">
        <v>1</v>
      </c>
      <c r="J7259" s="12" t="s">
        <v>815</v>
      </c>
      <c r="K7259" s="12" t="s">
        <v>75</v>
      </c>
      <c r="L7259" s="12">
        <v>0</v>
      </c>
      <c r="M7259" s="15">
        <v>528000</v>
      </c>
      <c r="N7259" s="15">
        <v>0</v>
      </c>
      <c r="O7259" s="15">
        <f t="shared" si="650"/>
        <v>528000</v>
      </c>
      <c r="P7259" s="15">
        <f t="shared" si="651"/>
        <v>57.967195836901389</v>
      </c>
      <c r="Q7259" s="14">
        <v>14000</v>
      </c>
      <c r="R7259" s="12">
        <v>65</v>
      </c>
      <c r="S7259" s="12" t="s">
        <v>8821</v>
      </c>
      <c r="T7259" s="22">
        <f t="shared" si="639"/>
        <v>8</v>
      </c>
      <c r="U7259" s="22">
        <f t="shared" si="640"/>
        <v>2023</v>
      </c>
      <c r="V7259" s="22" t="str">
        <f t="shared" si="641"/>
        <v>REGIONES</v>
      </c>
    </row>
    <row r="7260" spans="1:22" x14ac:dyDescent="0.2">
      <c r="A7260" s="11" t="s">
        <v>8816</v>
      </c>
      <c r="B7260" s="12" t="s">
        <v>33</v>
      </c>
      <c r="C7260" s="12" t="s">
        <v>29</v>
      </c>
      <c r="D7260" s="12" t="s">
        <v>8219</v>
      </c>
      <c r="E7260" s="13">
        <v>73835526</v>
      </c>
      <c r="F7260" s="12" t="s">
        <v>39</v>
      </c>
      <c r="G7260" s="14">
        <v>10790.75</v>
      </c>
      <c r="H7260" s="12" t="s">
        <v>24</v>
      </c>
      <c r="I7260" s="12">
        <v>1</v>
      </c>
      <c r="J7260" s="12" t="s">
        <v>39</v>
      </c>
      <c r="K7260" s="12" t="s">
        <v>23</v>
      </c>
      <c r="L7260" s="12">
        <v>1</v>
      </c>
      <c r="M7260" s="15">
        <v>118698</v>
      </c>
      <c r="N7260" s="15">
        <v>0</v>
      </c>
      <c r="O7260" s="15">
        <f t="shared" si="650"/>
        <v>118698</v>
      </c>
      <c r="P7260" s="15">
        <f t="shared" si="651"/>
        <v>10.999976832008896</v>
      </c>
      <c r="Q7260" s="14">
        <v>5000</v>
      </c>
      <c r="R7260" s="12">
        <v>100</v>
      </c>
      <c r="S7260" s="12" t="s">
        <v>8822</v>
      </c>
      <c r="T7260" s="22">
        <f t="shared" si="639"/>
        <v>8</v>
      </c>
      <c r="U7260" s="22">
        <f t="shared" si="640"/>
        <v>2023</v>
      </c>
      <c r="V7260" s="22" t="str">
        <f t="shared" si="641"/>
        <v>METROPOLITANA</v>
      </c>
    </row>
    <row r="7261" spans="1:22" x14ac:dyDescent="0.2">
      <c r="A7261" s="11" t="s">
        <v>8816</v>
      </c>
      <c r="B7261" s="12" t="s">
        <v>33</v>
      </c>
      <c r="C7261" s="12" t="s">
        <v>29</v>
      </c>
      <c r="D7261" s="12" t="s">
        <v>164</v>
      </c>
      <c r="E7261" s="13">
        <v>154837728</v>
      </c>
      <c r="F7261" s="12" t="s">
        <v>39</v>
      </c>
      <c r="G7261" s="14">
        <v>23312.260000000009</v>
      </c>
      <c r="H7261" s="12" t="s">
        <v>22</v>
      </c>
      <c r="I7261" s="12">
        <v>1</v>
      </c>
      <c r="J7261" s="12" t="s">
        <v>39</v>
      </c>
      <c r="K7261" s="12" t="s">
        <v>23</v>
      </c>
      <c r="L7261" s="12">
        <v>1</v>
      </c>
      <c r="M7261" s="15">
        <v>256435</v>
      </c>
      <c r="N7261" s="15">
        <v>0</v>
      </c>
      <c r="O7261" s="15">
        <f t="shared" si="650"/>
        <v>256435</v>
      </c>
      <c r="P7261" s="15">
        <f t="shared" si="651"/>
        <v>11.000006005423751</v>
      </c>
      <c r="Q7261" s="14">
        <v>5000</v>
      </c>
      <c r="R7261" s="12">
        <v>100</v>
      </c>
      <c r="S7261" s="12" t="s">
        <v>8823</v>
      </c>
      <c r="T7261" s="22">
        <f t="shared" si="639"/>
        <v>8</v>
      </c>
      <c r="U7261" s="22">
        <f t="shared" si="640"/>
        <v>2023</v>
      </c>
      <c r="V7261" s="22" t="str">
        <f t="shared" si="641"/>
        <v>METROPOLITANA</v>
      </c>
    </row>
    <row r="7262" spans="1:22" x14ac:dyDescent="0.2">
      <c r="A7262" s="11" t="s">
        <v>8816</v>
      </c>
      <c r="B7262" s="12" t="s">
        <v>33</v>
      </c>
      <c r="C7262" s="12" t="s">
        <v>44</v>
      </c>
      <c r="D7262" s="12" t="s">
        <v>45</v>
      </c>
      <c r="E7262" s="13">
        <v>107643206</v>
      </c>
      <c r="F7262" s="12" t="s">
        <v>48</v>
      </c>
      <c r="G7262" s="14">
        <v>6334.02</v>
      </c>
      <c r="H7262" s="12" t="s">
        <v>22</v>
      </c>
      <c r="I7262" s="12">
        <v>0</v>
      </c>
      <c r="J7262" s="12" t="s">
        <v>48</v>
      </c>
      <c r="K7262" s="12" t="s">
        <v>23</v>
      </c>
      <c r="L7262" s="12">
        <v>1</v>
      </c>
      <c r="M7262" s="15">
        <v>69674</v>
      </c>
      <c r="N7262" s="15">
        <v>0</v>
      </c>
      <c r="O7262" s="15">
        <f t="shared" si="650"/>
        <v>69674</v>
      </c>
      <c r="P7262" s="15">
        <f t="shared" si="651"/>
        <v>10.99996526692369</v>
      </c>
      <c r="Q7262" s="14">
        <v>5000</v>
      </c>
      <c r="R7262" s="12">
        <v>100</v>
      </c>
      <c r="S7262" s="12" t="s">
        <v>8824</v>
      </c>
      <c r="T7262" s="22">
        <f t="shared" si="639"/>
        <v>8</v>
      </c>
      <c r="U7262" s="22">
        <f t="shared" si="640"/>
        <v>2023</v>
      </c>
      <c r="V7262" s="22" t="str">
        <f t="shared" si="641"/>
        <v>METROPOLITANA</v>
      </c>
    </row>
    <row r="7263" spans="1:22" x14ac:dyDescent="0.2">
      <c r="A7263" s="11" t="s">
        <v>8816</v>
      </c>
      <c r="B7263" s="12" t="s">
        <v>33</v>
      </c>
      <c r="C7263" s="12" t="s">
        <v>44</v>
      </c>
      <c r="D7263" s="12" t="s">
        <v>35</v>
      </c>
      <c r="E7263" s="13">
        <v>99626232</v>
      </c>
      <c r="F7263" s="12" t="s">
        <v>554</v>
      </c>
      <c r="G7263" s="14">
        <v>2744.84</v>
      </c>
      <c r="H7263" s="12" t="s">
        <v>22</v>
      </c>
      <c r="I7263" s="12">
        <v>0</v>
      </c>
      <c r="J7263" s="12" t="s">
        <v>554</v>
      </c>
      <c r="K7263" s="12" t="s">
        <v>23</v>
      </c>
      <c r="L7263" s="12">
        <v>4</v>
      </c>
      <c r="M7263" s="15">
        <v>69173</v>
      </c>
      <c r="N7263" s="15">
        <v>0</v>
      </c>
      <c r="O7263" s="15">
        <f t="shared" si="650"/>
        <v>69173</v>
      </c>
      <c r="P7263" s="15">
        <f t="shared" si="651"/>
        <v>25.201104618119818</v>
      </c>
      <c r="Q7263" s="14">
        <v>5000</v>
      </c>
      <c r="R7263" s="12">
        <v>55</v>
      </c>
      <c r="S7263" s="12" t="s">
        <v>8825</v>
      </c>
      <c r="T7263" s="22">
        <f t="shared" si="639"/>
        <v>8</v>
      </c>
      <c r="U7263" s="22">
        <f t="shared" si="640"/>
        <v>2023</v>
      </c>
      <c r="V7263" s="22" t="str">
        <f t="shared" si="641"/>
        <v>METROPOLITANA</v>
      </c>
    </row>
    <row r="7264" spans="1:22" x14ac:dyDescent="0.2">
      <c r="A7264" s="23" t="s">
        <v>8826</v>
      </c>
      <c r="B7264" s="22" t="s">
        <v>18</v>
      </c>
      <c r="C7264" s="22" t="s">
        <v>19</v>
      </c>
      <c r="D7264" s="22" t="s">
        <v>5478</v>
      </c>
      <c r="E7264" s="24">
        <v>122975819</v>
      </c>
      <c r="F7264" s="22" t="s">
        <v>8600</v>
      </c>
      <c r="G7264" s="25">
        <v>25027.06</v>
      </c>
      <c r="H7264" s="22" t="s">
        <v>24</v>
      </c>
      <c r="I7264" s="22">
        <v>1</v>
      </c>
      <c r="J7264" s="22" t="s">
        <v>8600</v>
      </c>
      <c r="K7264" s="22" t="s">
        <v>86</v>
      </c>
      <c r="L7264" s="22">
        <v>0</v>
      </c>
      <c r="M7264" s="26">
        <v>320000</v>
      </c>
      <c r="N7264" s="26">
        <v>0</v>
      </c>
      <c r="O7264" s="15">
        <f t="shared" ref="O7264:O7274" si="652">SUM(M7264:N7264)</f>
        <v>320000</v>
      </c>
      <c r="P7264" s="15">
        <f t="shared" ref="P7264:P7274" si="653">O7264/G7264</f>
        <v>12.78616026013443</v>
      </c>
      <c r="Q7264" s="25">
        <v>14000</v>
      </c>
      <c r="R7264" s="22">
        <v>100</v>
      </c>
      <c r="S7264" s="22" t="s">
        <v>8827</v>
      </c>
      <c r="T7264" s="22">
        <f t="shared" si="639"/>
        <v>8</v>
      </c>
      <c r="U7264" s="22">
        <f t="shared" si="640"/>
        <v>2023</v>
      </c>
      <c r="V7264" s="22" t="str">
        <f t="shared" si="641"/>
        <v>REGIONES</v>
      </c>
    </row>
    <row r="7265" spans="1:22" x14ac:dyDescent="0.2">
      <c r="A7265" s="23" t="s">
        <v>8826</v>
      </c>
      <c r="B7265" s="22" t="s">
        <v>18</v>
      </c>
      <c r="C7265" s="22" t="s">
        <v>7400</v>
      </c>
      <c r="D7265" s="22" t="s">
        <v>38</v>
      </c>
      <c r="E7265" s="24">
        <v>125108660</v>
      </c>
      <c r="F7265" s="22" t="s">
        <v>230</v>
      </c>
      <c r="G7265" s="25">
        <v>8425.8000000000011</v>
      </c>
      <c r="H7265" s="22" t="s">
        <v>43</v>
      </c>
      <c r="I7265" s="22">
        <v>0</v>
      </c>
      <c r="J7265" s="22" t="s">
        <v>230</v>
      </c>
      <c r="K7265" s="22" t="s">
        <v>23</v>
      </c>
      <c r="L7265" s="22">
        <v>4</v>
      </c>
      <c r="M7265" s="26">
        <v>92684</v>
      </c>
      <c r="N7265" s="26">
        <v>0</v>
      </c>
      <c r="O7265" s="15">
        <f t="shared" si="652"/>
        <v>92684</v>
      </c>
      <c r="P7265" s="15">
        <f t="shared" si="653"/>
        <v>11.000023736618481</v>
      </c>
      <c r="Q7265" s="25">
        <v>5000</v>
      </c>
      <c r="R7265" s="22">
        <v>100</v>
      </c>
      <c r="S7265" s="22" t="s">
        <v>8828</v>
      </c>
      <c r="T7265" s="22">
        <f t="shared" si="639"/>
        <v>8</v>
      </c>
      <c r="U7265" s="22">
        <f t="shared" si="640"/>
        <v>2023</v>
      </c>
      <c r="V7265" s="22" t="str">
        <f t="shared" si="641"/>
        <v>METROPOLITANA</v>
      </c>
    </row>
    <row r="7266" spans="1:22" x14ac:dyDescent="0.2">
      <c r="A7266" s="23" t="s">
        <v>8826</v>
      </c>
      <c r="B7266" s="22" t="s">
        <v>18</v>
      </c>
      <c r="C7266" s="22" t="s">
        <v>29</v>
      </c>
      <c r="D7266" s="22" t="s">
        <v>30</v>
      </c>
      <c r="E7266" s="24">
        <v>72564391</v>
      </c>
      <c r="F7266" s="22" t="s">
        <v>305</v>
      </c>
      <c r="G7266" s="25">
        <v>15000</v>
      </c>
      <c r="H7266" s="22" t="s">
        <v>32</v>
      </c>
      <c r="I7266" s="22">
        <v>0</v>
      </c>
      <c r="J7266" s="22" t="s">
        <v>305</v>
      </c>
      <c r="K7266" s="22" t="s">
        <v>306</v>
      </c>
      <c r="L7266" s="22">
        <v>0</v>
      </c>
      <c r="M7266" s="26">
        <v>120000</v>
      </c>
      <c r="N7266" s="26">
        <v>0</v>
      </c>
      <c r="O7266" s="15">
        <f t="shared" si="652"/>
        <v>120000</v>
      </c>
      <c r="P7266" s="15">
        <f t="shared" si="653"/>
        <v>8</v>
      </c>
      <c r="Q7266" s="25">
        <v>14000</v>
      </c>
      <c r="R7266" s="22">
        <v>100</v>
      </c>
      <c r="S7266" s="22" t="s">
        <v>8829</v>
      </c>
      <c r="T7266" s="22">
        <f t="shared" si="639"/>
        <v>8</v>
      </c>
      <c r="U7266" s="22">
        <f t="shared" si="640"/>
        <v>2023</v>
      </c>
      <c r="V7266" s="22" t="str">
        <f t="shared" si="641"/>
        <v>REGIONES</v>
      </c>
    </row>
    <row r="7267" spans="1:22" x14ac:dyDescent="0.2">
      <c r="A7267" s="23" t="s">
        <v>8826</v>
      </c>
      <c r="B7267" s="22" t="s">
        <v>18</v>
      </c>
      <c r="C7267" s="22" t="s">
        <v>29</v>
      </c>
      <c r="D7267" s="22" t="s">
        <v>20</v>
      </c>
      <c r="E7267" s="24">
        <v>78907355</v>
      </c>
      <c r="F7267" s="22" t="s">
        <v>305</v>
      </c>
      <c r="G7267" s="25">
        <v>15000</v>
      </c>
      <c r="H7267" s="22" t="s">
        <v>22</v>
      </c>
      <c r="I7267" s="22">
        <v>0</v>
      </c>
      <c r="J7267" s="22" t="s">
        <v>305</v>
      </c>
      <c r="K7267" s="22" t="s">
        <v>306</v>
      </c>
      <c r="L7267" s="22">
        <v>0</v>
      </c>
      <c r="M7267" s="26">
        <v>120000</v>
      </c>
      <c r="N7267" s="26">
        <v>0</v>
      </c>
      <c r="O7267" s="15">
        <f t="shared" si="652"/>
        <v>120000</v>
      </c>
      <c r="P7267" s="15">
        <f t="shared" si="653"/>
        <v>8</v>
      </c>
      <c r="Q7267" s="25">
        <v>14000</v>
      </c>
      <c r="R7267" s="22">
        <v>100</v>
      </c>
      <c r="S7267" s="22" t="s">
        <v>8830</v>
      </c>
      <c r="T7267" s="22">
        <f t="shared" si="639"/>
        <v>8</v>
      </c>
      <c r="U7267" s="22">
        <f t="shared" si="640"/>
        <v>2023</v>
      </c>
      <c r="V7267" s="22" t="str">
        <f t="shared" si="641"/>
        <v>REGIONES</v>
      </c>
    </row>
    <row r="7268" spans="1:22" x14ac:dyDescent="0.2">
      <c r="A7268" s="23" t="s">
        <v>8826</v>
      </c>
      <c r="B7268" s="22" t="s">
        <v>33</v>
      </c>
      <c r="C7268" s="22" t="s">
        <v>8831</v>
      </c>
      <c r="D7268" s="22" t="s">
        <v>37</v>
      </c>
      <c r="E7268" s="24">
        <v>81417709</v>
      </c>
      <c r="F7268" s="22" t="s">
        <v>58</v>
      </c>
      <c r="G7268" s="25">
        <v>2138.98</v>
      </c>
      <c r="H7268" s="22" t="s">
        <v>22</v>
      </c>
      <c r="I7268" s="22">
        <v>0</v>
      </c>
      <c r="J7268" s="22" t="s">
        <v>58</v>
      </c>
      <c r="K7268" s="22" t="s">
        <v>23</v>
      </c>
      <c r="L7268" s="22">
        <v>5</v>
      </c>
      <c r="M7268" s="26">
        <v>112500</v>
      </c>
      <c r="N7268" s="26">
        <v>0</v>
      </c>
      <c r="O7268" s="15">
        <f t="shared" si="652"/>
        <v>112500</v>
      </c>
      <c r="P7268" s="15">
        <f t="shared" si="653"/>
        <v>52.595162180104538</v>
      </c>
      <c r="Q7268" s="25">
        <v>10000</v>
      </c>
      <c r="R7268" s="22">
        <v>21</v>
      </c>
      <c r="S7268" s="22" t="s">
        <v>8832</v>
      </c>
      <c r="T7268" s="22">
        <f t="shared" si="639"/>
        <v>8</v>
      </c>
      <c r="U7268" s="22">
        <f t="shared" si="640"/>
        <v>2023</v>
      </c>
      <c r="V7268" s="22" t="str">
        <f t="shared" si="641"/>
        <v>METROPOLITANA</v>
      </c>
    </row>
    <row r="7269" spans="1:22" x14ac:dyDescent="0.2">
      <c r="A7269" s="23" t="s">
        <v>8826</v>
      </c>
      <c r="B7269" s="22" t="s">
        <v>33</v>
      </c>
      <c r="C7269" s="22" t="s">
        <v>8831</v>
      </c>
      <c r="D7269" s="22" t="s">
        <v>37</v>
      </c>
      <c r="E7269" s="24">
        <v>81417709</v>
      </c>
      <c r="F7269" s="22" t="s">
        <v>129</v>
      </c>
      <c r="G7269" s="25">
        <v>4557.4400000000014</v>
      </c>
      <c r="H7269" s="22" t="s">
        <v>22</v>
      </c>
      <c r="I7269" s="22">
        <v>0</v>
      </c>
      <c r="J7269" s="22" t="s">
        <v>129</v>
      </c>
      <c r="K7269" s="22" t="s">
        <v>23</v>
      </c>
      <c r="L7269" s="22">
        <v>1</v>
      </c>
      <c r="M7269" s="26">
        <v>69173</v>
      </c>
      <c r="N7269" s="26">
        <v>0</v>
      </c>
      <c r="O7269" s="15">
        <f t="shared" si="652"/>
        <v>69173</v>
      </c>
      <c r="P7269" s="15">
        <f t="shared" si="653"/>
        <v>15.178038547956742</v>
      </c>
      <c r="Q7269" s="25">
        <v>5000</v>
      </c>
      <c r="R7269" s="22">
        <v>91</v>
      </c>
      <c r="S7269" s="22" t="s">
        <v>8833</v>
      </c>
      <c r="T7269" s="22">
        <f t="shared" si="639"/>
        <v>8</v>
      </c>
      <c r="U7269" s="22">
        <f t="shared" si="640"/>
        <v>2023</v>
      </c>
      <c r="V7269" s="22" t="str">
        <f t="shared" si="641"/>
        <v>METROPOLITANA</v>
      </c>
    </row>
    <row r="7270" spans="1:22" x14ac:dyDescent="0.2">
      <c r="A7270" s="23" t="s">
        <v>8826</v>
      </c>
      <c r="B7270" s="22" t="s">
        <v>33</v>
      </c>
      <c r="C7270" s="22" t="s">
        <v>128</v>
      </c>
      <c r="D7270" s="22" t="s">
        <v>786</v>
      </c>
      <c r="E7270" s="24">
        <v>95707734</v>
      </c>
      <c r="F7270" s="22" t="s">
        <v>34</v>
      </c>
      <c r="G7270" s="25">
        <v>8526.3399999999983</v>
      </c>
      <c r="H7270" s="22" t="s">
        <v>788</v>
      </c>
      <c r="I7270" s="22">
        <v>1</v>
      </c>
      <c r="J7270" s="22" t="s">
        <v>34</v>
      </c>
      <c r="K7270" s="22" t="s">
        <v>23</v>
      </c>
      <c r="L7270" s="22">
        <v>1</v>
      </c>
      <c r="M7270" s="26">
        <v>93790</v>
      </c>
      <c r="N7270" s="26">
        <v>0</v>
      </c>
      <c r="O7270" s="15">
        <f t="shared" si="652"/>
        <v>93790</v>
      </c>
      <c r="P7270" s="15">
        <f t="shared" si="653"/>
        <v>11.000030493740576</v>
      </c>
      <c r="Q7270" s="25">
        <v>5000</v>
      </c>
      <c r="R7270" s="22">
        <v>100</v>
      </c>
      <c r="S7270" s="22" t="s">
        <v>8834</v>
      </c>
      <c r="T7270" s="22">
        <f t="shared" ref="T7270:T7316" si="654">MONTH(A7270)</f>
        <v>8</v>
      </c>
      <c r="U7270" s="22">
        <f t="shared" ref="U7270:U7316" si="655">YEAR(A7270)</f>
        <v>2023</v>
      </c>
      <c r="V7270" s="22" t="str">
        <f t="shared" ref="V7270:V7316" si="656">IF(K7270="METROPOLITANA DE SANTIAGO","METROPOLITANA","REGIONES")</f>
        <v>METROPOLITANA</v>
      </c>
    </row>
    <row r="7271" spans="1:22" x14ac:dyDescent="0.2">
      <c r="A7271" s="23" t="s">
        <v>8826</v>
      </c>
      <c r="B7271" s="22" t="s">
        <v>33</v>
      </c>
      <c r="C7271" s="22" t="s">
        <v>36</v>
      </c>
      <c r="D7271" s="22" t="s">
        <v>370</v>
      </c>
      <c r="E7271" s="24">
        <v>94742285</v>
      </c>
      <c r="F7271" s="22" t="s">
        <v>84</v>
      </c>
      <c r="G7271" s="25">
        <v>4644.8</v>
      </c>
      <c r="H7271" s="22" t="s">
        <v>85</v>
      </c>
      <c r="I7271" s="22">
        <v>1</v>
      </c>
      <c r="J7271" s="22" t="s">
        <v>84</v>
      </c>
      <c r="K7271" s="22" t="s">
        <v>86</v>
      </c>
      <c r="L7271" s="22">
        <v>0</v>
      </c>
      <c r="M7271" s="26">
        <v>402000</v>
      </c>
      <c r="N7271" s="26">
        <v>0</v>
      </c>
      <c r="O7271" s="15">
        <f t="shared" si="652"/>
        <v>402000</v>
      </c>
      <c r="P7271" s="15">
        <f t="shared" si="653"/>
        <v>86.54839820874956</v>
      </c>
      <c r="Q7271" s="25">
        <v>14000</v>
      </c>
      <c r="R7271" s="22">
        <v>33</v>
      </c>
      <c r="S7271" s="22" t="s">
        <v>8835</v>
      </c>
      <c r="T7271" s="22">
        <f t="shared" si="654"/>
        <v>8</v>
      </c>
      <c r="U7271" s="22">
        <f t="shared" si="655"/>
        <v>2023</v>
      </c>
      <c r="V7271" s="22" t="str">
        <f t="shared" si="656"/>
        <v>REGIONES</v>
      </c>
    </row>
    <row r="7272" spans="1:22" x14ac:dyDescent="0.2">
      <c r="A7272" s="23" t="s">
        <v>8826</v>
      </c>
      <c r="B7272" s="22" t="s">
        <v>33</v>
      </c>
      <c r="C7272" s="22" t="s">
        <v>36</v>
      </c>
      <c r="D7272" s="22" t="s">
        <v>8410</v>
      </c>
      <c r="E7272" s="24">
        <v>119629756</v>
      </c>
      <c r="F7272" s="22" t="s">
        <v>132</v>
      </c>
      <c r="G7272" s="25">
        <v>4828.8799999999992</v>
      </c>
      <c r="H7272" s="22" t="s">
        <v>24</v>
      </c>
      <c r="I7272" s="22">
        <v>1</v>
      </c>
      <c r="J7272" s="22" t="s">
        <v>132</v>
      </c>
      <c r="K7272" s="22" t="s">
        <v>124</v>
      </c>
      <c r="L7272" s="22">
        <v>0</v>
      </c>
      <c r="M7272" s="26">
        <v>500000</v>
      </c>
      <c r="N7272" s="26">
        <v>0</v>
      </c>
      <c r="O7272" s="15">
        <f t="shared" si="652"/>
        <v>500000</v>
      </c>
      <c r="P7272" s="15">
        <f t="shared" si="653"/>
        <v>103.54367886549264</v>
      </c>
      <c r="Q7272" s="25">
        <v>14000</v>
      </c>
      <c r="R7272" s="22">
        <v>34</v>
      </c>
      <c r="S7272" s="22" t="s">
        <v>8836</v>
      </c>
      <c r="T7272" s="22">
        <f t="shared" si="654"/>
        <v>8</v>
      </c>
      <c r="U7272" s="22">
        <f t="shared" si="655"/>
        <v>2023</v>
      </c>
      <c r="V7272" s="22" t="str">
        <f t="shared" si="656"/>
        <v>REGIONES</v>
      </c>
    </row>
    <row r="7273" spans="1:22" x14ac:dyDescent="0.2">
      <c r="A7273" s="23" t="s">
        <v>8826</v>
      </c>
      <c r="B7273" s="22" t="s">
        <v>33</v>
      </c>
      <c r="C7273" s="22" t="s">
        <v>29</v>
      </c>
      <c r="D7273" s="22" t="s">
        <v>8219</v>
      </c>
      <c r="E7273" s="24">
        <v>73835526</v>
      </c>
      <c r="F7273" s="22" t="s">
        <v>39</v>
      </c>
      <c r="G7273" s="25">
        <v>10811.85</v>
      </c>
      <c r="H7273" s="22" t="s">
        <v>24</v>
      </c>
      <c r="I7273" s="22">
        <v>1</v>
      </c>
      <c r="J7273" s="22" t="s">
        <v>39</v>
      </c>
      <c r="K7273" s="22" t="s">
        <v>23</v>
      </c>
      <c r="L7273" s="22">
        <v>1</v>
      </c>
      <c r="M7273" s="26">
        <v>118930</v>
      </c>
      <c r="N7273" s="26">
        <v>0</v>
      </c>
      <c r="O7273" s="15">
        <f t="shared" si="652"/>
        <v>118930</v>
      </c>
      <c r="P7273" s="15">
        <f t="shared" si="653"/>
        <v>10.999967628111747</v>
      </c>
      <c r="Q7273" s="25">
        <v>5000</v>
      </c>
      <c r="R7273" s="22">
        <v>100</v>
      </c>
      <c r="S7273" s="22" t="s">
        <v>8837</v>
      </c>
      <c r="T7273" s="22">
        <f t="shared" si="654"/>
        <v>8</v>
      </c>
      <c r="U7273" s="22">
        <f t="shared" si="655"/>
        <v>2023</v>
      </c>
      <c r="V7273" s="22" t="str">
        <f t="shared" si="656"/>
        <v>METROPOLITANA</v>
      </c>
    </row>
    <row r="7274" spans="1:22" x14ac:dyDescent="0.2">
      <c r="A7274" s="23" t="s">
        <v>8826</v>
      </c>
      <c r="B7274" s="22" t="s">
        <v>33</v>
      </c>
      <c r="C7274" s="22" t="s">
        <v>29</v>
      </c>
      <c r="D7274" s="22" t="s">
        <v>164</v>
      </c>
      <c r="E7274" s="24">
        <v>154837728</v>
      </c>
      <c r="F7274" s="22" t="s">
        <v>39</v>
      </c>
      <c r="G7274" s="25">
        <v>15753.2</v>
      </c>
      <c r="H7274" s="22" t="s">
        <v>22</v>
      </c>
      <c r="I7274" s="22">
        <v>1</v>
      </c>
      <c r="J7274" s="22" t="s">
        <v>39</v>
      </c>
      <c r="K7274" s="22" t="s">
        <v>23</v>
      </c>
      <c r="L7274" s="22">
        <v>1</v>
      </c>
      <c r="M7274" s="26">
        <v>173285</v>
      </c>
      <c r="N7274" s="26">
        <v>0</v>
      </c>
      <c r="O7274" s="15">
        <f t="shared" si="652"/>
        <v>173285</v>
      </c>
      <c r="P7274" s="15">
        <f t="shared" si="653"/>
        <v>10.999987304166773</v>
      </c>
      <c r="Q7274" s="25">
        <v>5000</v>
      </c>
      <c r="R7274" s="22">
        <v>100</v>
      </c>
      <c r="S7274" s="22" t="s">
        <v>8838</v>
      </c>
      <c r="T7274" s="22">
        <f t="shared" si="654"/>
        <v>8</v>
      </c>
      <c r="U7274" s="22">
        <f t="shared" si="655"/>
        <v>2023</v>
      </c>
      <c r="V7274" s="22" t="str">
        <f t="shared" si="656"/>
        <v>METROPOLITANA</v>
      </c>
    </row>
    <row r="7275" spans="1:22" x14ac:dyDescent="0.2">
      <c r="A7275" s="11" t="s">
        <v>8839</v>
      </c>
      <c r="B7275" s="12" t="s">
        <v>18</v>
      </c>
      <c r="C7275" s="12" t="s">
        <v>29</v>
      </c>
      <c r="D7275" s="12" t="s">
        <v>6221</v>
      </c>
      <c r="E7275" s="13">
        <v>170846392</v>
      </c>
      <c r="F7275" s="12" t="s">
        <v>305</v>
      </c>
      <c r="G7275" s="14">
        <v>26874.900000000009</v>
      </c>
      <c r="H7275" s="12" t="s">
        <v>24</v>
      </c>
      <c r="I7275" s="12">
        <v>1</v>
      </c>
      <c r="J7275" s="12" t="s">
        <v>305</v>
      </c>
      <c r="K7275" s="12" t="s">
        <v>306</v>
      </c>
      <c r="L7275" s="12">
        <v>0</v>
      </c>
      <c r="M7275" s="15">
        <v>2550000</v>
      </c>
      <c r="N7275" s="15">
        <v>0</v>
      </c>
      <c r="O7275" s="15">
        <f t="shared" ref="O7275:O7281" si="657">SUM(M7275:N7275)</f>
        <v>2550000</v>
      </c>
      <c r="P7275" s="15">
        <f t="shared" ref="P7275:P7281" si="658">O7275/G7275</f>
        <v>94.884073987252009</v>
      </c>
      <c r="Q7275" s="14">
        <v>14000</v>
      </c>
      <c r="R7275" s="12">
        <v>100</v>
      </c>
      <c r="S7275" s="12" t="s">
        <v>8840</v>
      </c>
      <c r="T7275" s="22">
        <f t="shared" si="654"/>
        <v>9</v>
      </c>
      <c r="U7275" s="22">
        <f t="shared" si="655"/>
        <v>2023</v>
      </c>
      <c r="V7275" s="22" t="str">
        <f t="shared" si="656"/>
        <v>REGIONES</v>
      </c>
    </row>
    <row r="7276" spans="1:22" x14ac:dyDescent="0.2">
      <c r="A7276" s="11" t="s">
        <v>8839</v>
      </c>
      <c r="B7276" s="12" t="s">
        <v>33</v>
      </c>
      <c r="C7276" s="12" t="s">
        <v>128</v>
      </c>
      <c r="D7276" s="12" t="s">
        <v>786</v>
      </c>
      <c r="E7276" s="13">
        <v>95707334</v>
      </c>
      <c r="F7276" s="12" t="s">
        <v>173</v>
      </c>
      <c r="G7276" s="14">
        <v>15927.000000000009</v>
      </c>
      <c r="H7276" s="12" t="s">
        <v>788</v>
      </c>
      <c r="I7276" s="12">
        <v>1</v>
      </c>
      <c r="J7276" s="12" t="s">
        <v>173</v>
      </c>
      <c r="K7276" s="12" t="s">
        <v>23</v>
      </c>
      <c r="L7276" s="12">
        <v>5</v>
      </c>
      <c r="M7276" s="15">
        <v>180000</v>
      </c>
      <c r="N7276" s="15">
        <v>0</v>
      </c>
      <c r="O7276" s="15">
        <f t="shared" si="657"/>
        <v>180000</v>
      </c>
      <c r="P7276" s="15">
        <f t="shared" si="658"/>
        <v>11.301563382934633</v>
      </c>
      <c r="Q7276" s="14">
        <v>10000</v>
      </c>
      <c r="R7276" s="12">
        <v>100</v>
      </c>
      <c r="S7276" s="12" t="s">
        <v>8841</v>
      </c>
      <c r="T7276" s="22">
        <f t="shared" si="654"/>
        <v>9</v>
      </c>
      <c r="U7276" s="22">
        <f t="shared" si="655"/>
        <v>2023</v>
      </c>
      <c r="V7276" s="22" t="str">
        <f t="shared" si="656"/>
        <v>METROPOLITANA</v>
      </c>
    </row>
    <row r="7277" spans="1:22" x14ac:dyDescent="0.2">
      <c r="A7277" s="11" t="s">
        <v>8839</v>
      </c>
      <c r="B7277" s="12" t="s">
        <v>33</v>
      </c>
      <c r="C7277" s="12" t="s">
        <v>29</v>
      </c>
      <c r="D7277" s="12" t="s">
        <v>7086</v>
      </c>
      <c r="E7277" s="13">
        <v>116995093</v>
      </c>
      <c r="F7277" s="12" t="s">
        <v>114</v>
      </c>
      <c r="G7277" s="14">
        <v>16747.100000000009</v>
      </c>
      <c r="H7277" s="12" t="s">
        <v>24</v>
      </c>
      <c r="I7277" s="12">
        <v>1</v>
      </c>
      <c r="J7277" s="12" t="s">
        <v>114</v>
      </c>
      <c r="K7277" s="12" t="s">
        <v>75</v>
      </c>
      <c r="L7277" s="12">
        <v>0</v>
      </c>
      <c r="M7277" s="15">
        <v>528000</v>
      </c>
      <c r="N7277" s="15">
        <v>0</v>
      </c>
      <c r="O7277" s="15">
        <f t="shared" si="657"/>
        <v>528000</v>
      </c>
      <c r="P7277" s="15">
        <f t="shared" si="658"/>
        <v>31.527846612249267</v>
      </c>
      <c r="Q7277" s="14">
        <v>14000</v>
      </c>
      <c r="R7277" s="12">
        <v>100</v>
      </c>
      <c r="S7277" s="12" t="s">
        <v>8842</v>
      </c>
      <c r="T7277" s="22">
        <f t="shared" si="654"/>
        <v>9</v>
      </c>
      <c r="U7277" s="22">
        <f t="shared" si="655"/>
        <v>2023</v>
      </c>
      <c r="V7277" s="22" t="str">
        <f t="shared" si="656"/>
        <v>REGIONES</v>
      </c>
    </row>
    <row r="7278" spans="1:22" x14ac:dyDescent="0.2">
      <c r="A7278" s="11" t="s">
        <v>8839</v>
      </c>
      <c r="B7278" s="12" t="s">
        <v>33</v>
      </c>
      <c r="C7278" s="12" t="s">
        <v>44</v>
      </c>
      <c r="D7278" s="12" t="s">
        <v>38</v>
      </c>
      <c r="E7278" s="13">
        <v>125108660</v>
      </c>
      <c r="F7278" s="12" t="s">
        <v>34</v>
      </c>
      <c r="G7278" s="14">
        <v>2679.93</v>
      </c>
      <c r="H7278" s="12" t="s">
        <v>43</v>
      </c>
      <c r="I7278" s="12">
        <v>0</v>
      </c>
      <c r="J7278" s="12" t="s">
        <v>34</v>
      </c>
      <c r="K7278" s="12" t="s">
        <v>23</v>
      </c>
      <c r="L7278" s="12">
        <v>1</v>
      </c>
      <c r="M7278" s="15">
        <v>69173</v>
      </c>
      <c r="N7278" s="15">
        <v>0</v>
      </c>
      <c r="O7278" s="15">
        <f t="shared" si="657"/>
        <v>69173</v>
      </c>
      <c r="P7278" s="15">
        <f t="shared" si="658"/>
        <v>25.811495076363936</v>
      </c>
      <c r="Q7278" s="14">
        <v>5000</v>
      </c>
      <c r="R7278" s="12">
        <v>54</v>
      </c>
      <c r="S7278" s="12" t="s">
        <v>8843</v>
      </c>
      <c r="T7278" s="22">
        <f t="shared" si="654"/>
        <v>9</v>
      </c>
      <c r="U7278" s="22">
        <f t="shared" si="655"/>
        <v>2023</v>
      </c>
      <c r="V7278" s="22" t="str">
        <f t="shared" si="656"/>
        <v>METROPOLITANA</v>
      </c>
    </row>
    <row r="7279" spans="1:22" x14ac:dyDescent="0.2">
      <c r="A7279" s="11" t="s">
        <v>8839</v>
      </c>
      <c r="B7279" s="12" t="s">
        <v>33</v>
      </c>
      <c r="C7279" s="12" t="s">
        <v>44</v>
      </c>
      <c r="D7279" s="12" t="s">
        <v>7814</v>
      </c>
      <c r="E7279" s="13">
        <v>121384531</v>
      </c>
      <c r="F7279" s="12" t="s">
        <v>114</v>
      </c>
      <c r="G7279" s="14">
        <v>13579.28</v>
      </c>
      <c r="H7279" s="12" t="s">
        <v>24</v>
      </c>
      <c r="I7279" s="12">
        <v>1</v>
      </c>
      <c r="J7279" s="12" t="s">
        <v>114</v>
      </c>
      <c r="K7279" s="12" t="s">
        <v>75</v>
      </c>
      <c r="L7279" s="12">
        <v>0</v>
      </c>
      <c r="M7279" s="15">
        <v>528000</v>
      </c>
      <c r="N7279" s="15">
        <v>0</v>
      </c>
      <c r="O7279" s="15">
        <f t="shared" si="657"/>
        <v>528000</v>
      </c>
      <c r="P7279" s="15">
        <f t="shared" si="658"/>
        <v>38.882768453113862</v>
      </c>
      <c r="Q7279" s="14">
        <v>14000</v>
      </c>
      <c r="R7279" s="12">
        <v>97</v>
      </c>
      <c r="S7279" s="12" t="s">
        <v>8844</v>
      </c>
      <c r="T7279" s="22">
        <f t="shared" si="654"/>
        <v>9</v>
      </c>
      <c r="U7279" s="22">
        <f t="shared" si="655"/>
        <v>2023</v>
      </c>
      <c r="V7279" s="22" t="str">
        <f t="shared" si="656"/>
        <v>REGIONES</v>
      </c>
    </row>
    <row r="7280" spans="1:22" x14ac:dyDescent="0.2">
      <c r="A7280" s="11" t="s">
        <v>8839</v>
      </c>
      <c r="B7280" s="12" t="s">
        <v>33</v>
      </c>
      <c r="C7280" s="12" t="s">
        <v>44</v>
      </c>
      <c r="D7280" s="12" t="s">
        <v>8845</v>
      </c>
      <c r="E7280" s="13">
        <v>276547747</v>
      </c>
      <c r="F7280" s="12" t="s">
        <v>6841</v>
      </c>
      <c r="G7280" s="14">
        <v>2763.6</v>
      </c>
      <c r="H7280" s="12" t="s">
        <v>24</v>
      </c>
      <c r="I7280" s="12">
        <v>1</v>
      </c>
      <c r="J7280" s="12" t="s">
        <v>6841</v>
      </c>
      <c r="K7280" s="12" t="s">
        <v>23</v>
      </c>
      <c r="L7280" s="12">
        <v>1</v>
      </c>
      <c r="M7280" s="15">
        <v>69173</v>
      </c>
      <c r="N7280" s="15">
        <v>0</v>
      </c>
      <c r="O7280" s="15">
        <f t="shared" si="657"/>
        <v>69173</v>
      </c>
      <c r="P7280" s="15">
        <f t="shared" si="658"/>
        <v>25.03003328991171</v>
      </c>
      <c r="Q7280" s="14">
        <v>5000</v>
      </c>
      <c r="R7280" s="12">
        <v>55</v>
      </c>
      <c r="S7280" s="12" t="s">
        <v>8846</v>
      </c>
      <c r="T7280" s="22">
        <f t="shared" si="654"/>
        <v>9</v>
      </c>
      <c r="U7280" s="22">
        <f t="shared" si="655"/>
        <v>2023</v>
      </c>
      <c r="V7280" s="22" t="str">
        <f t="shared" si="656"/>
        <v>METROPOLITANA</v>
      </c>
    </row>
    <row r="7281" spans="1:22" x14ac:dyDescent="0.2">
      <c r="A7281" s="11" t="s">
        <v>8839</v>
      </c>
      <c r="B7281" s="12" t="s">
        <v>33</v>
      </c>
      <c r="C7281" s="12" t="s">
        <v>44</v>
      </c>
      <c r="D7281" s="12" t="s">
        <v>45</v>
      </c>
      <c r="E7281" s="13">
        <v>107643206</v>
      </c>
      <c r="F7281" s="12" t="s">
        <v>48</v>
      </c>
      <c r="G7281" s="14">
        <v>5290.34</v>
      </c>
      <c r="H7281" s="12" t="s">
        <v>22</v>
      </c>
      <c r="I7281" s="12">
        <v>0</v>
      </c>
      <c r="J7281" s="12" t="s">
        <v>48</v>
      </c>
      <c r="K7281" s="12" t="s">
        <v>23</v>
      </c>
      <c r="L7281" s="12">
        <v>1</v>
      </c>
      <c r="M7281" s="15">
        <v>58194</v>
      </c>
      <c r="N7281" s="15">
        <v>0</v>
      </c>
      <c r="O7281" s="15">
        <f t="shared" si="657"/>
        <v>58194</v>
      </c>
      <c r="P7281" s="15">
        <f t="shared" si="658"/>
        <v>11.00004914617964</v>
      </c>
      <c r="Q7281" s="14">
        <v>5000</v>
      </c>
      <c r="R7281" s="12">
        <v>100</v>
      </c>
      <c r="S7281" s="12" t="s">
        <v>8847</v>
      </c>
      <c r="T7281" s="22">
        <f t="shared" si="654"/>
        <v>9</v>
      </c>
      <c r="U7281" s="22">
        <f t="shared" si="655"/>
        <v>2023</v>
      </c>
      <c r="V7281" s="22" t="str">
        <f t="shared" si="656"/>
        <v>METROPOLITANA</v>
      </c>
    </row>
    <row r="7282" spans="1:22" x14ac:dyDescent="0.2">
      <c r="A7282" s="23" t="s">
        <v>8848</v>
      </c>
      <c r="B7282" s="22" t="s">
        <v>33</v>
      </c>
      <c r="C7282" s="22" t="s">
        <v>1642</v>
      </c>
      <c r="D7282" s="22" t="s">
        <v>8580</v>
      </c>
      <c r="E7282" s="24">
        <v>276547747</v>
      </c>
      <c r="F7282" s="22" t="s">
        <v>170</v>
      </c>
      <c r="G7282" s="25">
        <v>2015.2750000000001</v>
      </c>
      <c r="H7282" s="22" t="s">
        <v>24</v>
      </c>
      <c r="I7282" s="22">
        <v>1</v>
      </c>
      <c r="J7282" s="22" t="s">
        <v>170</v>
      </c>
      <c r="K7282" s="22" t="s">
        <v>171</v>
      </c>
      <c r="L7282" s="22">
        <v>0</v>
      </c>
      <c r="M7282" s="26">
        <v>289000</v>
      </c>
      <c r="N7282" s="26">
        <v>0</v>
      </c>
      <c r="O7282" s="15">
        <f t="shared" ref="O7282:O7290" si="659">SUM(M7282:N7282)</f>
        <v>289000</v>
      </c>
      <c r="P7282" s="15">
        <f t="shared" ref="P7282:P7290" si="660">O7282/G7282</f>
        <v>143.40474625051172</v>
      </c>
      <c r="Q7282" s="25">
        <v>14000</v>
      </c>
      <c r="R7282" s="22">
        <v>14</v>
      </c>
      <c r="S7282" s="22" t="s">
        <v>8849</v>
      </c>
      <c r="T7282" s="22">
        <f t="shared" si="654"/>
        <v>9</v>
      </c>
      <c r="U7282" s="22">
        <f t="shared" si="655"/>
        <v>2023</v>
      </c>
      <c r="V7282" s="22" t="str">
        <f t="shared" si="656"/>
        <v>REGIONES</v>
      </c>
    </row>
    <row r="7283" spans="1:22" x14ac:dyDescent="0.2">
      <c r="A7283" s="23" t="s">
        <v>8848</v>
      </c>
      <c r="B7283" s="22" t="s">
        <v>33</v>
      </c>
      <c r="C7283" s="22" t="s">
        <v>60</v>
      </c>
      <c r="D7283" s="22" t="s">
        <v>37</v>
      </c>
      <c r="E7283" s="24">
        <v>81417709</v>
      </c>
      <c r="F7283" s="22" t="s">
        <v>173</v>
      </c>
      <c r="G7283" s="25">
        <v>6588.800000000002</v>
      </c>
      <c r="H7283" s="22" t="s">
        <v>22</v>
      </c>
      <c r="I7283" s="22">
        <v>0</v>
      </c>
      <c r="J7283" s="22" t="s">
        <v>173</v>
      </c>
      <c r="K7283" s="22" t="s">
        <v>23</v>
      </c>
      <c r="L7283" s="22">
        <v>5</v>
      </c>
      <c r="M7283" s="26">
        <v>112500</v>
      </c>
      <c r="N7283" s="26">
        <v>0</v>
      </c>
      <c r="O7283" s="15">
        <f t="shared" si="659"/>
        <v>112500</v>
      </c>
      <c r="P7283" s="15">
        <f t="shared" si="660"/>
        <v>17.074429334628455</v>
      </c>
      <c r="Q7283" s="25">
        <v>10000</v>
      </c>
      <c r="R7283" s="22">
        <v>66</v>
      </c>
      <c r="S7283" s="22" t="s">
        <v>8850</v>
      </c>
      <c r="T7283" s="22">
        <f t="shared" si="654"/>
        <v>9</v>
      </c>
      <c r="U7283" s="22">
        <f t="shared" si="655"/>
        <v>2023</v>
      </c>
      <c r="V7283" s="22" t="str">
        <f t="shared" si="656"/>
        <v>METROPOLITANA</v>
      </c>
    </row>
    <row r="7284" spans="1:22" x14ac:dyDescent="0.2">
      <c r="A7284" s="23" t="s">
        <v>8848</v>
      </c>
      <c r="B7284" s="22" t="s">
        <v>33</v>
      </c>
      <c r="C7284" s="22" t="s">
        <v>36</v>
      </c>
      <c r="D7284" s="22" t="s">
        <v>30</v>
      </c>
      <c r="E7284" s="24">
        <v>72564391</v>
      </c>
      <c r="F7284" s="22" t="s">
        <v>274</v>
      </c>
      <c r="G7284" s="25">
        <f>1812+1827</f>
        <v>3639</v>
      </c>
      <c r="H7284" s="22" t="s">
        <v>32</v>
      </c>
      <c r="I7284" s="22">
        <v>0</v>
      </c>
      <c r="J7284" s="22" t="s">
        <v>274</v>
      </c>
      <c r="K7284" s="22" t="s">
        <v>78</v>
      </c>
      <c r="L7284" s="22">
        <v>0</v>
      </c>
      <c r="M7284" s="26">
        <v>227000</v>
      </c>
      <c r="N7284" s="26">
        <v>0</v>
      </c>
      <c r="O7284" s="15">
        <f t="shared" si="659"/>
        <v>227000</v>
      </c>
      <c r="P7284" s="15">
        <f t="shared" si="660"/>
        <v>62.379774663369055</v>
      </c>
      <c r="Q7284" s="25">
        <v>14000</v>
      </c>
      <c r="R7284" s="22">
        <v>35</v>
      </c>
      <c r="S7284" s="22" t="s">
        <v>8856</v>
      </c>
      <c r="T7284" s="22">
        <f t="shared" si="654"/>
        <v>9</v>
      </c>
      <c r="U7284" s="22">
        <f t="shared" si="655"/>
        <v>2023</v>
      </c>
      <c r="V7284" s="22" t="str">
        <f t="shared" si="656"/>
        <v>REGIONES</v>
      </c>
    </row>
    <row r="7285" spans="1:22" x14ac:dyDescent="0.2">
      <c r="A7285" s="23" t="s">
        <v>8848</v>
      </c>
      <c r="B7285" s="22" t="s">
        <v>33</v>
      </c>
      <c r="C7285" s="22" t="s">
        <v>29</v>
      </c>
      <c r="D7285" s="22" t="s">
        <v>38</v>
      </c>
      <c r="E7285" s="24">
        <v>125108660</v>
      </c>
      <c r="F7285" s="22" t="s">
        <v>134</v>
      </c>
      <c r="G7285" s="25">
        <v>4077.0000000000009</v>
      </c>
      <c r="H7285" s="22" t="s">
        <v>43</v>
      </c>
      <c r="I7285" s="22">
        <v>0</v>
      </c>
      <c r="J7285" s="22" t="s">
        <v>134</v>
      </c>
      <c r="K7285" s="22" t="s">
        <v>23</v>
      </c>
      <c r="L7285" s="22">
        <v>2</v>
      </c>
      <c r="M7285" s="26">
        <v>69173</v>
      </c>
      <c r="N7285" s="26">
        <v>0</v>
      </c>
      <c r="O7285" s="15">
        <f t="shared" si="659"/>
        <v>69173</v>
      </c>
      <c r="P7285" s="15">
        <f t="shared" si="660"/>
        <v>16.966642138827567</v>
      </c>
      <c r="Q7285" s="25">
        <v>5000</v>
      </c>
      <c r="R7285" s="22">
        <v>82</v>
      </c>
      <c r="S7285" s="22" t="s">
        <v>8851</v>
      </c>
      <c r="T7285" s="22">
        <f t="shared" si="654"/>
        <v>9</v>
      </c>
      <c r="U7285" s="22">
        <f t="shared" si="655"/>
        <v>2023</v>
      </c>
      <c r="V7285" s="22" t="str">
        <f t="shared" si="656"/>
        <v>METROPOLITANA</v>
      </c>
    </row>
    <row r="7286" spans="1:22" x14ac:dyDescent="0.2">
      <c r="A7286" s="23" t="s">
        <v>8848</v>
      </c>
      <c r="B7286" s="22" t="s">
        <v>33</v>
      </c>
      <c r="C7286" s="22" t="s">
        <v>29</v>
      </c>
      <c r="D7286" s="22" t="s">
        <v>164</v>
      </c>
      <c r="E7286" s="24">
        <v>154837728</v>
      </c>
      <c r="F7286" s="22" t="s">
        <v>39</v>
      </c>
      <c r="G7286" s="25">
        <v>20766.41</v>
      </c>
      <c r="H7286" s="22" t="s">
        <v>22</v>
      </c>
      <c r="I7286" s="22">
        <v>1</v>
      </c>
      <c r="J7286" s="22" t="s">
        <v>39</v>
      </c>
      <c r="K7286" s="22" t="s">
        <v>23</v>
      </c>
      <c r="L7286" s="22">
        <v>1</v>
      </c>
      <c r="M7286" s="26">
        <v>228431</v>
      </c>
      <c r="N7286" s="26">
        <v>0</v>
      </c>
      <c r="O7286" s="15">
        <f t="shared" si="659"/>
        <v>228431</v>
      </c>
      <c r="P7286" s="15">
        <f t="shared" si="660"/>
        <v>11.000023595797252</v>
      </c>
      <c r="Q7286" s="25">
        <v>5000</v>
      </c>
      <c r="R7286" s="22">
        <v>100</v>
      </c>
      <c r="S7286" s="22" t="s">
        <v>8852</v>
      </c>
      <c r="T7286" s="22">
        <f t="shared" si="654"/>
        <v>9</v>
      </c>
      <c r="U7286" s="22">
        <f t="shared" si="655"/>
        <v>2023</v>
      </c>
      <c r="V7286" s="22" t="str">
        <f t="shared" si="656"/>
        <v>METROPOLITANA</v>
      </c>
    </row>
    <row r="7287" spans="1:22" x14ac:dyDescent="0.2">
      <c r="A7287" s="23" t="s">
        <v>8848</v>
      </c>
      <c r="B7287" s="22" t="s">
        <v>33</v>
      </c>
      <c r="C7287" s="22" t="s">
        <v>29</v>
      </c>
      <c r="D7287" s="22" t="s">
        <v>20</v>
      </c>
      <c r="E7287" s="24">
        <v>78907355</v>
      </c>
      <c r="F7287" s="22" t="s">
        <v>39</v>
      </c>
      <c r="G7287" s="25">
        <v>9014.2999999999993</v>
      </c>
      <c r="H7287" s="22" t="s">
        <v>22</v>
      </c>
      <c r="I7287" s="22">
        <v>0</v>
      </c>
      <c r="J7287" s="22" t="s">
        <v>39</v>
      </c>
      <c r="K7287" s="22" t="s">
        <v>23</v>
      </c>
      <c r="L7287" s="22">
        <v>1</v>
      </c>
      <c r="M7287" s="26">
        <v>99157</v>
      </c>
      <c r="N7287" s="26">
        <v>0</v>
      </c>
      <c r="O7287" s="15">
        <f t="shared" si="659"/>
        <v>99157</v>
      </c>
      <c r="P7287" s="15">
        <f t="shared" si="660"/>
        <v>10.999966719545611</v>
      </c>
      <c r="Q7287" s="25">
        <v>5000</v>
      </c>
      <c r="R7287" s="22">
        <v>100</v>
      </c>
      <c r="S7287" s="22" t="s">
        <v>8853</v>
      </c>
      <c r="T7287" s="22">
        <f t="shared" si="654"/>
        <v>9</v>
      </c>
      <c r="U7287" s="22">
        <f t="shared" si="655"/>
        <v>2023</v>
      </c>
      <c r="V7287" s="22" t="str">
        <f t="shared" si="656"/>
        <v>METROPOLITANA</v>
      </c>
    </row>
    <row r="7288" spans="1:22" x14ac:dyDescent="0.2">
      <c r="A7288" s="23" t="s">
        <v>8848</v>
      </c>
      <c r="B7288" s="22" t="s">
        <v>33</v>
      </c>
      <c r="C7288" s="22" t="s">
        <v>44</v>
      </c>
      <c r="D7288" s="22" t="s">
        <v>8724</v>
      </c>
      <c r="E7288" s="24">
        <v>94590507</v>
      </c>
      <c r="F7288" s="22" t="s">
        <v>2308</v>
      </c>
      <c r="G7288" s="25">
        <f>3532.02+2880</f>
        <v>6412.02</v>
      </c>
      <c r="H7288" s="22" t="s">
        <v>24</v>
      </c>
      <c r="I7288" s="22">
        <v>1</v>
      </c>
      <c r="J7288" s="22" t="s">
        <v>2308</v>
      </c>
      <c r="K7288" s="22" t="s">
        <v>2309</v>
      </c>
      <c r="L7288" s="22">
        <v>0</v>
      </c>
      <c r="M7288" s="26">
        <v>1100000</v>
      </c>
      <c r="N7288" s="26">
        <v>0</v>
      </c>
      <c r="O7288" s="15">
        <f t="shared" si="659"/>
        <v>1100000</v>
      </c>
      <c r="P7288" s="15">
        <f t="shared" si="660"/>
        <v>171.55280239300563</v>
      </c>
      <c r="Q7288" s="25">
        <v>14000</v>
      </c>
      <c r="R7288" s="22">
        <v>65</v>
      </c>
      <c r="S7288" s="22" t="s">
        <v>8857</v>
      </c>
      <c r="T7288" s="22">
        <f t="shared" si="654"/>
        <v>9</v>
      </c>
      <c r="U7288" s="22">
        <f t="shared" si="655"/>
        <v>2023</v>
      </c>
      <c r="V7288" s="22" t="str">
        <f t="shared" si="656"/>
        <v>REGIONES</v>
      </c>
    </row>
    <row r="7289" spans="1:22" x14ac:dyDescent="0.2">
      <c r="A7289" s="23" t="s">
        <v>8848</v>
      </c>
      <c r="B7289" s="22" t="s">
        <v>33</v>
      </c>
      <c r="C7289" s="22" t="s">
        <v>44</v>
      </c>
      <c r="D7289" s="22" t="s">
        <v>45</v>
      </c>
      <c r="E7289" s="24">
        <v>107643206</v>
      </c>
      <c r="F7289" s="22" t="s">
        <v>95</v>
      </c>
      <c r="G7289" s="25">
        <v>2802.82</v>
      </c>
      <c r="H7289" s="22" t="s">
        <v>22</v>
      </c>
      <c r="I7289" s="22">
        <v>0</v>
      </c>
      <c r="J7289" s="22" t="s">
        <v>95</v>
      </c>
      <c r="K7289" s="22" t="s">
        <v>23</v>
      </c>
      <c r="L7289" s="22">
        <v>4</v>
      </c>
      <c r="M7289" s="26">
        <v>69173</v>
      </c>
      <c r="N7289" s="26">
        <v>0</v>
      </c>
      <c r="O7289" s="15">
        <f t="shared" si="659"/>
        <v>69173</v>
      </c>
      <c r="P7289" s="15">
        <f t="shared" si="660"/>
        <v>24.679786786165362</v>
      </c>
      <c r="Q7289" s="25">
        <v>5000</v>
      </c>
      <c r="R7289" s="22">
        <v>56</v>
      </c>
      <c r="S7289" s="22" t="s">
        <v>8854</v>
      </c>
      <c r="T7289" s="22">
        <f t="shared" si="654"/>
        <v>9</v>
      </c>
      <c r="U7289" s="22">
        <f t="shared" si="655"/>
        <v>2023</v>
      </c>
      <c r="V7289" s="22" t="str">
        <f t="shared" si="656"/>
        <v>METROPOLITANA</v>
      </c>
    </row>
    <row r="7290" spans="1:22" x14ac:dyDescent="0.2">
      <c r="A7290" s="23" t="s">
        <v>8848</v>
      </c>
      <c r="B7290" s="22" t="s">
        <v>33</v>
      </c>
      <c r="C7290" s="22" t="s">
        <v>44</v>
      </c>
      <c r="D7290" s="22" t="s">
        <v>35</v>
      </c>
      <c r="E7290" s="24">
        <v>99626232</v>
      </c>
      <c r="F7290" s="22" t="s">
        <v>26</v>
      </c>
      <c r="G7290" s="25">
        <v>2855.2200000000012</v>
      </c>
      <c r="H7290" s="22" t="s">
        <v>22</v>
      </c>
      <c r="I7290" s="22">
        <v>0</v>
      </c>
      <c r="J7290" s="22" t="s">
        <v>26</v>
      </c>
      <c r="K7290" s="22" t="s">
        <v>23</v>
      </c>
      <c r="L7290" s="22">
        <v>4</v>
      </c>
      <c r="M7290" s="26">
        <v>69173</v>
      </c>
      <c r="N7290" s="26">
        <v>0</v>
      </c>
      <c r="O7290" s="15">
        <f t="shared" si="659"/>
        <v>69173</v>
      </c>
      <c r="P7290" s="15">
        <f t="shared" si="660"/>
        <v>24.226854673195049</v>
      </c>
      <c r="Q7290" s="25">
        <v>5000</v>
      </c>
      <c r="R7290" s="22">
        <v>57</v>
      </c>
      <c r="S7290" s="22" t="s">
        <v>8855</v>
      </c>
      <c r="T7290" s="22">
        <f t="shared" si="654"/>
        <v>9</v>
      </c>
      <c r="U7290" s="22">
        <f t="shared" si="655"/>
        <v>2023</v>
      </c>
      <c r="V7290" s="22" t="str">
        <f t="shared" si="656"/>
        <v>METROPOLITANA</v>
      </c>
    </row>
    <row r="7291" spans="1:22" x14ac:dyDescent="0.2">
      <c r="A7291" s="11" t="s">
        <v>8858</v>
      </c>
      <c r="B7291" s="12" t="s">
        <v>33</v>
      </c>
      <c r="C7291" s="12" t="s">
        <v>60</v>
      </c>
      <c r="D7291" s="12" t="s">
        <v>37</v>
      </c>
      <c r="E7291" s="13">
        <v>81417709</v>
      </c>
      <c r="F7291" s="12" t="s">
        <v>5869</v>
      </c>
      <c r="G7291" s="14">
        <v>6588.800000000002</v>
      </c>
      <c r="H7291" s="12" t="s">
        <v>22</v>
      </c>
      <c r="I7291" s="12">
        <v>0</v>
      </c>
      <c r="J7291" s="12" t="s">
        <v>5869</v>
      </c>
      <c r="K7291" s="12" t="s">
        <v>78</v>
      </c>
      <c r="L7291" s="12">
        <v>0</v>
      </c>
      <c r="M7291" s="15">
        <v>280000</v>
      </c>
      <c r="N7291" s="15">
        <v>0</v>
      </c>
      <c r="O7291" s="15">
        <f t="shared" ref="O7291:O7298" si="661">SUM(M7291:N7291)</f>
        <v>280000</v>
      </c>
      <c r="P7291" s="15">
        <f t="shared" ref="P7291:P7298" si="662">O7291/G7291</f>
        <v>42.49635745507527</v>
      </c>
      <c r="Q7291" s="14">
        <v>14000</v>
      </c>
      <c r="R7291" s="12">
        <v>47</v>
      </c>
      <c r="S7291" s="12" t="s">
        <v>8859</v>
      </c>
      <c r="T7291" s="22">
        <f t="shared" si="654"/>
        <v>9</v>
      </c>
      <c r="U7291" s="22">
        <f t="shared" si="655"/>
        <v>2023</v>
      </c>
      <c r="V7291" s="22" t="str">
        <f t="shared" si="656"/>
        <v>REGIONES</v>
      </c>
    </row>
    <row r="7292" spans="1:22" x14ac:dyDescent="0.2">
      <c r="A7292" s="11" t="s">
        <v>8858</v>
      </c>
      <c r="B7292" s="12" t="s">
        <v>33</v>
      </c>
      <c r="C7292" s="12" t="s">
        <v>60</v>
      </c>
      <c r="D7292" s="12" t="s">
        <v>786</v>
      </c>
      <c r="E7292" s="13">
        <v>95707734</v>
      </c>
      <c r="F7292" s="12" t="s">
        <v>8860</v>
      </c>
      <c r="G7292" s="14">
        <f>10548.8+5059+10549</f>
        <v>26156.799999999999</v>
      </c>
      <c r="H7292" s="12" t="s">
        <v>788</v>
      </c>
      <c r="I7292" s="12">
        <v>1</v>
      </c>
      <c r="J7292" s="12" t="s">
        <v>8860</v>
      </c>
      <c r="K7292" s="12" t="s">
        <v>78</v>
      </c>
      <c r="L7292" s="12">
        <v>0</v>
      </c>
      <c r="M7292" s="15">
        <v>289000</v>
      </c>
      <c r="N7292" s="15">
        <v>0</v>
      </c>
      <c r="O7292" s="15">
        <f t="shared" si="661"/>
        <v>289000</v>
      </c>
      <c r="P7292" s="15">
        <f t="shared" si="662"/>
        <v>11.048752140934671</v>
      </c>
      <c r="Q7292" s="14">
        <v>14000</v>
      </c>
      <c r="R7292" s="12">
        <v>100</v>
      </c>
      <c r="S7292" s="12" t="s">
        <v>8866</v>
      </c>
      <c r="T7292" s="22">
        <f t="shared" si="654"/>
        <v>9</v>
      </c>
      <c r="U7292" s="22">
        <f t="shared" si="655"/>
        <v>2023</v>
      </c>
      <c r="V7292" s="22" t="str">
        <f t="shared" si="656"/>
        <v>REGIONES</v>
      </c>
    </row>
    <row r="7293" spans="1:22" x14ac:dyDescent="0.2">
      <c r="A7293" s="11" t="s">
        <v>8858</v>
      </c>
      <c r="B7293" s="12" t="s">
        <v>33</v>
      </c>
      <c r="C7293" s="12" t="s">
        <v>60</v>
      </c>
      <c r="D7293" s="12" t="s">
        <v>30</v>
      </c>
      <c r="E7293" s="13">
        <v>72564391</v>
      </c>
      <c r="F7293" s="12" t="s">
        <v>800</v>
      </c>
      <c r="G7293" s="14">
        <v>6863.6000000000013</v>
      </c>
      <c r="H7293" s="12" t="s">
        <v>32</v>
      </c>
      <c r="I7293" s="12">
        <v>0</v>
      </c>
      <c r="J7293" s="12" t="s">
        <v>800</v>
      </c>
      <c r="K7293" s="12" t="s">
        <v>23</v>
      </c>
      <c r="L7293" s="12">
        <v>5</v>
      </c>
      <c r="M7293" s="15">
        <v>112500</v>
      </c>
      <c r="N7293" s="15">
        <v>0</v>
      </c>
      <c r="O7293" s="15">
        <f t="shared" si="661"/>
        <v>112500</v>
      </c>
      <c r="P7293" s="15">
        <f t="shared" si="662"/>
        <v>16.390815315577829</v>
      </c>
      <c r="Q7293" s="14">
        <v>10000</v>
      </c>
      <c r="R7293" s="12">
        <v>69</v>
      </c>
      <c r="S7293" s="12" t="s">
        <v>8861</v>
      </c>
      <c r="T7293" s="22">
        <f t="shared" si="654"/>
        <v>9</v>
      </c>
      <c r="U7293" s="22">
        <f t="shared" si="655"/>
        <v>2023</v>
      </c>
      <c r="V7293" s="22" t="str">
        <f t="shared" si="656"/>
        <v>METROPOLITANA</v>
      </c>
    </row>
    <row r="7294" spans="1:22" x14ac:dyDescent="0.2">
      <c r="A7294" s="11" t="s">
        <v>8858</v>
      </c>
      <c r="B7294" s="12" t="s">
        <v>33</v>
      </c>
      <c r="C7294" s="12" t="s">
        <v>44</v>
      </c>
      <c r="D7294" s="12" t="s">
        <v>6969</v>
      </c>
      <c r="E7294" s="13">
        <v>104840078</v>
      </c>
      <c r="F7294" s="12" t="s">
        <v>815</v>
      </c>
      <c r="G7294" s="14">
        <v>8244.0000000000036</v>
      </c>
      <c r="H7294" s="12" t="s">
        <v>24</v>
      </c>
      <c r="I7294" s="12">
        <v>1</v>
      </c>
      <c r="J7294" s="12" t="s">
        <v>815</v>
      </c>
      <c r="K7294" s="12" t="s">
        <v>75</v>
      </c>
      <c r="L7294" s="12">
        <v>0</v>
      </c>
      <c r="M7294" s="15">
        <v>528000</v>
      </c>
      <c r="N7294" s="15">
        <v>0</v>
      </c>
      <c r="O7294" s="15">
        <f t="shared" si="661"/>
        <v>528000</v>
      </c>
      <c r="P7294" s="15">
        <f t="shared" si="662"/>
        <v>64.046579330422091</v>
      </c>
      <c r="Q7294" s="14">
        <v>14000</v>
      </c>
      <c r="R7294" s="12">
        <v>59</v>
      </c>
      <c r="S7294" s="12" t="s">
        <v>8862</v>
      </c>
      <c r="T7294" s="22">
        <f t="shared" si="654"/>
        <v>9</v>
      </c>
      <c r="U7294" s="22">
        <f t="shared" si="655"/>
        <v>2023</v>
      </c>
      <c r="V7294" s="22" t="str">
        <f t="shared" si="656"/>
        <v>REGIONES</v>
      </c>
    </row>
    <row r="7295" spans="1:22" x14ac:dyDescent="0.2">
      <c r="A7295" s="11" t="s">
        <v>8858</v>
      </c>
      <c r="B7295" s="12" t="s">
        <v>33</v>
      </c>
      <c r="C7295" s="12" t="s">
        <v>44</v>
      </c>
      <c r="D7295" s="12" t="s">
        <v>370</v>
      </c>
      <c r="E7295" s="13">
        <v>94742285</v>
      </c>
      <c r="F7295" s="12" t="s">
        <v>114</v>
      </c>
      <c r="G7295" s="14">
        <v>12230.87</v>
      </c>
      <c r="H7295" s="12" t="s">
        <v>85</v>
      </c>
      <c r="I7295" s="12">
        <v>1</v>
      </c>
      <c r="J7295" s="12" t="s">
        <v>114</v>
      </c>
      <c r="K7295" s="12" t="s">
        <v>75</v>
      </c>
      <c r="L7295" s="12">
        <v>0</v>
      </c>
      <c r="M7295" s="15">
        <v>528000</v>
      </c>
      <c r="N7295" s="15">
        <v>0</v>
      </c>
      <c r="O7295" s="15">
        <f t="shared" si="661"/>
        <v>528000</v>
      </c>
      <c r="P7295" s="15">
        <f t="shared" si="662"/>
        <v>43.169455647881136</v>
      </c>
      <c r="Q7295" s="14">
        <v>14000</v>
      </c>
      <c r="R7295" s="12">
        <v>87</v>
      </c>
      <c r="S7295" s="12" t="s">
        <v>8863</v>
      </c>
      <c r="T7295" s="22">
        <f t="shared" si="654"/>
        <v>9</v>
      </c>
      <c r="U7295" s="22">
        <f t="shared" si="655"/>
        <v>2023</v>
      </c>
      <c r="V7295" s="22" t="str">
        <f t="shared" si="656"/>
        <v>REGIONES</v>
      </c>
    </row>
    <row r="7296" spans="1:22" x14ac:dyDescent="0.2">
      <c r="A7296" s="11" t="s">
        <v>8858</v>
      </c>
      <c r="B7296" s="12" t="s">
        <v>33</v>
      </c>
      <c r="C7296" s="12" t="s">
        <v>44</v>
      </c>
      <c r="D7296" s="12" t="s">
        <v>8314</v>
      </c>
      <c r="E7296" s="13">
        <v>123000153</v>
      </c>
      <c r="F7296" s="12" t="s">
        <v>3139</v>
      </c>
      <c r="G7296" s="14">
        <f>3338.12+1287</f>
        <v>4625.12</v>
      </c>
      <c r="H7296" s="12" t="s">
        <v>24</v>
      </c>
      <c r="I7296" s="12">
        <v>1</v>
      </c>
      <c r="J7296" s="12" t="s">
        <v>3139</v>
      </c>
      <c r="K7296" s="12" t="s">
        <v>93</v>
      </c>
      <c r="L7296" s="12">
        <v>0</v>
      </c>
      <c r="M7296" s="15">
        <v>583000</v>
      </c>
      <c r="N7296" s="15">
        <v>0</v>
      </c>
      <c r="O7296" s="15">
        <f t="shared" si="661"/>
        <v>583000</v>
      </c>
      <c r="P7296" s="15">
        <f t="shared" si="662"/>
        <v>126.0507835472377</v>
      </c>
      <c r="Q7296" s="14">
        <v>14000</v>
      </c>
      <c r="R7296" s="12">
        <v>45</v>
      </c>
      <c r="S7296" s="12" t="s">
        <v>8867</v>
      </c>
      <c r="T7296" s="22">
        <f t="shared" si="654"/>
        <v>9</v>
      </c>
      <c r="U7296" s="22">
        <f t="shared" si="655"/>
        <v>2023</v>
      </c>
      <c r="V7296" s="22" t="str">
        <f t="shared" si="656"/>
        <v>REGIONES</v>
      </c>
    </row>
    <row r="7297" spans="1:22" x14ac:dyDescent="0.2">
      <c r="A7297" s="11" t="s">
        <v>8858</v>
      </c>
      <c r="B7297" s="12" t="s">
        <v>33</v>
      </c>
      <c r="C7297" s="12" t="s">
        <v>44</v>
      </c>
      <c r="D7297" s="12" t="s">
        <v>8580</v>
      </c>
      <c r="E7297" s="13">
        <v>276547747</v>
      </c>
      <c r="F7297" s="12" t="s">
        <v>554</v>
      </c>
      <c r="G7297" s="14">
        <v>2885.17</v>
      </c>
      <c r="H7297" s="12" t="s">
        <v>24</v>
      </c>
      <c r="I7297" s="12">
        <v>1</v>
      </c>
      <c r="J7297" s="12" t="s">
        <v>554</v>
      </c>
      <c r="K7297" s="12" t="s">
        <v>23</v>
      </c>
      <c r="L7297" s="12">
        <v>4</v>
      </c>
      <c r="M7297" s="15">
        <v>69173</v>
      </c>
      <c r="N7297" s="15">
        <v>0</v>
      </c>
      <c r="O7297" s="15">
        <f t="shared" si="661"/>
        <v>69173</v>
      </c>
      <c r="P7297" s="15">
        <f t="shared" si="662"/>
        <v>23.975363670078366</v>
      </c>
      <c r="Q7297" s="14">
        <v>5000</v>
      </c>
      <c r="R7297" s="12">
        <v>58</v>
      </c>
      <c r="S7297" s="12" t="s">
        <v>8864</v>
      </c>
      <c r="T7297" s="22">
        <f t="shared" si="654"/>
        <v>9</v>
      </c>
      <c r="U7297" s="22">
        <f t="shared" si="655"/>
        <v>2023</v>
      </c>
      <c r="V7297" s="22" t="str">
        <f t="shared" si="656"/>
        <v>METROPOLITANA</v>
      </c>
    </row>
    <row r="7298" spans="1:22" x14ac:dyDescent="0.2">
      <c r="A7298" s="11" t="s">
        <v>8858</v>
      </c>
      <c r="B7298" s="12" t="s">
        <v>33</v>
      </c>
      <c r="C7298" s="12" t="s">
        <v>44</v>
      </c>
      <c r="D7298" s="12" t="s">
        <v>45</v>
      </c>
      <c r="E7298" s="13">
        <v>107643206</v>
      </c>
      <c r="F7298" s="12" t="s">
        <v>53</v>
      </c>
      <c r="G7298" s="14">
        <v>3001.2000000000012</v>
      </c>
      <c r="H7298" s="12" t="s">
        <v>22</v>
      </c>
      <c r="I7298" s="12">
        <v>0</v>
      </c>
      <c r="J7298" s="12" t="s">
        <v>53</v>
      </c>
      <c r="K7298" s="12" t="s">
        <v>23</v>
      </c>
      <c r="L7298" s="12">
        <v>3</v>
      </c>
      <c r="M7298" s="15">
        <v>69173</v>
      </c>
      <c r="N7298" s="15">
        <v>0</v>
      </c>
      <c r="O7298" s="15">
        <f t="shared" si="661"/>
        <v>69173</v>
      </c>
      <c r="P7298" s="15">
        <f t="shared" si="662"/>
        <v>23.048447287751557</v>
      </c>
      <c r="Q7298" s="14">
        <v>5000</v>
      </c>
      <c r="R7298" s="12">
        <v>60</v>
      </c>
      <c r="S7298" s="12" t="s">
        <v>8865</v>
      </c>
      <c r="T7298" s="22">
        <f t="shared" si="654"/>
        <v>9</v>
      </c>
      <c r="U7298" s="22">
        <f t="shared" si="655"/>
        <v>2023</v>
      </c>
      <c r="V7298" s="22" t="str">
        <f t="shared" si="656"/>
        <v>METROPOLITANA</v>
      </c>
    </row>
    <row r="7299" spans="1:22" x14ac:dyDescent="0.2">
      <c r="A7299" s="23" t="s">
        <v>8868</v>
      </c>
      <c r="B7299" s="22" t="s">
        <v>18</v>
      </c>
      <c r="C7299" s="22" t="s">
        <v>57</v>
      </c>
      <c r="D7299" s="22" t="s">
        <v>38</v>
      </c>
      <c r="E7299" s="24" t="s">
        <v>25</v>
      </c>
      <c r="F7299" s="22" t="s">
        <v>51</v>
      </c>
      <c r="G7299" s="25">
        <v>8949.17</v>
      </c>
      <c r="H7299" s="22" t="s">
        <v>43</v>
      </c>
      <c r="I7299" s="22">
        <v>0</v>
      </c>
      <c r="J7299" s="22" t="s">
        <v>51</v>
      </c>
      <c r="K7299" s="22" t="s">
        <v>23</v>
      </c>
      <c r="L7299" s="22">
        <v>4</v>
      </c>
      <c r="M7299" s="26">
        <v>98441</v>
      </c>
      <c r="N7299" s="26">
        <v>0</v>
      </c>
      <c r="O7299" s="15">
        <f t="shared" ref="O7299:O7310" si="663">SUM(M7299:N7299)</f>
        <v>98441</v>
      </c>
      <c r="P7299" s="15">
        <f t="shared" ref="P7299:P7310" si="664">O7299/G7299</f>
        <v>11.000014526486813</v>
      </c>
      <c r="Q7299" s="25">
        <v>5000</v>
      </c>
      <c r="R7299" s="22">
        <v>100</v>
      </c>
      <c r="S7299" s="22" t="s">
        <v>8869</v>
      </c>
      <c r="T7299" s="22">
        <f t="shared" si="654"/>
        <v>9</v>
      </c>
      <c r="U7299" s="22">
        <f t="shared" si="655"/>
        <v>2023</v>
      </c>
      <c r="V7299" s="22" t="str">
        <f t="shared" si="656"/>
        <v>METROPOLITANA</v>
      </c>
    </row>
    <row r="7300" spans="1:22" x14ac:dyDescent="0.2">
      <c r="A7300" s="23" t="s">
        <v>8868</v>
      </c>
      <c r="B7300" s="22" t="s">
        <v>18</v>
      </c>
      <c r="C7300" s="22" t="s">
        <v>29</v>
      </c>
      <c r="D7300" s="22" t="s">
        <v>7203</v>
      </c>
      <c r="E7300" s="24" t="s">
        <v>7204</v>
      </c>
      <c r="F7300" s="22" t="s">
        <v>815</v>
      </c>
      <c r="G7300" s="25">
        <v>8894.9999999999982</v>
      </c>
      <c r="H7300" s="22" t="s">
        <v>24</v>
      </c>
      <c r="I7300" s="22">
        <v>1</v>
      </c>
      <c r="J7300" s="22" t="s">
        <v>815</v>
      </c>
      <c r="K7300" s="22" t="s">
        <v>75</v>
      </c>
      <c r="L7300" s="22">
        <v>0</v>
      </c>
      <c r="M7300" s="26">
        <v>528000</v>
      </c>
      <c r="N7300" s="26">
        <v>0</v>
      </c>
      <c r="O7300" s="15">
        <f t="shared" si="663"/>
        <v>528000</v>
      </c>
      <c r="P7300" s="15">
        <f t="shared" si="664"/>
        <v>59.359190556492422</v>
      </c>
      <c r="Q7300" s="25">
        <v>14000</v>
      </c>
      <c r="R7300" s="22">
        <v>64</v>
      </c>
      <c r="S7300" s="22" t="s">
        <v>8870</v>
      </c>
      <c r="T7300" s="22">
        <f t="shared" si="654"/>
        <v>9</v>
      </c>
      <c r="U7300" s="22">
        <f t="shared" si="655"/>
        <v>2023</v>
      </c>
      <c r="V7300" s="22" t="str">
        <f t="shared" si="656"/>
        <v>REGIONES</v>
      </c>
    </row>
    <row r="7301" spans="1:22" x14ac:dyDescent="0.2">
      <c r="A7301" s="23" t="s">
        <v>8868</v>
      </c>
      <c r="B7301" s="22" t="s">
        <v>33</v>
      </c>
      <c r="C7301" s="22" t="s">
        <v>60</v>
      </c>
      <c r="D7301" s="22" t="s">
        <v>37</v>
      </c>
      <c r="E7301" s="24" t="s">
        <v>28</v>
      </c>
      <c r="F7301" s="22" t="s">
        <v>1105</v>
      </c>
      <c r="G7301" s="25">
        <f>4269.675</f>
        <v>4269.6750000000002</v>
      </c>
      <c r="H7301" s="22" t="s">
        <v>22</v>
      </c>
      <c r="I7301" s="22">
        <v>0</v>
      </c>
      <c r="J7301" s="22" t="s">
        <v>1105</v>
      </c>
      <c r="K7301" s="22" t="s">
        <v>873</v>
      </c>
      <c r="L7301" s="22">
        <v>0</v>
      </c>
      <c r="M7301" s="26">
        <v>500000</v>
      </c>
      <c r="N7301" s="26">
        <v>0</v>
      </c>
      <c r="O7301" s="15">
        <f t="shared" si="663"/>
        <v>500000</v>
      </c>
      <c r="P7301" s="15">
        <f t="shared" si="664"/>
        <v>117.10493187420587</v>
      </c>
      <c r="Q7301" s="25">
        <v>14000</v>
      </c>
      <c r="R7301" s="22">
        <v>65</v>
      </c>
      <c r="S7301" s="22" t="s">
        <v>8881</v>
      </c>
      <c r="T7301" s="22">
        <f t="shared" si="654"/>
        <v>9</v>
      </c>
      <c r="U7301" s="22">
        <f t="shared" si="655"/>
        <v>2023</v>
      </c>
      <c r="V7301" s="22" t="str">
        <f t="shared" si="656"/>
        <v>REGIONES</v>
      </c>
    </row>
    <row r="7302" spans="1:22" x14ac:dyDescent="0.2">
      <c r="A7302" s="23" t="s">
        <v>8868</v>
      </c>
      <c r="B7302" s="22" t="s">
        <v>33</v>
      </c>
      <c r="C7302" s="22" t="s">
        <v>36</v>
      </c>
      <c r="D7302" s="22" t="s">
        <v>6221</v>
      </c>
      <c r="E7302" s="24" t="s">
        <v>7100</v>
      </c>
      <c r="F7302" s="22" t="s">
        <v>893</v>
      </c>
      <c r="G7302" s="25">
        <v>9296.67</v>
      </c>
      <c r="H7302" s="22" t="s">
        <v>24</v>
      </c>
      <c r="I7302" s="22">
        <v>1</v>
      </c>
      <c r="J7302" s="22" t="s">
        <v>893</v>
      </c>
      <c r="K7302" s="22" t="s">
        <v>437</v>
      </c>
      <c r="L7302" s="22">
        <v>0</v>
      </c>
      <c r="M7302" s="26">
        <v>1500000</v>
      </c>
      <c r="N7302" s="26">
        <v>0</v>
      </c>
      <c r="O7302" s="15">
        <f t="shared" si="663"/>
        <v>1500000</v>
      </c>
      <c r="P7302" s="15">
        <f t="shared" si="664"/>
        <v>161.34809560842754</v>
      </c>
      <c r="Q7302" s="25">
        <v>14000</v>
      </c>
      <c r="R7302" s="22">
        <v>85</v>
      </c>
      <c r="S7302" s="22" t="s">
        <v>8871</v>
      </c>
      <c r="T7302" s="22">
        <f t="shared" si="654"/>
        <v>9</v>
      </c>
      <c r="U7302" s="22">
        <f t="shared" si="655"/>
        <v>2023</v>
      </c>
      <c r="V7302" s="22" t="str">
        <f t="shared" si="656"/>
        <v>REGIONES</v>
      </c>
    </row>
    <row r="7303" spans="1:22" x14ac:dyDescent="0.2">
      <c r="A7303" s="23" t="s">
        <v>8868</v>
      </c>
      <c r="B7303" s="22" t="s">
        <v>33</v>
      </c>
      <c r="C7303" s="22" t="s">
        <v>29</v>
      </c>
      <c r="D7303" s="22" t="s">
        <v>38</v>
      </c>
      <c r="E7303" s="24" t="s">
        <v>25</v>
      </c>
      <c r="F7303" s="22" t="s">
        <v>134</v>
      </c>
      <c r="G7303" s="25">
        <v>4077.0000000000009</v>
      </c>
      <c r="H7303" s="22" t="s">
        <v>43</v>
      </c>
      <c r="I7303" s="22">
        <v>0</v>
      </c>
      <c r="J7303" s="22" t="s">
        <v>134</v>
      </c>
      <c r="K7303" s="22" t="s">
        <v>23</v>
      </c>
      <c r="L7303" s="22">
        <v>2</v>
      </c>
      <c r="M7303" s="26">
        <v>69173</v>
      </c>
      <c r="N7303" s="26">
        <v>0</v>
      </c>
      <c r="O7303" s="15">
        <f t="shared" si="663"/>
        <v>69173</v>
      </c>
      <c r="P7303" s="15">
        <f t="shared" si="664"/>
        <v>16.966642138827567</v>
      </c>
      <c r="Q7303" s="25">
        <v>5000</v>
      </c>
      <c r="R7303" s="22">
        <v>82</v>
      </c>
      <c r="S7303" s="22" t="s">
        <v>8872</v>
      </c>
      <c r="T7303" s="22">
        <f t="shared" si="654"/>
        <v>9</v>
      </c>
      <c r="U7303" s="22">
        <f t="shared" si="655"/>
        <v>2023</v>
      </c>
      <c r="V7303" s="22" t="str">
        <f t="shared" si="656"/>
        <v>METROPOLITANA</v>
      </c>
    </row>
    <row r="7304" spans="1:22" x14ac:dyDescent="0.2">
      <c r="A7304" s="23" t="s">
        <v>8868</v>
      </c>
      <c r="B7304" s="22" t="s">
        <v>33</v>
      </c>
      <c r="C7304" s="22" t="s">
        <v>29</v>
      </c>
      <c r="D7304" s="22" t="s">
        <v>7012</v>
      </c>
      <c r="E7304" s="24" t="s">
        <v>6760</v>
      </c>
      <c r="F7304" s="22" t="s">
        <v>114</v>
      </c>
      <c r="G7304" s="25">
        <v>19095.419999999998</v>
      </c>
      <c r="H7304" s="22" t="s">
        <v>24</v>
      </c>
      <c r="I7304" s="22">
        <v>1</v>
      </c>
      <c r="J7304" s="22" t="s">
        <v>114</v>
      </c>
      <c r="K7304" s="22" t="s">
        <v>75</v>
      </c>
      <c r="L7304" s="22">
        <v>0</v>
      </c>
      <c r="M7304" s="26">
        <v>528000</v>
      </c>
      <c r="N7304" s="26">
        <v>0</v>
      </c>
      <c r="O7304" s="15">
        <f t="shared" si="663"/>
        <v>528000</v>
      </c>
      <c r="P7304" s="15">
        <f t="shared" si="664"/>
        <v>27.65060941314724</v>
      </c>
      <c r="Q7304" s="25">
        <v>14000</v>
      </c>
      <c r="R7304" s="22">
        <v>100</v>
      </c>
      <c r="S7304" s="22" t="s">
        <v>8873</v>
      </c>
      <c r="T7304" s="22">
        <f t="shared" si="654"/>
        <v>9</v>
      </c>
      <c r="U7304" s="22">
        <f t="shared" si="655"/>
        <v>2023</v>
      </c>
      <c r="V7304" s="22" t="str">
        <f t="shared" si="656"/>
        <v>REGIONES</v>
      </c>
    </row>
    <row r="7305" spans="1:22" x14ac:dyDescent="0.2">
      <c r="A7305" s="23" t="s">
        <v>8868</v>
      </c>
      <c r="B7305" s="22" t="s">
        <v>33</v>
      </c>
      <c r="C7305" s="22" t="s">
        <v>29</v>
      </c>
      <c r="D7305" s="22" t="s">
        <v>164</v>
      </c>
      <c r="E7305" s="24" t="s">
        <v>1576</v>
      </c>
      <c r="F7305" s="22" t="s">
        <v>39</v>
      </c>
      <c r="G7305" s="25">
        <v>16517.34</v>
      </c>
      <c r="H7305" s="22" t="s">
        <v>22</v>
      </c>
      <c r="I7305" s="22">
        <v>1</v>
      </c>
      <c r="J7305" s="22" t="s">
        <v>39</v>
      </c>
      <c r="K7305" s="22" t="s">
        <v>23</v>
      </c>
      <c r="L7305" s="22">
        <v>1</v>
      </c>
      <c r="M7305" s="26">
        <v>181691</v>
      </c>
      <c r="N7305" s="26">
        <v>0</v>
      </c>
      <c r="O7305" s="15">
        <f t="shared" si="663"/>
        <v>181691</v>
      </c>
      <c r="P7305" s="15">
        <f t="shared" si="664"/>
        <v>11.000015741033362</v>
      </c>
      <c r="Q7305" s="25">
        <v>5000</v>
      </c>
      <c r="R7305" s="22">
        <v>100</v>
      </c>
      <c r="S7305" s="22" t="s">
        <v>8874</v>
      </c>
      <c r="T7305" s="22">
        <f t="shared" si="654"/>
        <v>9</v>
      </c>
      <c r="U7305" s="22">
        <f t="shared" si="655"/>
        <v>2023</v>
      </c>
      <c r="V7305" s="22" t="str">
        <f t="shared" si="656"/>
        <v>METROPOLITANA</v>
      </c>
    </row>
    <row r="7306" spans="1:22" x14ac:dyDescent="0.2">
      <c r="A7306" s="23" t="s">
        <v>8868</v>
      </c>
      <c r="B7306" s="22" t="s">
        <v>33</v>
      </c>
      <c r="C7306" s="22" t="s">
        <v>29</v>
      </c>
      <c r="D7306" s="22" t="s">
        <v>20</v>
      </c>
      <c r="E7306" s="24" t="s">
        <v>21</v>
      </c>
      <c r="F7306" s="22" t="s">
        <v>39</v>
      </c>
      <c r="G7306" s="25">
        <v>10236.41</v>
      </c>
      <c r="H7306" s="22" t="s">
        <v>22</v>
      </c>
      <c r="I7306" s="22">
        <v>0</v>
      </c>
      <c r="J7306" s="22" t="s">
        <v>39</v>
      </c>
      <c r="K7306" s="22" t="s">
        <v>23</v>
      </c>
      <c r="L7306" s="22">
        <v>1</v>
      </c>
      <c r="M7306" s="26">
        <v>112601</v>
      </c>
      <c r="N7306" s="26">
        <v>0</v>
      </c>
      <c r="O7306" s="15">
        <f t="shared" si="663"/>
        <v>112601</v>
      </c>
      <c r="P7306" s="15">
        <f t="shared" si="664"/>
        <v>11.000047868344469</v>
      </c>
      <c r="Q7306" s="25">
        <v>5000</v>
      </c>
      <c r="R7306" s="22">
        <v>100</v>
      </c>
      <c r="S7306" s="22" t="s">
        <v>8875</v>
      </c>
      <c r="T7306" s="22">
        <f t="shared" si="654"/>
        <v>9</v>
      </c>
      <c r="U7306" s="22">
        <f t="shared" si="655"/>
        <v>2023</v>
      </c>
      <c r="V7306" s="22" t="str">
        <f t="shared" si="656"/>
        <v>METROPOLITANA</v>
      </c>
    </row>
    <row r="7307" spans="1:22" x14ac:dyDescent="0.2">
      <c r="A7307" s="23" t="s">
        <v>8868</v>
      </c>
      <c r="B7307" s="22" t="s">
        <v>33</v>
      </c>
      <c r="C7307" s="22" t="s">
        <v>44</v>
      </c>
      <c r="D7307" s="22" t="s">
        <v>2612</v>
      </c>
      <c r="E7307" s="24" t="s">
        <v>8876</v>
      </c>
      <c r="F7307" s="22" t="s">
        <v>815</v>
      </c>
      <c r="G7307" s="25">
        <v>7872.0000000000027</v>
      </c>
      <c r="H7307" s="22" t="s">
        <v>24</v>
      </c>
      <c r="I7307" s="22">
        <v>1</v>
      </c>
      <c r="J7307" s="22" t="s">
        <v>815</v>
      </c>
      <c r="K7307" s="22" t="s">
        <v>75</v>
      </c>
      <c r="L7307" s="22">
        <v>0</v>
      </c>
      <c r="M7307" s="26">
        <v>528000</v>
      </c>
      <c r="N7307" s="26">
        <v>0</v>
      </c>
      <c r="O7307" s="15">
        <f t="shared" si="663"/>
        <v>528000</v>
      </c>
      <c r="P7307" s="15">
        <f t="shared" si="664"/>
        <v>67.073170731707293</v>
      </c>
      <c r="Q7307" s="25">
        <v>14000</v>
      </c>
      <c r="R7307" s="22">
        <v>56</v>
      </c>
      <c r="S7307" s="22" t="s">
        <v>8877</v>
      </c>
      <c r="T7307" s="22">
        <f t="shared" si="654"/>
        <v>9</v>
      </c>
      <c r="U7307" s="22">
        <f t="shared" si="655"/>
        <v>2023</v>
      </c>
      <c r="V7307" s="22" t="str">
        <f t="shared" si="656"/>
        <v>REGIONES</v>
      </c>
    </row>
    <row r="7308" spans="1:22" x14ac:dyDescent="0.2">
      <c r="A7308" s="23" t="s">
        <v>8868</v>
      </c>
      <c r="B7308" s="22" t="s">
        <v>33</v>
      </c>
      <c r="C7308" s="22" t="s">
        <v>44</v>
      </c>
      <c r="D7308" s="22" t="s">
        <v>8878</v>
      </c>
      <c r="E7308" s="24" t="s">
        <v>7712</v>
      </c>
      <c r="F7308" s="22" t="s">
        <v>66</v>
      </c>
      <c r="G7308" s="25">
        <f>2532.82+1917</f>
        <v>4449.82</v>
      </c>
      <c r="H7308" s="22" t="s">
        <v>24</v>
      </c>
      <c r="I7308" s="22">
        <v>1</v>
      </c>
      <c r="J7308" s="22" t="s">
        <v>66</v>
      </c>
      <c r="K7308" s="22" t="s">
        <v>75</v>
      </c>
      <c r="L7308" s="22">
        <v>0</v>
      </c>
      <c r="M7308" s="26">
        <v>506000</v>
      </c>
      <c r="N7308" s="26">
        <v>0</v>
      </c>
      <c r="O7308" s="15">
        <f t="shared" si="663"/>
        <v>506000</v>
      </c>
      <c r="P7308" s="15">
        <f t="shared" si="664"/>
        <v>113.71246477385603</v>
      </c>
      <c r="Q7308" s="25">
        <v>14000</v>
      </c>
      <c r="R7308" s="22">
        <v>55</v>
      </c>
      <c r="S7308" s="22" t="s">
        <v>8882</v>
      </c>
      <c r="T7308" s="22">
        <f t="shared" si="654"/>
        <v>9</v>
      </c>
      <c r="U7308" s="22">
        <f t="shared" si="655"/>
        <v>2023</v>
      </c>
      <c r="V7308" s="22" t="str">
        <f t="shared" si="656"/>
        <v>REGIONES</v>
      </c>
    </row>
    <row r="7309" spans="1:22" x14ac:dyDescent="0.2">
      <c r="A7309" s="23" t="s">
        <v>8868</v>
      </c>
      <c r="B7309" s="22" t="s">
        <v>33</v>
      </c>
      <c r="C7309" s="22" t="s">
        <v>44</v>
      </c>
      <c r="D7309" s="22" t="s">
        <v>45</v>
      </c>
      <c r="E7309" s="24" t="s">
        <v>49</v>
      </c>
      <c r="F7309" s="22" t="s">
        <v>48</v>
      </c>
      <c r="G7309" s="25">
        <v>3121.28</v>
      </c>
      <c r="H7309" s="22" t="s">
        <v>22</v>
      </c>
      <c r="I7309" s="22">
        <v>0</v>
      </c>
      <c r="J7309" s="22" t="s">
        <v>48</v>
      </c>
      <c r="K7309" s="22" t="s">
        <v>23</v>
      </c>
      <c r="L7309" s="22">
        <v>1</v>
      </c>
      <c r="M7309" s="26">
        <v>69173</v>
      </c>
      <c r="N7309" s="26">
        <v>0</v>
      </c>
      <c r="O7309" s="15">
        <f t="shared" si="663"/>
        <v>69173</v>
      </c>
      <c r="P7309" s="15">
        <f t="shared" si="664"/>
        <v>22.161741336887431</v>
      </c>
      <c r="Q7309" s="25">
        <v>5000</v>
      </c>
      <c r="R7309" s="22">
        <v>62</v>
      </c>
      <c r="S7309" s="22" t="s">
        <v>8879</v>
      </c>
      <c r="T7309" s="22">
        <f t="shared" si="654"/>
        <v>9</v>
      </c>
      <c r="U7309" s="22">
        <f t="shared" si="655"/>
        <v>2023</v>
      </c>
      <c r="V7309" s="22" t="str">
        <f t="shared" si="656"/>
        <v>METROPOLITANA</v>
      </c>
    </row>
    <row r="7310" spans="1:22" x14ac:dyDescent="0.2">
      <c r="A7310" s="23" t="s">
        <v>8868</v>
      </c>
      <c r="B7310" s="22" t="s">
        <v>33</v>
      </c>
      <c r="C7310" s="22" t="s">
        <v>44</v>
      </c>
      <c r="D7310" s="22" t="s">
        <v>35</v>
      </c>
      <c r="E7310" s="24" t="s">
        <v>52</v>
      </c>
      <c r="F7310" s="22" t="s">
        <v>51</v>
      </c>
      <c r="G7310" s="25">
        <v>4011.84</v>
      </c>
      <c r="H7310" s="22" t="s">
        <v>22</v>
      </c>
      <c r="I7310" s="22">
        <v>0</v>
      </c>
      <c r="J7310" s="22" t="s">
        <v>51</v>
      </c>
      <c r="K7310" s="22" t="s">
        <v>23</v>
      </c>
      <c r="L7310" s="22">
        <v>4</v>
      </c>
      <c r="M7310" s="26">
        <v>69173</v>
      </c>
      <c r="N7310" s="26">
        <v>0</v>
      </c>
      <c r="O7310" s="15">
        <f t="shared" si="663"/>
        <v>69173</v>
      </c>
      <c r="P7310" s="15">
        <f t="shared" si="664"/>
        <v>17.242213049373852</v>
      </c>
      <c r="Q7310" s="25">
        <v>5000</v>
      </c>
      <c r="R7310" s="22">
        <v>80</v>
      </c>
      <c r="S7310" s="22" t="s">
        <v>8880</v>
      </c>
      <c r="T7310" s="22">
        <f t="shared" si="654"/>
        <v>9</v>
      </c>
      <c r="U7310" s="22">
        <f t="shared" si="655"/>
        <v>2023</v>
      </c>
      <c r="V7310" s="22" t="str">
        <f t="shared" si="656"/>
        <v>METROPOLITANA</v>
      </c>
    </row>
    <row r="7311" spans="1:22" x14ac:dyDescent="0.2">
      <c r="A7311" s="11" t="s">
        <v>8883</v>
      </c>
      <c r="B7311" s="12" t="s">
        <v>18</v>
      </c>
      <c r="C7311" s="12" t="s">
        <v>57</v>
      </c>
      <c r="D7311" s="12" t="s">
        <v>30</v>
      </c>
      <c r="E7311" s="13">
        <v>72564391</v>
      </c>
      <c r="F7311" s="12" t="s">
        <v>51</v>
      </c>
      <c r="G7311" s="14">
        <v>6691.08</v>
      </c>
      <c r="H7311" s="12" t="s">
        <v>32</v>
      </c>
      <c r="I7311" s="12">
        <v>0</v>
      </c>
      <c r="J7311" s="12" t="s">
        <v>51</v>
      </c>
      <c r="K7311" s="12" t="s">
        <v>23</v>
      </c>
      <c r="L7311" s="12">
        <v>4</v>
      </c>
      <c r="M7311" s="15">
        <v>73602</v>
      </c>
      <c r="N7311" s="15">
        <v>0</v>
      </c>
      <c r="O7311" s="15">
        <f t="shared" ref="O7311:O7314" si="665">SUM(M7311:N7311)</f>
        <v>73602</v>
      </c>
      <c r="P7311" s="15">
        <f t="shared" ref="P7311:P7314" si="666">O7311/G7311</f>
        <v>11.000017934324504</v>
      </c>
      <c r="Q7311" s="14">
        <v>5000</v>
      </c>
      <c r="R7311" s="12">
        <v>100</v>
      </c>
      <c r="S7311" s="12" t="s">
        <v>8884</v>
      </c>
      <c r="T7311" s="22">
        <f t="shared" si="654"/>
        <v>9</v>
      </c>
      <c r="U7311" s="22">
        <f t="shared" si="655"/>
        <v>2023</v>
      </c>
      <c r="V7311" s="22" t="str">
        <f t="shared" si="656"/>
        <v>METROPOLITANA</v>
      </c>
    </row>
    <row r="7312" spans="1:22" x14ac:dyDescent="0.2">
      <c r="A7312" s="11" t="s">
        <v>8883</v>
      </c>
      <c r="B7312" s="12" t="s">
        <v>18</v>
      </c>
      <c r="C7312" s="12" t="s">
        <v>19</v>
      </c>
      <c r="D7312" s="12" t="s">
        <v>5478</v>
      </c>
      <c r="E7312" s="13">
        <v>122975819</v>
      </c>
      <c r="F7312" s="12" t="s">
        <v>84</v>
      </c>
      <c r="G7312" s="14">
        <v>16690.560000000001</v>
      </c>
      <c r="H7312" s="12" t="s">
        <v>24</v>
      </c>
      <c r="I7312" s="12">
        <v>1</v>
      </c>
      <c r="J7312" s="12" t="s">
        <v>84</v>
      </c>
      <c r="K7312" s="12" t="s">
        <v>86</v>
      </c>
      <c r="L7312" s="12">
        <v>0</v>
      </c>
      <c r="M7312" s="15">
        <v>402000</v>
      </c>
      <c r="N7312" s="15">
        <v>0</v>
      </c>
      <c r="O7312" s="15">
        <f t="shared" si="665"/>
        <v>402000</v>
      </c>
      <c r="P7312" s="15">
        <f t="shared" si="666"/>
        <v>24.085471068675943</v>
      </c>
      <c r="Q7312" s="14">
        <v>14000</v>
      </c>
      <c r="R7312" s="12">
        <v>100</v>
      </c>
      <c r="S7312" s="12" t="s">
        <v>8885</v>
      </c>
      <c r="T7312" s="22">
        <f t="shared" si="654"/>
        <v>9</v>
      </c>
      <c r="U7312" s="22">
        <f t="shared" si="655"/>
        <v>2023</v>
      </c>
      <c r="V7312" s="22" t="str">
        <f t="shared" si="656"/>
        <v>REGIONES</v>
      </c>
    </row>
    <row r="7313" spans="1:22" x14ac:dyDescent="0.2">
      <c r="A7313" s="11" t="s">
        <v>8883</v>
      </c>
      <c r="B7313" s="12" t="s">
        <v>33</v>
      </c>
      <c r="C7313" s="12" t="s">
        <v>44</v>
      </c>
      <c r="D7313" s="12" t="s">
        <v>636</v>
      </c>
      <c r="E7313" s="13">
        <v>113693568</v>
      </c>
      <c r="F7313" s="12" t="s">
        <v>92</v>
      </c>
      <c r="G7313" s="14">
        <v>6006.8600000000006</v>
      </c>
      <c r="H7313" s="12" t="s">
        <v>85</v>
      </c>
      <c r="I7313" s="12">
        <v>1</v>
      </c>
      <c r="J7313" s="12" t="s">
        <v>92</v>
      </c>
      <c r="K7313" s="12" t="s">
        <v>93</v>
      </c>
      <c r="L7313" s="12">
        <v>0</v>
      </c>
      <c r="M7313" s="15">
        <v>900000</v>
      </c>
      <c r="N7313" s="15">
        <v>0</v>
      </c>
      <c r="O7313" s="15">
        <f t="shared" si="665"/>
        <v>900000</v>
      </c>
      <c r="P7313" s="15">
        <f t="shared" si="666"/>
        <v>149.82869585773597</v>
      </c>
      <c r="Q7313" s="14">
        <v>14000</v>
      </c>
      <c r="R7313" s="12">
        <v>43</v>
      </c>
      <c r="S7313" s="12" t="s">
        <v>8886</v>
      </c>
      <c r="T7313" s="22">
        <f t="shared" si="654"/>
        <v>9</v>
      </c>
      <c r="U7313" s="22">
        <f t="shared" si="655"/>
        <v>2023</v>
      </c>
      <c r="V7313" s="22" t="str">
        <f t="shared" si="656"/>
        <v>REGIONES</v>
      </c>
    </row>
    <row r="7314" spans="1:22" x14ac:dyDescent="0.2">
      <c r="A7314" s="11" t="s">
        <v>8883</v>
      </c>
      <c r="B7314" s="12" t="s">
        <v>33</v>
      </c>
      <c r="C7314" s="12" t="s">
        <v>44</v>
      </c>
      <c r="D7314" s="12" t="s">
        <v>35</v>
      </c>
      <c r="E7314" s="13">
        <v>99626232</v>
      </c>
      <c r="F7314" s="12" t="s">
        <v>67</v>
      </c>
      <c r="G7314" s="14">
        <v>2705.2799999999988</v>
      </c>
      <c r="H7314" s="12" t="s">
        <v>22</v>
      </c>
      <c r="I7314" s="12">
        <v>0</v>
      </c>
      <c r="J7314" s="12" t="s">
        <v>67</v>
      </c>
      <c r="K7314" s="12" t="s">
        <v>23</v>
      </c>
      <c r="L7314" s="12">
        <v>2</v>
      </c>
      <c r="M7314" s="15">
        <v>69173</v>
      </c>
      <c r="N7314" s="15">
        <v>0</v>
      </c>
      <c r="O7314" s="15">
        <f t="shared" si="665"/>
        <v>69173</v>
      </c>
      <c r="P7314" s="15">
        <f t="shared" si="666"/>
        <v>25.569626803879832</v>
      </c>
      <c r="Q7314" s="14">
        <v>5000</v>
      </c>
      <c r="R7314" s="12">
        <v>54</v>
      </c>
      <c r="S7314" s="12" t="s">
        <v>8887</v>
      </c>
      <c r="T7314" s="22">
        <f t="shared" si="654"/>
        <v>9</v>
      </c>
      <c r="U7314" s="22">
        <f t="shared" si="655"/>
        <v>2023</v>
      </c>
      <c r="V7314" s="22" t="str">
        <f t="shared" si="656"/>
        <v>METROPOLITANA</v>
      </c>
    </row>
    <row r="7315" spans="1:22" x14ac:dyDescent="0.2">
      <c r="A7315" s="23" t="s">
        <v>8888</v>
      </c>
      <c r="B7315" s="22" t="s">
        <v>18</v>
      </c>
      <c r="C7315" s="22" t="s">
        <v>57</v>
      </c>
      <c r="D7315" s="22" t="s">
        <v>37</v>
      </c>
      <c r="E7315" s="24">
        <v>154837728</v>
      </c>
      <c r="F7315" s="22" t="s">
        <v>51</v>
      </c>
      <c r="G7315" s="25">
        <f>4738.08+361</f>
        <v>5099.08</v>
      </c>
      <c r="H7315" s="22" t="s">
        <v>22</v>
      </c>
      <c r="I7315" s="22">
        <v>0</v>
      </c>
      <c r="J7315" s="22" t="s">
        <v>51</v>
      </c>
      <c r="K7315" s="22" t="s">
        <v>23</v>
      </c>
      <c r="L7315" s="22">
        <v>4</v>
      </c>
      <c r="M7315" s="26">
        <v>69173</v>
      </c>
      <c r="N7315" s="26">
        <v>0</v>
      </c>
      <c r="O7315" s="15">
        <f t="shared" ref="O7315:O7322" si="667">SUM(M7315:N7315)</f>
        <v>69173</v>
      </c>
      <c r="P7315" s="15">
        <f t="shared" ref="P7315:P7322" si="668">O7315/G7315</f>
        <v>13.565780493736126</v>
      </c>
      <c r="Q7315" s="25">
        <v>5000</v>
      </c>
      <c r="R7315" s="22">
        <v>100</v>
      </c>
      <c r="S7315" s="22" t="s">
        <v>8893</v>
      </c>
      <c r="T7315" s="22">
        <f t="shared" si="654"/>
        <v>9</v>
      </c>
      <c r="U7315" s="22">
        <f t="shared" si="655"/>
        <v>2023</v>
      </c>
      <c r="V7315" s="22" t="str">
        <f t="shared" si="656"/>
        <v>METROPOLITANA</v>
      </c>
    </row>
    <row r="7316" spans="1:22" x14ac:dyDescent="0.2">
      <c r="A7316" s="23" t="s">
        <v>8888</v>
      </c>
      <c r="B7316" s="22" t="s">
        <v>18</v>
      </c>
      <c r="C7316" s="22" t="s">
        <v>19</v>
      </c>
      <c r="D7316" s="22" t="s">
        <v>8410</v>
      </c>
      <c r="E7316" s="24">
        <v>119629756</v>
      </c>
      <c r="F7316" s="22" t="s">
        <v>92</v>
      </c>
      <c r="G7316" s="25">
        <v>17521</v>
      </c>
      <c r="H7316" s="22" t="s">
        <v>24</v>
      </c>
      <c r="I7316" s="22">
        <v>1</v>
      </c>
      <c r="J7316" s="22" t="s">
        <v>92</v>
      </c>
      <c r="K7316" s="22" t="s">
        <v>93</v>
      </c>
      <c r="L7316" s="22">
        <v>0</v>
      </c>
      <c r="M7316" s="26">
        <v>900000</v>
      </c>
      <c r="N7316" s="26">
        <v>0</v>
      </c>
      <c r="O7316" s="15">
        <f t="shared" si="667"/>
        <v>900000</v>
      </c>
      <c r="P7316" s="15">
        <f t="shared" si="668"/>
        <v>51.366931111237946</v>
      </c>
      <c r="Q7316" s="25">
        <v>14000</v>
      </c>
      <c r="R7316" s="22">
        <v>100</v>
      </c>
      <c r="S7316" s="22" t="s">
        <v>8889</v>
      </c>
      <c r="T7316" s="22">
        <f t="shared" si="654"/>
        <v>9</v>
      </c>
      <c r="U7316" s="22">
        <f t="shared" si="655"/>
        <v>2023</v>
      </c>
      <c r="V7316" s="22" t="str">
        <f t="shared" si="656"/>
        <v>REGIONES</v>
      </c>
    </row>
    <row r="7317" spans="1:22" x14ac:dyDescent="0.2">
      <c r="A7317" s="23" t="s">
        <v>8888</v>
      </c>
      <c r="B7317" s="22" t="s">
        <v>33</v>
      </c>
      <c r="C7317" s="22" t="s">
        <v>57</v>
      </c>
      <c r="D7317" s="22" t="s">
        <v>37</v>
      </c>
      <c r="E7317" s="24">
        <v>154837728</v>
      </c>
      <c r="F7317" s="22" t="s">
        <v>51</v>
      </c>
      <c r="G7317" s="25">
        <v>2898.63</v>
      </c>
      <c r="H7317" s="22" t="s">
        <v>22</v>
      </c>
      <c r="I7317" s="22">
        <v>0</v>
      </c>
      <c r="J7317" s="22" t="s">
        <v>51</v>
      </c>
      <c r="K7317" s="22" t="s">
        <v>23</v>
      </c>
      <c r="L7317" s="22">
        <v>4</v>
      </c>
      <c r="M7317" s="26">
        <v>69173</v>
      </c>
      <c r="N7317" s="26">
        <v>0</v>
      </c>
      <c r="O7317" s="15">
        <f t="shared" si="667"/>
        <v>69173</v>
      </c>
      <c r="P7317" s="15">
        <f t="shared" si="668"/>
        <v>23.864032318716081</v>
      </c>
      <c r="Q7317" s="25">
        <v>5000</v>
      </c>
      <c r="R7317" s="22">
        <v>58</v>
      </c>
      <c r="S7317" s="22" t="s">
        <v>8890</v>
      </c>
      <c r="T7317" s="22">
        <f t="shared" ref="T7317:T7367" si="669">MONTH(A7317)</f>
        <v>9</v>
      </c>
      <c r="U7317" s="22">
        <f t="shared" ref="U7317:U7367" si="670">YEAR(A7317)</f>
        <v>2023</v>
      </c>
      <c r="V7317" s="22" t="str">
        <f t="shared" ref="V7317:V7367" si="671">IF(K7317="METROPOLITANA DE SANTIAGO","METROPOLITANA","REGIONES")</f>
        <v>METROPOLITANA</v>
      </c>
    </row>
    <row r="7318" spans="1:22" x14ac:dyDescent="0.2">
      <c r="A7318" s="23" t="s">
        <v>8888</v>
      </c>
      <c r="B7318" s="22" t="s">
        <v>33</v>
      </c>
      <c r="C7318" s="22" t="s">
        <v>29</v>
      </c>
      <c r="D7318" s="22" t="s">
        <v>8219</v>
      </c>
      <c r="E7318" s="24">
        <v>73835526</v>
      </c>
      <c r="F7318" s="22" t="s">
        <v>800</v>
      </c>
      <c r="G7318" s="25">
        <v>7128.7999999999975</v>
      </c>
      <c r="H7318" s="22" t="s">
        <v>24</v>
      </c>
      <c r="I7318" s="22">
        <v>1</v>
      </c>
      <c r="J7318" s="22" t="s">
        <v>800</v>
      </c>
      <c r="K7318" s="22" t="s">
        <v>23</v>
      </c>
      <c r="L7318" s="22">
        <v>5</v>
      </c>
      <c r="M7318" s="26">
        <v>180000</v>
      </c>
      <c r="N7318" s="26">
        <v>0</v>
      </c>
      <c r="O7318" s="15">
        <f t="shared" si="667"/>
        <v>180000</v>
      </c>
      <c r="P7318" s="15">
        <f t="shared" si="668"/>
        <v>25.249691392660765</v>
      </c>
      <c r="Q7318" s="25">
        <v>10000</v>
      </c>
      <c r="R7318" s="22">
        <v>71</v>
      </c>
      <c r="S7318" s="22" t="s">
        <v>8891</v>
      </c>
      <c r="T7318" s="22">
        <f t="shared" si="669"/>
        <v>9</v>
      </c>
      <c r="U7318" s="22">
        <f t="shared" si="670"/>
        <v>2023</v>
      </c>
      <c r="V7318" s="22" t="str">
        <f t="shared" si="671"/>
        <v>METROPOLITANA</v>
      </c>
    </row>
    <row r="7319" spans="1:22" x14ac:dyDescent="0.2">
      <c r="A7319" s="23" t="s">
        <v>8888</v>
      </c>
      <c r="B7319" s="22" t="s">
        <v>33</v>
      </c>
      <c r="C7319" s="22" t="s">
        <v>29</v>
      </c>
      <c r="D7319" s="22" t="s">
        <v>164</v>
      </c>
      <c r="E7319" s="24">
        <v>154837728</v>
      </c>
      <c r="F7319" s="22" t="s">
        <v>39</v>
      </c>
      <c r="G7319" s="25">
        <f>18543.92+334</f>
        <v>18877.919999999998</v>
      </c>
      <c r="H7319" s="22" t="s">
        <v>22</v>
      </c>
      <c r="I7319" s="22">
        <v>1</v>
      </c>
      <c r="J7319" s="22" t="s">
        <v>39</v>
      </c>
      <c r="K7319" s="22" t="s">
        <v>23</v>
      </c>
      <c r="L7319" s="22">
        <v>1</v>
      </c>
      <c r="M7319" s="26">
        <v>203983</v>
      </c>
      <c r="N7319" s="26">
        <v>0</v>
      </c>
      <c r="O7319" s="15">
        <f t="shared" si="667"/>
        <v>203983</v>
      </c>
      <c r="P7319" s="15">
        <f t="shared" si="668"/>
        <v>10.805374744675262</v>
      </c>
      <c r="Q7319" s="25">
        <v>5000</v>
      </c>
      <c r="R7319" s="22">
        <v>100</v>
      </c>
      <c r="S7319" s="22" t="s">
        <v>8894</v>
      </c>
      <c r="T7319" s="22">
        <f t="shared" si="669"/>
        <v>9</v>
      </c>
      <c r="U7319" s="22">
        <f t="shared" si="670"/>
        <v>2023</v>
      </c>
      <c r="V7319" s="22" t="str">
        <f t="shared" si="671"/>
        <v>METROPOLITANA</v>
      </c>
    </row>
    <row r="7320" spans="1:22" x14ac:dyDescent="0.2">
      <c r="A7320" s="23" t="s">
        <v>8888</v>
      </c>
      <c r="B7320" s="22" t="s">
        <v>33</v>
      </c>
      <c r="C7320" s="22" t="s">
        <v>29</v>
      </c>
      <c r="D7320" s="22" t="s">
        <v>20</v>
      </c>
      <c r="E7320" s="24">
        <v>78907355</v>
      </c>
      <c r="F7320" s="22" t="s">
        <v>39</v>
      </c>
      <c r="G7320" s="25">
        <f>8403.96+550</f>
        <v>8953.9599999999991</v>
      </c>
      <c r="H7320" s="22" t="s">
        <v>22</v>
      </c>
      <c r="I7320" s="22">
        <v>0</v>
      </c>
      <c r="J7320" s="22" t="s">
        <v>39</v>
      </c>
      <c r="K7320" s="22" t="s">
        <v>23</v>
      </c>
      <c r="L7320" s="22">
        <v>1</v>
      </c>
      <c r="M7320" s="26">
        <v>92444</v>
      </c>
      <c r="N7320" s="26">
        <v>0</v>
      </c>
      <c r="O7320" s="15">
        <f t="shared" si="667"/>
        <v>92444</v>
      </c>
      <c r="P7320" s="15">
        <f t="shared" si="668"/>
        <v>10.324370446148967</v>
      </c>
      <c r="Q7320" s="25">
        <v>5000</v>
      </c>
      <c r="R7320" s="22">
        <v>100</v>
      </c>
      <c r="S7320" s="22" t="s">
        <v>8895</v>
      </c>
      <c r="T7320" s="22">
        <f t="shared" si="669"/>
        <v>9</v>
      </c>
      <c r="U7320" s="22">
        <f t="shared" si="670"/>
        <v>2023</v>
      </c>
      <c r="V7320" s="22" t="str">
        <f t="shared" si="671"/>
        <v>METROPOLITANA</v>
      </c>
    </row>
    <row r="7321" spans="1:22" x14ac:dyDescent="0.2">
      <c r="A7321" s="23" t="s">
        <v>8888</v>
      </c>
      <c r="B7321" s="22" t="s">
        <v>33</v>
      </c>
      <c r="C7321" s="22" t="s">
        <v>44</v>
      </c>
      <c r="D7321" s="22" t="s">
        <v>5478</v>
      </c>
      <c r="E7321" s="24">
        <v>122975819</v>
      </c>
      <c r="F7321" s="22" t="s">
        <v>691</v>
      </c>
      <c r="G7321" s="25">
        <f>9722.12+2734</f>
        <v>12456.12</v>
      </c>
      <c r="H7321" s="22" t="s">
        <v>24</v>
      </c>
      <c r="I7321" s="22">
        <v>1</v>
      </c>
      <c r="J7321" s="22" t="s">
        <v>691</v>
      </c>
      <c r="K7321" s="22" t="s">
        <v>873</v>
      </c>
      <c r="L7321" s="22">
        <v>0</v>
      </c>
      <c r="M7321" s="26">
        <v>1282000</v>
      </c>
      <c r="N7321" s="26">
        <v>0</v>
      </c>
      <c r="O7321" s="15">
        <f t="shared" si="667"/>
        <v>1282000</v>
      </c>
      <c r="P7321" s="15">
        <f t="shared" si="668"/>
        <v>102.92129491366492</v>
      </c>
      <c r="Q7321" s="25">
        <v>14000</v>
      </c>
      <c r="R7321" s="22">
        <v>100</v>
      </c>
      <c r="S7321" s="22" t="s">
        <v>8896</v>
      </c>
      <c r="T7321" s="22">
        <f t="shared" si="669"/>
        <v>9</v>
      </c>
      <c r="U7321" s="22">
        <f t="shared" si="670"/>
        <v>2023</v>
      </c>
      <c r="V7321" s="22" t="str">
        <f t="shared" si="671"/>
        <v>REGIONES</v>
      </c>
    </row>
    <row r="7322" spans="1:22" x14ac:dyDescent="0.2">
      <c r="A7322" s="23" t="s">
        <v>8888</v>
      </c>
      <c r="B7322" s="22" t="s">
        <v>33</v>
      </c>
      <c r="C7322" s="22" t="s">
        <v>44</v>
      </c>
      <c r="D7322" s="22" t="s">
        <v>370</v>
      </c>
      <c r="E7322" s="24">
        <v>94742285</v>
      </c>
      <c r="F7322" s="22" t="s">
        <v>114</v>
      </c>
      <c r="G7322" s="25">
        <v>9175.48</v>
      </c>
      <c r="H7322" s="22" t="s">
        <v>85</v>
      </c>
      <c r="I7322" s="22">
        <v>1</v>
      </c>
      <c r="J7322" s="22" t="s">
        <v>114</v>
      </c>
      <c r="K7322" s="22" t="s">
        <v>75</v>
      </c>
      <c r="L7322" s="22">
        <v>0</v>
      </c>
      <c r="M7322" s="26">
        <v>528000</v>
      </c>
      <c r="N7322" s="26">
        <v>0</v>
      </c>
      <c r="O7322" s="15">
        <f t="shared" si="667"/>
        <v>528000</v>
      </c>
      <c r="P7322" s="15">
        <f t="shared" si="668"/>
        <v>57.544673412181162</v>
      </c>
      <c r="Q7322" s="25">
        <v>14000</v>
      </c>
      <c r="R7322" s="22">
        <v>66</v>
      </c>
      <c r="S7322" s="22" t="s">
        <v>8892</v>
      </c>
      <c r="T7322" s="22">
        <f t="shared" si="669"/>
        <v>9</v>
      </c>
      <c r="U7322" s="22">
        <f t="shared" si="670"/>
        <v>2023</v>
      </c>
      <c r="V7322" s="22" t="str">
        <f t="shared" si="671"/>
        <v>REGIONES</v>
      </c>
    </row>
    <row r="7323" spans="1:22" x14ac:dyDescent="0.2">
      <c r="A7323" s="11" t="s">
        <v>8897</v>
      </c>
      <c r="B7323" s="12" t="s">
        <v>18</v>
      </c>
      <c r="C7323" s="12" t="s">
        <v>57</v>
      </c>
      <c r="D7323" s="12" t="s">
        <v>37</v>
      </c>
      <c r="E7323" s="13">
        <v>154837728</v>
      </c>
      <c r="F7323" s="12" t="s">
        <v>51</v>
      </c>
      <c r="G7323" s="14">
        <v>5953.3600000000006</v>
      </c>
      <c r="H7323" s="12" t="s">
        <v>22</v>
      </c>
      <c r="I7323" s="12">
        <v>0</v>
      </c>
      <c r="J7323" s="12" t="s">
        <v>51</v>
      </c>
      <c r="K7323" s="12" t="s">
        <v>23</v>
      </c>
      <c r="L7323" s="12">
        <v>4</v>
      </c>
      <c r="M7323" s="15">
        <v>65487</v>
      </c>
      <c r="N7323" s="15">
        <v>0</v>
      </c>
      <c r="O7323" s="15">
        <f t="shared" ref="O7323:O7332" si="672">SUM(M7323:N7323)</f>
        <v>65487</v>
      </c>
      <c r="P7323" s="15">
        <f t="shared" ref="P7323:P7332" si="673">O7323/G7323</f>
        <v>11.000006718894875</v>
      </c>
      <c r="Q7323" s="14">
        <v>5000</v>
      </c>
      <c r="R7323" s="12">
        <v>100</v>
      </c>
      <c r="S7323" s="12" t="s">
        <v>8898</v>
      </c>
      <c r="T7323" s="22">
        <f t="shared" si="669"/>
        <v>9</v>
      </c>
      <c r="U7323" s="22">
        <f t="shared" si="670"/>
        <v>2023</v>
      </c>
      <c r="V7323" s="22" t="str">
        <f t="shared" si="671"/>
        <v>METROPOLITANA</v>
      </c>
    </row>
    <row r="7324" spans="1:22" x14ac:dyDescent="0.2">
      <c r="A7324" s="11" t="s">
        <v>8897</v>
      </c>
      <c r="B7324" s="12" t="s">
        <v>18</v>
      </c>
      <c r="C7324" s="12" t="s">
        <v>7400</v>
      </c>
      <c r="D7324" s="12" t="s">
        <v>8219</v>
      </c>
      <c r="E7324" s="13">
        <v>73835526</v>
      </c>
      <c r="F7324" s="12" t="s">
        <v>230</v>
      </c>
      <c r="G7324" s="14">
        <v>7536.41</v>
      </c>
      <c r="H7324" s="12" t="s">
        <v>24</v>
      </c>
      <c r="I7324" s="12">
        <v>1</v>
      </c>
      <c r="J7324" s="12" t="s">
        <v>230</v>
      </c>
      <c r="K7324" s="12" t="s">
        <v>23</v>
      </c>
      <c r="L7324" s="12">
        <v>4</v>
      </c>
      <c r="M7324" s="15">
        <v>82901</v>
      </c>
      <c r="N7324" s="15">
        <v>0</v>
      </c>
      <c r="O7324" s="15">
        <f t="shared" si="672"/>
        <v>82901</v>
      </c>
      <c r="P7324" s="15">
        <f t="shared" si="673"/>
        <v>11.000065017694101</v>
      </c>
      <c r="Q7324" s="14">
        <v>5000</v>
      </c>
      <c r="R7324" s="12">
        <v>100</v>
      </c>
      <c r="S7324" s="12" t="s">
        <v>8899</v>
      </c>
      <c r="T7324" s="22">
        <f t="shared" si="669"/>
        <v>9</v>
      </c>
      <c r="U7324" s="22">
        <f t="shared" si="670"/>
        <v>2023</v>
      </c>
      <c r="V7324" s="22" t="str">
        <f t="shared" si="671"/>
        <v>METROPOLITANA</v>
      </c>
    </row>
    <row r="7325" spans="1:22" x14ac:dyDescent="0.2">
      <c r="A7325" s="11" t="s">
        <v>8897</v>
      </c>
      <c r="B7325" s="12" t="s">
        <v>18</v>
      </c>
      <c r="C7325" s="12" t="s">
        <v>5796</v>
      </c>
      <c r="D7325" s="12" t="s">
        <v>38</v>
      </c>
      <c r="E7325" s="13">
        <v>125108660</v>
      </c>
      <c r="F7325" s="12" t="s">
        <v>129</v>
      </c>
      <c r="G7325" s="14">
        <v>5570.0000000000027</v>
      </c>
      <c r="H7325" s="12" t="s">
        <v>43</v>
      </c>
      <c r="I7325" s="12">
        <v>0</v>
      </c>
      <c r="J7325" s="12" t="s">
        <v>129</v>
      </c>
      <c r="K7325" s="12" t="s">
        <v>23</v>
      </c>
      <c r="L7325" s="12">
        <v>1</v>
      </c>
      <c r="M7325" s="15">
        <v>61270</v>
      </c>
      <c r="N7325" s="15">
        <v>0</v>
      </c>
      <c r="O7325" s="15">
        <f t="shared" si="672"/>
        <v>61270</v>
      </c>
      <c r="P7325" s="15">
        <f t="shared" si="673"/>
        <v>10.999999999999995</v>
      </c>
      <c r="Q7325" s="14">
        <v>5000</v>
      </c>
      <c r="R7325" s="12">
        <v>100</v>
      </c>
      <c r="S7325" s="12" t="s">
        <v>8900</v>
      </c>
      <c r="T7325" s="22">
        <f t="shared" si="669"/>
        <v>9</v>
      </c>
      <c r="U7325" s="22">
        <f t="shared" si="670"/>
        <v>2023</v>
      </c>
      <c r="V7325" s="22" t="str">
        <f t="shared" si="671"/>
        <v>METROPOLITANA</v>
      </c>
    </row>
    <row r="7326" spans="1:22" x14ac:dyDescent="0.2">
      <c r="A7326" s="11" t="s">
        <v>8897</v>
      </c>
      <c r="B7326" s="12" t="s">
        <v>33</v>
      </c>
      <c r="C7326" s="12" t="s">
        <v>128</v>
      </c>
      <c r="D7326" s="12" t="s">
        <v>38</v>
      </c>
      <c r="E7326" s="13">
        <v>125108660</v>
      </c>
      <c r="F7326" s="12" t="s">
        <v>129</v>
      </c>
      <c r="G7326" s="14">
        <v>3490.08</v>
      </c>
      <c r="H7326" s="12" t="s">
        <v>43</v>
      </c>
      <c r="I7326" s="12">
        <v>0</v>
      </c>
      <c r="J7326" s="12" t="s">
        <v>129</v>
      </c>
      <c r="K7326" s="12" t="s">
        <v>23</v>
      </c>
      <c r="L7326" s="12">
        <v>1</v>
      </c>
      <c r="M7326" s="15">
        <v>69173</v>
      </c>
      <c r="N7326" s="15">
        <v>0</v>
      </c>
      <c r="O7326" s="15">
        <f t="shared" si="672"/>
        <v>69173</v>
      </c>
      <c r="P7326" s="15">
        <f t="shared" si="673"/>
        <v>19.819889515426581</v>
      </c>
      <c r="Q7326" s="14">
        <v>5000</v>
      </c>
      <c r="R7326" s="12">
        <v>70</v>
      </c>
      <c r="S7326" s="12" t="s">
        <v>8901</v>
      </c>
      <c r="T7326" s="22">
        <f t="shared" si="669"/>
        <v>9</v>
      </c>
      <c r="U7326" s="22">
        <f t="shared" si="670"/>
        <v>2023</v>
      </c>
      <c r="V7326" s="22" t="str">
        <f t="shared" si="671"/>
        <v>METROPOLITANA</v>
      </c>
    </row>
    <row r="7327" spans="1:22" x14ac:dyDescent="0.2">
      <c r="A7327" s="11" t="s">
        <v>8897</v>
      </c>
      <c r="B7327" s="12" t="s">
        <v>33</v>
      </c>
      <c r="C7327" s="12" t="s">
        <v>128</v>
      </c>
      <c r="D7327" s="12" t="s">
        <v>786</v>
      </c>
      <c r="E7327" s="13">
        <v>95707734</v>
      </c>
      <c r="F7327" s="12" t="s">
        <v>34</v>
      </c>
      <c r="G7327" s="14">
        <v>9785.7300000000032</v>
      </c>
      <c r="H7327" s="12" t="s">
        <v>788</v>
      </c>
      <c r="I7327" s="12">
        <v>1</v>
      </c>
      <c r="J7327" s="12" t="s">
        <v>34</v>
      </c>
      <c r="K7327" s="12" t="s">
        <v>23</v>
      </c>
      <c r="L7327" s="12">
        <v>1</v>
      </c>
      <c r="M7327" s="15">
        <v>107643</v>
      </c>
      <c r="N7327" s="15">
        <v>0</v>
      </c>
      <c r="O7327" s="15">
        <f t="shared" si="672"/>
        <v>107643</v>
      </c>
      <c r="P7327" s="15">
        <f t="shared" si="673"/>
        <v>10.999996934311488</v>
      </c>
      <c r="Q7327" s="14">
        <v>5000</v>
      </c>
      <c r="R7327" s="12">
        <v>100</v>
      </c>
      <c r="S7327" s="12" t="s">
        <v>8902</v>
      </c>
      <c r="T7327" s="22">
        <f t="shared" si="669"/>
        <v>9</v>
      </c>
      <c r="U7327" s="22">
        <f t="shared" si="670"/>
        <v>2023</v>
      </c>
      <c r="V7327" s="22" t="str">
        <f t="shared" si="671"/>
        <v>METROPOLITANA</v>
      </c>
    </row>
    <row r="7328" spans="1:22" x14ac:dyDescent="0.2">
      <c r="A7328" s="11" t="s">
        <v>8897</v>
      </c>
      <c r="B7328" s="12" t="s">
        <v>33</v>
      </c>
      <c r="C7328" s="12" t="s">
        <v>29</v>
      </c>
      <c r="D7328" s="12" t="s">
        <v>8903</v>
      </c>
      <c r="E7328" s="13">
        <v>94590507</v>
      </c>
      <c r="F7328" s="12" t="s">
        <v>114</v>
      </c>
      <c r="G7328" s="14">
        <f>14244.8+11821</f>
        <v>26065.8</v>
      </c>
      <c r="H7328" s="12" t="s">
        <v>24</v>
      </c>
      <c r="I7328" s="12">
        <v>1</v>
      </c>
      <c r="J7328" s="12" t="s">
        <v>114</v>
      </c>
      <c r="K7328" s="12" t="s">
        <v>75</v>
      </c>
      <c r="L7328" s="12">
        <v>0</v>
      </c>
      <c r="M7328" s="15">
        <v>528000</v>
      </c>
      <c r="N7328" s="15">
        <v>0</v>
      </c>
      <c r="O7328" s="15">
        <f t="shared" si="672"/>
        <v>528000</v>
      </c>
      <c r="P7328" s="15">
        <f t="shared" si="673"/>
        <v>20.256427963078057</v>
      </c>
      <c r="Q7328" s="14">
        <v>14000</v>
      </c>
      <c r="R7328" s="12">
        <v>100</v>
      </c>
      <c r="S7328" s="12" t="s">
        <v>8908</v>
      </c>
      <c r="T7328" s="22">
        <f t="shared" si="669"/>
        <v>9</v>
      </c>
      <c r="U7328" s="22">
        <f t="shared" si="670"/>
        <v>2023</v>
      </c>
      <c r="V7328" s="22" t="str">
        <f t="shared" si="671"/>
        <v>REGIONES</v>
      </c>
    </row>
    <row r="7329" spans="1:22" x14ac:dyDescent="0.2">
      <c r="A7329" s="11" t="s">
        <v>8897</v>
      </c>
      <c r="B7329" s="12" t="s">
        <v>33</v>
      </c>
      <c r="C7329" s="12" t="s">
        <v>29</v>
      </c>
      <c r="D7329" s="12" t="s">
        <v>164</v>
      </c>
      <c r="E7329" s="13">
        <v>154837728</v>
      </c>
      <c r="F7329" s="12" t="s">
        <v>39</v>
      </c>
      <c r="G7329" s="14">
        <v>14692.7</v>
      </c>
      <c r="H7329" s="12" t="s">
        <v>22</v>
      </c>
      <c r="I7329" s="12">
        <v>1</v>
      </c>
      <c r="J7329" s="12" t="s">
        <v>39</v>
      </c>
      <c r="K7329" s="12" t="s">
        <v>23</v>
      </c>
      <c r="L7329" s="12">
        <v>1</v>
      </c>
      <c r="M7329" s="15">
        <v>161620</v>
      </c>
      <c r="N7329" s="15">
        <v>0</v>
      </c>
      <c r="O7329" s="15">
        <f t="shared" si="672"/>
        <v>161620</v>
      </c>
      <c r="P7329" s="15">
        <f t="shared" si="673"/>
        <v>11.000020418302967</v>
      </c>
      <c r="Q7329" s="14">
        <v>5000</v>
      </c>
      <c r="R7329" s="12">
        <v>100</v>
      </c>
      <c r="S7329" s="12" t="s">
        <v>8904</v>
      </c>
      <c r="T7329" s="22">
        <f t="shared" si="669"/>
        <v>9</v>
      </c>
      <c r="U7329" s="22">
        <f t="shared" si="670"/>
        <v>2023</v>
      </c>
      <c r="V7329" s="22" t="str">
        <f t="shared" si="671"/>
        <v>METROPOLITANA</v>
      </c>
    </row>
    <row r="7330" spans="1:22" x14ac:dyDescent="0.2">
      <c r="A7330" s="11" t="s">
        <v>8897</v>
      </c>
      <c r="B7330" s="12" t="s">
        <v>33</v>
      </c>
      <c r="C7330" s="12" t="s">
        <v>29</v>
      </c>
      <c r="D7330" s="12" t="s">
        <v>20</v>
      </c>
      <c r="E7330" s="13">
        <v>78907355</v>
      </c>
      <c r="F7330" s="12" t="s">
        <v>129</v>
      </c>
      <c r="G7330" s="14">
        <v>3335.7</v>
      </c>
      <c r="H7330" s="12" t="s">
        <v>22</v>
      </c>
      <c r="I7330" s="12">
        <v>0</v>
      </c>
      <c r="J7330" s="12" t="s">
        <v>129</v>
      </c>
      <c r="K7330" s="12" t="s">
        <v>23</v>
      </c>
      <c r="L7330" s="12">
        <v>1</v>
      </c>
      <c r="M7330" s="15">
        <v>69173</v>
      </c>
      <c r="N7330" s="15">
        <v>0</v>
      </c>
      <c r="O7330" s="15">
        <f t="shared" si="672"/>
        <v>69173</v>
      </c>
      <c r="P7330" s="15">
        <f t="shared" si="673"/>
        <v>20.737176604610728</v>
      </c>
      <c r="Q7330" s="14">
        <v>5000</v>
      </c>
      <c r="R7330" s="12">
        <v>67</v>
      </c>
      <c r="S7330" s="12" t="s">
        <v>8905</v>
      </c>
      <c r="T7330" s="22">
        <f t="shared" si="669"/>
        <v>9</v>
      </c>
      <c r="U7330" s="22">
        <f t="shared" si="670"/>
        <v>2023</v>
      </c>
      <c r="V7330" s="22" t="str">
        <f t="shared" si="671"/>
        <v>METROPOLITANA</v>
      </c>
    </row>
    <row r="7331" spans="1:22" x14ac:dyDescent="0.2">
      <c r="A7331" s="11" t="s">
        <v>8897</v>
      </c>
      <c r="B7331" s="12" t="s">
        <v>33</v>
      </c>
      <c r="C7331" s="12" t="s">
        <v>44</v>
      </c>
      <c r="D7331" s="12" t="s">
        <v>45</v>
      </c>
      <c r="E7331" s="13">
        <v>107643206</v>
      </c>
      <c r="F7331" s="12" t="s">
        <v>95</v>
      </c>
      <c r="G7331" s="14">
        <v>2721.7</v>
      </c>
      <c r="H7331" s="12" t="s">
        <v>22</v>
      </c>
      <c r="I7331" s="12">
        <v>0</v>
      </c>
      <c r="J7331" s="12" t="s">
        <v>95</v>
      </c>
      <c r="K7331" s="12" t="s">
        <v>23</v>
      </c>
      <c r="L7331" s="12">
        <v>4</v>
      </c>
      <c r="M7331" s="15">
        <v>69173</v>
      </c>
      <c r="N7331" s="15">
        <v>0</v>
      </c>
      <c r="O7331" s="15">
        <f t="shared" si="672"/>
        <v>69173</v>
      </c>
      <c r="P7331" s="15">
        <f t="shared" si="673"/>
        <v>25.415365396627109</v>
      </c>
      <c r="Q7331" s="14">
        <v>5000</v>
      </c>
      <c r="R7331" s="12">
        <v>54</v>
      </c>
      <c r="S7331" s="12" t="s">
        <v>8906</v>
      </c>
      <c r="T7331" s="22">
        <f t="shared" si="669"/>
        <v>9</v>
      </c>
      <c r="U7331" s="22">
        <f t="shared" si="670"/>
        <v>2023</v>
      </c>
      <c r="V7331" s="22" t="str">
        <f t="shared" si="671"/>
        <v>METROPOLITANA</v>
      </c>
    </row>
    <row r="7332" spans="1:22" x14ac:dyDescent="0.2">
      <c r="A7332" s="11" t="s">
        <v>8897</v>
      </c>
      <c r="B7332" s="12" t="s">
        <v>33</v>
      </c>
      <c r="C7332" s="12" t="s">
        <v>44</v>
      </c>
      <c r="D7332" s="12" t="s">
        <v>35</v>
      </c>
      <c r="E7332" s="13">
        <v>99626232</v>
      </c>
      <c r="F7332" s="12" t="s">
        <v>51</v>
      </c>
      <c r="G7332" s="14">
        <v>1600.6</v>
      </c>
      <c r="H7332" s="12" t="s">
        <v>22</v>
      </c>
      <c r="I7332" s="12">
        <v>0</v>
      </c>
      <c r="J7332" s="12" t="s">
        <v>51</v>
      </c>
      <c r="K7332" s="12" t="s">
        <v>23</v>
      </c>
      <c r="L7332" s="12">
        <v>4</v>
      </c>
      <c r="M7332" s="15">
        <v>69173</v>
      </c>
      <c r="N7332" s="15">
        <v>0</v>
      </c>
      <c r="O7332" s="15">
        <f t="shared" si="672"/>
        <v>69173</v>
      </c>
      <c r="P7332" s="15">
        <f t="shared" si="673"/>
        <v>43.216918655504188</v>
      </c>
      <c r="Q7332" s="14">
        <v>5000</v>
      </c>
      <c r="R7332" s="12">
        <v>32</v>
      </c>
      <c r="S7332" s="12" t="s">
        <v>8907</v>
      </c>
      <c r="T7332" s="22">
        <f t="shared" si="669"/>
        <v>9</v>
      </c>
      <c r="U7332" s="22">
        <f t="shared" si="670"/>
        <v>2023</v>
      </c>
      <c r="V7332" s="22" t="str">
        <f t="shared" si="671"/>
        <v>METROPOLITANA</v>
      </c>
    </row>
    <row r="7333" spans="1:22" x14ac:dyDescent="0.2">
      <c r="A7333" s="23" t="s">
        <v>8909</v>
      </c>
      <c r="B7333" s="22" t="s">
        <v>18</v>
      </c>
      <c r="C7333" s="22" t="s">
        <v>5796</v>
      </c>
      <c r="D7333" s="22" t="s">
        <v>37</v>
      </c>
      <c r="E7333" s="24">
        <v>78907355</v>
      </c>
      <c r="F7333" s="22" t="s">
        <v>129</v>
      </c>
      <c r="G7333" s="25">
        <v>10146</v>
      </c>
      <c r="H7333" s="22" t="s">
        <v>22</v>
      </c>
      <c r="I7333" s="22">
        <v>0</v>
      </c>
      <c r="J7333" s="22" t="s">
        <v>129</v>
      </c>
      <c r="K7333" s="22" t="s">
        <v>23</v>
      </c>
      <c r="L7333" s="22">
        <v>1</v>
      </c>
      <c r="M7333" s="26">
        <v>111606</v>
      </c>
      <c r="N7333" s="26">
        <v>0</v>
      </c>
      <c r="O7333" s="15">
        <f t="shared" ref="O7333:O7337" si="674">SUM(M7333:N7333)</f>
        <v>111606</v>
      </c>
      <c r="P7333" s="15">
        <f t="shared" ref="P7333:P7337" si="675">O7333/G7333</f>
        <v>11</v>
      </c>
      <c r="Q7333" s="25">
        <v>5000</v>
      </c>
      <c r="R7333" s="22">
        <v>100</v>
      </c>
      <c r="S7333" s="22" t="s">
        <v>8910</v>
      </c>
      <c r="T7333" s="22">
        <f t="shared" si="669"/>
        <v>9</v>
      </c>
      <c r="U7333" s="22">
        <f t="shared" si="670"/>
        <v>2023</v>
      </c>
      <c r="V7333" s="22" t="str">
        <f t="shared" si="671"/>
        <v>METROPOLITANA</v>
      </c>
    </row>
    <row r="7334" spans="1:22" x14ac:dyDescent="0.2">
      <c r="A7334" s="23" t="s">
        <v>8909</v>
      </c>
      <c r="B7334" s="22" t="s">
        <v>33</v>
      </c>
      <c r="C7334" s="22" t="s">
        <v>60</v>
      </c>
      <c r="D7334" s="22" t="s">
        <v>164</v>
      </c>
      <c r="E7334" s="24">
        <v>154837728</v>
      </c>
      <c r="F7334" s="22" t="s">
        <v>173</v>
      </c>
      <c r="G7334" s="25">
        <v>7080.0000000000045</v>
      </c>
      <c r="H7334" s="22" t="s">
        <v>22</v>
      </c>
      <c r="I7334" s="22">
        <v>1</v>
      </c>
      <c r="J7334" s="22" t="s">
        <v>173</v>
      </c>
      <c r="K7334" s="22" t="s">
        <v>23</v>
      </c>
      <c r="L7334" s="22">
        <v>5</v>
      </c>
      <c r="M7334" s="26">
        <v>180000</v>
      </c>
      <c r="N7334" s="26">
        <v>0</v>
      </c>
      <c r="O7334" s="15">
        <f t="shared" si="674"/>
        <v>180000</v>
      </c>
      <c r="P7334" s="15">
        <f t="shared" si="675"/>
        <v>25.423728813559304</v>
      </c>
      <c r="Q7334" s="25">
        <v>10000</v>
      </c>
      <c r="R7334" s="22">
        <v>71</v>
      </c>
      <c r="S7334" s="22" t="s">
        <v>8911</v>
      </c>
      <c r="T7334" s="22">
        <f t="shared" si="669"/>
        <v>9</v>
      </c>
      <c r="U7334" s="22">
        <f t="shared" si="670"/>
        <v>2023</v>
      </c>
      <c r="V7334" s="22" t="str">
        <f t="shared" si="671"/>
        <v>METROPOLITANA</v>
      </c>
    </row>
    <row r="7335" spans="1:22" x14ac:dyDescent="0.2">
      <c r="A7335" s="23" t="s">
        <v>8909</v>
      </c>
      <c r="B7335" s="22" t="s">
        <v>33</v>
      </c>
      <c r="C7335" s="22" t="s">
        <v>44</v>
      </c>
      <c r="D7335" s="22" t="s">
        <v>5478</v>
      </c>
      <c r="E7335" s="24">
        <v>122975819</v>
      </c>
      <c r="F7335" s="22" t="s">
        <v>815</v>
      </c>
      <c r="G7335" s="25">
        <f>10453.2+2041</f>
        <v>12494.2</v>
      </c>
      <c r="H7335" s="22" t="s">
        <v>24</v>
      </c>
      <c r="I7335" s="22">
        <v>1</v>
      </c>
      <c r="J7335" s="22" t="s">
        <v>815</v>
      </c>
      <c r="K7335" s="22" t="s">
        <v>75</v>
      </c>
      <c r="L7335" s="22">
        <v>0</v>
      </c>
      <c r="M7335" s="26">
        <v>528000</v>
      </c>
      <c r="N7335" s="26">
        <v>0</v>
      </c>
      <c r="O7335" s="15">
        <f t="shared" si="674"/>
        <v>528000</v>
      </c>
      <c r="P7335" s="15">
        <f t="shared" si="675"/>
        <v>42.259608458324664</v>
      </c>
      <c r="Q7335" s="25">
        <v>14000</v>
      </c>
      <c r="R7335" s="22">
        <v>90</v>
      </c>
      <c r="S7335" s="22" t="s">
        <v>8913</v>
      </c>
      <c r="T7335" s="22">
        <f t="shared" si="669"/>
        <v>9</v>
      </c>
      <c r="U7335" s="22">
        <f t="shared" si="670"/>
        <v>2023</v>
      </c>
      <c r="V7335" s="22" t="str">
        <f t="shared" si="671"/>
        <v>REGIONES</v>
      </c>
    </row>
    <row r="7336" spans="1:22" x14ac:dyDescent="0.2">
      <c r="A7336" s="23" t="s">
        <v>8909</v>
      </c>
      <c r="B7336" s="22" t="s">
        <v>33</v>
      </c>
      <c r="C7336" s="22" t="s">
        <v>44</v>
      </c>
      <c r="D7336" s="22" t="s">
        <v>45</v>
      </c>
      <c r="E7336" s="24">
        <v>107643206</v>
      </c>
      <c r="F7336" s="22" t="s">
        <v>48</v>
      </c>
      <c r="G7336" s="25">
        <v>5101.5200000000004</v>
      </c>
      <c r="H7336" s="22" t="s">
        <v>22</v>
      </c>
      <c r="I7336" s="22">
        <v>0</v>
      </c>
      <c r="J7336" s="22" t="s">
        <v>48</v>
      </c>
      <c r="K7336" s="22" t="s">
        <v>23</v>
      </c>
      <c r="L7336" s="22">
        <v>1</v>
      </c>
      <c r="M7336" s="26">
        <v>56117</v>
      </c>
      <c r="N7336" s="26">
        <v>0</v>
      </c>
      <c r="O7336" s="15">
        <f t="shared" si="674"/>
        <v>56117</v>
      </c>
      <c r="P7336" s="15">
        <f t="shared" si="675"/>
        <v>11.000054885602722</v>
      </c>
      <c r="Q7336" s="25">
        <v>5000</v>
      </c>
      <c r="R7336" s="22">
        <v>100</v>
      </c>
      <c r="S7336" s="22" t="s">
        <v>8912</v>
      </c>
      <c r="T7336" s="22">
        <f t="shared" si="669"/>
        <v>9</v>
      </c>
      <c r="U7336" s="22">
        <f t="shared" si="670"/>
        <v>2023</v>
      </c>
      <c r="V7336" s="22" t="str">
        <f t="shared" si="671"/>
        <v>METROPOLITANA</v>
      </c>
    </row>
    <row r="7337" spans="1:22" x14ac:dyDescent="0.2">
      <c r="A7337" s="23" t="s">
        <v>8909</v>
      </c>
      <c r="B7337" s="22" t="s">
        <v>33</v>
      </c>
      <c r="C7337" s="22" t="s">
        <v>44</v>
      </c>
      <c r="D7337" s="22" t="s">
        <v>4733</v>
      </c>
      <c r="E7337" s="24">
        <v>93321006</v>
      </c>
      <c r="F7337" s="22" t="s">
        <v>84</v>
      </c>
      <c r="G7337" s="25">
        <f>4194.1+968</f>
        <v>5162.1000000000004</v>
      </c>
      <c r="H7337" s="22" t="s">
        <v>24</v>
      </c>
      <c r="I7337" s="22">
        <v>1</v>
      </c>
      <c r="J7337" s="22" t="s">
        <v>84</v>
      </c>
      <c r="K7337" s="22" t="s">
        <v>86</v>
      </c>
      <c r="L7337" s="22">
        <v>0</v>
      </c>
      <c r="M7337" s="26">
        <v>402000</v>
      </c>
      <c r="N7337" s="26">
        <v>0</v>
      </c>
      <c r="O7337" s="15">
        <f t="shared" si="674"/>
        <v>402000</v>
      </c>
      <c r="P7337" s="15">
        <f t="shared" si="675"/>
        <v>77.875283314929959</v>
      </c>
      <c r="Q7337" s="25">
        <v>14000</v>
      </c>
      <c r="R7337" s="22">
        <v>45</v>
      </c>
      <c r="S7337" s="22" t="s">
        <v>8914</v>
      </c>
      <c r="T7337" s="22">
        <f t="shared" si="669"/>
        <v>9</v>
      </c>
      <c r="U7337" s="22">
        <f t="shared" si="670"/>
        <v>2023</v>
      </c>
      <c r="V7337" s="22" t="str">
        <f t="shared" si="671"/>
        <v>REGIONES</v>
      </c>
    </row>
    <row r="7338" spans="1:22" x14ac:dyDescent="0.2">
      <c r="A7338" s="11" t="s">
        <v>8915</v>
      </c>
      <c r="B7338" s="12" t="s">
        <v>18</v>
      </c>
      <c r="C7338" s="12" t="s">
        <v>57</v>
      </c>
      <c r="D7338" s="12" t="s">
        <v>37</v>
      </c>
      <c r="E7338" s="13">
        <v>78907355</v>
      </c>
      <c r="F7338" s="12" t="s">
        <v>51</v>
      </c>
      <c r="G7338" s="14">
        <v>4486.2000000000016</v>
      </c>
      <c r="H7338" s="12" t="s">
        <v>22</v>
      </c>
      <c r="I7338" s="12">
        <v>0</v>
      </c>
      <c r="J7338" s="12" t="s">
        <v>51</v>
      </c>
      <c r="K7338" s="12" t="s">
        <v>23</v>
      </c>
      <c r="L7338" s="12">
        <v>4</v>
      </c>
      <c r="M7338" s="15">
        <v>69173</v>
      </c>
      <c r="N7338" s="15">
        <v>0</v>
      </c>
      <c r="O7338" s="15">
        <f t="shared" ref="O7338:O7364" si="676">SUM(M7338:N7338)</f>
        <v>69173</v>
      </c>
      <c r="P7338" s="15">
        <f t="shared" ref="P7338:P7364" si="677">O7338/G7338</f>
        <v>15.419062904016757</v>
      </c>
      <c r="Q7338" s="14">
        <v>5000</v>
      </c>
      <c r="R7338" s="12">
        <v>90</v>
      </c>
      <c r="S7338" s="12" t="s">
        <v>8916</v>
      </c>
      <c r="T7338" s="22">
        <f t="shared" si="669"/>
        <v>9</v>
      </c>
      <c r="U7338" s="22">
        <f t="shared" si="670"/>
        <v>2023</v>
      </c>
      <c r="V7338" s="22" t="str">
        <f t="shared" si="671"/>
        <v>METROPOLITANA</v>
      </c>
    </row>
    <row r="7339" spans="1:22" x14ac:dyDescent="0.2">
      <c r="A7339" s="11" t="s">
        <v>8915</v>
      </c>
      <c r="B7339" s="12" t="s">
        <v>18</v>
      </c>
      <c r="C7339" s="12" t="s">
        <v>5796</v>
      </c>
      <c r="D7339" s="12" t="s">
        <v>38</v>
      </c>
      <c r="E7339" s="13">
        <v>125108660</v>
      </c>
      <c r="F7339" s="12" t="s">
        <v>129</v>
      </c>
      <c r="G7339" s="14">
        <v>9879</v>
      </c>
      <c r="H7339" s="12" t="s">
        <v>43</v>
      </c>
      <c r="I7339" s="12">
        <v>0</v>
      </c>
      <c r="J7339" s="12" t="s">
        <v>129</v>
      </c>
      <c r="K7339" s="12" t="s">
        <v>23</v>
      </c>
      <c r="L7339" s="12">
        <v>1</v>
      </c>
      <c r="M7339" s="15">
        <v>108669</v>
      </c>
      <c r="N7339" s="15">
        <v>0</v>
      </c>
      <c r="O7339" s="15">
        <f t="shared" si="676"/>
        <v>108669</v>
      </c>
      <c r="P7339" s="15">
        <f t="shared" si="677"/>
        <v>11</v>
      </c>
      <c r="Q7339" s="14">
        <v>5000</v>
      </c>
      <c r="R7339" s="12">
        <v>100</v>
      </c>
      <c r="S7339" s="12" t="s">
        <v>8917</v>
      </c>
      <c r="T7339" s="22">
        <f t="shared" si="669"/>
        <v>9</v>
      </c>
      <c r="U7339" s="22">
        <f t="shared" si="670"/>
        <v>2023</v>
      </c>
      <c r="V7339" s="22" t="str">
        <f t="shared" si="671"/>
        <v>METROPOLITANA</v>
      </c>
    </row>
    <row r="7340" spans="1:22" x14ac:dyDescent="0.2">
      <c r="A7340" s="11" t="s">
        <v>8915</v>
      </c>
      <c r="B7340" s="12" t="s">
        <v>33</v>
      </c>
      <c r="C7340" s="12" t="s">
        <v>5851</v>
      </c>
      <c r="D7340" s="12" t="s">
        <v>30</v>
      </c>
      <c r="E7340" s="13">
        <v>72564391</v>
      </c>
      <c r="F7340" s="12" t="s">
        <v>274</v>
      </c>
      <c r="G7340" s="14">
        <v>4679.2600000000011</v>
      </c>
      <c r="H7340" s="12" t="s">
        <v>32</v>
      </c>
      <c r="I7340" s="12">
        <v>0</v>
      </c>
      <c r="J7340" s="12" t="s">
        <v>274</v>
      </c>
      <c r="K7340" s="12" t="s">
        <v>78</v>
      </c>
      <c r="L7340" s="12">
        <v>0</v>
      </c>
      <c r="M7340" s="15">
        <v>227000</v>
      </c>
      <c r="N7340" s="15">
        <v>0</v>
      </c>
      <c r="O7340" s="15">
        <f t="shared" si="676"/>
        <v>227000</v>
      </c>
      <c r="P7340" s="15">
        <f t="shared" si="677"/>
        <v>48.511944196304533</v>
      </c>
      <c r="Q7340" s="14">
        <v>14000</v>
      </c>
      <c r="R7340" s="12">
        <v>33</v>
      </c>
      <c r="S7340" s="12" t="s">
        <v>8918</v>
      </c>
      <c r="T7340" s="22">
        <f t="shared" si="669"/>
        <v>9</v>
      </c>
      <c r="U7340" s="22">
        <f t="shared" si="670"/>
        <v>2023</v>
      </c>
      <c r="V7340" s="22" t="str">
        <f t="shared" si="671"/>
        <v>REGIONES</v>
      </c>
    </row>
    <row r="7341" spans="1:22" x14ac:dyDescent="0.2">
      <c r="A7341" s="11" t="s">
        <v>8915</v>
      </c>
      <c r="B7341" s="12" t="s">
        <v>33</v>
      </c>
      <c r="C7341" s="12" t="s">
        <v>29</v>
      </c>
      <c r="D7341" s="12" t="s">
        <v>38</v>
      </c>
      <c r="E7341" s="13">
        <v>125108660</v>
      </c>
      <c r="F7341" s="12" t="s">
        <v>173</v>
      </c>
      <c r="G7341" s="14">
        <v>6927.3999999999987</v>
      </c>
      <c r="H7341" s="12" t="s">
        <v>43</v>
      </c>
      <c r="I7341" s="12">
        <v>0</v>
      </c>
      <c r="J7341" s="12" t="s">
        <v>173</v>
      </c>
      <c r="K7341" s="12" t="s">
        <v>23</v>
      </c>
      <c r="L7341" s="12">
        <v>5</v>
      </c>
      <c r="M7341" s="15">
        <v>112500</v>
      </c>
      <c r="N7341" s="15">
        <v>0</v>
      </c>
      <c r="O7341" s="15">
        <f t="shared" si="676"/>
        <v>112500</v>
      </c>
      <c r="P7341" s="15">
        <f t="shared" si="677"/>
        <v>16.239859110200079</v>
      </c>
      <c r="Q7341" s="14">
        <v>10000</v>
      </c>
      <c r="R7341" s="12">
        <v>69</v>
      </c>
      <c r="S7341" s="12" t="s">
        <v>8919</v>
      </c>
      <c r="T7341" s="22">
        <f t="shared" si="669"/>
        <v>9</v>
      </c>
      <c r="U7341" s="22">
        <f t="shared" si="670"/>
        <v>2023</v>
      </c>
      <c r="V7341" s="22" t="str">
        <f t="shared" si="671"/>
        <v>METROPOLITANA</v>
      </c>
    </row>
    <row r="7342" spans="1:22" x14ac:dyDescent="0.2">
      <c r="A7342" s="11" t="s">
        <v>8915</v>
      </c>
      <c r="B7342" s="12" t="s">
        <v>33</v>
      </c>
      <c r="C7342" s="12" t="s">
        <v>29</v>
      </c>
      <c r="D7342" s="12" t="s">
        <v>8219</v>
      </c>
      <c r="E7342" s="13">
        <v>73835526</v>
      </c>
      <c r="F7342" s="12" t="s">
        <v>39</v>
      </c>
      <c r="G7342" s="14">
        <v>10618</v>
      </c>
      <c r="H7342" s="12" t="s">
        <v>24</v>
      </c>
      <c r="I7342" s="12">
        <v>1</v>
      </c>
      <c r="J7342" s="12" t="s">
        <v>39</v>
      </c>
      <c r="K7342" s="12" t="s">
        <v>23</v>
      </c>
      <c r="L7342" s="12">
        <v>1</v>
      </c>
      <c r="M7342" s="15">
        <v>116798</v>
      </c>
      <c r="N7342" s="15">
        <v>0</v>
      </c>
      <c r="O7342" s="15">
        <f t="shared" si="676"/>
        <v>116798</v>
      </c>
      <c r="P7342" s="15">
        <f t="shared" si="677"/>
        <v>11</v>
      </c>
      <c r="Q7342" s="14">
        <v>5000</v>
      </c>
      <c r="R7342" s="12">
        <v>100</v>
      </c>
      <c r="S7342" s="12" t="s">
        <v>8920</v>
      </c>
      <c r="T7342" s="22">
        <f t="shared" si="669"/>
        <v>9</v>
      </c>
      <c r="U7342" s="22">
        <f t="shared" si="670"/>
        <v>2023</v>
      </c>
      <c r="V7342" s="22" t="str">
        <f t="shared" si="671"/>
        <v>METROPOLITANA</v>
      </c>
    </row>
    <row r="7343" spans="1:22" x14ac:dyDescent="0.2">
      <c r="A7343" s="11" t="s">
        <v>8915</v>
      </c>
      <c r="B7343" s="12" t="s">
        <v>33</v>
      </c>
      <c r="C7343" s="12" t="s">
        <v>29</v>
      </c>
      <c r="D7343" s="12" t="s">
        <v>164</v>
      </c>
      <c r="E7343" s="13">
        <v>154837728</v>
      </c>
      <c r="F7343" s="12" t="s">
        <v>39</v>
      </c>
      <c r="G7343" s="14">
        <v>20802.82</v>
      </c>
      <c r="H7343" s="12" t="s">
        <v>22</v>
      </c>
      <c r="I7343" s="12">
        <v>1</v>
      </c>
      <c r="J7343" s="12" t="s">
        <v>39</v>
      </c>
      <c r="K7343" s="12" t="s">
        <v>23</v>
      </c>
      <c r="L7343" s="12">
        <v>1</v>
      </c>
      <c r="M7343" s="15">
        <v>228831</v>
      </c>
      <c r="N7343" s="15">
        <v>0</v>
      </c>
      <c r="O7343" s="15">
        <f t="shared" si="676"/>
        <v>228831</v>
      </c>
      <c r="P7343" s="15">
        <f t="shared" si="677"/>
        <v>10.999999038591884</v>
      </c>
      <c r="Q7343" s="14">
        <v>5000</v>
      </c>
      <c r="R7343" s="12">
        <v>100</v>
      </c>
      <c r="S7343" s="12" t="s">
        <v>8921</v>
      </c>
      <c r="T7343" s="22">
        <f t="shared" si="669"/>
        <v>9</v>
      </c>
      <c r="U7343" s="22">
        <f t="shared" si="670"/>
        <v>2023</v>
      </c>
      <c r="V7343" s="22" t="str">
        <f t="shared" si="671"/>
        <v>METROPOLITANA</v>
      </c>
    </row>
    <row r="7344" spans="1:22" x14ac:dyDescent="0.2">
      <c r="A7344" s="11" t="s">
        <v>8915</v>
      </c>
      <c r="B7344" s="12" t="s">
        <v>33</v>
      </c>
      <c r="C7344" s="12" t="s">
        <v>44</v>
      </c>
      <c r="D7344" s="12" t="s">
        <v>7819</v>
      </c>
      <c r="E7344" s="13">
        <v>157396544</v>
      </c>
      <c r="F7344" s="12" t="s">
        <v>114</v>
      </c>
      <c r="G7344" s="14">
        <v>11159.090000000009</v>
      </c>
      <c r="H7344" s="12" t="s">
        <v>24</v>
      </c>
      <c r="I7344" s="12">
        <v>1</v>
      </c>
      <c r="J7344" s="12" t="s">
        <v>114</v>
      </c>
      <c r="K7344" s="12" t="s">
        <v>75</v>
      </c>
      <c r="L7344" s="12">
        <v>0</v>
      </c>
      <c r="M7344" s="15">
        <v>528000</v>
      </c>
      <c r="N7344" s="15">
        <v>0</v>
      </c>
      <c r="O7344" s="15">
        <f t="shared" si="676"/>
        <v>528000</v>
      </c>
      <c r="P7344" s="15">
        <f t="shared" si="677"/>
        <v>47.315686135697405</v>
      </c>
      <c r="Q7344" s="14">
        <v>14000</v>
      </c>
      <c r="R7344" s="12">
        <v>80</v>
      </c>
      <c r="S7344" s="12" t="s">
        <v>8922</v>
      </c>
      <c r="T7344" s="22">
        <f t="shared" si="669"/>
        <v>9</v>
      </c>
      <c r="U7344" s="22">
        <f t="shared" si="670"/>
        <v>2023</v>
      </c>
      <c r="V7344" s="22" t="str">
        <f t="shared" si="671"/>
        <v>REGIONES</v>
      </c>
    </row>
    <row r="7345" spans="1:22" x14ac:dyDescent="0.2">
      <c r="A7345" s="11" t="s">
        <v>8915</v>
      </c>
      <c r="B7345" s="12" t="s">
        <v>33</v>
      </c>
      <c r="C7345" s="12" t="s">
        <v>44</v>
      </c>
      <c r="D7345" s="12" t="s">
        <v>45</v>
      </c>
      <c r="E7345" s="13">
        <v>107643206</v>
      </c>
      <c r="F7345" s="12" t="s">
        <v>53</v>
      </c>
      <c r="G7345" s="14">
        <v>2851.9</v>
      </c>
      <c r="H7345" s="12" t="s">
        <v>22</v>
      </c>
      <c r="I7345" s="12">
        <v>0</v>
      </c>
      <c r="J7345" s="12" t="s">
        <v>53</v>
      </c>
      <c r="K7345" s="12" t="s">
        <v>23</v>
      </c>
      <c r="L7345" s="12">
        <v>3</v>
      </c>
      <c r="M7345" s="15">
        <v>69173</v>
      </c>
      <c r="N7345" s="15">
        <v>0</v>
      </c>
      <c r="O7345" s="15">
        <f t="shared" si="676"/>
        <v>69173</v>
      </c>
      <c r="P7345" s="15">
        <f t="shared" si="677"/>
        <v>24.255058031487778</v>
      </c>
      <c r="Q7345" s="14">
        <v>5000</v>
      </c>
      <c r="R7345" s="12">
        <v>57</v>
      </c>
      <c r="S7345" s="12" t="s">
        <v>8923</v>
      </c>
      <c r="T7345" s="22">
        <f t="shared" si="669"/>
        <v>9</v>
      </c>
      <c r="U7345" s="22">
        <f t="shared" si="670"/>
        <v>2023</v>
      </c>
      <c r="V7345" s="22" t="str">
        <f t="shared" si="671"/>
        <v>METROPOLITANA</v>
      </c>
    </row>
    <row r="7346" spans="1:22" x14ac:dyDescent="0.2">
      <c r="A7346" s="11" t="s">
        <v>8915</v>
      </c>
      <c r="B7346" s="12" t="s">
        <v>33</v>
      </c>
      <c r="C7346" s="12" t="s">
        <v>44</v>
      </c>
      <c r="D7346" s="12" t="s">
        <v>35</v>
      </c>
      <c r="E7346" s="13">
        <v>99626232</v>
      </c>
      <c r="F7346" s="12" t="s">
        <v>34</v>
      </c>
      <c r="G7346" s="14">
        <v>3088.32</v>
      </c>
      <c r="H7346" s="12" t="s">
        <v>22</v>
      </c>
      <c r="I7346" s="12">
        <v>0</v>
      </c>
      <c r="J7346" s="12" t="s">
        <v>34</v>
      </c>
      <c r="K7346" s="12" t="s">
        <v>23</v>
      </c>
      <c r="L7346" s="12">
        <v>1</v>
      </c>
      <c r="M7346" s="15">
        <v>69173</v>
      </c>
      <c r="N7346" s="15">
        <v>0</v>
      </c>
      <c r="O7346" s="15">
        <f t="shared" si="676"/>
        <v>69173</v>
      </c>
      <c r="P7346" s="15">
        <f t="shared" si="677"/>
        <v>22.398261838151484</v>
      </c>
      <c r="Q7346" s="14">
        <v>5000</v>
      </c>
      <c r="R7346" s="12">
        <v>62</v>
      </c>
      <c r="S7346" s="12" t="s">
        <v>8924</v>
      </c>
      <c r="T7346" s="22">
        <f t="shared" si="669"/>
        <v>9</v>
      </c>
      <c r="U7346" s="22">
        <f t="shared" si="670"/>
        <v>2023</v>
      </c>
      <c r="V7346" s="22" t="str">
        <f t="shared" si="671"/>
        <v>METROPOLITANA</v>
      </c>
    </row>
    <row r="7347" spans="1:22" x14ac:dyDescent="0.2">
      <c r="A7347" s="11" t="s">
        <v>8915</v>
      </c>
      <c r="B7347" s="12" t="s">
        <v>33</v>
      </c>
      <c r="C7347" s="12" t="s">
        <v>44</v>
      </c>
      <c r="D7347" s="12" t="s">
        <v>20</v>
      </c>
      <c r="E7347" s="13">
        <v>78907355</v>
      </c>
      <c r="F7347" s="12" t="s">
        <v>134</v>
      </c>
      <c r="G7347" s="14">
        <v>2964</v>
      </c>
      <c r="H7347" s="12" t="s">
        <v>22</v>
      </c>
      <c r="I7347" s="12">
        <v>0</v>
      </c>
      <c r="J7347" s="12" t="s">
        <v>134</v>
      </c>
      <c r="K7347" s="12" t="s">
        <v>23</v>
      </c>
      <c r="L7347" s="12">
        <v>2</v>
      </c>
      <c r="M7347" s="15">
        <v>69173</v>
      </c>
      <c r="N7347" s="15">
        <v>0</v>
      </c>
      <c r="O7347" s="15">
        <f t="shared" si="676"/>
        <v>69173</v>
      </c>
      <c r="P7347" s="15">
        <f t="shared" si="677"/>
        <v>23.337719298245613</v>
      </c>
      <c r="Q7347" s="14">
        <v>5000</v>
      </c>
      <c r="R7347" s="12">
        <v>59</v>
      </c>
      <c r="S7347" s="12" t="s">
        <v>8925</v>
      </c>
      <c r="T7347" s="22">
        <f t="shared" si="669"/>
        <v>9</v>
      </c>
      <c r="U7347" s="22">
        <f t="shared" si="670"/>
        <v>2023</v>
      </c>
      <c r="V7347" s="22" t="str">
        <f t="shared" si="671"/>
        <v>METROPOLITANA</v>
      </c>
    </row>
    <row r="7348" spans="1:22" x14ac:dyDescent="0.2">
      <c r="A7348" s="23" t="s">
        <v>8926</v>
      </c>
      <c r="B7348" s="22" t="s">
        <v>18</v>
      </c>
      <c r="C7348" s="22" t="s">
        <v>57</v>
      </c>
      <c r="D7348" s="22" t="s">
        <v>20</v>
      </c>
      <c r="E7348" s="24">
        <v>154837728</v>
      </c>
      <c r="F7348" s="22" t="s">
        <v>51</v>
      </c>
      <c r="G7348" s="25">
        <v>3097.9</v>
      </c>
      <c r="H7348" s="22" t="s">
        <v>22</v>
      </c>
      <c r="I7348" s="22">
        <v>0</v>
      </c>
      <c r="J7348" s="22" t="s">
        <v>51</v>
      </c>
      <c r="K7348" s="22" t="s">
        <v>23</v>
      </c>
      <c r="L7348" s="22">
        <v>4</v>
      </c>
      <c r="M7348" s="26">
        <v>69173</v>
      </c>
      <c r="N7348" s="26">
        <v>0</v>
      </c>
      <c r="O7348" s="15">
        <f t="shared" si="676"/>
        <v>69173</v>
      </c>
      <c r="P7348" s="15">
        <f t="shared" si="677"/>
        <v>22.328997062526227</v>
      </c>
      <c r="Q7348" s="25">
        <v>5000</v>
      </c>
      <c r="R7348" s="22">
        <v>62</v>
      </c>
      <c r="S7348" s="22" t="s">
        <v>8927</v>
      </c>
      <c r="T7348" s="22">
        <f t="shared" si="669"/>
        <v>9</v>
      </c>
      <c r="U7348" s="22">
        <f t="shared" si="670"/>
        <v>2023</v>
      </c>
      <c r="V7348" s="22" t="str">
        <f t="shared" si="671"/>
        <v>METROPOLITANA</v>
      </c>
    </row>
    <row r="7349" spans="1:22" x14ac:dyDescent="0.2">
      <c r="A7349" s="23" t="s">
        <v>8926</v>
      </c>
      <c r="B7349" s="22" t="s">
        <v>18</v>
      </c>
      <c r="C7349" s="22" t="s">
        <v>19</v>
      </c>
      <c r="D7349" s="22" t="s">
        <v>37</v>
      </c>
      <c r="E7349" s="24">
        <v>107643206</v>
      </c>
      <c r="F7349" s="22" t="s">
        <v>161</v>
      </c>
      <c r="G7349" s="25">
        <f>5916.1+3310</f>
        <v>9226.1</v>
      </c>
      <c r="H7349" s="22" t="s">
        <v>22</v>
      </c>
      <c r="I7349" s="22">
        <v>0</v>
      </c>
      <c r="J7349" s="22" t="s">
        <v>161</v>
      </c>
      <c r="K7349" s="22" t="s">
        <v>23</v>
      </c>
      <c r="L7349" s="22">
        <v>5</v>
      </c>
      <c r="M7349" s="26">
        <v>112500</v>
      </c>
      <c r="N7349" s="26">
        <v>0</v>
      </c>
      <c r="O7349" s="15">
        <f t="shared" si="676"/>
        <v>112500</v>
      </c>
      <c r="P7349" s="15">
        <f t="shared" si="677"/>
        <v>12.193667963711643</v>
      </c>
      <c r="Q7349" s="25">
        <v>10000</v>
      </c>
      <c r="R7349" s="22">
        <v>100</v>
      </c>
      <c r="S7349" s="22" t="s">
        <v>8935</v>
      </c>
      <c r="T7349" s="22">
        <f t="shared" si="669"/>
        <v>9</v>
      </c>
      <c r="U7349" s="22">
        <f t="shared" si="670"/>
        <v>2023</v>
      </c>
      <c r="V7349" s="22" t="str">
        <f t="shared" si="671"/>
        <v>METROPOLITANA</v>
      </c>
    </row>
    <row r="7350" spans="1:22" x14ac:dyDescent="0.2">
      <c r="A7350" s="23" t="s">
        <v>8926</v>
      </c>
      <c r="B7350" s="22" t="s">
        <v>18</v>
      </c>
      <c r="C7350" s="22" t="s">
        <v>5796</v>
      </c>
      <c r="D7350" s="22" t="s">
        <v>8219</v>
      </c>
      <c r="E7350" s="24">
        <v>73835526</v>
      </c>
      <c r="F7350" s="22" t="s">
        <v>129</v>
      </c>
      <c r="G7350" s="25">
        <v>9359.9999999999964</v>
      </c>
      <c r="H7350" s="22" t="s">
        <v>24</v>
      </c>
      <c r="I7350" s="22">
        <v>1</v>
      </c>
      <c r="J7350" s="22" t="s">
        <v>129</v>
      </c>
      <c r="K7350" s="22" t="s">
        <v>23</v>
      </c>
      <c r="L7350" s="22">
        <v>1</v>
      </c>
      <c r="M7350" s="26">
        <v>102960</v>
      </c>
      <c r="N7350" s="26">
        <v>0</v>
      </c>
      <c r="O7350" s="15">
        <f t="shared" si="676"/>
        <v>102960</v>
      </c>
      <c r="P7350" s="15">
        <f t="shared" si="677"/>
        <v>11.000000000000004</v>
      </c>
      <c r="Q7350" s="25">
        <v>5000</v>
      </c>
      <c r="R7350" s="22">
        <v>100</v>
      </c>
      <c r="S7350" s="22" t="s">
        <v>8928</v>
      </c>
      <c r="T7350" s="22">
        <f t="shared" si="669"/>
        <v>9</v>
      </c>
      <c r="U7350" s="22">
        <f t="shared" si="670"/>
        <v>2023</v>
      </c>
      <c r="V7350" s="22" t="str">
        <f t="shared" si="671"/>
        <v>METROPOLITANA</v>
      </c>
    </row>
    <row r="7351" spans="1:22" x14ac:dyDescent="0.2">
      <c r="A7351" s="23" t="s">
        <v>8926</v>
      </c>
      <c r="B7351" s="22" t="s">
        <v>33</v>
      </c>
      <c r="C7351" s="22" t="s">
        <v>36</v>
      </c>
      <c r="D7351" s="22" t="s">
        <v>7075</v>
      </c>
      <c r="E7351" s="24">
        <v>101495566</v>
      </c>
      <c r="F7351" s="22" t="s">
        <v>691</v>
      </c>
      <c r="G7351" s="25">
        <v>7773.9</v>
      </c>
      <c r="H7351" s="22" t="s">
        <v>24</v>
      </c>
      <c r="I7351" s="22">
        <v>1</v>
      </c>
      <c r="J7351" s="22" t="s">
        <v>691</v>
      </c>
      <c r="K7351" s="22" t="s">
        <v>873</v>
      </c>
      <c r="L7351" s="22">
        <v>0</v>
      </c>
      <c r="M7351" s="26">
        <v>1282000</v>
      </c>
      <c r="N7351" s="26">
        <v>0</v>
      </c>
      <c r="O7351" s="15">
        <f t="shared" si="676"/>
        <v>1282000</v>
      </c>
      <c r="P7351" s="15">
        <f t="shared" si="677"/>
        <v>164.91079123734548</v>
      </c>
      <c r="Q7351" s="25">
        <v>14000</v>
      </c>
      <c r="R7351" s="22">
        <v>56</v>
      </c>
      <c r="S7351" s="22" t="s">
        <v>8929</v>
      </c>
      <c r="T7351" s="22">
        <f t="shared" si="669"/>
        <v>9</v>
      </c>
      <c r="U7351" s="22">
        <f t="shared" si="670"/>
        <v>2023</v>
      </c>
      <c r="V7351" s="22" t="str">
        <f t="shared" si="671"/>
        <v>REGIONES</v>
      </c>
    </row>
    <row r="7352" spans="1:22" x14ac:dyDescent="0.2">
      <c r="A7352" s="23" t="s">
        <v>8926</v>
      </c>
      <c r="B7352" s="22" t="s">
        <v>33</v>
      </c>
      <c r="C7352" s="22" t="s">
        <v>36</v>
      </c>
      <c r="D7352" s="22" t="s">
        <v>30</v>
      </c>
      <c r="E7352" s="24">
        <v>72564391</v>
      </c>
      <c r="F7352" s="22" t="s">
        <v>308</v>
      </c>
      <c r="G7352" s="25">
        <v>5134.5</v>
      </c>
      <c r="H7352" s="22" t="s">
        <v>32</v>
      </c>
      <c r="I7352" s="22">
        <v>0</v>
      </c>
      <c r="J7352" s="22" t="s">
        <v>308</v>
      </c>
      <c r="K7352" s="22" t="s">
        <v>78</v>
      </c>
      <c r="L7352" s="22">
        <v>0</v>
      </c>
      <c r="M7352" s="26">
        <v>227000</v>
      </c>
      <c r="N7352" s="26">
        <v>0</v>
      </c>
      <c r="O7352" s="15">
        <f t="shared" si="676"/>
        <v>227000</v>
      </c>
      <c r="P7352" s="15">
        <f t="shared" si="677"/>
        <v>44.210731327295747</v>
      </c>
      <c r="Q7352" s="25">
        <v>14000</v>
      </c>
      <c r="R7352" s="22">
        <v>37</v>
      </c>
      <c r="S7352" s="22" t="s">
        <v>8930</v>
      </c>
      <c r="T7352" s="22">
        <f t="shared" si="669"/>
        <v>9</v>
      </c>
      <c r="U7352" s="22">
        <f t="shared" si="670"/>
        <v>2023</v>
      </c>
      <c r="V7352" s="22" t="str">
        <f t="shared" si="671"/>
        <v>REGIONES</v>
      </c>
    </row>
    <row r="7353" spans="1:22" x14ac:dyDescent="0.2">
      <c r="A7353" s="23" t="s">
        <v>8926</v>
      </c>
      <c r="B7353" s="22" t="s">
        <v>33</v>
      </c>
      <c r="C7353" s="22" t="s">
        <v>29</v>
      </c>
      <c r="D7353" s="22" t="s">
        <v>38</v>
      </c>
      <c r="E7353" s="24">
        <v>125108660</v>
      </c>
      <c r="F7353" s="22" t="s">
        <v>39</v>
      </c>
      <c r="G7353" s="25">
        <v>7353.6399999999976</v>
      </c>
      <c r="H7353" s="22" t="s">
        <v>43</v>
      </c>
      <c r="I7353" s="22">
        <v>0</v>
      </c>
      <c r="J7353" s="22" t="s">
        <v>39</v>
      </c>
      <c r="K7353" s="22" t="s">
        <v>23</v>
      </c>
      <c r="L7353" s="22">
        <v>1</v>
      </c>
      <c r="M7353" s="26">
        <v>80890</v>
      </c>
      <c r="N7353" s="26">
        <v>0</v>
      </c>
      <c r="O7353" s="15">
        <f t="shared" si="676"/>
        <v>80890</v>
      </c>
      <c r="P7353" s="15">
        <f t="shared" si="677"/>
        <v>10.999994560516972</v>
      </c>
      <c r="Q7353" s="25">
        <v>5000</v>
      </c>
      <c r="R7353" s="22">
        <v>100</v>
      </c>
      <c r="S7353" s="22" t="s">
        <v>8931</v>
      </c>
      <c r="T7353" s="22">
        <f t="shared" si="669"/>
        <v>9</v>
      </c>
      <c r="U7353" s="22">
        <f t="shared" si="670"/>
        <v>2023</v>
      </c>
      <c r="V7353" s="22" t="str">
        <f t="shared" si="671"/>
        <v>METROPOLITANA</v>
      </c>
    </row>
    <row r="7354" spans="1:22" x14ac:dyDescent="0.2">
      <c r="A7354" s="23" t="s">
        <v>8926</v>
      </c>
      <c r="B7354" s="22" t="s">
        <v>33</v>
      </c>
      <c r="C7354" s="22" t="s">
        <v>29</v>
      </c>
      <c r="D7354" s="22" t="s">
        <v>6969</v>
      </c>
      <c r="E7354" s="24">
        <v>104840078</v>
      </c>
      <c r="F7354" s="22" t="s">
        <v>114</v>
      </c>
      <c r="G7354" s="25">
        <v>12073.3</v>
      </c>
      <c r="H7354" s="22" t="s">
        <v>24</v>
      </c>
      <c r="I7354" s="22">
        <v>1</v>
      </c>
      <c r="J7354" s="22" t="s">
        <v>114</v>
      </c>
      <c r="K7354" s="22" t="s">
        <v>75</v>
      </c>
      <c r="L7354" s="22">
        <v>0</v>
      </c>
      <c r="M7354" s="26">
        <v>528000</v>
      </c>
      <c r="N7354" s="26">
        <v>0</v>
      </c>
      <c r="O7354" s="15">
        <f t="shared" si="676"/>
        <v>528000</v>
      </c>
      <c r="P7354" s="15">
        <f t="shared" si="677"/>
        <v>43.732865082454673</v>
      </c>
      <c r="Q7354" s="25">
        <v>14000</v>
      </c>
      <c r="R7354" s="22">
        <v>86</v>
      </c>
      <c r="S7354" s="22" t="s">
        <v>8932</v>
      </c>
      <c r="T7354" s="22">
        <f t="shared" si="669"/>
        <v>9</v>
      </c>
      <c r="U7354" s="22">
        <f t="shared" si="670"/>
        <v>2023</v>
      </c>
      <c r="V7354" s="22" t="str">
        <f t="shared" si="671"/>
        <v>REGIONES</v>
      </c>
    </row>
    <row r="7355" spans="1:22" x14ac:dyDescent="0.2">
      <c r="A7355" s="23" t="s">
        <v>8926</v>
      </c>
      <c r="B7355" s="22" t="s">
        <v>33</v>
      </c>
      <c r="C7355" s="22" t="s">
        <v>29</v>
      </c>
      <c r="D7355" s="22" t="s">
        <v>164</v>
      </c>
      <c r="E7355" s="24">
        <v>154837728</v>
      </c>
      <c r="F7355" s="22" t="s">
        <v>39</v>
      </c>
      <c r="G7355" s="25">
        <v>19855.36</v>
      </c>
      <c r="H7355" s="22" t="s">
        <v>22</v>
      </c>
      <c r="I7355" s="22">
        <v>1</v>
      </c>
      <c r="J7355" s="22" t="s">
        <v>39</v>
      </c>
      <c r="K7355" s="22" t="s">
        <v>23</v>
      </c>
      <c r="L7355" s="22">
        <v>1</v>
      </c>
      <c r="M7355" s="26">
        <v>218409</v>
      </c>
      <c r="N7355" s="26">
        <v>0</v>
      </c>
      <c r="O7355" s="15">
        <f t="shared" si="676"/>
        <v>218409</v>
      </c>
      <c r="P7355" s="15">
        <f t="shared" si="677"/>
        <v>11.000002014569365</v>
      </c>
      <c r="Q7355" s="25">
        <v>5000</v>
      </c>
      <c r="R7355" s="22">
        <v>100</v>
      </c>
      <c r="S7355" s="22" t="s">
        <v>8933</v>
      </c>
      <c r="T7355" s="22">
        <f t="shared" si="669"/>
        <v>9</v>
      </c>
      <c r="U7355" s="22">
        <f t="shared" si="670"/>
        <v>2023</v>
      </c>
      <c r="V7355" s="22" t="str">
        <f t="shared" si="671"/>
        <v>METROPOLITANA</v>
      </c>
    </row>
    <row r="7356" spans="1:22" x14ac:dyDescent="0.2">
      <c r="A7356" s="23" t="s">
        <v>8926</v>
      </c>
      <c r="B7356" s="22" t="s">
        <v>33</v>
      </c>
      <c r="C7356" s="22" t="s">
        <v>44</v>
      </c>
      <c r="D7356" s="22" t="s">
        <v>45</v>
      </c>
      <c r="E7356" s="24">
        <v>107643206</v>
      </c>
      <c r="F7356" s="22" t="s">
        <v>48</v>
      </c>
      <c r="G7356" s="25">
        <v>2529.96</v>
      </c>
      <c r="H7356" s="22" t="s">
        <v>22</v>
      </c>
      <c r="I7356" s="22">
        <v>0</v>
      </c>
      <c r="J7356" s="22" t="s">
        <v>48</v>
      </c>
      <c r="K7356" s="22" t="s">
        <v>23</v>
      </c>
      <c r="L7356" s="22">
        <v>1</v>
      </c>
      <c r="M7356" s="26">
        <v>69173</v>
      </c>
      <c r="N7356" s="26">
        <v>0</v>
      </c>
      <c r="O7356" s="15">
        <f t="shared" si="676"/>
        <v>69173</v>
      </c>
      <c r="P7356" s="15">
        <f t="shared" si="677"/>
        <v>27.341538996663978</v>
      </c>
      <c r="Q7356" s="25">
        <v>5000</v>
      </c>
      <c r="R7356" s="22">
        <v>51</v>
      </c>
      <c r="S7356" s="22" t="s">
        <v>8934</v>
      </c>
      <c r="T7356" s="22">
        <f t="shared" si="669"/>
        <v>9</v>
      </c>
      <c r="U7356" s="22">
        <f t="shared" si="670"/>
        <v>2023</v>
      </c>
      <c r="V7356" s="22" t="str">
        <f t="shared" si="671"/>
        <v>METROPOLITANA</v>
      </c>
    </row>
    <row r="7357" spans="1:22" x14ac:dyDescent="0.2">
      <c r="A7357" s="11" t="s">
        <v>8936</v>
      </c>
      <c r="B7357" s="12" t="s">
        <v>18</v>
      </c>
      <c r="C7357" s="12" t="s">
        <v>57</v>
      </c>
      <c r="D7357" s="12" t="s">
        <v>37</v>
      </c>
      <c r="E7357" s="13">
        <v>78907355</v>
      </c>
      <c r="F7357" s="12" t="s">
        <v>51</v>
      </c>
      <c r="G7357" s="14">
        <v>4884.66</v>
      </c>
      <c r="H7357" s="12" t="s">
        <v>22</v>
      </c>
      <c r="I7357" s="12">
        <v>0</v>
      </c>
      <c r="J7357" s="12" t="s">
        <v>51</v>
      </c>
      <c r="K7357" s="12" t="s">
        <v>23</v>
      </c>
      <c r="L7357" s="12">
        <v>4</v>
      </c>
      <c r="M7357" s="15">
        <v>69173</v>
      </c>
      <c r="N7357" s="15">
        <v>0</v>
      </c>
      <c r="O7357" s="15">
        <f t="shared" si="676"/>
        <v>69173</v>
      </c>
      <c r="P7357" s="15">
        <f t="shared" si="677"/>
        <v>14.16127222774973</v>
      </c>
      <c r="Q7357" s="14">
        <v>5000</v>
      </c>
      <c r="R7357" s="12">
        <v>98</v>
      </c>
      <c r="S7357" s="12" t="s">
        <v>8937</v>
      </c>
      <c r="T7357" s="22">
        <f t="shared" si="669"/>
        <v>9</v>
      </c>
      <c r="U7357" s="22">
        <f t="shared" si="670"/>
        <v>2023</v>
      </c>
      <c r="V7357" s="22" t="str">
        <f t="shared" si="671"/>
        <v>METROPOLITANA</v>
      </c>
    </row>
    <row r="7358" spans="1:22" x14ac:dyDescent="0.2">
      <c r="A7358" s="11" t="s">
        <v>8936</v>
      </c>
      <c r="B7358" s="12" t="s">
        <v>18</v>
      </c>
      <c r="C7358" s="12" t="s">
        <v>19</v>
      </c>
      <c r="D7358" s="12" t="s">
        <v>38</v>
      </c>
      <c r="E7358" s="13">
        <v>125108660</v>
      </c>
      <c r="F7358" s="12" t="s">
        <v>161</v>
      </c>
      <c r="G7358" s="14">
        <v>9049.1200000000008</v>
      </c>
      <c r="H7358" s="12" t="s">
        <v>43</v>
      </c>
      <c r="I7358" s="12">
        <v>0</v>
      </c>
      <c r="J7358" s="12" t="s">
        <v>161</v>
      </c>
      <c r="K7358" s="12" t="s">
        <v>23</v>
      </c>
      <c r="L7358" s="12">
        <v>5</v>
      </c>
      <c r="M7358" s="15">
        <v>112500</v>
      </c>
      <c r="N7358" s="15">
        <v>0</v>
      </c>
      <c r="O7358" s="15">
        <f t="shared" si="676"/>
        <v>112500</v>
      </c>
      <c r="P7358" s="15">
        <f t="shared" si="677"/>
        <v>12.432148098378626</v>
      </c>
      <c r="Q7358" s="14">
        <v>10000</v>
      </c>
      <c r="R7358" s="12">
        <v>90</v>
      </c>
      <c r="S7358" s="12" t="s">
        <v>8938</v>
      </c>
      <c r="T7358" s="22">
        <f t="shared" si="669"/>
        <v>9</v>
      </c>
      <c r="U7358" s="22">
        <f t="shared" si="670"/>
        <v>2023</v>
      </c>
      <c r="V7358" s="22" t="str">
        <f t="shared" si="671"/>
        <v>METROPOLITANA</v>
      </c>
    </row>
    <row r="7359" spans="1:22" x14ac:dyDescent="0.2">
      <c r="A7359" s="11" t="s">
        <v>8936</v>
      </c>
      <c r="B7359" s="12" t="s">
        <v>18</v>
      </c>
      <c r="C7359" s="12" t="s">
        <v>5796</v>
      </c>
      <c r="D7359" s="12" t="s">
        <v>8219</v>
      </c>
      <c r="E7359" s="13">
        <v>73835526</v>
      </c>
      <c r="F7359" s="12" t="s">
        <v>129</v>
      </c>
      <c r="G7359" s="14">
        <v>9540.0000000000036</v>
      </c>
      <c r="H7359" s="12" t="s">
        <v>24</v>
      </c>
      <c r="I7359" s="12">
        <v>1</v>
      </c>
      <c r="J7359" s="12" t="s">
        <v>129</v>
      </c>
      <c r="K7359" s="12" t="s">
        <v>23</v>
      </c>
      <c r="L7359" s="12">
        <v>1</v>
      </c>
      <c r="M7359" s="15">
        <v>104940</v>
      </c>
      <c r="N7359" s="15">
        <v>0</v>
      </c>
      <c r="O7359" s="15">
        <f t="shared" si="676"/>
        <v>104940</v>
      </c>
      <c r="P7359" s="15">
        <f t="shared" si="677"/>
        <v>10.999999999999996</v>
      </c>
      <c r="Q7359" s="14">
        <v>5000</v>
      </c>
      <c r="R7359" s="12">
        <v>100</v>
      </c>
      <c r="S7359" s="12" t="s">
        <v>8939</v>
      </c>
      <c r="T7359" s="22">
        <f t="shared" si="669"/>
        <v>9</v>
      </c>
      <c r="U7359" s="22">
        <f t="shared" si="670"/>
        <v>2023</v>
      </c>
      <c r="V7359" s="22" t="str">
        <f t="shared" si="671"/>
        <v>METROPOLITANA</v>
      </c>
    </row>
    <row r="7360" spans="1:22" x14ac:dyDescent="0.2">
      <c r="A7360" s="11" t="s">
        <v>8936</v>
      </c>
      <c r="B7360" s="12" t="s">
        <v>33</v>
      </c>
      <c r="C7360" s="12" t="s">
        <v>128</v>
      </c>
      <c r="D7360" s="12" t="s">
        <v>8219</v>
      </c>
      <c r="E7360" s="13">
        <v>73835526</v>
      </c>
      <c r="F7360" s="12" t="s">
        <v>182</v>
      </c>
      <c r="G7360" s="14">
        <v>3797.3</v>
      </c>
      <c r="H7360" s="12" t="s">
        <v>24</v>
      </c>
      <c r="I7360" s="12">
        <v>1</v>
      </c>
      <c r="J7360" s="12" t="s">
        <v>182</v>
      </c>
      <c r="K7360" s="12" t="s">
        <v>23</v>
      </c>
      <c r="L7360" s="12">
        <v>4</v>
      </c>
      <c r="M7360" s="15">
        <v>69173</v>
      </c>
      <c r="N7360" s="15">
        <v>0</v>
      </c>
      <c r="O7360" s="15">
        <f t="shared" si="676"/>
        <v>69173</v>
      </c>
      <c r="P7360" s="15">
        <f t="shared" si="677"/>
        <v>18.216364258815474</v>
      </c>
      <c r="Q7360" s="14">
        <v>5000</v>
      </c>
      <c r="R7360" s="12">
        <v>76</v>
      </c>
      <c r="S7360" s="12" t="s">
        <v>8940</v>
      </c>
      <c r="T7360" s="22">
        <f t="shared" si="669"/>
        <v>9</v>
      </c>
      <c r="U7360" s="22">
        <f t="shared" si="670"/>
        <v>2023</v>
      </c>
      <c r="V7360" s="22" t="str">
        <f t="shared" si="671"/>
        <v>METROPOLITANA</v>
      </c>
    </row>
    <row r="7361" spans="1:22" x14ac:dyDescent="0.2">
      <c r="A7361" s="11" t="s">
        <v>8936</v>
      </c>
      <c r="B7361" s="12" t="s">
        <v>33</v>
      </c>
      <c r="C7361" s="12" t="s">
        <v>36</v>
      </c>
      <c r="D7361" s="12" t="s">
        <v>30</v>
      </c>
      <c r="E7361" s="13">
        <v>72564391</v>
      </c>
      <c r="F7361" s="12" t="s">
        <v>127</v>
      </c>
      <c r="G7361" s="14">
        <f>2079.68+2156</f>
        <v>4235.68</v>
      </c>
      <c r="H7361" s="12" t="s">
        <v>32</v>
      </c>
      <c r="I7361" s="12">
        <v>0</v>
      </c>
      <c r="J7361" s="12" t="s">
        <v>127</v>
      </c>
      <c r="K7361" s="12" t="s">
        <v>78</v>
      </c>
      <c r="L7361" s="12">
        <v>0</v>
      </c>
      <c r="M7361" s="15">
        <v>227000</v>
      </c>
      <c r="N7361" s="15">
        <v>0</v>
      </c>
      <c r="O7361" s="15">
        <f t="shared" si="676"/>
        <v>227000</v>
      </c>
      <c r="P7361" s="15">
        <f t="shared" si="677"/>
        <v>53.592339364635663</v>
      </c>
      <c r="Q7361" s="14">
        <v>14000</v>
      </c>
      <c r="R7361" s="12">
        <v>55</v>
      </c>
      <c r="S7361" s="12" t="s">
        <v>8944</v>
      </c>
      <c r="T7361" s="22">
        <f t="shared" si="669"/>
        <v>9</v>
      </c>
      <c r="U7361" s="22">
        <f t="shared" si="670"/>
        <v>2023</v>
      </c>
      <c r="V7361" s="22" t="str">
        <f t="shared" si="671"/>
        <v>REGIONES</v>
      </c>
    </row>
    <row r="7362" spans="1:22" x14ac:dyDescent="0.2">
      <c r="A7362" s="11" t="s">
        <v>8936</v>
      </c>
      <c r="B7362" s="12" t="s">
        <v>33</v>
      </c>
      <c r="C7362" s="12" t="s">
        <v>36</v>
      </c>
      <c r="D7362" s="12" t="s">
        <v>35</v>
      </c>
      <c r="E7362" s="13">
        <v>99626232</v>
      </c>
      <c r="F7362" s="12" t="s">
        <v>182</v>
      </c>
      <c r="G7362" s="14">
        <v>3123.8</v>
      </c>
      <c r="H7362" s="12" t="s">
        <v>22</v>
      </c>
      <c r="I7362" s="12">
        <v>0</v>
      </c>
      <c r="J7362" s="12" t="s">
        <v>182</v>
      </c>
      <c r="K7362" s="12" t="s">
        <v>23</v>
      </c>
      <c r="L7362" s="12">
        <v>4</v>
      </c>
      <c r="M7362" s="15">
        <v>69173</v>
      </c>
      <c r="N7362" s="15">
        <v>0</v>
      </c>
      <c r="O7362" s="15">
        <f t="shared" si="676"/>
        <v>69173</v>
      </c>
      <c r="P7362" s="15">
        <f t="shared" si="677"/>
        <v>22.143863243485498</v>
      </c>
      <c r="Q7362" s="14">
        <v>5000</v>
      </c>
      <c r="R7362" s="12">
        <v>62</v>
      </c>
      <c r="S7362" s="12" t="s">
        <v>8941</v>
      </c>
      <c r="T7362" s="22">
        <f t="shared" si="669"/>
        <v>9</v>
      </c>
      <c r="U7362" s="22">
        <f t="shared" si="670"/>
        <v>2023</v>
      </c>
      <c r="V7362" s="22" t="str">
        <f t="shared" si="671"/>
        <v>METROPOLITANA</v>
      </c>
    </row>
    <row r="7363" spans="1:22" x14ac:dyDescent="0.2">
      <c r="A7363" s="11" t="s">
        <v>8936</v>
      </c>
      <c r="B7363" s="12" t="s">
        <v>33</v>
      </c>
      <c r="C7363" s="12" t="s">
        <v>44</v>
      </c>
      <c r="D7363" s="12" t="s">
        <v>5478</v>
      </c>
      <c r="E7363" s="13">
        <v>122975819</v>
      </c>
      <c r="F7363" s="12" t="s">
        <v>84</v>
      </c>
      <c r="G7363" s="14">
        <v>4850.8000000000011</v>
      </c>
      <c r="H7363" s="12" t="s">
        <v>24</v>
      </c>
      <c r="I7363" s="12">
        <v>1</v>
      </c>
      <c r="J7363" s="12" t="s">
        <v>84</v>
      </c>
      <c r="K7363" s="12" t="s">
        <v>86</v>
      </c>
      <c r="L7363" s="12">
        <v>0</v>
      </c>
      <c r="M7363" s="15">
        <v>402000</v>
      </c>
      <c r="N7363" s="15">
        <v>0</v>
      </c>
      <c r="O7363" s="15">
        <f t="shared" si="676"/>
        <v>402000</v>
      </c>
      <c r="P7363" s="15">
        <f t="shared" si="677"/>
        <v>82.872928176795568</v>
      </c>
      <c r="Q7363" s="14">
        <v>14000</v>
      </c>
      <c r="R7363" s="12">
        <v>35</v>
      </c>
      <c r="S7363" s="12" t="s">
        <v>8942</v>
      </c>
      <c r="T7363" s="22">
        <f t="shared" si="669"/>
        <v>9</v>
      </c>
      <c r="U7363" s="22">
        <f t="shared" si="670"/>
        <v>2023</v>
      </c>
      <c r="V7363" s="22" t="str">
        <f t="shared" si="671"/>
        <v>REGIONES</v>
      </c>
    </row>
    <row r="7364" spans="1:22" x14ac:dyDescent="0.2">
      <c r="A7364" s="11" t="s">
        <v>8936</v>
      </c>
      <c r="B7364" s="12" t="s">
        <v>33</v>
      </c>
      <c r="C7364" s="12" t="s">
        <v>44</v>
      </c>
      <c r="D7364" s="12" t="s">
        <v>45</v>
      </c>
      <c r="E7364" s="13">
        <v>107643206</v>
      </c>
      <c r="F7364" s="12" t="s">
        <v>48</v>
      </c>
      <c r="G7364" s="14">
        <v>2773.1800000000012</v>
      </c>
      <c r="H7364" s="12" t="s">
        <v>22</v>
      </c>
      <c r="I7364" s="12">
        <v>0</v>
      </c>
      <c r="J7364" s="12" t="s">
        <v>48</v>
      </c>
      <c r="K7364" s="12" t="s">
        <v>23</v>
      </c>
      <c r="L7364" s="12">
        <v>1</v>
      </c>
      <c r="M7364" s="15">
        <v>69173</v>
      </c>
      <c r="N7364" s="15">
        <v>0</v>
      </c>
      <c r="O7364" s="15">
        <f t="shared" si="676"/>
        <v>69173</v>
      </c>
      <c r="P7364" s="15">
        <f t="shared" si="677"/>
        <v>24.943566591422112</v>
      </c>
      <c r="Q7364" s="14">
        <v>5000</v>
      </c>
      <c r="R7364" s="12">
        <v>55</v>
      </c>
      <c r="S7364" s="12" t="s">
        <v>8943</v>
      </c>
      <c r="T7364" s="22">
        <f t="shared" si="669"/>
        <v>9</v>
      </c>
      <c r="U7364" s="22">
        <f t="shared" si="670"/>
        <v>2023</v>
      </c>
      <c r="V7364" s="22" t="str">
        <f t="shared" si="671"/>
        <v>METROPOLITANA</v>
      </c>
    </row>
    <row r="7365" spans="1:22" x14ac:dyDescent="0.2">
      <c r="A7365" s="23" t="s">
        <v>8945</v>
      </c>
      <c r="B7365" s="22" t="s">
        <v>18</v>
      </c>
      <c r="C7365" s="22" t="s">
        <v>57</v>
      </c>
      <c r="D7365" s="22" t="s">
        <v>38</v>
      </c>
      <c r="E7365" s="24">
        <v>125108660</v>
      </c>
      <c r="F7365" s="22" t="s">
        <v>51</v>
      </c>
      <c r="G7365" s="25">
        <v>5236.68</v>
      </c>
      <c r="H7365" s="22" t="s">
        <v>43</v>
      </c>
      <c r="I7365" s="22">
        <v>0</v>
      </c>
      <c r="J7365" s="22" t="s">
        <v>51</v>
      </c>
      <c r="K7365" s="22" t="s">
        <v>23</v>
      </c>
      <c r="L7365" s="22">
        <v>4</v>
      </c>
      <c r="M7365" s="26">
        <v>57603</v>
      </c>
      <c r="N7365" s="26">
        <v>0</v>
      </c>
      <c r="O7365" s="15">
        <f t="shared" ref="O7365:O7412" si="678">SUM(M7365:N7365)</f>
        <v>57603</v>
      </c>
      <c r="P7365" s="15">
        <f t="shared" ref="P7365:P7412" si="679">O7365/G7365</f>
        <v>10.999908338871192</v>
      </c>
      <c r="Q7365" s="25">
        <v>5000</v>
      </c>
      <c r="R7365" s="22">
        <v>100</v>
      </c>
      <c r="S7365" s="22" t="s">
        <v>8946</v>
      </c>
      <c r="T7365" s="22">
        <f t="shared" si="669"/>
        <v>9</v>
      </c>
      <c r="U7365" s="22">
        <f t="shared" si="670"/>
        <v>2023</v>
      </c>
      <c r="V7365" s="22" t="str">
        <f t="shared" si="671"/>
        <v>METROPOLITANA</v>
      </c>
    </row>
    <row r="7366" spans="1:22" x14ac:dyDescent="0.2">
      <c r="A7366" s="23" t="s">
        <v>8945</v>
      </c>
      <c r="B7366" s="22" t="s">
        <v>18</v>
      </c>
      <c r="C7366" s="22" t="s">
        <v>19</v>
      </c>
      <c r="D7366" s="22" t="s">
        <v>8219</v>
      </c>
      <c r="E7366" s="24">
        <v>73835526</v>
      </c>
      <c r="F7366" s="22" t="s">
        <v>161</v>
      </c>
      <c r="G7366" s="25">
        <v>7396.6399999999994</v>
      </c>
      <c r="H7366" s="22" t="s">
        <v>24</v>
      </c>
      <c r="I7366" s="22">
        <v>1</v>
      </c>
      <c r="J7366" s="22" t="s">
        <v>161</v>
      </c>
      <c r="K7366" s="22" t="s">
        <v>23</v>
      </c>
      <c r="L7366" s="22">
        <v>5</v>
      </c>
      <c r="M7366" s="26">
        <v>180000</v>
      </c>
      <c r="N7366" s="26">
        <v>0</v>
      </c>
      <c r="O7366" s="15">
        <f t="shared" si="678"/>
        <v>180000</v>
      </c>
      <c r="P7366" s="15">
        <f t="shared" si="679"/>
        <v>24.335373899500315</v>
      </c>
      <c r="Q7366" s="25">
        <v>10000</v>
      </c>
      <c r="R7366" s="22">
        <v>74</v>
      </c>
      <c r="S7366" s="22" t="s">
        <v>8947</v>
      </c>
      <c r="T7366" s="22">
        <f t="shared" si="669"/>
        <v>9</v>
      </c>
      <c r="U7366" s="22">
        <f t="shared" si="670"/>
        <v>2023</v>
      </c>
      <c r="V7366" s="22" t="str">
        <f t="shared" si="671"/>
        <v>METROPOLITANA</v>
      </c>
    </row>
    <row r="7367" spans="1:22" x14ac:dyDescent="0.2">
      <c r="A7367" s="23" t="s">
        <v>8945</v>
      </c>
      <c r="B7367" s="22" t="s">
        <v>18</v>
      </c>
      <c r="C7367" s="22" t="s">
        <v>19</v>
      </c>
      <c r="D7367" s="22" t="s">
        <v>8219</v>
      </c>
      <c r="E7367" s="24">
        <v>73835526</v>
      </c>
      <c r="F7367" s="22" t="s">
        <v>727</v>
      </c>
      <c r="G7367" s="25">
        <v>794.2600000000001</v>
      </c>
      <c r="H7367" s="22" t="s">
        <v>24</v>
      </c>
      <c r="I7367" s="22">
        <v>1</v>
      </c>
      <c r="J7367" s="22" t="s">
        <v>727</v>
      </c>
      <c r="K7367" s="22" t="s">
        <v>23</v>
      </c>
      <c r="L7367" s="22">
        <v>2</v>
      </c>
      <c r="M7367" s="26">
        <v>69173</v>
      </c>
      <c r="N7367" s="26">
        <v>0</v>
      </c>
      <c r="O7367" s="15">
        <f t="shared" si="678"/>
        <v>69173</v>
      </c>
      <c r="P7367" s="15">
        <f t="shared" si="679"/>
        <v>87.091128849495121</v>
      </c>
      <c r="Q7367" s="25">
        <v>5000</v>
      </c>
      <c r="R7367" s="22">
        <v>16</v>
      </c>
      <c r="S7367" s="22" t="s">
        <v>8948</v>
      </c>
      <c r="T7367" s="22">
        <f t="shared" si="669"/>
        <v>9</v>
      </c>
      <c r="U7367" s="22">
        <f t="shared" si="670"/>
        <v>2023</v>
      </c>
      <c r="V7367" s="22" t="str">
        <f t="shared" si="671"/>
        <v>METROPOLITANA</v>
      </c>
    </row>
    <row r="7368" spans="1:22" x14ac:dyDescent="0.2">
      <c r="A7368" s="23" t="s">
        <v>8945</v>
      </c>
      <c r="B7368" s="22" t="s">
        <v>33</v>
      </c>
      <c r="C7368" s="22" t="s">
        <v>57</v>
      </c>
      <c r="D7368" s="22" t="s">
        <v>38</v>
      </c>
      <c r="E7368" s="24">
        <v>125108660</v>
      </c>
      <c r="F7368" s="22" t="s">
        <v>51</v>
      </c>
      <c r="G7368" s="25">
        <v>1488</v>
      </c>
      <c r="H7368" s="22" t="s">
        <v>43</v>
      </c>
      <c r="I7368" s="22">
        <v>0</v>
      </c>
      <c r="J7368" s="22" t="s">
        <v>51</v>
      </c>
      <c r="K7368" s="22" t="s">
        <v>23</v>
      </c>
      <c r="L7368" s="22">
        <v>4</v>
      </c>
      <c r="M7368" s="26">
        <v>69173</v>
      </c>
      <c r="N7368" s="26">
        <v>0</v>
      </c>
      <c r="O7368" s="15">
        <f t="shared" si="678"/>
        <v>69173</v>
      </c>
      <c r="P7368" s="15">
        <f t="shared" si="679"/>
        <v>46.487231182795696</v>
      </c>
      <c r="Q7368" s="25">
        <v>5000</v>
      </c>
      <c r="R7368" s="22">
        <v>30</v>
      </c>
      <c r="S7368" s="22" t="s">
        <v>8949</v>
      </c>
      <c r="T7368" s="22">
        <f t="shared" ref="T7368:T7426" si="680">MONTH(A7368)</f>
        <v>9</v>
      </c>
      <c r="U7368" s="22">
        <f t="shared" ref="U7368:U7426" si="681">YEAR(A7368)</f>
        <v>2023</v>
      </c>
      <c r="V7368" s="22" t="str">
        <f t="shared" ref="V7368:V7426" si="682">IF(K7368="METROPOLITANA DE SANTIAGO","METROPOLITANA","REGIONES")</f>
        <v>METROPOLITANA</v>
      </c>
    </row>
    <row r="7369" spans="1:22" x14ac:dyDescent="0.2">
      <c r="A7369" s="23" t="s">
        <v>8945</v>
      </c>
      <c r="B7369" s="22" t="s">
        <v>33</v>
      </c>
      <c r="C7369" s="22" t="s">
        <v>128</v>
      </c>
      <c r="D7369" s="22" t="s">
        <v>2955</v>
      </c>
      <c r="E7369" s="24">
        <v>65941082</v>
      </c>
      <c r="F7369" s="22" t="s">
        <v>34</v>
      </c>
      <c r="G7369" s="25">
        <v>11479.06</v>
      </c>
      <c r="H7369" s="22" t="s">
        <v>24</v>
      </c>
      <c r="I7369" s="22">
        <v>1</v>
      </c>
      <c r="J7369" s="22" t="s">
        <v>34</v>
      </c>
      <c r="K7369" s="22" t="s">
        <v>23</v>
      </c>
      <c r="L7369" s="22">
        <v>1</v>
      </c>
      <c r="M7369" s="26">
        <v>126270</v>
      </c>
      <c r="N7369" s="26">
        <v>0</v>
      </c>
      <c r="O7369" s="15">
        <f t="shared" si="678"/>
        <v>126270</v>
      </c>
      <c r="P7369" s="15">
        <f t="shared" si="679"/>
        <v>11.00002961915</v>
      </c>
      <c r="Q7369" s="25">
        <v>5000</v>
      </c>
      <c r="R7369" s="22">
        <v>100</v>
      </c>
      <c r="S7369" s="22" t="s">
        <v>8950</v>
      </c>
      <c r="T7369" s="22">
        <f t="shared" si="680"/>
        <v>9</v>
      </c>
      <c r="U7369" s="22">
        <f t="shared" si="681"/>
        <v>2023</v>
      </c>
      <c r="V7369" s="22" t="str">
        <f t="shared" si="682"/>
        <v>METROPOLITANA</v>
      </c>
    </row>
    <row r="7370" spans="1:22" x14ac:dyDescent="0.2">
      <c r="A7370" s="23" t="s">
        <v>8945</v>
      </c>
      <c r="B7370" s="22" t="s">
        <v>33</v>
      </c>
      <c r="C7370" s="22" t="s">
        <v>36</v>
      </c>
      <c r="D7370" s="22" t="s">
        <v>636</v>
      </c>
      <c r="E7370" s="24">
        <v>113693568</v>
      </c>
      <c r="F7370" s="22" t="s">
        <v>426</v>
      </c>
      <c r="G7370" s="25">
        <v>3335.6000000000008</v>
      </c>
      <c r="H7370" s="22" t="s">
        <v>85</v>
      </c>
      <c r="I7370" s="22">
        <v>1</v>
      </c>
      <c r="J7370" s="22" t="s">
        <v>426</v>
      </c>
      <c r="K7370" s="22" t="s">
        <v>75</v>
      </c>
      <c r="L7370" s="22">
        <v>0</v>
      </c>
      <c r="M7370" s="26">
        <v>503000</v>
      </c>
      <c r="N7370" s="26">
        <v>0</v>
      </c>
      <c r="O7370" s="15">
        <f t="shared" si="678"/>
        <v>503000</v>
      </c>
      <c r="P7370" s="15">
        <f t="shared" si="679"/>
        <v>150.7974577287444</v>
      </c>
      <c r="Q7370" s="25">
        <v>14000</v>
      </c>
      <c r="R7370" s="22">
        <v>24</v>
      </c>
      <c r="S7370" s="22" t="s">
        <v>8951</v>
      </c>
      <c r="T7370" s="22">
        <f t="shared" si="680"/>
        <v>9</v>
      </c>
      <c r="U7370" s="22">
        <f t="shared" si="681"/>
        <v>2023</v>
      </c>
      <c r="V7370" s="22" t="str">
        <f t="shared" si="682"/>
        <v>REGIONES</v>
      </c>
    </row>
    <row r="7371" spans="1:22" x14ac:dyDescent="0.2">
      <c r="A7371" s="23" t="s">
        <v>8945</v>
      </c>
      <c r="B7371" s="22" t="s">
        <v>33</v>
      </c>
      <c r="C7371" s="22" t="s">
        <v>36</v>
      </c>
      <c r="D7371" s="22" t="s">
        <v>2825</v>
      </c>
      <c r="E7371" s="24">
        <v>113693568</v>
      </c>
      <c r="F7371" s="22" t="s">
        <v>2744</v>
      </c>
      <c r="G7371" s="25">
        <v>5135.4000000000005</v>
      </c>
      <c r="H7371" s="22" t="s">
        <v>24</v>
      </c>
      <c r="I7371" s="22">
        <v>1</v>
      </c>
      <c r="J7371" s="22" t="s">
        <v>2744</v>
      </c>
      <c r="K7371" s="22" t="s">
        <v>75</v>
      </c>
      <c r="L7371" s="22">
        <v>0</v>
      </c>
      <c r="M7371" s="26">
        <v>478000</v>
      </c>
      <c r="N7371" s="26">
        <v>0</v>
      </c>
      <c r="O7371" s="15">
        <f t="shared" si="678"/>
        <v>478000</v>
      </c>
      <c r="P7371" s="15">
        <f t="shared" si="679"/>
        <v>93.079409588347545</v>
      </c>
      <c r="Q7371" s="25">
        <v>14000</v>
      </c>
      <c r="R7371" s="22">
        <v>37</v>
      </c>
      <c r="S7371" s="22" t="s">
        <v>8952</v>
      </c>
      <c r="T7371" s="22">
        <f t="shared" si="680"/>
        <v>9</v>
      </c>
      <c r="U7371" s="22">
        <f t="shared" si="681"/>
        <v>2023</v>
      </c>
      <c r="V7371" s="22" t="str">
        <f t="shared" si="682"/>
        <v>REGIONES</v>
      </c>
    </row>
    <row r="7372" spans="1:22" x14ac:dyDescent="0.2">
      <c r="A7372" s="23" t="s">
        <v>8945</v>
      </c>
      <c r="B7372" s="22" t="s">
        <v>33</v>
      </c>
      <c r="C7372" s="22" t="s">
        <v>8229</v>
      </c>
      <c r="D7372" s="22" t="s">
        <v>8219</v>
      </c>
      <c r="E7372" s="24">
        <v>73835526</v>
      </c>
      <c r="F7372" s="22" t="s">
        <v>26</v>
      </c>
      <c r="G7372" s="25">
        <v>13765.5</v>
      </c>
      <c r="H7372" s="22" t="s">
        <v>24</v>
      </c>
      <c r="I7372" s="22">
        <v>1</v>
      </c>
      <c r="J7372" s="22" t="s">
        <v>26</v>
      </c>
      <c r="K7372" s="22" t="s">
        <v>23</v>
      </c>
      <c r="L7372" s="22">
        <v>4</v>
      </c>
      <c r="M7372" s="26">
        <v>151420</v>
      </c>
      <c r="N7372" s="26">
        <v>0</v>
      </c>
      <c r="O7372" s="15">
        <f t="shared" si="678"/>
        <v>151420</v>
      </c>
      <c r="P7372" s="15">
        <f t="shared" si="679"/>
        <v>10.999963677309214</v>
      </c>
      <c r="Q7372" s="25">
        <v>5000</v>
      </c>
      <c r="R7372" s="22">
        <v>100</v>
      </c>
      <c r="S7372" s="22" t="s">
        <v>8953</v>
      </c>
      <c r="T7372" s="22">
        <f t="shared" si="680"/>
        <v>9</v>
      </c>
      <c r="U7372" s="22">
        <f t="shared" si="681"/>
        <v>2023</v>
      </c>
      <c r="V7372" s="22" t="str">
        <f t="shared" si="682"/>
        <v>METROPOLITANA</v>
      </c>
    </row>
    <row r="7373" spans="1:22" x14ac:dyDescent="0.2">
      <c r="A7373" s="23" t="s">
        <v>8945</v>
      </c>
      <c r="B7373" s="22" t="s">
        <v>33</v>
      </c>
      <c r="C7373" s="22" t="s">
        <v>29</v>
      </c>
      <c r="D7373" s="22" t="s">
        <v>6793</v>
      </c>
      <c r="E7373" s="24">
        <v>129210451</v>
      </c>
      <c r="F7373" s="22" t="s">
        <v>114</v>
      </c>
      <c r="G7373" s="25">
        <v>20397.09</v>
      </c>
      <c r="H7373" s="22" t="s">
        <v>24</v>
      </c>
      <c r="I7373" s="22">
        <v>1</v>
      </c>
      <c r="J7373" s="22" t="s">
        <v>114</v>
      </c>
      <c r="K7373" s="22" t="s">
        <v>75</v>
      </c>
      <c r="L7373" s="22">
        <v>0</v>
      </c>
      <c r="M7373" s="26">
        <v>528000</v>
      </c>
      <c r="N7373" s="26">
        <v>0</v>
      </c>
      <c r="O7373" s="15">
        <f t="shared" si="678"/>
        <v>528000</v>
      </c>
      <c r="P7373" s="15">
        <f t="shared" si="679"/>
        <v>25.886045509432964</v>
      </c>
      <c r="Q7373" s="25">
        <v>14000</v>
      </c>
      <c r="R7373" s="22">
        <v>100</v>
      </c>
      <c r="S7373" s="22" t="s">
        <v>8954</v>
      </c>
      <c r="T7373" s="22">
        <f t="shared" si="680"/>
        <v>9</v>
      </c>
      <c r="U7373" s="22">
        <f t="shared" si="681"/>
        <v>2023</v>
      </c>
      <c r="V7373" s="22" t="str">
        <f t="shared" si="682"/>
        <v>REGIONES</v>
      </c>
    </row>
    <row r="7374" spans="1:22" x14ac:dyDescent="0.2">
      <c r="A7374" s="23" t="s">
        <v>8945</v>
      </c>
      <c r="B7374" s="22" t="s">
        <v>33</v>
      </c>
      <c r="C7374" s="22" t="s">
        <v>29</v>
      </c>
      <c r="D7374" s="22" t="s">
        <v>164</v>
      </c>
      <c r="E7374" s="24">
        <v>154837728</v>
      </c>
      <c r="F7374" s="22" t="s">
        <v>39</v>
      </c>
      <c r="G7374" s="25">
        <v>16807.59</v>
      </c>
      <c r="H7374" s="22" t="s">
        <v>22</v>
      </c>
      <c r="I7374" s="22">
        <v>1</v>
      </c>
      <c r="J7374" s="22" t="s">
        <v>39</v>
      </c>
      <c r="K7374" s="22" t="s">
        <v>23</v>
      </c>
      <c r="L7374" s="22">
        <v>1</v>
      </c>
      <c r="M7374" s="26">
        <v>184883</v>
      </c>
      <c r="N7374" s="26">
        <v>0</v>
      </c>
      <c r="O7374" s="15">
        <f t="shared" si="678"/>
        <v>184883</v>
      </c>
      <c r="P7374" s="15">
        <f t="shared" si="679"/>
        <v>10.999970846504466</v>
      </c>
      <c r="Q7374" s="25">
        <v>5000</v>
      </c>
      <c r="R7374" s="22">
        <v>100</v>
      </c>
      <c r="S7374" s="22" t="s">
        <v>8955</v>
      </c>
      <c r="T7374" s="22">
        <f t="shared" si="680"/>
        <v>9</v>
      </c>
      <c r="U7374" s="22">
        <f t="shared" si="681"/>
        <v>2023</v>
      </c>
      <c r="V7374" s="22" t="str">
        <f t="shared" si="682"/>
        <v>METROPOLITANA</v>
      </c>
    </row>
    <row r="7375" spans="1:22" x14ac:dyDescent="0.2">
      <c r="A7375" s="23" t="s">
        <v>8945</v>
      </c>
      <c r="B7375" s="22" t="s">
        <v>33</v>
      </c>
      <c r="C7375" s="22" t="s">
        <v>44</v>
      </c>
      <c r="D7375" s="22" t="s">
        <v>7819</v>
      </c>
      <c r="E7375" s="24">
        <v>157396544</v>
      </c>
      <c r="F7375" s="22" t="s">
        <v>3438</v>
      </c>
      <c r="G7375" s="25">
        <v>5405.6399999999994</v>
      </c>
      <c r="H7375" s="22" t="s">
        <v>24</v>
      </c>
      <c r="I7375" s="22">
        <v>1</v>
      </c>
      <c r="J7375" s="22" t="s">
        <v>3438</v>
      </c>
      <c r="K7375" s="22" t="s">
        <v>93</v>
      </c>
      <c r="L7375" s="22">
        <v>0</v>
      </c>
      <c r="M7375" s="26">
        <v>1000000</v>
      </c>
      <c r="N7375" s="26">
        <v>0</v>
      </c>
      <c r="O7375" s="15">
        <f t="shared" si="678"/>
        <v>1000000</v>
      </c>
      <c r="P7375" s="15">
        <f t="shared" si="679"/>
        <v>184.99197134844349</v>
      </c>
      <c r="Q7375" s="25">
        <v>14000</v>
      </c>
      <c r="R7375" s="22">
        <v>39</v>
      </c>
      <c r="S7375" s="22" t="s">
        <v>8956</v>
      </c>
      <c r="T7375" s="22">
        <f t="shared" si="680"/>
        <v>9</v>
      </c>
      <c r="U7375" s="22">
        <f t="shared" si="681"/>
        <v>2023</v>
      </c>
      <c r="V7375" s="22" t="str">
        <f t="shared" si="682"/>
        <v>REGIONES</v>
      </c>
    </row>
    <row r="7376" spans="1:22" x14ac:dyDescent="0.2">
      <c r="A7376" s="23" t="s">
        <v>8945</v>
      </c>
      <c r="B7376" s="22" t="s">
        <v>33</v>
      </c>
      <c r="C7376" s="22" t="s">
        <v>44</v>
      </c>
      <c r="D7376" s="22" t="s">
        <v>8580</v>
      </c>
      <c r="E7376" s="24">
        <v>276547747</v>
      </c>
      <c r="F7376" s="22" t="s">
        <v>51</v>
      </c>
      <c r="G7376" s="25">
        <v>3201.2000000000012</v>
      </c>
      <c r="H7376" s="22" t="s">
        <v>24</v>
      </c>
      <c r="I7376" s="22">
        <v>1</v>
      </c>
      <c r="J7376" s="22" t="s">
        <v>51</v>
      </c>
      <c r="K7376" s="22" t="s">
        <v>23</v>
      </c>
      <c r="L7376" s="22">
        <v>4</v>
      </c>
      <c r="M7376" s="26">
        <v>69173</v>
      </c>
      <c r="N7376" s="26">
        <v>0</v>
      </c>
      <c r="O7376" s="15">
        <f t="shared" si="678"/>
        <v>69173</v>
      </c>
      <c r="P7376" s="15">
        <f t="shared" si="679"/>
        <v>21.608459327752087</v>
      </c>
      <c r="Q7376" s="25">
        <v>5000</v>
      </c>
      <c r="R7376" s="22">
        <v>64</v>
      </c>
      <c r="S7376" s="22" t="s">
        <v>8957</v>
      </c>
      <c r="T7376" s="22">
        <f t="shared" si="680"/>
        <v>9</v>
      </c>
      <c r="U7376" s="22">
        <f t="shared" si="681"/>
        <v>2023</v>
      </c>
      <c r="V7376" s="22" t="str">
        <f t="shared" si="682"/>
        <v>METROPOLITANA</v>
      </c>
    </row>
    <row r="7377" spans="1:22" x14ac:dyDescent="0.2">
      <c r="A7377" s="23" t="s">
        <v>8945</v>
      </c>
      <c r="B7377" s="22" t="s">
        <v>33</v>
      </c>
      <c r="C7377" s="22" t="s">
        <v>44</v>
      </c>
      <c r="D7377" s="22" t="s">
        <v>45</v>
      </c>
      <c r="E7377" s="24">
        <v>107643206</v>
      </c>
      <c r="F7377" s="22" t="s">
        <v>48</v>
      </c>
      <c r="G7377" s="25">
        <v>3349.57</v>
      </c>
      <c r="H7377" s="22" t="s">
        <v>22</v>
      </c>
      <c r="I7377" s="22">
        <v>0</v>
      </c>
      <c r="J7377" s="22" t="s">
        <v>48</v>
      </c>
      <c r="K7377" s="22" t="s">
        <v>23</v>
      </c>
      <c r="L7377" s="22">
        <v>1</v>
      </c>
      <c r="M7377" s="26">
        <v>69173</v>
      </c>
      <c r="N7377" s="26">
        <v>0</v>
      </c>
      <c r="O7377" s="15">
        <f t="shared" si="678"/>
        <v>69173</v>
      </c>
      <c r="P7377" s="15">
        <f t="shared" si="679"/>
        <v>20.651307481258787</v>
      </c>
      <c r="Q7377" s="25">
        <v>5000</v>
      </c>
      <c r="R7377" s="22">
        <v>67</v>
      </c>
      <c r="S7377" s="22" t="s">
        <v>8958</v>
      </c>
      <c r="T7377" s="22">
        <f t="shared" si="680"/>
        <v>9</v>
      </c>
      <c r="U7377" s="22">
        <f t="shared" si="681"/>
        <v>2023</v>
      </c>
      <c r="V7377" s="22" t="str">
        <f t="shared" si="682"/>
        <v>METROPOLITANA</v>
      </c>
    </row>
    <row r="7378" spans="1:22" x14ac:dyDescent="0.2">
      <c r="A7378" s="23" t="s">
        <v>8945</v>
      </c>
      <c r="B7378" s="22" t="s">
        <v>33</v>
      </c>
      <c r="C7378" s="22" t="s">
        <v>44</v>
      </c>
      <c r="D7378" s="22" t="s">
        <v>35</v>
      </c>
      <c r="E7378" s="24">
        <v>99626232</v>
      </c>
      <c r="F7378" s="22" t="s">
        <v>138</v>
      </c>
      <c r="G7378" s="25">
        <v>2625.8</v>
      </c>
      <c r="H7378" s="22" t="s">
        <v>22</v>
      </c>
      <c r="I7378" s="22">
        <v>0</v>
      </c>
      <c r="J7378" s="22" t="s">
        <v>138</v>
      </c>
      <c r="K7378" s="22" t="s">
        <v>23</v>
      </c>
      <c r="L7378" s="22">
        <v>3</v>
      </c>
      <c r="M7378" s="26">
        <v>69173</v>
      </c>
      <c r="N7378" s="26">
        <v>0</v>
      </c>
      <c r="O7378" s="15">
        <f t="shared" si="678"/>
        <v>69173</v>
      </c>
      <c r="P7378" s="15">
        <f t="shared" si="679"/>
        <v>26.343590524792443</v>
      </c>
      <c r="Q7378" s="25">
        <v>5000</v>
      </c>
      <c r="R7378" s="22">
        <v>53</v>
      </c>
      <c r="S7378" s="22" t="s">
        <v>8959</v>
      </c>
      <c r="T7378" s="22">
        <f t="shared" si="680"/>
        <v>9</v>
      </c>
      <c r="U7378" s="22">
        <f t="shared" si="681"/>
        <v>2023</v>
      </c>
      <c r="V7378" s="22" t="str">
        <f t="shared" si="682"/>
        <v>METROPOLITANA</v>
      </c>
    </row>
    <row r="7379" spans="1:22" s="12" customFormat="1" x14ac:dyDescent="0.2">
      <c r="A7379" s="11" t="s">
        <v>8960</v>
      </c>
      <c r="B7379" s="12" t="s">
        <v>18</v>
      </c>
      <c r="C7379" s="12" t="s">
        <v>57</v>
      </c>
      <c r="D7379" s="12" t="s">
        <v>20</v>
      </c>
      <c r="E7379" s="13">
        <v>78907355</v>
      </c>
      <c r="F7379" s="12" t="s">
        <v>51</v>
      </c>
      <c r="G7379" s="14">
        <v>2784.51</v>
      </c>
      <c r="H7379" s="12" t="s">
        <v>22</v>
      </c>
      <c r="I7379" s="12">
        <v>0</v>
      </c>
      <c r="J7379" s="12" t="s">
        <v>51</v>
      </c>
      <c r="K7379" s="12" t="s">
        <v>23</v>
      </c>
      <c r="L7379" s="12">
        <v>4</v>
      </c>
      <c r="M7379" s="15">
        <v>69173</v>
      </c>
      <c r="N7379" s="15">
        <v>0</v>
      </c>
      <c r="O7379" s="15">
        <f t="shared" si="678"/>
        <v>69173</v>
      </c>
      <c r="P7379" s="15">
        <f t="shared" si="679"/>
        <v>24.842072752477094</v>
      </c>
      <c r="Q7379" s="14">
        <v>5000</v>
      </c>
      <c r="R7379" s="12">
        <v>56</v>
      </c>
      <c r="S7379" s="12" t="s">
        <v>8961</v>
      </c>
      <c r="T7379" s="12">
        <f t="shared" si="680"/>
        <v>9</v>
      </c>
      <c r="U7379" s="12">
        <f t="shared" si="681"/>
        <v>2023</v>
      </c>
      <c r="V7379" s="12" t="str">
        <f t="shared" si="682"/>
        <v>METROPOLITANA</v>
      </c>
    </row>
    <row r="7380" spans="1:22" s="12" customFormat="1" x14ac:dyDescent="0.2">
      <c r="A7380" s="11" t="s">
        <v>8960</v>
      </c>
      <c r="B7380" s="12" t="s">
        <v>18</v>
      </c>
      <c r="C7380" s="12" t="s">
        <v>5571</v>
      </c>
      <c r="D7380" s="12" t="s">
        <v>8962</v>
      </c>
      <c r="E7380" s="13">
        <v>95707734</v>
      </c>
      <c r="F7380" s="12" t="s">
        <v>170</v>
      </c>
      <c r="G7380" s="14">
        <v>24118.66</v>
      </c>
      <c r="H7380" s="12" t="s">
        <v>24</v>
      </c>
      <c r="I7380" s="12">
        <v>1</v>
      </c>
      <c r="J7380" s="12" t="s">
        <v>170</v>
      </c>
      <c r="K7380" s="12" t="s">
        <v>171</v>
      </c>
      <c r="L7380" s="12">
        <v>0</v>
      </c>
      <c r="M7380" s="15">
        <v>289000</v>
      </c>
      <c r="N7380" s="15">
        <v>0</v>
      </c>
      <c r="O7380" s="15">
        <f t="shared" si="678"/>
        <v>289000</v>
      </c>
      <c r="P7380" s="15">
        <f t="shared" si="679"/>
        <v>11.982423567478458</v>
      </c>
      <c r="Q7380" s="14">
        <v>14000</v>
      </c>
      <c r="R7380" s="12">
        <v>100</v>
      </c>
      <c r="S7380" s="12" t="s">
        <v>8963</v>
      </c>
      <c r="T7380" s="12">
        <f t="shared" si="680"/>
        <v>9</v>
      </c>
      <c r="U7380" s="12">
        <f t="shared" si="681"/>
        <v>2023</v>
      </c>
      <c r="V7380" s="12" t="str">
        <f t="shared" si="682"/>
        <v>REGIONES</v>
      </c>
    </row>
    <row r="7381" spans="1:22" s="12" customFormat="1" x14ac:dyDescent="0.2">
      <c r="A7381" s="11" t="s">
        <v>8960</v>
      </c>
      <c r="B7381" s="12" t="s">
        <v>18</v>
      </c>
      <c r="C7381" s="12" t="s">
        <v>5571</v>
      </c>
      <c r="D7381" s="12" t="s">
        <v>2028</v>
      </c>
      <c r="E7381" s="13">
        <v>81417709</v>
      </c>
      <c r="F7381" s="12" t="s">
        <v>170</v>
      </c>
      <c r="G7381" s="14">
        <v>22597.60999999999</v>
      </c>
      <c r="H7381" s="12" t="s">
        <v>22</v>
      </c>
      <c r="I7381" s="12">
        <v>1</v>
      </c>
      <c r="J7381" s="12" t="s">
        <v>170</v>
      </c>
      <c r="K7381" s="12" t="s">
        <v>171</v>
      </c>
      <c r="L7381" s="12">
        <v>0</v>
      </c>
      <c r="M7381" s="15">
        <v>289000</v>
      </c>
      <c r="N7381" s="15">
        <v>0</v>
      </c>
      <c r="O7381" s="15">
        <f t="shared" si="678"/>
        <v>289000</v>
      </c>
      <c r="P7381" s="15">
        <f t="shared" si="679"/>
        <v>12.788963080608973</v>
      </c>
      <c r="Q7381" s="14">
        <v>14000</v>
      </c>
      <c r="R7381" s="12">
        <v>100</v>
      </c>
      <c r="S7381" s="12" t="s">
        <v>8964</v>
      </c>
      <c r="T7381" s="12">
        <f t="shared" si="680"/>
        <v>9</v>
      </c>
      <c r="U7381" s="12">
        <f t="shared" si="681"/>
        <v>2023</v>
      </c>
      <c r="V7381" s="12" t="str">
        <f t="shared" si="682"/>
        <v>REGIONES</v>
      </c>
    </row>
    <row r="7382" spans="1:22" s="12" customFormat="1" x14ac:dyDescent="0.2">
      <c r="A7382" s="11" t="s">
        <v>8960</v>
      </c>
      <c r="B7382" s="12" t="s">
        <v>33</v>
      </c>
      <c r="C7382" s="12" t="s">
        <v>7065</v>
      </c>
      <c r="D7382" s="12" t="s">
        <v>38</v>
      </c>
      <c r="E7382" s="13">
        <v>125108660</v>
      </c>
      <c r="F7382" s="12" t="s">
        <v>129</v>
      </c>
      <c r="G7382" s="14">
        <v>11775</v>
      </c>
      <c r="H7382" s="12" t="s">
        <v>43</v>
      </c>
      <c r="I7382" s="12">
        <v>0</v>
      </c>
      <c r="J7382" s="12" t="s">
        <v>129</v>
      </c>
      <c r="K7382" s="12" t="s">
        <v>23</v>
      </c>
      <c r="L7382" s="12">
        <v>1</v>
      </c>
      <c r="M7382" s="15">
        <v>129525</v>
      </c>
      <c r="N7382" s="15">
        <v>0</v>
      </c>
      <c r="O7382" s="15">
        <f t="shared" si="678"/>
        <v>129525</v>
      </c>
      <c r="P7382" s="15">
        <f t="shared" si="679"/>
        <v>11</v>
      </c>
      <c r="Q7382" s="14">
        <v>5000</v>
      </c>
      <c r="R7382" s="12">
        <v>100</v>
      </c>
      <c r="S7382" s="12" t="s">
        <v>8965</v>
      </c>
      <c r="T7382" s="12">
        <f t="shared" si="680"/>
        <v>9</v>
      </c>
      <c r="U7382" s="12">
        <f t="shared" si="681"/>
        <v>2023</v>
      </c>
      <c r="V7382" s="12" t="str">
        <f t="shared" si="682"/>
        <v>METROPOLITANA</v>
      </c>
    </row>
    <row r="7383" spans="1:22" s="12" customFormat="1" x14ac:dyDescent="0.2">
      <c r="A7383" s="11" t="s">
        <v>8960</v>
      </c>
      <c r="B7383" s="12" t="s">
        <v>33</v>
      </c>
      <c r="C7383" s="12" t="s">
        <v>36</v>
      </c>
      <c r="D7383" s="12" t="s">
        <v>8724</v>
      </c>
      <c r="E7383" s="13">
        <v>94590507</v>
      </c>
      <c r="F7383" s="12" t="s">
        <v>195</v>
      </c>
      <c r="G7383" s="14">
        <v>6528.5999999999976</v>
      </c>
      <c r="H7383" s="12" t="s">
        <v>24</v>
      </c>
      <c r="I7383" s="12">
        <v>1</v>
      </c>
      <c r="J7383" s="12" t="s">
        <v>195</v>
      </c>
      <c r="K7383" s="12" t="s">
        <v>124</v>
      </c>
      <c r="L7383" s="12">
        <v>0</v>
      </c>
      <c r="M7383" s="15">
        <v>440000</v>
      </c>
      <c r="N7383" s="15">
        <v>0</v>
      </c>
      <c r="O7383" s="15">
        <f t="shared" si="678"/>
        <v>440000</v>
      </c>
      <c r="P7383" s="15">
        <f t="shared" si="679"/>
        <v>67.395766320497529</v>
      </c>
      <c r="Q7383" s="14">
        <v>14000</v>
      </c>
      <c r="R7383" s="12">
        <v>47</v>
      </c>
      <c r="S7383" s="12" t="s">
        <v>8966</v>
      </c>
      <c r="T7383" s="12">
        <f t="shared" si="680"/>
        <v>9</v>
      </c>
      <c r="U7383" s="12">
        <f t="shared" si="681"/>
        <v>2023</v>
      </c>
      <c r="V7383" s="12" t="str">
        <f t="shared" si="682"/>
        <v>REGIONES</v>
      </c>
    </row>
    <row r="7384" spans="1:22" s="12" customFormat="1" x14ac:dyDescent="0.2">
      <c r="A7384" s="11" t="s">
        <v>8960</v>
      </c>
      <c r="B7384" s="12" t="s">
        <v>33</v>
      </c>
      <c r="C7384" s="12" t="s">
        <v>223</v>
      </c>
      <c r="D7384" s="12" t="s">
        <v>8808</v>
      </c>
      <c r="E7384" s="13">
        <v>124860342</v>
      </c>
      <c r="F7384" s="12" t="s">
        <v>815</v>
      </c>
      <c r="G7384" s="14">
        <v>26519.80000000001</v>
      </c>
      <c r="H7384" s="12" t="s">
        <v>24</v>
      </c>
      <c r="I7384" s="12">
        <v>1</v>
      </c>
      <c r="J7384" s="12" t="s">
        <v>815</v>
      </c>
      <c r="K7384" s="12" t="s">
        <v>75</v>
      </c>
      <c r="L7384" s="12">
        <v>0</v>
      </c>
      <c r="M7384" s="15">
        <v>528000</v>
      </c>
      <c r="N7384" s="15">
        <v>0</v>
      </c>
      <c r="O7384" s="15">
        <f t="shared" si="678"/>
        <v>528000</v>
      </c>
      <c r="P7384" s="15">
        <f t="shared" si="679"/>
        <v>19.909652410651656</v>
      </c>
      <c r="Q7384" s="14">
        <v>14000</v>
      </c>
      <c r="R7384" s="12">
        <v>100</v>
      </c>
      <c r="S7384" s="12" t="s">
        <v>8967</v>
      </c>
      <c r="T7384" s="12">
        <f t="shared" si="680"/>
        <v>9</v>
      </c>
      <c r="U7384" s="12">
        <f t="shared" si="681"/>
        <v>2023</v>
      </c>
      <c r="V7384" s="12" t="str">
        <f t="shared" si="682"/>
        <v>REGIONES</v>
      </c>
    </row>
    <row r="7385" spans="1:22" s="12" customFormat="1" x14ac:dyDescent="0.2">
      <c r="A7385" s="11" t="s">
        <v>8960</v>
      </c>
      <c r="B7385" s="12" t="s">
        <v>33</v>
      </c>
      <c r="C7385" s="12" t="s">
        <v>7148</v>
      </c>
      <c r="D7385" s="12" t="s">
        <v>37</v>
      </c>
      <c r="E7385" s="13">
        <v>81417709</v>
      </c>
      <c r="F7385" s="12" t="s">
        <v>129</v>
      </c>
      <c r="G7385" s="14">
        <v>1786.88</v>
      </c>
      <c r="H7385" s="12" t="s">
        <v>22</v>
      </c>
      <c r="I7385" s="12">
        <v>0</v>
      </c>
      <c r="J7385" s="12" t="s">
        <v>129</v>
      </c>
      <c r="K7385" s="12" t="s">
        <v>23</v>
      </c>
      <c r="L7385" s="12">
        <v>1</v>
      </c>
      <c r="M7385" s="15">
        <v>69173</v>
      </c>
      <c r="N7385" s="15">
        <v>0</v>
      </c>
      <c r="O7385" s="15">
        <f t="shared" si="678"/>
        <v>69173</v>
      </c>
      <c r="P7385" s="15">
        <f t="shared" si="679"/>
        <v>38.711609061604584</v>
      </c>
      <c r="Q7385" s="14">
        <v>5000</v>
      </c>
      <c r="R7385" s="12">
        <v>36</v>
      </c>
      <c r="S7385" s="12" t="s">
        <v>8968</v>
      </c>
      <c r="T7385" s="12">
        <f t="shared" si="680"/>
        <v>9</v>
      </c>
      <c r="U7385" s="12">
        <f t="shared" si="681"/>
        <v>2023</v>
      </c>
      <c r="V7385" s="12" t="str">
        <f t="shared" si="682"/>
        <v>METROPOLITANA</v>
      </c>
    </row>
    <row r="7386" spans="1:22" s="12" customFormat="1" x14ac:dyDescent="0.2">
      <c r="A7386" s="11" t="s">
        <v>8960</v>
      </c>
      <c r="B7386" s="12" t="s">
        <v>33</v>
      </c>
      <c r="C7386" s="12" t="s">
        <v>29</v>
      </c>
      <c r="D7386" s="12" t="s">
        <v>2955</v>
      </c>
      <c r="E7386" s="13">
        <v>65941082</v>
      </c>
      <c r="F7386" s="12" t="s">
        <v>170</v>
      </c>
      <c r="G7386" s="14">
        <v>24156.45</v>
      </c>
      <c r="H7386" s="12" t="s">
        <v>24</v>
      </c>
      <c r="I7386" s="12">
        <v>1</v>
      </c>
      <c r="J7386" s="12" t="s">
        <v>170</v>
      </c>
      <c r="K7386" s="12" t="s">
        <v>171</v>
      </c>
      <c r="L7386" s="12">
        <v>0</v>
      </c>
      <c r="M7386" s="15">
        <v>289000</v>
      </c>
      <c r="N7386" s="15">
        <v>0</v>
      </c>
      <c r="O7386" s="15">
        <f t="shared" si="678"/>
        <v>289000</v>
      </c>
      <c r="P7386" s="15">
        <f t="shared" si="679"/>
        <v>11.963678437849932</v>
      </c>
      <c r="Q7386" s="14">
        <v>14000</v>
      </c>
      <c r="R7386" s="12">
        <v>100</v>
      </c>
      <c r="S7386" s="12" t="s">
        <v>8969</v>
      </c>
      <c r="T7386" s="12">
        <f t="shared" si="680"/>
        <v>9</v>
      </c>
      <c r="U7386" s="12">
        <f t="shared" si="681"/>
        <v>2023</v>
      </c>
      <c r="V7386" s="12" t="str">
        <f t="shared" si="682"/>
        <v>REGIONES</v>
      </c>
    </row>
    <row r="7387" spans="1:22" s="12" customFormat="1" x14ac:dyDescent="0.2">
      <c r="A7387" s="11" t="s">
        <v>8960</v>
      </c>
      <c r="B7387" s="12" t="s">
        <v>33</v>
      </c>
      <c r="C7387" s="12" t="s">
        <v>29</v>
      </c>
      <c r="D7387" s="12" t="s">
        <v>35</v>
      </c>
      <c r="E7387" s="13">
        <v>99626232</v>
      </c>
      <c r="F7387" s="12" t="s">
        <v>134</v>
      </c>
      <c r="G7387" s="14">
        <v>5928.75</v>
      </c>
      <c r="H7387" s="12" t="s">
        <v>22</v>
      </c>
      <c r="I7387" s="12">
        <v>0</v>
      </c>
      <c r="J7387" s="12" t="s">
        <v>134</v>
      </c>
      <c r="K7387" s="12" t="s">
        <v>23</v>
      </c>
      <c r="L7387" s="12">
        <v>2</v>
      </c>
      <c r="M7387" s="15">
        <v>65216</v>
      </c>
      <c r="N7387" s="15">
        <v>0</v>
      </c>
      <c r="O7387" s="15">
        <f t="shared" si="678"/>
        <v>65216</v>
      </c>
      <c r="P7387" s="15">
        <f t="shared" si="679"/>
        <v>10.999957832595404</v>
      </c>
      <c r="Q7387" s="14">
        <v>5000</v>
      </c>
      <c r="R7387" s="12">
        <v>100</v>
      </c>
      <c r="S7387" s="12" t="s">
        <v>8970</v>
      </c>
      <c r="T7387" s="12">
        <f t="shared" si="680"/>
        <v>9</v>
      </c>
      <c r="U7387" s="12">
        <f t="shared" si="681"/>
        <v>2023</v>
      </c>
      <c r="V7387" s="12" t="str">
        <f t="shared" si="682"/>
        <v>METROPOLITANA</v>
      </c>
    </row>
    <row r="7388" spans="1:22" s="12" customFormat="1" x14ac:dyDescent="0.2">
      <c r="A7388" s="11" t="s">
        <v>8960</v>
      </c>
      <c r="B7388" s="12" t="s">
        <v>33</v>
      </c>
      <c r="C7388" s="12" t="s">
        <v>29</v>
      </c>
      <c r="D7388" s="12" t="s">
        <v>8219</v>
      </c>
      <c r="E7388" s="13">
        <v>73835526</v>
      </c>
      <c r="F7388" s="12" t="s">
        <v>129</v>
      </c>
      <c r="G7388" s="14">
        <v>3791.6</v>
      </c>
      <c r="H7388" s="12" t="s">
        <v>24</v>
      </c>
      <c r="I7388" s="12">
        <v>1</v>
      </c>
      <c r="J7388" s="12" t="s">
        <v>129</v>
      </c>
      <c r="K7388" s="12" t="s">
        <v>23</v>
      </c>
      <c r="L7388" s="12">
        <v>1</v>
      </c>
      <c r="M7388" s="15">
        <v>69173</v>
      </c>
      <c r="N7388" s="15">
        <v>0</v>
      </c>
      <c r="O7388" s="15">
        <f t="shared" si="678"/>
        <v>69173</v>
      </c>
      <c r="P7388" s="15">
        <f t="shared" si="679"/>
        <v>18.243749340647749</v>
      </c>
      <c r="Q7388" s="14">
        <v>5000</v>
      </c>
      <c r="R7388" s="12">
        <v>76</v>
      </c>
      <c r="S7388" s="12" t="s">
        <v>8971</v>
      </c>
      <c r="T7388" s="12">
        <f t="shared" si="680"/>
        <v>9</v>
      </c>
      <c r="U7388" s="12">
        <f t="shared" si="681"/>
        <v>2023</v>
      </c>
      <c r="V7388" s="12" t="str">
        <f t="shared" si="682"/>
        <v>METROPOLITANA</v>
      </c>
    </row>
    <row r="7389" spans="1:22" s="12" customFormat="1" x14ac:dyDescent="0.2">
      <c r="A7389" s="11" t="s">
        <v>8960</v>
      </c>
      <c r="B7389" s="12" t="s">
        <v>33</v>
      </c>
      <c r="C7389" s="12" t="s">
        <v>29</v>
      </c>
      <c r="D7389" s="12" t="s">
        <v>164</v>
      </c>
      <c r="E7389" s="13">
        <v>154837728</v>
      </c>
      <c r="F7389" s="12" t="s">
        <v>39</v>
      </c>
      <c r="G7389" s="14">
        <v>16948.35999999999</v>
      </c>
      <c r="H7389" s="12" t="s">
        <v>22</v>
      </c>
      <c r="I7389" s="12">
        <v>1</v>
      </c>
      <c r="J7389" s="12" t="s">
        <v>39</v>
      </c>
      <c r="K7389" s="12" t="s">
        <v>23</v>
      </c>
      <c r="L7389" s="12">
        <v>1</v>
      </c>
      <c r="M7389" s="15">
        <v>186432</v>
      </c>
      <c r="N7389" s="15">
        <v>0</v>
      </c>
      <c r="O7389" s="15">
        <f t="shared" si="678"/>
        <v>186432</v>
      </c>
      <c r="P7389" s="15">
        <f t="shared" si="679"/>
        <v>11.000002360110365</v>
      </c>
      <c r="Q7389" s="14">
        <v>5000</v>
      </c>
      <c r="R7389" s="12">
        <v>100</v>
      </c>
      <c r="S7389" s="12" t="s">
        <v>8972</v>
      </c>
      <c r="T7389" s="12">
        <f t="shared" si="680"/>
        <v>9</v>
      </c>
      <c r="U7389" s="12">
        <f t="shared" si="681"/>
        <v>2023</v>
      </c>
      <c r="V7389" s="12" t="str">
        <f t="shared" si="682"/>
        <v>METROPOLITANA</v>
      </c>
    </row>
    <row r="7390" spans="1:22" s="12" customFormat="1" x14ac:dyDescent="0.2">
      <c r="A7390" s="11" t="s">
        <v>8960</v>
      </c>
      <c r="B7390" s="12" t="s">
        <v>33</v>
      </c>
      <c r="C7390" s="12" t="s">
        <v>29</v>
      </c>
      <c r="D7390" s="12" t="s">
        <v>20</v>
      </c>
      <c r="E7390" s="13">
        <v>78907355</v>
      </c>
      <c r="F7390" s="12" t="s">
        <v>39</v>
      </c>
      <c r="G7390" s="14">
        <v>7786.5499999999984</v>
      </c>
      <c r="H7390" s="12" t="s">
        <v>22</v>
      </c>
      <c r="I7390" s="12">
        <v>0</v>
      </c>
      <c r="J7390" s="12" t="s">
        <v>39</v>
      </c>
      <c r="K7390" s="12" t="s">
        <v>23</v>
      </c>
      <c r="L7390" s="12">
        <v>1</v>
      </c>
      <c r="M7390" s="15">
        <v>85652</v>
      </c>
      <c r="N7390" s="15">
        <v>0</v>
      </c>
      <c r="O7390" s="15">
        <f t="shared" si="678"/>
        <v>85652</v>
      </c>
      <c r="P7390" s="15">
        <f t="shared" si="679"/>
        <v>10.999993578670916</v>
      </c>
      <c r="Q7390" s="14">
        <v>5000</v>
      </c>
      <c r="R7390" s="12">
        <v>100</v>
      </c>
      <c r="S7390" s="12" t="s">
        <v>8973</v>
      </c>
      <c r="T7390" s="12">
        <f t="shared" si="680"/>
        <v>9</v>
      </c>
      <c r="U7390" s="12">
        <f t="shared" si="681"/>
        <v>2023</v>
      </c>
      <c r="V7390" s="12" t="str">
        <f t="shared" si="682"/>
        <v>METROPOLITANA</v>
      </c>
    </row>
    <row r="7391" spans="1:22" s="12" customFormat="1" x14ac:dyDescent="0.2">
      <c r="A7391" s="11" t="s">
        <v>8960</v>
      </c>
      <c r="B7391" s="12" t="s">
        <v>33</v>
      </c>
      <c r="C7391" s="12" t="s">
        <v>44</v>
      </c>
      <c r="D7391" s="12" t="s">
        <v>45</v>
      </c>
      <c r="E7391" s="13">
        <v>107643206</v>
      </c>
      <c r="F7391" s="12" t="s">
        <v>26</v>
      </c>
      <c r="G7391" s="14">
        <v>3019.2200000000012</v>
      </c>
      <c r="H7391" s="12" t="s">
        <v>22</v>
      </c>
      <c r="I7391" s="12">
        <v>0</v>
      </c>
      <c r="J7391" s="12" t="s">
        <v>26</v>
      </c>
      <c r="K7391" s="12" t="s">
        <v>23</v>
      </c>
      <c r="L7391" s="12">
        <v>4</v>
      </c>
      <c r="M7391" s="15">
        <v>69173</v>
      </c>
      <c r="N7391" s="15">
        <v>0</v>
      </c>
      <c r="O7391" s="15">
        <f t="shared" si="678"/>
        <v>69173</v>
      </c>
      <c r="P7391" s="15">
        <f t="shared" si="679"/>
        <v>22.910884268122221</v>
      </c>
      <c r="Q7391" s="14">
        <v>5000</v>
      </c>
      <c r="R7391" s="12">
        <v>60</v>
      </c>
      <c r="S7391" s="12" t="s">
        <v>8974</v>
      </c>
      <c r="T7391" s="12">
        <f t="shared" si="680"/>
        <v>9</v>
      </c>
      <c r="U7391" s="12">
        <f t="shared" si="681"/>
        <v>2023</v>
      </c>
      <c r="V7391" s="12" t="str">
        <f t="shared" si="682"/>
        <v>METROPOLITANA</v>
      </c>
    </row>
    <row r="7392" spans="1:22" s="12" customFormat="1" x14ac:dyDescent="0.2">
      <c r="A7392" s="11" t="s">
        <v>8960</v>
      </c>
      <c r="B7392" s="12" t="s">
        <v>33</v>
      </c>
      <c r="C7392" s="12" t="s">
        <v>44</v>
      </c>
      <c r="D7392" s="12" t="s">
        <v>8219</v>
      </c>
      <c r="E7392" s="13">
        <v>73835526</v>
      </c>
      <c r="F7392" s="12" t="s">
        <v>8975</v>
      </c>
      <c r="G7392" s="14">
        <v>6790.4</v>
      </c>
      <c r="H7392" s="12" t="s">
        <v>24</v>
      </c>
      <c r="I7392" s="12">
        <v>1</v>
      </c>
      <c r="J7392" s="12" t="s">
        <v>8975</v>
      </c>
      <c r="K7392" s="12" t="s">
        <v>78</v>
      </c>
      <c r="L7392" s="12">
        <v>0</v>
      </c>
      <c r="M7392" s="15"/>
      <c r="N7392" s="15">
        <v>0</v>
      </c>
      <c r="O7392" s="15">
        <f t="shared" si="678"/>
        <v>0</v>
      </c>
      <c r="P7392" s="15">
        <f t="shared" si="679"/>
        <v>0</v>
      </c>
      <c r="Q7392" s="14">
        <v>14000</v>
      </c>
      <c r="R7392" s="12">
        <v>49</v>
      </c>
      <c r="S7392" s="12" t="s">
        <v>8976</v>
      </c>
      <c r="T7392" s="12">
        <f t="shared" si="680"/>
        <v>9</v>
      </c>
      <c r="U7392" s="12">
        <f t="shared" si="681"/>
        <v>2023</v>
      </c>
      <c r="V7392" s="12" t="str">
        <f t="shared" si="682"/>
        <v>REGIONES</v>
      </c>
    </row>
    <row r="7393" spans="1:22" x14ac:dyDescent="0.2">
      <c r="A7393" s="23" t="s">
        <v>8977</v>
      </c>
      <c r="B7393" s="22" t="s">
        <v>18</v>
      </c>
      <c r="C7393" s="22" t="s">
        <v>8978</v>
      </c>
      <c r="D7393" s="22" t="s">
        <v>37</v>
      </c>
      <c r="E7393" s="24">
        <v>78907355</v>
      </c>
      <c r="F7393" s="22" t="s">
        <v>1234</v>
      </c>
      <c r="G7393" s="25">
        <v>5568.9</v>
      </c>
      <c r="H7393" s="22" t="s">
        <v>22</v>
      </c>
      <c r="I7393" s="22">
        <v>0</v>
      </c>
      <c r="J7393" s="22" t="s">
        <v>1234</v>
      </c>
      <c r="K7393" s="22" t="s">
        <v>23</v>
      </c>
      <c r="L7393" s="22">
        <v>3</v>
      </c>
      <c r="M7393" s="26">
        <v>61258</v>
      </c>
      <c r="N7393" s="26">
        <v>0</v>
      </c>
      <c r="O7393" s="15">
        <f t="shared" si="678"/>
        <v>61258</v>
      </c>
      <c r="P7393" s="15">
        <f t="shared" si="679"/>
        <v>11.000017956867605</v>
      </c>
      <c r="Q7393" s="25">
        <v>5000</v>
      </c>
      <c r="R7393" s="22">
        <v>100</v>
      </c>
      <c r="S7393" s="22" t="s">
        <v>8979</v>
      </c>
      <c r="T7393" s="22">
        <f t="shared" si="680"/>
        <v>9</v>
      </c>
      <c r="U7393" s="22">
        <f t="shared" si="681"/>
        <v>2023</v>
      </c>
      <c r="V7393" s="22" t="str">
        <f t="shared" si="682"/>
        <v>METROPOLITANA</v>
      </c>
    </row>
    <row r="7394" spans="1:22" x14ac:dyDescent="0.2">
      <c r="A7394" s="23" t="s">
        <v>8977</v>
      </c>
      <c r="B7394" s="22" t="s">
        <v>18</v>
      </c>
      <c r="C7394" s="22" t="s">
        <v>57</v>
      </c>
      <c r="D7394" s="22" t="s">
        <v>8219</v>
      </c>
      <c r="E7394" s="24">
        <v>73835526</v>
      </c>
      <c r="F7394" s="22" t="s">
        <v>51</v>
      </c>
      <c r="G7394" s="25">
        <v>3707.91</v>
      </c>
      <c r="H7394" s="22" t="s">
        <v>24</v>
      </c>
      <c r="I7394" s="22">
        <v>1</v>
      </c>
      <c r="J7394" s="22" t="s">
        <v>51</v>
      </c>
      <c r="K7394" s="22" t="s">
        <v>23</v>
      </c>
      <c r="L7394" s="22">
        <v>4</v>
      </c>
      <c r="M7394" s="26">
        <v>69173</v>
      </c>
      <c r="N7394" s="26">
        <v>0</v>
      </c>
      <c r="O7394" s="15">
        <f t="shared" si="678"/>
        <v>69173</v>
      </c>
      <c r="P7394" s="15">
        <f t="shared" si="679"/>
        <v>18.655522922616786</v>
      </c>
      <c r="Q7394" s="25">
        <v>5000</v>
      </c>
      <c r="R7394" s="22">
        <v>74</v>
      </c>
      <c r="S7394" s="22" t="s">
        <v>8980</v>
      </c>
      <c r="T7394" s="22">
        <f t="shared" si="680"/>
        <v>9</v>
      </c>
      <c r="U7394" s="22">
        <f t="shared" si="681"/>
        <v>2023</v>
      </c>
      <c r="V7394" s="22" t="str">
        <f t="shared" si="682"/>
        <v>METROPOLITANA</v>
      </c>
    </row>
    <row r="7395" spans="1:22" x14ac:dyDescent="0.2">
      <c r="A7395" s="23" t="s">
        <v>8977</v>
      </c>
      <c r="B7395" s="22" t="s">
        <v>18</v>
      </c>
      <c r="C7395" s="22" t="s">
        <v>19</v>
      </c>
      <c r="D7395" s="22" t="s">
        <v>38</v>
      </c>
      <c r="E7395" s="24">
        <v>125108660</v>
      </c>
      <c r="F7395" s="22" t="s">
        <v>161</v>
      </c>
      <c r="G7395" s="25">
        <f>5653.272664</f>
        <v>5653.2726640000001</v>
      </c>
      <c r="H7395" s="22" t="s">
        <v>43</v>
      </c>
      <c r="I7395" s="22">
        <v>0</v>
      </c>
      <c r="J7395" s="22" t="s">
        <v>161</v>
      </c>
      <c r="K7395" s="22" t="s">
        <v>23</v>
      </c>
      <c r="L7395" s="22">
        <v>5</v>
      </c>
      <c r="M7395" s="26">
        <v>112500</v>
      </c>
      <c r="N7395" s="26">
        <v>0</v>
      </c>
      <c r="O7395" s="15">
        <f t="shared" si="678"/>
        <v>112500</v>
      </c>
      <c r="P7395" s="15">
        <f t="shared" si="679"/>
        <v>19.899977709619279</v>
      </c>
      <c r="Q7395" s="25">
        <v>10000</v>
      </c>
      <c r="R7395" s="22">
        <v>100</v>
      </c>
      <c r="S7395" s="22" t="s">
        <v>8992</v>
      </c>
      <c r="T7395" s="22">
        <f t="shared" si="680"/>
        <v>9</v>
      </c>
      <c r="U7395" s="22">
        <f t="shared" si="681"/>
        <v>2023</v>
      </c>
      <c r="V7395" s="22" t="str">
        <f t="shared" si="682"/>
        <v>METROPOLITANA</v>
      </c>
    </row>
    <row r="7396" spans="1:22" x14ac:dyDescent="0.2">
      <c r="A7396" s="23" t="s">
        <v>8977</v>
      </c>
      <c r="B7396" s="22" t="s">
        <v>18</v>
      </c>
      <c r="C7396" s="22" t="s">
        <v>5571</v>
      </c>
      <c r="D7396" s="22" t="s">
        <v>8981</v>
      </c>
      <c r="E7396" s="24">
        <v>95707734</v>
      </c>
      <c r="F7396" s="22" t="s">
        <v>170</v>
      </c>
      <c r="G7396" s="25">
        <v>22020.23</v>
      </c>
      <c r="H7396" s="22" t="s">
        <v>24</v>
      </c>
      <c r="I7396" s="22">
        <v>1</v>
      </c>
      <c r="J7396" s="22" t="s">
        <v>170</v>
      </c>
      <c r="K7396" s="22" t="s">
        <v>171</v>
      </c>
      <c r="L7396" s="22">
        <v>0</v>
      </c>
      <c r="M7396" s="26">
        <v>289000</v>
      </c>
      <c r="N7396" s="26">
        <v>0</v>
      </c>
      <c r="O7396" s="15">
        <f t="shared" si="678"/>
        <v>289000</v>
      </c>
      <c r="P7396" s="15">
        <f t="shared" si="679"/>
        <v>13.12429525032209</v>
      </c>
      <c r="Q7396" s="25">
        <v>14000</v>
      </c>
      <c r="R7396" s="22">
        <v>100</v>
      </c>
      <c r="S7396" s="22" t="s">
        <v>8982</v>
      </c>
      <c r="T7396" s="22">
        <f t="shared" si="680"/>
        <v>9</v>
      </c>
      <c r="U7396" s="22">
        <f t="shared" si="681"/>
        <v>2023</v>
      </c>
      <c r="V7396" s="22" t="str">
        <f t="shared" si="682"/>
        <v>REGIONES</v>
      </c>
    </row>
    <row r="7397" spans="1:22" x14ac:dyDescent="0.2">
      <c r="A7397" s="23" t="s">
        <v>8977</v>
      </c>
      <c r="B7397" s="22" t="s">
        <v>33</v>
      </c>
      <c r="C7397" s="22" t="s">
        <v>128</v>
      </c>
      <c r="D7397" s="22" t="s">
        <v>38</v>
      </c>
      <c r="E7397" s="24">
        <v>125108660</v>
      </c>
      <c r="F7397" s="22" t="s">
        <v>173</v>
      </c>
      <c r="G7397" s="25">
        <v>11945.250000000009</v>
      </c>
      <c r="H7397" s="22" t="s">
        <v>43</v>
      </c>
      <c r="I7397" s="22">
        <v>0</v>
      </c>
      <c r="J7397" s="22" t="s">
        <v>173</v>
      </c>
      <c r="K7397" s="22" t="s">
        <v>23</v>
      </c>
      <c r="L7397" s="22">
        <v>5</v>
      </c>
      <c r="M7397" s="26">
        <v>112500</v>
      </c>
      <c r="N7397" s="26">
        <v>0</v>
      </c>
      <c r="O7397" s="15">
        <f t="shared" si="678"/>
        <v>112500</v>
      </c>
      <c r="P7397" s="15">
        <f t="shared" si="679"/>
        <v>9.4179694857788583</v>
      </c>
      <c r="Q7397" s="25">
        <v>10000</v>
      </c>
      <c r="R7397" s="22">
        <v>100</v>
      </c>
      <c r="S7397" s="22" t="s">
        <v>8983</v>
      </c>
      <c r="T7397" s="22">
        <f t="shared" si="680"/>
        <v>9</v>
      </c>
      <c r="U7397" s="22">
        <f t="shared" si="681"/>
        <v>2023</v>
      </c>
      <c r="V7397" s="22" t="str">
        <f t="shared" si="682"/>
        <v>METROPOLITANA</v>
      </c>
    </row>
    <row r="7398" spans="1:22" x14ac:dyDescent="0.2">
      <c r="A7398" s="23" t="s">
        <v>8977</v>
      </c>
      <c r="B7398" s="22" t="s">
        <v>33</v>
      </c>
      <c r="C7398" s="22" t="s">
        <v>128</v>
      </c>
      <c r="D7398" s="22" t="s">
        <v>37</v>
      </c>
      <c r="E7398" s="24">
        <v>78907355</v>
      </c>
      <c r="F7398" s="22" t="s">
        <v>173</v>
      </c>
      <c r="G7398" s="25">
        <v>11945.250000000009</v>
      </c>
      <c r="H7398" s="22" t="s">
        <v>22</v>
      </c>
      <c r="I7398" s="22">
        <v>0</v>
      </c>
      <c r="J7398" s="22" t="s">
        <v>173</v>
      </c>
      <c r="K7398" s="22" t="s">
        <v>23</v>
      </c>
      <c r="L7398" s="22">
        <v>5</v>
      </c>
      <c r="M7398" s="26">
        <v>112500</v>
      </c>
      <c r="N7398" s="26">
        <v>0</v>
      </c>
      <c r="O7398" s="15">
        <f t="shared" si="678"/>
        <v>112500</v>
      </c>
      <c r="P7398" s="15">
        <f t="shared" si="679"/>
        <v>9.4179694857788583</v>
      </c>
      <c r="Q7398" s="25">
        <v>10000</v>
      </c>
      <c r="R7398" s="22">
        <v>100</v>
      </c>
      <c r="S7398" s="22" t="s">
        <v>8984</v>
      </c>
      <c r="T7398" s="22">
        <f t="shared" si="680"/>
        <v>9</v>
      </c>
      <c r="U7398" s="22">
        <f t="shared" si="681"/>
        <v>2023</v>
      </c>
      <c r="V7398" s="22" t="str">
        <f t="shared" si="682"/>
        <v>METROPOLITANA</v>
      </c>
    </row>
    <row r="7399" spans="1:22" x14ac:dyDescent="0.2">
      <c r="A7399" s="23" t="s">
        <v>8977</v>
      </c>
      <c r="B7399" s="22" t="s">
        <v>33</v>
      </c>
      <c r="C7399" s="22" t="s">
        <v>128</v>
      </c>
      <c r="D7399" s="22" t="s">
        <v>20</v>
      </c>
      <c r="E7399" s="24">
        <v>78907355</v>
      </c>
      <c r="F7399" s="22" t="s">
        <v>129</v>
      </c>
      <c r="G7399" s="25">
        <v>3517.29</v>
      </c>
      <c r="H7399" s="22" t="s">
        <v>22</v>
      </c>
      <c r="I7399" s="22">
        <v>0</v>
      </c>
      <c r="J7399" s="22" t="s">
        <v>129</v>
      </c>
      <c r="K7399" s="22" t="s">
        <v>23</v>
      </c>
      <c r="L7399" s="22">
        <v>1</v>
      </c>
      <c r="M7399" s="26">
        <v>69173</v>
      </c>
      <c r="N7399" s="26">
        <v>0</v>
      </c>
      <c r="O7399" s="15">
        <f t="shared" si="678"/>
        <v>69173</v>
      </c>
      <c r="P7399" s="15">
        <f t="shared" si="679"/>
        <v>19.666561472042396</v>
      </c>
      <c r="Q7399" s="25">
        <v>5000</v>
      </c>
      <c r="R7399" s="22">
        <v>70</v>
      </c>
      <c r="S7399" s="22" t="s">
        <v>8985</v>
      </c>
      <c r="T7399" s="22">
        <f t="shared" si="680"/>
        <v>9</v>
      </c>
      <c r="U7399" s="22">
        <f t="shared" si="681"/>
        <v>2023</v>
      </c>
      <c r="V7399" s="22" t="str">
        <f t="shared" si="682"/>
        <v>METROPOLITANA</v>
      </c>
    </row>
    <row r="7400" spans="1:22" x14ac:dyDescent="0.2">
      <c r="A7400" s="23" t="s">
        <v>8977</v>
      </c>
      <c r="B7400" s="22" t="s">
        <v>33</v>
      </c>
      <c r="C7400" s="22" t="s">
        <v>29</v>
      </c>
      <c r="D7400" s="22" t="s">
        <v>1869</v>
      </c>
      <c r="E7400" s="24">
        <v>125897258</v>
      </c>
      <c r="F7400" s="22" t="s">
        <v>114</v>
      </c>
      <c r="G7400" s="25">
        <v>11774</v>
      </c>
      <c r="H7400" s="22" t="s">
        <v>24</v>
      </c>
      <c r="I7400" s="22">
        <v>1</v>
      </c>
      <c r="J7400" s="22" t="s">
        <v>114</v>
      </c>
      <c r="K7400" s="22" t="s">
        <v>75</v>
      </c>
      <c r="L7400" s="22">
        <v>0</v>
      </c>
      <c r="M7400" s="26">
        <v>528000</v>
      </c>
      <c r="N7400" s="26">
        <v>0</v>
      </c>
      <c r="O7400" s="15">
        <f t="shared" si="678"/>
        <v>528000</v>
      </c>
      <c r="P7400" s="15">
        <f t="shared" si="679"/>
        <v>44.844572787497874</v>
      </c>
      <c r="Q7400" s="25">
        <v>14000</v>
      </c>
      <c r="R7400" s="22">
        <v>84</v>
      </c>
      <c r="S7400" s="22" t="s">
        <v>8986</v>
      </c>
      <c r="T7400" s="22">
        <f t="shared" si="680"/>
        <v>9</v>
      </c>
      <c r="U7400" s="22">
        <f t="shared" si="681"/>
        <v>2023</v>
      </c>
      <c r="V7400" s="22" t="str">
        <f t="shared" si="682"/>
        <v>REGIONES</v>
      </c>
    </row>
    <row r="7401" spans="1:22" x14ac:dyDescent="0.2">
      <c r="A7401" s="23" t="s">
        <v>8977</v>
      </c>
      <c r="B7401" s="22" t="s">
        <v>33</v>
      </c>
      <c r="C7401" s="22" t="s">
        <v>29</v>
      </c>
      <c r="D7401" s="22" t="s">
        <v>370</v>
      </c>
      <c r="E7401" s="24">
        <v>94742285</v>
      </c>
      <c r="F7401" s="22" t="s">
        <v>114</v>
      </c>
      <c r="G7401" s="25">
        <v>16580.8</v>
      </c>
      <c r="H7401" s="22" t="s">
        <v>85</v>
      </c>
      <c r="I7401" s="22">
        <v>1</v>
      </c>
      <c r="J7401" s="22" t="s">
        <v>114</v>
      </c>
      <c r="K7401" s="22" t="s">
        <v>75</v>
      </c>
      <c r="L7401" s="22">
        <v>0</v>
      </c>
      <c r="M7401" s="26">
        <v>528000</v>
      </c>
      <c r="N7401" s="26">
        <v>0</v>
      </c>
      <c r="O7401" s="15">
        <f t="shared" si="678"/>
        <v>528000</v>
      </c>
      <c r="P7401" s="15">
        <f t="shared" si="679"/>
        <v>31.844060600212295</v>
      </c>
      <c r="Q7401" s="25">
        <v>14000</v>
      </c>
      <c r="R7401" s="22">
        <v>100</v>
      </c>
      <c r="S7401" s="22" t="s">
        <v>8987</v>
      </c>
      <c r="T7401" s="22">
        <f t="shared" si="680"/>
        <v>9</v>
      </c>
      <c r="U7401" s="22">
        <f t="shared" si="681"/>
        <v>2023</v>
      </c>
      <c r="V7401" s="22" t="str">
        <f t="shared" si="682"/>
        <v>REGIONES</v>
      </c>
    </row>
    <row r="7402" spans="1:22" x14ac:dyDescent="0.2">
      <c r="A7402" s="23" t="s">
        <v>8977</v>
      </c>
      <c r="B7402" s="22" t="s">
        <v>33</v>
      </c>
      <c r="C7402" s="22" t="s">
        <v>29</v>
      </c>
      <c r="D7402" s="22" t="s">
        <v>8988</v>
      </c>
      <c r="E7402" s="24">
        <v>70866846</v>
      </c>
      <c r="F7402" s="22" t="s">
        <v>114</v>
      </c>
      <c r="G7402" s="25">
        <v>18029.80000000001</v>
      </c>
      <c r="H7402" s="22" t="s">
        <v>24</v>
      </c>
      <c r="I7402" s="22">
        <v>1</v>
      </c>
      <c r="J7402" s="22" t="s">
        <v>114</v>
      </c>
      <c r="K7402" s="22" t="s">
        <v>75</v>
      </c>
      <c r="L7402" s="22">
        <v>0</v>
      </c>
      <c r="M7402" s="26">
        <v>528000</v>
      </c>
      <c r="N7402" s="26">
        <v>0</v>
      </c>
      <c r="O7402" s="15">
        <f t="shared" si="678"/>
        <v>528000</v>
      </c>
      <c r="P7402" s="15">
        <f t="shared" si="679"/>
        <v>29.284850636168994</v>
      </c>
      <c r="Q7402" s="25">
        <v>14000</v>
      </c>
      <c r="R7402" s="22">
        <v>100</v>
      </c>
      <c r="S7402" s="22" t="s">
        <v>8989</v>
      </c>
      <c r="T7402" s="22">
        <f t="shared" si="680"/>
        <v>9</v>
      </c>
      <c r="U7402" s="22">
        <f t="shared" si="681"/>
        <v>2023</v>
      </c>
      <c r="V7402" s="22" t="str">
        <f t="shared" si="682"/>
        <v>REGIONES</v>
      </c>
    </row>
    <row r="7403" spans="1:22" x14ac:dyDescent="0.2">
      <c r="A7403" s="23" t="s">
        <v>8977</v>
      </c>
      <c r="B7403" s="22" t="s">
        <v>33</v>
      </c>
      <c r="C7403" s="22" t="s">
        <v>29</v>
      </c>
      <c r="D7403" s="22" t="s">
        <v>164</v>
      </c>
      <c r="E7403" s="24">
        <v>154837728</v>
      </c>
      <c r="F7403" s="22" t="s">
        <v>39</v>
      </c>
      <c r="G7403" s="25">
        <v>16542.12000000001</v>
      </c>
      <c r="H7403" s="22" t="s">
        <v>22</v>
      </c>
      <c r="I7403" s="22">
        <v>1</v>
      </c>
      <c r="J7403" s="22" t="s">
        <v>39</v>
      </c>
      <c r="K7403" s="22" t="s">
        <v>23</v>
      </c>
      <c r="L7403" s="22">
        <v>1</v>
      </c>
      <c r="M7403" s="26">
        <v>181963</v>
      </c>
      <c r="N7403" s="26">
        <v>0</v>
      </c>
      <c r="O7403" s="15">
        <f t="shared" si="678"/>
        <v>181963</v>
      </c>
      <c r="P7403" s="15">
        <f t="shared" si="679"/>
        <v>10.999980655441981</v>
      </c>
      <c r="Q7403" s="25">
        <v>5000</v>
      </c>
      <c r="R7403" s="22">
        <v>100</v>
      </c>
      <c r="S7403" s="22" t="s">
        <v>8990</v>
      </c>
      <c r="T7403" s="22">
        <f t="shared" si="680"/>
        <v>9</v>
      </c>
      <c r="U7403" s="22">
        <f t="shared" si="681"/>
        <v>2023</v>
      </c>
      <c r="V7403" s="22" t="str">
        <f t="shared" si="682"/>
        <v>METROPOLITANA</v>
      </c>
    </row>
    <row r="7404" spans="1:22" x14ac:dyDescent="0.2">
      <c r="A7404" s="23" t="s">
        <v>8977</v>
      </c>
      <c r="B7404" s="22" t="s">
        <v>33</v>
      </c>
      <c r="C7404" s="22" t="s">
        <v>44</v>
      </c>
      <c r="D7404" s="22" t="s">
        <v>7075</v>
      </c>
      <c r="E7404" s="24">
        <v>101495566</v>
      </c>
      <c r="F7404" s="22" t="s">
        <v>66</v>
      </c>
      <c r="G7404" s="25">
        <f>7096.48+2613</f>
        <v>9709.48</v>
      </c>
      <c r="H7404" s="22" t="s">
        <v>24</v>
      </c>
      <c r="I7404" s="22">
        <v>1</v>
      </c>
      <c r="J7404" s="22" t="s">
        <v>66</v>
      </c>
      <c r="K7404" s="22" t="s">
        <v>75</v>
      </c>
      <c r="L7404" s="22">
        <v>0</v>
      </c>
      <c r="M7404" s="26">
        <v>506000</v>
      </c>
      <c r="N7404" s="26">
        <v>0</v>
      </c>
      <c r="O7404" s="15">
        <f t="shared" si="678"/>
        <v>506000</v>
      </c>
      <c r="P7404" s="15">
        <f t="shared" si="679"/>
        <v>52.114016404586039</v>
      </c>
      <c r="Q7404" s="25">
        <v>14000</v>
      </c>
      <c r="R7404" s="22">
        <v>70</v>
      </c>
      <c r="S7404" s="22" t="s">
        <v>8993</v>
      </c>
      <c r="T7404" s="22">
        <f t="shared" si="680"/>
        <v>9</v>
      </c>
      <c r="U7404" s="22">
        <f t="shared" si="681"/>
        <v>2023</v>
      </c>
      <c r="V7404" s="22" t="str">
        <f t="shared" si="682"/>
        <v>REGIONES</v>
      </c>
    </row>
    <row r="7405" spans="1:22" x14ac:dyDescent="0.2">
      <c r="A7405" s="23" t="s">
        <v>8977</v>
      </c>
      <c r="B7405" s="22" t="s">
        <v>33</v>
      </c>
      <c r="C7405" s="22" t="s">
        <v>1847</v>
      </c>
      <c r="D7405" s="22" t="s">
        <v>45</v>
      </c>
      <c r="E7405" s="24">
        <v>107643206</v>
      </c>
      <c r="F7405" s="22" t="s">
        <v>129</v>
      </c>
      <c r="G7405" s="25">
        <v>3439.1999999999989</v>
      </c>
      <c r="H7405" s="22" t="s">
        <v>22</v>
      </c>
      <c r="I7405" s="22">
        <v>0</v>
      </c>
      <c r="J7405" s="22" t="s">
        <v>129</v>
      </c>
      <c r="K7405" s="22" t="s">
        <v>23</v>
      </c>
      <c r="L7405" s="22">
        <v>1</v>
      </c>
      <c r="M7405" s="26">
        <v>69173</v>
      </c>
      <c r="N7405" s="26">
        <v>0</v>
      </c>
      <c r="O7405" s="15">
        <f t="shared" si="678"/>
        <v>69173</v>
      </c>
      <c r="P7405" s="15">
        <f t="shared" si="679"/>
        <v>20.113107699464997</v>
      </c>
      <c r="Q7405" s="25">
        <v>5000</v>
      </c>
      <c r="R7405" s="22">
        <v>69</v>
      </c>
      <c r="S7405" s="22" t="s">
        <v>8991</v>
      </c>
      <c r="T7405" s="22">
        <f t="shared" si="680"/>
        <v>9</v>
      </c>
      <c r="U7405" s="22">
        <f t="shared" si="681"/>
        <v>2023</v>
      </c>
      <c r="V7405" s="22" t="str">
        <f t="shared" si="682"/>
        <v>METROPOLITANA</v>
      </c>
    </row>
    <row r="7406" spans="1:22" x14ac:dyDescent="0.2">
      <c r="A7406" s="11" t="s">
        <v>8994</v>
      </c>
      <c r="B7406" s="12" t="s">
        <v>18</v>
      </c>
      <c r="C7406" s="12" t="s">
        <v>4880</v>
      </c>
      <c r="D7406" s="12" t="s">
        <v>37</v>
      </c>
      <c r="E7406" s="13">
        <v>78907355</v>
      </c>
      <c r="F7406" s="12" t="s">
        <v>129</v>
      </c>
      <c r="G7406" s="14">
        <v>10238.85</v>
      </c>
      <c r="H7406" s="12" t="s">
        <v>22</v>
      </c>
      <c r="I7406" s="12">
        <v>0</v>
      </c>
      <c r="J7406" s="12" t="s">
        <v>129</v>
      </c>
      <c r="K7406" s="12" t="s">
        <v>23</v>
      </c>
      <c r="L7406" s="12">
        <v>1</v>
      </c>
      <c r="M7406" s="15">
        <v>112627</v>
      </c>
      <c r="N7406" s="15">
        <v>0</v>
      </c>
      <c r="O7406" s="15">
        <f t="shared" si="678"/>
        <v>112627</v>
      </c>
      <c r="P7406" s="15">
        <f t="shared" si="679"/>
        <v>10.99996581647353</v>
      </c>
      <c r="Q7406" s="14">
        <v>5000</v>
      </c>
      <c r="R7406" s="12">
        <v>100</v>
      </c>
      <c r="S7406" s="12" t="s">
        <v>8995</v>
      </c>
      <c r="T7406" s="22">
        <f t="shared" si="680"/>
        <v>10</v>
      </c>
      <c r="U7406" s="22">
        <f t="shared" si="681"/>
        <v>2023</v>
      </c>
      <c r="V7406" s="22" t="str">
        <f t="shared" si="682"/>
        <v>METROPOLITANA</v>
      </c>
    </row>
    <row r="7407" spans="1:22" x14ac:dyDescent="0.2">
      <c r="A7407" s="11" t="s">
        <v>8994</v>
      </c>
      <c r="B7407" s="12" t="s">
        <v>18</v>
      </c>
      <c r="C7407" s="12" t="s">
        <v>4880</v>
      </c>
      <c r="D7407" s="12" t="s">
        <v>8219</v>
      </c>
      <c r="E7407" s="13">
        <v>73835526</v>
      </c>
      <c r="F7407" s="12" t="s">
        <v>129</v>
      </c>
      <c r="G7407" s="14">
        <v>8128.550000000002</v>
      </c>
      <c r="H7407" s="12" t="s">
        <v>24</v>
      </c>
      <c r="I7407" s="12">
        <v>1</v>
      </c>
      <c r="J7407" s="12" t="s">
        <v>129</v>
      </c>
      <c r="K7407" s="12" t="s">
        <v>23</v>
      </c>
      <c r="L7407" s="12">
        <v>1</v>
      </c>
      <c r="M7407" s="15">
        <v>89414</v>
      </c>
      <c r="N7407" s="15">
        <v>0</v>
      </c>
      <c r="O7407" s="15">
        <f t="shared" si="678"/>
        <v>89414</v>
      </c>
      <c r="P7407" s="15">
        <f t="shared" si="679"/>
        <v>10.999993848841427</v>
      </c>
      <c r="Q7407" s="14">
        <v>5000</v>
      </c>
      <c r="R7407" s="12">
        <v>100</v>
      </c>
      <c r="S7407" s="12" t="s">
        <v>8996</v>
      </c>
      <c r="T7407" s="22">
        <f t="shared" si="680"/>
        <v>10</v>
      </c>
      <c r="U7407" s="22">
        <f t="shared" si="681"/>
        <v>2023</v>
      </c>
      <c r="V7407" s="22" t="str">
        <f t="shared" si="682"/>
        <v>METROPOLITANA</v>
      </c>
    </row>
    <row r="7408" spans="1:22" x14ac:dyDescent="0.2">
      <c r="A7408" s="11" t="s">
        <v>8994</v>
      </c>
      <c r="B7408" s="12" t="s">
        <v>18</v>
      </c>
      <c r="C7408" s="12" t="s">
        <v>1163</v>
      </c>
      <c r="D7408" s="12" t="s">
        <v>20</v>
      </c>
      <c r="E7408" s="13">
        <v>78907355</v>
      </c>
      <c r="F7408" s="12" t="s">
        <v>165</v>
      </c>
      <c r="G7408" s="14">
        <v>11470</v>
      </c>
      <c r="H7408" s="12" t="s">
        <v>22</v>
      </c>
      <c r="I7408" s="12">
        <v>0</v>
      </c>
      <c r="J7408" s="12" t="s">
        <v>165</v>
      </c>
      <c r="K7408" s="12" t="s">
        <v>23</v>
      </c>
      <c r="L7408" s="12">
        <v>4</v>
      </c>
      <c r="M7408" s="15">
        <v>126170</v>
      </c>
      <c r="N7408" s="15">
        <v>0</v>
      </c>
      <c r="O7408" s="15">
        <f t="shared" si="678"/>
        <v>126170</v>
      </c>
      <c r="P7408" s="15">
        <f t="shared" si="679"/>
        <v>11</v>
      </c>
      <c r="Q7408" s="14">
        <v>5000</v>
      </c>
      <c r="R7408" s="12">
        <v>100</v>
      </c>
      <c r="S7408" s="12" t="s">
        <v>8997</v>
      </c>
      <c r="T7408" s="22">
        <f t="shared" si="680"/>
        <v>10</v>
      </c>
      <c r="U7408" s="22">
        <f t="shared" si="681"/>
        <v>2023</v>
      </c>
      <c r="V7408" s="22" t="str">
        <f t="shared" si="682"/>
        <v>METROPOLITANA</v>
      </c>
    </row>
    <row r="7409" spans="1:22" x14ac:dyDescent="0.2">
      <c r="A7409" s="11" t="s">
        <v>8994</v>
      </c>
      <c r="B7409" s="12" t="s">
        <v>33</v>
      </c>
      <c r="C7409" s="12" t="s">
        <v>2605</v>
      </c>
      <c r="D7409" s="12" t="s">
        <v>38</v>
      </c>
      <c r="E7409" s="13">
        <v>125108660</v>
      </c>
      <c r="F7409" s="12" t="s">
        <v>129</v>
      </c>
      <c r="G7409" s="14">
        <v>3273.599999999999</v>
      </c>
      <c r="H7409" s="12" t="s">
        <v>43</v>
      </c>
      <c r="I7409" s="12">
        <v>0</v>
      </c>
      <c r="J7409" s="12" t="s">
        <v>129</v>
      </c>
      <c r="K7409" s="12" t="s">
        <v>23</v>
      </c>
      <c r="L7409" s="12">
        <v>1</v>
      </c>
      <c r="M7409" s="15">
        <v>69173</v>
      </c>
      <c r="N7409" s="15">
        <v>0</v>
      </c>
      <c r="O7409" s="15">
        <f t="shared" si="678"/>
        <v>69173</v>
      </c>
      <c r="P7409" s="15">
        <f t="shared" si="679"/>
        <v>21.130559628543505</v>
      </c>
      <c r="Q7409" s="14">
        <v>5000</v>
      </c>
      <c r="R7409" s="12">
        <v>65</v>
      </c>
      <c r="S7409" s="12" t="s">
        <v>8998</v>
      </c>
      <c r="T7409" s="22">
        <f t="shared" si="680"/>
        <v>10</v>
      </c>
      <c r="U7409" s="22">
        <f t="shared" si="681"/>
        <v>2023</v>
      </c>
      <c r="V7409" s="22" t="str">
        <f t="shared" si="682"/>
        <v>METROPOLITANA</v>
      </c>
    </row>
    <row r="7410" spans="1:22" x14ac:dyDescent="0.2">
      <c r="A7410" s="11" t="s">
        <v>8994</v>
      </c>
      <c r="B7410" s="12" t="s">
        <v>33</v>
      </c>
      <c r="C7410" s="12" t="s">
        <v>29</v>
      </c>
      <c r="D7410" s="12" t="s">
        <v>8724</v>
      </c>
      <c r="E7410" s="13">
        <v>94590507</v>
      </c>
      <c r="F7410" s="12" t="s">
        <v>132</v>
      </c>
      <c r="G7410" s="14">
        <v>8388.0400000000045</v>
      </c>
      <c r="H7410" s="12" t="s">
        <v>24</v>
      </c>
      <c r="I7410" s="12">
        <v>1</v>
      </c>
      <c r="J7410" s="12" t="s">
        <v>132</v>
      </c>
      <c r="K7410" s="12" t="s">
        <v>124</v>
      </c>
      <c r="L7410" s="12">
        <v>0</v>
      </c>
      <c r="M7410" s="15">
        <v>500000</v>
      </c>
      <c r="N7410" s="15">
        <v>0</v>
      </c>
      <c r="O7410" s="15">
        <f t="shared" si="678"/>
        <v>500000</v>
      </c>
      <c r="P7410" s="15">
        <f t="shared" si="679"/>
        <v>59.608680931421375</v>
      </c>
      <c r="Q7410" s="14">
        <v>14000</v>
      </c>
      <c r="R7410" s="12">
        <v>60</v>
      </c>
      <c r="S7410" s="12" t="s">
        <v>8999</v>
      </c>
      <c r="T7410" s="22">
        <f t="shared" si="680"/>
        <v>10</v>
      </c>
      <c r="U7410" s="22">
        <f t="shared" si="681"/>
        <v>2023</v>
      </c>
      <c r="V7410" s="22" t="str">
        <f t="shared" si="682"/>
        <v>REGIONES</v>
      </c>
    </row>
    <row r="7411" spans="1:22" x14ac:dyDescent="0.2">
      <c r="A7411" s="11" t="s">
        <v>8994</v>
      </c>
      <c r="B7411" s="12" t="s">
        <v>33</v>
      </c>
      <c r="C7411" s="12" t="s">
        <v>44</v>
      </c>
      <c r="D7411" s="12" t="s">
        <v>45</v>
      </c>
      <c r="E7411" s="13">
        <v>107643206</v>
      </c>
      <c r="F7411" s="12" t="s">
        <v>67</v>
      </c>
      <c r="G7411" s="14">
        <v>2596.4</v>
      </c>
      <c r="H7411" s="12" t="s">
        <v>22</v>
      </c>
      <c r="I7411" s="12">
        <v>0</v>
      </c>
      <c r="J7411" s="12" t="s">
        <v>67</v>
      </c>
      <c r="K7411" s="12" t="s">
        <v>23</v>
      </c>
      <c r="L7411" s="12">
        <v>2</v>
      </c>
      <c r="M7411" s="15">
        <v>69173</v>
      </c>
      <c r="N7411" s="15">
        <v>0</v>
      </c>
      <c r="O7411" s="15">
        <f t="shared" si="678"/>
        <v>69173</v>
      </c>
      <c r="P7411" s="15">
        <f t="shared" si="679"/>
        <v>26.64188876906486</v>
      </c>
      <c r="Q7411" s="14">
        <v>5000</v>
      </c>
      <c r="R7411" s="12">
        <v>52</v>
      </c>
      <c r="S7411" s="12" t="s">
        <v>9000</v>
      </c>
      <c r="T7411" s="22">
        <f t="shared" si="680"/>
        <v>10</v>
      </c>
      <c r="U7411" s="22">
        <f t="shared" si="681"/>
        <v>2023</v>
      </c>
      <c r="V7411" s="22" t="str">
        <f t="shared" si="682"/>
        <v>METROPOLITANA</v>
      </c>
    </row>
    <row r="7412" spans="1:22" x14ac:dyDescent="0.2">
      <c r="A7412" s="11" t="s">
        <v>8994</v>
      </c>
      <c r="B7412" s="12" t="s">
        <v>33</v>
      </c>
      <c r="C7412" s="12" t="s">
        <v>44</v>
      </c>
      <c r="D7412" s="12" t="s">
        <v>35</v>
      </c>
      <c r="E7412" s="13">
        <v>99626232</v>
      </c>
      <c r="F7412" s="12" t="s">
        <v>26</v>
      </c>
      <c r="G7412" s="14">
        <v>3454.44</v>
      </c>
      <c r="H7412" s="12" t="s">
        <v>22</v>
      </c>
      <c r="I7412" s="12">
        <v>0</v>
      </c>
      <c r="J7412" s="12" t="s">
        <v>26</v>
      </c>
      <c r="K7412" s="12" t="s">
        <v>23</v>
      </c>
      <c r="L7412" s="12">
        <v>4</v>
      </c>
      <c r="M7412" s="15">
        <v>69173</v>
      </c>
      <c r="N7412" s="15">
        <v>0</v>
      </c>
      <c r="O7412" s="15">
        <f t="shared" si="678"/>
        <v>69173</v>
      </c>
      <c r="P7412" s="15">
        <f t="shared" si="679"/>
        <v>20.024374428272022</v>
      </c>
      <c r="Q7412" s="14">
        <v>5000</v>
      </c>
      <c r="R7412" s="12">
        <v>69</v>
      </c>
      <c r="S7412" s="12" t="s">
        <v>9001</v>
      </c>
      <c r="T7412" s="22">
        <f t="shared" si="680"/>
        <v>10</v>
      </c>
      <c r="U7412" s="22">
        <f t="shared" si="681"/>
        <v>2023</v>
      </c>
      <c r="V7412" s="22" t="str">
        <f t="shared" si="682"/>
        <v>METROPOLITANA</v>
      </c>
    </row>
    <row r="7413" spans="1:22" x14ac:dyDescent="0.2">
      <c r="A7413" s="23" t="s">
        <v>9002</v>
      </c>
      <c r="B7413" s="22" t="s">
        <v>18</v>
      </c>
      <c r="C7413" s="22" t="s">
        <v>19</v>
      </c>
      <c r="D7413" s="22" t="s">
        <v>5478</v>
      </c>
      <c r="E7413" s="24">
        <v>122975819</v>
      </c>
      <c r="F7413" s="22" t="s">
        <v>84</v>
      </c>
      <c r="G7413" s="25">
        <v>19267.05</v>
      </c>
      <c r="H7413" s="22" t="s">
        <v>24</v>
      </c>
      <c r="I7413" s="22">
        <v>1</v>
      </c>
      <c r="J7413" s="22" t="s">
        <v>84</v>
      </c>
      <c r="K7413" s="22" t="s">
        <v>86</v>
      </c>
      <c r="L7413" s="22">
        <v>0</v>
      </c>
      <c r="M7413" s="26">
        <v>402000</v>
      </c>
      <c r="N7413" s="26">
        <v>0</v>
      </c>
      <c r="O7413" s="15">
        <f t="shared" ref="O7413:O7420" si="683">SUM(M7413:N7413)</f>
        <v>402000</v>
      </c>
      <c r="P7413" s="15">
        <f t="shared" ref="P7413:P7420" si="684">O7413/G7413</f>
        <v>20.864636776257914</v>
      </c>
      <c r="Q7413" s="25">
        <v>14000</v>
      </c>
      <c r="R7413" s="22">
        <v>100</v>
      </c>
      <c r="S7413" s="22" t="s">
        <v>9003</v>
      </c>
      <c r="T7413" s="22">
        <f t="shared" si="680"/>
        <v>10</v>
      </c>
      <c r="U7413" s="22">
        <f t="shared" si="681"/>
        <v>2023</v>
      </c>
      <c r="V7413" s="22" t="str">
        <f t="shared" si="682"/>
        <v>REGIONES</v>
      </c>
    </row>
    <row r="7414" spans="1:22" x14ac:dyDescent="0.2">
      <c r="A7414" s="23" t="s">
        <v>9002</v>
      </c>
      <c r="B7414" s="22" t="s">
        <v>18</v>
      </c>
      <c r="C7414" s="22" t="s">
        <v>29</v>
      </c>
      <c r="D7414" s="22" t="s">
        <v>6793</v>
      </c>
      <c r="E7414" s="24">
        <v>129210451</v>
      </c>
      <c r="F7414" s="22" t="s">
        <v>458</v>
      </c>
      <c r="G7414" s="25">
        <v>8193.65</v>
      </c>
      <c r="H7414" s="22" t="s">
        <v>24</v>
      </c>
      <c r="I7414" s="22">
        <v>1</v>
      </c>
      <c r="J7414" s="22" t="s">
        <v>458</v>
      </c>
      <c r="K7414" s="22" t="s">
        <v>75</v>
      </c>
      <c r="L7414" s="22">
        <v>0</v>
      </c>
      <c r="M7414" s="26">
        <v>528000</v>
      </c>
      <c r="N7414" s="26">
        <v>0</v>
      </c>
      <c r="O7414" s="15">
        <f t="shared" si="683"/>
        <v>528000</v>
      </c>
      <c r="P7414" s="15">
        <f t="shared" si="684"/>
        <v>64.440145722602267</v>
      </c>
      <c r="Q7414" s="25">
        <v>14000</v>
      </c>
      <c r="R7414" s="22">
        <v>59</v>
      </c>
      <c r="S7414" s="22" t="s">
        <v>9004</v>
      </c>
      <c r="T7414" s="22">
        <f t="shared" si="680"/>
        <v>10</v>
      </c>
      <c r="U7414" s="22">
        <f t="shared" si="681"/>
        <v>2023</v>
      </c>
      <c r="V7414" s="22" t="str">
        <f t="shared" si="682"/>
        <v>REGIONES</v>
      </c>
    </row>
    <row r="7415" spans="1:22" x14ac:dyDescent="0.2">
      <c r="A7415" s="23" t="s">
        <v>9002</v>
      </c>
      <c r="B7415" s="22" t="s">
        <v>33</v>
      </c>
      <c r="C7415" s="22" t="s">
        <v>223</v>
      </c>
      <c r="D7415" s="22" t="s">
        <v>9005</v>
      </c>
      <c r="E7415" s="24">
        <v>113693568</v>
      </c>
      <c r="F7415" s="22" t="s">
        <v>815</v>
      </c>
      <c r="G7415" s="25">
        <v>18760</v>
      </c>
      <c r="H7415" s="22" t="s">
        <v>24</v>
      </c>
      <c r="I7415" s="22">
        <v>1</v>
      </c>
      <c r="J7415" s="22" t="s">
        <v>815</v>
      </c>
      <c r="K7415" s="22" t="s">
        <v>75</v>
      </c>
      <c r="L7415" s="22">
        <v>0</v>
      </c>
      <c r="M7415" s="26">
        <v>528000</v>
      </c>
      <c r="N7415" s="26">
        <v>0</v>
      </c>
      <c r="O7415" s="15">
        <f t="shared" si="683"/>
        <v>528000</v>
      </c>
      <c r="P7415" s="15">
        <f t="shared" si="684"/>
        <v>28.14498933901919</v>
      </c>
      <c r="Q7415" s="25">
        <v>14000</v>
      </c>
      <c r="R7415" s="22">
        <v>100</v>
      </c>
      <c r="S7415" s="22" t="s">
        <v>9006</v>
      </c>
      <c r="T7415" s="22">
        <f t="shared" si="680"/>
        <v>10</v>
      </c>
      <c r="U7415" s="22">
        <f t="shared" si="681"/>
        <v>2023</v>
      </c>
      <c r="V7415" s="22" t="str">
        <f t="shared" si="682"/>
        <v>REGIONES</v>
      </c>
    </row>
    <row r="7416" spans="1:22" x14ac:dyDescent="0.2">
      <c r="A7416" s="23" t="s">
        <v>9002</v>
      </c>
      <c r="B7416" s="22" t="s">
        <v>33</v>
      </c>
      <c r="C7416" s="22" t="s">
        <v>909</v>
      </c>
      <c r="D7416" s="22" t="s">
        <v>8219</v>
      </c>
      <c r="E7416" s="24">
        <v>73835526</v>
      </c>
      <c r="F7416" s="22" t="s">
        <v>173</v>
      </c>
      <c r="G7416" s="25">
        <v>6908.6599999999989</v>
      </c>
      <c r="H7416" s="22" t="s">
        <v>24</v>
      </c>
      <c r="I7416" s="22">
        <v>1</v>
      </c>
      <c r="J7416" s="22" t="s">
        <v>173</v>
      </c>
      <c r="K7416" s="22" t="s">
        <v>23</v>
      </c>
      <c r="L7416" s="22">
        <v>5</v>
      </c>
      <c r="M7416" s="26">
        <v>180000</v>
      </c>
      <c r="N7416" s="26">
        <v>0</v>
      </c>
      <c r="O7416" s="15">
        <f t="shared" si="683"/>
        <v>180000</v>
      </c>
      <c r="P7416" s="15">
        <f t="shared" si="684"/>
        <v>26.054256541789584</v>
      </c>
      <c r="Q7416" s="25">
        <v>10000</v>
      </c>
      <c r="R7416" s="22">
        <v>69</v>
      </c>
      <c r="S7416" s="22" t="s">
        <v>9007</v>
      </c>
      <c r="T7416" s="22">
        <f t="shared" si="680"/>
        <v>10</v>
      </c>
      <c r="U7416" s="22">
        <f t="shared" si="681"/>
        <v>2023</v>
      </c>
      <c r="V7416" s="22" t="str">
        <f t="shared" si="682"/>
        <v>METROPOLITANA</v>
      </c>
    </row>
    <row r="7417" spans="1:22" x14ac:dyDescent="0.2">
      <c r="A7417" s="23" t="s">
        <v>9002</v>
      </c>
      <c r="B7417" s="22" t="s">
        <v>33</v>
      </c>
      <c r="C7417" s="22" t="s">
        <v>29</v>
      </c>
      <c r="D7417" s="22" t="s">
        <v>164</v>
      </c>
      <c r="E7417" s="24">
        <v>154837728</v>
      </c>
      <c r="F7417" s="22" t="s">
        <v>134</v>
      </c>
      <c r="G7417" s="25">
        <v>16599.310000000009</v>
      </c>
      <c r="H7417" s="22" t="s">
        <v>22</v>
      </c>
      <c r="I7417" s="22">
        <v>1</v>
      </c>
      <c r="J7417" s="22" t="s">
        <v>134</v>
      </c>
      <c r="K7417" s="22" t="s">
        <v>23</v>
      </c>
      <c r="L7417" s="22">
        <v>2</v>
      </c>
      <c r="M7417" s="26">
        <v>182592</v>
      </c>
      <c r="N7417" s="26">
        <v>0</v>
      </c>
      <c r="O7417" s="15">
        <f t="shared" si="683"/>
        <v>182592</v>
      </c>
      <c r="P7417" s="15">
        <f t="shared" si="684"/>
        <v>10.999975300178134</v>
      </c>
      <c r="Q7417" s="25">
        <v>5000</v>
      </c>
      <c r="R7417" s="22">
        <v>100</v>
      </c>
      <c r="S7417" s="22" t="s">
        <v>9008</v>
      </c>
      <c r="T7417" s="22">
        <f t="shared" si="680"/>
        <v>10</v>
      </c>
      <c r="U7417" s="22">
        <f t="shared" si="681"/>
        <v>2023</v>
      </c>
      <c r="V7417" s="22" t="str">
        <f t="shared" si="682"/>
        <v>METROPOLITANA</v>
      </c>
    </row>
    <row r="7418" spans="1:22" x14ac:dyDescent="0.2">
      <c r="A7418" s="23" t="s">
        <v>9002</v>
      </c>
      <c r="B7418" s="22" t="s">
        <v>33</v>
      </c>
      <c r="C7418" s="22" t="s">
        <v>44</v>
      </c>
      <c r="D7418" s="22" t="s">
        <v>38</v>
      </c>
      <c r="E7418" s="24">
        <v>125108660</v>
      </c>
      <c r="F7418" s="22" t="s">
        <v>134</v>
      </c>
      <c r="G7418" s="25">
        <v>5309</v>
      </c>
      <c r="H7418" s="22" t="s">
        <v>43</v>
      </c>
      <c r="I7418" s="22">
        <v>0</v>
      </c>
      <c r="J7418" s="22" t="s">
        <v>134</v>
      </c>
      <c r="K7418" s="22" t="s">
        <v>23</v>
      </c>
      <c r="L7418" s="22">
        <v>2</v>
      </c>
      <c r="M7418" s="26">
        <v>58399</v>
      </c>
      <c r="N7418" s="26">
        <v>0</v>
      </c>
      <c r="O7418" s="15">
        <f t="shared" si="683"/>
        <v>58399</v>
      </c>
      <c r="P7418" s="15">
        <f t="shared" si="684"/>
        <v>11</v>
      </c>
      <c r="Q7418" s="25">
        <v>5000</v>
      </c>
      <c r="R7418" s="22">
        <v>100</v>
      </c>
      <c r="S7418" s="22" t="s">
        <v>9009</v>
      </c>
      <c r="T7418" s="22">
        <f t="shared" si="680"/>
        <v>10</v>
      </c>
      <c r="U7418" s="22">
        <f t="shared" si="681"/>
        <v>2023</v>
      </c>
      <c r="V7418" s="22" t="str">
        <f t="shared" si="682"/>
        <v>METROPOLITANA</v>
      </c>
    </row>
    <row r="7419" spans="1:22" x14ac:dyDescent="0.2">
      <c r="A7419" s="23" t="s">
        <v>9002</v>
      </c>
      <c r="B7419" s="22" t="s">
        <v>33</v>
      </c>
      <c r="C7419" s="22" t="s">
        <v>44</v>
      </c>
      <c r="D7419" s="22" t="s">
        <v>45</v>
      </c>
      <c r="E7419" s="24">
        <v>107643206</v>
      </c>
      <c r="F7419" s="22" t="s">
        <v>182</v>
      </c>
      <c r="G7419" s="25">
        <v>2588.94</v>
      </c>
      <c r="H7419" s="22" t="s">
        <v>22</v>
      </c>
      <c r="I7419" s="22">
        <v>0</v>
      </c>
      <c r="J7419" s="22" t="s">
        <v>182</v>
      </c>
      <c r="K7419" s="22" t="s">
        <v>23</v>
      </c>
      <c r="L7419" s="22">
        <v>4</v>
      </c>
      <c r="M7419" s="26">
        <v>69173</v>
      </c>
      <c r="N7419" s="26">
        <v>0</v>
      </c>
      <c r="O7419" s="15">
        <f t="shared" si="683"/>
        <v>69173</v>
      </c>
      <c r="P7419" s="15">
        <f t="shared" si="684"/>
        <v>26.718657056555966</v>
      </c>
      <c r="Q7419" s="25">
        <v>5000</v>
      </c>
      <c r="R7419" s="22">
        <v>52</v>
      </c>
      <c r="S7419" s="22" t="s">
        <v>9010</v>
      </c>
      <c r="T7419" s="22">
        <f t="shared" si="680"/>
        <v>10</v>
      </c>
      <c r="U7419" s="22">
        <f t="shared" si="681"/>
        <v>2023</v>
      </c>
      <c r="V7419" s="22" t="str">
        <f t="shared" si="682"/>
        <v>METROPOLITANA</v>
      </c>
    </row>
    <row r="7420" spans="1:22" x14ac:dyDescent="0.2">
      <c r="A7420" s="23" t="s">
        <v>9002</v>
      </c>
      <c r="B7420" s="22" t="s">
        <v>33</v>
      </c>
      <c r="C7420" s="22" t="s">
        <v>44</v>
      </c>
      <c r="D7420" s="22" t="s">
        <v>35</v>
      </c>
      <c r="E7420" s="24">
        <v>99626232</v>
      </c>
      <c r="F7420" s="22" t="s">
        <v>182</v>
      </c>
      <c r="G7420" s="25">
        <v>3229.2000000000012</v>
      </c>
      <c r="H7420" s="22" t="s">
        <v>22</v>
      </c>
      <c r="I7420" s="22">
        <v>0</v>
      </c>
      <c r="J7420" s="22" t="s">
        <v>182</v>
      </c>
      <c r="K7420" s="22" t="s">
        <v>23</v>
      </c>
      <c r="L7420" s="22">
        <v>4</v>
      </c>
      <c r="M7420" s="26">
        <v>69173</v>
      </c>
      <c r="N7420" s="26">
        <v>0</v>
      </c>
      <c r="O7420" s="15">
        <f t="shared" si="683"/>
        <v>69173</v>
      </c>
      <c r="P7420" s="15">
        <f t="shared" si="684"/>
        <v>21.421095008051523</v>
      </c>
      <c r="Q7420" s="25">
        <v>5000</v>
      </c>
      <c r="R7420" s="22">
        <v>65</v>
      </c>
      <c r="S7420" s="22" t="s">
        <v>9011</v>
      </c>
      <c r="T7420" s="22">
        <f t="shared" si="680"/>
        <v>10</v>
      </c>
      <c r="U7420" s="22">
        <f t="shared" si="681"/>
        <v>2023</v>
      </c>
      <c r="V7420" s="22" t="str">
        <f t="shared" si="682"/>
        <v>METROPOLITANA</v>
      </c>
    </row>
    <row r="7421" spans="1:22" x14ac:dyDescent="0.2">
      <c r="A7421" s="11" t="s">
        <v>9012</v>
      </c>
      <c r="B7421" s="12" t="s">
        <v>18</v>
      </c>
      <c r="C7421" s="12" t="s">
        <v>57</v>
      </c>
      <c r="D7421" s="12" t="s">
        <v>38</v>
      </c>
      <c r="E7421" s="13" t="s">
        <v>25</v>
      </c>
      <c r="F7421" s="12" t="s">
        <v>51</v>
      </c>
      <c r="G7421" s="14">
        <v>4358.51</v>
      </c>
      <c r="H7421" s="12" t="s">
        <v>43</v>
      </c>
      <c r="I7421" s="12">
        <v>0</v>
      </c>
      <c r="J7421" s="12" t="s">
        <v>51</v>
      </c>
      <c r="K7421" s="12" t="s">
        <v>23</v>
      </c>
      <c r="L7421" s="12">
        <v>4</v>
      </c>
      <c r="M7421" s="15">
        <v>69173</v>
      </c>
      <c r="N7421" s="15">
        <v>0</v>
      </c>
      <c r="O7421" s="15">
        <f t="shared" ref="O7421:O7434" si="685">SUM(M7421:N7421)</f>
        <v>69173</v>
      </c>
      <c r="P7421" s="15">
        <f t="shared" ref="P7421:P7434" si="686">O7421/G7421</f>
        <v>15.87079070599815</v>
      </c>
      <c r="Q7421" s="14">
        <v>5000</v>
      </c>
      <c r="R7421" s="12">
        <v>87</v>
      </c>
      <c r="S7421" s="12" t="s">
        <v>9013</v>
      </c>
      <c r="T7421" s="22">
        <f t="shared" si="680"/>
        <v>10</v>
      </c>
      <c r="U7421" s="22">
        <f t="shared" si="681"/>
        <v>2023</v>
      </c>
      <c r="V7421" s="22" t="str">
        <f t="shared" si="682"/>
        <v>METROPOLITANA</v>
      </c>
    </row>
    <row r="7422" spans="1:22" x14ac:dyDescent="0.2">
      <c r="A7422" s="11" t="s">
        <v>9012</v>
      </c>
      <c r="B7422" s="12" t="s">
        <v>33</v>
      </c>
      <c r="C7422" s="12" t="s">
        <v>128</v>
      </c>
      <c r="D7422" s="12" t="s">
        <v>37</v>
      </c>
      <c r="E7422" s="13" t="s">
        <v>28</v>
      </c>
      <c r="F7422" s="12" t="s">
        <v>129</v>
      </c>
      <c r="G7422" s="14">
        <v>3307.02</v>
      </c>
      <c r="H7422" s="12" t="s">
        <v>22</v>
      </c>
      <c r="I7422" s="12">
        <v>0</v>
      </c>
      <c r="J7422" s="12" t="s">
        <v>129</v>
      </c>
      <c r="K7422" s="12" t="s">
        <v>23</v>
      </c>
      <c r="L7422" s="12">
        <v>1</v>
      </c>
      <c r="M7422" s="15">
        <v>69173</v>
      </c>
      <c r="N7422" s="15">
        <v>0</v>
      </c>
      <c r="O7422" s="15">
        <f t="shared" si="685"/>
        <v>69173</v>
      </c>
      <c r="P7422" s="15">
        <f t="shared" si="686"/>
        <v>20.917018947572135</v>
      </c>
      <c r="Q7422" s="14">
        <v>5000</v>
      </c>
      <c r="R7422" s="12">
        <v>66</v>
      </c>
      <c r="S7422" s="12" t="s">
        <v>9014</v>
      </c>
      <c r="T7422" s="22">
        <f t="shared" si="680"/>
        <v>10</v>
      </c>
      <c r="U7422" s="22">
        <f t="shared" si="681"/>
        <v>2023</v>
      </c>
      <c r="V7422" s="22" t="str">
        <f t="shared" si="682"/>
        <v>METROPOLITANA</v>
      </c>
    </row>
    <row r="7423" spans="1:22" x14ac:dyDescent="0.2">
      <c r="A7423" s="11" t="s">
        <v>9012</v>
      </c>
      <c r="B7423" s="12" t="s">
        <v>33</v>
      </c>
      <c r="C7423" s="12" t="s">
        <v>128</v>
      </c>
      <c r="D7423" s="12" t="s">
        <v>786</v>
      </c>
      <c r="E7423" s="13" t="s">
        <v>787</v>
      </c>
      <c r="F7423" s="12" t="s">
        <v>34</v>
      </c>
      <c r="G7423" s="14">
        <v>11126.02</v>
      </c>
      <c r="H7423" s="12" t="s">
        <v>788</v>
      </c>
      <c r="I7423" s="12">
        <v>1</v>
      </c>
      <c r="J7423" s="12" t="s">
        <v>34</v>
      </c>
      <c r="K7423" s="12" t="s">
        <v>23</v>
      </c>
      <c r="L7423" s="12">
        <v>1</v>
      </c>
      <c r="M7423" s="15">
        <v>122386</v>
      </c>
      <c r="N7423" s="15">
        <v>0</v>
      </c>
      <c r="O7423" s="15">
        <f t="shared" si="685"/>
        <v>122386</v>
      </c>
      <c r="P7423" s="15">
        <f t="shared" si="686"/>
        <v>10.999980226532038</v>
      </c>
      <c r="Q7423" s="14">
        <v>5000</v>
      </c>
      <c r="R7423" s="12">
        <v>100</v>
      </c>
      <c r="S7423" s="12" t="s">
        <v>9015</v>
      </c>
      <c r="T7423" s="22">
        <f t="shared" si="680"/>
        <v>10</v>
      </c>
      <c r="U7423" s="22">
        <f t="shared" si="681"/>
        <v>2023</v>
      </c>
      <c r="V7423" s="22" t="str">
        <f t="shared" si="682"/>
        <v>METROPOLITANA</v>
      </c>
    </row>
    <row r="7424" spans="1:22" x14ac:dyDescent="0.2">
      <c r="A7424" s="11" t="s">
        <v>9012</v>
      </c>
      <c r="B7424" s="12" t="s">
        <v>33</v>
      </c>
      <c r="C7424" s="12" t="s">
        <v>29</v>
      </c>
      <c r="D7424" s="12" t="s">
        <v>38</v>
      </c>
      <c r="E7424" s="13" t="s">
        <v>25</v>
      </c>
      <c r="F7424" s="12" t="s">
        <v>39</v>
      </c>
      <c r="G7424" s="14">
        <v>7483.579999999999</v>
      </c>
      <c r="H7424" s="12" t="s">
        <v>43</v>
      </c>
      <c r="I7424" s="12">
        <v>0</v>
      </c>
      <c r="J7424" s="12" t="s">
        <v>39</v>
      </c>
      <c r="K7424" s="12" t="s">
        <v>23</v>
      </c>
      <c r="L7424" s="12">
        <v>1</v>
      </c>
      <c r="M7424" s="15">
        <v>82319</v>
      </c>
      <c r="N7424" s="15">
        <v>0</v>
      </c>
      <c r="O7424" s="15">
        <f t="shared" si="685"/>
        <v>82319</v>
      </c>
      <c r="P7424" s="15">
        <f t="shared" si="686"/>
        <v>10.999949222163725</v>
      </c>
      <c r="Q7424" s="14">
        <v>5000</v>
      </c>
      <c r="R7424" s="12">
        <v>100</v>
      </c>
      <c r="S7424" s="12" t="s">
        <v>9016</v>
      </c>
      <c r="T7424" s="22">
        <f t="shared" si="680"/>
        <v>10</v>
      </c>
      <c r="U7424" s="22">
        <f t="shared" si="681"/>
        <v>2023</v>
      </c>
      <c r="V7424" s="22" t="str">
        <f t="shared" si="682"/>
        <v>METROPOLITANA</v>
      </c>
    </row>
    <row r="7425" spans="1:22" x14ac:dyDescent="0.2">
      <c r="A7425" s="11" t="s">
        <v>9012</v>
      </c>
      <c r="B7425" s="12" t="s">
        <v>33</v>
      </c>
      <c r="C7425" s="12" t="s">
        <v>29</v>
      </c>
      <c r="D7425" s="12" t="s">
        <v>8724</v>
      </c>
      <c r="E7425" s="13" t="s">
        <v>7006</v>
      </c>
      <c r="F7425" s="12" t="s">
        <v>114</v>
      </c>
      <c r="G7425" s="14">
        <v>20533.820000000011</v>
      </c>
      <c r="H7425" s="12" t="s">
        <v>24</v>
      </c>
      <c r="I7425" s="12">
        <v>1</v>
      </c>
      <c r="J7425" s="12" t="s">
        <v>114</v>
      </c>
      <c r="K7425" s="12" t="s">
        <v>75</v>
      </c>
      <c r="L7425" s="12">
        <v>0</v>
      </c>
      <c r="M7425" s="15">
        <v>528000</v>
      </c>
      <c r="N7425" s="15">
        <v>0</v>
      </c>
      <c r="O7425" s="15">
        <f t="shared" si="685"/>
        <v>528000</v>
      </c>
      <c r="P7425" s="15">
        <f t="shared" si="686"/>
        <v>25.713676266763795</v>
      </c>
      <c r="Q7425" s="14">
        <v>14000</v>
      </c>
      <c r="R7425" s="12">
        <v>100</v>
      </c>
      <c r="S7425" s="12" t="s">
        <v>9017</v>
      </c>
      <c r="T7425" s="22">
        <f t="shared" si="680"/>
        <v>10</v>
      </c>
      <c r="U7425" s="22">
        <f t="shared" si="681"/>
        <v>2023</v>
      </c>
      <c r="V7425" s="22" t="str">
        <f t="shared" si="682"/>
        <v>REGIONES</v>
      </c>
    </row>
    <row r="7426" spans="1:22" x14ac:dyDescent="0.2">
      <c r="A7426" s="11" t="s">
        <v>9012</v>
      </c>
      <c r="B7426" s="12" t="s">
        <v>33</v>
      </c>
      <c r="C7426" s="12" t="s">
        <v>29</v>
      </c>
      <c r="D7426" s="12" t="s">
        <v>35</v>
      </c>
      <c r="E7426" s="13" t="s">
        <v>52</v>
      </c>
      <c r="F7426" s="12" t="s">
        <v>129</v>
      </c>
      <c r="G7426" s="14">
        <v>2933.4</v>
      </c>
      <c r="H7426" s="12" t="s">
        <v>22</v>
      </c>
      <c r="I7426" s="12">
        <v>0</v>
      </c>
      <c r="J7426" s="12" t="s">
        <v>129</v>
      </c>
      <c r="K7426" s="12" t="s">
        <v>23</v>
      </c>
      <c r="L7426" s="12">
        <v>1</v>
      </c>
      <c r="M7426" s="15">
        <v>69173</v>
      </c>
      <c r="N7426" s="15">
        <v>0</v>
      </c>
      <c r="O7426" s="15">
        <f t="shared" si="685"/>
        <v>69173</v>
      </c>
      <c r="P7426" s="15">
        <f t="shared" si="686"/>
        <v>23.581168609804323</v>
      </c>
      <c r="Q7426" s="14">
        <v>5000</v>
      </c>
      <c r="R7426" s="12">
        <v>59</v>
      </c>
      <c r="S7426" s="12" t="s">
        <v>9018</v>
      </c>
      <c r="T7426" s="22">
        <f t="shared" si="680"/>
        <v>10</v>
      </c>
      <c r="U7426" s="22">
        <f t="shared" si="681"/>
        <v>2023</v>
      </c>
      <c r="V7426" s="22" t="str">
        <f t="shared" si="682"/>
        <v>METROPOLITANA</v>
      </c>
    </row>
    <row r="7427" spans="1:22" x14ac:dyDescent="0.2">
      <c r="A7427" s="11" t="s">
        <v>9012</v>
      </c>
      <c r="B7427" s="12" t="s">
        <v>33</v>
      </c>
      <c r="C7427" s="12" t="s">
        <v>29</v>
      </c>
      <c r="D7427" s="12" t="s">
        <v>8808</v>
      </c>
      <c r="E7427" s="13" t="s">
        <v>7793</v>
      </c>
      <c r="F7427" s="12" t="s">
        <v>132</v>
      </c>
      <c r="G7427" s="14">
        <v>13807.3</v>
      </c>
      <c r="H7427" s="12" t="s">
        <v>24</v>
      </c>
      <c r="I7427" s="12">
        <v>1</v>
      </c>
      <c r="J7427" s="12" t="s">
        <v>132</v>
      </c>
      <c r="K7427" s="12" t="s">
        <v>124</v>
      </c>
      <c r="L7427" s="12">
        <v>0</v>
      </c>
      <c r="M7427" s="15">
        <v>500000</v>
      </c>
      <c r="N7427" s="15">
        <v>0</v>
      </c>
      <c r="O7427" s="15">
        <f t="shared" si="685"/>
        <v>500000</v>
      </c>
      <c r="P7427" s="15">
        <f t="shared" si="686"/>
        <v>36.212728049654892</v>
      </c>
      <c r="Q7427" s="14">
        <v>14000</v>
      </c>
      <c r="R7427" s="12">
        <v>99</v>
      </c>
      <c r="S7427" s="12" t="s">
        <v>9019</v>
      </c>
      <c r="T7427" s="22">
        <f t="shared" ref="T7427:T7475" si="687">MONTH(A7427)</f>
        <v>10</v>
      </c>
      <c r="U7427" s="22">
        <f t="shared" ref="U7427:U7475" si="688">YEAR(A7427)</f>
        <v>2023</v>
      </c>
      <c r="V7427" s="22" t="str">
        <f t="shared" ref="V7427:V7475" si="689">IF(K7427="METROPOLITANA DE SANTIAGO","METROPOLITANA","REGIONES")</f>
        <v>REGIONES</v>
      </c>
    </row>
    <row r="7428" spans="1:22" x14ac:dyDescent="0.2">
      <c r="A7428" s="11" t="s">
        <v>9012</v>
      </c>
      <c r="B7428" s="12" t="s">
        <v>33</v>
      </c>
      <c r="C7428" s="12" t="s">
        <v>29</v>
      </c>
      <c r="D7428" s="12" t="s">
        <v>164</v>
      </c>
      <c r="E7428" s="13" t="s">
        <v>1576</v>
      </c>
      <c r="F7428" s="12" t="s">
        <v>39</v>
      </c>
      <c r="G7428" s="14">
        <v>17806.400000000001</v>
      </c>
      <c r="H7428" s="12" t="s">
        <v>22</v>
      </c>
      <c r="I7428" s="12">
        <v>1</v>
      </c>
      <c r="J7428" s="12" t="s">
        <v>39</v>
      </c>
      <c r="K7428" s="12" t="s">
        <v>23</v>
      </c>
      <c r="L7428" s="12">
        <v>1</v>
      </c>
      <c r="M7428" s="15">
        <v>195870</v>
      </c>
      <c r="N7428" s="15">
        <v>0</v>
      </c>
      <c r="O7428" s="15">
        <f t="shared" si="685"/>
        <v>195870</v>
      </c>
      <c r="P7428" s="15">
        <f t="shared" si="686"/>
        <v>10.999977536166771</v>
      </c>
      <c r="Q7428" s="14">
        <v>5000</v>
      </c>
      <c r="R7428" s="12">
        <v>100</v>
      </c>
      <c r="S7428" s="12" t="s">
        <v>9020</v>
      </c>
      <c r="T7428" s="22">
        <f t="shared" si="687"/>
        <v>10</v>
      </c>
      <c r="U7428" s="22">
        <f t="shared" si="688"/>
        <v>2023</v>
      </c>
      <c r="V7428" s="22" t="str">
        <f t="shared" si="689"/>
        <v>METROPOLITANA</v>
      </c>
    </row>
    <row r="7429" spans="1:22" x14ac:dyDescent="0.2">
      <c r="A7429" s="11" t="s">
        <v>9012</v>
      </c>
      <c r="B7429" s="12" t="s">
        <v>33</v>
      </c>
      <c r="C7429" s="12" t="s">
        <v>29</v>
      </c>
      <c r="D7429" s="12" t="s">
        <v>20</v>
      </c>
      <c r="E7429" s="13" t="s">
        <v>21</v>
      </c>
      <c r="F7429" s="12" t="s">
        <v>173</v>
      </c>
      <c r="G7429" s="14">
        <v>4012.1099999999992</v>
      </c>
      <c r="H7429" s="12" t="s">
        <v>22</v>
      </c>
      <c r="I7429" s="12">
        <v>0</v>
      </c>
      <c r="J7429" s="12" t="s">
        <v>173</v>
      </c>
      <c r="K7429" s="12" t="s">
        <v>23</v>
      </c>
      <c r="L7429" s="12">
        <v>5</v>
      </c>
      <c r="M7429" s="15">
        <v>112500</v>
      </c>
      <c r="N7429" s="15">
        <v>0</v>
      </c>
      <c r="O7429" s="15">
        <f t="shared" si="685"/>
        <v>112500</v>
      </c>
      <c r="P7429" s="15">
        <f t="shared" si="686"/>
        <v>28.040108571300394</v>
      </c>
      <c r="Q7429" s="14">
        <v>10000</v>
      </c>
      <c r="R7429" s="12">
        <v>40</v>
      </c>
      <c r="S7429" s="12" t="s">
        <v>9021</v>
      </c>
      <c r="T7429" s="22">
        <f t="shared" si="687"/>
        <v>10</v>
      </c>
      <c r="U7429" s="22">
        <f t="shared" si="688"/>
        <v>2023</v>
      </c>
      <c r="V7429" s="22" t="str">
        <f t="shared" si="689"/>
        <v>METROPOLITANA</v>
      </c>
    </row>
    <row r="7430" spans="1:22" x14ac:dyDescent="0.2">
      <c r="A7430" s="11" t="s">
        <v>9012</v>
      </c>
      <c r="B7430" s="12" t="s">
        <v>33</v>
      </c>
      <c r="C7430" s="12" t="s">
        <v>29</v>
      </c>
      <c r="D7430" s="12" t="s">
        <v>20</v>
      </c>
      <c r="E7430" s="13" t="s">
        <v>21</v>
      </c>
      <c r="F7430" s="12" t="s">
        <v>129</v>
      </c>
      <c r="G7430" s="14">
        <v>4690</v>
      </c>
      <c r="H7430" s="12" t="s">
        <v>22</v>
      </c>
      <c r="I7430" s="12">
        <v>0</v>
      </c>
      <c r="J7430" s="12" t="s">
        <v>129</v>
      </c>
      <c r="K7430" s="12" t="s">
        <v>23</v>
      </c>
      <c r="L7430" s="12">
        <v>1</v>
      </c>
      <c r="M7430" s="15">
        <v>69173</v>
      </c>
      <c r="N7430" s="15">
        <v>0</v>
      </c>
      <c r="O7430" s="15">
        <f t="shared" si="685"/>
        <v>69173</v>
      </c>
      <c r="P7430" s="15">
        <f t="shared" si="686"/>
        <v>14.749040511727079</v>
      </c>
      <c r="Q7430" s="14">
        <v>5000</v>
      </c>
      <c r="R7430" s="12">
        <v>94</v>
      </c>
      <c r="S7430" s="12" t="s">
        <v>9022</v>
      </c>
      <c r="T7430" s="22">
        <f t="shared" si="687"/>
        <v>10</v>
      </c>
      <c r="U7430" s="22">
        <f t="shared" si="688"/>
        <v>2023</v>
      </c>
      <c r="V7430" s="22" t="str">
        <f t="shared" si="689"/>
        <v>METROPOLITANA</v>
      </c>
    </row>
    <row r="7431" spans="1:22" x14ac:dyDescent="0.2">
      <c r="A7431" s="11" t="s">
        <v>9012</v>
      </c>
      <c r="B7431" s="12" t="s">
        <v>33</v>
      </c>
      <c r="C7431" s="12" t="s">
        <v>5573</v>
      </c>
      <c r="D7431" s="12" t="s">
        <v>7075</v>
      </c>
      <c r="E7431" s="13" t="s">
        <v>7076</v>
      </c>
      <c r="F7431" s="12" t="s">
        <v>129</v>
      </c>
      <c r="G7431" s="14">
        <v>18300</v>
      </c>
      <c r="H7431" s="12" t="s">
        <v>24</v>
      </c>
      <c r="I7431" s="12">
        <v>1</v>
      </c>
      <c r="J7431" s="12" t="s">
        <v>129</v>
      </c>
      <c r="K7431" s="12" t="s">
        <v>23</v>
      </c>
      <c r="L7431" s="12">
        <v>1</v>
      </c>
      <c r="M7431" s="15">
        <v>201300</v>
      </c>
      <c r="N7431" s="15">
        <v>0</v>
      </c>
      <c r="O7431" s="15">
        <f t="shared" si="685"/>
        <v>201300</v>
      </c>
      <c r="P7431" s="15">
        <f t="shared" si="686"/>
        <v>11</v>
      </c>
      <c r="Q7431" s="14">
        <v>5000</v>
      </c>
      <c r="R7431" s="12">
        <v>100</v>
      </c>
      <c r="S7431" s="12" t="s">
        <v>9023</v>
      </c>
      <c r="T7431" s="22">
        <f t="shared" si="687"/>
        <v>10</v>
      </c>
      <c r="U7431" s="22">
        <f t="shared" si="688"/>
        <v>2023</v>
      </c>
      <c r="V7431" s="22" t="str">
        <f t="shared" si="689"/>
        <v>METROPOLITANA</v>
      </c>
    </row>
    <row r="7432" spans="1:22" x14ac:dyDescent="0.2">
      <c r="A7432" s="11" t="s">
        <v>9012</v>
      </c>
      <c r="B7432" s="12" t="s">
        <v>33</v>
      </c>
      <c r="C7432" s="12" t="s">
        <v>44</v>
      </c>
      <c r="D7432" s="12" t="s">
        <v>8580</v>
      </c>
      <c r="E7432" s="13" t="s">
        <v>8619</v>
      </c>
      <c r="F7432" s="12" t="s">
        <v>229</v>
      </c>
      <c r="G7432" s="14">
        <v>2506.88</v>
      </c>
      <c r="H7432" s="12" t="s">
        <v>24</v>
      </c>
      <c r="I7432" s="12">
        <v>1</v>
      </c>
      <c r="J7432" s="12" t="s">
        <v>230</v>
      </c>
      <c r="K7432" s="12" t="s">
        <v>23</v>
      </c>
      <c r="L7432" s="12">
        <v>4</v>
      </c>
      <c r="M7432" s="15">
        <v>69173</v>
      </c>
      <c r="N7432" s="15">
        <v>0</v>
      </c>
      <c r="O7432" s="15">
        <f t="shared" si="685"/>
        <v>69173</v>
      </c>
      <c r="P7432" s="15">
        <f t="shared" si="686"/>
        <v>27.593263339290271</v>
      </c>
      <c r="Q7432" s="14">
        <v>5000</v>
      </c>
      <c r="R7432" s="12">
        <v>50</v>
      </c>
      <c r="S7432" s="12" t="s">
        <v>9024</v>
      </c>
      <c r="T7432" s="22">
        <f t="shared" si="687"/>
        <v>10</v>
      </c>
      <c r="U7432" s="22">
        <f t="shared" si="688"/>
        <v>2023</v>
      </c>
      <c r="V7432" s="22" t="str">
        <f t="shared" si="689"/>
        <v>METROPOLITANA</v>
      </c>
    </row>
    <row r="7433" spans="1:22" x14ac:dyDescent="0.2">
      <c r="A7433" s="11" t="s">
        <v>9012</v>
      </c>
      <c r="B7433" s="12" t="s">
        <v>33</v>
      </c>
      <c r="C7433" s="12" t="s">
        <v>44</v>
      </c>
      <c r="D7433" s="12" t="s">
        <v>8219</v>
      </c>
      <c r="E7433" s="13" t="s">
        <v>8220</v>
      </c>
      <c r="F7433" s="12" t="s">
        <v>94</v>
      </c>
      <c r="G7433" s="14">
        <v>7477</v>
      </c>
      <c r="H7433" s="12" t="s">
        <v>24</v>
      </c>
      <c r="I7433" s="12">
        <v>1</v>
      </c>
      <c r="J7433" s="12" t="s">
        <v>59</v>
      </c>
      <c r="K7433" s="12" t="s">
        <v>78</v>
      </c>
      <c r="L7433" s="12">
        <v>0</v>
      </c>
      <c r="M7433" s="15">
        <v>300000</v>
      </c>
      <c r="N7433" s="15">
        <v>0</v>
      </c>
      <c r="O7433" s="15">
        <f t="shared" si="685"/>
        <v>300000</v>
      </c>
      <c r="P7433" s="15">
        <f t="shared" si="686"/>
        <v>40.123044001604924</v>
      </c>
      <c r="Q7433" s="14">
        <v>14000</v>
      </c>
      <c r="R7433" s="12">
        <v>53</v>
      </c>
      <c r="S7433" s="12" t="s">
        <v>9025</v>
      </c>
      <c r="T7433" s="22">
        <f t="shared" si="687"/>
        <v>10</v>
      </c>
      <c r="U7433" s="22">
        <f t="shared" si="688"/>
        <v>2023</v>
      </c>
      <c r="V7433" s="22" t="str">
        <f t="shared" si="689"/>
        <v>REGIONES</v>
      </c>
    </row>
    <row r="7434" spans="1:22" x14ac:dyDescent="0.2">
      <c r="A7434" s="11" t="s">
        <v>9012</v>
      </c>
      <c r="B7434" s="12" t="s">
        <v>33</v>
      </c>
      <c r="C7434" s="12" t="s">
        <v>4802</v>
      </c>
      <c r="D7434" s="12" t="s">
        <v>7012</v>
      </c>
      <c r="E7434" s="13" t="s">
        <v>6760</v>
      </c>
      <c r="F7434" s="12" t="s">
        <v>815</v>
      </c>
      <c r="G7434" s="14">
        <v>8502</v>
      </c>
      <c r="H7434" s="12" t="s">
        <v>24</v>
      </c>
      <c r="I7434" s="12">
        <v>1</v>
      </c>
      <c r="J7434" s="12" t="s">
        <v>815</v>
      </c>
      <c r="K7434" s="12" t="s">
        <v>75</v>
      </c>
      <c r="L7434" s="12">
        <v>0</v>
      </c>
      <c r="M7434" s="15">
        <v>528000</v>
      </c>
      <c r="N7434" s="15">
        <v>0</v>
      </c>
      <c r="O7434" s="15">
        <f t="shared" si="685"/>
        <v>528000</v>
      </c>
      <c r="P7434" s="15">
        <f t="shared" si="686"/>
        <v>62.1030345800988</v>
      </c>
      <c r="Q7434" s="14">
        <v>14000</v>
      </c>
      <c r="R7434" s="12">
        <v>61</v>
      </c>
      <c r="S7434" s="12" t="s">
        <v>9026</v>
      </c>
      <c r="T7434" s="22">
        <f t="shared" si="687"/>
        <v>10</v>
      </c>
      <c r="U7434" s="22">
        <f t="shared" si="688"/>
        <v>2023</v>
      </c>
      <c r="V7434" s="22" t="str">
        <f t="shared" si="689"/>
        <v>REGIONES</v>
      </c>
    </row>
    <row r="7435" spans="1:22" x14ac:dyDescent="0.2">
      <c r="A7435" s="23" t="s">
        <v>9027</v>
      </c>
      <c r="B7435" s="22" t="s">
        <v>18</v>
      </c>
      <c r="C7435" s="22" t="s">
        <v>57</v>
      </c>
      <c r="D7435" s="22" t="s">
        <v>38</v>
      </c>
      <c r="E7435" s="24">
        <v>125108660</v>
      </c>
      <c r="F7435" s="22" t="s">
        <v>51</v>
      </c>
      <c r="G7435" s="25">
        <v>1393.95</v>
      </c>
      <c r="H7435" s="22" t="s">
        <v>43</v>
      </c>
      <c r="I7435" s="22">
        <v>0</v>
      </c>
      <c r="J7435" s="22" t="s">
        <v>51</v>
      </c>
      <c r="K7435" s="22" t="s">
        <v>23</v>
      </c>
      <c r="L7435" s="22">
        <v>4</v>
      </c>
      <c r="M7435" s="26">
        <v>69173</v>
      </c>
      <c r="N7435" s="26">
        <v>0</v>
      </c>
      <c r="O7435" s="15">
        <f t="shared" ref="O7435:O7440" si="690">SUM(M7435:N7435)</f>
        <v>69173</v>
      </c>
      <c r="P7435" s="15">
        <f t="shared" ref="P7435:P7440" si="691">O7435/G7435</f>
        <v>49.623731123784928</v>
      </c>
      <c r="Q7435" s="25">
        <v>5000</v>
      </c>
      <c r="R7435" s="22">
        <v>28</v>
      </c>
      <c r="S7435" s="22" t="s">
        <v>9028</v>
      </c>
      <c r="T7435" s="22">
        <f t="shared" si="687"/>
        <v>10</v>
      </c>
      <c r="U7435" s="22">
        <f t="shared" si="688"/>
        <v>2023</v>
      </c>
      <c r="V7435" s="22" t="str">
        <f t="shared" si="689"/>
        <v>METROPOLITANA</v>
      </c>
    </row>
    <row r="7436" spans="1:22" x14ac:dyDescent="0.2">
      <c r="A7436" s="23" t="s">
        <v>9027</v>
      </c>
      <c r="B7436" s="22" t="s">
        <v>33</v>
      </c>
      <c r="C7436" s="22" t="s">
        <v>29</v>
      </c>
      <c r="D7436" s="22" t="s">
        <v>37</v>
      </c>
      <c r="E7436" s="24">
        <v>81417709</v>
      </c>
      <c r="F7436" s="22" t="s">
        <v>134</v>
      </c>
      <c r="G7436" s="25">
        <v>10553.6</v>
      </c>
      <c r="H7436" s="22" t="s">
        <v>22</v>
      </c>
      <c r="I7436" s="22">
        <v>0</v>
      </c>
      <c r="J7436" s="22" t="s">
        <v>134</v>
      </c>
      <c r="K7436" s="22" t="s">
        <v>23</v>
      </c>
      <c r="L7436" s="22">
        <v>2</v>
      </c>
      <c r="M7436" s="26">
        <v>116090</v>
      </c>
      <c r="N7436" s="26">
        <v>0</v>
      </c>
      <c r="O7436" s="15">
        <f t="shared" si="690"/>
        <v>116090</v>
      </c>
      <c r="P7436" s="15">
        <f t="shared" si="691"/>
        <v>11.000037901758642</v>
      </c>
      <c r="Q7436" s="25">
        <v>5000</v>
      </c>
      <c r="R7436" s="22">
        <v>100</v>
      </c>
      <c r="S7436" s="22" t="s">
        <v>9029</v>
      </c>
      <c r="T7436" s="22">
        <f t="shared" si="687"/>
        <v>10</v>
      </c>
      <c r="U7436" s="22">
        <f t="shared" si="688"/>
        <v>2023</v>
      </c>
      <c r="V7436" s="22" t="str">
        <f t="shared" si="689"/>
        <v>METROPOLITANA</v>
      </c>
    </row>
    <row r="7437" spans="1:22" x14ac:dyDescent="0.2">
      <c r="A7437" s="23" t="s">
        <v>9027</v>
      </c>
      <c r="B7437" s="22" t="s">
        <v>33</v>
      </c>
      <c r="C7437" s="22" t="s">
        <v>44</v>
      </c>
      <c r="D7437" s="22" t="s">
        <v>7086</v>
      </c>
      <c r="E7437" s="24">
        <v>116995093</v>
      </c>
      <c r="F7437" s="22" t="s">
        <v>815</v>
      </c>
      <c r="G7437" s="25">
        <v>7872.0000000000027</v>
      </c>
      <c r="H7437" s="22" t="s">
        <v>24</v>
      </c>
      <c r="I7437" s="22">
        <v>1</v>
      </c>
      <c r="J7437" s="22" t="s">
        <v>815</v>
      </c>
      <c r="K7437" s="22" t="s">
        <v>75</v>
      </c>
      <c r="L7437" s="22">
        <v>0</v>
      </c>
      <c r="M7437" s="26">
        <v>528000</v>
      </c>
      <c r="N7437" s="26">
        <v>0</v>
      </c>
      <c r="O7437" s="15">
        <f t="shared" si="690"/>
        <v>528000</v>
      </c>
      <c r="P7437" s="15">
        <f t="shared" si="691"/>
        <v>67.073170731707293</v>
      </c>
      <c r="Q7437" s="25">
        <v>14000</v>
      </c>
      <c r="R7437" s="22">
        <v>56</v>
      </c>
      <c r="S7437" s="22" t="s">
        <v>9030</v>
      </c>
      <c r="T7437" s="22">
        <f t="shared" si="687"/>
        <v>10</v>
      </c>
      <c r="U7437" s="22">
        <f t="shared" si="688"/>
        <v>2023</v>
      </c>
      <c r="V7437" s="22" t="str">
        <f t="shared" si="689"/>
        <v>REGIONES</v>
      </c>
    </row>
    <row r="7438" spans="1:22" x14ac:dyDescent="0.2">
      <c r="A7438" s="23" t="s">
        <v>9027</v>
      </c>
      <c r="B7438" s="22" t="s">
        <v>33</v>
      </c>
      <c r="C7438" s="22" t="s">
        <v>44</v>
      </c>
      <c r="D7438" s="22" t="s">
        <v>45</v>
      </c>
      <c r="E7438" s="24">
        <v>107643206</v>
      </c>
      <c r="F7438" s="22" t="s">
        <v>48</v>
      </c>
      <c r="G7438" s="25">
        <v>2965.4499999999989</v>
      </c>
      <c r="H7438" s="22" t="s">
        <v>22</v>
      </c>
      <c r="I7438" s="22">
        <v>0</v>
      </c>
      <c r="J7438" s="22" t="s">
        <v>48</v>
      </c>
      <c r="K7438" s="22" t="s">
        <v>23</v>
      </c>
      <c r="L7438" s="22">
        <v>1</v>
      </c>
      <c r="M7438" s="26">
        <v>69173</v>
      </c>
      <c r="N7438" s="26">
        <v>0</v>
      </c>
      <c r="O7438" s="15">
        <f t="shared" si="690"/>
        <v>69173</v>
      </c>
      <c r="P7438" s="15">
        <f t="shared" si="691"/>
        <v>23.326307980239097</v>
      </c>
      <c r="Q7438" s="25">
        <v>5000</v>
      </c>
      <c r="R7438" s="22">
        <v>59</v>
      </c>
      <c r="S7438" s="22" t="s">
        <v>9031</v>
      </c>
      <c r="T7438" s="22">
        <f t="shared" si="687"/>
        <v>10</v>
      </c>
      <c r="U7438" s="22">
        <f t="shared" si="688"/>
        <v>2023</v>
      </c>
      <c r="V7438" s="22" t="str">
        <f t="shared" si="689"/>
        <v>METROPOLITANA</v>
      </c>
    </row>
    <row r="7439" spans="1:22" x14ac:dyDescent="0.2">
      <c r="A7439" s="23" t="s">
        <v>9027</v>
      </c>
      <c r="B7439" s="22" t="s">
        <v>33</v>
      </c>
      <c r="C7439" s="22" t="s">
        <v>44</v>
      </c>
      <c r="D7439" s="22" t="s">
        <v>35</v>
      </c>
      <c r="E7439" s="24">
        <v>99626232</v>
      </c>
      <c r="F7439" s="22" t="s">
        <v>34</v>
      </c>
      <c r="G7439" s="25">
        <v>2505.5</v>
      </c>
      <c r="H7439" s="22" t="s">
        <v>22</v>
      </c>
      <c r="I7439" s="22">
        <v>0</v>
      </c>
      <c r="J7439" s="22" t="s">
        <v>34</v>
      </c>
      <c r="K7439" s="22" t="s">
        <v>23</v>
      </c>
      <c r="L7439" s="22">
        <v>1</v>
      </c>
      <c r="M7439" s="26">
        <v>69173</v>
      </c>
      <c r="N7439" s="26">
        <v>0</v>
      </c>
      <c r="O7439" s="15">
        <f t="shared" si="690"/>
        <v>69173</v>
      </c>
      <c r="P7439" s="15">
        <f t="shared" si="691"/>
        <v>27.608461384953102</v>
      </c>
      <c r="Q7439" s="25">
        <v>5000</v>
      </c>
      <c r="R7439" s="22">
        <v>50</v>
      </c>
      <c r="S7439" s="22" t="s">
        <v>9032</v>
      </c>
      <c r="T7439" s="22">
        <f t="shared" si="687"/>
        <v>10</v>
      </c>
      <c r="U7439" s="22">
        <f t="shared" si="688"/>
        <v>2023</v>
      </c>
      <c r="V7439" s="22" t="str">
        <f t="shared" si="689"/>
        <v>METROPOLITANA</v>
      </c>
    </row>
    <row r="7440" spans="1:22" x14ac:dyDescent="0.2">
      <c r="A7440" s="23" t="s">
        <v>9027</v>
      </c>
      <c r="B7440" s="22" t="s">
        <v>33</v>
      </c>
      <c r="C7440" s="22" t="s">
        <v>44</v>
      </c>
      <c r="D7440" s="22" t="s">
        <v>4733</v>
      </c>
      <c r="E7440" s="24">
        <v>93321006</v>
      </c>
      <c r="F7440" s="22" t="s">
        <v>114</v>
      </c>
      <c r="G7440" s="25">
        <v>8911.7000000000007</v>
      </c>
      <c r="H7440" s="22" t="s">
        <v>24</v>
      </c>
      <c r="I7440" s="22">
        <v>1</v>
      </c>
      <c r="J7440" s="22" t="s">
        <v>114</v>
      </c>
      <c r="K7440" s="22" t="s">
        <v>75</v>
      </c>
      <c r="L7440" s="22">
        <v>0</v>
      </c>
      <c r="M7440" s="26">
        <v>528000</v>
      </c>
      <c r="N7440" s="26">
        <v>0</v>
      </c>
      <c r="O7440" s="15">
        <f t="shared" si="690"/>
        <v>528000</v>
      </c>
      <c r="P7440" s="15">
        <f t="shared" si="691"/>
        <v>59.247954935646391</v>
      </c>
      <c r="Q7440" s="25">
        <v>14000</v>
      </c>
      <c r="R7440" s="22">
        <v>64</v>
      </c>
      <c r="S7440" s="22" t="s">
        <v>9033</v>
      </c>
      <c r="T7440" s="22">
        <f t="shared" si="687"/>
        <v>10</v>
      </c>
      <c r="U7440" s="22">
        <f t="shared" si="688"/>
        <v>2023</v>
      </c>
      <c r="V7440" s="22" t="str">
        <f t="shared" si="689"/>
        <v>REGIONES</v>
      </c>
    </row>
    <row r="7441" spans="1:22" x14ac:dyDescent="0.2">
      <c r="A7441" s="11" t="s">
        <v>9034</v>
      </c>
      <c r="B7441" s="12" t="s">
        <v>18</v>
      </c>
      <c r="C7441" s="12" t="s">
        <v>457</v>
      </c>
      <c r="D7441" s="12" t="s">
        <v>8808</v>
      </c>
      <c r="E7441" s="13">
        <v>124860342</v>
      </c>
      <c r="F7441" s="12" t="s">
        <v>815</v>
      </c>
      <c r="G7441" s="14">
        <v>8000</v>
      </c>
      <c r="H7441" s="12" t="s">
        <v>24</v>
      </c>
      <c r="I7441" s="12">
        <v>1</v>
      </c>
      <c r="J7441" s="12" t="s">
        <v>815</v>
      </c>
      <c r="K7441" s="12" t="s">
        <v>75</v>
      </c>
      <c r="L7441" s="12">
        <v>0</v>
      </c>
      <c r="M7441" s="15">
        <v>528000</v>
      </c>
      <c r="N7441" s="15">
        <v>0</v>
      </c>
      <c r="O7441" s="15">
        <f t="shared" ref="O7441:O7447" si="692">SUM(M7441:N7441)</f>
        <v>528000</v>
      </c>
      <c r="P7441" s="15">
        <f t="shared" ref="P7441:P7447" si="693">O7441/G7441</f>
        <v>66</v>
      </c>
      <c r="Q7441" s="14">
        <v>14000</v>
      </c>
      <c r="R7441" s="12">
        <v>80</v>
      </c>
      <c r="S7441" s="12" t="s">
        <v>9042</v>
      </c>
      <c r="T7441" s="22">
        <f t="shared" si="687"/>
        <v>10</v>
      </c>
      <c r="U7441" s="22">
        <f t="shared" si="688"/>
        <v>2023</v>
      </c>
      <c r="V7441" s="22" t="str">
        <f t="shared" si="689"/>
        <v>REGIONES</v>
      </c>
    </row>
    <row r="7442" spans="1:22" x14ac:dyDescent="0.2">
      <c r="A7442" s="11" t="s">
        <v>9034</v>
      </c>
      <c r="B7442" s="12" t="s">
        <v>33</v>
      </c>
      <c r="C7442" s="12" t="s">
        <v>29</v>
      </c>
      <c r="D7442" s="12" t="s">
        <v>3641</v>
      </c>
      <c r="E7442" s="13">
        <v>100822326</v>
      </c>
      <c r="F7442" s="12" t="s">
        <v>132</v>
      </c>
      <c r="G7442" s="14">
        <v>13077.7</v>
      </c>
      <c r="H7442" s="12" t="s">
        <v>24</v>
      </c>
      <c r="I7442" s="12">
        <v>1</v>
      </c>
      <c r="J7442" s="12" t="s">
        <v>132</v>
      </c>
      <c r="K7442" s="12" t="s">
        <v>124</v>
      </c>
      <c r="L7442" s="12">
        <v>0</v>
      </c>
      <c r="M7442" s="15">
        <v>500000</v>
      </c>
      <c r="N7442" s="15">
        <v>0</v>
      </c>
      <c r="O7442" s="15">
        <f t="shared" si="692"/>
        <v>500000</v>
      </c>
      <c r="P7442" s="15">
        <f t="shared" si="693"/>
        <v>38.233022626302791</v>
      </c>
      <c r="Q7442" s="14">
        <v>14000</v>
      </c>
      <c r="R7442" s="12">
        <v>93</v>
      </c>
      <c r="S7442" s="12" t="s">
        <v>9035</v>
      </c>
      <c r="T7442" s="22">
        <f t="shared" si="687"/>
        <v>10</v>
      </c>
      <c r="U7442" s="22">
        <f t="shared" si="688"/>
        <v>2023</v>
      </c>
      <c r="V7442" s="22" t="str">
        <f t="shared" si="689"/>
        <v>REGIONES</v>
      </c>
    </row>
    <row r="7443" spans="1:22" x14ac:dyDescent="0.2">
      <c r="A7443" s="11" t="s">
        <v>9034</v>
      </c>
      <c r="B7443" s="12" t="s">
        <v>33</v>
      </c>
      <c r="C7443" s="12" t="s">
        <v>29</v>
      </c>
      <c r="D7443" s="12" t="s">
        <v>8219</v>
      </c>
      <c r="E7443" s="13">
        <v>73835526</v>
      </c>
      <c r="F7443" s="12" t="s">
        <v>39</v>
      </c>
      <c r="G7443" s="14">
        <v>8000</v>
      </c>
      <c r="H7443" s="12" t="s">
        <v>24</v>
      </c>
      <c r="I7443" s="12">
        <v>1</v>
      </c>
      <c r="J7443" s="12" t="s">
        <v>39</v>
      </c>
      <c r="K7443" s="12" t="s">
        <v>23</v>
      </c>
      <c r="L7443" s="12">
        <v>1</v>
      </c>
      <c r="M7443" s="15">
        <v>77206</v>
      </c>
      <c r="N7443" s="15">
        <v>0</v>
      </c>
      <c r="O7443" s="15">
        <f t="shared" si="692"/>
        <v>77206</v>
      </c>
      <c r="P7443" s="15">
        <f t="shared" si="693"/>
        <v>9.6507500000000004</v>
      </c>
      <c r="Q7443" s="14">
        <v>5000</v>
      </c>
      <c r="R7443" s="12">
        <v>100</v>
      </c>
      <c r="S7443" s="12" t="s">
        <v>9036</v>
      </c>
      <c r="T7443" s="22">
        <f t="shared" si="687"/>
        <v>10</v>
      </c>
      <c r="U7443" s="22">
        <f t="shared" si="688"/>
        <v>2023</v>
      </c>
      <c r="V7443" s="22" t="str">
        <f t="shared" si="689"/>
        <v>METROPOLITANA</v>
      </c>
    </row>
    <row r="7444" spans="1:22" x14ac:dyDescent="0.2">
      <c r="A7444" s="11" t="s">
        <v>9034</v>
      </c>
      <c r="B7444" s="12" t="s">
        <v>33</v>
      </c>
      <c r="C7444" s="12" t="s">
        <v>29</v>
      </c>
      <c r="D7444" s="12" t="s">
        <v>164</v>
      </c>
      <c r="E7444" s="13">
        <v>154837728</v>
      </c>
      <c r="F7444" s="12" t="s">
        <v>39</v>
      </c>
      <c r="G7444" s="14">
        <v>19208.060000000001</v>
      </c>
      <c r="H7444" s="12" t="s">
        <v>22</v>
      </c>
      <c r="I7444" s="12">
        <v>1</v>
      </c>
      <c r="J7444" s="12" t="s">
        <v>39</v>
      </c>
      <c r="K7444" s="12" t="s">
        <v>23</v>
      </c>
      <c r="L7444" s="12">
        <v>1</v>
      </c>
      <c r="M7444" s="15">
        <v>211289</v>
      </c>
      <c r="N7444" s="15">
        <v>0</v>
      </c>
      <c r="O7444" s="15">
        <f t="shared" si="692"/>
        <v>211289</v>
      </c>
      <c r="P7444" s="15">
        <f t="shared" si="693"/>
        <v>11.000017700902641</v>
      </c>
      <c r="Q7444" s="14">
        <v>5000</v>
      </c>
      <c r="R7444" s="12">
        <v>100</v>
      </c>
      <c r="S7444" s="12" t="s">
        <v>9037</v>
      </c>
      <c r="T7444" s="22">
        <f t="shared" si="687"/>
        <v>10</v>
      </c>
      <c r="U7444" s="22">
        <f t="shared" si="688"/>
        <v>2023</v>
      </c>
      <c r="V7444" s="22" t="str">
        <f t="shared" si="689"/>
        <v>METROPOLITANA</v>
      </c>
    </row>
    <row r="7445" spans="1:22" x14ac:dyDescent="0.2">
      <c r="A7445" s="11" t="s">
        <v>9034</v>
      </c>
      <c r="B7445" s="12" t="s">
        <v>33</v>
      </c>
      <c r="C7445" s="12" t="s">
        <v>44</v>
      </c>
      <c r="D7445" s="12" t="s">
        <v>9038</v>
      </c>
      <c r="E7445" s="13">
        <v>276547747</v>
      </c>
      <c r="F7445" s="12" t="s">
        <v>95</v>
      </c>
      <c r="G7445" s="14">
        <v>2588.6</v>
      </c>
      <c r="H7445" s="12" t="s">
        <v>24</v>
      </c>
      <c r="I7445" s="12">
        <v>1</v>
      </c>
      <c r="J7445" s="12" t="s">
        <v>95</v>
      </c>
      <c r="K7445" s="12" t="s">
        <v>23</v>
      </c>
      <c r="L7445" s="12">
        <v>4</v>
      </c>
      <c r="M7445" s="15">
        <v>69173</v>
      </c>
      <c r="N7445" s="15">
        <v>0</v>
      </c>
      <c r="O7445" s="15">
        <f t="shared" si="692"/>
        <v>69173</v>
      </c>
      <c r="P7445" s="15">
        <f t="shared" si="693"/>
        <v>26.722166422004172</v>
      </c>
      <c r="Q7445" s="14">
        <v>5000</v>
      </c>
      <c r="R7445" s="12">
        <v>52</v>
      </c>
      <c r="S7445" s="12" t="s">
        <v>9039</v>
      </c>
      <c r="T7445" s="22">
        <f t="shared" si="687"/>
        <v>10</v>
      </c>
      <c r="U7445" s="22">
        <f t="shared" si="688"/>
        <v>2023</v>
      </c>
      <c r="V7445" s="22" t="str">
        <f t="shared" si="689"/>
        <v>METROPOLITANA</v>
      </c>
    </row>
    <row r="7446" spans="1:22" x14ac:dyDescent="0.2">
      <c r="A7446" s="11" t="s">
        <v>9034</v>
      </c>
      <c r="B7446" s="12" t="s">
        <v>33</v>
      </c>
      <c r="C7446" s="12" t="s">
        <v>44</v>
      </c>
      <c r="D7446" s="12" t="s">
        <v>7089</v>
      </c>
      <c r="E7446" s="13">
        <v>160374632</v>
      </c>
      <c r="F7446" s="12" t="s">
        <v>84</v>
      </c>
      <c r="G7446" s="14">
        <v>6000</v>
      </c>
      <c r="H7446" s="12" t="s">
        <v>24</v>
      </c>
      <c r="I7446" s="12">
        <v>1</v>
      </c>
      <c r="J7446" s="12" t="s">
        <v>84</v>
      </c>
      <c r="K7446" s="12" t="s">
        <v>86</v>
      </c>
      <c r="L7446" s="12">
        <v>0</v>
      </c>
      <c r="M7446" s="15">
        <v>402000</v>
      </c>
      <c r="N7446" s="15">
        <v>0</v>
      </c>
      <c r="O7446" s="15">
        <f t="shared" si="692"/>
        <v>402000</v>
      </c>
      <c r="P7446" s="15">
        <f t="shared" si="693"/>
        <v>67</v>
      </c>
      <c r="Q7446" s="14">
        <v>14000</v>
      </c>
      <c r="R7446" s="12">
        <v>80</v>
      </c>
      <c r="S7446" s="12" t="s">
        <v>9040</v>
      </c>
      <c r="T7446" s="22">
        <f t="shared" si="687"/>
        <v>10</v>
      </c>
      <c r="U7446" s="22">
        <f t="shared" si="688"/>
        <v>2023</v>
      </c>
      <c r="V7446" s="22" t="str">
        <f t="shared" si="689"/>
        <v>REGIONES</v>
      </c>
    </row>
    <row r="7447" spans="1:22" x14ac:dyDescent="0.2">
      <c r="A7447" s="11" t="s">
        <v>9034</v>
      </c>
      <c r="B7447" s="12" t="s">
        <v>33</v>
      </c>
      <c r="C7447" s="12" t="s">
        <v>44</v>
      </c>
      <c r="D7447" s="12" t="s">
        <v>35</v>
      </c>
      <c r="E7447" s="13">
        <v>99626232</v>
      </c>
      <c r="F7447" s="12" t="s">
        <v>95</v>
      </c>
      <c r="G7447" s="14">
        <v>3556.6200000000008</v>
      </c>
      <c r="H7447" s="12" t="s">
        <v>22</v>
      </c>
      <c r="I7447" s="12">
        <v>0</v>
      </c>
      <c r="J7447" s="12" t="s">
        <v>95</v>
      </c>
      <c r="K7447" s="12" t="s">
        <v>23</v>
      </c>
      <c r="L7447" s="12">
        <v>4</v>
      </c>
      <c r="M7447" s="15">
        <v>69173</v>
      </c>
      <c r="N7447" s="15">
        <v>0</v>
      </c>
      <c r="O7447" s="15">
        <f t="shared" si="692"/>
        <v>69173</v>
      </c>
      <c r="P7447" s="15">
        <f t="shared" si="693"/>
        <v>19.449083680573125</v>
      </c>
      <c r="Q7447" s="14">
        <v>5000</v>
      </c>
      <c r="R7447" s="12">
        <v>71</v>
      </c>
      <c r="S7447" s="12" t="s">
        <v>9041</v>
      </c>
      <c r="T7447" s="22">
        <f t="shared" si="687"/>
        <v>10</v>
      </c>
      <c r="U7447" s="22">
        <f t="shared" si="688"/>
        <v>2023</v>
      </c>
      <c r="V7447" s="22" t="str">
        <f t="shared" si="689"/>
        <v>METROPOLITANA</v>
      </c>
    </row>
    <row r="7448" spans="1:22" x14ac:dyDescent="0.2">
      <c r="A7448" s="23" t="s">
        <v>9043</v>
      </c>
      <c r="B7448" s="22" t="s">
        <v>18</v>
      </c>
      <c r="C7448" s="22" t="s">
        <v>457</v>
      </c>
      <c r="D7448" s="22" t="s">
        <v>8988</v>
      </c>
      <c r="E7448" s="24">
        <v>70866846</v>
      </c>
      <c r="F7448" s="22" t="s">
        <v>132</v>
      </c>
      <c r="G7448" s="25">
        <v>10537.94</v>
      </c>
      <c r="H7448" s="22" t="s">
        <v>24</v>
      </c>
      <c r="I7448" s="22">
        <v>1</v>
      </c>
      <c r="J7448" s="22" t="s">
        <v>132</v>
      </c>
      <c r="K7448" s="22" t="s">
        <v>124</v>
      </c>
      <c r="L7448" s="22">
        <v>0</v>
      </c>
      <c r="M7448" s="26">
        <v>500000</v>
      </c>
      <c r="N7448" s="26">
        <v>0</v>
      </c>
      <c r="O7448" s="15">
        <f t="shared" ref="O7448:O7455" si="694">SUM(M7448:N7448)</f>
        <v>500000</v>
      </c>
      <c r="P7448" s="15">
        <f t="shared" ref="P7448:P7455" si="695">O7448/G7448</f>
        <v>47.447603611332006</v>
      </c>
      <c r="Q7448" s="25">
        <v>14000</v>
      </c>
      <c r="R7448" s="22">
        <v>75</v>
      </c>
      <c r="S7448" s="22" t="s">
        <v>9044</v>
      </c>
      <c r="T7448" s="22">
        <f t="shared" si="687"/>
        <v>10</v>
      </c>
      <c r="U7448" s="22">
        <f t="shared" si="688"/>
        <v>2023</v>
      </c>
      <c r="V7448" s="22" t="str">
        <f t="shared" si="689"/>
        <v>REGIONES</v>
      </c>
    </row>
    <row r="7449" spans="1:22" x14ac:dyDescent="0.2">
      <c r="A7449" s="23" t="s">
        <v>9043</v>
      </c>
      <c r="B7449" s="22" t="s">
        <v>18</v>
      </c>
      <c r="C7449" s="22" t="s">
        <v>29</v>
      </c>
      <c r="D7449" s="22" t="s">
        <v>6221</v>
      </c>
      <c r="E7449" s="24">
        <v>170846392</v>
      </c>
      <c r="F7449" s="22" t="s">
        <v>305</v>
      </c>
      <c r="G7449" s="25">
        <v>26801.319999999989</v>
      </c>
      <c r="H7449" s="22" t="s">
        <v>24</v>
      </c>
      <c r="I7449" s="22">
        <v>1</v>
      </c>
      <c r="J7449" s="22" t="s">
        <v>305</v>
      </c>
      <c r="K7449" s="22" t="s">
        <v>306</v>
      </c>
      <c r="L7449" s="22">
        <v>0</v>
      </c>
      <c r="M7449" s="26">
        <v>2550000</v>
      </c>
      <c r="N7449" s="26">
        <v>0</v>
      </c>
      <c r="O7449" s="15">
        <f t="shared" si="694"/>
        <v>2550000</v>
      </c>
      <c r="P7449" s="15">
        <f t="shared" si="695"/>
        <v>95.144567506376589</v>
      </c>
      <c r="Q7449" s="25">
        <v>14000</v>
      </c>
      <c r="R7449" s="22">
        <v>100</v>
      </c>
      <c r="S7449" s="22" t="s">
        <v>9045</v>
      </c>
      <c r="T7449" s="22">
        <f t="shared" si="687"/>
        <v>10</v>
      </c>
      <c r="U7449" s="22">
        <f t="shared" si="688"/>
        <v>2023</v>
      </c>
      <c r="V7449" s="22" t="str">
        <f t="shared" si="689"/>
        <v>REGIONES</v>
      </c>
    </row>
    <row r="7450" spans="1:22" x14ac:dyDescent="0.2">
      <c r="A7450" s="23" t="s">
        <v>9043</v>
      </c>
      <c r="B7450" s="22" t="s">
        <v>33</v>
      </c>
      <c r="C7450" s="22" t="s">
        <v>57</v>
      </c>
      <c r="D7450" s="22" t="s">
        <v>20</v>
      </c>
      <c r="E7450" s="24">
        <v>78907355</v>
      </c>
      <c r="F7450" s="22" t="s">
        <v>51</v>
      </c>
      <c r="G7450" s="25">
        <v>5352.079999999999</v>
      </c>
      <c r="H7450" s="22" t="s">
        <v>22</v>
      </c>
      <c r="I7450" s="22">
        <v>0</v>
      </c>
      <c r="J7450" s="22" t="s">
        <v>51</v>
      </c>
      <c r="K7450" s="22" t="s">
        <v>23</v>
      </c>
      <c r="L7450" s="22">
        <v>4</v>
      </c>
      <c r="M7450" s="26">
        <v>58873</v>
      </c>
      <c r="N7450" s="26">
        <v>0</v>
      </c>
      <c r="O7450" s="15">
        <f t="shared" si="694"/>
        <v>58873</v>
      </c>
      <c r="P7450" s="15">
        <f t="shared" si="695"/>
        <v>11.00002242118952</v>
      </c>
      <c r="Q7450" s="25">
        <v>5000</v>
      </c>
      <c r="R7450" s="22">
        <v>100</v>
      </c>
      <c r="S7450" s="22" t="s">
        <v>9046</v>
      </c>
      <c r="T7450" s="22">
        <f t="shared" si="687"/>
        <v>10</v>
      </c>
      <c r="U7450" s="22">
        <f t="shared" si="688"/>
        <v>2023</v>
      </c>
      <c r="V7450" s="22" t="str">
        <f t="shared" si="689"/>
        <v>METROPOLITANA</v>
      </c>
    </row>
    <row r="7451" spans="1:22" x14ac:dyDescent="0.2">
      <c r="A7451" s="23" t="s">
        <v>9043</v>
      </c>
      <c r="B7451" s="22" t="s">
        <v>33</v>
      </c>
      <c r="C7451" s="22" t="s">
        <v>29</v>
      </c>
      <c r="D7451" s="22" t="s">
        <v>1869</v>
      </c>
      <c r="E7451" s="24">
        <v>125897258</v>
      </c>
      <c r="F7451" s="22" t="s">
        <v>132</v>
      </c>
      <c r="G7451" s="25">
        <v>22245.80000000001</v>
      </c>
      <c r="H7451" s="22" t="s">
        <v>24</v>
      </c>
      <c r="I7451" s="22">
        <v>1</v>
      </c>
      <c r="J7451" s="22" t="s">
        <v>132</v>
      </c>
      <c r="K7451" s="22" t="s">
        <v>124</v>
      </c>
      <c r="L7451" s="22">
        <v>0</v>
      </c>
      <c r="M7451" s="26">
        <v>500000</v>
      </c>
      <c r="N7451" s="26">
        <v>0</v>
      </c>
      <c r="O7451" s="15">
        <f t="shared" si="694"/>
        <v>500000</v>
      </c>
      <c r="P7451" s="15">
        <f t="shared" si="695"/>
        <v>22.476152801877198</v>
      </c>
      <c r="Q7451" s="25">
        <v>14000</v>
      </c>
      <c r="R7451" s="22">
        <v>100</v>
      </c>
      <c r="S7451" s="22" t="s">
        <v>9047</v>
      </c>
      <c r="T7451" s="22">
        <f t="shared" si="687"/>
        <v>10</v>
      </c>
      <c r="U7451" s="22">
        <f t="shared" si="688"/>
        <v>2023</v>
      </c>
      <c r="V7451" s="22" t="str">
        <f t="shared" si="689"/>
        <v>REGIONES</v>
      </c>
    </row>
    <row r="7452" spans="1:22" x14ac:dyDescent="0.2">
      <c r="A7452" s="23" t="s">
        <v>9043</v>
      </c>
      <c r="B7452" s="22" t="s">
        <v>33</v>
      </c>
      <c r="C7452" s="22" t="s">
        <v>29</v>
      </c>
      <c r="D7452" s="22" t="s">
        <v>9048</v>
      </c>
      <c r="E7452" s="24">
        <v>73835526</v>
      </c>
      <c r="F7452" s="22" t="s">
        <v>129</v>
      </c>
      <c r="G7452" s="25">
        <v>4321.8</v>
      </c>
      <c r="H7452" s="22" t="s">
        <v>24</v>
      </c>
      <c r="I7452" s="22">
        <v>1</v>
      </c>
      <c r="J7452" s="22" t="s">
        <v>129</v>
      </c>
      <c r="K7452" s="22" t="s">
        <v>23</v>
      </c>
      <c r="L7452" s="22">
        <v>1</v>
      </c>
      <c r="M7452" s="26">
        <v>69173</v>
      </c>
      <c r="N7452" s="26">
        <v>0</v>
      </c>
      <c r="O7452" s="15">
        <f t="shared" si="694"/>
        <v>69173</v>
      </c>
      <c r="P7452" s="15">
        <f t="shared" si="695"/>
        <v>16.005599518719052</v>
      </c>
      <c r="Q7452" s="25">
        <v>5000</v>
      </c>
      <c r="R7452" s="22">
        <v>86</v>
      </c>
      <c r="S7452" s="22" t="s">
        <v>9049</v>
      </c>
      <c r="T7452" s="22">
        <f t="shared" si="687"/>
        <v>10</v>
      </c>
      <c r="U7452" s="22">
        <f t="shared" si="688"/>
        <v>2023</v>
      </c>
      <c r="V7452" s="22" t="str">
        <f t="shared" si="689"/>
        <v>METROPOLITANA</v>
      </c>
    </row>
    <row r="7453" spans="1:22" x14ac:dyDescent="0.2">
      <c r="A7453" s="23" t="s">
        <v>9043</v>
      </c>
      <c r="B7453" s="22" t="s">
        <v>33</v>
      </c>
      <c r="C7453" s="22" t="s">
        <v>44</v>
      </c>
      <c r="D7453" s="22" t="s">
        <v>6989</v>
      </c>
      <c r="E7453" s="24">
        <v>172861164</v>
      </c>
      <c r="F7453" s="22" t="s">
        <v>84</v>
      </c>
      <c r="G7453" s="25">
        <f>6820.71+3080</f>
        <v>9900.7099999999991</v>
      </c>
      <c r="H7453" s="22" t="s">
        <v>24</v>
      </c>
      <c r="I7453" s="22">
        <v>1</v>
      </c>
      <c r="J7453" s="22" t="s">
        <v>84</v>
      </c>
      <c r="K7453" s="22" t="s">
        <v>86</v>
      </c>
      <c r="L7453" s="22">
        <v>0</v>
      </c>
      <c r="M7453" s="26">
        <v>402000</v>
      </c>
      <c r="N7453" s="26">
        <v>0</v>
      </c>
      <c r="O7453" s="15">
        <f t="shared" si="694"/>
        <v>402000</v>
      </c>
      <c r="P7453" s="15">
        <f t="shared" si="695"/>
        <v>40.603148663075679</v>
      </c>
      <c r="Q7453" s="25">
        <v>14000</v>
      </c>
      <c r="R7453" s="22">
        <v>85</v>
      </c>
      <c r="S7453" s="22" t="s">
        <v>9052</v>
      </c>
      <c r="T7453" s="22">
        <f t="shared" si="687"/>
        <v>10</v>
      </c>
      <c r="U7453" s="22">
        <f t="shared" si="688"/>
        <v>2023</v>
      </c>
      <c r="V7453" s="22" t="str">
        <f t="shared" si="689"/>
        <v>REGIONES</v>
      </c>
    </row>
    <row r="7454" spans="1:22" x14ac:dyDescent="0.2">
      <c r="A7454" s="23" t="s">
        <v>9043</v>
      </c>
      <c r="B7454" s="22" t="s">
        <v>33</v>
      </c>
      <c r="C7454" s="22" t="s">
        <v>44</v>
      </c>
      <c r="D7454" s="22" t="s">
        <v>45</v>
      </c>
      <c r="E7454" s="24">
        <v>107643206</v>
      </c>
      <c r="F7454" s="22" t="s">
        <v>229</v>
      </c>
      <c r="G7454" s="25">
        <v>2293.42</v>
      </c>
      <c r="H7454" s="22" t="s">
        <v>22</v>
      </c>
      <c r="I7454" s="22">
        <v>0</v>
      </c>
      <c r="J7454" s="22" t="s">
        <v>230</v>
      </c>
      <c r="K7454" s="22" t="s">
        <v>23</v>
      </c>
      <c r="L7454" s="22">
        <v>4</v>
      </c>
      <c r="M7454" s="26">
        <v>69173</v>
      </c>
      <c r="N7454" s="26">
        <v>0</v>
      </c>
      <c r="O7454" s="15">
        <f t="shared" si="694"/>
        <v>69173</v>
      </c>
      <c r="P7454" s="15">
        <f t="shared" si="695"/>
        <v>30.161505524500527</v>
      </c>
      <c r="Q7454" s="25">
        <v>5000</v>
      </c>
      <c r="R7454" s="22">
        <v>46</v>
      </c>
      <c r="S7454" s="22" t="s">
        <v>9050</v>
      </c>
      <c r="T7454" s="22">
        <f t="shared" si="687"/>
        <v>10</v>
      </c>
      <c r="U7454" s="22">
        <f t="shared" si="688"/>
        <v>2023</v>
      </c>
      <c r="V7454" s="22" t="str">
        <f t="shared" si="689"/>
        <v>METROPOLITANA</v>
      </c>
    </row>
    <row r="7455" spans="1:22" x14ac:dyDescent="0.2">
      <c r="A7455" s="23" t="s">
        <v>9043</v>
      </c>
      <c r="B7455" s="22" t="s">
        <v>33</v>
      </c>
      <c r="C7455" s="22" t="s">
        <v>44</v>
      </c>
      <c r="D7455" s="22" t="s">
        <v>35</v>
      </c>
      <c r="E7455" s="24">
        <v>99626232</v>
      </c>
      <c r="F7455" s="22" t="s">
        <v>53</v>
      </c>
      <c r="G7455" s="25">
        <v>4481.6000000000004</v>
      </c>
      <c r="H7455" s="22" t="s">
        <v>22</v>
      </c>
      <c r="I7455" s="22">
        <v>0</v>
      </c>
      <c r="J7455" s="22" t="s">
        <v>53</v>
      </c>
      <c r="K7455" s="22" t="s">
        <v>23</v>
      </c>
      <c r="L7455" s="22">
        <v>3</v>
      </c>
      <c r="M7455" s="26">
        <v>69173</v>
      </c>
      <c r="N7455" s="26">
        <v>0</v>
      </c>
      <c r="O7455" s="15">
        <f t="shared" si="694"/>
        <v>69173</v>
      </c>
      <c r="P7455" s="15">
        <f t="shared" si="695"/>
        <v>15.434889325240984</v>
      </c>
      <c r="Q7455" s="25">
        <v>5000</v>
      </c>
      <c r="R7455" s="22">
        <v>90</v>
      </c>
      <c r="S7455" s="22" t="s">
        <v>9051</v>
      </c>
      <c r="T7455" s="22">
        <f t="shared" si="687"/>
        <v>10</v>
      </c>
      <c r="U7455" s="22">
        <f t="shared" si="688"/>
        <v>2023</v>
      </c>
      <c r="V7455" s="22" t="str">
        <f t="shared" si="689"/>
        <v>METROPOLITANA</v>
      </c>
    </row>
    <row r="7456" spans="1:22" x14ac:dyDescent="0.2">
      <c r="A7456" s="11" t="s">
        <v>9053</v>
      </c>
      <c r="B7456" s="12" t="s">
        <v>18</v>
      </c>
      <c r="C7456" s="12" t="s">
        <v>19</v>
      </c>
      <c r="D7456" s="12" t="s">
        <v>636</v>
      </c>
      <c r="E7456" s="13" t="s">
        <v>639</v>
      </c>
      <c r="F7456" s="12" t="s">
        <v>815</v>
      </c>
      <c r="G7456" s="14">
        <f>9244.78+8916</f>
        <v>18160.78</v>
      </c>
      <c r="H7456" s="12" t="s">
        <v>85</v>
      </c>
      <c r="I7456" s="12">
        <v>1</v>
      </c>
      <c r="J7456" s="12" t="s">
        <v>815</v>
      </c>
      <c r="K7456" s="12" t="s">
        <v>75</v>
      </c>
      <c r="L7456" s="12">
        <v>0</v>
      </c>
      <c r="M7456" s="15">
        <v>528000</v>
      </c>
      <c r="N7456" s="15">
        <v>0</v>
      </c>
      <c r="O7456" s="15">
        <f t="shared" ref="O7456:O7472" si="696">SUM(M7456:N7456)</f>
        <v>528000</v>
      </c>
      <c r="P7456" s="15">
        <f t="shared" ref="P7456:P7472" si="697">O7456/G7456</f>
        <v>29.073641110128531</v>
      </c>
      <c r="Q7456" s="14">
        <v>14000</v>
      </c>
      <c r="R7456" s="12">
        <v>100</v>
      </c>
      <c r="S7456" s="12" t="s">
        <v>9071</v>
      </c>
      <c r="T7456" s="22">
        <f t="shared" si="687"/>
        <v>10</v>
      </c>
      <c r="U7456" s="22">
        <f t="shared" si="688"/>
        <v>2023</v>
      </c>
      <c r="V7456" s="22" t="str">
        <f t="shared" si="689"/>
        <v>REGIONES</v>
      </c>
    </row>
    <row r="7457" spans="1:22" x14ac:dyDescent="0.2">
      <c r="A7457" s="11" t="s">
        <v>9053</v>
      </c>
      <c r="B7457" s="12" t="s">
        <v>33</v>
      </c>
      <c r="C7457" s="12" t="s">
        <v>187</v>
      </c>
      <c r="D7457" s="12" t="s">
        <v>38</v>
      </c>
      <c r="E7457" s="13" t="s">
        <v>25</v>
      </c>
      <c r="F7457" s="12" t="s">
        <v>129</v>
      </c>
      <c r="G7457" s="14">
        <v>1950</v>
      </c>
      <c r="H7457" s="12" t="s">
        <v>43</v>
      </c>
      <c r="I7457" s="12">
        <v>0</v>
      </c>
      <c r="J7457" s="12" t="s">
        <v>129</v>
      </c>
      <c r="K7457" s="12" t="s">
        <v>23</v>
      </c>
      <c r="L7457" s="12">
        <v>1</v>
      </c>
      <c r="M7457" s="15">
        <v>69173</v>
      </c>
      <c r="N7457" s="15">
        <v>0</v>
      </c>
      <c r="O7457" s="15">
        <f t="shared" si="696"/>
        <v>69173</v>
      </c>
      <c r="P7457" s="15">
        <f t="shared" si="697"/>
        <v>35.473333333333336</v>
      </c>
      <c r="Q7457" s="14">
        <v>5000</v>
      </c>
      <c r="R7457" s="12">
        <v>39</v>
      </c>
      <c r="S7457" s="12" t="s">
        <v>9054</v>
      </c>
      <c r="T7457" s="22">
        <f t="shared" si="687"/>
        <v>10</v>
      </c>
      <c r="U7457" s="22">
        <f t="shared" si="688"/>
        <v>2023</v>
      </c>
      <c r="V7457" s="22" t="str">
        <f t="shared" si="689"/>
        <v>METROPOLITANA</v>
      </c>
    </row>
    <row r="7458" spans="1:22" x14ac:dyDescent="0.2">
      <c r="A7458" s="11" t="s">
        <v>9053</v>
      </c>
      <c r="B7458" s="12" t="s">
        <v>33</v>
      </c>
      <c r="C7458" s="12" t="s">
        <v>60</v>
      </c>
      <c r="D7458" s="12" t="s">
        <v>2028</v>
      </c>
      <c r="E7458" s="13" t="s">
        <v>28</v>
      </c>
      <c r="F7458" s="12" t="s">
        <v>5240</v>
      </c>
      <c r="G7458" s="14">
        <v>20260.80000000001</v>
      </c>
      <c r="H7458" s="12" t="s">
        <v>22</v>
      </c>
      <c r="I7458" s="12">
        <v>1</v>
      </c>
      <c r="J7458" s="12" t="s">
        <v>5240</v>
      </c>
      <c r="K7458" s="12" t="s">
        <v>78</v>
      </c>
      <c r="L7458" s="12">
        <v>0</v>
      </c>
      <c r="M7458" s="15">
        <v>289000</v>
      </c>
      <c r="N7458" s="15">
        <v>0</v>
      </c>
      <c r="O7458" s="15">
        <f t="shared" si="696"/>
        <v>289000</v>
      </c>
      <c r="P7458" s="15">
        <f t="shared" si="697"/>
        <v>14.26399747295269</v>
      </c>
      <c r="Q7458" s="14">
        <v>14000</v>
      </c>
      <c r="R7458" s="12">
        <v>100</v>
      </c>
      <c r="S7458" s="12" t="s">
        <v>9055</v>
      </c>
      <c r="T7458" s="22">
        <f t="shared" si="687"/>
        <v>10</v>
      </c>
      <c r="U7458" s="22">
        <f t="shared" si="688"/>
        <v>2023</v>
      </c>
      <c r="V7458" s="22" t="str">
        <f t="shared" si="689"/>
        <v>REGIONES</v>
      </c>
    </row>
    <row r="7459" spans="1:22" x14ac:dyDescent="0.2">
      <c r="A7459" s="11" t="s">
        <v>9053</v>
      </c>
      <c r="B7459" s="12" t="s">
        <v>33</v>
      </c>
      <c r="C7459" s="12" t="s">
        <v>223</v>
      </c>
      <c r="D7459" s="12" t="s">
        <v>7814</v>
      </c>
      <c r="E7459" s="13" t="s">
        <v>7815</v>
      </c>
      <c r="F7459" s="12" t="s">
        <v>2639</v>
      </c>
      <c r="G7459" s="14">
        <v>9650.5399999999972</v>
      </c>
      <c r="H7459" s="12" t="s">
        <v>24</v>
      </c>
      <c r="I7459" s="12">
        <v>1</v>
      </c>
      <c r="J7459" s="12" t="s">
        <v>2639</v>
      </c>
      <c r="K7459" s="12" t="s">
        <v>75</v>
      </c>
      <c r="L7459" s="12">
        <v>0</v>
      </c>
      <c r="M7459" s="15">
        <v>478000</v>
      </c>
      <c r="N7459" s="15">
        <v>0</v>
      </c>
      <c r="O7459" s="15">
        <f t="shared" si="696"/>
        <v>478000</v>
      </c>
      <c r="P7459" s="15">
        <f t="shared" si="697"/>
        <v>49.530907078774881</v>
      </c>
      <c r="Q7459" s="14">
        <v>14000</v>
      </c>
      <c r="R7459" s="12">
        <v>69</v>
      </c>
      <c r="S7459" s="12" t="s">
        <v>9056</v>
      </c>
      <c r="T7459" s="22">
        <f t="shared" si="687"/>
        <v>10</v>
      </c>
      <c r="U7459" s="22">
        <f t="shared" si="688"/>
        <v>2023</v>
      </c>
      <c r="V7459" s="22" t="str">
        <f t="shared" si="689"/>
        <v>REGIONES</v>
      </c>
    </row>
    <row r="7460" spans="1:22" x14ac:dyDescent="0.2">
      <c r="A7460" s="11" t="s">
        <v>9053</v>
      </c>
      <c r="B7460" s="12" t="s">
        <v>33</v>
      </c>
      <c r="C7460" s="12" t="s">
        <v>909</v>
      </c>
      <c r="D7460" s="12" t="s">
        <v>786</v>
      </c>
      <c r="E7460" s="13" t="s">
        <v>787</v>
      </c>
      <c r="F7460" s="12" t="s">
        <v>3898</v>
      </c>
      <c r="G7460" s="14">
        <v>15509.1</v>
      </c>
      <c r="H7460" s="12" t="s">
        <v>788</v>
      </c>
      <c r="I7460" s="12">
        <v>1</v>
      </c>
      <c r="J7460" s="12" t="s">
        <v>910</v>
      </c>
      <c r="K7460" s="12" t="s">
        <v>171</v>
      </c>
      <c r="L7460" s="12">
        <v>0</v>
      </c>
      <c r="M7460" s="15">
        <v>290000</v>
      </c>
      <c r="N7460" s="15">
        <v>0</v>
      </c>
      <c r="O7460" s="15">
        <f t="shared" si="696"/>
        <v>290000</v>
      </c>
      <c r="P7460" s="15">
        <f t="shared" si="697"/>
        <v>18.6986994732125</v>
      </c>
      <c r="Q7460" s="14">
        <v>14000</v>
      </c>
      <c r="R7460" s="12">
        <v>100</v>
      </c>
      <c r="S7460" s="12" t="s">
        <v>9057</v>
      </c>
      <c r="T7460" s="22">
        <f t="shared" si="687"/>
        <v>10</v>
      </c>
      <c r="U7460" s="22">
        <f t="shared" si="688"/>
        <v>2023</v>
      </c>
      <c r="V7460" s="22" t="str">
        <f t="shared" si="689"/>
        <v>REGIONES</v>
      </c>
    </row>
    <row r="7461" spans="1:22" x14ac:dyDescent="0.2">
      <c r="A7461" s="11" t="s">
        <v>9053</v>
      </c>
      <c r="B7461" s="12" t="s">
        <v>33</v>
      </c>
      <c r="C7461" s="12" t="s">
        <v>8229</v>
      </c>
      <c r="D7461" s="12" t="s">
        <v>30</v>
      </c>
      <c r="E7461" s="13" t="s">
        <v>31</v>
      </c>
      <c r="F7461" s="12" t="s">
        <v>26</v>
      </c>
      <c r="G7461" s="14">
        <v>9177</v>
      </c>
      <c r="H7461" s="12" t="s">
        <v>32</v>
      </c>
      <c r="I7461" s="12">
        <v>0</v>
      </c>
      <c r="J7461" s="12" t="s">
        <v>26</v>
      </c>
      <c r="K7461" s="12" t="s">
        <v>23</v>
      </c>
      <c r="L7461" s="12">
        <v>4</v>
      </c>
      <c r="M7461" s="15">
        <v>100947</v>
      </c>
      <c r="N7461" s="15">
        <v>0</v>
      </c>
      <c r="O7461" s="15">
        <f t="shared" si="696"/>
        <v>100947</v>
      </c>
      <c r="P7461" s="15">
        <f t="shared" si="697"/>
        <v>11</v>
      </c>
      <c r="Q7461" s="14">
        <v>5000</v>
      </c>
      <c r="R7461" s="12">
        <v>100</v>
      </c>
      <c r="S7461" s="12" t="s">
        <v>9058</v>
      </c>
      <c r="T7461" s="22">
        <f t="shared" si="687"/>
        <v>10</v>
      </c>
      <c r="U7461" s="22">
        <f t="shared" si="688"/>
        <v>2023</v>
      </c>
      <c r="V7461" s="22" t="str">
        <f t="shared" si="689"/>
        <v>METROPOLITANA</v>
      </c>
    </row>
    <row r="7462" spans="1:22" x14ac:dyDescent="0.2">
      <c r="A7462" s="11" t="s">
        <v>9053</v>
      </c>
      <c r="B7462" s="12" t="s">
        <v>33</v>
      </c>
      <c r="C7462" s="12" t="s">
        <v>29</v>
      </c>
      <c r="D7462" s="12" t="s">
        <v>311</v>
      </c>
      <c r="E7462" s="13" t="s">
        <v>312</v>
      </c>
      <c r="F7462" s="12" t="s">
        <v>132</v>
      </c>
      <c r="G7462" s="14">
        <v>6870.0000000000027</v>
      </c>
      <c r="H7462" s="12" t="s">
        <v>85</v>
      </c>
      <c r="I7462" s="12">
        <v>1</v>
      </c>
      <c r="J7462" s="12" t="s">
        <v>132</v>
      </c>
      <c r="K7462" s="12" t="s">
        <v>124</v>
      </c>
      <c r="L7462" s="12">
        <v>0</v>
      </c>
      <c r="M7462" s="15">
        <v>500000</v>
      </c>
      <c r="N7462" s="15">
        <v>0</v>
      </c>
      <c r="O7462" s="15">
        <f t="shared" si="696"/>
        <v>500000</v>
      </c>
      <c r="P7462" s="15">
        <f t="shared" si="697"/>
        <v>72.780203784570574</v>
      </c>
      <c r="Q7462" s="14">
        <v>14000</v>
      </c>
      <c r="R7462" s="12">
        <v>49</v>
      </c>
      <c r="S7462" s="12" t="s">
        <v>9059</v>
      </c>
      <c r="T7462" s="22">
        <f t="shared" si="687"/>
        <v>10</v>
      </c>
      <c r="U7462" s="22">
        <f t="shared" si="688"/>
        <v>2023</v>
      </c>
      <c r="V7462" s="22" t="str">
        <f t="shared" si="689"/>
        <v>REGIONES</v>
      </c>
    </row>
    <row r="7463" spans="1:22" x14ac:dyDescent="0.2">
      <c r="A7463" s="11" t="s">
        <v>9053</v>
      </c>
      <c r="B7463" s="12" t="s">
        <v>33</v>
      </c>
      <c r="C7463" s="12" t="s">
        <v>29</v>
      </c>
      <c r="D7463" s="12" t="s">
        <v>37</v>
      </c>
      <c r="E7463" s="13" t="s">
        <v>28</v>
      </c>
      <c r="F7463" s="12" t="s">
        <v>39</v>
      </c>
      <c r="G7463" s="14">
        <v>12851.11</v>
      </c>
      <c r="H7463" s="12" t="s">
        <v>22</v>
      </c>
      <c r="I7463" s="12">
        <v>0</v>
      </c>
      <c r="J7463" s="12" t="s">
        <v>39</v>
      </c>
      <c r="K7463" s="12" t="s">
        <v>23</v>
      </c>
      <c r="L7463" s="12">
        <v>1</v>
      </c>
      <c r="M7463" s="15">
        <v>141362</v>
      </c>
      <c r="N7463" s="15">
        <v>0</v>
      </c>
      <c r="O7463" s="15">
        <f t="shared" si="696"/>
        <v>141362</v>
      </c>
      <c r="P7463" s="15">
        <f t="shared" si="697"/>
        <v>10.999983658999106</v>
      </c>
      <c r="Q7463" s="14">
        <v>5000</v>
      </c>
      <c r="R7463" s="12">
        <v>100</v>
      </c>
      <c r="S7463" s="12" t="s">
        <v>9060</v>
      </c>
      <c r="T7463" s="22">
        <f t="shared" si="687"/>
        <v>10</v>
      </c>
      <c r="U7463" s="22">
        <f t="shared" si="688"/>
        <v>2023</v>
      </c>
      <c r="V7463" s="22" t="str">
        <f t="shared" si="689"/>
        <v>METROPOLITANA</v>
      </c>
    </row>
    <row r="7464" spans="1:22" x14ac:dyDescent="0.2">
      <c r="A7464" s="11" t="s">
        <v>9053</v>
      </c>
      <c r="B7464" s="12" t="s">
        <v>33</v>
      </c>
      <c r="C7464" s="12" t="s">
        <v>29</v>
      </c>
      <c r="D7464" s="12" t="s">
        <v>8219</v>
      </c>
      <c r="E7464" s="13" t="s">
        <v>8220</v>
      </c>
      <c r="F7464" s="12" t="s">
        <v>134</v>
      </c>
      <c r="G7464" s="14">
        <v>6397.9999999999991</v>
      </c>
      <c r="H7464" s="12" t="s">
        <v>24</v>
      </c>
      <c r="I7464" s="12">
        <v>1</v>
      </c>
      <c r="J7464" s="12" t="s">
        <v>134</v>
      </c>
      <c r="K7464" s="12" t="s">
        <v>23</v>
      </c>
      <c r="L7464" s="12">
        <v>2</v>
      </c>
      <c r="M7464" s="15">
        <v>70378</v>
      </c>
      <c r="N7464" s="15">
        <v>0</v>
      </c>
      <c r="O7464" s="15">
        <f t="shared" si="696"/>
        <v>70378</v>
      </c>
      <c r="P7464" s="15">
        <f t="shared" si="697"/>
        <v>11.000000000000002</v>
      </c>
      <c r="Q7464" s="14">
        <v>5000</v>
      </c>
      <c r="R7464" s="12">
        <v>100</v>
      </c>
      <c r="S7464" s="12" t="s">
        <v>9061</v>
      </c>
      <c r="T7464" s="22">
        <f t="shared" si="687"/>
        <v>10</v>
      </c>
      <c r="U7464" s="22">
        <f t="shared" si="688"/>
        <v>2023</v>
      </c>
      <c r="V7464" s="22" t="str">
        <f t="shared" si="689"/>
        <v>METROPOLITANA</v>
      </c>
    </row>
    <row r="7465" spans="1:22" x14ac:dyDescent="0.2">
      <c r="A7465" s="11" t="s">
        <v>9053</v>
      </c>
      <c r="B7465" s="12" t="s">
        <v>33</v>
      </c>
      <c r="C7465" s="12" t="s">
        <v>29</v>
      </c>
      <c r="D7465" s="12" t="s">
        <v>164</v>
      </c>
      <c r="E7465" s="13" t="s">
        <v>1576</v>
      </c>
      <c r="F7465" s="12" t="s">
        <v>39</v>
      </c>
      <c r="G7465" s="14">
        <v>23405.700000000012</v>
      </c>
      <c r="H7465" s="12" t="s">
        <v>22</v>
      </c>
      <c r="I7465" s="12">
        <v>1</v>
      </c>
      <c r="J7465" s="12" t="s">
        <v>39</v>
      </c>
      <c r="K7465" s="12" t="s">
        <v>23</v>
      </c>
      <c r="L7465" s="12">
        <v>1</v>
      </c>
      <c r="M7465" s="15">
        <v>257463</v>
      </c>
      <c r="N7465" s="15">
        <v>0</v>
      </c>
      <c r="O7465" s="15">
        <f t="shared" si="696"/>
        <v>257463</v>
      </c>
      <c r="P7465" s="15">
        <f t="shared" si="697"/>
        <v>11.00001281739063</v>
      </c>
      <c r="Q7465" s="14">
        <v>5000</v>
      </c>
      <c r="R7465" s="12">
        <v>100</v>
      </c>
      <c r="S7465" s="12" t="s">
        <v>9062</v>
      </c>
      <c r="T7465" s="22">
        <f t="shared" si="687"/>
        <v>10</v>
      </c>
      <c r="U7465" s="22">
        <f t="shared" si="688"/>
        <v>2023</v>
      </c>
      <c r="V7465" s="22" t="str">
        <f t="shared" si="689"/>
        <v>METROPOLITANA</v>
      </c>
    </row>
    <row r="7466" spans="1:22" x14ac:dyDescent="0.2">
      <c r="A7466" s="11" t="s">
        <v>9053</v>
      </c>
      <c r="B7466" s="12" t="s">
        <v>33</v>
      </c>
      <c r="C7466" s="12" t="s">
        <v>44</v>
      </c>
      <c r="D7466" s="12" t="s">
        <v>7545</v>
      </c>
      <c r="E7466" s="13" t="s">
        <v>9063</v>
      </c>
      <c r="F7466" s="12" t="s">
        <v>66</v>
      </c>
      <c r="G7466" s="14">
        <v>4123.3999999999996</v>
      </c>
      <c r="H7466" s="12" t="s">
        <v>24</v>
      </c>
      <c r="I7466" s="12">
        <v>1</v>
      </c>
      <c r="J7466" s="12" t="s">
        <v>66</v>
      </c>
      <c r="K7466" s="12" t="s">
        <v>75</v>
      </c>
      <c r="L7466" s="12">
        <v>0</v>
      </c>
      <c r="M7466" s="15">
        <v>506000</v>
      </c>
      <c r="N7466" s="15">
        <v>0</v>
      </c>
      <c r="O7466" s="15">
        <f t="shared" si="696"/>
        <v>506000</v>
      </c>
      <c r="P7466" s="15">
        <f t="shared" si="697"/>
        <v>122.71426492700201</v>
      </c>
      <c r="Q7466" s="14">
        <v>14000</v>
      </c>
      <c r="R7466" s="12">
        <v>29</v>
      </c>
      <c r="S7466" s="12" t="s">
        <v>9064</v>
      </c>
      <c r="T7466" s="22">
        <f t="shared" si="687"/>
        <v>10</v>
      </c>
      <c r="U7466" s="22">
        <f t="shared" si="688"/>
        <v>2023</v>
      </c>
      <c r="V7466" s="22" t="str">
        <f t="shared" si="689"/>
        <v>REGIONES</v>
      </c>
    </row>
    <row r="7467" spans="1:22" x14ac:dyDescent="0.2">
      <c r="A7467" s="11" t="s">
        <v>9053</v>
      </c>
      <c r="B7467" s="12" t="s">
        <v>33</v>
      </c>
      <c r="C7467" s="12" t="s">
        <v>44</v>
      </c>
      <c r="D7467" s="12" t="s">
        <v>7711</v>
      </c>
      <c r="E7467" s="13" t="s">
        <v>7712</v>
      </c>
      <c r="F7467" s="12" t="s">
        <v>114</v>
      </c>
      <c r="G7467" s="14">
        <f>6288.21+1105</f>
        <v>7393.21</v>
      </c>
      <c r="H7467" s="12" t="s">
        <v>24</v>
      </c>
      <c r="I7467" s="12">
        <v>1</v>
      </c>
      <c r="J7467" s="12" t="s">
        <v>114</v>
      </c>
      <c r="K7467" s="12" t="s">
        <v>75</v>
      </c>
      <c r="L7467" s="12">
        <v>0</v>
      </c>
      <c r="M7467" s="15">
        <v>528000</v>
      </c>
      <c r="N7467" s="15">
        <v>0</v>
      </c>
      <c r="O7467" s="15">
        <f t="shared" si="696"/>
        <v>528000</v>
      </c>
      <c r="P7467" s="15">
        <f t="shared" si="697"/>
        <v>71.416881165285446</v>
      </c>
      <c r="Q7467" s="14">
        <v>14000</v>
      </c>
      <c r="R7467" s="12">
        <v>58</v>
      </c>
      <c r="S7467" s="12" t="s">
        <v>9072</v>
      </c>
      <c r="T7467" s="22">
        <f t="shared" si="687"/>
        <v>10</v>
      </c>
      <c r="U7467" s="22">
        <f t="shared" si="688"/>
        <v>2023</v>
      </c>
      <c r="V7467" s="22" t="str">
        <f t="shared" si="689"/>
        <v>REGIONES</v>
      </c>
    </row>
    <row r="7468" spans="1:22" x14ac:dyDescent="0.2">
      <c r="A7468" s="11" t="s">
        <v>9053</v>
      </c>
      <c r="B7468" s="12" t="s">
        <v>33</v>
      </c>
      <c r="C7468" s="12" t="s">
        <v>44</v>
      </c>
      <c r="D7468" s="12" t="s">
        <v>6969</v>
      </c>
      <c r="E7468" s="13" t="s">
        <v>9065</v>
      </c>
      <c r="F7468" s="12" t="s">
        <v>3438</v>
      </c>
      <c r="G7468" s="14">
        <v>11618.160000000011</v>
      </c>
      <c r="H7468" s="12" t="s">
        <v>24</v>
      </c>
      <c r="I7468" s="12">
        <v>1</v>
      </c>
      <c r="J7468" s="12" t="s">
        <v>3438</v>
      </c>
      <c r="K7468" s="12" t="s">
        <v>93</v>
      </c>
      <c r="L7468" s="12">
        <v>0</v>
      </c>
      <c r="M7468" s="15">
        <v>1000000</v>
      </c>
      <c r="N7468" s="15">
        <v>0</v>
      </c>
      <c r="O7468" s="15">
        <f t="shared" si="696"/>
        <v>1000000</v>
      </c>
      <c r="P7468" s="15">
        <f t="shared" si="697"/>
        <v>86.072149118276826</v>
      </c>
      <c r="Q7468" s="14">
        <v>14000</v>
      </c>
      <c r="R7468" s="12">
        <v>83</v>
      </c>
      <c r="S7468" s="12" t="s">
        <v>9066</v>
      </c>
      <c r="T7468" s="22">
        <f t="shared" si="687"/>
        <v>10</v>
      </c>
      <c r="U7468" s="22">
        <f t="shared" si="688"/>
        <v>2023</v>
      </c>
      <c r="V7468" s="22" t="str">
        <f t="shared" si="689"/>
        <v>REGIONES</v>
      </c>
    </row>
    <row r="7469" spans="1:22" x14ac:dyDescent="0.2">
      <c r="A7469" s="11" t="s">
        <v>9053</v>
      </c>
      <c r="B7469" s="12" t="s">
        <v>33</v>
      </c>
      <c r="C7469" s="12" t="s">
        <v>44</v>
      </c>
      <c r="D7469" s="12" t="s">
        <v>8580</v>
      </c>
      <c r="E7469" s="13" t="s">
        <v>8619</v>
      </c>
      <c r="F7469" s="12" t="s">
        <v>137</v>
      </c>
      <c r="G7469" s="14">
        <v>3289.22</v>
      </c>
      <c r="H7469" s="12" t="s">
        <v>24</v>
      </c>
      <c r="I7469" s="12">
        <v>1</v>
      </c>
      <c r="J7469" s="12" t="s">
        <v>137</v>
      </c>
      <c r="K7469" s="12" t="s">
        <v>23</v>
      </c>
      <c r="L7469" s="12">
        <v>1</v>
      </c>
      <c r="M7469" s="15">
        <v>69173</v>
      </c>
      <c r="N7469" s="15">
        <v>0</v>
      </c>
      <c r="O7469" s="15">
        <f t="shared" si="696"/>
        <v>69173</v>
      </c>
      <c r="P7469" s="15">
        <f t="shared" si="697"/>
        <v>21.030213850092121</v>
      </c>
      <c r="Q7469" s="14">
        <v>5000</v>
      </c>
      <c r="R7469" s="12">
        <v>66</v>
      </c>
      <c r="S7469" s="12" t="s">
        <v>9067</v>
      </c>
      <c r="T7469" s="22">
        <f t="shared" si="687"/>
        <v>10</v>
      </c>
      <c r="U7469" s="22">
        <f t="shared" si="688"/>
        <v>2023</v>
      </c>
      <c r="V7469" s="22" t="str">
        <f t="shared" si="689"/>
        <v>METROPOLITANA</v>
      </c>
    </row>
    <row r="7470" spans="1:22" x14ac:dyDescent="0.2">
      <c r="A7470" s="11" t="s">
        <v>9053</v>
      </c>
      <c r="B7470" s="12" t="s">
        <v>33</v>
      </c>
      <c r="C7470" s="12" t="s">
        <v>44</v>
      </c>
      <c r="D7470" s="12" t="s">
        <v>45</v>
      </c>
      <c r="E7470" s="13" t="s">
        <v>49</v>
      </c>
      <c r="F7470" s="12" t="s">
        <v>48</v>
      </c>
      <c r="G7470" s="14">
        <v>3125.52</v>
      </c>
      <c r="H7470" s="12" t="s">
        <v>22</v>
      </c>
      <c r="I7470" s="12">
        <v>0</v>
      </c>
      <c r="J7470" s="12" t="s">
        <v>48</v>
      </c>
      <c r="K7470" s="12" t="s">
        <v>23</v>
      </c>
      <c r="L7470" s="12">
        <v>1</v>
      </c>
      <c r="M7470" s="15">
        <v>69173</v>
      </c>
      <c r="N7470" s="15">
        <v>0</v>
      </c>
      <c r="O7470" s="15">
        <f t="shared" si="696"/>
        <v>69173</v>
      </c>
      <c r="P7470" s="15">
        <f t="shared" si="697"/>
        <v>22.131677288899127</v>
      </c>
      <c r="Q7470" s="14">
        <v>5000</v>
      </c>
      <c r="R7470" s="12">
        <v>63</v>
      </c>
      <c r="S7470" s="12" t="s">
        <v>9068</v>
      </c>
      <c r="T7470" s="22">
        <f t="shared" si="687"/>
        <v>10</v>
      </c>
      <c r="U7470" s="22">
        <f t="shared" si="688"/>
        <v>2023</v>
      </c>
      <c r="V7470" s="22" t="str">
        <f t="shared" si="689"/>
        <v>METROPOLITANA</v>
      </c>
    </row>
    <row r="7471" spans="1:22" x14ac:dyDescent="0.2">
      <c r="A7471" s="11" t="s">
        <v>9053</v>
      </c>
      <c r="B7471" s="12" t="s">
        <v>33</v>
      </c>
      <c r="C7471" s="12" t="s">
        <v>44</v>
      </c>
      <c r="D7471" s="12" t="s">
        <v>35</v>
      </c>
      <c r="E7471" s="13" t="s">
        <v>52</v>
      </c>
      <c r="F7471" s="12" t="s">
        <v>67</v>
      </c>
      <c r="G7471" s="14">
        <v>2649.52</v>
      </c>
      <c r="H7471" s="12" t="s">
        <v>22</v>
      </c>
      <c r="I7471" s="12">
        <v>0</v>
      </c>
      <c r="J7471" s="12" t="s">
        <v>67</v>
      </c>
      <c r="K7471" s="12" t="s">
        <v>23</v>
      </c>
      <c r="L7471" s="12">
        <v>2</v>
      </c>
      <c r="M7471" s="15">
        <v>69173</v>
      </c>
      <c r="N7471" s="15">
        <v>0</v>
      </c>
      <c r="O7471" s="15">
        <f t="shared" si="696"/>
        <v>69173</v>
      </c>
      <c r="P7471" s="15">
        <f t="shared" si="697"/>
        <v>26.107747818472781</v>
      </c>
      <c r="Q7471" s="14">
        <v>5000</v>
      </c>
      <c r="R7471" s="12">
        <v>53</v>
      </c>
      <c r="S7471" s="12" t="s">
        <v>9069</v>
      </c>
      <c r="T7471" s="22">
        <f t="shared" si="687"/>
        <v>10</v>
      </c>
      <c r="U7471" s="22">
        <f t="shared" si="688"/>
        <v>2023</v>
      </c>
      <c r="V7471" s="22" t="str">
        <f t="shared" si="689"/>
        <v>METROPOLITANA</v>
      </c>
    </row>
    <row r="7472" spans="1:22" x14ac:dyDescent="0.2">
      <c r="A7472" s="11" t="s">
        <v>9053</v>
      </c>
      <c r="B7472" s="12" t="s">
        <v>33</v>
      </c>
      <c r="C7472" s="12" t="s">
        <v>44</v>
      </c>
      <c r="D7472" s="12" t="s">
        <v>20</v>
      </c>
      <c r="E7472" s="13" t="s">
        <v>21</v>
      </c>
      <c r="F7472" s="12" t="s">
        <v>26</v>
      </c>
      <c r="G7472" s="14">
        <v>2637.4</v>
      </c>
      <c r="H7472" s="12" t="s">
        <v>22</v>
      </c>
      <c r="I7472" s="12">
        <v>0</v>
      </c>
      <c r="J7472" s="12" t="s">
        <v>26</v>
      </c>
      <c r="K7472" s="12" t="s">
        <v>23</v>
      </c>
      <c r="L7472" s="12">
        <v>4</v>
      </c>
      <c r="M7472" s="15">
        <v>69173</v>
      </c>
      <c r="N7472" s="15">
        <v>0</v>
      </c>
      <c r="O7472" s="15">
        <f t="shared" si="696"/>
        <v>69173</v>
      </c>
      <c r="P7472" s="15">
        <f t="shared" si="697"/>
        <v>26.227724273906119</v>
      </c>
      <c r="Q7472" s="14">
        <v>5000</v>
      </c>
      <c r="R7472" s="12">
        <v>53</v>
      </c>
      <c r="S7472" s="12" t="s">
        <v>9070</v>
      </c>
      <c r="T7472" s="22">
        <f t="shared" si="687"/>
        <v>10</v>
      </c>
      <c r="U7472" s="22">
        <f t="shared" si="688"/>
        <v>2023</v>
      </c>
      <c r="V7472" s="22" t="str">
        <f t="shared" si="689"/>
        <v>METROPOLITANA</v>
      </c>
    </row>
    <row r="7473" spans="1:22" x14ac:dyDescent="0.2">
      <c r="A7473" s="23" t="s">
        <v>9073</v>
      </c>
      <c r="B7473" s="22" t="s">
        <v>18</v>
      </c>
      <c r="C7473" s="22" t="s">
        <v>29</v>
      </c>
      <c r="D7473" s="22" t="s">
        <v>6218</v>
      </c>
      <c r="E7473" s="24" t="s">
        <v>9074</v>
      </c>
      <c r="F7473" s="22" t="s">
        <v>305</v>
      </c>
      <c r="G7473" s="25">
        <v>26666.639999999981</v>
      </c>
      <c r="H7473" s="22" t="s">
        <v>24</v>
      </c>
      <c r="I7473" s="22">
        <v>1</v>
      </c>
      <c r="J7473" s="22" t="s">
        <v>305</v>
      </c>
      <c r="K7473" s="22" t="s">
        <v>306</v>
      </c>
      <c r="L7473" s="22">
        <v>0</v>
      </c>
      <c r="M7473" s="26">
        <v>2550000</v>
      </c>
      <c r="N7473" s="26">
        <v>0</v>
      </c>
      <c r="O7473" s="15">
        <f t="shared" ref="O7473:O7484" si="698">SUM(M7473:N7473)</f>
        <v>2550000</v>
      </c>
      <c r="P7473" s="15">
        <f t="shared" ref="P7473:P7484" si="699">O7473/G7473</f>
        <v>95.625095625095696</v>
      </c>
      <c r="Q7473" s="25">
        <v>14000</v>
      </c>
      <c r="R7473" s="22">
        <v>100</v>
      </c>
      <c r="S7473" s="22" t="s">
        <v>9075</v>
      </c>
      <c r="T7473" s="22">
        <f t="shared" si="687"/>
        <v>10</v>
      </c>
      <c r="U7473" s="22">
        <f t="shared" si="688"/>
        <v>2023</v>
      </c>
      <c r="V7473" s="22" t="str">
        <f t="shared" si="689"/>
        <v>REGIONES</v>
      </c>
    </row>
    <row r="7474" spans="1:22" x14ac:dyDescent="0.2">
      <c r="A7474" s="23" t="s">
        <v>9073</v>
      </c>
      <c r="B7474" s="22" t="s">
        <v>33</v>
      </c>
      <c r="C7474" s="22" t="s">
        <v>60</v>
      </c>
      <c r="D7474" s="22" t="s">
        <v>8219</v>
      </c>
      <c r="E7474" s="24" t="s">
        <v>8220</v>
      </c>
      <c r="F7474" s="22" t="s">
        <v>5240</v>
      </c>
      <c r="G7474" s="25">
        <v>11052.6</v>
      </c>
      <c r="H7474" s="22" t="s">
        <v>24</v>
      </c>
      <c r="I7474" s="22">
        <v>1</v>
      </c>
      <c r="J7474" s="22" t="s">
        <v>5240</v>
      </c>
      <c r="K7474" s="22" t="s">
        <v>78</v>
      </c>
      <c r="L7474" s="22">
        <v>0</v>
      </c>
      <c r="M7474" s="26">
        <v>289000</v>
      </c>
      <c r="N7474" s="26">
        <v>0</v>
      </c>
      <c r="O7474" s="15">
        <f t="shared" si="698"/>
        <v>289000</v>
      </c>
      <c r="P7474" s="15">
        <f t="shared" si="699"/>
        <v>26.14769375531549</v>
      </c>
      <c r="Q7474" s="25">
        <v>14000</v>
      </c>
      <c r="R7474" s="22">
        <v>79</v>
      </c>
      <c r="S7474" s="22" t="s">
        <v>9076</v>
      </c>
      <c r="T7474" s="22">
        <f t="shared" si="687"/>
        <v>10</v>
      </c>
      <c r="U7474" s="22">
        <f t="shared" si="688"/>
        <v>2023</v>
      </c>
      <c r="V7474" s="22" t="str">
        <f t="shared" si="689"/>
        <v>REGIONES</v>
      </c>
    </row>
    <row r="7475" spans="1:22" x14ac:dyDescent="0.2">
      <c r="A7475" s="23" t="s">
        <v>9073</v>
      </c>
      <c r="B7475" s="22" t="s">
        <v>33</v>
      </c>
      <c r="C7475" s="22" t="s">
        <v>128</v>
      </c>
      <c r="D7475" s="22" t="s">
        <v>164</v>
      </c>
      <c r="E7475" s="24" t="s">
        <v>1576</v>
      </c>
      <c r="F7475" s="22" t="s">
        <v>34</v>
      </c>
      <c r="G7475" s="25">
        <v>10520.32</v>
      </c>
      <c r="H7475" s="22" t="s">
        <v>22</v>
      </c>
      <c r="I7475" s="22">
        <v>1</v>
      </c>
      <c r="J7475" s="22" t="s">
        <v>34</v>
      </c>
      <c r="K7475" s="22" t="s">
        <v>23</v>
      </c>
      <c r="L7475" s="22">
        <v>1</v>
      </c>
      <c r="M7475" s="26">
        <v>115724</v>
      </c>
      <c r="N7475" s="26">
        <v>0</v>
      </c>
      <c r="O7475" s="15">
        <f t="shared" si="698"/>
        <v>115724</v>
      </c>
      <c r="P7475" s="15">
        <f t="shared" si="699"/>
        <v>11.000045625988564</v>
      </c>
      <c r="Q7475" s="25">
        <v>5000</v>
      </c>
      <c r="R7475" s="22">
        <v>100</v>
      </c>
      <c r="S7475" s="22" t="s">
        <v>9077</v>
      </c>
      <c r="T7475" s="22">
        <f t="shared" si="687"/>
        <v>10</v>
      </c>
      <c r="U7475" s="22">
        <f t="shared" si="688"/>
        <v>2023</v>
      </c>
      <c r="V7475" s="22" t="str">
        <f t="shared" si="689"/>
        <v>METROPOLITANA</v>
      </c>
    </row>
    <row r="7476" spans="1:22" x14ac:dyDescent="0.2">
      <c r="A7476" s="23" t="s">
        <v>9073</v>
      </c>
      <c r="B7476" s="22" t="s">
        <v>33</v>
      </c>
      <c r="C7476" s="22" t="s">
        <v>7065</v>
      </c>
      <c r="D7476" s="22" t="s">
        <v>20</v>
      </c>
      <c r="E7476" s="24" t="s">
        <v>21</v>
      </c>
      <c r="F7476" s="22" t="s">
        <v>129</v>
      </c>
      <c r="G7476" s="25">
        <v>5627.9999999999991</v>
      </c>
      <c r="H7476" s="22" t="s">
        <v>22</v>
      </c>
      <c r="I7476" s="22">
        <v>0</v>
      </c>
      <c r="J7476" s="22" t="s">
        <v>129</v>
      </c>
      <c r="K7476" s="22" t="s">
        <v>23</v>
      </c>
      <c r="L7476" s="22">
        <v>1</v>
      </c>
      <c r="M7476" s="26">
        <v>61908</v>
      </c>
      <c r="N7476" s="26">
        <v>0</v>
      </c>
      <c r="O7476" s="15">
        <f t="shared" si="698"/>
        <v>61908</v>
      </c>
      <c r="P7476" s="15">
        <f t="shared" si="699"/>
        <v>11.000000000000002</v>
      </c>
      <c r="Q7476" s="25">
        <v>5000</v>
      </c>
      <c r="R7476" s="22">
        <v>100</v>
      </c>
      <c r="S7476" s="22" t="s">
        <v>9078</v>
      </c>
      <c r="T7476" s="22">
        <f t="shared" ref="T7476:T7529" si="700">MONTH(A7476)</f>
        <v>10</v>
      </c>
      <c r="U7476" s="22">
        <f t="shared" ref="U7476:U7529" si="701">YEAR(A7476)</f>
        <v>2023</v>
      </c>
      <c r="V7476" s="22" t="str">
        <f t="shared" ref="V7476:V7529" si="702">IF(K7476="METROPOLITANA DE SANTIAGO","METROPOLITANA","REGIONES")</f>
        <v>METROPOLITANA</v>
      </c>
    </row>
    <row r="7477" spans="1:22" x14ac:dyDescent="0.2">
      <c r="A7477" s="23" t="s">
        <v>9073</v>
      </c>
      <c r="B7477" s="22" t="s">
        <v>33</v>
      </c>
      <c r="C7477" s="22" t="s">
        <v>223</v>
      </c>
      <c r="D7477" s="22" t="s">
        <v>9079</v>
      </c>
      <c r="E7477" s="24" t="s">
        <v>8188</v>
      </c>
      <c r="F7477" s="22" t="s">
        <v>815</v>
      </c>
      <c r="G7477" s="25">
        <f>9309.2+7500+2800</f>
        <v>19609.2</v>
      </c>
      <c r="H7477" s="22" t="s">
        <v>24</v>
      </c>
      <c r="I7477" s="22">
        <v>1</v>
      </c>
      <c r="J7477" s="22" t="s">
        <v>815</v>
      </c>
      <c r="K7477" s="22" t="s">
        <v>75</v>
      </c>
      <c r="L7477" s="22">
        <v>0</v>
      </c>
      <c r="M7477" s="26">
        <v>528000</v>
      </c>
      <c r="N7477" s="26">
        <v>0</v>
      </c>
      <c r="O7477" s="15">
        <f t="shared" si="698"/>
        <v>528000</v>
      </c>
      <c r="P7477" s="15">
        <f t="shared" si="699"/>
        <v>26.926136711339574</v>
      </c>
      <c r="Q7477" s="25">
        <v>14000</v>
      </c>
      <c r="R7477" s="22">
        <v>100</v>
      </c>
      <c r="S7477" s="22" t="s">
        <v>9089</v>
      </c>
      <c r="T7477" s="22">
        <f t="shared" si="700"/>
        <v>10</v>
      </c>
      <c r="U7477" s="22">
        <f t="shared" si="701"/>
        <v>2023</v>
      </c>
      <c r="V7477" s="22" t="str">
        <f t="shared" si="702"/>
        <v>REGIONES</v>
      </c>
    </row>
    <row r="7478" spans="1:22" x14ac:dyDescent="0.2">
      <c r="A7478" s="23" t="s">
        <v>9073</v>
      </c>
      <c r="B7478" s="22" t="s">
        <v>33</v>
      </c>
      <c r="C7478" s="22" t="s">
        <v>29</v>
      </c>
      <c r="D7478" s="22" t="s">
        <v>7134</v>
      </c>
      <c r="E7478" s="24" t="s">
        <v>7135</v>
      </c>
      <c r="F7478" s="22" t="s">
        <v>114</v>
      </c>
      <c r="G7478" s="25">
        <v>15155.999999999991</v>
      </c>
      <c r="H7478" s="22" t="s">
        <v>24</v>
      </c>
      <c r="I7478" s="22">
        <v>1</v>
      </c>
      <c r="J7478" s="22" t="s">
        <v>114</v>
      </c>
      <c r="K7478" s="22" t="s">
        <v>75</v>
      </c>
      <c r="L7478" s="22">
        <v>0</v>
      </c>
      <c r="M7478" s="26">
        <v>528000</v>
      </c>
      <c r="N7478" s="26">
        <v>0</v>
      </c>
      <c r="O7478" s="15">
        <f t="shared" si="698"/>
        <v>528000</v>
      </c>
      <c r="P7478" s="15">
        <f t="shared" si="699"/>
        <v>34.837688044338897</v>
      </c>
      <c r="Q7478" s="25">
        <v>14000</v>
      </c>
      <c r="R7478" s="22">
        <v>100</v>
      </c>
      <c r="S7478" s="22" t="s">
        <v>9080</v>
      </c>
      <c r="T7478" s="22">
        <f t="shared" si="700"/>
        <v>10</v>
      </c>
      <c r="U7478" s="22">
        <f t="shared" si="701"/>
        <v>2023</v>
      </c>
      <c r="V7478" s="22" t="str">
        <f t="shared" si="702"/>
        <v>REGIONES</v>
      </c>
    </row>
    <row r="7479" spans="1:22" x14ac:dyDescent="0.2">
      <c r="A7479" s="23" t="s">
        <v>9073</v>
      </c>
      <c r="B7479" s="22" t="s">
        <v>33</v>
      </c>
      <c r="C7479" s="22" t="s">
        <v>29</v>
      </c>
      <c r="D7479" s="22" t="s">
        <v>8724</v>
      </c>
      <c r="E7479" s="24" t="s">
        <v>7006</v>
      </c>
      <c r="F7479" s="22" t="s">
        <v>114</v>
      </c>
      <c r="G7479" s="25">
        <v>15430.79999999999</v>
      </c>
      <c r="H7479" s="22" t="s">
        <v>24</v>
      </c>
      <c r="I7479" s="22">
        <v>1</v>
      </c>
      <c r="J7479" s="22" t="s">
        <v>114</v>
      </c>
      <c r="K7479" s="22" t="s">
        <v>75</v>
      </c>
      <c r="L7479" s="22">
        <v>0</v>
      </c>
      <c r="M7479" s="26">
        <v>528000</v>
      </c>
      <c r="N7479" s="26">
        <v>0</v>
      </c>
      <c r="O7479" s="15">
        <f t="shared" si="698"/>
        <v>528000</v>
      </c>
      <c r="P7479" s="15">
        <f t="shared" si="699"/>
        <v>34.217279726261786</v>
      </c>
      <c r="Q7479" s="25">
        <v>14000</v>
      </c>
      <c r="R7479" s="22">
        <v>100</v>
      </c>
      <c r="S7479" s="22" t="s">
        <v>9081</v>
      </c>
      <c r="T7479" s="22">
        <f t="shared" si="700"/>
        <v>10</v>
      </c>
      <c r="U7479" s="22">
        <f t="shared" si="701"/>
        <v>2023</v>
      </c>
      <c r="V7479" s="22" t="str">
        <f t="shared" si="702"/>
        <v>REGIONES</v>
      </c>
    </row>
    <row r="7480" spans="1:22" x14ac:dyDescent="0.2">
      <c r="A7480" s="23" t="s">
        <v>9073</v>
      </c>
      <c r="B7480" s="22" t="s">
        <v>33</v>
      </c>
      <c r="C7480" s="22" t="s">
        <v>44</v>
      </c>
      <c r="D7480" s="22" t="s">
        <v>786</v>
      </c>
      <c r="E7480" s="24" t="s">
        <v>4852</v>
      </c>
      <c r="F7480" s="22" t="s">
        <v>39</v>
      </c>
      <c r="G7480" s="25">
        <v>15169.000000000009</v>
      </c>
      <c r="H7480" s="22" t="s">
        <v>788</v>
      </c>
      <c r="I7480" s="22">
        <v>1</v>
      </c>
      <c r="J7480" s="22" t="s">
        <v>39</v>
      </c>
      <c r="K7480" s="22" t="s">
        <v>23</v>
      </c>
      <c r="L7480" s="22">
        <v>1</v>
      </c>
      <c r="M7480" s="26">
        <v>166859</v>
      </c>
      <c r="N7480" s="26">
        <v>0</v>
      </c>
      <c r="O7480" s="15">
        <f t="shared" si="698"/>
        <v>166859</v>
      </c>
      <c r="P7480" s="15">
        <f t="shared" si="699"/>
        <v>10.999999999999993</v>
      </c>
      <c r="Q7480" s="25">
        <v>5000</v>
      </c>
      <c r="R7480" s="22">
        <v>100</v>
      </c>
      <c r="S7480" s="22" t="s">
        <v>9082</v>
      </c>
      <c r="T7480" s="22">
        <f t="shared" si="700"/>
        <v>10</v>
      </c>
      <c r="U7480" s="22">
        <f t="shared" si="701"/>
        <v>2023</v>
      </c>
      <c r="V7480" s="22" t="str">
        <f t="shared" si="702"/>
        <v>METROPOLITANA</v>
      </c>
    </row>
    <row r="7481" spans="1:22" x14ac:dyDescent="0.2">
      <c r="A7481" s="23" t="s">
        <v>9073</v>
      </c>
      <c r="B7481" s="22" t="s">
        <v>33</v>
      </c>
      <c r="C7481" s="22" t="s">
        <v>44</v>
      </c>
      <c r="D7481" s="22" t="s">
        <v>8580</v>
      </c>
      <c r="E7481" s="24" t="s">
        <v>8619</v>
      </c>
      <c r="F7481" s="22" t="s">
        <v>554</v>
      </c>
      <c r="G7481" s="25">
        <v>2749.51</v>
      </c>
      <c r="H7481" s="22" t="s">
        <v>24</v>
      </c>
      <c r="I7481" s="22">
        <v>1</v>
      </c>
      <c r="J7481" s="22" t="s">
        <v>554</v>
      </c>
      <c r="K7481" s="22" t="s">
        <v>23</v>
      </c>
      <c r="L7481" s="22">
        <v>4</v>
      </c>
      <c r="M7481" s="26">
        <v>69173</v>
      </c>
      <c r="N7481" s="26">
        <v>0</v>
      </c>
      <c r="O7481" s="15">
        <f t="shared" si="698"/>
        <v>69173</v>
      </c>
      <c r="P7481" s="15">
        <f t="shared" si="699"/>
        <v>25.158300933620897</v>
      </c>
      <c r="Q7481" s="25">
        <v>5000</v>
      </c>
      <c r="R7481" s="22">
        <v>55</v>
      </c>
      <c r="S7481" s="22" t="s">
        <v>9083</v>
      </c>
      <c r="T7481" s="22">
        <f t="shared" si="700"/>
        <v>10</v>
      </c>
      <c r="U7481" s="22">
        <f t="shared" si="701"/>
        <v>2023</v>
      </c>
      <c r="V7481" s="22" t="str">
        <f t="shared" si="702"/>
        <v>METROPOLITANA</v>
      </c>
    </row>
    <row r="7482" spans="1:22" x14ac:dyDescent="0.2">
      <c r="A7482" s="23" t="s">
        <v>9073</v>
      </c>
      <c r="B7482" s="22" t="s">
        <v>33</v>
      </c>
      <c r="C7482" s="22" t="s">
        <v>44</v>
      </c>
      <c r="D7482" s="22" t="s">
        <v>9084</v>
      </c>
      <c r="E7482" s="24" t="s">
        <v>9085</v>
      </c>
      <c r="F7482" s="22" t="s">
        <v>53</v>
      </c>
      <c r="G7482" s="25">
        <v>2595.54</v>
      </c>
      <c r="H7482" s="22" t="s">
        <v>24</v>
      </c>
      <c r="I7482" s="22">
        <v>1</v>
      </c>
      <c r="J7482" s="22" t="s">
        <v>53</v>
      </c>
      <c r="K7482" s="22" t="s">
        <v>23</v>
      </c>
      <c r="L7482" s="22">
        <v>3</v>
      </c>
      <c r="M7482" s="26">
        <v>69173</v>
      </c>
      <c r="N7482" s="26">
        <v>0</v>
      </c>
      <c r="O7482" s="15">
        <f t="shared" si="698"/>
        <v>69173</v>
      </c>
      <c r="P7482" s="15">
        <f t="shared" si="699"/>
        <v>26.650716228607536</v>
      </c>
      <c r="Q7482" s="25">
        <v>5000</v>
      </c>
      <c r="R7482" s="22">
        <v>52</v>
      </c>
      <c r="S7482" s="22" t="s">
        <v>9086</v>
      </c>
      <c r="T7482" s="22">
        <f t="shared" si="700"/>
        <v>10</v>
      </c>
      <c r="U7482" s="22">
        <f t="shared" si="701"/>
        <v>2023</v>
      </c>
      <c r="V7482" s="22" t="str">
        <f t="shared" si="702"/>
        <v>METROPOLITANA</v>
      </c>
    </row>
    <row r="7483" spans="1:22" x14ac:dyDescent="0.2">
      <c r="A7483" s="23" t="s">
        <v>9073</v>
      </c>
      <c r="B7483" s="22" t="s">
        <v>33</v>
      </c>
      <c r="C7483" s="22" t="s">
        <v>44</v>
      </c>
      <c r="D7483" s="22" t="s">
        <v>45</v>
      </c>
      <c r="E7483" s="24" t="s">
        <v>49</v>
      </c>
      <c r="F7483" s="22" t="s">
        <v>134</v>
      </c>
      <c r="G7483" s="25">
        <v>2509.1799999999989</v>
      </c>
      <c r="H7483" s="22" t="s">
        <v>22</v>
      </c>
      <c r="I7483" s="22">
        <v>0</v>
      </c>
      <c r="J7483" s="22" t="s">
        <v>134</v>
      </c>
      <c r="K7483" s="22" t="s">
        <v>23</v>
      </c>
      <c r="L7483" s="22">
        <v>2</v>
      </c>
      <c r="M7483" s="26">
        <v>69173</v>
      </c>
      <c r="N7483" s="26">
        <v>0</v>
      </c>
      <c r="O7483" s="15">
        <f t="shared" si="698"/>
        <v>69173</v>
      </c>
      <c r="P7483" s="15">
        <f t="shared" si="699"/>
        <v>27.56797041264478</v>
      </c>
      <c r="Q7483" s="25">
        <v>5000</v>
      </c>
      <c r="R7483" s="22">
        <v>50</v>
      </c>
      <c r="S7483" s="22" t="s">
        <v>9087</v>
      </c>
      <c r="T7483" s="22">
        <f t="shared" si="700"/>
        <v>10</v>
      </c>
      <c r="U7483" s="22">
        <f t="shared" si="701"/>
        <v>2023</v>
      </c>
      <c r="V7483" s="22" t="str">
        <f t="shared" si="702"/>
        <v>METROPOLITANA</v>
      </c>
    </row>
    <row r="7484" spans="1:22" x14ac:dyDescent="0.2">
      <c r="A7484" s="23" t="s">
        <v>9073</v>
      </c>
      <c r="B7484" s="22" t="s">
        <v>33</v>
      </c>
      <c r="C7484" s="22" t="s">
        <v>44</v>
      </c>
      <c r="D7484" s="22" t="s">
        <v>35</v>
      </c>
      <c r="E7484" s="24" t="s">
        <v>52</v>
      </c>
      <c r="F7484" s="22" t="s">
        <v>95</v>
      </c>
      <c r="G7484" s="25">
        <v>3438.52</v>
      </c>
      <c r="H7484" s="22" t="s">
        <v>22</v>
      </c>
      <c r="I7484" s="22">
        <v>0</v>
      </c>
      <c r="J7484" s="22" t="s">
        <v>95</v>
      </c>
      <c r="K7484" s="22" t="s">
        <v>23</v>
      </c>
      <c r="L7484" s="22">
        <v>4</v>
      </c>
      <c r="M7484" s="26">
        <v>69173</v>
      </c>
      <c r="N7484" s="26">
        <v>0</v>
      </c>
      <c r="O7484" s="15">
        <f t="shared" si="698"/>
        <v>69173</v>
      </c>
      <c r="P7484" s="15">
        <f t="shared" si="699"/>
        <v>20.117085257610832</v>
      </c>
      <c r="Q7484" s="25">
        <v>5000</v>
      </c>
      <c r="R7484" s="22">
        <v>69</v>
      </c>
      <c r="S7484" s="22" t="s">
        <v>9088</v>
      </c>
      <c r="T7484" s="22">
        <f t="shared" si="700"/>
        <v>10</v>
      </c>
      <c r="U7484" s="22">
        <f t="shared" si="701"/>
        <v>2023</v>
      </c>
      <c r="V7484" s="22" t="str">
        <f t="shared" si="702"/>
        <v>METROPOLITANA</v>
      </c>
    </row>
    <row r="7485" spans="1:22" x14ac:dyDescent="0.2">
      <c r="A7485" s="11" t="s">
        <v>9090</v>
      </c>
      <c r="B7485" s="12" t="s">
        <v>18</v>
      </c>
      <c r="C7485" s="12" t="s">
        <v>7400</v>
      </c>
      <c r="D7485" s="12" t="s">
        <v>370</v>
      </c>
      <c r="E7485" s="13">
        <v>94742285</v>
      </c>
      <c r="F7485" s="12" t="s">
        <v>66</v>
      </c>
      <c r="G7485" s="14">
        <v>19538.55</v>
      </c>
      <c r="H7485" s="12" t="s">
        <v>85</v>
      </c>
      <c r="I7485" s="12">
        <v>1</v>
      </c>
      <c r="J7485" s="12" t="s">
        <v>66</v>
      </c>
      <c r="K7485" s="12" t="s">
        <v>75</v>
      </c>
      <c r="L7485" s="12">
        <v>0</v>
      </c>
      <c r="M7485" s="15">
        <v>506000</v>
      </c>
      <c r="N7485" s="15">
        <v>0</v>
      </c>
      <c r="O7485" s="15">
        <f t="shared" ref="O7485:O7502" si="703">SUM(M7485:N7485)</f>
        <v>506000</v>
      </c>
      <c r="P7485" s="15">
        <f t="shared" ref="P7485:P7502" si="704">O7485/G7485</f>
        <v>25.897520542721953</v>
      </c>
      <c r="Q7485" s="14">
        <v>14000</v>
      </c>
      <c r="R7485" s="12">
        <v>100</v>
      </c>
      <c r="S7485" s="12" t="s">
        <v>9091</v>
      </c>
      <c r="T7485" s="22">
        <f t="shared" si="700"/>
        <v>10</v>
      </c>
      <c r="U7485" s="22">
        <f t="shared" si="701"/>
        <v>2023</v>
      </c>
      <c r="V7485" s="22" t="str">
        <f t="shared" si="702"/>
        <v>REGIONES</v>
      </c>
    </row>
    <row r="7486" spans="1:22" x14ac:dyDescent="0.2">
      <c r="A7486" s="11" t="s">
        <v>9090</v>
      </c>
      <c r="B7486" s="12" t="s">
        <v>18</v>
      </c>
      <c r="C7486" s="12" t="s">
        <v>7400</v>
      </c>
      <c r="D7486" s="12" t="s">
        <v>4733</v>
      </c>
      <c r="E7486" s="13">
        <v>93321006</v>
      </c>
      <c r="F7486" s="12" t="s">
        <v>66</v>
      </c>
      <c r="G7486" s="14">
        <v>12071.87</v>
      </c>
      <c r="H7486" s="12" t="s">
        <v>24</v>
      </c>
      <c r="I7486" s="12">
        <v>1</v>
      </c>
      <c r="J7486" s="12" t="s">
        <v>66</v>
      </c>
      <c r="K7486" s="12" t="s">
        <v>75</v>
      </c>
      <c r="L7486" s="12">
        <v>0</v>
      </c>
      <c r="M7486" s="15">
        <v>506000</v>
      </c>
      <c r="N7486" s="15">
        <v>0</v>
      </c>
      <c r="O7486" s="15">
        <f t="shared" si="703"/>
        <v>506000</v>
      </c>
      <c r="P7486" s="15">
        <f t="shared" si="704"/>
        <v>41.915626990681638</v>
      </c>
      <c r="Q7486" s="14">
        <v>14000</v>
      </c>
      <c r="R7486" s="12">
        <v>86</v>
      </c>
      <c r="S7486" s="12" t="s">
        <v>9092</v>
      </c>
      <c r="T7486" s="22">
        <f t="shared" si="700"/>
        <v>10</v>
      </c>
      <c r="U7486" s="22">
        <f t="shared" si="701"/>
        <v>2023</v>
      </c>
      <c r="V7486" s="22" t="str">
        <f t="shared" si="702"/>
        <v>REGIONES</v>
      </c>
    </row>
    <row r="7487" spans="1:22" x14ac:dyDescent="0.2">
      <c r="A7487" s="11" t="s">
        <v>9090</v>
      </c>
      <c r="B7487" s="12" t="s">
        <v>18</v>
      </c>
      <c r="C7487" s="12" t="s">
        <v>5611</v>
      </c>
      <c r="D7487" s="12" t="s">
        <v>30</v>
      </c>
      <c r="E7487" s="13">
        <v>72564391</v>
      </c>
      <c r="F7487" s="12" t="s">
        <v>89</v>
      </c>
      <c r="G7487" s="14">
        <v>8282.3000000000029</v>
      </c>
      <c r="H7487" s="12" t="s">
        <v>32</v>
      </c>
      <c r="I7487" s="12">
        <v>0</v>
      </c>
      <c r="J7487" s="12" t="s">
        <v>89</v>
      </c>
      <c r="K7487" s="12" t="s">
        <v>23</v>
      </c>
      <c r="L7487" s="12">
        <v>5</v>
      </c>
      <c r="M7487" s="15">
        <v>112500</v>
      </c>
      <c r="N7487" s="15">
        <v>0</v>
      </c>
      <c r="O7487" s="15">
        <f t="shared" si="703"/>
        <v>112500</v>
      </c>
      <c r="P7487" s="15">
        <f t="shared" si="704"/>
        <v>13.583183415234894</v>
      </c>
      <c r="Q7487" s="14">
        <v>10000</v>
      </c>
      <c r="R7487" s="12">
        <v>83</v>
      </c>
      <c r="S7487" s="12" t="s">
        <v>9093</v>
      </c>
      <c r="T7487" s="22">
        <f t="shared" si="700"/>
        <v>10</v>
      </c>
      <c r="U7487" s="22">
        <f t="shared" si="701"/>
        <v>2023</v>
      </c>
      <c r="V7487" s="22" t="str">
        <f t="shared" si="702"/>
        <v>METROPOLITANA</v>
      </c>
    </row>
    <row r="7488" spans="1:22" x14ac:dyDescent="0.2">
      <c r="A7488" s="11" t="s">
        <v>9090</v>
      </c>
      <c r="B7488" s="12" t="s">
        <v>33</v>
      </c>
      <c r="C7488" s="12" t="s">
        <v>60</v>
      </c>
      <c r="D7488" s="12" t="s">
        <v>38</v>
      </c>
      <c r="E7488" s="13">
        <v>125108660</v>
      </c>
      <c r="F7488" s="12" t="s">
        <v>51</v>
      </c>
      <c r="G7488" s="14">
        <f>3001.6+653</f>
        <v>3654.6</v>
      </c>
      <c r="H7488" s="12" t="s">
        <v>43</v>
      </c>
      <c r="I7488" s="12">
        <v>0</v>
      </c>
      <c r="J7488" s="12" t="s">
        <v>51</v>
      </c>
      <c r="K7488" s="12" t="s">
        <v>23</v>
      </c>
      <c r="L7488" s="12">
        <v>4</v>
      </c>
      <c r="M7488" s="15">
        <v>69173</v>
      </c>
      <c r="N7488" s="15">
        <v>0</v>
      </c>
      <c r="O7488" s="15">
        <f t="shared" si="703"/>
        <v>69173</v>
      </c>
      <c r="P7488" s="15">
        <f t="shared" si="704"/>
        <v>18.927652821102175</v>
      </c>
      <c r="Q7488" s="14">
        <v>5000</v>
      </c>
      <c r="R7488" s="12">
        <v>75</v>
      </c>
      <c r="S7488" s="12" t="s">
        <v>9107</v>
      </c>
      <c r="T7488" s="22">
        <f t="shared" si="700"/>
        <v>10</v>
      </c>
      <c r="U7488" s="22">
        <f t="shared" si="701"/>
        <v>2023</v>
      </c>
      <c r="V7488" s="22" t="str">
        <f t="shared" si="702"/>
        <v>METROPOLITANA</v>
      </c>
    </row>
    <row r="7489" spans="1:22" x14ac:dyDescent="0.2">
      <c r="A7489" s="11" t="s">
        <v>9090</v>
      </c>
      <c r="B7489" s="12" t="s">
        <v>33</v>
      </c>
      <c r="C7489" s="12" t="s">
        <v>60</v>
      </c>
      <c r="D7489" s="12" t="s">
        <v>37</v>
      </c>
      <c r="E7489" s="13">
        <v>107643206</v>
      </c>
      <c r="F7489" s="12" t="s">
        <v>51</v>
      </c>
      <c r="G7489" s="14">
        <v>4888.800000000002</v>
      </c>
      <c r="H7489" s="12" t="s">
        <v>22</v>
      </c>
      <c r="I7489" s="12">
        <v>0</v>
      </c>
      <c r="J7489" s="12" t="s">
        <v>51</v>
      </c>
      <c r="K7489" s="12" t="s">
        <v>23</v>
      </c>
      <c r="L7489" s="12">
        <v>4</v>
      </c>
      <c r="M7489" s="15">
        <v>69173</v>
      </c>
      <c r="N7489" s="15">
        <v>0</v>
      </c>
      <c r="O7489" s="15">
        <f t="shared" si="703"/>
        <v>69173</v>
      </c>
      <c r="P7489" s="15">
        <f t="shared" si="704"/>
        <v>14.149279986908848</v>
      </c>
      <c r="Q7489" s="14">
        <v>5000</v>
      </c>
      <c r="R7489" s="12">
        <v>98</v>
      </c>
      <c r="S7489" s="12" t="s">
        <v>9094</v>
      </c>
      <c r="T7489" s="22">
        <f t="shared" si="700"/>
        <v>10</v>
      </c>
      <c r="U7489" s="22">
        <f t="shared" si="701"/>
        <v>2023</v>
      </c>
      <c r="V7489" s="22" t="str">
        <f t="shared" si="702"/>
        <v>METROPOLITANA</v>
      </c>
    </row>
    <row r="7490" spans="1:22" x14ac:dyDescent="0.2">
      <c r="A7490" s="11" t="s">
        <v>9090</v>
      </c>
      <c r="B7490" s="12" t="s">
        <v>33</v>
      </c>
      <c r="C7490" s="12" t="s">
        <v>60</v>
      </c>
      <c r="D7490" s="12" t="s">
        <v>2028</v>
      </c>
      <c r="E7490" s="13">
        <v>81417709</v>
      </c>
      <c r="F7490" s="12" t="s">
        <v>5240</v>
      </c>
      <c r="G7490" s="14">
        <v>20260.80000000001</v>
      </c>
      <c r="H7490" s="12" t="s">
        <v>22</v>
      </c>
      <c r="I7490" s="12">
        <v>1</v>
      </c>
      <c r="J7490" s="12" t="s">
        <v>5240</v>
      </c>
      <c r="K7490" s="12" t="s">
        <v>78</v>
      </c>
      <c r="L7490" s="12">
        <v>0</v>
      </c>
      <c r="M7490" s="15">
        <v>289000</v>
      </c>
      <c r="N7490" s="15">
        <v>0</v>
      </c>
      <c r="O7490" s="15">
        <f t="shared" si="703"/>
        <v>289000</v>
      </c>
      <c r="P7490" s="15">
        <f t="shared" si="704"/>
        <v>14.26399747295269</v>
      </c>
      <c r="Q7490" s="14">
        <v>14000</v>
      </c>
      <c r="R7490" s="12">
        <v>100</v>
      </c>
      <c r="S7490" s="12" t="s">
        <v>9095</v>
      </c>
      <c r="T7490" s="22">
        <f t="shared" si="700"/>
        <v>10</v>
      </c>
      <c r="U7490" s="22">
        <f t="shared" si="701"/>
        <v>2023</v>
      </c>
      <c r="V7490" s="22" t="str">
        <f t="shared" si="702"/>
        <v>REGIONES</v>
      </c>
    </row>
    <row r="7491" spans="1:22" x14ac:dyDescent="0.2">
      <c r="A7491" s="11" t="s">
        <v>9090</v>
      </c>
      <c r="B7491" s="12" t="s">
        <v>33</v>
      </c>
      <c r="C7491" s="12" t="s">
        <v>128</v>
      </c>
      <c r="D7491" s="12" t="s">
        <v>2955</v>
      </c>
      <c r="E7491" s="13">
        <v>65941082</v>
      </c>
      <c r="F7491" s="12" t="s">
        <v>173</v>
      </c>
      <c r="G7491" s="14">
        <v>19271.669999999998</v>
      </c>
      <c r="H7491" s="12" t="s">
        <v>24</v>
      </c>
      <c r="I7491" s="12">
        <v>1</v>
      </c>
      <c r="J7491" s="12" t="s">
        <v>173</v>
      </c>
      <c r="K7491" s="12" t="s">
        <v>23</v>
      </c>
      <c r="L7491" s="12">
        <v>5</v>
      </c>
      <c r="M7491" s="15">
        <v>180000</v>
      </c>
      <c r="N7491" s="15">
        <v>0</v>
      </c>
      <c r="O7491" s="15">
        <f t="shared" si="703"/>
        <v>180000</v>
      </c>
      <c r="P7491" s="15">
        <f t="shared" si="704"/>
        <v>9.3401350272187109</v>
      </c>
      <c r="Q7491" s="14">
        <v>10000</v>
      </c>
      <c r="R7491" s="12">
        <v>100</v>
      </c>
      <c r="S7491" s="12" t="s">
        <v>9096</v>
      </c>
      <c r="T7491" s="22">
        <f t="shared" si="700"/>
        <v>10</v>
      </c>
      <c r="U7491" s="22">
        <f t="shared" si="701"/>
        <v>2023</v>
      </c>
      <c r="V7491" s="22" t="str">
        <f t="shared" si="702"/>
        <v>METROPOLITANA</v>
      </c>
    </row>
    <row r="7492" spans="1:22" x14ac:dyDescent="0.2">
      <c r="A7492" s="11" t="s">
        <v>9090</v>
      </c>
      <c r="B7492" s="12" t="s">
        <v>33</v>
      </c>
      <c r="C7492" s="12" t="s">
        <v>909</v>
      </c>
      <c r="D7492" s="12" t="s">
        <v>786</v>
      </c>
      <c r="E7492" s="13">
        <v>95707734</v>
      </c>
      <c r="F7492" s="12" t="s">
        <v>910</v>
      </c>
      <c r="G7492" s="14">
        <f>8150.26+3025</f>
        <v>11175.26</v>
      </c>
      <c r="H7492" s="12" t="s">
        <v>788</v>
      </c>
      <c r="I7492" s="12">
        <v>1</v>
      </c>
      <c r="J7492" s="12" t="s">
        <v>910</v>
      </c>
      <c r="K7492" s="12" t="s">
        <v>171</v>
      </c>
      <c r="L7492" s="12">
        <v>0</v>
      </c>
      <c r="M7492" s="15">
        <v>290000</v>
      </c>
      <c r="N7492" s="15">
        <v>0</v>
      </c>
      <c r="O7492" s="15">
        <f t="shared" si="703"/>
        <v>290000</v>
      </c>
      <c r="P7492" s="15">
        <f t="shared" si="704"/>
        <v>25.950179235203475</v>
      </c>
      <c r="Q7492" s="14">
        <v>14000</v>
      </c>
      <c r="R7492" s="12">
        <v>85</v>
      </c>
      <c r="S7492" s="12" t="s">
        <v>9108</v>
      </c>
      <c r="T7492" s="22">
        <f t="shared" si="700"/>
        <v>10</v>
      </c>
      <c r="U7492" s="22">
        <f t="shared" si="701"/>
        <v>2023</v>
      </c>
      <c r="V7492" s="22" t="str">
        <f t="shared" si="702"/>
        <v>REGIONES</v>
      </c>
    </row>
    <row r="7493" spans="1:22" x14ac:dyDescent="0.2">
      <c r="A7493" s="11" t="s">
        <v>9090</v>
      </c>
      <c r="B7493" s="12" t="s">
        <v>33</v>
      </c>
      <c r="C7493" s="12" t="s">
        <v>2862</v>
      </c>
      <c r="D7493" s="12" t="s">
        <v>5478</v>
      </c>
      <c r="E7493" s="13">
        <v>122975819</v>
      </c>
      <c r="F7493" s="12" t="s">
        <v>129</v>
      </c>
      <c r="G7493" s="14">
        <v>15822.399999999991</v>
      </c>
      <c r="H7493" s="12" t="s">
        <v>24</v>
      </c>
      <c r="I7493" s="12">
        <v>1</v>
      </c>
      <c r="J7493" s="12" t="s">
        <v>129</v>
      </c>
      <c r="K7493" s="12" t="s">
        <v>23</v>
      </c>
      <c r="L7493" s="12">
        <v>1</v>
      </c>
      <c r="M7493" s="15">
        <v>174046</v>
      </c>
      <c r="N7493" s="15">
        <v>0</v>
      </c>
      <c r="O7493" s="15">
        <f t="shared" si="703"/>
        <v>174046</v>
      </c>
      <c r="P7493" s="15">
        <f t="shared" si="704"/>
        <v>10.999974719385182</v>
      </c>
      <c r="Q7493" s="14">
        <v>5000</v>
      </c>
      <c r="R7493" s="12">
        <v>100</v>
      </c>
      <c r="S7493" s="12" t="s">
        <v>9097</v>
      </c>
      <c r="T7493" s="22">
        <f t="shared" si="700"/>
        <v>10</v>
      </c>
      <c r="U7493" s="22">
        <f t="shared" si="701"/>
        <v>2023</v>
      </c>
      <c r="V7493" s="22" t="str">
        <f t="shared" si="702"/>
        <v>METROPOLITANA</v>
      </c>
    </row>
    <row r="7494" spans="1:22" x14ac:dyDescent="0.2">
      <c r="A7494" s="11" t="s">
        <v>9090</v>
      </c>
      <c r="B7494" s="12" t="s">
        <v>33</v>
      </c>
      <c r="C7494" s="12" t="s">
        <v>8229</v>
      </c>
      <c r="D7494" s="12" t="s">
        <v>38</v>
      </c>
      <c r="E7494" s="13">
        <v>125108660</v>
      </c>
      <c r="F7494" s="12" t="s">
        <v>26</v>
      </c>
      <c r="G7494" s="14">
        <v>8993.9000000000015</v>
      </c>
      <c r="H7494" s="12" t="s">
        <v>43</v>
      </c>
      <c r="I7494" s="12">
        <v>0</v>
      </c>
      <c r="J7494" s="12" t="s">
        <v>26</v>
      </c>
      <c r="K7494" s="12" t="s">
        <v>23</v>
      </c>
      <c r="L7494" s="12">
        <v>4</v>
      </c>
      <c r="M7494" s="15">
        <v>98933</v>
      </c>
      <c r="N7494" s="15">
        <v>0</v>
      </c>
      <c r="O7494" s="15">
        <f t="shared" si="703"/>
        <v>98933</v>
      </c>
      <c r="P7494" s="15">
        <f t="shared" si="704"/>
        <v>11.00001111864708</v>
      </c>
      <c r="Q7494" s="14">
        <v>5000</v>
      </c>
      <c r="R7494" s="12">
        <v>100</v>
      </c>
      <c r="S7494" s="12" t="s">
        <v>9098</v>
      </c>
      <c r="T7494" s="22">
        <f t="shared" si="700"/>
        <v>10</v>
      </c>
      <c r="U7494" s="22">
        <f t="shared" si="701"/>
        <v>2023</v>
      </c>
      <c r="V7494" s="22" t="str">
        <f t="shared" si="702"/>
        <v>METROPOLITANA</v>
      </c>
    </row>
    <row r="7495" spans="1:22" x14ac:dyDescent="0.2">
      <c r="A7495" s="11" t="s">
        <v>9090</v>
      </c>
      <c r="B7495" s="12" t="s">
        <v>33</v>
      </c>
      <c r="C7495" s="12" t="s">
        <v>29</v>
      </c>
      <c r="D7495" s="12" t="s">
        <v>3842</v>
      </c>
      <c r="E7495" s="13">
        <v>161376469</v>
      </c>
      <c r="F7495" s="12" t="s">
        <v>114</v>
      </c>
      <c r="G7495" s="14">
        <v>24608.87000000001</v>
      </c>
      <c r="H7495" s="12" t="s">
        <v>24</v>
      </c>
      <c r="I7495" s="12">
        <v>1</v>
      </c>
      <c r="J7495" s="12" t="s">
        <v>114</v>
      </c>
      <c r="K7495" s="12" t="s">
        <v>75</v>
      </c>
      <c r="L7495" s="12">
        <v>0</v>
      </c>
      <c r="M7495" s="15">
        <v>528000</v>
      </c>
      <c r="N7495" s="15">
        <v>0</v>
      </c>
      <c r="O7495" s="15">
        <f t="shared" si="703"/>
        <v>528000</v>
      </c>
      <c r="P7495" s="15">
        <f t="shared" si="704"/>
        <v>21.455678379381084</v>
      </c>
      <c r="Q7495" s="14">
        <v>14000</v>
      </c>
      <c r="R7495" s="12">
        <v>100</v>
      </c>
      <c r="S7495" s="12" t="s">
        <v>9099</v>
      </c>
      <c r="T7495" s="22">
        <f t="shared" si="700"/>
        <v>10</v>
      </c>
      <c r="U7495" s="22">
        <f t="shared" si="701"/>
        <v>2023</v>
      </c>
      <c r="V7495" s="22" t="str">
        <f t="shared" si="702"/>
        <v>REGIONES</v>
      </c>
    </row>
    <row r="7496" spans="1:22" x14ac:dyDescent="0.2">
      <c r="A7496" s="11" t="s">
        <v>9090</v>
      </c>
      <c r="B7496" s="12" t="s">
        <v>33</v>
      </c>
      <c r="C7496" s="12" t="s">
        <v>29</v>
      </c>
      <c r="D7496" s="12" t="s">
        <v>4361</v>
      </c>
      <c r="E7496" s="13">
        <v>200217330</v>
      </c>
      <c r="F7496" s="12" t="s">
        <v>114</v>
      </c>
      <c r="G7496" s="14">
        <v>18677.360000000011</v>
      </c>
      <c r="H7496" s="12" t="s">
        <v>85</v>
      </c>
      <c r="I7496" s="12">
        <v>1</v>
      </c>
      <c r="J7496" s="12" t="s">
        <v>114</v>
      </c>
      <c r="K7496" s="12" t="s">
        <v>75</v>
      </c>
      <c r="L7496" s="12">
        <v>0</v>
      </c>
      <c r="M7496" s="15">
        <v>528000</v>
      </c>
      <c r="N7496" s="15">
        <v>0</v>
      </c>
      <c r="O7496" s="15">
        <f t="shared" si="703"/>
        <v>528000</v>
      </c>
      <c r="P7496" s="15">
        <f t="shared" si="704"/>
        <v>28.269519889320527</v>
      </c>
      <c r="Q7496" s="14">
        <v>14000</v>
      </c>
      <c r="R7496" s="12">
        <v>100</v>
      </c>
      <c r="S7496" s="12" t="s">
        <v>9100</v>
      </c>
      <c r="T7496" s="22">
        <f t="shared" si="700"/>
        <v>10</v>
      </c>
      <c r="U7496" s="22">
        <f t="shared" si="701"/>
        <v>2023</v>
      </c>
      <c r="V7496" s="22" t="str">
        <f t="shared" si="702"/>
        <v>REGIONES</v>
      </c>
    </row>
    <row r="7497" spans="1:22" x14ac:dyDescent="0.2">
      <c r="A7497" s="11" t="s">
        <v>9090</v>
      </c>
      <c r="B7497" s="12" t="s">
        <v>33</v>
      </c>
      <c r="C7497" s="12" t="s">
        <v>29</v>
      </c>
      <c r="D7497" s="12" t="s">
        <v>8448</v>
      </c>
      <c r="E7497" s="13">
        <v>121384531</v>
      </c>
      <c r="F7497" s="12" t="s">
        <v>132</v>
      </c>
      <c r="G7497" s="14">
        <v>9146.2000000000007</v>
      </c>
      <c r="H7497" s="12" t="s">
        <v>24</v>
      </c>
      <c r="I7497" s="12">
        <v>1</v>
      </c>
      <c r="J7497" s="12" t="s">
        <v>132</v>
      </c>
      <c r="K7497" s="12" t="s">
        <v>124</v>
      </c>
      <c r="L7497" s="12">
        <v>0</v>
      </c>
      <c r="M7497" s="15">
        <v>500000</v>
      </c>
      <c r="N7497" s="15">
        <v>0</v>
      </c>
      <c r="O7497" s="15">
        <f t="shared" si="703"/>
        <v>500000</v>
      </c>
      <c r="P7497" s="15">
        <f t="shared" si="704"/>
        <v>54.667512190855213</v>
      </c>
      <c r="Q7497" s="14">
        <v>14000</v>
      </c>
      <c r="R7497" s="12">
        <v>65</v>
      </c>
      <c r="S7497" s="12" t="s">
        <v>9101</v>
      </c>
      <c r="T7497" s="22">
        <f t="shared" si="700"/>
        <v>10</v>
      </c>
      <c r="U7497" s="22">
        <f t="shared" si="701"/>
        <v>2023</v>
      </c>
      <c r="V7497" s="22" t="str">
        <f t="shared" si="702"/>
        <v>REGIONES</v>
      </c>
    </row>
    <row r="7498" spans="1:22" x14ac:dyDescent="0.2">
      <c r="A7498" s="11" t="s">
        <v>9090</v>
      </c>
      <c r="B7498" s="12" t="s">
        <v>33</v>
      </c>
      <c r="C7498" s="12" t="s">
        <v>44</v>
      </c>
      <c r="D7498" s="12" t="s">
        <v>8580</v>
      </c>
      <c r="E7498" s="13">
        <v>276547747</v>
      </c>
      <c r="F7498" s="12" t="s">
        <v>138</v>
      </c>
      <c r="G7498" s="14">
        <v>2625.8</v>
      </c>
      <c r="H7498" s="12" t="s">
        <v>24</v>
      </c>
      <c r="I7498" s="12">
        <v>1</v>
      </c>
      <c r="J7498" s="12" t="s">
        <v>138</v>
      </c>
      <c r="K7498" s="12" t="s">
        <v>23</v>
      </c>
      <c r="L7498" s="12">
        <v>3</v>
      </c>
      <c r="M7498" s="15">
        <v>69173</v>
      </c>
      <c r="N7498" s="15">
        <v>0</v>
      </c>
      <c r="O7498" s="15">
        <f t="shared" si="703"/>
        <v>69173</v>
      </c>
      <c r="P7498" s="15">
        <f t="shared" si="704"/>
        <v>26.343590524792443</v>
      </c>
      <c r="Q7498" s="14">
        <v>5000</v>
      </c>
      <c r="R7498" s="12">
        <v>53</v>
      </c>
      <c r="S7498" s="12" t="s">
        <v>9102</v>
      </c>
      <c r="T7498" s="22">
        <f t="shared" si="700"/>
        <v>10</v>
      </c>
      <c r="U7498" s="22">
        <f t="shared" si="701"/>
        <v>2023</v>
      </c>
      <c r="V7498" s="22" t="str">
        <f t="shared" si="702"/>
        <v>METROPOLITANA</v>
      </c>
    </row>
    <row r="7499" spans="1:22" x14ac:dyDescent="0.2">
      <c r="A7499" s="11" t="s">
        <v>9090</v>
      </c>
      <c r="B7499" s="12" t="s">
        <v>33</v>
      </c>
      <c r="C7499" s="12" t="s">
        <v>44</v>
      </c>
      <c r="D7499" s="12" t="s">
        <v>9084</v>
      </c>
      <c r="E7499" s="13">
        <v>256738929</v>
      </c>
      <c r="F7499" s="12" t="s">
        <v>51</v>
      </c>
      <c r="G7499" s="14">
        <v>2831.98</v>
      </c>
      <c r="H7499" s="12" t="s">
        <v>24</v>
      </c>
      <c r="I7499" s="12">
        <v>1</v>
      </c>
      <c r="J7499" s="12" t="s">
        <v>51</v>
      </c>
      <c r="K7499" s="12" t="s">
        <v>23</v>
      </c>
      <c r="L7499" s="12">
        <v>4</v>
      </c>
      <c r="M7499" s="15">
        <v>69173</v>
      </c>
      <c r="N7499" s="15">
        <v>0</v>
      </c>
      <c r="O7499" s="15">
        <f t="shared" si="703"/>
        <v>69173</v>
      </c>
      <c r="P7499" s="15">
        <f t="shared" si="704"/>
        <v>24.425666847929715</v>
      </c>
      <c r="Q7499" s="14">
        <v>5000</v>
      </c>
      <c r="R7499" s="12">
        <v>57</v>
      </c>
      <c r="S7499" s="12" t="s">
        <v>9103</v>
      </c>
      <c r="T7499" s="22">
        <f t="shared" si="700"/>
        <v>10</v>
      </c>
      <c r="U7499" s="22">
        <f t="shared" si="701"/>
        <v>2023</v>
      </c>
      <c r="V7499" s="22" t="str">
        <f t="shared" si="702"/>
        <v>METROPOLITANA</v>
      </c>
    </row>
    <row r="7500" spans="1:22" x14ac:dyDescent="0.2">
      <c r="A7500" s="11" t="s">
        <v>9090</v>
      </c>
      <c r="B7500" s="12" t="s">
        <v>33</v>
      </c>
      <c r="C7500" s="12" t="s">
        <v>44</v>
      </c>
      <c r="D7500" s="12" t="s">
        <v>45</v>
      </c>
      <c r="E7500" s="13">
        <v>107643206</v>
      </c>
      <c r="F7500" s="12" t="s">
        <v>225</v>
      </c>
      <c r="G7500" s="14">
        <v>3189.8</v>
      </c>
      <c r="H7500" s="12" t="s">
        <v>22</v>
      </c>
      <c r="I7500" s="12">
        <v>0</v>
      </c>
      <c r="J7500" s="12" t="s">
        <v>225</v>
      </c>
      <c r="K7500" s="12" t="s">
        <v>23</v>
      </c>
      <c r="L7500" s="12">
        <v>3</v>
      </c>
      <c r="M7500" s="15">
        <v>69173</v>
      </c>
      <c r="N7500" s="15">
        <v>0</v>
      </c>
      <c r="O7500" s="15">
        <f t="shared" si="703"/>
        <v>69173</v>
      </c>
      <c r="P7500" s="15">
        <f t="shared" si="704"/>
        <v>21.685685622923067</v>
      </c>
      <c r="Q7500" s="14">
        <v>5000</v>
      </c>
      <c r="R7500" s="12">
        <v>64</v>
      </c>
      <c r="S7500" s="12" t="s">
        <v>9104</v>
      </c>
      <c r="T7500" s="22">
        <f t="shared" si="700"/>
        <v>10</v>
      </c>
      <c r="U7500" s="22">
        <f t="shared" si="701"/>
        <v>2023</v>
      </c>
      <c r="V7500" s="22" t="str">
        <f t="shared" si="702"/>
        <v>METROPOLITANA</v>
      </c>
    </row>
    <row r="7501" spans="1:22" x14ac:dyDescent="0.2">
      <c r="A7501" s="11" t="s">
        <v>9090</v>
      </c>
      <c r="B7501" s="12" t="s">
        <v>33</v>
      </c>
      <c r="C7501" s="12" t="s">
        <v>44</v>
      </c>
      <c r="D7501" s="12" t="s">
        <v>35</v>
      </c>
      <c r="E7501" s="13">
        <v>99626232</v>
      </c>
      <c r="F7501" s="12" t="s">
        <v>46</v>
      </c>
      <c r="G7501" s="14">
        <v>2499.8000000000002</v>
      </c>
      <c r="H7501" s="12" t="s">
        <v>22</v>
      </c>
      <c r="I7501" s="12">
        <v>0</v>
      </c>
      <c r="J7501" s="12" t="s">
        <v>46</v>
      </c>
      <c r="K7501" s="12" t="s">
        <v>23</v>
      </c>
      <c r="L7501" s="12">
        <v>2</v>
      </c>
      <c r="M7501" s="15">
        <v>69173</v>
      </c>
      <c r="N7501" s="15">
        <v>0</v>
      </c>
      <c r="O7501" s="15">
        <f t="shared" si="703"/>
        <v>69173</v>
      </c>
      <c r="P7501" s="15">
        <f t="shared" si="704"/>
        <v>27.671413713097046</v>
      </c>
      <c r="Q7501" s="14">
        <v>5000</v>
      </c>
      <c r="R7501" s="12">
        <v>50</v>
      </c>
      <c r="S7501" s="12" t="s">
        <v>9105</v>
      </c>
      <c r="T7501" s="22">
        <f t="shared" si="700"/>
        <v>10</v>
      </c>
      <c r="U7501" s="22">
        <f t="shared" si="701"/>
        <v>2023</v>
      </c>
      <c r="V7501" s="22" t="str">
        <f t="shared" si="702"/>
        <v>METROPOLITANA</v>
      </c>
    </row>
    <row r="7502" spans="1:22" x14ac:dyDescent="0.2">
      <c r="A7502" s="11" t="s">
        <v>9090</v>
      </c>
      <c r="B7502" s="12" t="s">
        <v>33</v>
      </c>
      <c r="C7502" s="12" t="s">
        <v>44</v>
      </c>
      <c r="D7502" s="12" t="s">
        <v>20</v>
      </c>
      <c r="E7502" s="13">
        <v>78907355</v>
      </c>
      <c r="F7502" s="12" t="s">
        <v>48</v>
      </c>
      <c r="G7502" s="14">
        <v>2913.32</v>
      </c>
      <c r="H7502" s="12" t="s">
        <v>22</v>
      </c>
      <c r="I7502" s="12">
        <v>0</v>
      </c>
      <c r="J7502" s="12" t="s">
        <v>48</v>
      </c>
      <c r="K7502" s="12" t="s">
        <v>23</v>
      </c>
      <c r="L7502" s="12">
        <v>1</v>
      </c>
      <c r="M7502" s="15">
        <v>69173</v>
      </c>
      <c r="N7502" s="15">
        <v>0</v>
      </c>
      <c r="O7502" s="15">
        <f t="shared" si="703"/>
        <v>69173</v>
      </c>
      <c r="P7502" s="15">
        <f t="shared" si="704"/>
        <v>23.743701344170912</v>
      </c>
      <c r="Q7502" s="14">
        <v>5000</v>
      </c>
      <c r="R7502" s="12">
        <v>58</v>
      </c>
      <c r="S7502" s="12" t="s">
        <v>9106</v>
      </c>
      <c r="T7502" s="22">
        <f t="shared" si="700"/>
        <v>10</v>
      </c>
      <c r="U7502" s="22">
        <f t="shared" si="701"/>
        <v>2023</v>
      </c>
      <c r="V7502" s="22" t="str">
        <f t="shared" si="702"/>
        <v>METROPOLITANA</v>
      </c>
    </row>
    <row r="7503" spans="1:22" x14ac:dyDescent="0.2">
      <c r="A7503" s="23" t="s">
        <v>9109</v>
      </c>
      <c r="B7503" s="22" t="s">
        <v>18</v>
      </c>
      <c r="C7503" s="22" t="s">
        <v>457</v>
      </c>
      <c r="D7503" s="22" t="s">
        <v>9110</v>
      </c>
      <c r="E7503" s="24">
        <v>73546974</v>
      </c>
      <c r="F7503" s="22" t="s">
        <v>132</v>
      </c>
      <c r="G7503" s="25">
        <v>8891.9700000000012</v>
      </c>
      <c r="H7503" s="22" t="s">
        <v>24</v>
      </c>
      <c r="I7503" s="22">
        <v>1</v>
      </c>
      <c r="J7503" s="22" t="s">
        <v>132</v>
      </c>
      <c r="K7503" s="22" t="s">
        <v>124</v>
      </c>
      <c r="L7503" s="22">
        <v>0</v>
      </c>
      <c r="M7503" s="26">
        <v>500000</v>
      </c>
      <c r="N7503" s="26">
        <v>0</v>
      </c>
      <c r="O7503" s="15">
        <f t="shared" ref="O7503:O7513" si="705">SUM(M7503:N7503)</f>
        <v>500000</v>
      </c>
      <c r="P7503" s="15">
        <f t="shared" ref="P7503:P7513" si="706">O7503/G7503</f>
        <v>56.230509099783283</v>
      </c>
      <c r="Q7503" s="25">
        <v>14000</v>
      </c>
      <c r="R7503" s="22">
        <v>64</v>
      </c>
      <c r="S7503" s="22" t="s">
        <v>9111</v>
      </c>
      <c r="T7503" s="22">
        <f t="shared" si="700"/>
        <v>10</v>
      </c>
      <c r="U7503" s="22">
        <f t="shared" si="701"/>
        <v>2023</v>
      </c>
      <c r="V7503" s="22" t="str">
        <f t="shared" si="702"/>
        <v>REGIONES</v>
      </c>
    </row>
    <row r="7504" spans="1:22" x14ac:dyDescent="0.2">
      <c r="A7504" s="23" t="s">
        <v>9109</v>
      </c>
      <c r="B7504" s="22" t="s">
        <v>33</v>
      </c>
      <c r="C7504" s="22" t="s">
        <v>36</v>
      </c>
      <c r="D7504" s="22" t="s">
        <v>45</v>
      </c>
      <c r="E7504" s="24">
        <v>107643206</v>
      </c>
      <c r="F7504" s="22" t="s">
        <v>51</v>
      </c>
      <c r="G7504" s="25">
        <v>4213.66</v>
      </c>
      <c r="H7504" s="22" t="s">
        <v>22</v>
      </c>
      <c r="I7504" s="22">
        <v>0</v>
      </c>
      <c r="J7504" s="22" t="s">
        <v>51</v>
      </c>
      <c r="K7504" s="22" t="s">
        <v>23</v>
      </c>
      <c r="L7504" s="22">
        <v>4</v>
      </c>
      <c r="M7504" s="26">
        <v>69173</v>
      </c>
      <c r="N7504" s="26">
        <v>0</v>
      </c>
      <c r="O7504" s="15">
        <f t="shared" si="705"/>
        <v>69173</v>
      </c>
      <c r="P7504" s="15">
        <f t="shared" si="706"/>
        <v>16.416369616912615</v>
      </c>
      <c r="Q7504" s="25">
        <v>5000</v>
      </c>
      <c r="R7504" s="22">
        <v>84</v>
      </c>
      <c r="S7504" s="22" t="s">
        <v>9112</v>
      </c>
      <c r="T7504" s="22">
        <f t="shared" si="700"/>
        <v>10</v>
      </c>
      <c r="U7504" s="22">
        <f t="shared" si="701"/>
        <v>2023</v>
      </c>
      <c r="V7504" s="22" t="str">
        <f t="shared" si="702"/>
        <v>METROPOLITANA</v>
      </c>
    </row>
    <row r="7505" spans="1:22" x14ac:dyDescent="0.2">
      <c r="A7505" s="23" t="s">
        <v>9109</v>
      </c>
      <c r="B7505" s="22" t="s">
        <v>33</v>
      </c>
      <c r="C7505" s="22" t="s">
        <v>36</v>
      </c>
      <c r="D7505" s="22" t="s">
        <v>35</v>
      </c>
      <c r="E7505" s="24">
        <v>99626232</v>
      </c>
      <c r="F7505" s="22" t="s">
        <v>46</v>
      </c>
      <c r="G7505" s="25">
        <v>2662.9</v>
      </c>
      <c r="H7505" s="22" t="s">
        <v>22</v>
      </c>
      <c r="I7505" s="22">
        <v>0</v>
      </c>
      <c r="J7505" s="22" t="s">
        <v>46</v>
      </c>
      <c r="K7505" s="22" t="s">
        <v>23</v>
      </c>
      <c r="L7505" s="22">
        <v>2</v>
      </c>
      <c r="M7505" s="26">
        <v>69173</v>
      </c>
      <c r="N7505" s="26">
        <v>0</v>
      </c>
      <c r="O7505" s="15">
        <f t="shared" si="705"/>
        <v>69173</v>
      </c>
      <c r="P7505" s="15">
        <f t="shared" si="706"/>
        <v>25.976566900747304</v>
      </c>
      <c r="Q7505" s="25">
        <v>5000</v>
      </c>
      <c r="R7505" s="22">
        <v>53</v>
      </c>
      <c r="S7505" s="22" t="s">
        <v>9113</v>
      </c>
      <c r="T7505" s="22">
        <f t="shared" si="700"/>
        <v>10</v>
      </c>
      <c r="U7505" s="22">
        <f t="shared" si="701"/>
        <v>2023</v>
      </c>
      <c r="V7505" s="22" t="str">
        <f t="shared" si="702"/>
        <v>METROPOLITANA</v>
      </c>
    </row>
    <row r="7506" spans="1:22" x14ac:dyDescent="0.2">
      <c r="A7506" s="23" t="s">
        <v>9109</v>
      </c>
      <c r="B7506" s="22" t="s">
        <v>33</v>
      </c>
      <c r="C7506" s="22" t="s">
        <v>2605</v>
      </c>
      <c r="D7506" s="22" t="s">
        <v>8219</v>
      </c>
      <c r="E7506" s="24">
        <v>73835526</v>
      </c>
      <c r="F7506" s="22" t="s">
        <v>129</v>
      </c>
      <c r="G7506" s="25">
        <v>4166.3999999999996</v>
      </c>
      <c r="H7506" s="22" t="s">
        <v>24</v>
      </c>
      <c r="I7506" s="22">
        <v>1</v>
      </c>
      <c r="J7506" s="22" t="s">
        <v>129</v>
      </c>
      <c r="K7506" s="22" t="s">
        <v>23</v>
      </c>
      <c r="L7506" s="22">
        <v>1</v>
      </c>
      <c r="M7506" s="26">
        <v>69173</v>
      </c>
      <c r="N7506" s="26">
        <v>0</v>
      </c>
      <c r="O7506" s="15">
        <f t="shared" si="705"/>
        <v>69173</v>
      </c>
      <c r="P7506" s="15">
        <f t="shared" si="706"/>
        <v>16.60258256528418</v>
      </c>
      <c r="Q7506" s="25">
        <v>5000</v>
      </c>
      <c r="R7506" s="22">
        <v>83</v>
      </c>
      <c r="S7506" s="22" t="s">
        <v>9114</v>
      </c>
      <c r="T7506" s="22">
        <f t="shared" si="700"/>
        <v>10</v>
      </c>
      <c r="U7506" s="22">
        <f t="shared" si="701"/>
        <v>2023</v>
      </c>
      <c r="V7506" s="22" t="str">
        <f t="shared" si="702"/>
        <v>METROPOLITANA</v>
      </c>
    </row>
    <row r="7507" spans="1:22" x14ac:dyDescent="0.2">
      <c r="A7507" s="23" t="s">
        <v>9109</v>
      </c>
      <c r="B7507" s="22" t="s">
        <v>33</v>
      </c>
      <c r="C7507" s="22" t="s">
        <v>223</v>
      </c>
      <c r="D7507" s="22" t="s">
        <v>2955</v>
      </c>
      <c r="E7507" s="24">
        <v>65941082</v>
      </c>
      <c r="F7507" s="22" t="s">
        <v>51</v>
      </c>
      <c r="G7507" s="25">
        <v>12503.2</v>
      </c>
      <c r="H7507" s="22" t="s">
        <v>24</v>
      </c>
      <c r="I7507" s="22">
        <v>1</v>
      </c>
      <c r="J7507" s="22" t="s">
        <v>51</v>
      </c>
      <c r="K7507" s="22" t="s">
        <v>23</v>
      </c>
      <c r="L7507" s="22">
        <v>4</v>
      </c>
      <c r="M7507" s="26">
        <v>137535</v>
      </c>
      <c r="N7507" s="26">
        <v>0</v>
      </c>
      <c r="O7507" s="15">
        <f t="shared" si="705"/>
        <v>137535</v>
      </c>
      <c r="P7507" s="15">
        <f t="shared" si="706"/>
        <v>10.999984004094951</v>
      </c>
      <c r="Q7507" s="25">
        <v>5000</v>
      </c>
      <c r="R7507" s="22">
        <v>100</v>
      </c>
      <c r="S7507" s="22" t="s">
        <v>9115</v>
      </c>
      <c r="T7507" s="22">
        <f t="shared" si="700"/>
        <v>10</v>
      </c>
      <c r="U7507" s="22">
        <f t="shared" si="701"/>
        <v>2023</v>
      </c>
      <c r="V7507" s="22" t="str">
        <f t="shared" si="702"/>
        <v>METROPOLITANA</v>
      </c>
    </row>
    <row r="7508" spans="1:22" x14ac:dyDescent="0.2">
      <c r="A7508" s="23" t="s">
        <v>9109</v>
      </c>
      <c r="B7508" s="22" t="s">
        <v>33</v>
      </c>
      <c r="C7508" s="22" t="s">
        <v>909</v>
      </c>
      <c r="D7508" s="22" t="s">
        <v>20</v>
      </c>
      <c r="E7508" s="24">
        <v>78907355</v>
      </c>
      <c r="F7508" s="22" t="s">
        <v>173</v>
      </c>
      <c r="G7508" s="25">
        <v>7359.3099999999986</v>
      </c>
      <c r="H7508" s="22" t="s">
        <v>22</v>
      </c>
      <c r="I7508" s="22">
        <v>0</v>
      </c>
      <c r="J7508" s="22" t="s">
        <v>173</v>
      </c>
      <c r="K7508" s="22" t="s">
        <v>23</v>
      </c>
      <c r="L7508" s="22">
        <v>5</v>
      </c>
      <c r="M7508" s="26">
        <v>112500</v>
      </c>
      <c r="N7508" s="26">
        <v>0</v>
      </c>
      <c r="O7508" s="15">
        <f t="shared" si="705"/>
        <v>112500</v>
      </c>
      <c r="P7508" s="15">
        <f t="shared" si="706"/>
        <v>15.28675922063346</v>
      </c>
      <c r="Q7508" s="25">
        <v>10000</v>
      </c>
      <c r="R7508" s="22">
        <v>74</v>
      </c>
      <c r="S7508" s="22" t="s">
        <v>9116</v>
      </c>
      <c r="T7508" s="22">
        <f t="shared" si="700"/>
        <v>10</v>
      </c>
      <c r="U7508" s="22">
        <f t="shared" si="701"/>
        <v>2023</v>
      </c>
      <c r="V7508" s="22" t="str">
        <f t="shared" si="702"/>
        <v>METROPOLITANA</v>
      </c>
    </row>
    <row r="7509" spans="1:22" x14ac:dyDescent="0.2">
      <c r="A7509" s="23" t="s">
        <v>9109</v>
      </c>
      <c r="B7509" s="22" t="s">
        <v>33</v>
      </c>
      <c r="C7509" s="22" t="s">
        <v>29</v>
      </c>
      <c r="D7509" s="22" t="s">
        <v>37</v>
      </c>
      <c r="E7509" s="24">
        <v>81417709</v>
      </c>
      <c r="F7509" s="22" t="s">
        <v>39</v>
      </c>
      <c r="G7509" s="25">
        <v>11569.69</v>
      </c>
      <c r="H7509" s="22" t="s">
        <v>22</v>
      </c>
      <c r="I7509" s="22">
        <v>0</v>
      </c>
      <c r="J7509" s="22" t="s">
        <v>39</v>
      </c>
      <c r="K7509" s="22" t="s">
        <v>23</v>
      </c>
      <c r="L7509" s="22">
        <v>1</v>
      </c>
      <c r="M7509" s="26">
        <v>127267</v>
      </c>
      <c r="N7509" s="26">
        <v>0</v>
      </c>
      <c r="O7509" s="15">
        <f t="shared" si="705"/>
        <v>127267</v>
      </c>
      <c r="P7509" s="15">
        <f t="shared" si="706"/>
        <v>11.000035437423129</v>
      </c>
      <c r="Q7509" s="25">
        <v>5000</v>
      </c>
      <c r="R7509" s="22">
        <v>100</v>
      </c>
      <c r="S7509" s="22" t="s">
        <v>9117</v>
      </c>
      <c r="T7509" s="22">
        <f t="shared" si="700"/>
        <v>10</v>
      </c>
      <c r="U7509" s="22">
        <f t="shared" si="701"/>
        <v>2023</v>
      </c>
      <c r="V7509" s="22" t="str">
        <f t="shared" si="702"/>
        <v>METROPOLITANA</v>
      </c>
    </row>
    <row r="7510" spans="1:22" x14ac:dyDescent="0.2">
      <c r="A7510" s="23" t="s">
        <v>9109</v>
      </c>
      <c r="B7510" s="22" t="s">
        <v>33</v>
      </c>
      <c r="C7510" s="22" t="s">
        <v>29</v>
      </c>
      <c r="D7510" s="22" t="s">
        <v>7530</v>
      </c>
      <c r="E7510" s="24">
        <v>162870963</v>
      </c>
      <c r="F7510" s="22" t="s">
        <v>114</v>
      </c>
      <c r="G7510" s="25">
        <v>9392.9599999999955</v>
      </c>
      <c r="H7510" s="22" t="s">
        <v>24</v>
      </c>
      <c r="I7510" s="22">
        <v>1</v>
      </c>
      <c r="J7510" s="22" t="s">
        <v>114</v>
      </c>
      <c r="K7510" s="22" t="s">
        <v>75</v>
      </c>
      <c r="L7510" s="22">
        <v>0</v>
      </c>
      <c r="M7510" s="26">
        <v>528000</v>
      </c>
      <c r="N7510" s="26">
        <v>0</v>
      </c>
      <c r="O7510" s="15">
        <f t="shared" si="705"/>
        <v>528000</v>
      </c>
      <c r="P7510" s="15">
        <f t="shared" si="706"/>
        <v>56.212312199775177</v>
      </c>
      <c r="Q7510" s="25">
        <v>14000</v>
      </c>
      <c r="R7510" s="22">
        <v>67</v>
      </c>
      <c r="S7510" s="22" t="s">
        <v>9118</v>
      </c>
      <c r="T7510" s="22">
        <f t="shared" si="700"/>
        <v>10</v>
      </c>
      <c r="U7510" s="22">
        <f t="shared" si="701"/>
        <v>2023</v>
      </c>
      <c r="V7510" s="22" t="str">
        <f t="shared" si="702"/>
        <v>REGIONES</v>
      </c>
    </row>
    <row r="7511" spans="1:22" x14ac:dyDescent="0.2">
      <c r="A7511" s="23" t="s">
        <v>9109</v>
      </c>
      <c r="B7511" s="22" t="s">
        <v>33</v>
      </c>
      <c r="C7511" s="22" t="s">
        <v>29</v>
      </c>
      <c r="D7511" s="22" t="s">
        <v>8988</v>
      </c>
      <c r="E7511" s="24">
        <v>70866846</v>
      </c>
      <c r="F7511" s="22" t="s">
        <v>114</v>
      </c>
      <c r="G7511" s="25">
        <f>6003.2+3847</f>
        <v>9850.2000000000007</v>
      </c>
      <c r="H7511" s="22" t="s">
        <v>24</v>
      </c>
      <c r="I7511" s="22">
        <v>1</v>
      </c>
      <c r="J7511" s="22" t="s">
        <v>114</v>
      </c>
      <c r="K7511" s="22" t="s">
        <v>75</v>
      </c>
      <c r="L7511" s="22">
        <v>0</v>
      </c>
      <c r="M7511" s="26">
        <v>528000</v>
      </c>
      <c r="N7511" s="26">
        <v>0</v>
      </c>
      <c r="O7511" s="15">
        <f t="shared" si="705"/>
        <v>528000</v>
      </c>
      <c r="P7511" s="15">
        <f t="shared" si="706"/>
        <v>53.602972528476577</v>
      </c>
      <c r="Q7511" s="25">
        <v>14000</v>
      </c>
      <c r="R7511" s="22">
        <v>82</v>
      </c>
      <c r="S7511" s="22" t="s">
        <v>9121</v>
      </c>
      <c r="T7511" s="22">
        <f t="shared" si="700"/>
        <v>10</v>
      </c>
      <c r="U7511" s="22">
        <f t="shared" si="701"/>
        <v>2023</v>
      </c>
      <c r="V7511" s="22" t="str">
        <f t="shared" si="702"/>
        <v>REGIONES</v>
      </c>
    </row>
    <row r="7512" spans="1:22" x14ac:dyDescent="0.2">
      <c r="A7512" s="23" t="s">
        <v>9109</v>
      </c>
      <c r="B7512" s="22" t="s">
        <v>33</v>
      </c>
      <c r="C7512" s="22" t="s">
        <v>29</v>
      </c>
      <c r="D7512" s="22" t="s">
        <v>164</v>
      </c>
      <c r="E7512" s="24">
        <v>154837728</v>
      </c>
      <c r="F7512" s="22" t="s">
        <v>39</v>
      </c>
      <c r="G7512" s="25">
        <v>18376.2</v>
      </c>
      <c r="H7512" s="22" t="s">
        <v>22</v>
      </c>
      <c r="I7512" s="22">
        <v>1</v>
      </c>
      <c r="J7512" s="22" t="s">
        <v>39</v>
      </c>
      <c r="K7512" s="22" t="s">
        <v>23</v>
      </c>
      <c r="L7512" s="22">
        <v>1</v>
      </c>
      <c r="M7512" s="26">
        <v>202138</v>
      </c>
      <c r="N7512" s="26">
        <v>0</v>
      </c>
      <c r="O7512" s="15">
        <f t="shared" si="705"/>
        <v>202138</v>
      </c>
      <c r="P7512" s="15">
        <f t="shared" si="706"/>
        <v>10.999989116357026</v>
      </c>
      <c r="Q7512" s="25">
        <v>5000</v>
      </c>
      <c r="R7512" s="22">
        <v>100</v>
      </c>
      <c r="S7512" s="22" t="s">
        <v>9119</v>
      </c>
      <c r="T7512" s="22">
        <f t="shared" si="700"/>
        <v>10</v>
      </c>
      <c r="U7512" s="22">
        <f t="shared" si="701"/>
        <v>2023</v>
      </c>
      <c r="V7512" s="22" t="str">
        <f t="shared" si="702"/>
        <v>METROPOLITANA</v>
      </c>
    </row>
    <row r="7513" spans="1:22" x14ac:dyDescent="0.2">
      <c r="A7513" s="23" t="s">
        <v>9109</v>
      </c>
      <c r="B7513" s="22" t="s">
        <v>33</v>
      </c>
      <c r="C7513" s="22" t="s">
        <v>44</v>
      </c>
      <c r="D7513" s="22" t="s">
        <v>30</v>
      </c>
      <c r="E7513" s="24">
        <v>72564391</v>
      </c>
      <c r="F7513" s="22" t="s">
        <v>94</v>
      </c>
      <c r="G7513" s="25">
        <v>7103.94</v>
      </c>
      <c r="H7513" s="22" t="s">
        <v>32</v>
      </c>
      <c r="I7513" s="22">
        <v>0</v>
      </c>
      <c r="J7513" s="22" t="s">
        <v>59</v>
      </c>
      <c r="K7513" s="22" t="s">
        <v>78</v>
      </c>
      <c r="L7513" s="22">
        <v>0</v>
      </c>
      <c r="M7513" s="26">
        <v>227000</v>
      </c>
      <c r="N7513" s="26">
        <v>0</v>
      </c>
      <c r="O7513" s="15">
        <f t="shared" si="705"/>
        <v>227000</v>
      </c>
      <c r="P7513" s="15">
        <f t="shared" si="706"/>
        <v>31.954098711419299</v>
      </c>
      <c r="Q7513" s="25">
        <v>14000</v>
      </c>
      <c r="R7513" s="22">
        <v>51</v>
      </c>
      <c r="S7513" s="22" t="s">
        <v>9120</v>
      </c>
      <c r="T7513" s="22">
        <f t="shared" si="700"/>
        <v>10</v>
      </c>
      <c r="U7513" s="22">
        <f t="shared" si="701"/>
        <v>2023</v>
      </c>
      <c r="V7513" s="22" t="str">
        <f t="shared" si="702"/>
        <v>REGIONES</v>
      </c>
    </row>
    <row r="7514" spans="1:22" x14ac:dyDescent="0.2">
      <c r="A7514" s="11" t="s">
        <v>9122</v>
      </c>
      <c r="B7514" s="12" t="s">
        <v>18</v>
      </c>
      <c r="C7514" s="12" t="s">
        <v>1525</v>
      </c>
      <c r="D7514" s="12" t="s">
        <v>786</v>
      </c>
      <c r="E7514" s="13" t="s">
        <v>31</v>
      </c>
      <c r="F7514" s="12" t="s">
        <v>127</v>
      </c>
      <c r="G7514" s="14">
        <v>14130.410000000011</v>
      </c>
      <c r="H7514" s="12" t="s">
        <v>788</v>
      </c>
      <c r="I7514" s="12">
        <v>1</v>
      </c>
      <c r="J7514" s="12" t="s">
        <v>127</v>
      </c>
      <c r="K7514" s="12" t="s">
        <v>78</v>
      </c>
      <c r="L7514" s="12">
        <v>0</v>
      </c>
      <c r="M7514" s="15">
        <v>289000</v>
      </c>
      <c r="N7514" s="15">
        <v>0</v>
      </c>
      <c r="O7514" s="15">
        <f t="shared" ref="O7514:O7529" si="707">SUM(M7514:N7514)</f>
        <v>289000</v>
      </c>
      <c r="P7514" s="15">
        <f t="shared" ref="P7514:P7529" si="708">O7514/G7514</f>
        <v>20.45234356257177</v>
      </c>
      <c r="Q7514" s="14">
        <v>14000</v>
      </c>
      <c r="R7514" s="12">
        <v>100</v>
      </c>
      <c r="S7514" s="12" t="s">
        <v>9123</v>
      </c>
      <c r="T7514" s="22">
        <f t="shared" si="700"/>
        <v>10</v>
      </c>
      <c r="U7514" s="22">
        <f t="shared" si="701"/>
        <v>2023</v>
      </c>
      <c r="V7514" s="22" t="str">
        <f t="shared" si="702"/>
        <v>REGIONES</v>
      </c>
    </row>
    <row r="7515" spans="1:22" x14ac:dyDescent="0.2">
      <c r="A7515" s="11" t="s">
        <v>9122</v>
      </c>
      <c r="B7515" s="12" t="s">
        <v>33</v>
      </c>
      <c r="C7515" s="12" t="s">
        <v>60</v>
      </c>
      <c r="D7515" s="12" t="s">
        <v>6989</v>
      </c>
      <c r="E7515" s="13" t="s">
        <v>9124</v>
      </c>
      <c r="F7515" s="12" t="s">
        <v>6998</v>
      </c>
      <c r="G7515" s="14">
        <f>8583.4+4602</f>
        <v>13185.4</v>
      </c>
      <c r="H7515" s="12" t="s">
        <v>24</v>
      </c>
      <c r="I7515" s="12">
        <v>1</v>
      </c>
      <c r="J7515" s="12" t="s">
        <v>6998</v>
      </c>
      <c r="K7515" s="12" t="s">
        <v>93</v>
      </c>
      <c r="L7515" s="12">
        <v>0</v>
      </c>
      <c r="M7515" s="15">
        <v>1000000</v>
      </c>
      <c r="N7515" s="15">
        <v>0</v>
      </c>
      <c r="O7515" s="15">
        <f t="shared" si="707"/>
        <v>1000000</v>
      </c>
      <c r="P7515" s="15">
        <f t="shared" si="708"/>
        <v>75.84146100990489</v>
      </c>
      <c r="Q7515" s="14">
        <v>14000</v>
      </c>
      <c r="R7515" s="12">
        <v>100</v>
      </c>
      <c r="S7515" s="12" t="s">
        <v>9141</v>
      </c>
      <c r="T7515" s="22">
        <f t="shared" si="700"/>
        <v>10</v>
      </c>
      <c r="U7515" s="22">
        <f t="shared" si="701"/>
        <v>2023</v>
      </c>
      <c r="V7515" s="22" t="str">
        <f t="shared" si="702"/>
        <v>REGIONES</v>
      </c>
    </row>
    <row r="7516" spans="1:22" x14ac:dyDescent="0.2">
      <c r="A7516" s="11" t="s">
        <v>9122</v>
      </c>
      <c r="B7516" s="12" t="s">
        <v>33</v>
      </c>
      <c r="C7516" s="12" t="s">
        <v>8229</v>
      </c>
      <c r="D7516" s="12" t="s">
        <v>38</v>
      </c>
      <c r="E7516" s="13" t="s">
        <v>25</v>
      </c>
      <c r="F7516" s="12" t="s">
        <v>165</v>
      </c>
      <c r="G7516" s="14">
        <v>7823.0000000000009</v>
      </c>
      <c r="H7516" s="12" t="s">
        <v>43</v>
      </c>
      <c r="I7516" s="12">
        <v>0</v>
      </c>
      <c r="J7516" s="12" t="s">
        <v>165</v>
      </c>
      <c r="K7516" s="12" t="s">
        <v>23</v>
      </c>
      <c r="L7516" s="12">
        <v>4</v>
      </c>
      <c r="M7516" s="15">
        <v>86053</v>
      </c>
      <c r="N7516" s="15">
        <v>0</v>
      </c>
      <c r="O7516" s="15">
        <f t="shared" si="707"/>
        <v>86053</v>
      </c>
      <c r="P7516" s="15">
        <f t="shared" si="708"/>
        <v>10.999999999999998</v>
      </c>
      <c r="Q7516" s="14">
        <v>5000</v>
      </c>
      <c r="R7516" s="12">
        <v>100</v>
      </c>
      <c r="S7516" s="12" t="s">
        <v>9125</v>
      </c>
      <c r="T7516" s="22">
        <f t="shared" si="700"/>
        <v>10</v>
      </c>
      <c r="U7516" s="22">
        <f t="shared" si="701"/>
        <v>2023</v>
      </c>
      <c r="V7516" s="22" t="str">
        <f t="shared" si="702"/>
        <v>METROPOLITANA</v>
      </c>
    </row>
    <row r="7517" spans="1:22" x14ac:dyDescent="0.2">
      <c r="A7517" s="11" t="s">
        <v>9122</v>
      </c>
      <c r="B7517" s="12" t="s">
        <v>33</v>
      </c>
      <c r="C7517" s="12" t="s">
        <v>8229</v>
      </c>
      <c r="D7517" s="12" t="s">
        <v>30</v>
      </c>
      <c r="E7517" s="13" t="s">
        <v>31</v>
      </c>
      <c r="F7517" s="12" t="s">
        <v>165</v>
      </c>
      <c r="G7517" s="14">
        <v>9177</v>
      </c>
      <c r="H7517" s="12" t="s">
        <v>32</v>
      </c>
      <c r="I7517" s="12">
        <v>0</v>
      </c>
      <c r="J7517" s="12" t="s">
        <v>165</v>
      </c>
      <c r="K7517" s="12" t="s">
        <v>23</v>
      </c>
      <c r="L7517" s="12">
        <v>4</v>
      </c>
      <c r="M7517" s="15">
        <v>100947</v>
      </c>
      <c r="N7517" s="15">
        <v>0</v>
      </c>
      <c r="O7517" s="15">
        <f t="shared" si="707"/>
        <v>100947</v>
      </c>
      <c r="P7517" s="15">
        <f t="shared" si="708"/>
        <v>11</v>
      </c>
      <c r="Q7517" s="14">
        <v>5000</v>
      </c>
      <c r="R7517" s="12">
        <v>100</v>
      </c>
      <c r="S7517" s="12" t="s">
        <v>9126</v>
      </c>
      <c r="T7517" s="22">
        <f t="shared" si="700"/>
        <v>10</v>
      </c>
      <c r="U7517" s="22">
        <f t="shared" si="701"/>
        <v>2023</v>
      </c>
      <c r="V7517" s="22" t="str">
        <f t="shared" si="702"/>
        <v>METROPOLITANA</v>
      </c>
    </row>
    <row r="7518" spans="1:22" x14ac:dyDescent="0.2">
      <c r="A7518" s="11" t="s">
        <v>9122</v>
      </c>
      <c r="B7518" s="12" t="s">
        <v>33</v>
      </c>
      <c r="C7518" s="12" t="s">
        <v>8229</v>
      </c>
      <c r="D7518" s="12" t="s">
        <v>8219</v>
      </c>
      <c r="E7518" s="13" t="s">
        <v>8220</v>
      </c>
      <c r="F7518" s="12" t="s">
        <v>165</v>
      </c>
      <c r="G7518" s="14">
        <v>6100</v>
      </c>
      <c r="H7518" s="12" t="s">
        <v>24</v>
      </c>
      <c r="I7518" s="12">
        <v>1</v>
      </c>
      <c r="J7518" s="12" t="s">
        <v>165</v>
      </c>
      <c r="K7518" s="12" t="s">
        <v>23</v>
      </c>
      <c r="L7518" s="12">
        <v>4</v>
      </c>
      <c r="M7518" s="15">
        <v>67100</v>
      </c>
      <c r="N7518" s="15">
        <v>0</v>
      </c>
      <c r="O7518" s="15">
        <f t="shared" si="707"/>
        <v>67100</v>
      </c>
      <c r="P7518" s="15">
        <f t="shared" si="708"/>
        <v>11</v>
      </c>
      <c r="Q7518" s="14">
        <v>5000</v>
      </c>
      <c r="R7518" s="12">
        <v>100</v>
      </c>
      <c r="S7518" s="12" t="s">
        <v>9127</v>
      </c>
      <c r="T7518" s="22">
        <f t="shared" si="700"/>
        <v>10</v>
      </c>
      <c r="U7518" s="22">
        <f t="shared" si="701"/>
        <v>2023</v>
      </c>
      <c r="V7518" s="22" t="str">
        <f t="shared" si="702"/>
        <v>METROPOLITANA</v>
      </c>
    </row>
    <row r="7519" spans="1:22" x14ac:dyDescent="0.2">
      <c r="A7519" s="11" t="s">
        <v>9122</v>
      </c>
      <c r="B7519" s="12" t="s">
        <v>33</v>
      </c>
      <c r="C7519" s="12" t="s">
        <v>29</v>
      </c>
      <c r="D7519" s="12" t="s">
        <v>7711</v>
      </c>
      <c r="E7519" s="13" t="s">
        <v>7712</v>
      </c>
      <c r="F7519" s="12" t="s">
        <v>114</v>
      </c>
      <c r="G7519" s="14">
        <v>8244.0000000000036</v>
      </c>
      <c r="H7519" s="12" t="s">
        <v>24</v>
      </c>
      <c r="I7519" s="12">
        <v>1</v>
      </c>
      <c r="J7519" s="12" t="s">
        <v>114</v>
      </c>
      <c r="K7519" s="12" t="s">
        <v>75</v>
      </c>
      <c r="L7519" s="12">
        <v>0</v>
      </c>
      <c r="M7519" s="15">
        <v>528000</v>
      </c>
      <c r="N7519" s="15">
        <v>0</v>
      </c>
      <c r="O7519" s="15">
        <f t="shared" si="707"/>
        <v>528000</v>
      </c>
      <c r="P7519" s="15">
        <f t="shared" si="708"/>
        <v>64.046579330422091</v>
      </c>
      <c r="Q7519" s="14">
        <v>14000</v>
      </c>
      <c r="R7519" s="12">
        <v>59</v>
      </c>
      <c r="S7519" s="12" t="s">
        <v>9128</v>
      </c>
      <c r="T7519" s="22">
        <f t="shared" si="700"/>
        <v>10</v>
      </c>
      <c r="U7519" s="22">
        <f t="shared" si="701"/>
        <v>2023</v>
      </c>
      <c r="V7519" s="22" t="str">
        <f t="shared" si="702"/>
        <v>REGIONES</v>
      </c>
    </row>
    <row r="7520" spans="1:22" x14ac:dyDescent="0.2">
      <c r="A7520" s="11" t="s">
        <v>9122</v>
      </c>
      <c r="B7520" s="12" t="s">
        <v>33</v>
      </c>
      <c r="C7520" s="12" t="s">
        <v>29</v>
      </c>
      <c r="D7520" s="12" t="s">
        <v>7814</v>
      </c>
      <c r="E7520" s="13" t="s">
        <v>7815</v>
      </c>
      <c r="F7520" s="12" t="s">
        <v>114</v>
      </c>
      <c r="G7520" s="14">
        <v>20260.80000000001</v>
      </c>
      <c r="H7520" s="12" t="s">
        <v>24</v>
      </c>
      <c r="I7520" s="12">
        <v>1</v>
      </c>
      <c r="J7520" s="12" t="s">
        <v>114</v>
      </c>
      <c r="K7520" s="12" t="s">
        <v>75</v>
      </c>
      <c r="L7520" s="12">
        <v>0</v>
      </c>
      <c r="M7520" s="15">
        <v>528000</v>
      </c>
      <c r="N7520" s="15">
        <v>0</v>
      </c>
      <c r="O7520" s="15">
        <f t="shared" si="707"/>
        <v>528000</v>
      </c>
      <c r="P7520" s="15">
        <f t="shared" si="708"/>
        <v>26.060175313906644</v>
      </c>
      <c r="Q7520" s="14">
        <v>14000</v>
      </c>
      <c r="R7520" s="12">
        <v>100</v>
      </c>
      <c r="S7520" s="12" t="s">
        <v>9129</v>
      </c>
      <c r="T7520" s="22">
        <f t="shared" si="700"/>
        <v>10</v>
      </c>
      <c r="U7520" s="22">
        <f t="shared" si="701"/>
        <v>2023</v>
      </c>
      <c r="V7520" s="22" t="str">
        <f t="shared" si="702"/>
        <v>REGIONES</v>
      </c>
    </row>
    <row r="7521" spans="1:22" x14ac:dyDescent="0.2">
      <c r="A7521" s="11" t="s">
        <v>9122</v>
      </c>
      <c r="B7521" s="12" t="s">
        <v>33</v>
      </c>
      <c r="C7521" s="12" t="s">
        <v>29</v>
      </c>
      <c r="D7521" s="12" t="s">
        <v>164</v>
      </c>
      <c r="E7521" s="13" t="s">
        <v>1576</v>
      </c>
      <c r="F7521" s="12" t="s">
        <v>39</v>
      </c>
      <c r="G7521" s="14">
        <v>17873.82</v>
      </c>
      <c r="H7521" s="12" t="s">
        <v>22</v>
      </c>
      <c r="I7521" s="12">
        <v>1</v>
      </c>
      <c r="J7521" s="12" t="s">
        <v>39</v>
      </c>
      <c r="K7521" s="12" t="s">
        <v>23</v>
      </c>
      <c r="L7521" s="12">
        <v>1</v>
      </c>
      <c r="M7521" s="15">
        <v>196612</v>
      </c>
      <c r="N7521" s="15">
        <v>0</v>
      </c>
      <c r="O7521" s="15">
        <f t="shared" si="707"/>
        <v>196612</v>
      </c>
      <c r="P7521" s="15">
        <f t="shared" si="708"/>
        <v>10.999998881045014</v>
      </c>
      <c r="Q7521" s="14">
        <v>5000</v>
      </c>
      <c r="R7521" s="12">
        <v>100</v>
      </c>
      <c r="S7521" s="12" t="s">
        <v>9130</v>
      </c>
      <c r="T7521" s="22">
        <f t="shared" si="700"/>
        <v>10</v>
      </c>
      <c r="U7521" s="22">
        <f t="shared" si="701"/>
        <v>2023</v>
      </c>
      <c r="V7521" s="22" t="str">
        <f t="shared" si="702"/>
        <v>METROPOLITANA</v>
      </c>
    </row>
    <row r="7522" spans="1:22" x14ac:dyDescent="0.2">
      <c r="A7522" s="11" t="s">
        <v>9122</v>
      </c>
      <c r="B7522" s="12" t="s">
        <v>33</v>
      </c>
      <c r="C7522" s="12" t="s">
        <v>29</v>
      </c>
      <c r="D7522" s="12" t="s">
        <v>20</v>
      </c>
      <c r="E7522" s="13" t="s">
        <v>21</v>
      </c>
      <c r="F7522" s="12" t="s">
        <v>39</v>
      </c>
      <c r="G7522" s="14">
        <v>7544.4699999999984</v>
      </c>
      <c r="H7522" s="12" t="s">
        <v>22</v>
      </c>
      <c r="I7522" s="12">
        <v>0</v>
      </c>
      <c r="J7522" s="12" t="s">
        <v>39</v>
      </c>
      <c r="K7522" s="12" t="s">
        <v>23</v>
      </c>
      <c r="L7522" s="12">
        <v>1</v>
      </c>
      <c r="M7522" s="15">
        <v>82989</v>
      </c>
      <c r="N7522" s="15">
        <v>0</v>
      </c>
      <c r="O7522" s="15">
        <f t="shared" si="707"/>
        <v>82989</v>
      </c>
      <c r="P7522" s="15">
        <f t="shared" si="708"/>
        <v>10.999977466939363</v>
      </c>
      <c r="Q7522" s="14">
        <v>5000</v>
      </c>
      <c r="R7522" s="12">
        <v>100</v>
      </c>
      <c r="S7522" s="12" t="s">
        <v>9131</v>
      </c>
      <c r="T7522" s="22">
        <f t="shared" si="700"/>
        <v>10</v>
      </c>
      <c r="U7522" s="22">
        <f t="shared" si="701"/>
        <v>2023</v>
      </c>
      <c r="V7522" s="22" t="str">
        <f t="shared" si="702"/>
        <v>METROPOLITANA</v>
      </c>
    </row>
    <row r="7523" spans="1:22" x14ac:dyDescent="0.2">
      <c r="A7523" s="11" t="s">
        <v>9122</v>
      </c>
      <c r="B7523" s="12" t="s">
        <v>33</v>
      </c>
      <c r="C7523" s="12" t="s">
        <v>44</v>
      </c>
      <c r="D7523" s="12" t="s">
        <v>636</v>
      </c>
      <c r="E7523" s="13" t="s">
        <v>639</v>
      </c>
      <c r="F7523" s="12" t="s">
        <v>3438</v>
      </c>
      <c r="G7523" s="14">
        <f>5333.84+3511</f>
        <v>8844.84</v>
      </c>
      <c r="H7523" s="12" t="s">
        <v>85</v>
      </c>
      <c r="I7523" s="12">
        <v>1</v>
      </c>
      <c r="J7523" s="12" t="s">
        <v>3438</v>
      </c>
      <c r="K7523" s="12" t="s">
        <v>93</v>
      </c>
      <c r="L7523" s="12">
        <v>0</v>
      </c>
      <c r="M7523" s="15">
        <v>1000000</v>
      </c>
      <c r="N7523" s="15">
        <v>0</v>
      </c>
      <c r="O7523" s="15">
        <f t="shared" si="707"/>
        <v>1000000</v>
      </c>
      <c r="P7523" s="15">
        <f t="shared" si="708"/>
        <v>113.06027016882159</v>
      </c>
      <c r="Q7523" s="14">
        <v>14000</v>
      </c>
      <c r="R7523" s="12">
        <v>75</v>
      </c>
      <c r="S7523" s="12" t="s">
        <v>9139</v>
      </c>
      <c r="T7523" s="22">
        <f t="shared" si="700"/>
        <v>10</v>
      </c>
      <c r="U7523" s="22">
        <f t="shared" si="701"/>
        <v>2023</v>
      </c>
      <c r="V7523" s="22" t="str">
        <f t="shared" si="702"/>
        <v>REGIONES</v>
      </c>
    </row>
    <row r="7524" spans="1:22" x14ac:dyDescent="0.2">
      <c r="A7524" s="11" t="s">
        <v>9122</v>
      </c>
      <c r="B7524" s="12" t="s">
        <v>33</v>
      </c>
      <c r="C7524" s="12" t="s">
        <v>44</v>
      </c>
      <c r="D7524" s="12" t="s">
        <v>37</v>
      </c>
      <c r="E7524" s="13" t="s">
        <v>28</v>
      </c>
      <c r="F7524" s="12" t="s">
        <v>34</v>
      </c>
      <c r="G7524" s="14">
        <v>2723.24</v>
      </c>
      <c r="H7524" s="12" t="s">
        <v>22</v>
      </c>
      <c r="I7524" s="12">
        <v>0</v>
      </c>
      <c r="J7524" s="12" t="s">
        <v>34</v>
      </c>
      <c r="K7524" s="12" t="s">
        <v>23</v>
      </c>
      <c r="L7524" s="12">
        <v>1</v>
      </c>
      <c r="M7524" s="15">
        <v>69173</v>
      </c>
      <c r="N7524" s="15">
        <v>0</v>
      </c>
      <c r="O7524" s="15">
        <f t="shared" si="707"/>
        <v>69173</v>
      </c>
      <c r="P7524" s="15">
        <f t="shared" si="708"/>
        <v>25.400992934886386</v>
      </c>
      <c r="Q7524" s="14">
        <v>5000</v>
      </c>
      <c r="R7524" s="12">
        <v>54</v>
      </c>
      <c r="S7524" s="12" t="s">
        <v>9132</v>
      </c>
      <c r="T7524" s="22">
        <f t="shared" si="700"/>
        <v>10</v>
      </c>
      <c r="U7524" s="22">
        <f t="shared" si="701"/>
        <v>2023</v>
      </c>
      <c r="V7524" s="22" t="str">
        <f t="shared" si="702"/>
        <v>METROPOLITANA</v>
      </c>
    </row>
    <row r="7525" spans="1:22" x14ac:dyDescent="0.2">
      <c r="A7525" s="11" t="s">
        <v>9122</v>
      </c>
      <c r="B7525" s="12" t="s">
        <v>33</v>
      </c>
      <c r="C7525" s="12" t="s">
        <v>44</v>
      </c>
      <c r="D7525" s="12" t="s">
        <v>8580</v>
      </c>
      <c r="E7525" s="13" t="s">
        <v>8619</v>
      </c>
      <c r="F7525" s="12" t="s">
        <v>67</v>
      </c>
      <c r="G7525" s="14">
        <v>2590.69</v>
      </c>
      <c r="H7525" s="12" t="s">
        <v>24</v>
      </c>
      <c r="I7525" s="12">
        <v>1</v>
      </c>
      <c r="J7525" s="12" t="s">
        <v>67</v>
      </c>
      <c r="K7525" s="12" t="s">
        <v>23</v>
      </c>
      <c r="L7525" s="12">
        <v>2</v>
      </c>
      <c r="M7525" s="15">
        <v>69173</v>
      </c>
      <c r="N7525" s="15">
        <v>0</v>
      </c>
      <c r="O7525" s="15">
        <f t="shared" si="707"/>
        <v>69173</v>
      </c>
      <c r="P7525" s="15">
        <f t="shared" si="708"/>
        <v>26.700608718140728</v>
      </c>
      <c r="Q7525" s="14">
        <v>5000</v>
      </c>
      <c r="R7525" s="12">
        <v>52</v>
      </c>
      <c r="S7525" s="12" t="s">
        <v>9133</v>
      </c>
      <c r="T7525" s="22">
        <f t="shared" si="700"/>
        <v>10</v>
      </c>
      <c r="U7525" s="22">
        <f t="shared" si="701"/>
        <v>2023</v>
      </c>
      <c r="V7525" s="22" t="str">
        <f t="shared" si="702"/>
        <v>METROPOLITANA</v>
      </c>
    </row>
    <row r="7526" spans="1:22" x14ac:dyDescent="0.2">
      <c r="A7526" s="11" t="s">
        <v>9122</v>
      </c>
      <c r="B7526" s="12" t="s">
        <v>33</v>
      </c>
      <c r="C7526" s="12" t="s">
        <v>44</v>
      </c>
      <c r="D7526" s="12" t="s">
        <v>3641</v>
      </c>
      <c r="E7526" s="13" t="s">
        <v>9134</v>
      </c>
      <c r="F7526" s="12" t="s">
        <v>84</v>
      </c>
      <c r="G7526" s="14">
        <f>5050.72+2371</f>
        <v>7421.72</v>
      </c>
      <c r="H7526" s="12" t="s">
        <v>24</v>
      </c>
      <c r="I7526" s="12">
        <v>1</v>
      </c>
      <c r="J7526" s="12" t="s">
        <v>84</v>
      </c>
      <c r="K7526" s="12" t="s">
        <v>86</v>
      </c>
      <c r="L7526" s="12">
        <v>0</v>
      </c>
      <c r="M7526" s="15">
        <v>402000</v>
      </c>
      <c r="N7526" s="15">
        <v>0</v>
      </c>
      <c r="O7526" s="15">
        <f t="shared" si="707"/>
        <v>402000</v>
      </c>
      <c r="P7526" s="15">
        <f t="shared" si="708"/>
        <v>54.165341726715639</v>
      </c>
      <c r="Q7526" s="14">
        <v>14000</v>
      </c>
      <c r="R7526" s="12">
        <v>65</v>
      </c>
      <c r="S7526" s="12" t="s">
        <v>9140</v>
      </c>
      <c r="T7526" s="22">
        <f t="shared" si="700"/>
        <v>10</v>
      </c>
      <c r="U7526" s="22">
        <f t="shared" si="701"/>
        <v>2023</v>
      </c>
      <c r="V7526" s="22" t="str">
        <f t="shared" si="702"/>
        <v>REGIONES</v>
      </c>
    </row>
    <row r="7527" spans="1:22" x14ac:dyDescent="0.2">
      <c r="A7527" s="11" t="s">
        <v>9122</v>
      </c>
      <c r="B7527" s="12" t="s">
        <v>33</v>
      </c>
      <c r="C7527" s="12" t="s">
        <v>44</v>
      </c>
      <c r="D7527" s="12" t="s">
        <v>9135</v>
      </c>
      <c r="E7527" s="13" t="s">
        <v>7076</v>
      </c>
      <c r="F7527" s="12" t="s">
        <v>2308</v>
      </c>
      <c r="G7527" s="14">
        <v>6405.9699999999984</v>
      </c>
      <c r="H7527" s="12" t="s">
        <v>24</v>
      </c>
      <c r="I7527" s="12">
        <v>1</v>
      </c>
      <c r="J7527" s="12" t="s">
        <v>2308</v>
      </c>
      <c r="K7527" s="12" t="s">
        <v>2309</v>
      </c>
      <c r="L7527" s="12">
        <v>0</v>
      </c>
      <c r="M7527" s="15">
        <v>1100000</v>
      </c>
      <c r="N7527" s="15">
        <v>0</v>
      </c>
      <c r="O7527" s="15">
        <f t="shared" si="707"/>
        <v>1100000</v>
      </c>
      <c r="P7527" s="15">
        <f t="shared" si="708"/>
        <v>171.71482226735378</v>
      </c>
      <c r="Q7527" s="14">
        <v>14000</v>
      </c>
      <c r="R7527" s="12">
        <v>46</v>
      </c>
      <c r="S7527" s="12" t="s">
        <v>9136</v>
      </c>
      <c r="T7527" s="22">
        <f t="shared" si="700"/>
        <v>10</v>
      </c>
      <c r="U7527" s="22">
        <f t="shared" si="701"/>
        <v>2023</v>
      </c>
      <c r="V7527" s="22" t="str">
        <f t="shared" si="702"/>
        <v>REGIONES</v>
      </c>
    </row>
    <row r="7528" spans="1:22" x14ac:dyDescent="0.2">
      <c r="A7528" s="11" t="s">
        <v>9122</v>
      </c>
      <c r="B7528" s="12" t="s">
        <v>33</v>
      </c>
      <c r="C7528" s="12" t="s">
        <v>44</v>
      </c>
      <c r="D7528" s="12" t="s">
        <v>45</v>
      </c>
      <c r="E7528" s="13" t="s">
        <v>49</v>
      </c>
      <c r="F7528" s="12" t="s">
        <v>48</v>
      </c>
      <c r="G7528" s="14">
        <v>2836.85</v>
      </c>
      <c r="H7528" s="12" t="s">
        <v>22</v>
      </c>
      <c r="I7528" s="12">
        <v>0</v>
      </c>
      <c r="J7528" s="12" t="s">
        <v>48</v>
      </c>
      <c r="K7528" s="12" t="s">
        <v>23</v>
      </c>
      <c r="L7528" s="12">
        <v>1</v>
      </c>
      <c r="M7528" s="15">
        <v>69173</v>
      </c>
      <c r="N7528" s="15">
        <v>0</v>
      </c>
      <c r="O7528" s="15">
        <f t="shared" si="707"/>
        <v>69173</v>
      </c>
      <c r="P7528" s="15">
        <f t="shared" si="708"/>
        <v>24.38373548125562</v>
      </c>
      <c r="Q7528" s="14">
        <v>5000</v>
      </c>
      <c r="R7528" s="12">
        <v>57</v>
      </c>
      <c r="S7528" s="12" t="s">
        <v>9137</v>
      </c>
      <c r="T7528" s="22">
        <f t="shared" si="700"/>
        <v>10</v>
      </c>
      <c r="U7528" s="22">
        <f t="shared" si="701"/>
        <v>2023</v>
      </c>
      <c r="V7528" s="22" t="str">
        <f t="shared" si="702"/>
        <v>METROPOLITANA</v>
      </c>
    </row>
    <row r="7529" spans="1:22" x14ac:dyDescent="0.2">
      <c r="A7529" s="11" t="s">
        <v>9122</v>
      </c>
      <c r="B7529" s="12" t="s">
        <v>33</v>
      </c>
      <c r="C7529" s="12" t="s">
        <v>44</v>
      </c>
      <c r="D7529" s="12" t="s">
        <v>35</v>
      </c>
      <c r="E7529" s="13" t="s">
        <v>52</v>
      </c>
      <c r="F7529" s="12" t="s">
        <v>46</v>
      </c>
      <c r="G7529" s="14">
        <v>2900.6</v>
      </c>
      <c r="H7529" s="12" t="s">
        <v>22</v>
      </c>
      <c r="I7529" s="12">
        <v>0</v>
      </c>
      <c r="J7529" s="12" t="s">
        <v>46</v>
      </c>
      <c r="K7529" s="12" t="s">
        <v>23</v>
      </c>
      <c r="L7529" s="12">
        <v>2</v>
      </c>
      <c r="M7529" s="15">
        <v>69173</v>
      </c>
      <c r="N7529" s="15">
        <v>0</v>
      </c>
      <c r="O7529" s="15">
        <f t="shared" si="707"/>
        <v>69173</v>
      </c>
      <c r="P7529" s="15">
        <f t="shared" si="708"/>
        <v>23.847824588016273</v>
      </c>
      <c r="Q7529" s="14">
        <v>5000</v>
      </c>
      <c r="R7529" s="12">
        <v>58</v>
      </c>
      <c r="S7529" s="12" t="s">
        <v>9138</v>
      </c>
      <c r="T7529" s="22">
        <f t="shared" si="700"/>
        <v>10</v>
      </c>
      <c r="U7529" s="22">
        <f t="shared" si="701"/>
        <v>2023</v>
      </c>
      <c r="V7529" s="22" t="str">
        <f t="shared" si="702"/>
        <v>METROPOLITANA</v>
      </c>
    </row>
    <row r="7530" spans="1:22" x14ac:dyDescent="0.2">
      <c r="A7530" s="23" t="s">
        <v>9142</v>
      </c>
      <c r="B7530" s="22" t="s">
        <v>18</v>
      </c>
      <c r="C7530" s="22" t="s">
        <v>4400</v>
      </c>
      <c r="D7530" s="22" t="s">
        <v>30</v>
      </c>
      <c r="E7530" s="24" t="s">
        <v>31</v>
      </c>
      <c r="F7530" s="22" t="s">
        <v>8185</v>
      </c>
      <c r="G7530" s="25">
        <v>11019.2</v>
      </c>
      <c r="H7530" s="22" t="s">
        <v>32</v>
      </c>
      <c r="I7530" s="22">
        <v>0</v>
      </c>
      <c r="J7530" s="22" t="s">
        <v>8185</v>
      </c>
      <c r="K7530" s="22" t="s">
        <v>171</v>
      </c>
      <c r="L7530" s="22">
        <v>0</v>
      </c>
      <c r="M7530" s="26">
        <v>200000</v>
      </c>
      <c r="N7530" s="26">
        <v>0</v>
      </c>
      <c r="O7530" s="15">
        <f t="shared" ref="O7530:O7544" si="709">SUM(M7530:N7530)</f>
        <v>200000</v>
      </c>
      <c r="P7530" s="15">
        <f t="shared" ref="P7530:P7544" si="710">O7530/G7530</f>
        <v>18.150137941048349</v>
      </c>
      <c r="Q7530" s="25">
        <v>14000</v>
      </c>
      <c r="R7530" s="22">
        <v>79</v>
      </c>
      <c r="S7530" s="22" t="s">
        <v>9143</v>
      </c>
      <c r="T7530" s="22">
        <f t="shared" ref="T7530:T7589" si="711">MONTH(A7530)</f>
        <v>10</v>
      </c>
      <c r="U7530" s="22">
        <f t="shared" ref="U7530:U7589" si="712">YEAR(A7530)</f>
        <v>2023</v>
      </c>
      <c r="V7530" s="22" t="str">
        <f t="shared" ref="V7530:V7589" si="713">IF(K7530="METROPOLITANA DE SANTIAGO","METROPOLITANA","REGIONES")</f>
        <v>REGIONES</v>
      </c>
    </row>
    <row r="7531" spans="1:22" x14ac:dyDescent="0.2">
      <c r="A7531" s="23" t="s">
        <v>9142</v>
      </c>
      <c r="B7531" s="22" t="s">
        <v>33</v>
      </c>
      <c r="C7531" s="22" t="s">
        <v>128</v>
      </c>
      <c r="D7531" s="22" t="s">
        <v>38</v>
      </c>
      <c r="E7531" s="24" t="s">
        <v>25</v>
      </c>
      <c r="F7531" s="22" t="s">
        <v>34</v>
      </c>
      <c r="G7531" s="25">
        <v>5126.0000000000009</v>
      </c>
      <c r="H7531" s="22" t="s">
        <v>43</v>
      </c>
      <c r="I7531" s="22">
        <v>0</v>
      </c>
      <c r="J7531" s="22" t="s">
        <v>34</v>
      </c>
      <c r="K7531" s="22" t="s">
        <v>23</v>
      </c>
      <c r="L7531" s="22">
        <v>1</v>
      </c>
      <c r="M7531" s="26">
        <v>56386</v>
      </c>
      <c r="N7531" s="26">
        <v>0</v>
      </c>
      <c r="O7531" s="15">
        <f t="shared" si="709"/>
        <v>56386</v>
      </c>
      <c r="P7531" s="15">
        <f t="shared" si="710"/>
        <v>10.999999999999998</v>
      </c>
      <c r="Q7531" s="25">
        <v>5000</v>
      </c>
      <c r="R7531" s="22">
        <v>100</v>
      </c>
      <c r="S7531" s="22" t="s">
        <v>9144</v>
      </c>
      <c r="T7531" s="22">
        <f t="shared" si="711"/>
        <v>10</v>
      </c>
      <c r="U7531" s="22">
        <f t="shared" si="712"/>
        <v>2023</v>
      </c>
      <c r="V7531" s="22" t="str">
        <f t="shared" si="713"/>
        <v>METROPOLITANA</v>
      </c>
    </row>
    <row r="7532" spans="1:22" x14ac:dyDescent="0.2">
      <c r="A7532" s="23" t="s">
        <v>9142</v>
      </c>
      <c r="B7532" s="22" t="s">
        <v>33</v>
      </c>
      <c r="C7532" s="22" t="s">
        <v>128</v>
      </c>
      <c r="D7532" s="22" t="s">
        <v>164</v>
      </c>
      <c r="E7532" s="24" t="s">
        <v>1576</v>
      </c>
      <c r="F7532" s="22" t="s">
        <v>34</v>
      </c>
      <c r="G7532" s="25">
        <v>11119.670000000009</v>
      </c>
      <c r="H7532" s="22" t="s">
        <v>22</v>
      </c>
      <c r="I7532" s="22">
        <v>1</v>
      </c>
      <c r="J7532" s="22" t="s">
        <v>34</v>
      </c>
      <c r="K7532" s="22" t="s">
        <v>23</v>
      </c>
      <c r="L7532" s="22">
        <v>1</v>
      </c>
      <c r="M7532" s="26">
        <v>122316</v>
      </c>
      <c r="N7532" s="26">
        <v>0</v>
      </c>
      <c r="O7532" s="15">
        <f t="shared" si="709"/>
        <v>122316</v>
      </c>
      <c r="P7532" s="15">
        <f t="shared" si="710"/>
        <v>10.999966725631237</v>
      </c>
      <c r="Q7532" s="25">
        <v>5000</v>
      </c>
      <c r="R7532" s="22">
        <v>100</v>
      </c>
      <c r="S7532" s="22" t="s">
        <v>9145</v>
      </c>
      <c r="T7532" s="22">
        <f t="shared" si="711"/>
        <v>10</v>
      </c>
      <c r="U7532" s="22">
        <f t="shared" si="712"/>
        <v>2023</v>
      </c>
      <c r="V7532" s="22" t="str">
        <f t="shared" si="713"/>
        <v>METROPOLITANA</v>
      </c>
    </row>
    <row r="7533" spans="1:22" x14ac:dyDescent="0.2">
      <c r="A7533" s="23" t="s">
        <v>9142</v>
      </c>
      <c r="B7533" s="22" t="s">
        <v>33</v>
      </c>
      <c r="C7533" s="22" t="s">
        <v>36</v>
      </c>
      <c r="D7533" s="22" t="s">
        <v>5695</v>
      </c>
      <c r="E7533" s="24" t="s">
        <v>6456</v>
      </c>
      <c r="F7533" s="22" t="s">
        <v>1026</v>
      </c>
      <c r="G7533" s="25">
        <v>6387.4000000000005</v>
      </c>
      <c r="H7533" s="22" t="s">
        <v>24</v>
      </c>
      <c r="I7533" s="22">
        <v>1</v>
      </c>
      <c r="J7533" s="22" t="s">
        <v>1026</v>
      </c>
      <c r="K7533" s="22" t="s">
        <v>408</v>
      </c>
      <c r="L7533" s="22">
        <v>0</v>
      </c>
      <c r="M7533" s="26">
        <v>850000</v>
      </c>
      <c r="N7533" s="26">
        <v>0</v>
      </c>
      <c r="O7533" s="15">
        <f t="shared" si="709"/>
        <v>850000</v>
      </c>
      <c r="P7533" s="15">
        <f t="shared" si="710"/>
        <v>133.07449040298087</v>
      </c>
      <c r="Q7533" s="25">
        <v>14000</v>
      </c>
      <c r="R7533" s="22">
        <v>46</v>
      </c>
      <c r="S7533" s="22" t="s">
        <v>9146</v>
      </c>
      <c r="T7533" s="22">
        <f t="shared" si="711"/>
        <v>10</v>
      </c>
      <c r="U7533" s="22">
        <f t="shared" si="712"/>
        <v>2023</v>
      </c>
      <c r="V7533" s="22" t="str">
        <f t="shared" si="713"/>
        <v>REGIONES</v>
      </c>
    </row>
    <row r="7534" spans="1:22" x14ac:dyDescent="0.2">
      <c r="A7534" s="23" t="s">
        <v>9142</v>
      </c>
      <c r="B7534" s="22" t="s">
        <v>33</v>
      </c>
      <c r="C7534" s="22" t="s">
        <v>36</v>
      </c>
      <c r="D7534" s="22" t="s">
        <v>370</v>
      </c>
      <c r="E7534" s="24" t="s">
        <v>371</v>
      </c>
      <c r="F7534" s="22" t="s">
        <v>1105</v>
      </c>
      <c r="G7534" s="25">
        <v>8310.5199999999968</v>
      </c>
      <c r="H7534" s="22" t="s">
        <v>85</v>
      </c>
      <c r="I7534" s="22">
        <v>1</v>
      </c>
      <c r="J7534" s="22" t="s">
        <v>1105</v>
      </c>
      <c r="K7534" s="22" t="s">
        <v>873</v>
      </c>
      <c r="L7534" s="22">
        <v>0</v>
      </c>
      <c r="M7534" s="26">
        <v>1131000</v>
      </c>
      <c r="N7534" s="26">
        <v>0</v>
      </c>
      <c r="O7534" s="15">
        <f t="shared" si="709"/>
        <v>1131000</v>
      </c>
      <c r="P7534" s="15">
        <f t="shared" si="710"/>
        <v>136.0925670114506</v>
      </c>
      <c r="Q7534" s="25">
        <v>14000</v>
      </c>
      <c r="R7534" s="22">
        <v>59</v>
      </c>
      <c r="S7534" s="22" t="s">
        <v>9147</v>
      </c>
      <c r="T7534" s="22">
        <f t="shared" si="711"/>
        <v>10</v>
      </c>
      <c r="U7534" s="22">
        <f t="shared" si="712"/>
        <v>2023</v>
      </c>
      <c r="V7534" s="22" t="str">
        <f t="shared" si="713"/>
        <v>REGIONES</v>
      </c>
    </row>
    <row r="7535" spans="1:22" x14ac:dyDescent="0.2">
      <c r="A7535" s="23" t="s">
        <v>9142</v>
      </c>
      <c r="B7535" s="22" t="s">
        <v>33</v>
      </c>
      <c r="C7535" s="22" t="s">
        <v>36</v>
      </c>
      <c r="D7535" s="22" t="s">
        <v>20</v>
      </c>
      <c r="E7535" s="24" t="s">
        <v>21</v>
      </c>
      <c r="F7535" s="22" t="s">
        <v>59</v>
      </c>
      <c r="G7535" s="25">
        <v>4026.400000000001</v>
      </c>
      <c r="H7535" s="22" t="s">
        <v>22</v>
      </c>
      <c r="I7535" s="22">
        <v>0</v>
      </c>
      <c r="J7535" s="22" t="s">
        <v>59</v>
      </c>
      <c r="K7535" s="22" t="s">
        <v>78</v>
      </c>
      <c r="L7535" s="22">
        <v>0</v>
      </c>
      <c r="M7535" s="26">
        <v>227000</v>
      </c>
      <c r="N7535" s="26">
        <v>0</v>
      </c>
      <c r="O7535" s="15">
        <f t="shared" si="709"/>
        <v>227000</v>
      </c>
      <c r="P7535" s="15">
        <f t="shared" si="710"/>
        <v>56.377905821577571</v>
      </c>
      <c r="Q7535" s="25">
        <v>14000</v>
      </c>
      <c r="R7535" s="22">
        <v>29</v>
      </c>
      <c r="S7535" s="22" t="s">
        <v>9148</v>
      </c>
      <c r="T7535" s="22">
        <f t="shared" si="711"/>
        <v>10</v>
      </c>
      <c r="U7535" s="22">
        <f t="shared" si="712"/>
        <v>2023</v>
      </c>
      <c r="V7535" s="22" t="str">
        <f t="shared" si="713"/>
        <v>REGIONES</v>
      </c>
    </row>
    <row r="7536" spans="1:22" x14ac:dyDescent="0.2">
      <c r="A7536" s="23" t="s">
        <v>9142</v>
      </c>
      <c r="B7536" s="22" t="s">
        <v>33</v>
      </c>
      <c r="C7536" s="22" t="s">
        <v>29</v>
      </c>
      <c r="D7536" s="22" t="s">
        <v>38</v>
      </c>
      <c r="E7536" s="24" t="s">
        <v>25</v>
      </c>
      <c r="F7536" s="22" t="s">
        <v>134</v>
      </c>
      <c r="G7536" s="25">
        <v>7503.9999999999973</v>
      </c>
      <c r="H7536" s="22" t="s">
        <v>43</v>
      </c>
      <c r="I7536" s="22">
        <v>0</v>
      </c>
      <c r="J7536" s="22" t="s">
        <v>134</v>
      </c>
      <c r="K7536" s="22" t="s">
        <v>23</v>
      </c>
      <c r="L7536" s="22">
        <v>2</v>
      </c>
      <c r="M7536" s="26">
        <v>82544</v>
      </c>
      <c r="N7536" s="26">
        <v>0</v>
      </c>
      <c r="O7536" s="15">
        <f t="shared" si="709"/>
        <v>82544</v>
      </c>
      <c r="P7536" s="15">
        <f t="shared" si="710"/>
        <v>11.000000000000004</v>
      </c>
      <c r="Q7536" s="25">
        <v>5000</v>
      </c>
      <c r="R7536" s="22">
        <v>100</v>
      </c>
      <c r="S7536" s="22" t="s">
        <v>9149</v>
      </c>
      <c r="T7536" s="22">
        <f t="shared" si="711"/>
        <v>10</v>
      </c>
      <c r="U7536" s="22">
        <f t="shared" si="712"/>
        <v>2023</v>
      </c>
      <c r="V7536" s="22" t="str">
        <f t="shared" si="713"/>
        <v>METROPOLITANA</v>
      </c>
    </row>
    <row r="7537" spans="1:22" x14ac:dyDescent="0.2">
      <c r="A7537" s="23" t="s">
        <v>9142</v>
      </c>
      <c r="B7537" s="22" t="s">
        <v>33</v>
      </c>
      <c r="C7537" s="22" t="s">
        <v>29</v>
      </c>
      <c r="D7537" s="22" t="s">
        <v>1170</v>
      </c>
      <c r="E7537" s="24" t="s">
        <v>81</v>
      </c>
      <c r="F7537" s="22" t="s">
        <v>114</v>
      </c>
      <c r="G7537" s="25">
        <v>14210.20000000001</v>
      </c>
      <c r="H7537" s="22" t="s">
        <v>24</v>
      </c>
      <c r="I7537" s="22">
        <v>1</v>
      </c>
      <c r="J7537" s="22" t="s">
        <v>114</v>
      </c>
      <c r="K7537" s="22" t="s">
        <v>75</v>
      </c>
      <c r="L7537" s="22">
        <v>0</v>
      </c>
      <c r="M7537" s="26">
        <v>528000</v>
      </c>
      <c r="N7537" s="26">
        <v>0</v>
      </c>
      <c r="O7537" s="15">
        <f t="shared" si="709"/>
        <v>528000</v>
      </c>
      <c r="P7537" s="15">
        <f t="shared" si="710"/>
        <v>37.156408776794109</v>
      </c>
      <c r="Q7537" s="25">
        <v>14000</v>
      </c>
      <c r="R7537" s="22">
        <v>100</v>
      </c>
      <c r="S7537" s="22" t="s">
        <v>9150</v>
      </c>
      <c r="T7537" s="22">
        <f t="shared" si="711"/>
        <v>10</v>
      </c>
      <c r="U7537" s="22">
        <f t="shared" si="712"/>
        <v>2023</v>
      </c>
      <c r="V7537" s="22" t="str">
        <f t="shared" si="713"/>
        <v>REGIONES</v>
      </c>
    </row>
    <row r="7538" spans="1:22" x14ac:dyDescent="0.2">
      <c r="A7538" s="23" t="s">
        <v>9142</v>
      </c>
      <c r="B7538" s="22" t="s">
        <v>33</v>
      </c>
      <c r="C7538" s="22" t="s">
        <v>29</v>
      </c>
      <c r="D7538" s="22" t="s">
        <v>3641</v>
      </c>
      <c r="E7538" s="24" t="s">
        <v>9151</v>
      </c>
      <c r="F7538" s="22" t="s">
        <v>114</v>
      </c>
      <c r="G7538" s="25">
        <v>19446</v>
      </c>
      <c r="H7538" s="22" t="s">
        <v>24</v>
      </c>
      <c r="I7538" s="22">
        <v>1</v>
      </c>
      <c r="J7538" s="22" t="s">
        <v>114</v>
      </c>
      <c r="K7538" s="22" t="s">
        <v>75</v>
      </c>
      <c r="L7538" s="22">
        <v>0</v>
      </c>
      <c r="M7538" s="26">
        <v>528000</v>
      </c>
      <c r="N7538" s="26">
        <v>0</v>
      </c>
      <c r="O7538" s="15">
        <f t="shared" si="709"/>
        <v>528000</v>
      </c>
      <c r="P7538" s="15">
        <f t="shared" si="710"/>
        <v>27.152113545202099</v>
      </c>
      <c r="Q7538" s="25">
        <v>14000</v>
      </c>
      <c r="R7538" s="22">
        <v>100</v>
      </c>
      <c r="S7538" s="22" t="s">
        <v>9152</v>
      </c>
      <c r="T7538" s="22">
        <f t="shared" si="711"/>
        <v>10</v>
      </c>
      <c r="U7538" s="22">
        <f t="shared" si="712"/>
        <v>2023</v>
      </c>
      <c r="V7538" s="22" t="str">
        <f t="shared" si="713"/>
        <v>REGIONES</v>
      </c>
    </row>
    <row r="7539" spans="1:22" x14ac:dyDescent="0.2">
      <c r="A7539" s="23" t="s">
        <v>9142</v>
      </c>
      <c r="B7539" s="22" t="s">
        <v>33</v>
      </c>
      <c r="C7539" s="22" t="s">
        <v>29</v>
      </c>
      <c r="D7539" s="22" t="s">
        <v>45</v>
      </c>
      <c r="E7539" s="24" t="s">
        <v>49</v>
      </c>
      <c r="F7539" s="22" t="s">
        <v>134</v>
      </c>
      <c r="G7539" s="25">
        <v>7503.9999999999973</v>
      </c>
      <c r="H7539" s="22" t="s">
        <v>22</v>
      </c>
      <c r="I7539" s="22">
        <v>0</v>
      </c>
      <c r="J7539" s="22" t="s">
        <v>134</v>
      </c>
      <c r="K7539" s="22" t="s">
        <v>23</v>
      </c>
      <c r="L7539" s="22">
        <v>2</v>
      </c>
      <c r="M7539" s="26">
        <v>82544</v>
      </c>
      <c r="N7539" s="26">
        <v>0</v>
      </c>
      <c r="O7539" s="15">
        <f t="shared" si="709"/>
        <v>82544</v>
      </c>
      <c r="P7539" s="15">
        <f t="shared" si="710"/>
        <v>11.000000000000004</v>
      </c>
      <c r="Q7539" s="25">
        <v>5000</v>
      </c>
      <c r="R7539" s="22">
        <v>100</v>
      </c>
      <c r="S7539" s="22" t="s">
        <v>9153</v>
      </c>
      <c r="T7539" s="22">
        <f t="shared" si="711"/>
        <v>10</v>
      </c>
      <c r="U7539" s="22">
        <f t="shared" si="712"/>
        <v>2023</v>
      </c>
      <c r="V7539" s="22" t="str">
        <f t="shared" si="713"/>
        <v>METROPOLITANA</v>
      </c>
    </row>
    <row r="7540" spans="1:22" x14ac:dyDescent="0.2">
      <c r="A7540" s="23" t="s">
        <v>9142</v>
      </c>
      <c r="B7540" s="22" t="s">
        <v>33</v>
      </c>
      <c r="C7540" s="22" t="s">
        <v>44</v>
      </c>
      <c r="D7540" s="22" t="s">
        <v>8724</v>
      </c>
      <c r="E7540" s="24" t="s">
        <v>7006</v>
      </c>
      <c r="F7540" s="22" t="s">
        <v>92</v>
      </c>
      <c r="G7540" s="25">
        <v>6966.0199999999986</v>
      </c>
      <c r="H7540" s="22" t="s">
        <v>24</v>
      </c>
      <c r="I7540" s="22">
        <v>1</v>
      </c>
      <c r="J7540" s="22" t="s">
        <v>92</v>
      </c>
      <c r="K7540" s="22" t="s">
        <v>93</v>
      </c>
      <c r="L7540" s="22">
        <v>0</v>
      </c>
      <c r="M7540" s="26">
        <v>900000</v>
      </c>
      <c r="N7540" s="26">
        <v>0</v>
      </c>
      <c r="O7540" s="15">
        <f t="shared" si="709"/>
        <v>900000</v>
      </c>
      <c r="P7540" s="15">
        <f t="shared" si="710"/>
        <v>129.19859546771329</v>
      </c>
      <c r="Q7540" s="25">
        <v>14000</v>
      </c>
      <c r="R7540" s="22">
        <v>50</v>
      </c>
      <c r="S7540" s="22" t="s">
        <v>9154</v>
      </c>
      <c r="T7540" s="22">
        <f t="shared" si="711"/>
        <v>10</v>
      </c>
      <c r="U7540" s="22">
        <f t="shared" si="712"/>
        <v>2023</v>
      </c>
      <c r="V7540" s="22" t="str">
        <f t="shared" si="713"/>
        <v>REGIONES</v>
      </c>
    </row>
    <row r="7541" spans="1:22" x14ac:dyDescent="0.2">
      <c r="A7541" s="23" t="s">
        <v>9142</v>
      </c>
      <c r="B7541" s="22" t="s">
        <v>33</v>
      </c>
      <c r="C7541" s="22" t="s">
        <v>44</v>
      </c>
      <c r="D7541" s="22" t="s">
        <v>8580</v>
      </c>
      <c r="E7541" s="24" t="s">
        <v>9155</v>
      </c>
      <c r="F7541" s="22" t="s">
        <v>554</v>
      </c>
      <c r="G7541" s="25">
        <v>2459.52</v>
      </c>
      <c r="H7541" s="22" t="s">
        <v>24</v>
      </c>
      <c r="I7541" s="22">
        <v>1</v>
      </c>
      <c r="J7541" s="22" t="s">
        <v>554</v>
      </c>
      <c r="K7541" s="22" t="s">
        <v>23</v>
      </c>
      <c r="L7541" s="22">
        <v>4</v>
      </c>
      <c r="M7541" s="26">
        <v>69173</v>
      </c>
      <c r="N7541" s="26">
        <v>0</v>
      </c>
      <c r="O7541" s="15">
        <f t="shared" si="709"/>
        <v>69173</v>
      </c>
      <c r="P7541" s="15">
        <f t="shared" si="710"/>
        <v>28.124593416601613</v>
      </c>
      <c r="Q7541" s="25">
        <v>5000</v>
      </c>
      <c r="R7541" s="22">
        <v>49</v>
      </c>
      <c r="S7541" s="22" t="s">
        <v>9156</v>
      </c>
      <c r="T7541" s="22">
        <f t="shared" si="711"/>
        <v>10</v>
      </c>
      <c r="U7541" s="22">
        <f t="shared" si="712"/>
        <v>2023</v>
      </c>
      <c r="V7541" s="22" t="str">
        <f t="shared" si="713"/>
        <v>METROPOLITANA</v>
      </c>
    </row>
    <row r="7542" spans="1:22" x14ac:dyDescent="0.2">
      <c r="A7542" s="23" t="s">
        <v>9142</v>
      </c>
      <c r="B7542" s="22" t="s">
        <v>33</v>
      </c>
      <c r="C7542" s="22" t="s">
        <v>44</v>
      </c>
      <c r="D7542" s="22" t="s">
        <v>45</v>
      </c>
      <c r="E7542" s="24" t="s">
        <v>49</v>
      </c>
      <c r="F7542" s="22" t="s">
        <v>95</v>
      </c>
      <c r="G7542" s="25">
        <v>2588.3200000000002</v>
      </c>
      <c r="H7542" s="22" t="s">
        <v>22</v>
      </c>
      <c r="I7542" s="22">
        <v>0</v>
      </c>
      <c r="J7542" s="22" t="s">
        <v>95</v>
      </c>
      <c r="K7542" s="22" t="s">
        <v>23</v>
      </c>
      <c r="L7542" s="22">
        <v>4</v>
      </c>
      <c r="M7542" s="26">
        <v>69173</v>
      </c>
      <c r="N7542" s="26">
        <v>0</v>
      </c>
      <c r="O7542" s="15">
        <f t="shared" si="709"/>
        <v>69173</v>
      </c>
      <c r="P7542" s="15">
        <f t="shared" si="710"/>
        <v>26.725057179946837</v>
      </c>
      <c r="Q7542" s="25">
        <v>5000</v>
      </c>
      <c r="R7542" s="22">
        <v>52</v>
      </c>
      <c r="S7542" s="22" t="s">
        <v>9157</v>
      </c>
      <c r="T7542" s="22">
        <f t="shared" si="711"/>
        <v>10</v>
      </c>
      <c r="U7542" s="22">
        <f t="shared" si="712"/>
        <v>2023</v>
      </c>
      <c r="V7542" s="22" t="str">
        <f t="shared" si="713"/>
        <v>METROPOLITANA</v>
      </c>
    </row>
    <row r="7543" spans="1:22" x14ac:dyDescent="0.2">
      <c r="A7543" s="23" t="s">
        <v>9142</v>
      </c>
      <c r="B7543" s="22" t="s">
        <v>33</v>
      </c>
      <c r="C7543" s="22" t="s">
        <v>44</v>
      </c>
      <c r="D7543" s="22" t="s">
        <v>35</v>
      </c>
      <c r="E7543" s="24" t="s">
        <v>52</v>
      </c>
      <c r="F7543" s="22" t="s">
        <v>134</v>
      </c>
      <c r="G7543" s="25">
        <v>2538.64</v>
      </c>
      <c r="H7543" s="22" t="s">
        <v>22</v>
      </c>
      <c r="I7543" s="22">
        <v>0</v>
      </c>
      <c r="J7543" s="22" t="s">
        <v>134</v>
      </c>
      <c r="K7543" s="22" t="s">
        <v>23</v>
      </c>
      <c r="L7543" s="22">
        <v>2</v>
      </c>
      <c r="M7543" s="26">
        <v>69173</v>
      </c>
      <c r="N7543" s="26">
        <v>0</v>
      </c>
      <c r="O7543" s="15">
        <f t="shared" si="709"/>
        <v>69173</v>
      </c>
      <c r="P7543" s="15">
        <f t="shared" si="710"/>
        <v>27.248054076198279</v>
      </c>
      <c r="Q7543" s="25">
        <v>5000</v>
      </c>
      <c r="R7543" s="22">
        <v>51</v>
      </c>
      <c r="S7543" s="22" t="s">
        <v>9158</v>
      </c>
      <c r="T7543" s="22">
        <f t="shared" si="711"/>
        <v>10</v>
      </c>
      <c r="U7543" s="22">
        <f t="shared" si="712"/>
        <v>2023</v>
      </c>
      <c r="V7543" s="22" t="str">
        <f t="shared" si="713"/>
        <v>METROPOLITANA</v>
      </c>
    </row>
    <row r="7544" spans="1:22" x14ac:dyDescent="0.2">
      <c r="A7544" s="23" t="s">
        <v>9142</v>
      </c>
      <c r="B7544" s="22" t="s">
        <v>33</v>
      </c>
      <c r="C7544" s="22" t="s">
        <v>1163</v>
      </c>
      <c r="D7544" s="22" t="s">
        <v>2955</v>
      </c>
      <c r="E7544" s="24" t="s">
        <v>2956</v>
      </c>
      <c r="F7544" s="22" t="s">
        <v>165</v>
      </c>
      <c r="G7544" s="25">
        <v>26397.96</v>
      </c>
      <c r="H7544" s="22" t="s">
        <v>24</v>
      </c>
      <c r="I7544" s="22">
        <v>1</v>
      </c>
      <c r="J7544" s="22" t="s">
        <v>165</v>
      </c>
      <c r="K7544" s="22" t="s">
        <v>23</v>
      </c>
      <c r="L7544" s="22">
        <v>4</v>
      </c>
      <c r="M7544" s="26">
        <v>290378</v>
      </c>
      <c r="N7544" s="26">
        <v>0</v>
      </c>
      <c r="O7544" s="15">
        <f t="shared" si="709"/>
        <v>290378</v>
      </c>
      <c r="P7544" s="15">
        <f t="shared" si="710"/>
        <v>11.000016667954645</v>
      </c>
      <c r="Q7544" s="25">
        <v>5000</v>
      </c>
      <c r="R7544" s="22">
        <v>100</v>
      </c>
      <c r="S7544" s="22" t="s">
        <v>9159</v>
      </c>
      <c r="T7544" s="22">
        <f t="shared" si="711"/>
        <v>10</v>
      </c>
      <c r="U7544" s="22">
        <f t="shared" si="712"/>
        <v>2023</v>
      </c>
      <c r="V7544" s="22" t="str">
        <f t="shared" si="713"/>
        <v>METROPOLITANA</v>
      </c>
    </row>
    <row r="7545" spans="1:22" ht="15" x14ac:dyDescent="0.25">
      <c r="A7545" s="147" t="s">
        <v>9160</v>
      </c>
      <c r="B7545" s="147" t="s">
        <v>18</v>
      </c>
      <c r="C7545" s="147" t="s">
        <v>5796</v>
      </c>
      <c r="D7545" s="147" t="s">
        <v>164</v>
      </c>
      <c r="E7545" s="147">
        <v>154837728</v>
      </c>
      <c r="F7545" s="147" t="s">
        <v>129</v>
      </c>
      <c r="G7545" s="147">
        <v>10320</v>
      </c>
      <c r="H7545" s="147" t="s">
        <v>22</v>
      </c>
      <c r="I7545" s="147">
        <v>1</v>
      </c>
      <c r="J7545" s="147" t="s">
        <v>129</v>
      </c>
      <c r="K7545" s="147" t="s">
        <v>23</v>
      </c>
      <c r="L7545" s="147">
        <v>1</v>
      </c>
      <c r="M7545" s="147">
        <v>113520</v>
      </c>
      <c r="N7545" s="147">
        <v>0</v>
      </c>
      <c r="O7545" s="15">
        <f t="shared" ref="O7545:O7570" si="714">SUM(M7545:N7545)</f>
        <v>113520</v>
      </c>
      <c r="P7545" s="15">
        <f t="shared" ref="P7545:P7570" si="715">O7545/G7545</f>
        <v>11</v>
      </c>
      <c r="Q7545" s="147">
        <v>5000</v>
      </c>
      <c r="R7545" s="147">
        <v>100</v>
      </c>
      <c r="S7545" s="147" t="s">
        <v>9161</v>
      </c>
      <c r="T7545" s="22">
        <f t="shared" si="711"/>
        <v>10</v>
      </c>
      <c r="U7545" s="22">
        <f t="shared" si="712"/>
        <v>2023</v>
      </c>
      <c r="V7545" s="22" t="str">
        <f t="shared" si="713"/>
        <v>METROPOLITANA</v>
      </c>
    </row>
    <row r="7546" spans="1:22" ht="15" x14ac:dyDescent="0.25">
      <c r="A7546" s="147" t="s">
        <v>9160</v>
      </c>
      <c r="B7546" s="147" t="s">
        <v>33</v>
      </c>
      <c r="C7546" s="147" t="s">
        <v>60</v>
      </c>
      <c r="D7546" s="147" t="s">
        <v>30</v>
      </c>
      <c r="E7546" s="147">
        <v>72564391</v>
      </c>
      <c r="F7546" s="147" t="s">
        <v>800</v>
      </c>
      <c r="G7546" s="147">
        <v>9755.1999999999971</v>
      </c>
      <c r="H7546" s="147" t="s">
        <v>32</v>
      </c>
      <c r="I7546" s="147">
        <v>0</v>
      </c>
      <c r="J7546" s="147" t="s">
        <v>800</v>
      </c>
      <c r="K7546" s="147" t="s">
        <v>23</v>
      </c>
      <c r="L7546" s="147">
        <v>5</v>
      </c>
      <c r="M7546" s="147">
        <v>112500</v>
      </c>
      <c r="N7546" s="147">
        <v>0</v>
      </c>
      <c r="O7546" s="15">
        <f t="shared" si="714"/>
        <v>112500</v>
      </c>
      <c r="P7546" s="15">
        <f t="shared" si="715"/>
        <v>11.532310972609483</v>
      </c>
      <c r="Q7546" s="147">
        <v>10000</v>
      </c>
      <c r="R7546" s="147">
        <v>98</v>
      </c>
      <c r="S7546" s="147" t="s">
        <v>9162</v>
      </c>
      <c r="T7546" s="22">
        <f t="shared" si="711"/>
        <v>10</v>
      </c>
      <c r="U7546" s="22">
        <f t="shared" si="712"/>
        <v>2023</v>
      </c>
      <c r="V7546" s="22" t="str">
        <f t="shared" si="713"/>
        <v>METROPOLITANA</v>
      </c>
    </row>
    <row r="7547" spans="1:22" ht="15" x14ac:dyDescent="0.25">
      <c r="A7547" s="147" t="s">
        <v>9160</v>
      </c>
      <c r="B7547" s="147" t="s">
        <v>33</v>
      </c>
      <c r="C7547" s="147" t="s">
        <v>6617</v>
      </c>
      <c r="D7547" s="147" t="s">
        <v>35</v>
      </c>
      <c r="E7547" s="147">
        <v>99626232</v>
      </c>
      <c r="F7547" s="147" t="s">
        <v>1324</v>
      </c>
      <c r="G7547" s="147">
        <v>4974</v>
      </c>
      <c r="H7547" s="147" t="s">
        <v>22</v>
      </c>
      <c r="I7547" s="147">
        <v>0</v>
      </c>
      <c r="J7547" s="147" t="s">
        <v>1324</v>
      </c>
      <c r="K7547" s="147" t="s">
        <v>23</v>
      </c>
      <c r="L7547" s="147">
        <v>2</v>
      </c>
      <c r="M7547" s="147">
        <v>69173</v>
      </c>
      <c r="N7547" s="147">
        <v>0</v>
      </c>
      <c r="O7547" s="15">
        <f t="shared" si="714"/>
        <v>69173</v>
      </c>
      <c r="P7547" s="15">
        <f t="shared" si="715"/>
        <v>13.90691596300764</v>
      </c>
      <c r="Q7547" s="147">
        <v>5000</v>
      </c>
      <c r="R7547" s="147">
        <v>99</v>
      </c>
      <c r="S7547" s="147" t="s">
        <v>9163</v>
      </c>
      <c r="T7547" s="22">
        <f t="shared" si="711"/>
        <v>10</v>
      </c>
      <c r="U7547" s="22">
        <f t="shared" si="712"/>
        <v>2023</v>
      </c>
      <c r="V7547" s="22" t="str">
        <f t="shared" si="713"/>
        <v>METROPOLITANA</v>
      </c>
    </row>
    <row r="7548" spans="1:22" ht="15" x14ac:dyDescent="0.25">
      <c r="A7548" s="147" t="s">
        <v>9160</v>
      </c>
      <c r="B7548" s="147" t="s">
        <v>33</v>
      </c>
      <c r="C7548" s="147" t="s">
        <v>128</v>
      </c>
      <c r="D7548" s="147" t="s">
        <v>8580</v>
      </c>
      <c r="E7548" s="147">
        <v>276547747</v>
      </c>
      <c r="F7548" s="147" t="s">
        <v>95</v>
      </c>
      <c r="G7548" s="147">
        <v>3910.92</v>
      </c>
      <c r="H7548" s="147" t="s">
        <v>24</v>
      </c>
      <c r="I7548" s="147">
        <v>1</v>
      </c>
      <c r="J7548" s="147" t="s">
        <v>95</v>
      </c>
      <c r="K7548" s="147" t="s">
        <v>23</v>
      </c>
      <c r="L7548" s="147">
        <v>4</v>
      </c>
      <c r="M7548" s="147">
        <v>69173</v>
      </c>
      <c r="N7548" s="147">
        <v>0</v>
      </c>
      <c r="O7548" s="15">
        <f t="shared" si="714"/>
        <v>69173</v>
      </c>
      <c r="P7548" s="15">
        <f t="shared" si="715"/>
        <v>17.687142667198511</v>
      </c>
      <c r="Q7548" s="147">
        <v>5000</v>
      </c>
      <c r="R7548" s="147">
        <v>78</v>
      </c>
      <c r="S7548" s="147" t="s">
        <v>9164</v>
      </c>
      <c r="T7548" s="22">
        <f t="shared" si="711"/>
        <v>10</v>
      </c>
      <c r="U7548" s="22">
        <f t="shared" si="712"/>
        <v>2023</v>
      </c>
      <c r="V7548" s="22" t="str">
        <f t="shared" si="713"/>
        <v>METROPOLITANA</v>
      </c>
    </row>
    <row r="7549" spans="1:22" ht="15" x14ac:dyDescent="0.25">
      <c r="A7549" s="147" t="s">
        <v>9160</v>
      </c>
      <c r="B7549" s="147" t="s">
        <v>33</v>
      </c>
      <c r="C7549" s="147" t="s">
        <v>36</v>
      </c>
      <c r="D7549" s="147" t="s">
        <v>20</v>
      </c>
      <c r="E7549" s="147">
        <v>78907355</v>
      </c>
      <c r="F7549" s="147" t="s">
        <v>308</v>
      </c>
      <c r="G7549" s="147">
        <v>3001.6</v>
      </c>
      <c r="H7549" s="147" t="s">
        <v>22</v>
      </c>
      <c r="I7549" s="147">
        <v>0</v>
      </c>
      <c r="J7549" s="147" t="s">
        <v>308</v>
      </c>
      <c r="K7549" s="147" t="s">
        <v>78</v>
      </c>
      <c r="L7549" s="147">
        <v>0</v>
      </c>
      <c r="M7549" s="147">
        <v>227000</v>
      </c>
      <c r="N7549" s="147">
        <v>0</v>
      </c>
      <c r="O7549" s="15">
        <f t="shared" si="714"/>
        <v>227000</v>
      </c>
      <c r="P7549" s="15">
        <f t="shared" si="715"/>
        <v>75.626332622601282</v>
      </c>
      <c r="Q7549" s="147">
        <v>14000</v>
      </c>
      <c r="R7549" s="147">
        <v>21</v>
      </c>
      <c r="S7549" s="147" t="s">
        <v>9165</v>
      </c>
      <c r="T7549" s="22">
        <f t="shared" si="711"/>
        <v>10</v>
      </c>
      <c r="U7549" s="22">
        <f t="shared" si="712"/>
        <v>2023</v>
      </c>
      <c r="V7549" s="22" t="str">
        <f t="shared" si="713"/>
        <v>REGIONES</v>
      </c>
    </row>
    <row r="7550" spans="1:22" ht="15" x14ac:dyDescent="0.25">
      <c r="A7550" s="147" t="s">
        <v>9160</v>
      </c>
      <c r="B7550" s="147" t="s">
        <v>33</v>
      </c>
      <c r="C7550" s="147" t="s">
        <v>2605</v>
      </c>
      <c r="D7550" s="147" t="s">
        <v>45</v>
      </c>
      <c r="E7550" s="147">
        <v>107643206</v>
      </c>
      <c r="F7550" s="147" t="s">
        <v>129</v>
      </c>
      <c r="G7550" s="147">
        <v>3422.3999999999992</v>
      </c>
      <c r="H7550" s="147" t="s">
        <v>22</v>
      </c>
      <c r="I7550" s="147">
        <v>0</v>
      </c>
      <c r="J7550" s="147" t="s">
        <v>129</v>
      </c>
      <c r="K7550" s="147" t="s">
        <v>23</v>
      </c>
      <c r="L7550" s="147">
        <v>1</v>
      </c>
      <c r="M7550" s="147">
        <v>69173</v>
      </c>
      <c r="N7550" s="147">
        <v>0</v>
      </c>
      <c r="O7550" s="15">
        <f t="shared" si="714"/>
        <v>69173</v>
      </c>
      <c r="P7550" s="15">
        <f t="shared" si="715"/>
        <v>20.211839644693786</v>
      </c>
      <c r="Q7550" s="147">
        <v>5000</v>
      </c>
      <c r="R7550" s="147">
        <v>68</v>
      </c>
      <c r="S7550" s="147" t="s">
        <v>9166</v>
      </c>
      <c r="T7550" s="22">
        <f t="shared" si="711"/>
        <v>10</v>
      </c>
      <c r="U7550" s="22">
        <f t="shared" si="712"/>
        <v>2023</v>
      </c>
      <c r="V7550" s="22" t="str">
        <f t="shared" si="713"/>
        <v>METROPOLITANA</v>
      </c>
    </row>
    <row r="7551" spans="1:22" ht="15" x14ac:dyDescent="0.25">
      <c r="A7551" s="147" t="s">
        <v>9160</v>
      </c>
      <c r="B7551" s="147" t="s">
        <v>33</v>
      </c>
      <c r="C7551" s="147" t="s">
        <v>7148</v>
      </c>
      <c r="D7551" s="147" t="s">
        <v>8219</v>
      </c>
      <c r="E7551" s="147">
        <v>73835526</v>
      </c>
      <c r="F7551" s="147" t="s">
        <v>129</v>
      </c>
      <c r="G7551" s="147">
        <v>2923.53</v>
      </c>
      <c r="H7551" s="147" t="s">
        <v>24</v>
      </c>
      <c r="I7551" s="147">
        <v>1</v>
      </c>
      <c r="J7551" s="147" t="s">
        <v>129</v>
      </c>
      <c r="K7551" s="147" t="s">
        <v>23</v>
      </c>
      <c r="L7551" s="147">
        <v>1</v>
      </c>
      <c r="M7551" s="147">
        <v>69173</v>
      </c>
      <c r="N7551" s="147">
        <v>0</v>
      </c>
      <c r="O7551" s="15">
        <f t="shared" si="714"/>
        <v>69173</v>
      </c>
      <c r="P7551" s="15">
        <f t="shared" si="715"/>
        <v>23.660779947529186</v>
      </c>
      <c r="Q7551" s="147">
        <v>5000</v>
      </c>
      <c r="R7551" s="147">
        <v>58</v>
      </c>
      <c r="S7551" s="147" t="s">
        <v>9167</v>
      </c>
      <c r="T7551" s="22">
        <f t="shared" si="711"/>
        <v>10</v>
      </c>
      <c r="U7551" s="22">
        <f t="shared" si="712"/>
        <v>2023</v>
      </c>
      <c r="V7551" s="22" t="str">
        <f t="shared" si="713"/>
        <v>METROPOLITANA</v>
      </c>
    </row>
    <row r="7552" spans="1:22" ht="15" x14ac:dyDescent="0.25">
      <c r="A7552" s="147" t="s">
        <v>9160</v>
      </c>
      <c r="B7552" s="147" t="s">
        <v>33</v>
      </c>
      <c r="C7552" s="147" t="s">
        <v>29</v>
      </c>
      <c r="D7552" s="147" t="s">
        <v>38</v>
      </c>
      <c r="E7552" s="147">
        <v>125108660</v>
      </c>
      <c r="F7552" s="147" t="s">
        <v>39</v>
      </c>
      <c r="G7552" s="147">
        <v>9013.0099999999984</v>
      </c>
      <c r="H7552" s="147" t="s">
        <v>43</v>
      </c>
      <c r="I7552" s="147">
        <v>0</v>
      </c>
      <c r="J7552" s="147" t="s">
        <v>39</v>
      </c>
      <c r="K7552" s="147" t="s">
        <v>23</v>
      </c>
      <c r="L7552" s="147">
        <v>1</v>
      </c>
      <c r="M7552" s="147">
        <v>99143</v>
      </c>
      <c r="N7552" s="147">
        <v>0</v>
      </c>
      <c r="O7552" s="15">
        <f t="shared" si="714"/>
        <v>99143</v>
      </c>
      <c r="P7552" s="15">
        <f t="shared" si="715"/>
        <v>10.999987795420179</v>
      </c>
      <c r="Q7552" s="147">
        <v>5000</v>
      </c>
      <c r="R7552" s="147">
        <v>100</v>
      </c>
      <c r="S7552" s="147" t="s">
        <v>9168</v>
      </c>
      <c r="T7552" s="22">
        <f t="shared" si="711"/>
        <v>10</v>
      </c>
      <c r="U7552" s="22">
        <f t="shared" si="712"/>
        <v>2023</v>
      </c>
      <c r="V7552" s="22" t="str">
        <f t="shared" si="713"/>
        <v>METROPOLITANA</v>
      </c>
    </row>
    <row r="7553" spans="1:22" ht="15" x14ac:dyDescent="0.25">
      <c r="A7553" s="147" t="s">
        <v>9160</v>
      </c>
      <c r="B7553" s="147" t="s">
        <v>33</v>
      </c>
      <c r="C7553" s="147" t="s">
        <v>29</v>
      </c>
      <c r="D7553" s="147" t="s">
        <v>45</v>
      </c>
      <c r="E7553" s="147">
        <v>107643206</v>
      </c>
      <c r="F7553" s="147" t="s">
        <v>129</v>
      </c>
      <c r="G7553" s="147">
        <v>2628.4</v>
      </c>
      <c r="H7553" s="147" t="s">
        <v>22</v>
      </c>
      <c r="I7553" s="147">
        <v>0</v>
      </c>
      <c r="J7553" s="147" t="s">
        <v>129</v>
      </c>
      <c r="K7553" s="147" t="s">
        <v>23</v>
      </c>
      <c r="L7553" s="147">
        <v>1</v>
      </c>
      <c r="M7553" s="147">
        <v>69173</v>
      </c>
      <c r="N7553" s="147">
        <v>0</v>
      </c>
      <c r="O7553" s="15">
        <f t="shared" si="714"/>
        <v>69173</v>
      </c>
      <c r="P7553" s="15">
        <f t="shared" si="715"/>
        <v>26.317531578146401</v>
      </c>
      <c r="Q7553" s="147">
        <v>5000</v>
      </c>
      <c r="R7553" s="147">
        <v>53</v>
      </c>
      <c r="S7553" s="147" t="s">
        <v>9169</v>
      </c>
      <c r="T7553" s="22">
        <f t="shared" si="711"/>
        <v>10</v>
      </c>
      <c r="U7553" s="22">
        <f t="shared" si="712"/>
        <v>2023</v>
      </c>
      <c r="V7553" s="22" t="str">
        <f t="shared" si="713"/>
        <v>METROPOLITANA</v>
      </c>
    </row>
    <row r="7554" spans="1:22" ht="15" x14ac:dyDescent="0.25">
      <c r="A7554" s="147" t="s">
        <v>9160</v>
      </c>
      <c r="B7554" s="147" t="s">
        <v>33</v>
      </c>
      <c r="C7554" s="147" t="s">
        <v>29</v>
      </c>
      <c r="D7554" s="147" t="s">
        <v>8219</v>
      </c>
      <c r="E7554" s="147">
        <v>73835526</v>
      </c>
      <c r="F7554" s="147" t="s">
        <v>173</v>
      </c>
      <c r="G7554" s="147">
        <v>7777.5999999999976</v>
      </c>
      <c r="H7554" s="147" t="s">
        <v>24</v>
      </c>
      <c r="I7554" s="147">
        <v>1</v>
      </c>
      <c r="J7554" s="147" t="s">
        <v>173</v>
      </c>
      <c r="K7554" s="147" t="s">
        <v>23</v>
      </c>
      <c r="L7554" s="147">
        <v>5</v>
      </c>
      <c r="M7554" s="147">
        <v>180000</v>
      </c>
      <c r="N7554" s="147">
        <v>0</v>
      </c>
      <c r="O7554" s="15">
        <f t="shared" si="714"/>
        <v>180000</v>
      </c>
      <c r="P7554" s="15">
        <f t="shared" si="715"/>
        <v>23.143386134540226</v>
      </c>
      <c r="Q7554" s="147">
        <v>10000</v>
      </c>
      <c r="R7554" s="147">
        <v>78</v>
      </c>
      <c r="S7554" s="147" t="s">
        <v>9170</v>
      </c>
      <c r="T7554" s="22">
        <f t="shared" si="711"/>
        <v>10</v>
      </c>
      <c r="U7554" s="22">
        <f t="shared" si="712"/>
        <v>2023</v>
      </c>
      <c r="V7554" s="22" t="str">
        <f t="shared" si="713"/>
        <v>METROPOLITANA</v>
      </c>
    </row>
    <row r="7555" spans="1:22" ht="15" x14ac:dyDescent="0.25">
      <c r="A7555" s="147" t="s">
        <v>9160</v>
      </c>
      <c r="B7555" s="147" t="s">
        <v>33</v>
      </c>
      <c r="C7555" s="147" t="s">
        <v>29</v>
      </c>
      <c r="D7555" s="147" t="s">
        <v>164</v>
      </c>
      <c r="E7555" s="147">
        <v>154837728</v>
      </c>
      <c r="F7555" s="147" t="s">
        <v>39</v>
      </c>
      <c r="G7555" s="147">
        <v>20662.599999999999</v>
      </c>
      <c r="H7555" s="147" t="s">
        <v>22</v>
      </c>
      <c r="I7555" s="147">
        <v>1</v>
      </c>
      <c r="J7555" s="147" t="s">
        <v>39</v>
      </c>
      <c r="K7555" s="147" t="s">
        <v>23</v>
      </c>
      <c r="L7555" s="147">
        <v>1</v>
      </c>
      <c r="M7555" s="147">
        <v>227289</v>
      </c>
      <c r="N7555" s="147">
        <v>0</v>
      </c>
      <c r="O7555" s="15">
        <f t="shared" si="714"/>
        <v>227289</v>
      </c>
      <c r="P7555" s="15">
        <f t="shared" si="715"/>
        <v>11.000019358647993</v>
      </c>
      <c r="Q7555" s="147">
        <v>5000</v>
      </c>
      <c r="R7555" s="147">
        <v>100</v>
      </c>
      <c r="S7555" s="147" t="s">
        <v>9171</v>
      </c>
      <c r="T7555" s="22">
        <f t="shared" si="711"/>
        <v>10</v>
      </c>
      <c r="U7555" s="22">
        <f t="shared" si="712"/>
        <v>2023</v>
      </c>
      <c r="V7555" s="22" t="str">
        <f t="shared" si="713"/>
        <v>METROPOLITANA</v>
      </c>
    </row>
    <row r="7556" spans="1:22" ht="15" x14ac:dyDescent="0.25">
      <c r="A7556" s="147" t="s">
        <v>9160</v>
      </c>
      <c r="B7556" s="147" t="s">
        <v>33</v>
      </c>
      <c r="C7556" s="147" t="s">
        <v>44</v>
      </c>
      <c r="D7556" s="147" t="s">
        <v>7075</v>
      </c>
      <c r="E7556" s="147">
        <v>101495566</v>
      </c>
      <c r="F7556" s="147" t="s">
        <v>815</v>
      </c>
      <c r="G7556" s="147">
        <v>7073.0700000000024</v>
      </c>
      <c r="H7556" s="147" t="s">
        <v>24</v>
      </c>
      <c r="I7556" s="147">
        <v>1</v>
      </c>
      <c r="J7556" s="147" t="s">
        <v>815</v>
      </c>
      <c r="K7556" s="147" t="s">
        <v>75</v>
      </c>
      <c r="L7556" s="147">
        <v>0</v>
      </c>
      <c r="M7556" s="147">
        <v>528000</v>
      </c>
      <c r="N7556" s="147">
        <v>0</v>
      </c>
      <c r="O7556" s="15">
        <f t="shared" si="714"/>
        <v>528000</v>
      </c>
      <c r="P7556" s="15">
        <f t="shared" si="715"/>
        <v>74.649338971620494</v>
      </c>
      <c r="Q7556" s="147">
        <v>14000</v>
      </c>
      <c r="R7556" s="147">
        <v>51</v>
      </c>
      <c r="S7556" s="147" t="s">
        <v>9172</v>
      </c>
      <c r="T7556" s="22">
        <f t="shared" si="711"/>
        <v>10</v>
      </c>
      <c r="U7556" s="22">
        <f t="shared" si="712"/>
        <v>2023</v>
      </c>
      <c r="V7556" s="22" t="str">
        <f t="shared" si="713"/>
        <v>REGIONES</v>
      </c>
    </row>
    <row r="7557" spans="1:22" x14ac:dyDescent="0.2">
      <c r="A7557" s="23" t="s">
        <v>9173</v>
      </c>
      <c r="B7557" s="22" t="s">
        <v>18</v>
      </c>
      <c r="C7557" s="22" t="s">
        <v>8978</v>
      </c>
      <c r="D7557" s="22" t="s">
        <v>37</v>
      </c>
      <c r="E7557" s="24">
        <v>81417709</v>
      </c>
      <c r="F7557" s="22" t="s">
        <v>1234</v>
      </c>
      <c r="G7557" s="25">
        <v>3818.53</v>
      </c>
      <c r="H7557" s="22" t="s">
        <v>22</v>
      </c>
      <c r="I7557" s="22">
        <v>0</v>
      </c>
      <c r="J7557" s="22" t="s">
        <v>1234</v>
      </c>
      <c r="K7557" s="22" t="s">
        <v>23</v>
      </c>
      <c r="L7557" s="22">
        <v>3</v>
      </c>
      <c r="M7557" s="26">
        <v>69173</v>
      </c>
      <c r="N7557" s="26">
        <v>0</v>
      </c>
      <c r="O7557" s="15">
        <f t="shared" si="714"/>
        <v>69173</v>
      </c>
      <c r="P7557" s="15">
        <f t="shared" si="715"/>
        <v>18.115086171903847</v>
      </c>
      <c r="Q7557" s="25">
        <v>5000</v>
      </c>
      <c r="R7557" s="22">
        <v>76</v>
      </c>
      <c r="S7557" s="22" t="s">
        <v>9174</v>
      </c>
      <c r="T7557" s="22">
        <f t="shared" si="711"/>
        <v>11</v>
      </c>
      <c r="U7557" s="22">
        <f t="shared" si="712"/>
        <v>2023</v>
      </c>
      <c r="V7557" s="22" t="str">
        <f t="shared" si="713"/>
        <v>METROPOLITANA</v>
      </c>
    </row>
    <row r="7558" spans="1:22" x14ac:dyDescent="0.2">
      <c r="A7558" s="23" t="s">
        <v>9173</v>
      </c>
      <c r="B7558" s="22" t="s">
        <v>33</v>
      </c>
      <c r="C7558" s="22" t="s">
        <v>9175</v>
      </c>
      <c r="D7558" s="22" t="s">
        <v>38</v>
      </c>
      <c r="E7558" s="24">
        <v>125108660</v>
      </c>
      <c r="F7558" s="22" t="s">
        <v>129</v>
      </c>
      <c r="G7558" s="25">
        <v>4221</v>
      </c>
      <c r="H7558" s="22" t="s">
        <v>43</v>
      </c>
      <c r="I7558" s="22">
        <v>0</v>
      </c>
      <c r="J7558" s="22" t="s">
        <v>129</v>
      </c>
      <c r="K7558" s="22" t="s">
        <v>23</v>
      </c>
      <c r="L7558" s="22">
        <v>1</v>
      </c>
      <c r="M7558" s="26">
        <v>69173</v>
      </c>
      <c r="N7558" s="26">
        <v>0</v>
      </c>
      <c r="O7558" s="15">
        <f t="shared" si="714"/>
        <v>69173</v>
      </c>
      <c r="P7558" s="15">
        <f t="shared" si="715"/>
        <v>16.387822790807867</v>
      </c>
      <c r="Q7558" s="25">
        <v>5000</v>
      </c>
      <c r="R7558" s="22">
        <v>84</v>
      </c>
      <c r="S7558" s="22" t="s">
        <v>9176</v>
      </c>
      <c r="T7558" s="22">
        <f t="shared" si="711"/>
        <v>11</v>
      </c>
      <c r="U7558" s="22">
        <f t="shared" si="712"/>
        <v>2023</v>
      </c>
      <c r="V7558" s="22" t="str">
        <f t="shared" si="713"/>
        <v>METROPOLITANA</v>
      </c>
    </row>
    <row r="7559" spans="1:22" x14ac:dyDescent="0.2">
      <c r="A7559" s="23" t="s">
        <v>9173</v>
      </c>
      <c r="B7559" s="22" t="s">
        <v>33</v>
      </c>
      <c r="C7559" s="22" t="s">
        <v>29</v>
      </c>
      <c r="D7559" s="22" t="s">
        <v>45</v>
      </c>
      <c r="E7559" s="24">
        <v>107643206</v>
      </c>
      <c r="F7559" s="22" t="s">
        <v>39</v>
      </c>
      <c r="G7559" s="25">
        <v>3496.8</v>
      </c>
      <c r="H7559" s="22" t="s">
        <v>22</v>
      </c>
      <c r="I7559" s="22">
        <v>0</v>
      </c>
      <c r="J7559" s="22" t="s">
        <v>39</v>
      </c>
      <c r="K7559" s="22" t="s">
        <v>23</v>
      </c>
      <c r="L7559" s="22">
        <v>1</v>
      </c>
      <c r="M7559" s="26">
        <v>69173</v>
      </c>
      <c r="N7559" s="26">
        <v>0</v>
      </c>
      <c r="O7559" s="15">
        <f t="shared" si="714"/>
        <v>69173</v>
      </c>
      <c r="P7559" s="15">
        <f t="shared" si="715"/>
        <v>19.781800503317317</v>
      </c>
      <c r="Q7559" s="25">
        <v>5000</v>
      </c>
      <c r="R7559" s="22">
        <v>70</v>
      </c>
      <c r="S7559" s="22" t="s">
        <v>9177</v>
      </c>
      <c r="T7559" s="22">
        <f t="shared" si="711"/>
        <v>11</v>
      </c>
      <c r="U7559" s="22">
        <f t="shared" si="712"/>
        <v>2023</v>
      </c>
      <c r="V7559" s="22" t="str">
        <f t="shared" si="713"/>
        <v>METROPOLITANA</v>
      </c>
    </row>
    <row r="7560" spans="1:22" x14ac:dyDescent="0.2">
      <c r="A7560" s="23" t="s">
        <v>9173</v>
      </c>
      <c r="B7560" s="22" t="s">
        <v>33</v>
      </c>
      <c r="C7560" s="22" t="s">
        <v>29</v>
      </c>
      <c r="D7560" s="22" t="s">
        <v>164</v>
      </c>
      <c r="E7560" s="24">
        <v>154837728</v>
      </c>
      <c r="F7560" s="22" t="s">
        <v>39</v>
      </c>
      <c r="G7560" s="25">
        <v>19151.97</v>
      </c>
      <c r="H7560" s="22" t="s">
        <v>22</v>
      </c>
      <c r="I7560" s="22">
        <v>1</v>
      </c>
      <c r="J7560" s="22" t="s">
        <v>39</v>
      </c>
      <c r="K7560" s="22" t="s">
        <v>23</v>
      </c>
      <c r="L7560" s="22">
        <v>1</v>
      </c>
      <c r="M7560" s="26">
        <v>210672</v>
      </c>
      <c r="N7560" s="26">
        <v>0</v>
      </c>
      <c r="O7560" s="15">
        <f t="shared" si="714"/>
        <v>210672</v>
      </c>
      <c r="P7560" s="15">
        <f t="shared" si="715"/>
        <v>11.000017230603431</v>
      </c>
      <c r="Q7560" s="25">
        <v>5000</v>
      </c>
      <c r="R7560" s="22">
        <v>100</v>
      </c>
      <c r="S7560" s="22" t="s">
        <v>9178</v>
      </c>
      <c r="T7560" s="22">
        <f t="shared" si="711"/>
        <v>11</v>
      </c>
      <c r="U7560" s="22">
        <f t="shared" si="712"/>
        <v>2023</v>
      </c>
      <c r="V7560" s="22" t="str">
        <f t="shared" si="713"/>
        <v>METROPOLITANA</v>
      </c>
    </row>
    <row r="7561" spans="1:22" x14ac:dyDescent="0.2">
      <c r="A7561" s="23" t="s">
        <v>9173</v>
      </c>
      <c r="B7561" s="22" t="s">
        <v>33</v>
      </c>
      <c r="C7561" s="22" t="s">
        <v>29</v>
      </c>
      <c r="D7561" s="22" t="s">
        <v>20</v>
      </c>
      <c r="E7561" s="24">
        <v>78907355</v>
      </c>
      <c r="F7561" s="22" t="s">
        <v>39</v>
      </c>
      <c r="G7561" s="25">
        <v>8808</v>
      </c>
      <c r="H7561" s="22" t="s">
        <v>22</v>
      </c>
      <c r="I7561" s="22">
        <v>0</v>
      </c>
      <c r="J7561" s="22" t="s">
        <v>39</v>
      </c>
      <c r="K7561" s="22" t="s">
        <v>23</v>
      </c>
      <c r="L7561" s="22">
        <v>1</v>
      </c>
      <c r="M7561" s="26">
        <v>96888</v>
      </c>
      <c r="N7561" s="26">
        <v>0</v>
      </c>
      <c r="O7561" s="15">
        <f t="shared" si="714"/>
        <v>96888</v>
      </c>
      <c r="P7561" s="15">
        <f t="shared" si="715"/>
        <v>11</v>
      </c>
      <c r="Q7561" s="25">
        <v>5000</v>
      </c>
      <c r="R7561" s="22">
        <v>100</v>
      </c>
      <c r="S7561" s="22" t="s">
        <v>9179</v>
      </c>
      <c r="T7561" s="22">
        <f t="shared" si="711"/>
        <v>11</v>
      </c>
      <c r="U7561" s="22">
        <f t="shared" si="712"/>
        <v>2023</v>
      </c>
      <c r="V7561" s="22" t="str">
        <f t="shared" si="713"/>
        <v>METROPOLITANA</v>
      </c>
    </row>
    <row r="7562" spans="1:22" x14ac:dyDescent="0.2">
      <c r="A7562" s="23" t="s">
        <v>9173</v>
      </c>
      <c r="B7562" s="22" t="s">
        <v>33</v>
      </c>
      <c r="C7562" s="22" t="s">
        <v>44</v>
      </c>
      <c r="D7562" s="22" t="s">
        <v>8219</v>
      </c>
      <c r="E7562" s="24">
        <v>73835526</v>
      </c>
      <c r="F7562" s="22" t="s">
        <v>9180</v>
      </c>
      <c r="G7562" s="25">
        <v>2760.8</v>
      </c>
      <c r="H7562" s="22" t="s">
        <v>24</v>
      </c>
      <c r="I7562" s="22">
        <v>1</v>
      </c>
      <c r="J7562" s="22" t="s">
        <v>9180</v>
      </c>
      <c r="K7562" s="22" t="s">
        <v>23</v>
      </c>
      <c r="L7562" s="22">
        <v>1</v>
      </c>
      <c r="M7562" s="26">
        <v>69173</v>
      </c>
      <c r="N7562" s="26">
        <v>0</v>
      </c>
      <c r="O7562" s="15">
        <f t="shared" si="714"/>
        <v>69173</v>
      </c>
      <c r="P7562" s="15">
        <f t="shared" si="715"/>
        <v>25.055418719211822</v>
      </c>
      <c r="Q7562" s="25">
        <v>5000</v>
      </c>
      <c r="R7562" s="22">
        <v>55</v>
      </c>
      <c r="S7562" s="22" t="s">
        <v>9181</v>
      </c>
      <c r="T7562" s="22">
        <f t="shared" si="711"/>
        <v>11</v>
      </c>
      <c r="U7562" s="22">
        <f t="shared" si="712"/>
        <v>2023</v>
      </c>
      <c r="V7562" s="22" t="str">
        <f t="shared" si="713"/>
        <v>METROPOLITANA</v>
      </c>
    </row>
    <row r="7563" spans="1:22" x14ac:dyDescent="0.2">
      <c r="A7563" s="11" t="s">
        <v>9182</v>
      </c>
      <c r="B7563" s="12" t="s">
        <v>18</v>
      </c>
      <c r="C7563" s="12" t="s">
        <v>4880</v>
      </c>
      <c r="D7563" s="12" t="s">
        <v>38</v>
      </c>
      <c r="E7563" s="13">
        <v>125108660</v>
      </c>
      <c r="F7563" s="12" t="s">
        <v>129</v>
      </c>
      <c r="G7563" s="14">
        <v>3536.85</v>
      </c>
      <c r="H7563" s="12" t="s">
        <v>43</v>
      </c>
      <c r="I7563" s="12">
        <v>0</v>
      </c>
      <c r="J7563" s="12" t="s">
        <v>129</v>
      </c>
      <c r="K7563" s="12" t="s">
        <v>23</v>
      </c>
      <c r="L7563" s="12">
        <v>1</v>
      </c>
      <c r="M7563" s="15">
        <v>69173</v>
      </c>
      <c r="N7563" s="15">
        <v>0</v>
      </c>
      <c r="O7563" s="15">
        <f t="shared" si="714"/>
        <v>69173</v>
      </c>
      <c r="P7563" s="15">
        <f t="shared" si="715"/>
        <v>19.557798606104303</v>
      </c>
      <c r="Q7563" s="14">
        <v>5000</v>
      </c>
      <c r="R7563" s="12">
        <v>71</v>
      </c>
      <c r="S7563" s="12" t="s">
        <v>9183</v>
      </c>
      <c r="T7563" s="22">
        <f t="shared" si="711"/>
        <v>11</v>
      </c>
      <c r="U7563" s="22">
        <f t="shared" si="712"/>
        <v>2023</v>
      </c>
      <c r="V7563" s="22" t="str">
        <f t="shared" si="713"/>
        <v>METROPOLITANA</v>
      </c>
    </row>
    <row r="7564" spans="1:22" x14ac:dyDescent="0.2">
      <c r="A7564" s="11" t="s">
        <v>9182</v>
      </c>
      <c r="B7564" s="12" t="s">
        <v>18</v>
      </c>
      <c r="C7564" s="12" t="s">
        <v>19</v>
      </c>
      <c r="D7564" s="12" t="s">
        <v>6455</v>
      </c>
      <c r="E7564" s="13">
        <v>60688518</v>
      </c>
      <c r="F7564" s="12" t="s">
        <v>407</v>
      </c>
      <c r="G7564" s="14">
        <v>19872.689999999999</v>
      </c>
      <c r="H7564" s="12" t="s">
        <v>24</v>
      </c>
      <c r="I7564" s="12">
        <v>1</v>
      </c>
      <c r="J7564" s="12" t="s">
        <v>407</v>
      </c>
      <c r="K7564" s="12" t="s">
        <v>408</v>
      </c>
      <c r="L7564" s="12">
        <v>0</v>
      </c>
      <c r="M7564" s="15">
        <v>850000</v>
      </c>
      <c r="N7564" s="15">
        <v>0</v>
      </c>
      <c r="O7564" s="15">
        <f t="shared" si="714"/>
        <v>850000</v>
      </c>
      <c r="P7564" s="15">
        <f t="shared" si="715"/>
        <v>42.772266864727428</v>
      </c>
      <c r="Q7564" s="14">
        <v>14000</v>
      </c>
      <c r="R7564" s="12">
        <v>100</v>
      </c>
      <c r="S7564" s="12" t="s">
        <v>9184</v>
      </c>
      <c r="T7564" s="22">
        <f t="shared" si="711"/>
        <v>11</v>
      </c>
      <c r="U7564" s="22">
        <f t="shared" si="712"/>
        <v>2023</v>
      </c>
      <c r="V7564" s="22" t="str">
        <f t="shared" si="713"/>
        <v>REGIONES</v>
      </c>
    </row>
    <row r="7565" spans="1:22" x14ac:dyDescent="0.2">
      <c r="A7565" s="11" t="s">
        <v>9182</v>
      </c>
      <c r="B7565" s="12" t="s">
        <v>33</v>
      </c>
      <c r="C7565" s="12" t="s">
        <v>7148</v>
      </c>
      <c r="D7565" s="12" t="s">
        <v>20</v>
      </c>
      <c r="E7565" s="13">
        <v>78907355</v>
      </c>
      <c r="F7565" s="12" t="s">
        <v>129</v>
      </c>
      <c r="G7565" s="14">
        <v>5405.66</v>
      </c>
      <c r="H7565" s="12" t="s">
        <v>22</v>
      </c>
      <c r="I7565" s="12">
        <v>0</v>
      </c>
      <c r="J7565" s="12" t="s">
        <v>129</v>
      </c>
      <c r="K7565" s="12" t="s">
        <v>23</v>
      </c>
      <c r="L7565" s="12">
        <v>1</v>
      </c>
      <c r="M7565" s="15">
        <v>59462</v>
      </c>
      <c r="N7565" s="15">
        <v>0</v>
      </c>
      <c r="O7565" s="15">
        <f t="shared" si="714"/>
        <v>59462</v>
      </c>
      <c r="P7565" s="15">
        <f t="shared" si="715"/>
        <v>10.999951902265403</v>
      </c>
      <c r="Q7565" s="14">
        <v>5000</v>
      </c>
      <c r="R7565" s="12">
        <v>100</v>
      </c>
      <c r="S7565" s="12" t="s">
        <v>9185</v>
      </c>
      <c r="T7565" s="22">
        <f t="shared" si="711"/>
        <v>11</v>
      </c>
      <c r="U7565" s="22">
        <f t="shared" si="712"/>
        <v>2023</v>
      </c>
      <c r="V7565" s="22" t="str">
        <f t="shared" si="713"/>
        <v>METROPOLITANA</v>
      </c>
    </row>
    <row r="7566" spans="1:22" x14ac:dyDescent="0.2">
      <c r="A7566" s="11" t="s">
        <v>9182</v>
      </c>
      <c r="B7566" s="12" t="s">
        <v>33</v>
      </c>
      <c r="C7566" s="12" t="s">
        <v>29</v>
      </c>
      <c r="D7566" s="12" t="s">
        <v>8219</v>
      </c>
      <c r="E7566" s="13">
        <v>73835526</v>
      </c>
      <c r="F7566" s="12" t="s">
        <v>173</v>
      </c>
      <c r="G7566" s="14">
        <v>7751.7999999999975</v>
      </c>
      <c r="H7566" s="12" t="s">
        <v>24</v>
      </c>
      <c r="I7566" s="12">
        <v>1</v>
      </c>
      <c r="J7566" s="12" t="s">
        <v>173</v>
      </c>
      <c r="K7566" s="12" t="s">
        <v>23</v>
      </c>
      <c r="L7566" s="12">
        <v>5</v>
      </c>
      <c r="M7566" s="15">
        <v>180000</v>
      </c>
      <c r="N7566" s="15">
        <v>0</v>
      </c>
      <c r="O7566" s="15">
        <f t="shared" si="714"/>
        <v>180000</v>
      </c>
      <c r="P7566" s="15">
        <f t="shared" si="715"/>
        <v>23.220413323357164</v>
      </c>
      <c r="Q7566" s="14">
        <v>10000</v>
      </c>
      <c r="R7566" s="12">
        <v>78</v>
      </c>
      <c r="S7566" s="12" t="s">
        <v>9186</v>
      </c>
      <c r="T7566" s="22">
        <f t="shared" si="711"/>
        <v>11</v>
      </c>
      <c r="U7566" s="22">
        <f t="shared" si="712"/>
        <v>2023</v>
      </c>
      <c r="V7566" s="22" t="str">
        <f t="shared" si="713"/>
        <v>METROPOLITANA</v>
      </c>
    </row>
    <row r="7567" spans="1:22" x14ac:dyDescent="0.2">
      <c r="A7567" s="11" t="s">
        <v>9182</v>
      </c>
      <c r="B7567" s="12" t="s">
        <v>33</v>
      </c>
      <c r="C7567" s="12" t="s">
        <v>44</v>
      </c>
      <c r="D7567" s="12" t="s">
        <v>37</v>
      </c>
      <c r="E7567" s="13">
        <v>154837728</v>
      </c>
      <c r="F7567" s="12" t="s">
        <v>48</v>
      </c>
      <c r="G7567" s="14">
        <v>7355.84</v>
      </c>
      <c r="H7567" s="12" t="s">
        <v>22</v>
      </c>
      <c r="I7567" s="12">
        <v>0</v>
      </c>
      <c r="J7567" s="12" t="s">
        <v>48</v>
      </c>
      <c r="K7567" s="12" t="s">
        <v>23</v>
      </c>
      <c r="L7567" s="12">
        <v>1</v>
      </c>
      <c r="M7567" s="15">
        <v>80914</v>
      </c>
      <c r="N7567" s="15">
        <v>0</v>
      </c>
      <c r="O7567" s="15">
        <f t="shared" si="714"/>
        <v>80914</v>
      </c>
      <c r="P7567" s="15">
        <f t="shared" si="715"/>
        <v>10.999967372862923</v>
      </c>
      <c r="Q7567" s="14">
        <v>5000</v>
      </c>
      <c r="R7567" s="12">
        <v>100</v>
      </c>
      <c r="S7567" s="12" t="s">
        <v>9187</v>
      </c>
      <c r="T7567" s="22">
        <f t="shared" si="711"/>
        <v>11</v>
      </c>
      <c r="U7567" s="22">
        <f t="shared" si="712"/>
        <v>2023</v>
      </c>
      <c r="V7567" s="22" t="str">
        <f t="shared" si="713"/>
        <v>METROPOLITANA</v>
      </c>
    </row>
    <row r="7568" spans="1:22" x14ac:dyDescent="0.2">
      <c r="A7568" s="11" t="s">
        <v>9182</v>
      </c>
      <c r="B7568" s="12" t="s">
        <v>33</v>
      </c>
      <c r="C7568" s="12" t="s">
        <v>44</v>
      </c>
      <c r="D7568" s="12" t="s">
        <v>30</v>
      </c>
      <c r="E7568" s="13">
        <v>72564391</v>
      </c>
      <c r="F7568" s="12" t="s">
        <v>94</v>
      </c>
      <c r="G7568" s="14">
        <v>5027</v>
      </c>
      <c r="H7568" s="12" t="s">
        <v>32</v>
      </c>
      <c r="I7568" s="12">
        <v>0</v>
      </c>
      <c r="J7568" s="12" t="s">
        <v>59</v>
      </c>
      <c r="K7568" s="12" t="s">
        <v>78</v>
      </c>
      <c r="L7568" s="12">
        <v>0</v>
      </c>
      <c r="M7568" s="15">
        <v>227000</v>
      </c>
      <c r="N7568" s="15">
        <v>0</v>
      </c>
      <c r="O7568" s="15">
        <f t="shared" si="714"/>
        <v>227000</v>
      </c>
      <c r="P7568" s="15">
        <f t="shared" si="715"/>
        <v>45.156156753530936</v>
      </c>
      <c r="Q7568" s="14">
        <v>14000</v>
      </c>
      <c r="R7568" s="12">
        <v>36</v>
      </c>
      <c r="S7568" s="12" t="s">
        <v>9188</v>
      </c>
      <c r="T7568" s="22">
        <f t="shared" si="711"/>
        <v>11</v>
      </c>
      <c r="U7568" s="22">
        <f t="shared" si="712"/>
        <v>2023</v>
      </c>
      <c r="V7568" s="22" t="str">
        <f t="shared" si="713"/>
        <v>REGIONES</v>
      </c>
    </row>
    <row r="7569" spans="1:22" x14ac:dyDescent="0.2">
      <c r="A7569" s="11" t="s">
        <v>9182</v>
      </c>
      <c r="B7569" s="12" t="s">
        <v>33</v>
      </c>
      <c r="C7569" s="12" t="s">
        <v>44</v>
      </c>
      <c r="D7569" s="12" t="s">
        <v>45</v>
      </c>
      <c r="E7569" s="13">
        <v>107643206</v>
      </c>
      <c r="F7569" s="12" t="s">
        <v>51</v>
      </c>
      <c r="G7569" s="14">
        <v>3113.12</v>
      </c>
      <c r="H7569" s="12" t="s">
        <v>22</v>
      </c>
      <c r="I7569" s="12">
        <v>0</v>
      </c>
      <c r="J7569" s="12" t="s">
        <v>51</v>
      </c>
      <c r="K7569" s="12" t="s">
        <v>23</v>
      </c>
      <c r="L7569" s="12">
        <v>4</v>
      </c>
      <c r="M7569" s="15">
        <v>69173</v>
      </c>
      <c r="N7569" s="15">
        <v>0</v>
      </c>
      <c r="O7569" s="15">
        <f t="shared" si="714"/>
        <v>69173</v>
      </c>
      <c r="P7569" s="15">
        <f t="shared" si="715"/>
        <v>22.219830909184356</v>
      </c>
      <c r="Q7569" s="14">
        <v>5000</v>
      </c>
      <c r="R7569" s="12">
        <v>62</v>
      </c>
      <c r="S7569" s="12" t="s">
        <v>9189</v>
      </c>
      <c r="T7569" s="22">
        <f t="shared" si="711"/>
        <v>11</v>
      </c>
      <c r="U7569" s="22">
        <f t="shared" si="712"/>
        <v>2023</v>
      </c>
      <c r="V7569" s="22" t="str">
        <f t="shared" si="713"/>
        <v>METROPOLITANA</v>
      </c>
    </row>
    <row r="7570" spans="1:22" x14ac:dyDescent="0.2">
      <c r="A7570" s="11" t="s">
        <v>9182</v>
      </c>
      <c r="B7570" s="12" t="s">
        <v>33</v>
      </c>
      <c r="C7570" s="12" t="s">
        <v>44</v>
      </c>
      <c r="D7570" s="12" t="s">
        <v>35</v>
      </c>
      <c r="E7570" s="13">
        <v>99626232</v>
      </c>
      <c r="F7570" s="12" t="s">
        <v>95</v>
      </c>
      <c r="G7570" s="14">
        <v>2588.94</v>
      </c>
      <c r="H7570" s="12" t="s">
        <v>22</v>
      </c>
      <c r="I7570" s="12">
        <v>0</v>
      </c>
      <c r="J7570" s="12" t="s">
        <v>95</v>
      </c>
      <c r="K7570" s="12" t="s">
        <v>23</v>
      </c>
      <c r="L7570" s="12">
        <v>4</v>
      </c>
      <c r="M7570" s="15">
        <v>69173</v>
      </c>
      <c r="N7570" s="15">
        <v>0</v>
      </c>
      <c r="O7570" s="15">
        <f t="shared" si="714"/>
        <v>69173</v>
      </c>
      <c r="P7570" s="15">
        <f t="shared" si="715"/>
        <v>26.718657056555966</v>
      </c>
      <c r="Q7570" s="14">
        <v>5000</v>
      </c>
      <c r="R7570" s="12">
        <v>52</v>
      </c>
      <c r="S7570" s="12" t="s">
        <v>9190</v>
      </c>
      <c r="T7570" s="22">
        <f t="shared" si="711"/>
        <v>11</v>
      </c>
      <c r="U7570" s="22">
        <f t="shared" si="712"/>
        <v>2023</v>
      </c>
      <c r="V7570" s="22" t="str">
        <f t="shared" si="713"/>
        <v>METROPOLITANA</v>
      </c>
    </row>
    <row r="7571" spans="1:22" x14ac:dyDescent="0.2">
      <c r="A7571" s="23" t="s">
        <v>9191</v>
      </c>
      <c r="B7571" s="22" t="s">
        <v>18</v>
      </c>
      <c r="C7571" s="22" t="s">
        <v>8229</v>
      </c>
      <c r="D7571" s="22" t="s">
        <v>8219</v>
      </c>
      <c r="E7571" s="24">
        <v>73835526</v>
      </c>
      <c r="F7571" s="22" t="s">
        <v>26</v>
      </c>
      <c r="G7571" s="25">
        <v>8533.8000000000011</v>
      </c>
      <c r="H7571" s="22" t="s">
        <v>24</v>
      </c>
      <c r="I7571" s="22">
        <v>1</v>
      </c>
      <c r="J7571" s="22" t="s">
        <v>26</v>
      </c>
      <c r="K7571" s="22" t="s">
        <v>23</v>
      </c>
      <c r="L7571" s="22">
        <v>4</v>
      </c>
      <c r="M7571" s="26">
        <v>93872</v>
      </c>
      <c r="N7571" s="26">
        <v>0</v>
      </c>
      <c r="O7571" s="15">
        <f t="shared" ref="O7571:O7584" si="716">SUM(M7571:N7571)</f>
        <v>93872</v>
      </c>
      <c r="P7571" s="15">
        <f t="shared" ref="P7571:P7584" si="717">O7571/G7571</f>
        <v>11.00002343621833</v>
      </c>
      <c r="Q7571" s="25">
        <v>5000</v>
      </c>
      <c r="R7571" s="22">
        <v>100</v>
      </c>
      <c r="S7571" s="22" t="s">
        <v>9192</v>
      </c>
      <c r="T7571" s="22">
        <f t="shared" si="711"/>
        <v>11</v>
      </c>
      <c r="U7571" s="22">
        <f t="shared" si="712"/>
        <v>2023</v>
      </c>
      <c r="V7571" s="22" t="str">
        <f t="shared" si="713"/>
        <v>METROPOLITANA</v>
      </c>
    </row>
    <row r="7572" spans="1:22" x14ac:dyDescent="0.2">
      <c r="A7572" s="23" t="s">
        <v>9191</v>
      </c>
      <c r="B7572" s="22" t="s">
        <v>18</v>
      </c>
      <c r="C7572" s="22" t="s">
        <v>29</v>
      </c>
      <c r="D7572" s="22" t="s">
        <v>2955</v>
      </c>
      <c r="E7572" s="24">
        <v>65941082</v>
      </c>
      <c r="F7572" s="22" t="s">
        <v>727</v>
      </c>
      <c r="G7572" s="25">
        <v>24108.48000000001</v>
      </c>
      <c r="H7572" s="22" t="s">
        <v>24</v>
      </c>
      <c r="I7572" s="22">
        <v>1</v>
      </c>
      <c r="J7572" s="22" t="s">
        <v>727</v>
      </c>
      <c r="K7572" s="22" t="s">
        <v>23</v>
      </c>
      <c r="L7572" s="22">
        <v>2</v>
      </c>
      <c r="M7572" s="26">
        <v>265193</v>
      </c>
      <c r="N7572" s="26">
        <v>0</v>
      </c>
      <c r="O7572" s="15">
        <f t="shared" si="716"/>
        <v>265193</v>
      </c>
      <c r="P7572" s="15">
        <f t="shared" si="717"/>
        <v>10.999988385829379</v>
      </c>
      <c r="Q7572" s="25">
        <v>5000</v>
      </c>
      <c r="R7572" s="22">
        <v>100</v>
      </c>
      <c r="S7572" s="22" t="s">
        <v>9193</v>
      </c>
      <c r="T7572" s="22">
        <f t="shared" si="711"/>
        <v>11</v>
      </c>
      <c r="U7572" s="22">
        <f t="shared" si="712"/>
        <v>2023</v>
      </c>
      <c r="V7572" s="22" t="str">
        <f t="shared" si="713"/>
        <v>METROPOLITANA</v>
      </c>
    </row>
    <row r="7573" spans="1:22" x14ac:dyDescent="0.2">
      <c r="A7573" s="23" t="s">
        <v>9191</v>
      </c>
      <c r="B7573" s="22" t="s">
        <v>33</v>
      </c>
      <c r="C7573" s="22" t="s">
        <v>57</v>
      </c>
      <c r="D7573" s="22" t="s">
        <v>8580</v>
      </c>
      <c r="E7573" s="24">
        <v>276547747</v>
      </c>
      <c r="F7573" s="22" t="s">
        <v>89</v>
      </c>
      <c r="G7573" s="25">
        <v>6603.8000000000011</v>
      </c>
      <c r="H7573" s="22" t="s">
        <v>24</v>
      </c>
      <c r="I7573" s="22">
        <v>1</v>
      </c>
      <c r="J7573" s="22" t="s">
        <v>89</v>
      </c>
      <c r="K7573" s="22" t="s">
        <v>23</v>
      </c>
      <c r="L7573" s="22">
        <v>5</v>
      </c>
      <c r="M7573" s="26">
        <v>180000</v>
      </c>
      <c r="N7573" s="26">
        <v>0</v>
      </c>
      <c r="O7573" s="15">
        <f t="shared" si="716"/>
        <v>180000</v>
      </c>
      <c r="P7573" s="15">
        <f t="shared" si="717"/>
        <v>27.257033829007536</v>
      </c>
      <c r="Q7573" s="25">
        <v>10000</v>
      </c>
      <c r="R7573" s="22">
        <v>66</v>
      </c>
      <c r="S7573" s="22" t="s">
        <v>9194</v>
      </c>
      <c r="T7573" s="22">
        <f t="shared" si="711"/>
        <v>11</v>
      </c>
      <c r="U7573" s="22">
        <f t="shared" si="712"/>
        <v>2023</v>
      </c>
      <c r="V7573" s="22" t="str">
        <f t="shared" si="713"/>
        <v>METROPOLITANA</v>
      </c>
    </row>
    <row r="7574" spans="1:22" x14ac:dyDescent="0.2">
      <c r="A7574" s="23" t="s">
        <v>9191</v>
      </c>
      <c r="B7574" s="22" t="s">
        <v>33</v>
      </c>
      <c r="C7574" s="22" t="s">
        <v>8229</v>
      </c>
      <c r="D7574" s="22" t="s">
        <v>38</v>
      </c>
      <c r="E7574" s="24">
        <v>125108660</v>
      </c>
      <c r="F7574" s="22" t="s">
        <v>26</v>
      </c>
      <c r="G7574" s="25">
        <v>9177</v>
      </c>
      <c r="H7574" s="22" t="s">
        <v>43</v>
      </c>
      <c r="I7574" s="22">
        <v>0</v>
      </c>
      <c r="J7574" s="22" t="s">
        <v>26</v>
      </c>
      <c r="K7574" s="22" t="s">
        <v>23</v>
      </c>
      <c r="L7574" s="22">
        <v>4</v>
      </c>
      <c r="M7574" s="26">
        <v>100947</v>
      </c>
      <c r="N7574" s="26">
        <v>0</v>
      </c>
      <c r="O7574" s="15">
        <f t="shared" si="716"/>
        <v>100947</v>
      </c>
      <c r="P7574" s="15">
        <f t="shared" si="717"/>
        <v>11</v>
      </c>
      <c r="Q7574" s="25">
        <v>5000</v>
      </c>
      <c r="R7574" s="22">
        <v>100</v>
      </c>
      <c r="S7574" s="22" t="s">
        <v>9195</v>
      </c>
      <c r="T7574" s="22">
        <f t="shared" si="711"/>
        <v>11</v>
      </c>
      <c r="U7574" s="22">
        <f t="shared" si="712"/>
        <v>2023</v>
      </c>
      <c r="V7574" s="22" t="str">
        <f t="shared" si="713"/>
        <v>METROPOLITANA</v>
      </c>
    </row>
    <row r="7575" spans="1:22" x14ac:dyDescent="0.2">
      <c r="A7575" s="23" t="s">
        <v>9191</v>
      </c>
      <c r="B7575" s="22" t="s">
        <v>33</v>
      </c>
      <c r="C7575" s="22" t="s">
        <v>8229</v>
      </c>
      <c r="D7575" s="22" t="s">
        <v>37</v>
      </c>
      <c r="E7575" s="24">
        <v>81417709</v>
      </c>
      <c r="F7575" s="22" t="s">
        <v>165</v>
      </c>
      <c r="G7575" s="25">
        <v>10278.24</v>
      </c>
      <c r="H7575" s="22" t="s">
        <v>22</v>
      </c>
      <c r="I7575" s="22">
        <v>0</v>
      </c>
      <c r="J7575" s="22" t="s">
        <v>165</v>
      </c>
      <c r="K7575" s="22" t="s">
        <v>23</v>
      </c>
      <c r="L7575" s="22">
        <v>4</v>
      </c>
      <c r="M7575" s="26">
        <v>113061</v>
      </c>
      <c r="N7575" s="26">
        <v>0</v>
      </c>
      <c r="O7575" s="15">
        <f t="shared" si="716"/>
        <v>113061</v>
      </c>
      <c r="P7575" s="15">
        <f t="shared" si="717"/>
        <v>11.000035025451828</v>
      </c>
      <c r="Q7575" s="25">
        <v>5000</v>
      </c>
      <c r="R7575" s="22">
        <v>100</v>
      </c>
      <c r="S7575" s="22" t="s">
        <v>9196</v>
      </c>
      <c r="T7575" s="22">
        <f t="shared" si="711"/>
        <v>11</v>
      </c>
      <c r="U7575" s="22">
        <f t="shared" si="712"/>
        <v>2023</v>
      </c>
      <c r="V7575" s="22" t="str">
        <f t="shared" si="713"/>
        <v>METROPOLITANA</v>
      </c>
    </row>
    <row r="7576" spans="1:22" x14ac:dyDescent="0.2">
      <c r="A7576" s="23" t="s">
        <v>9191</v>
      </c>
      <c r="B7576" s="22" t="s">
        <v>33</v>
      </c>
      <c r="C7576" s="22" t="s">
        <v>8229</v>
      </c>
      <c r="D7576" s="22" t="s">
        <v>8219</v>
      </c>
      <c r="E7576" s="24">
        <v>73835526</v>
      </c>
      <c r="F7576" s="22" t="s">
        <v>165</v>
      </c>
      <c r="G7576" s="25">
        <v>11135.259999999989</v>
      </c>
      <c r="H7576" s="22" t="s">
        <v>24</v>
      </c>
      <c r="I7576" s="22">
        <v>1</v>
      </c>
      <c r="J7576" s="22" t="s">
        <v>165</v>
      </c>
      <c r="K7576" s="22" t="s">
        <v>23</v>
      </c>
      <c r="L7576" s="22">
        <v>4</v>
      </c>
      <c r="M7576" s="26">
        <v>122488</v>
      </c>
      <c r="N7576" s="26">
        <v>0</v>
      </c>
      <c r="O7576" s="15">
        <f t="shared" si="716"/>
        <v>122488</v>
      </c>
      <c r="P7576" s="15">
        <f t="shared" si="717"/>
        <v>11.00001257267456</v>
      </c>
      <c r="Q7576" s="25">
        <v>5000</v>
      </c>
      <c r="R7576" s="22">
        <v>100</v>
      </c>
      <c r="S7576" s="22" t="s">
        <v>9197</v>
      </c>
      <c r="T7576" s="22">
        <f t="shared" si="711"/>
        <v>11</v>
      </c>
      <c r="U7576" s="22">
        <f t="shared" si="712"/>
        <v>2023</v>
      </c>
      <c r="V7576" s="22" t="str">
        <f t="shared" si="713"/>
        <v>METROPOLITANA</v>
      </c>
    </row>
    <row r="7577" spans="1:22" x14ac:dyDescent="0.2">
      <c r="A7577" s="23" t="s">
        <v>9191</v>
      </c>
      <c r="B7577" s="22" t="s">
        <v>33</v>
      </c>
      <c r="C7577" s="22" t="s">
        <v>9198</v>
      </c>
      <c r="D7577" s="22" t="s">
        <v>45</v>
      </c>
      <c r="E7577" s="24">
        <v>107643206</v>
      </c>
      <c r="F7577" s="22" t="s">
        <v>129</v>
      </c>
      <c r="G7577" s="25">
        <v>4804.8</v>
      </c>
      <c r="H7577" s="22" t="s">
        <v>22</v>
      </c>
      <c r="I7577" s="22">
        <v>0</v>
      </c>
      <c r="J7577" s="22" t="s">
        <v>129</v>
      </c>
      <c r="K7577" s="22" t="s">
        <v>23</v>
      </c>
      <c r="L7577" s="22">
        <v>1</v>
      </c>
      <c r="M7577" s="26">
        <v>69173</v>
      </c>
      <c r="N7577" s="26">
        <v>0</v>
      </c>
      <c r="O7577" s="15">
        <f t="shared" si="716"/>
        <v>69173</v>
      </c>
      <c r="P7577" s="15">
        <f t="shared" si="717"/>
        <v>14.396645021645021</v>
      </c>
      <c r="Q7577" s="25">
        <v>5000</v>
      </c>
      <c r="R7577" s="22">
        <v>96</v>
      </c>
      <c r="S7577" s="22" t="s">
        <v>9199</v>
      </c>
      <c r="T7577" s="22">
        <f t="shared" si="711"/>
        <v>11</v>
      </c>
      <c r="U7577" s="22">
        <f t="shared" si="712"/>
        <v>2023</v>
      </c>
      <c r="V7577" s="22" t="str">
        <f t="shared" si="713"/>
        <v>METROPOLITANA</v>
      </c>
    </row>
    <row r="7578" spans="1:22" x14ac:dyDescent="0.2">
      <c r="A7578" s="23" t="s">
        <v>9191</v>
      </c>
      <c r="B7578" s="22" t="s">
        <v>33</v>
      </c>
      <c r="C7578" s="22" t="s">
        <v>29</v>
      </c>
      <c r="D7578" s="22" t="s">
        <v>38</v>
      </c>
      <c r="E7578" s="24">
        <v>125108660</v>
      </c>
      <c r="F7578" s="22" t="s">
        <v>134</v>
      </c>
      <c r="G7578" s="25">
        <v>10112</v>
      </c>
      <c r="H7578" s="22" t="s">
        <v>43</v>
      </c>
      <c r="I7578" s="22">
        <v>0</v>
      </c>
      <c r="J7578" s="22" t="s">
        <v>134</v>
      </c>
      <c r="K7578" s="22" t="s">
        <v>23</v>
      </c>
      <c r="L7578" s="22">
        <v>2</v>
      </c>
      <c r="M7578" s="26">
        <v>111232</v>
      </c>
      <c r="N7578" s="26">
        <v>0</v>
      </c>
      <c r="O7578" s="15">
        <f t="shared" si="716"/>
        <v>111232</v>
      </c>
      <c r="P7578" s="15">
        <f t="shared" si="717"/>
        <v>11</v>
      </c>
      <c r="Q7578" s="25">
        <v>5000</v>
      </c>
      <c r="R7578" s="22">
        <v>100</v>
      </c>
      <c r="S7578" s="22" t="s">
        <v>9200</v>
      </c>
      <c r="T7578" s="22">
        <f t="shared" si="711"/>
        <v>11</v>
      </c>
      <c r="U7578" s="22">
        <f t="shared" si="712"/>
        <v>2023</v>
      </c>
      <c r="V7578" s="22" t="str">
        <f t="shared" si="713"/>
        <v>METROPOLITANA</v>
      </c>
    </row>
    <row r="7579" spans="1:22" x14ac:dyDescent="0.2">
      <c r="A7579" s="23" t="s">
        <v>9191</v>
      </c>
      <c r="B7579" s="22" t="s">
        <v>33</v>
      </c>
      <c r="C7579" s="22" t="s">
        <v>29</v>
      </c>
      <c r="D7579" s="22" t="s">
        <v>164</v>
      </c>
      <c r="E7579" s="24">
        <v>154837728</v>
      </c>
      <c r="F7579" s="22" t="s">
        <v>39</v>
      </c>
      <c r="G7579" s="25">
        <v>12390.9</v>
      </c>
      <c r="H7579" s="22" t="s">
        <v>22</v>
      </c>
      <c r="I7579" s="22">
        <v>1</v>
      </c>
      <c r="J7579" s="22" t="s">
        <v>39</v>
      </c>
      <c r="K7579" s="22" t="s">
        <v>23</v>
      </c>
      <c r="L7579" s="22">
        <v>1</v>
      </c>
      <c r="M7579" s="26">
        <v>136300</v>
      </c>
      <c r="N7579" s="26">
        <v>0</v>
      </c>
      <c r="O7579" s="15">
        <f t="shared" si="716"/>
        <v>136300</v>
      </c>
      <c r="P7579" s="15">
        <f t="shared" si="717"/>
        <v>11.00000807043879</v>
      </c>
      <c r="Q7579" s="25">
        <v>5000</v>
      </c>
      <c r="R7579" s="22">
        <v>100</v>
      </c>
      <c r="S7579" s="22" t="s">
        <v>9201</v>
      </c>
      <c r="T7579" s="22">
        <f t="shared" si="711"/>
        <v>11</v>
      </c>
      <c r="U7579" s="22">
        <f t="shared" si="712"/>
        <v>2023</v>
      </c>
      <c r="V7579" s="22" t="str">
        <f t="shared" si="713"/>
        <v>METROPOLITANA</v>
      </c>
    </row>
    <row r="7580" spans="1:22" x14ac:dyDescent="0.2">
      <c r="A7580" s="23" t="s">
        <v>9191</v>
      </c>
      <c r="B7580" s="22" t="s">
        <v>33</v>
      </c>
      <c r="C7580" s="22" t="s">
        <v>29</v>
      </c>
      <c r="D7580" s="22" t="s">
        <v>20</v>
      </c>
      <c r="E7580" s="24">
        <v>78907355</v>
      </c>
      <c r="F7580" s="22" t="s">
        <v>39</v>
      </c>
      <c r="G7580" s="25">
        <v>8608.11</v>
      </c>
      <c r="H7580" s="22" t="s">
        <v>22</v>
      </c>
      <c r="I7580" s="22">
        <v>0</v>
      </c>
      <c r="J7580" s="22" t="s">
        <v>39</v>
      </c>
      <c r="K7580" s="22" t="s">
        <v>23</v>
      </c>
      <c r="L7580" s="22">
        <v>1</v>
      </c>
      <c r="M7580" s="26">
        <v>94689</v>
      </c>
      <c r="N7580" s="26">
        <v>0</v>
      </c>
      <c r="O7580" s="15">
        <f t="shared" si="716"/>
        <v>94689</v>
      </c>
      <c r="P7580" s="15">
        <f t="shared" si="717"/>
        <v>10.999975604400966</v>
      </c>
      <c r="Q7580" s="25">
        <v>5000</v>
      </c>
      <c r="R7580" s="22">
        <v>100</v>
      </c>
      <c r="S7580" s="22" t="s">
        <v>9202</v>
      </c>
      <c r="T7580" s="22">
        <f t="shared" si="711"/>
        <v>11</v>
      </c>
      <c r="U7580" s="22">
        <f t="shared" si="712"/>
        <v>2023</v>
      </c>
      <c r="V7580" s="22" t="str">
        <f t="shared" si="713"/>
        <v>METROPOLITANA</v>
      </c>
    </row>
    <row r="7581" spans="1:22" x14ac:dyDescent="0.2">
      <c r="A7581" s="23" t="s">
        <v>9191</v>
      </c>
      <c r="B7581" s="22" t="s">
        <v>33</v>
      </c>
      <c r="C7581" s="22" t="s">
        <v>44</v>
      </c>
      <c r="D7581" s="22" t="s">
        <v>7203</v>
      </c>
      <c r="E7581" s="24">
        <v>165132386</v>
      </c>
      <c r="F7581" s="22" t="s">
        <v>1105</v>
      </c>
      <c r="G7581" s="25">
        <v>5121.2900000000009</v>
      </c>
      <c r="H7581" s="22" t="s">
        <v>24</v>
      </c>
      <c r="I7581" s="22">
        <v>1</v>
      </c>
      <c r="J7581" s="22" t="s">
        <v>1105</v>
      </c>
      <c r="K7581" s="22" t="s">
        <v>873</v>
      </c>
      <c r="L7581" s="22">
        <v>0</v>
      </c>
      <c r="M7581" s="26">
        <v>1131000</v>
      </c>
      <c r="N7581" s="26">
        <v>0</v>
      </c>
      <c r="O7581" s="15">
        <f t="shared" si="716"/>
        <v>1131000</v>
      </c>
      <c r="P7581" s="15">
        <f t="shared" si="717"/>
        <v>220.84279546754817</v>
      </c>
      <c r="Q7581" s="25">
        <v>14000</v>
      </c>
      <c r="R7581" s="22">
        <v>37</v>
      </c>
      <c r="S7581" s="22" t="s">
        <v>9203</v>
      </c>
      <c r="T7581" s="22">
        <f t="shared" si="711"/>
        <v>11</v>
      </c>
      <c r="U7581" s="22">
        <f t="shared" si="712"/>
        <v>2023</v>
      </c>
      <c r="V7581" s="22" t="str">
        <f t="shared" si="713"/>
        <v>REGIONES</v>
      </c>
    </row>
    <row r="7582" spans="1:22" x14ac:dyDescent="0.2">
      <c r="A7582" s="23" t="s">
        <v>9191</v>
      </c>
      <c r="B7582" s="22" t="s">
        <v>33</v>
      </c>
      <c r="C7582" s="22" t="s">
        <v>44</v>
      </c>
      <c r="D7582" s="22" t="s">
        <v>9204</v>
      </c>
      <c r="E7582" s="24">
        <v>99199296</v>
      </c>
      <c r="F7582" s="22" t="s">
        <v>2639</v>
      </c>
      <c r="G7582" s="25">
        <v>4590.12</v>
      </c>
      <c r="H7582" s="22" t="s">
        <v>24</v>
      </c>
      <c r="I7582" s="22">
        <v>1</v>
      </c>
      <c r="J7582" s="22" t="s">
        <v>2639</v>
      </c>
      <c r="K7582" s="22" t="s">
        <v>75</v>
      </c>
      <c r="L7582" s="22">
        <v>0</v>
      </c>
      <c r="M7582" s="26">
        <v>478000</v>
      </c>
      <c r="N7582" s="26">
        <v>0</v>
      </c>
      <c r="O7582" s="15">
        <f t="shared" si="716"/>
        <v>478000</v>
      </c>
      <c r="P7582" s="15">
        <f t="shared" si="717"/>
        <v>104.1367110228055</v>
      </c>
      <c r="Q7582" s="25">
        <v>14000</v>
      </c>
      <c r="R7582" s="22">
        <v>33</v>
      </c>
      <c r="S7582" s="22" t="s">
        <v>9205</v>
      </c>
      <c r="T7582" s="22">
        <f t="shared" si="711"/>
        <v>11</v>
      </c>
      <c r="U7582" s="22">
        <f t="shared" si="712"/>
        <v>2023</v>
      </c>
      <c r="V7582" s="22" t="str">
        <f t="shared" si="713"/>
        <v>REGIONES</v>
      </c>
    </row>
    <row r="7583" spans="1:22" x14ac:dyDescent="0.2">
      <c r="A7583" s="23" t="s">
        <v>9191</v>
      </c>
      <c r="B7583" s="22" t="s">
        <v>33</v>
      </c>
      <c r="C7583" s="22" t="s">
        <v>44</v>
      </c>
      <c r="D7583" s="22" t="s">
        <v>7089</v>
      </c>
      <c r="E7583" s="24">
        <v>160374632</v>
      </c>
      <c r="F7583" s="22" t="s">
        <v>114</v>
      </c>
      <c r="G7583" s="25">
        <v>10349.56</v>
      </c>
      <c r="H7583" s="22" t="s">
        <v>24</v>
      </c>
      <c r="I7583" s="22">
        <v>1</v>
      </c>
      <c r="J7583" s="22" t="s">
        <v>114</v>
      </c>
      <c r="K7583" s="22" t="s">
        <v>75</v>
      </c>
      <c r="L7583" s="22">
        <v>0</v>
      </c>
      <c r="M7583" s="26">
        <v>528000</v>
      </c>
      <c r="N7583" s="26">
        <v>0</v>
      </c>
      <c r="O7583" s="15">
        <f t="shared" si="716"/>
        <v>528000</v>
      </c>
      <c r="P7583" s="15">
        <f t="shared" si="717"/>
        <v>51.016661577883504</v>
      </c>
      <c r="Q7583" s="25">
        <v>14000</v>
      </c>
      <c r="R7583" s="22">
        <v>74</v>
      </c>
      <c r="S7583" s="22" t="s">
        <v>9206</v>
      </c>
      <c r="T7583" s="22">
        <f t="shared" si="711"/>
        <v>11</v>
      </c>
      <c r="U7583" s="22">
        <f t="shared" si="712"/>
        <v>2023</v>
      </c>
      <c r="V7583" s="22" t="str">
        <f t="shared" si="713"/>
        <v>REGIONES</v>
      </c>
    </row>
    <row r="7584" spans="1:22" x14ac:dyDescent="0.2">
      <c r="A7584" s="23" t="s">
        <v>9191</v>
      </c>
      <c r="B7584" s="22" t="s">
        <v>33</v>
      </c>
      <c r="C7584" s="22" t="s">
        <v>44</v>
      </c>
      <c r="D7584" s="22" t="s">
        <v>45</v>
      </c>
      <c r="E7584" s="24">
        <v>107643206</v>
      </c>
      <c r="F7584" s="22" t="s">
        <v>26</v>
      </c>
      <c r="G7584" s="25">
        <v>2499.8000000000002</v>
      </c>
      <c r="H7584" s="22" t="s">
        <v>22</v>
      </c>
      <c r="I7584" s="22">
        <v>0</v>
      </c>
      <c r="J7584" s="22" t="s">
        <v>26</v>
      </c>
      <c r="K7584" s="22" t="s">
        <v>23</v>
      </c>
      <c r="L7584" s="22">
        <v>4</v>
      </c>
      <c r="M7584" s="26">
        <v>69173</v>
      </c>
      <c r="N7584" s="26">
        <v>0</v>
      </c>
      <c r="O7584" s="15">
        <f t="shared" si="716"/>
        <v>69173</v>
      </c>
      <c r="P7584" s="15">
        <f t="shared" si="717"/>
        <v>27.671413713097046</v>
      </c>
      <c r="Q7584" s="25">
        <v>5000</v>
      </c>
      <c r="R7584" s="22">
        <v>50</v>
      </c>
      <c r="S7584" s="22" t="s">
        <v>9207</v>
      </c>
      <c r="T7584" s="22">
        <f t="shared" si="711"/>
        <v>11</v>
      </c>
      <c r="U7584" s="22">
        <f t="shared" si="712"/>
        <v>2023</v>
      </c>
      <c r="V7584" s="22" t="str">
        <f t="shared" si="713"/>
        <v>METROPOLITANA</v>
      </c>
    </row>
    <row r="7585" spans="1:22" x14ac:dyDescent="0.2">
      <c r="A7585" s="11" t="s">
        <v>9208</v>
      </c>
      <c r="B7585" s="12" t="s">
        <v>18</v>
      </c>
      <c r="C7585" s="12" t="s">
        <v>19</v>
      </c>
      <c r="D7585" s="12" t="s">
        <v>6221</v>
      </c>
      <c r="E7585" s="13">
        <v>170846392</v>
      </c>
      <c r="F7585" s="12" t="s">
        <v>407</v>
      </c>
      <c r="G7585" s="14">
        <v>23915.19000000001</v>
      </c>
      <c r="H7585" s="12" t="s">
        <v>24</v>
      </c>
      <c r="I7585" s="12">
        <v>1</v>
      </c>
      <c r="J7585" s="12" t="s">
        <v>407</v>
      </c>
      <c r="K7585" s="12" t="s">
        <v>408</v>
      </c>
      <c r="L7585" s="12">
        <v>0</v>
      </c>
      <c r="M7585" s="15">
        <v>850000</v>
      </c>
      <c r="N7585" s="15">
        <v>0</v>
      </c>
      <c r="O7585" s="15">
        <f t="shared" ref="O7585:O7597" si="718">SUM(M7585:N7585)</f>
        <v>850000</v>
      </c>
      <c r="P7585" s="15">
        <f t="shared" ref="P7585:P7597" si="719">O7585/G7585</f>
        <v>35.5422641425805</v>
      </c>
      <c r="Q7585" s="14">
        <v>14000</v>
      </c>
      <c r="R7585" s="12">
        <v>100</v>
      </c>
      <c r="S7585" s="12" t="s">
        <v>9209</v>
      </c>
      <c r="T7585" s="22">
        <f t="shared" si="711"/>
        <v>11</v>
      </c>
      <c r="U7585" s="22">
        <f t="shared" si="712"/>
        <v>2023</v>
      </c>
      <c r="V7585" s="22" t="str">
        <f t="shared" si="713"/>
        <v>REGIONES</v>
      </c>
    </row>
    <row r="7586" spans="1:22" x14ac:dyDescent="0.2">
      <c r="A7586" s="11" t="s">
        <v>9208</v>
      </c>
      <c r="B7586" s="12" t="s">
        <v>18</v>
      </c>
      <c r="C7586" s="12" t="s">
        <v>5796</v>
      </c>
      <c r="D7586" s="12" t="s">
        <v>30</v>
      </c>
      <c r="E7586" s="13">
        <v>72564391</v>
      </c>
      <c r="F7586" s="12" t="s">
        <v>129</v>
      </c>
      <c r="G7586" s="14">
        <v>5792.800000000002</v>
      </c>
      <c r="H7586" s="12" t="s">
        <v>32</v>
      </c>
      <c r="I7586" s="12">
        <v>0</v>
      </c>
      <c r="J7586" s="12" t="s">
        <v>129</v>
      </c>
      <c r="K7586" s="12" t="s">
        <v>23</v>
      </c>
      <c r="L7586" s="12">
        <v>1</v>
      </c>
      <c r="M7586" s="15">
        <v>63721</v>
      </c>
      <c r="N7586" s="15">
        <v>0</v>
      </c>
      <c r="O7586" s="15">
        <f t="shared" si="718"/>
        <v>63721</v>
      </c>
      <c r="P7586" s="15">
        <f t="shared" si="719"/>
        <v>11.000034525618005</v>
      </c>
      <c r="Q7586" s="14">
        <v>5000</v>
      </c>
      <c r="R7586" s="12">
        <v>100</v>
      </c>
      <c r="S7586" s="12" t="s">
        <v>9210</v>
      </c>
      <c r="T7586" s="22">
        <f t="shared" si="711"/>
        <v>11</v>
      </c>
      <c r="U7586" s="22">
        <f t="shared" si="712"/>
        <v>2023</v>
      </c>
      <c r="V7586" s="22" t="str">
        <f t="shared" si="713"/>
        <v>METROPOLITANA</v>
      </c>
    </row>
    <row r="7587" spans="1:22" x14ac:dyDescent="0.2">
      <c r="A7587" s="11" t="s">
        <v>9208</v>
      </c>
      <c r="B7587" s="12" t="s">
        <v>33</v>
      </c>
      <c r="C7587" s="12" t="s">
        <v>7065</v>
      </c>
      <c r="D7587" s="12" t="s">
        <v>38</v>
      </c>
      <c r="E7587" s="13">
        <v>125108660</v>
      </c>
      <c r="F7587" s="12" t="s">
        <v>129</v>
      </c>
      <c r="G7587" s="14">
        <v>14170.000000000009</v>
      </c>
      <c r="H7587" s="12" t="s">
        <v>43</v>
      </c>
      <c r="I7587" s="12">
        <v>0</v>
      </c>
      <c r="J7587" s="12" t="s">
        <v>129</v>
      </c>
      <c r="K7587" s="12" t="s">
        <v>23</v>
      </c>
      <c r="L7587" s="12">
        <v>1</v>
      </c>
      <c r="M7587" s="15">
        <v>155870</v>
      </c>
      <c r="N7587" s="15">
        <v>0</v>
      </c>
      <c r="O7587" s="15">
        <f t="shared" si="718"/>
        <v>155870</v>
      </c>
      <c r="P7587" s="15">
        <f t="shared" si="719"/>
        <v>10.999999999999993</v>
      </c>
      <c r="Q7587" s="14">
        <v>5000</v>
      </c>
      <c r="R7587" s="12">
        <v>100</v>
      </c>
      <c r="S7587" s="12" t="s">
        <v>9211</v>
      </c>
      <c r="T7587" s="22">
        <f t="shared" si="711"/>
        <v>11</v>
      </c>
      <c r="U7587" s="22">
        <f t="shared" si="712"/>
        <v>2023</v>
      </c>
      <c r="V7587" s="22" t="str">
        <f t="shared" si="713"/>
        <v>METROPOLITANA</v>
      </c>
    </row>
    <row r="7588" spans="1:22" x14ac:dyDescent="0.2">
      <c r="A7588" s="11" t="s">
        <v>9208</v>
      </c>
      <c r="B7588" s="12" t="s">
        <v>33</v>
      </c>
      <c r="C7588" s="12" t="s">
        <v>7065</v>
      </c>
      <c r="D7588" s="12" t="s">
        <v>20</v>
      </c>
      <c r="E7588" s="13">
        <v>81417709</v>
      </c>
      <c r="F7588" s="12" t="s">
        <v>129</v>
      </c>
      <c r="G7588" s="14">
        <v>9879.9999999999982</v>
      </c>
      <c r="H7588" s="12" t="s">
        <v>22</v>
      </c>
      <c r="I7588" s="12">
        <v>0</v>
      </c>
      <c r="J7588" s="12" t="s">
        <v>129</v>
      </c>
      <c r="K7588" s="12" t="s">
        <v>23</v>
      </c>
      <c r="L7588" s="12">
        <v>1</v>
      </c>
      <c r="M7588" s="15">
        <v>108680</v>
      </c>
      <c r="N7588" s="15">
        <v>0</v>
      </c>
      <c r="O7588" s="15">
        <f t="shared" si="718"/>
        <v>108680</v>
      </c>
      <c r="P7588" s="15">
        <f t="shared" si="719"/>
        <v>11.000000000000002</v>
      </c>
      <c r="Q7588" s="14">
        <v>5000</v>
      </c>
      <c r="R7588" s="12">
        <v>100</v>
      </c>
      <c r="S7588" s="12" t="s">
        <v>9212</v>
      </c>
      <c r="T7588" s="22">
        <f t="shared" si="711"/>
        <v>11</v>
      </c>
      <c r="U7588" s="22">
        <f t="shared" si="712"/>
        <v>2023</v>
      </c>
      <c r="V7588" s="22" t="str">
        <f t="shared" si="713"/>
        <v>METROPOLITANA</v>
      </c>
    </row>
    <row r="7589" spans="1:22" x14ac:dyDescent="0.2">
      <c r="A7589" s="11" t="s">
        <v>9208</v>
      </c>
      <c r="B7589" s="12" t="s">
        <v>33</v>
      </c>
      <c r="C7589" s="12" t="s">
        <v>8229</v>
      </c>
      <c r="D7589" s="12" t="s">
        <v>8219</v>
      </c>
      <c r="E7589" s="13">
        <v>73835526</v>
      </c>
      <c r="F7589" s="12" t="s">
        <v>165</v>
      </c>
      <c r="G7589" s="14">
        <f>6100+3122</f>
        <v>9222</v>
      </c>
      <c r="H7589" s="12" t="s">
        <v>24</v>
      </c>
      <c r="I7589" s="12">
        <v>1</v>
      </c>
      <c r="J7589" s="12" t="s">
        <v>165</v>
      </c>
      <c r="K7589" s="12" t="s">
        <v>23</v>
      </c>
      <c r="L7589" s="12">
        <v>4</v>
      </c>
      <c r="M7589" s="15">
        <v>67100</v>
      </c>
      <c r="N7589" s="15">
        <v>0</v>
      </c>
      <c r="O7589" s="15">
        <f t="shared" si="718"/>
        <v>67100</v>
      </c>
      <c r="P7589" s="15">
        <f t="shared" si="719"/>
        <v>7.276078941661245</v>
      </c>
      <c r="Q7589" s="14">
        <v>5000</v>
      </c>
      <c r="R7589" s="12">
        <v>100</v>
      </c>
      <c r="S7589" s="12" t="s">
        <v>9223</v>
      </c>
      <c r="T7589" s="22">
        <f t="shared" si="711"/>
        <v>11</v>
      </c>
      <c r="U7589" s="22">
        <f t="shared" si="712"/>
        <v>2023</v>
      </c>
      <c r="V7589" s="22" t="str">
        <f t="shared" si="713"/>
        <v>METROPOLITANA</v>
      </c>
    </row>
    <row r="7590" spans="1:22" x14ac:dyDescent="0.2">
      <c r="A7590" s="11" t="s">
        <v>9208</v>
      </c>
      <c r="B7590" s="12" t="s">
        <v>33</v>
      </c>
      <c r="C7590" s="12" t="s">
        <v>29</v>
      </c>
      <c r="D7590" s="12" t="s">
        <v>636</v>
      </c>
      <c r="E7590" s="13">
        <v>113693568</v>
      </c>
      <c r="F7590" s="12" t="s">
        <v>132</v>
      </c>
      <c r="G7590" s="14">
        <f>12180.5+4061</f>
        <v>16241.5</v>
      </c>
      <c r="H7590" s="12" t="s">
        <v>85</v>
      </c>
      <c r="I7590" s="12">
        <v>1</v>
      </c>
      <c r="J7590" s="12" t="s">
        <v>132</v>
      </c>
      <c r="K7590" s="12" t="s">
        <v>124</v>
      </c>
      <c r="L7590" s="12">
        <v>0</v>
      </c>
      <c r="M7590" s="15">
        <v>500000</v>
      </c>
      <c r="N7590" s="15">
        <v>0</v>
      </c>
      <c r="O7590" s="15">
        <f t="shared" si="718"/>
        <v>500000</v>
      </c>
      <c r="P7590" s="15">
        <f t="shared" si="719"/>
        <v>30.785333866945788</v>
      </c>
      <c r="Q7590" s="14">
        <v>14000</v>
      </c>
      <c r="R7590" s="12">
        <v>87</v>
      </c>
      <c r="S7590" s="12" t="s">
        <v>9222</v>
      </c>
      <c r="T7590" s="22">
        <f t="shared" ref="T7590:T7645" si="720">MONTH(A7590)</f>
        <v>11</v>
      </c>
      <c r="U7590" s="22">
        <f t="shared" ref="U7590:U7645" si="721">YEAR(A7590)</f>
        <v>2023</v>
      </c>
      <c r="V7590" s="22" t="str">
        <f t="shared" ref="V7590:V7645" si="722">IF(K7590="METROPOLITANA DE SANTIAGO","METROPOLITANA","REGIONES")</f>
        <v>REGIONES</v>
      </c>
    </row>
    <row r="7591" spans="1:22" x14ac:dyDescent="0.2">
      <c r="A7591" s="11" t="s">
        <v>9208</v>
      </c>
      <c r="B7591" s="12" t="s">
        <v>33</v>
      </c>
      <c r="C7591" s="12" t="s">
        <v>29</v>
      </c>
      <c r="D7591" s="12" t="s">
        <v>3641</v>
      </c>
      <c r="E7591" s="13">
        <v>100822328</v>
      </c>
      <c r="F7591" s="12" t="s">
        <v>132</v>
      </c>
      <c r="G7591" s="14">
        <v>15643.2</v>
      </c>
      <c r="H7591" s="12" t="s">
        <v>24</v>
      </c>
      <c r="I7591" s="12">
        <v>1</v>
      </c>
      <c r="J7591" s="12" t="s">
        <v>132</v>
      </c>
      <c r="K7591" s="12" t="s">
        <v>124</v>
      </c>
      <c r="L7591" s="12">
        <v>0</v>
      </c>
      <c r="M7591" s="15">
        <v>500000</v>
      </c>
      <c r="N7591" s="15">
        <v>0</v>
      </c>
      <c r="O7591" s="15">
        <f t="shared" si="718"/>
        <v>500000</v>
      </c>
      <c r="P7591" s="15">
        <f t="shared" si="719"/>
        <v>31.962769765776823</v>
      </c>
      <c r="Q7591" s="14">
        <v>14000</v>
      </c>
      <c r="R7591" s="12">
        <v>100</v>
      </c>
      <c r="S7591" s="12" t="s">
        <v>9213</v>
      </c>
      <c r="T7591" s="22">
        <f t="shared" si="720"/>
        <v>11</v>
      </c>
      <c r="U7591" s="22">
        <f t="shared" si="721"/>
        <v>2023</v>
      </c>
      <c r="V7591" s="22" t="str">
        <f t="shared" si="722"/>
        <v>REGIONES</v>
      </c>
    </row>
    <row r="7592" spans="1:22" x14ac:dyDescent="0.2">
      <c r="A7592" s="11" t="s">
        <v>9208</v>
      </c>
      <c r="B7592" s="12" t="s">
        <v>33</v>
      </c>
      <c r="C7592" s="12" t="s">
        <v>29</v>
      </c>
      <c r="D7592" s="12" t="s">
        <v>9214</v>
      </c>
      <c r="E7592" s="13">
        <v>151809588</v>
      </c>
      <c r="F7592" s="12" t="s">
        <v>114</v>
      </c>
      <c r="G7592" s="14">
        <v>8244.0000000000036</v>
      </c>
      <c r="H7592" s="12" t="s">
        <v>24</v>
      </c>
      <c r="I7592" s="12">
        <v>1</v>
      </c>
      <c r="J7592" s="12" t="s">
        <v>114</v>
      </c>
      <c r="K7592" s="12" t="s">
        <v>75</v>
      </c>
      <c r="L7592" s="12">
        <v>0</v>
      </c>
      <c r="M7592" s="15">
        <v>528000</v>
      </c>
      <c r="N7592" s="15">
        <v>0</v>
      </c>
      <c r="O7592" s="15">
        <f t="shared" si="718"/>
        <v>528000</v>
      </c>
      <c r="P7592" s="15">
        <f t="shared" si="719"/>
        <v>64.046579330422091</v>
      </c>
      <c r="Q7592" s="14">
        <v>14000</v>
      </c>
      <c r="R7592" s="12">
        <v>59</v>
      </c>
      <c r="S7592" s="12" t="s">
        <v>9215</v>
      </c>
      <c r="T7592" s="22">
        <f t="shared" si="720"/>
        <v>11</v>
      </c>
      <c r="U7592" s="22">
        <f t="shared" si="721"/>
        <v>2023</v>
      </c>
      <c r="V7592" s="22" t="str">
        <f t="shared" si="722"/>
        <v>REGIONES</v>
      </c>
    </row>
    <row r="7593" spans="1:22" x14ac:dyDescent="0.2">
      <c r="A7593" s="11" t="s">
        <v>9208</v>
      </c>
      <c r="B7593" s="12" t="s">
        <v>33</v>
      </c>
      <c r="C7593" s="12" t="s">
        <v>29</v>
      </c>
      <c r="D7593" s="12" t="s">
        <v>9216</v>
      </c>
      <c r="E7593" s="13">
        <v>171875617</v>
      </c>
      <c r="F7593" s="12" t="s">
        <v>114</v>
      </c>
      <c r="G7593" s="14">
        <v>14795.55000000001</v>
      </c>
      <c r="H7593" s="12" t="s">
        <v>24</v>
      </c>
      <c r="I7593" s="12">
        <v>1</v>
      </c>
      <c r="J7593" s="12" t="s">
        <v>114</v>
      </c>
      <c r="K7593" s="12" t="s">
        <v>75</v>
      </c>
      <c r="L7593" s="12">
        <v>0</v>
      </c>
      <c r="M7593" s="15">
        <v>528000</v>
      </c>
      <c r="N7593" s="15">
        <v>0</v>
      </c>
      <c r="O7593" s="15">
        <f t="shared" si="718"/>
        <v>528000</v>
      </c>
      <c r="P7593" s="15">
        <f t="shared" si="719"/>
        <v>35.686405709824889</v>
      </c>
      <c r="Q7593" s="14">
        <v>14000</v>
      </c>
      <c r="R7593" s="12">
        <v>100</v>
      </c>
      <c r="S7593" s="12" t="s">
        <v>9217</v>
      </c>
      <c r="T7593" s="22">
        <f t="shared" si="720"/>
        <v>11</v>
      </c>
      <c r="U7593" s="22">
        <f t="shared" si="721"/>
        <v>2023</v>
      </c>
      <c r="V7593" s="22" t="str">
        <f t="shared" si="722"/>
        <v>REGIONES</v>
      </c>
    </row>
    <row r="7594" spans="1:22" x14ac:dyDescent="0.2">
      <c r="A7594" s="11" t="s">
        <v>9208</v>
      </c>
      <c r="B7594" s="12" t="s">
        <v>33</v>
      </c>
      <c r="C7594" s="12" t="s">
        <v>44</v>
      </c>
      <c r="D7594" s="12" t="s">
        <v>37</v>
      </c>
      <c r="E7594" s="13">
        <v>154837728</v>
      </c>
      <c r="F7594" s="12" t="s">
        <v>48</v>
      </c>
      <c r="G7594" s="14">
        <v>2885.72</v>
      </c>
      <c r="H7594" s="12" t="s">
        <v>22</v>
      </c>
      <c r="I7594" s="12">
        <v>0</v>
      </c>
      <c r="J7594" s="12" t="s">
        <v>48</v>
      </c>
      <c r="K7594" s="12" t="s">
        <v>23</v>
      </c>
      <c r="L7594" s="12">
        <v>1</v>
      </c>
      <c r="M7594" s="15">
        <v>69173</v>
      </c>
      <c r="N7594" s="15">
        <v>0</v>
      </c>
      <c r="O7594" s="15">
        <f t="shared" si="718"/>
        <v>69173</v>
      </c>
      <c r="P7594" s="15">
        <f t="shared" si="719"/>
        <v>23.970794117239372</v>
      </c>
      <c r="Q7594" s="14">
        <v>5000</v>
      </c>
      <c r="R7594" s="12">
        <v>58</v>
      </c>
      <c r="S7594" s="12" t="s">
        <v>9218</v>
      </c>
      <c r="T7594" s="22">
        <f t="shared" si="720"/>
        <v>11</v>
      </c>
      <c r="U7594" s="22">
        <f t="shared" si="721"/>
        <v>2023</v>
      </c>
      <c r="V7594" s="22" t="str">
        <f t="shared" si="722"/>
        <v>METROPOLITANA</v>
      </c>
    </row>
    <row r="7595" spans="1:22" x14ac:dyDescent="0.2">
      <c r="A7595" s="11" t="s">
        <v>9208</v>
      </c>
      <c r="B7595" s="12" t="s">
        <v>33</v>
      </c>
      <c r="C7595" s="12" t="s">
        <v>44</v>
      </c>
      <c r="D7595" s="12" t="s">
        <v>7134</v>
      </c>
      <c r="E7595" s="13">
        <v>114163848</v>
      </c>
      <c r="F7595" s="12" t="s">
        <v>92</v>
      </c>
      <c r="G7595" s="14">
        <v>8820.82</v>
      </c>
      <c r="H7595" s="12" t="s">
        <v>24</v>
      </c>
      <c r="I7595" s="12">
        <v>1</v>
      </c>
      <c r="J7595" s="12" t="s">
        <v>92</v>
      </c>
      <c r="K7595" s="12" t="s">
        <v>93</v>
      </c>
      <c r="L7595" s="12">
        <v>0</v>
      </c>
      <c r="M7595" s="15">
        <v>900000</v>
      </c>
      <c r="N7595" s="15">
        <v>0</v>
      </c>
      <c r="O7595" s="15">
        <f t="shared" si="718"/>
        <v>900000</v>
      </c>
      <c r="P7595" s="15">
        <f t="shared" si="719"/>
        <v>102.03133042052779</v>
      </c>
      <c r="Q7595" s="14">
        <v>14000</v>
      </c>
      <c r="R7595" s="12">
        <v>63</v>
      </c>
      <c r="S7595" s="12" t="s">
        <v>9219</v>
      </c>
      <c r="T7595" s="22">
        <f t="shared" si="720"/>
        <v>11</v>
      </c>
      <c r="U7595" s="22">
        <f t="shared" si="721"/>
        <v>2023</v>
      </c>
      <c r="V7595" s="22" t="str">
        <f t="shared" si="722"/>
        <v>REGIONES</v>
      </c>
    </row>
    <row r="7596" spans="1:22" x14ac:dyDescent="0.2">
      <c r="A7596" s="11" t="s">
        <v>9208</v>
      </c>
      <c r="B7596" s="12" t="s">
        <v>33</v>
      </c>
      <c r="C7596" s="12" t="s">
        <v>44</v>
      </c>
      <c r="D7596" s="12" t="s">
        <v>45</v>
      </c>
      <c r="E7596" s="13">
        <v>107643206</v>
      </c>
      <c r="F7596" s="12" t="s">
        <v>182</v>
      </c>
      <c r="G7596" s="14">
        <v>2808.17</v>
      </c>
      <c r="H7596" s="12" t="s">
        <v>22</v>
      </c>
      <c r="I7596" s="12">
        <v>0</v>
      </c>
      <c r="J7596" s="12" t="s">
        <v>182</v>
      </c>
      <c r="K7596" s="12" t="s">
        <v>23</v>
      </c>
      <c r="L7596" s="12">
        <v>4</v>
      </c>
      <c r="M7596" s="15">
        <v>69173</v>
      </c>
      <c r="N7596" s="15">
        <v>0</v>
      </c>
      <c r="O7596" s="15">
        <f t="shared" si="718"/>
        <v>69173</v>
      </c>
      <c r="P7596" s="15">
        <f t="shared" si="719"/>
        <v>24.632767959204749</v>
      </c>
      <c r="Q7596" s="14">
        <v>5000</v>
      </c>
      <c r="R7596" s="12">
        <v>56</v>
      </c>
      <c r="S7596" s="12" t="s">
        <v>9220</v>
      </c>
      <c r="T7596" s="22">
        <f t="shared" si="720"/>
        <v>11</v>
      </c>
      <c r="U7596" s="22">
        <f t="shared" si="721"/>
        <v>2023</v>
      </c>
      <c r="V7596" s="22" t="str">
        <f t="shared" si="722"/>
        <v>METROPOLITANA</v>
      </c>
    </row>
    <row r="7597" spans="1:22" x14ac:dyDescent="0.2">
      <c r="A7597" s="11" t="s">
        <v>9208</v>
      </c>
      <c r="B7597" s="12" t="s">
        <v>33</v>
      </c>
      <c r="C7597" s="12" t="s">
        <v>44</v>
      </c>
      <c r="D7597" s="12" t="s">
        <v>35</v>
      </c>
      <c r="E7597" s="13">
        <v>99626232</v>
      </c>
      <c r="F7597" s="12" t="s">
        <v>46</v>
      </c>
      <c r="G7597" s="14">
        <v>3199.46</v>
      </c>
      <c r="H7597" s="12" t="s">
        <v>22</v>
      </c>
      <c r="I7597" s="12">
        <v>0</v>
      </c>
      <c r="J7597" s="12" t="s">
        <v>46</v>
      </c>
      <c r="K7597" s="12" t="s">
        <v>23</v>
      </c>
      <c r="L7597" s="12">
        <v>2</v>
      </c>
      <c r="M7597" s="15">
        <v>69173</v>
      </c>
      <c r="N7597" s="15">
        <v>0</v>
      </c>
      <c r="O7597" s="15">
        <f t="shared" si="718"/>
        <v>69173</v>
      </c>
      <c r="P7597" s="15">
        <f t="shared" si="719"/>
        <v>21.620210910591162</v>
      </c>
      <c r="Q7597" s="14">
        <v>5000</v>
      </c>
      <c r="R7597" s="12">
        <v>64</v>
      </c>
      <c r="S7597" s="12" t="s">
        <v>9221</v>
      </c>
      <c r="T7597" s="22">
        <f t="shared" si="720"/>
        <v>11</v>
      </c>
      <c r="U7597" s="22">
        <f t="shared" si="721"/>
        <v>2023</v>
      </c>
      <c r="V7597" s="22" t="str">
        <f t="shared" si="722"/>
        <v>METROPOLITANA</v>
      </c>
    </row>
    <row r="7598" spans="1:22" x14ac:dyDescent="0.2">
      <c r="A7598" s="23" t="s">
        <v>9224</v>
      </c>
      <c r="B7598" s="22" t="s">
        <v>33</v>
      </c>
      <c r="C7598" s="22" t="s">
        <v>2862</v>
      </c>
      <c r="D7598" s="22" t="s">
        <v>38</v>
      </c>
      <c r="E7598" s="24">
        <v>125108660</v>
      </c>
      <c r="F7598" s="22" t="s">
        <v>67</v>
      </c>
      <c r="G7598" s="25">
        <v>9755.1999999999971</v>
      </c>
      <c r="H7598" s="22" t="s">
        <v>43</v>
      </c>
      <c r="I7598" s="22">
        <v>0</v>
      </c>
      <c r="J7598" s="22" t="s">
        <v>67</v>
      </c>
      <c r="K7598" s="22" t="s">
        <v>23</v>
      </c>
      <c r="L7598" s="22">
        <v>2</v>
      </c>
      <c r="M7598" s="26">
        <v>107307</v>
      </c>
      <c r="N7598" s="26">
        <v>0</v>
      </c>
      <c r="O7598" s="15">
        <f t="shared" ref="O7598:O7603" si="723">SUM(M7598:N7598)</f>
        <v>107307</v>
      </c>
      <c r="P7598" s="15">
        <f t="shared" ref="P7598:P7603" si="724">O7598/G7598</f>
        <v>10.999979498113829</v>
      </c>
      <c r="Q7598" s="25">
        <v>5000</v>
      </c>
      <c r="R7598" s="22">
        <v>100</v>
      </c>
      <c r="S7598" s="22" t="s">
        <v>9225</v>
      </c>
      <c r="T7598" s="22">
        <f t="shared" si="720"/>
        <v>11</v>
      </c>
      <c r="U7598" s="22">
        <f t="shared" si="721"/>
        <v>2023</v>
      </c>
      <c r="V7598" s="22" t="str">
        <f t="shared" si="722"/>
        <v>METROPOLITANA</v>
      </c>
    </row>
    <row r="7599" spans="1:22" x14ac:dyDescent="0.2">
      <c r="A7599" s="23" t="s">
        <v>9224</v>
      </c>
      <c r="B7599" s="22" t="s">
        <v>33</v>
      </c>
      <c r="C7599" s="22" t="s">
        <v>29</v>
      </c>
      <c r="D7599" s="22" t="s">
        <v>37</v>
      </c>
      <c r="E7599" s="24">
        <v>81417709</v>
      </c>
      <c r="F7599" s="22" t="s">
        <v>39</v>
      </c>
      <c r="G7599" s="25">
        <v>8652.7199999999993</v>
      </c>
      <c r="H7599" s="22" t="s">
        <v>22</v>
      </c>
      <c r="I7599" s="22">
        <v>0</v>
      </c>
      <c r="J7599" s="22" t="s">
        <v>39</v>
      </c>
      <c r="K7599" s="22" t="s">
        <v>23</v>
      </c>
      <c r="L7599" s="22">
        <v>1</v>
      </c>
      <c r="M7599" s="26">
        <v>95180</v>
      </c>
      <c r="N7599" s="26">
        <v>0</v>
      </c>
      <c r="O7599" s="15">
        <f t="shared" si="723"/>
        <v>95180</v>
      </c>
      <c r="P7599" s="15">
        <f t="shared" si="724"/>
        <v>11.000009245647613</v>
      </c>
      <c r="Q7599" s="25">
        <v>5000</v>
      </c>
      <c r="R7599" s="22">
        <v>100</v>
      </c>
      <c r="S7599" s="22" t="s">
        <v>9226</v>
      </c>
      <c r="T7599" s="22">
        <f t="shared" si="720"/>
        <v>11</v>
      </c>
      <c r="U7599" s="22">
        <f t="shared" si="721"/>
        <v>2023</v>
      </c>
      <c r="V7599" s="22" t="str">
        <f t="shared" si="722"/>
        <v>METROPOLITANA</v>
      </c>
    </row>
    <row r="7600" spans="1:22" x14ac:dyDescent="0.2">
      <c r="A7600" s="23" t="s">
        <v>9224</v>
      </c>
      <c r="B7600" s="22" t="s">
        <v>33</v>
      </c>
      <c r="C7600" s="22" t="s">
        <v>29</v>
      </c>
      <c r="D7600" s="22" t="s">
        <v>164</v>
      </c>
      <c r="E7600" s="24">
        <v>154837728</v>
      </c>
      <c r="F7600" s="22" t="s">
        <v>39</v>
      </c>
      <c r="G7600" s="25">
        <v>13822.82</v>
      </c>
      <c r="H7600" s="22" t="s">
        <v>22</v>
      </c>
      <c r="I7600" s="22">
        <v>1</v>
      </c>
      <c r="J7600" s="22" t="s">
        <v>39</v>
      </c>
      <c r="K7600" s="22" t="s">
        <v>23</v>
      </c>
      <c r="L7600" s="22">
        <v>1</v>
      </c>
      <c r="M7600" s="26">
        <v>152051</v>
      </c>
      <c r="N7600" s="26">
        <v>0</v>
      </c>
      <c r="O7600" s="15">
        <f t="shared" si="723"/>
        <v>152051</v>
      </c>
      <c r="P7600" s="15">
        <f t="shared" si="724"/>
        <v>10.999998553117237</v>
      </c>
      <c r="Q7600" s="25">
        <v>5000</v>
      </c>
      <c r="R7600" s="22">
        <v>100</v>
      </c>
      <c r="S7600" s="22" t="s">
        <v>9227</v>
      </c>
      <c r="T7600" s="22">
        <f t="shared" si="720"/>
        <v>11</v>
      </c>
      <c r="U7600" s="22">
        <f t="shared" si="721"/>
        <v>2023</v>
      </c>
      <c r="V7600" s="22" t="str">
        <f t="shared" si="722"/>
        <v>METROPOLITANA</v>
      </c>
    </row>
    <row r="7601" spans="1:22" x14ac:dyDescent="0.2">
      <c r="A7601" s="23" t="s">
        <v>9224</v>
      </c>
      <c r="B7601" s="22" t="s">
        <v>33</v>
      </c>
      <c r="C7601" s="22" t="s">
        <v>44</v>
      </c>
      <c r="D7601" s="22" t="s">
        <v>8580</v>
      </c>
      <c r="E7601" s="24">
        <v>276547847</v>
      </c>
      <c r="F7601" s="22" t="s">
        <v>53</v>
      </c>
      <c r="G7601" s="25">
        <v>2588.6</v>
      </c>
      <c r="H7601" s="22" t="s">
        <v>24</v>
      </c>
      <c r="I7601" s="22">
        <v>1</v>
      </c>
      <c r="J7601" s="22" t="s">
        <v>53</v>
      </c>
      <c r="K7601" s="22" t="s">
        <v>23</v>
      </c>
      <c r="L7601" s="22">
        <v>3</v>
      </c>
      <c r="M7601" s="26">
        <v>69173</v>
      </c>
      <c r="N7601" s="26">
        <v>0</v>
      </c>
      <c r="O7601" s="15">
        <f t="shared" si="723"/>
        <v>69173</v>
      </c>
      <c r="P7601" s="15">
        <f t="shared" si="724"/>
        <v>26.722166422004172</v>
      </c>
      <c r="Q7601" s="25">
        <v>5000</v>
      </c>
      <c r="R7601" s="22">
        <v>52</v>
      </c>
      <c r="S7601" s="22" t="s">
        <v>9228</v>
      </c>
      <c r="T7601" s="22">
        <f t="shared" si="720"/>
        <v>11</v>
      </c>
      <c r="U7601" s="22">
        <f t="shared" si="721"/>
        <v>2023</v>
      </c>
      <c r="V7601" s="22" t="str">
        <f t="shared" si="722"/>
        <v>METROPOLITANA</v>
      </c>
    </row>
    <row r="7602" spans="1:22" x14ac:dyDescent="0.2">
      <c r="A7602" s="23" t="s">
        <v>9224</v>
      </c>
      <c r="B7602" s="22" t="s">
        <v>33</v>
      </c>
      <c r="C7602" s="22" t="s">
        <v>44</v>
      </c>
      <c r="D7602" s="22" t="s">
        <v>45</v>
      </c>
      <c r="E7602" s="24">
        <v>107643206</v>
      </c>
      <c r="F7602" s="22" t="s">
        <v>46</v>
      </c>
      <c r="G7602" s="25">
        <v>2561.06</v>
      </c>
      <c r="H7602" s="22" t="s">
        <v>22</v>
      </c>
      <c r="I7602" s="22">
        <v>0</v>
      </c>
      <c r="J7602" s="22" t="s">
        <v>46</v>
      </c>
      <c r="K7602" s="22" t="s">
        <v>23</v>
      </c>
      <c r="L7602" s="22">
        <v>2</v>
      </c>
      <c r="M7602" s="26">
        <v>69173</v>
      </c>
      <c r="N7602" s="26">
        <v>0</v>
      </c>
      <c r="O7602" s="15">
        <f t="shared" si="723"/>
        <v>69173</v>
      </c>
      <c r="P7602" s="15">
        <f t="shared" si="724"/>
        <v>27.009519495833757</v>
      </c>
      <c r="Q7602" s="25">
        <v>5000</v>
      </c>
      <c r="R7602" s="22">
        <v>51</v>
      </c>
      <c r="S7602" s="22" t="s">
        <v>9229</v>
      </c>
      <c r="T7602" s="22">
        <f t="shared" si="720"/>
        <v>11</v>
      </c>
      <c r="U7602" s="22">
        <f t="shared" si="721"/>
        <v>2023</v>
      </c>
      <c r="V7602" s="22" t="str">
        <f t="shared" si="722"/>
        <v>METROPOLITANA</v>
      </c>
    </row>
    <row r="7603" spans="1:22" x14ac:dyDescent="0.2">
      <c r="A7603" s="23" t="s">
        <v>9224</v>
      </c>
      <c r="B7603" s="22" t="s">
        <v>33</v>
      </c>
      <c r="C7603" s="22" t="s">
        <v>44</v>
      </c>
      <c r="D7603" s="22" t="s">
        <v>20</v>
      </c>
      <c r="E7603" s="24">
        <v>78907355</v>
      </c>
      <c r="F7603" s="22" t="s">
        <v>34</v>
      </c>
      <c r="G7603" s="25">
        <v>2615.2800000000002</v>
      </c>
      <c r="H7603" s="22" t="s">
        <v>22</v>
      </c>
      <c r="I7603" s="22">
        <v>0</v>
      </c>
      <c r="J7603" s="22" t="s">
        <v>34</v>
      </c>
      <c r="K7603" s="22" t="s">
        <v>23</v>
      </c>
      <c r="L7603" s="22">
        <v>1</v>
      </c>
      <c r="M7603" s="26">
        <v>69173</v>
      </c>
      <c r="N7603" s="26">
        <v>0</v>
      </c>
      <c r="O7603" s="15">
        <f t="shared" si="723"/>
        <v>69173</v>
      </c>
      <c r="P7603" s="15">
        <f t="shared" si="724"/>
        <v>26.449557982319291</v>
      </c>
      <c r="Q7603" s="25">
        <v>5000</v>
      </c>
      <c r="R7603" s="22">
        <v>52</v>
      </c>
      <c r="S7603" s="22" t="s">
        <v>9230</v>
      </c>
      <c r="T7603" s="22">
        <f t="shared" si="720"/>
        <v>11</v>
      </c>
      <c r="U7603" s="22">
        <f t="shared" si="721"/>
        <v>2023</v>
      </c>
      <c r="V7603" s="22" t="str">
        <f t="shared" si="722"/>
        <v>METROPOLITANA</v>
      </c>
    </row>
    <row r="7604" spans="1:22" x14ac:dyDescent="0.2">
      <c r="A7604" s="11" t="s">
        <v>9231</v>
      </c>
      <c r="B7604" s="12" t="s">
        <v>18</v>
      </c>
      <c r="C7604" s="12" t="s">
        <v>8978</v>
      </c>
      <c r="D7604" s="12" t="s">
        <v>38</v>
      </c>
      <c r="E7604" s="13">
        <v>125108660</v>
      </c>
      <c r="F7604" s="12" t="s">
        <v>165</v>
      </c>
      <c r="G7604" s="14">
        <v>6722.1299999999974</v>
      </c>
      <c r="H7604" s="12" t="s">
        <v>43</v>
      </c>
      <c r="I7604" s="12">
        <v>0</v>
      </c>
      <c r="J7604" s="12" t="s">
        <v>165</v>
      </c>
      <c r="K7604" s="12" t="s">
        <v>23</v>
      </c>
      <c r="L7604" s="12">
        <v>4</v>
      </c>
      <c r="M7604" s="15">
        <v>73943</v>
      </c>
      <c r="N7604" s="15">
        <v>0</v>
      </c>
      <c r="O7604" s="15">
        <f t="shared" ref="O7604:O7633" si="725">SUM(M7604:N7604)</f>
        <v>73943</v>
      </c>
      <c r="P7604" s="15">
        <f t="shared" ref="P7604:P7633" si="726">O7604/G7604</f>
        <v>10.99993603218028</v>
      </c>
      <c r="Q7604" s="14">
        <v>5000</v>
      </c>
      <c r="R7604" s="12">
        <v>100</v>
      </c>
      <c r="S7604" s="12" t="s">
        <v>9232</v>
      </c>
      <c r="T7604" s="22">
        <f t="shared" si="720"/>
        <v>11</v>
      </c>
      <c r="U7604" s="22">
        <f t="shared" si="721"/>
        <v>2023</v>
      </c>
      <c r="V7604" s="22" t="str">
        <f t="shared" si="722"/>
        <v>METROPOLITANA</v>
      </c>
    </row>
    <row r="7605" spans="1:22" x14ac:dyDescent="0.2">
      <c r="A7605" s="11" t="s">
        <v>9231</v>
      </c>
      <c r="B7605" s="12" t="s">
        <v>18</v>
      </c>
      <c r="C7605" s="12" t="s">
        <v>5796</v>
      </c>
      <c r="D7605" s="12" t="s">
        <v>8219</v>
      </c>
      <c r="E7605" s="13">
        <v>73835526</v>
      </c>
      <c r="F7605" s="12" t="s">
        <v>129</v>
      </c>
      <c r="G7605" s="14">
        <f>10146+3936</f>
        <v>14082</v>
      </c>
      <c r="H7605" s="12" t="s">
        <v>24</v>
      </c>
      <c r="I7605" s="12">
        <v>1</v>
      </c>
      <c r="J7605" s="12" t="s">
        <v>129</v>
      </c>
      <c r="K7605" s="12" t="s">
        <v>23</v>
      </c>
      <c r="L7605" s="12">
        <v>1</v>
      </c>
      <c r="M7605" s="15">
        <v>111606</v>
      </c>
      <c r="N7605" s="15">
        <v>0</v>
      </c>
      <c r="O7605" s="15">
        <f t="shared" si="725"/>
        <v>111606</v>
      </c>
      <c r="P7605" s="15">
        <f t="shared" si="726"/>
        <v>7.9254367277375373</v>
      </c>
      <c r="Q7605" s="14">
        <v>5000</v>
      </c>
      <c r="R7605" s="12">
        <v>100</v>
      </c>
      <c r="S7605" s="12" t="s">
        <v>9241</v>
      </c>
      <c r="T7605" s="22">
        <f t="shared" si="720"/>
        <v>11</v>
      </c>
      <c r="U7605" s="22">
        <f t="shared" si="721"/>
        <v>2023</v>
      </c>
      <c r="V7605" s="22" t="str">
        <f t="shared" si="722"/>
        <v>METROPOLITANA</v>
      </c>
    </row>
    <row r="7606" spans="1:22" x14ac:dyDescent="0.2">
      <c r="A7606" s="11" t="s">
        <v>9231</v>
      </c>
      <c r="B7606" s="12" t="s">
        <v>33</v>
      </c>
      <c r="C7606" s="12" t="s">
        <v>128</v>
      </c>
      <c r="D7606" s="12" t="s">
        <v>45</v>
      </c>
      <c r="E7606" s="13">
        <v>107643206</v>
      </c>
      <c r="F7606" s="12" t="s">
        <v>58</v>
      </c>
      <c r="G7606" s="14">
        <v>5464.2000000000016</v>
      </c>
      <c r="H7606" s="12" t="s">
        <v>22</v>
      </c>
      <c r="I7606" s="12">
        <v>0</v>
      </c>
      <c r="J7606" s="12" t="s">
        <v>58</v>
      </c>
      <c r="K7606" s="12" t="s">
        <v>23</v>
      </c>
      <c r="L7606" s="12">
        <v>5</v>
      </c>
      <c r="M7606" s="15">
        <v>112500</v>
      </c>
      <c r="N7606" s="15">
        <v>0</v>
      </c>
      <c r="O7606" s="15">
        <f t="shared" si="725"/>
        <v>112500</v>
      </c>
      <c r="P7606" s="15">
        <f t="shared" si="726"/>
        <v>20.588558251894142</v>
      </c>
      <c r="Q7606" s="14">
        <v>10000</v>
      </c>
      <c r="R7606" s="12">
        <v>55</v>
      </c>
      <c r="S7606" s="12" t="s">
        <v>9233</v>
      </c>
      <c r="T7606" s="22">
        <f t="shared" si="720"/>
        <v>11</v>
      </c>
      <c r="U7606" s="22">
        <f t="shared" si="721"/>
        <v>2023</v>
      </c>
      <c r="V7606" s="22" t="str">
        <f t="shared" si="722"/>
        <v>METROPOLITANA</v>
      </c>
    </row>
    <row r="7607" spans="1:22" x14ac:dyDescent="0.2">
      <c r="A7607" s="11" t="s">
        <v>9231</v>
      </c>
      <c r="B7607" s="12" t="s">
        <v>33</v>
      </c>
      <c r="C7607" s="12" t="s">
        <v>29</v>
      </c>
      <c r="D7607" s="12" t="s">
        <v>164</v>
      </c>
      <c r="E7607" s="13">
        <v>154837728</v>
      </c>
      <c r="F7607" s="12" t="s">
        <v>39</v>
      </c>
      <c r="G7607" s="14">
        <v>18206.8</v>
      </c>
      <c r="H7607" s="12" t="s">
        <v>22</v>
      </c>
      <c r="I7607" s="12">
        <v>1</v>
      </c>
      <c r="J7607" s="12" t="s">
        <v>39</v>
      </c>
      <c r="K7607" s="12" t="s">
        <v>23</v>
      </c>
      <c r="L7607" s="12">
        <v>1</v>
      </c>
      <c r="M7607" s="15">
        <v>200275</v>
      </c>
      <c r="N7607" s="15">
        <v>0</v>
      </c>
      <c r="O7607" s="15">
        <f t="shared" si="725"/>
        <v>200275</v>
      </c>
      <c r="P7607" s="15">
        <f t="shared" si="726"/>
        <v>11.000010984906739</v>
      </c>
      <c r="Q7607" s="14">
        <v>5000</v>
      </c>
      <c r="R7607" s="12">
        <v>100</v>
      </c>
      <c r="S7607" s="12" t="s">
        <v>9234</v>
      </c>
      <c r="T7607" s="22">
        <f t="shared" si="720"/>
        <v>11</v>
      </c>
      <c r="U7607" s="22">
        <f t="shared" si="721"/>
        <v>2023</v>
      </c>
      <c r="V7607" s="22" t="str">
        <f t="shared" si="722"/>
        <v>METROPOLITANA</v>
      </c>
    </row>
    <row r="7608" spans="1:22" x14ac:dyDescent="0.2">
      <c r="A7608" s="11" t="s">
        <v>9231</v>
      </c>
      <c r="B7608" s="12" t="s">
        <v>33</v>
      </c>
      <c r="C7608" s="12" t="s">
        <v>29</v>
      </c>
      <c r="D7608" s="12" t="s">
        <v>20</v>
      </c>
      <c r="E7608" s="13">
        <v>78907355</v>
      </c>
      <c r="F7608" s="12" t="s">
        <v>39</v>
      </c>
      <c r="G7608" s="14">
        <v>9069.31</v>
      </c>
      <c r="H7608" s="12" t="s">
        <v>22</v>
      </c>
      <c r="I7608" s="12">
        <v>0</v>
      </c>
      <c r="J7608" s="12" t="s">
        <v>39</v>
      </c>
      <c r="K7608" s="12" t="s">
        <v>23</v>
      </c>
      <c r="L7608" s="12">
        <v>1</v>
      </c>
      <c r="M7608" s="15">
        <v>99762</v>
      </c>
      <c r="N7608" s="15">
        <v>0</v>
      </c>
      <c r="O7608" s="15">
        <f t="shared" si="725"/>
        <v>99762</v>
      </c>
      <c r="P7608" s="15">
        <f t="shared" si="726"/>
        <v>10.999954792591719</v>
      </c>
      <c r="Q7608" s="14">
        <v>5000</v>
      </c>
      <c r="R7608" s="12">
        <v>100</v>
      </c>
      <c r="S7608" s="12" t="s">
        <v>9235</v>
      </c>
      <c r="T7608" s="22">
        <f t="shared" si="720"/>
        <v>11</v>
      </c>
      <c r="U7608" s="22">
        <f t="shared" si="721"/>
        <v>2023</v>
      </c>
      <c r="V7608" s="22" t="str">
        <f t="shared" si="722"/>
        <v>METROPOLITANA</v>
      </c>
    </row>
    <row r="7609" spans="1:22" x14ac:dyDescent="0.2">
      <c r="A7609" s="11" t="s">
        <v>9231</v>
      </c>
      <c r="B7609" s="12" t="s">
        <v>33</v>
      </c>
      <c r="C7609" s="12" t="s">
        <v>44</v>
      </c>
      <c r="D7609" s="12" t="s">
        <v>8580</v>
      </c>
      <c r="E7609" s="13">
        <v>276547747</v>
      </c>
      <c r="F7609" s="12" t="s">
        <v>229</v>
      </c>
      <c r="G7609" s="14">
        <v>2934.7200000000012</v>
      </c>
      <c r="H7609" s="12" t="s">
        <v>24</v>
      </c>
      <c r="I7609" s="12">
        <v>1</v>
      </c>
      <c r="J7609" s="12" t="s">
        <v>230</v>
      </c>
      <c r="K7609" s="12" t="s">
        <v>23</v>
      </c>
      <c r="L7609" s="12">
        <v>4</v>
      </c>
      <c r="M7609" s="15">
        <v>69173</v>
      </c>
      <c r="N7609" s="15">
        <v>0</v>
      </c>
      <c r="O7609" s="15">
        <f t="shared" si="725"/>
        <v>69173</v>
      </c>
      <c r="P7609" s="15">
        <f t="shared" si="726"/>
        <v>23.570562097917339</v>
      </c>
      <c r="Q7609" s="14">
        <v>5000</v>
      </c>
      <c r="R7609" s="12">
        <v>59</v>
      </c>
      <c r="S7609" s="12" t="s">
        <v>9236</v>
      </c>
      <c r="T7609" s="22">
        <f t="shared" si="720"/>
        <v>11</v>
      </c>
      <c r="U7609" s="22">
        <f t="shared" si="721"/>
        <v>2023</v>
      </c>
      <c r="V7609" s="22" t="str">
        <f t="shared" si="722"/>
        <v>METROPOLITANA</v>
      </c>
    </row>
    <row r="7610" spans="1:22" x14ac:dyDescent="0.2">
      <c r="A7610" s="11" t="s">
        <v>9231</v>
      </c>
      <c r="B7610" s="12" t="s">
        <v>33</v>
      </c>
      <c r="C7610" s="12" t="s">
        <v>44</v>
      </c>
      <c r="D7610" s="12" t="s">
        <v>9084</v>
      </c>
      <c r="E7610" s="13">
        <v>256738929</v>
      </c>
      <c r="F7610" s="12" t="s">
        <v>225</v>
      </c>
      <c r="G7610" s="14">
        <v>2732.3</v>
      </c>
      <c r="H7610" s="12" t="s">
        <v>24</v>
      </c>
      <c r="I7610" s="12">
        <v>1</v>
      </c>
      <c r="J7610" s="12" t="s">
        <v>225</v>
      </c>
      <c r="K7610" s="12" t="s">
        <v>23</v>
      </c>
      <c r="L7610" s="12">
        <v>3</v>
      </c>
      <c r="M7610" s="15">
        <v>69173</v>
      </c>
      <c r="N7610" s="15">
        <v>0</v>
      </c>
      <c r="O7610" s="15">
        <f t="shared" si="725"/>
        <v>69173</v>
      </c>
      <c r="P7610" s="15">
        <f t="shared" si="726"/>
        <v>25.316766094499137</v>
      </c>
      <c r="Q7610" s="14">
        <v>5000</v>
      </c>
      <c r="R7610" s="12">
        <v>55</v>
      </c>
      <c r="S7610" s="12" t="s">
        <v>9237</v>
      </c>
      <c r="T7610" s="22">
        <f t="shared" si="720"/>
        <v>11</v>
      </c>
      <c r="U7610" s="22">
        <f t="shared" si="721"/>
        <v>2023</v>
      </c>
      <c r="V7610" s="22" t="str">
        <f t="shared" si="722"/>
        <v>METROPOLITANA</v>
      </c>
    </row>
    <row r="7611" spans="1:22" x14ac:dyDescent="0.2">
      <c r="A7611" s="11" t="s">
        <v>9231</v>
      </c>
      <c r="B7611" s="12" t="s">
        <v>33</v>
      </c>
      <c r="C7611" s="12" t="s">
        <v>44</v>
      </c>
      <c r="D7611" s="12" t="s">
        <v>45</v>
      </c>
      <c r="E7611" s="13">
        <v>107643206</v>
      </c>
      <c r="F7611" s="12" t="s">
        <v>48</v>
      </c>
      <c r="G7611" s="14">
        <v>4013.54</v>
      </c>
      <c r="H7611" s="12" t="s">
        <v>22</v>
      </c>
      <c r="I7611" s="12">
        <v>0</v>
      </c>
      <c r="J7611" s="12" t="s">
        <v>48</v>
      </c>
      <c r="K7611" s="12" t="s">
        <v>23</v>
      </c>
      <c r="L7611" s="12">
        <v>1</v>
      </c>
      <c r="M7611" s="15">
        <v>69173</v>
      </c>
      <c r="N7611" s="15">
        <v>0</v>
      </c>
      <c r="O7611" s="15">
        <f t="shared" si="725"/>
        <v>69173</v>
      </c>
      <c r="P7611" s="15">
        <f t="shared" si="726"/>
        <v>17.234909830224691</v>
      </c>
      <c r="Q7611" s="14">
        <v>5000</v>
      </c>
      <c r="R7611" s="12">
        <v>80</v>
      </c>
      <c r="S7611" s="12" t="s">
        <v>9238</v>
      </c>
      <c r="T7611" s="22">
        <f t="shared" si="720"/>
        <v>11</v>
      </c>
      <c r="U7611" s="22">
        <f t="shared" si="721"/>
        <v>2023</v>
      </c>
      <c r="V7611" s="22" t="str">
        <f t="shared" si="722"/>
        <v>METROPOLITANA</v>
      </c>
    </row>
    <row r="7612" spans="1:22" x14ac:dyDescent="0.2">
      <c r="A7612" s="11" t="s">
        <v>9231</v>
      </c>
      <c r="B7612" s="12" t="s">
        <v>33</v>
      </c>
      <c r="C7612" s="12" t="s">
        <v>44</v>
      </c>
      <c r="D7612" s="12" t="s">
        <v>9239</v>
      </c>
      <c r="E7612" s="13">
        <v>156759201</v>
      </c>
      <c r="F7612" s="12" t="s">
        <v>84</v>
      </c>
      <c r="G7612" s="14">
        <v>4603.8900000000003</v>
      </c>
      <c r="H7612" s="12" t="s">
        <v>24</v>
      </c>
      <c r="I7612" s="12">
        <v>1</v>
      </c>
      <c r="J7612" s="12" t="s">
        <v>84</v>
      </c>
      <c r="K7612" s="12" t="s">
        <v>86</v>
      </c>
      <c r="L7612" s="12">
        <v>0</v>
      </c>
      <c r="M7612" s="15">
        <v>402000</v>
      </c>
      <c r="N7612" s="15">
        <v>0</v>
      </c>
      <c r="O7612" s="15">
        <f t="shared" si="725"/>
        <v>402000</v>
      </c>
      <c r="P7612" s="15">
        <f t="shared" si="726"/>
        <v>87.317464144451748</v>
      </c>
      <c r="Q7612" s="14">
        <v>14000</v>
      </c>
      <c r="R7612" s="12">
        <v>33</v>
      </c>
      <c r="S7612" s="12" t="s">
        <v>9240</v>
      </c>
      <c r="T7612" s="22">
        <f t="shared" si="720"/>
        <v>11</v>
      </c>
      <c r="U7612" s="22">
        <f t="shared" si="721"/>
        <v>2023</v>
      </c>
      <c r="V7612" s="22" t="str">
        <f t="shared" si="722"/>
        <v>REGIONES</v>
      </c>
    </row>
    <row r="7613" spans="1:22" x14ac:dyDescent="0.2">
      <c r="A7613" s="23" t="s">
        <v>9242</v>
      </c>
      <c r="B7613" s="22" t="s">
        <v>18</v>
      </c>
      <c r="C7613" s="22" t="s">
        <v>57</v>
      </c>
      <c r="D7613" s="22" t="s">
        <v>38</v>
      </c>
      <c r="E7613" s="24">
        <v>125108660</v>
      </c>
      <c r="F7613" s="22" t="s">
        <v>800</v>
      </c>
      <c r="G7613" s="25">
        <v>10893.3</v>
      </c>
      <c r="H7613" s="22" t="s">
        <v>43</v>
      </c>
      <c r="I7613" s="22">
        <v>0</v>
      </c>
      <c r="J7613" s="22" t="s">
        <v>800</v>
      </c>
      <c r="K7613" s="22" t="s">
        <v>23</v>
      </c>
      <c r="L7613" s="22">
        <v>5</v>
      </c>
      <c r="M7613" s="26">
        <v>112500</v>
      </c>
      <c r="N7613" s="26">
        <v>0</v>
      </c>
      <c r="O7613" s="15">
        <f t="shared" si="725"/>
        <v>112500</v>
      </c>
      <c r="P7613" s="15">
        <f t="shared" si="726"/>
        <v>10.327448982402027</v>
      </c>
      <c r="Q7613" s="25">
        <v>10000</v>
      </c>
      <c r="R7613" s="22">
        <v>100</v>
      </c>
      <c r="S7613" s="22" t="s">
        <v>9264</v>
      </c>
      <c r="T7613" s="22">
        <f t="shared" si="720"/>
        <v>11</v>
      </c>
      <c r="U7613" s="22">
        <f t="shared" si="721"/>
        <v>2023</v>
      </c>
      <c r="V7613" s="22" t="str">
        <f t="shared" si="722"/>
        <v>METROPOLITANA</v>
      </c>
    </row>
    <row r="7614" spans="1:22" x14ac:dyDescent="0.2">
      <c r="A7614" s="23" t="s">
        <v>9242</v>
      </c>
      <c r="B7614" s="22" t="s">
        <v>18</v>
      </c>
      <c r="C7614" s="22" t="s">
        <v>5796</v>
      </c>
      <c r="D7614" s="22" t="s">
        <v>20</v>
      </c>
      <c r="E7614" s="24">
        <v>78907355</v>
      </c>
      <c r="F7614" s="22" t="s">
        <v>129</v>
      </c>
      <c r="G7614" s="25">
        <v>9879</v>
      </c>
      <c r="H7614" s="22" t="s">
        <v>22</v>
      </c>
      <c r="I7614" s="22">
        <v>0</v>
      </c>
      <c r="J7614" s="22" t="s">
        <v>129</v>
      </c>
      <c r="K7614" s="22" t="s">
        <v>23</v>
      </c>
      <c r="L7614" s="22">
        <v>1</v>
      </c>
      <c r="M7614" s="26">
        <v>108669</v>
      </c>
      <c r="N7614" s="26">
        <v>0</v>
      </c>
      <c r="O7614" s="15">
        <f t="shared" si="725"/>
        <v>108669</v>
      </c>
      <c r="P7614" s="15">
        <f t="shared" si="726"/>
        <v>11</v>
      </c>
      <c r="Q7614" s="25">
        <v>5000</v>
      </c>
      <c r="R7614" s="22">
        <v>100</v>
      </c>
      <c r="S7614" s="22" t="s">
        <v>9243</v>
      </c>
      <c r="T7614" s="22">
        <f t="shared" si="720"/>
        <v>11</v>
      </c>
      <c r="U7614" s="22">
        <f t="shared" si="721"/>
        <v>2023</v>
      </c>
      <c r="V7614" s="22" t="str">
        <f t="shared" si="722"/>
        <v>METROPOLITANA</v>
      </c>
    </row>
    <row r="7615" spans="1:22" x14ac:dyDescent="0.2">
      <c r="A7615" s="23" t="s">
        <v>9242</v>
      </c>
      <c r="B7615" s="22" t="s">
        <v>18</v>
      </c>
      <c r="C7615" s="22" t="s">
        <v>29</v>
      </c>
      <c r="D7615" s="22" t="s">
        <v>164</v>
      </c>
      <c r="E7615" s="24">
        <v>154837728</v>
      </c>
      <c r="F7615" s="22" t="s">
        <v>8185</v>
      </c>
      <c r="G7615" s="25">
        <v>15541</v>
      </c>
      <c r="H7615" s="22" t="s">
        <v>22</v>
      </c>
      <c r="I7615" s="22">
        <v>1</v>
      </c>
      <c r="J7615" s="22" t="s">
        <v>8185</v>
      </c>
      <c r="K7615" s="22" t="s">
        <v>171</v>
      </c>
      <c r="L7615" s="22">
        <v>0</v>
      </c>
      <c r="M7615" s="26">
        <v>250000</v>
      </c>
      <c r="N7615" s="26">
        <v>0</v>
      </c>
      <c r="O7615" s="15">
        <f t="shared" si="725"/>
        <v>250000</v>
      </c>
      <c r="P7615" s="15">
        <f t="shared" si="726"/>
        <v>16.086480921433626</v>
      </c>
      <c r="Q7615" s="25">
        <v>14000</v>
      </c>
      <c r="R7615" s="22">
        <v>100</v>
      </c>
      <c r="S7615" s="22" t="s">
        <v>9244</v>
      </c>
      <c r="T7615" s="22">
        <f t="shared" si="720"/>
        <v>11</v>
      </c>
      <c r="U7615" s="22">
        <f t="shared" si="721"/>
        <v>2023</v>
      </c>
      <c r="V7615" s="22" t="str">
        <f t="shared" si="722"/>
        <v>REGIONES</v>
      </c>
    </row>
    <row r="7616" spans="1:22" x14ac:dyDescent="0.2">
      <c r="A7616" s="23" t="s">
        <v>9242</v>
      </c>
      <c r="B7616" s="22" t="s">
        <v>18</v>
      </c>
      <c r="C7616" s="22" t="s">
        <v>5571</v>
      </c>
      <c r="D7616" s="22" t="s">
        <v>786</v>
      </c>
      <c r="E7616" s="24">
        <v>95707734</v>
      </c>
      <c r="F7616" s="22" t="s">
        <v>170</v>
      </c>
      <c r="G7616" s="25">
        <v>13587.4</v>
      </c>
      <c r="H7616" s="22" t="s">
        <v>788</v>
      </c>
      <c r="I7616" s="22">
        <v>1</v>
      </c>
      <c r="J7616" s="22" t="s">
        <v>170</v>
      </c>
      <c r="K7616" s="22" t="s">
        <v>171</v>
      </c>
      <c r="L7616" s="22">
        <v>0</v>
      </c>
      <c r="M7616" s="26">
        <v>289000</v>
      </c>
      <c r="N7616" s="26">
        <v>0</v>
      </c>
      <c r="O7616" s="15">
        <f t="shared" si="725"/>
        <v>289000</v>
      </c>
      <c r="P7616" s="15">
        <f t="shared" si="726"/>
        <v>21.269705756804097</v>
      </c>
      <c r="Q7616" s="25">
        <v>14000</v>
      </c>
      <c r="R7616" s="22">
        <v>97</v>
      </c>
      <c r="S7616" s="22" t="s">
        <v>9245</v>
      </c>
      <c r="T7616" s="22">
        <f t="shared" si="720"/>
        <v>11</v>
      </c>
      <c r="U7616" s="22">
        <f t="shared" si="721"/>
        <v>2023</v>
      </c>
      <c r="V7616" s="22" t="str">
        <f t="shared" si="722"/>
        <v>REGIONES</v>
      </c>
    </row>
    <row r="7617" spans="1:22" x14ac:dyDescent="0.2">
      <c r="A7617" s="23" t="s">
        <v>9242</v>
      </c>
      <c r="B7617" s="22" t="s">
        <v>33</v>
      </c>
      <c r="C7617" s="22" t="s">
        <v>160</v>
      </c>
      <c r="D7617" s="22" t="s">
        <v>8219</v>
      </c>
      <c r="E7617" s="24">
        <v>73835526</v>
      </c>
      <c r="F7617" s="22" t="s">
        <v>58</v>
      </c>
      <c r="G7617" s="25">
        <v>2083.1999999999998</v>
      </c>
      <c r="H7617" s="22" t="s">
        <v>24</v>
      </c>
      <c r="I7617" s="22">
        <v>1</v>
      </c>
      <c r="J7617" s="22" t="s">
        <v>58</v>
      </c>
      <c r="K7617" s="22" t="s">
        <v>23</v>
      </c>
      <c r="L7617" s="22">
        <v>5</v>
      </c>
      <c r="M7617" s="26">
        <v>180000</v>
      </c>
      <c r="N7617" s="26">
        <v>0</v>
      </c>
      <c r="O7617" s="15">
        <f t="shared" si="725"/>
        <v>180000</v>
      </c>
      <c r="P7617" s="15">
        <f t="shared" si="726"/>
        <v>86.405529953917053</v>
      </c>
      <c r="Q7617" s="25">
        <v>10000</v>
      </c>
      <c r="R7617" s="22">
        <v>21</v>
      </c>
      <c r="S7617" s="22" t="s">
        <v>9246</v>
      </c>
      <c r="T7617" s="22">
        <f t="shared" si="720"/>
        <v>11</v>
      </c>
      <c r="U7617" s="22">
        <f t="shared" si="721"/>
        <v>2023</v>
      </c>
      <c r="V7617" s="22" t="str">
        <f t="shared" si="722"/>
        <v>METROPOLITANA</v>
      </c>
    </row>
    <row r="7618" spans="1:22" x14ac:dyDescent="0.2">
      <c r="A7618" s="23" t="s">
        <v>9242</v>
      </c>
      <c r="B7618" s="22" t="s">
        <v>33</v>
      </c>
      <c r="C7618" s="22" t="s">
        <v>128</v>
      </c>
      <c r="D7618" s="22" t="s">
        <v>164</v>
      </c>
      <c r="E7618" s="24">
        <v>154837728</v>
      </c>
      <c r="F7618" s="22" t="s">
        <v>34</v>
      </c>
      <c r="G7618" s="25">
        <v>14819.340000000009</v>
      </c>
      <c r="H7618" s="22" t="s">
        <v>22</v>
      </c>
      <c r="I7618" s="22">
        <v>1</v>
      </c>
      <c r="J7618" s="22" t="s">
        <v>34</v>
      </c>
      <c r="K7618" s="22" t="s">
        <v>23</v>
      </c>
      <c r="L7618" s="22">
        <v>1</v>
      </c>
      <c r="M7618" s="26">
        <v>163013</v>
      </c>
      <c r="N7618" s="26">
        <v>0</v>
      </c>
      <c r="O7618" s="15">
        <f t="shared" si="725"/>
        <v>163013</v>
      </c>
      <c r="P7618" s="15">
        <f t="shared" si="726"/>
        <v>11.000017544640983</v>
      </c>
      <c r="Q7618" s="25">
        <v>5000</v>
      </c>
      <c r="R7618" s="22">
        <v>100</v>
      </c>
      <c r="S7618" s="22" t="s">
        <v>9247</v>
      </c>
      <c r="T7618" s="22">
        <f t="shared" si="720"/>
        <v>11</v>
      </c>
      <c r="U7618" s="22">
        <f t="shared" si="721"/>
        <v>2023</v>
      </c>
      <c r="V7618" s="22" t="str">
        <f t="shared" si="722"/>
        <v>METROPOLITANA</v>
      </c>
    </row>
    <row r="7619" spans="1:22" x14ac:dyDescent="0.2">
      <c r="A7619" s="23" t="s">
        <v>9242</v>
      </c>
      <c r="B7619" s="22" t="s">
        <v>33</v>
      </c>
      <c r="C7619" s="22" t="s">
        <v>2605</v>
      </c>
      <c r="D7619" s="22" t="s">
        <v>37</v>
      </c>
      <c r="E7619" s="24">
        <v>154837728</v>
      </c>
      <c r="F7619" s="22" t="s">
        <v>129</v>
      </c>
      <c r="G7619" s="25">
        <v>2976</v>
      </c>
      <c r="H7619" s="22" t="s">
        <v>22</v>
      </c>
      <c r="I7619" s="22">
        <v>0</v>
      </c>
      <c r="J7619" s="22" t="s">
        <v>129</v>
      </c>
      <c r="K7619" s="22" t="s">
        <v>23</v>
      </c>
      <c r="L7619" s="22">
        <v>1</v>
      </c>
      <c r="M7619" s="26">
        <v>69173</v>
      </c>
      <c r="N7619" s="26">
        <v>0</v>
      </c>
      <c r="O7619" s="15">
        <f t="shared" si="725"/>
        <v>69173</v>
      </c>
      <c r="P7619" s="15">
        <f t="shared" si="726"/>
        <v>23.243615591397848</v>
      </c>
      <c r="Q7619" s="25">
        <v>5000</v>
      </c>
      <c r="R7619" s="22">
        <v>60</v>
      </c>
      <c r="S7619" s="22" t="s">
        <v>9248</v>
      </c>
      <c r="T7619" s="22">
        <f t="shared" si="720"/>
        <v>11</v>
      </c>
      <c r="U7619" s="22">
        <f t="shared" si="721"/>
        <v>2023</v>
      </c>
      <c r="V7619" s="22" t="str">
        <f t="shared" si="722"/>
        <v>METROPOLITANA</v>
      </c>
    </row>
    <row r="7620" spans="1:22" x14ac:dyDescent="0.2">
      <c r="A7620" s="23" t="s">
        <v>9242</v>
      </c>
      <c r="B7620" s="22" t="s">
        <v>33</v>
      </c>
      <c r="C7620" s="22" t="s">
        <v>8770</v>
      </c>
      <c r="D7620" s="22" t="s">
        <v>20</v>
      </c>
      <c r="E7620" s="24">
        <v>78907355</v>
      </c>
      <c r="F7620" s="22" t="s">
        <v>26</v>
      </c>
      <c r="G7620" s="25">
        <v>8502</v>
      </c>
      <c r="H7620" s="22" t="s">
        <v>22</v>
      </c>
      <c r="I7620" s="22">
        <v>0</v>
      </c>
      <c r="J7620" s="22" t="s">
        <v>26</v>
      </c>
      <c r="K7620" s="22" t="s">
        <v>23</v>
      </c>
      <c r="L7620" s="22">
        <v>4</v>
      </c>
      <c r="M7620" s="26">
        <v>93522</v>
      </c>
      <c r="N7620" s="26">
        <v>0</v>
      </c>
      <c r="O7620" s="15">
        <f t="shared" si="725"/>
        <v>93522</v>
      </c>
      <c r="P7620" s="15">
        <f t="shared" si="726"/>
        <v>11</v>
      </c>
      <c r="Q7620" s="25">
        <v>5000</v>
      </c>
      <c r="R7620" s="22">
        <v>100</v>
      </c>
      <c r="S7620" s="22" t="s">
        <v>9249</v>
      </c>
      <c r="T7620" s="22">
        <f t="shared" si="720"/>
        <v>11</v>
      </c>
      <c r="U7620" s="22">
        <f t="shared" si="721"/>
        <v>2023</v>
      </c>
      <c r="V7620" s="22" t="str">
        <f t="shared" si="722"/>
        <v>METROPOLITANA</v>
      </c>
    </row>
    <row r="7621" spans="1:22" x14ac:dyDescent="0.2">
      <c r="A7621" s="23" t="s">
        <v>9242</v>
      </c>
      <c r="B7621" s="22" t="s">
        <v>33</v>
      </c>
      <c r="C7621" s="22" t="s">
        <v>2862</v>
      </c>
      <c r="D7621" s="22" t="s">
        <v>2955</v>
      </c>
      <c r="E7621" s="24">
        <v>65941082</v>
      </c>
      <c r="F7621" s="22" t="s">
        <v>274</v>
      </c>
      <c r="G7621" s="25">
        <v>6464.94</v>
      </c>
      <c r="H7621" s="22" t="s">
        <v>24</v>
      </c>
      <c r="I7621" s="22">
        <v>1</v>
      </c>
      <c r="J7621" s="22" t="s">
        <v>274</v>
      </c>
      <c r="K7621" s="22" t="s">
        <v>78</v>
      </c>
      <c r="L7621" s="22">
        <v>0</v>
      </c>
      <c r="M7621" s="26">
        <v>289000</v>
      </c>
      <c r="N7621" s="26">
        <v>0</v>
      </c>
      <c r="O7621" s="15">
        <f t="shared" si="725"/>
        <v>289000</v>
      </c>
      <c r="P7621" s="15">
        <f t="shared" si="726"/>
        <v>44.702657719947908</v>
      </c>
      <c r="Q7621" s="25">
        <v>14000</v>
      </c>
      <c r="R7621" s="22">
        <v>46</v>
      </c>
      <c r="S7621" s="22" t="s">
        <v>9250</v>
      </c>
      <c r="T7621" s="22">
        <f t="shared" si="720"/>
        <v>11</v>
      </c>
      <c r="U7621" s="22">
        <f t="shared" si="721"/>
        <v>2023</v>
      </c>
      <c r="V7621" s="22" t="str">
        <f t="shared" si="722"/>
        <v>REGIONES</v>
      </c>
    </row>
    <row r="7622" spans="1:22" x14ac:dyDescent="0.2">
      <c r="A7622" s="23" t="s">
        <v>9242</v>
      </c>
      <c r="B7622" s="22" t="s">
        <v>33</v>
      </c>
      <c r="C7622" s="22" t="s">
        <v>29</v>
      </c>
      <c r="D7622" s="22" t="s">
        <v>37</v>
      </c>
      <c r="E7622" s="24">
        <v>78907355</v>
      </c>
      <c r="F7622" s="22" t="s">
        <v>39</v>
      </c>
      <c r="G7622" s="25">
        <v>12316.6</v>
      </c>
      <c r="H7622" s="22" t="s">
        <v>22</v>
      </c>
      <c r="I7622" s="22">
        <v>0</v>
      </c>
      <c r="J7622" s="22" t="s">
        <v>39</v>
      </c>
      <c r="K7622" s="22" t="s">
        <v>23</v>
      </c>
      <c r="L7622" s="22">
        <v>1</v>
      </c>
      <c r="M7622" s="26">
        <v>135483</v>
      </c>
      <c r="N7622" s="26">
        <v>0</v>
      </c>
      <c r="O7622" s="15">
        <f t="shared" si="725"/>
        <v>135483</v>
      </c>
      <c r="P7622" s="15">
        <f t="shared" si="726"/>
        <v>11.000032476495136</v>
      </c>
      <c r="Q7622" s="25">
        <v>5000</v>
      </c>
      <c r="R7622" s="22">
        <v>100</v>
      </c>
      <c r="S7622" s="22" t="s">
        <v>9251</v>
      </c>
      <c r="T7622" s="22">
        <f t="shared" si="720"/>
        <v>11</v>
      </c>
      <c r="U7622" s="22">
        <f t="shared" si="721"/>
        <v>2023</v>
      </c>
      <c r="V7622" s="22" t="str">
        <f t="shared" si="722"/>
        <v>METROPOLITANA</v>
      </c>
    </row>
    <row r="7623" spans="1:22" x14ac:dyDescent="0.2">
      <c r="A7623" s="23" t="s">
        <v>9242</v>
      </c>
      <c r="B7623" s="22" t="s">
        <v>33</v>
      </c>
      <c r="C7623" s="22" t="s">
        <v>44</v>
      </c>
      <c r="D7623" s="22" t="s">
        <v>8580</v>
      </c>
      <c r="E7623" s="24">
        <v>276547747</v>
      </c>
      <c r="F7623" s="22" t="s">
        <v>67</v>
      </c>
      <c r="G7623" s="25">
        <v>2608.9</v>
      </c>
      <c r="H7623" s="22" t="s">
        <v>24</v>
      </c>
      <c r="I7623" s="22">
        <v>1</v>
      </c>
      <c r="J7623" s="22" t="s">
        <v>67</v>
      </c>
      <c r="K7623" s="22" t="s">
        <v>23</v>
      </c>
      <c r="L7623" s="22">
        <v>2</v>
      </c>
      <c r="M7623" s="26">
        <v>69173</v>
      </c>
      <c r="N7623" s="26">
        <v>0</v>
      </c>
      <c r="O7623" s="15">
        <f t="shared" si="725"/>
        <v>69173</v>
      </c>
      <c r="P7623" s="15">
        <f t="shared" si="726"/>
        <v>26.514239717888763</v>
      </c>
      <c r="Q7623" s="25">
        <v>5000</v>
      </c>
      <c r="R7623" s="22">
        <v>52</v>
      </c>
      <c r="S7623" s="22" t="s">
        <v>9252</v>
      </c>
      <c r="T7623" s="22">
        <f t="shared" si="720"/>
        <v>11</v>
      </c>
      <c r="U7623" s="22">
        <f t="shared" si="721"/>
        <v>2023</v>
      </c>
      <c r="V7623" s="22" t="str">
        <f t="shared" si="722"/>
        <v>METROPOLITANA</v>
      </c>
    </row>
    <row r="7624" spans="1:22" x14ac:dyDescent="0.2">
      <c r="A7624" s="23" t="s">
        <v>9242</v>
      </c>
      <c r="B7624" s="22" t="s">
        <v>33</v>
      </c>
      <c r="C7624" s="22" t="s">
        <v>44</v>
      </c>
      <c r="D7624" s="22" t="s">
        <v>45</v>
      </c>
      <c r="E7624" s="24">
        <v>107643206</v>
      </c>
      <c r="F7624" s="22" t="s">
        <v>48</v>
      </c>
      <c r="G7624" s="25">
        <v>6340</v>
      </c>
      <c r="H7624" s="22" t="s">
        <v>22</v>
      </c>
      <c r="I7624" s="22">
        <v>0</v>
      </c>
      <c r="J7624" s="22" t="s">
        <v>48</v>
      </c>
      <c r="K7624" s="22" t="s">
        <v>23</v>
      </c>
      <c r="L7624" s="22">
        <v>1</v>
      </c>
      <c r="M7624" s="26">
        <v>69740</v>
      </c>
      <c r="N7624" s="26">
        <v>0</v>
      </c>
      <c r="O7624" s="15">
        <f t="shared" si="725"/>
        <v>69740</v>
      </c>
      <c r="P7624" s="15">
        <f t="shared" si="726"/>
        <v>11</v>
      </c>
      <c r="Q7624" s="25">
        <v>5000</v>
      </c>
      <c r="R7624" s="22">
        <v>100</v>
      </c>
      <c r="S7624" s="22" t="s">
        <v>9253</v>
      </c>
      <c r="T7624" s="22">
        <f t="shared" si="720"/>
        <v>11</v>
      </c>
      <c r="U7624" s="22">
        <f t="shared" si="721"/>
        <v>2023</v>
      </c>
      <c r="V7624" s="22" t="str">
        <f t="shared" si="722"/>
        <v>METROPOLITANA</v>
      </c>
    </row>
    <row r="7625" spans="1:22" s="12" customFormat="1" x14ac:dyDescent="0.2">
      <c r="A7625" s="11" t="s">
        <v>9254</v>
      </c>
      <c r="B7625" s="12" t="s">
        <v>18</v>
      </c>
      <c r="C7625" s="12" t="s">
        <v>8229</v>
      </c>
      <c r="D7625" s="12" t="s">
        <v>37</v>
      </c>
      <c r="E7625" s="13">
        <v>154837728</v>
      </c>
      <c r="F7625" s="12" t="s">
        <v>26</v>
      </c>
      <c r="G7625" s="14">
        <v>7498.53</v>
      </c>
      <c r="H7625" s="12" t="s">
        <v>22</v>
      </c>
      <c r="I7625" s="12">
        <v>0</v>
      </c>
      <c r="J7625" s="12" t="s">
        <v>26</v>
      </c>
      <c r="K7625" s="12" t="s">
        <v>23</v>
      </c>
      <c r="L7625" s="12">
        <v>4</v>
      </c>
      <c r="M7625" s="15">
        <v>82484</v>
      </c>
      <c r="N7625" s="15">
        <v>0</v>
      </c>
      <c r="O7625" s="15">
        <f t="shared" si="725"/>
        <v>82484</v>
      </c>
      <c r="P7625" s="15">
        <f t="shared" si="726"/>
        <v>11.000022671110205</v>
      </c>
      <c r="Q7625" s="14">
        <v>5000</v>
      </c>
      <c r="R7625" s="12">
        <v>100</v>
      </c>
      <c r="S7625" s="12" t="s">
        <v>9255</v>
      </c>
      <c r="T7625" s="12">
        <f t="shared" si="720"/>
        <v>11</v>
      </c>
      <c r="U7625" s="12">
        <f t="shared" si="721"/>
        <v>2023</v>
      </c>
      <c r="V7625" s="12" t="str">
        <f t="shared" si="722"/>
        <v>METROPOLITANA</v>
      </c>
    </row>
    <row r="7626" spans="1:22" s="12" customFormat="1" x14ac:dyDescent="0.2">
      <c r="A7626" s="11" t="s">
        <v>9254</v>
      </c>
      <c r="B7626" s="12" t="s">
        <v>33</v>
      </c>
      <c r="C7626" s="12" t="s">
        <v>60</v>
      </c>
      <c r="D7626" s="12" t="s">
        <v>37</v>
      </c>
      <c r="E7626" s="13">
        <v>78907355</v>
      </c>
      <c r="F7626" s="12" t="s">
        <v>800</v>
      </c>
      <c r="G7626" s="14">
        <v>3706.7999999999988</v>
      </c>
      <c r="H7626" s="12" t="s">
        <v>22</v>
      </c>
      <c r="I7626" s="12">
        <v>0</v>
      </c>
      <c r="J7626" s="12" t="s">
        <v>800</v>
      </c>
      <c r="K7626" s="12" t="s">
        <v>23</v>
      </c>
      <c r="L7626" s="12">
        <v>5</v>
      </c>
      <c r="M7626" s="15">
        <v>112500</v>
      </c>
      <c r="N7626" s="15">
        <v>0</v>
      </c>
      <c r="O7626" s="15">
        <f t="shared" si="725"/>
        <v>112500</v>
      </c>
      <c r="P7626" s="15">
        <f t="shared" si="726"/>
        <v>30.349627711233417</v>
      </c>
      <c r="Q7626" s="14">
        <v>10000</v>
      </c>
      <c r="R7626" s="12">
        <v>37</v>
      </c>
      <c r="S7626" s="12" t="s">
        <v>9256</v>
      </c>
      <c r="T7626" s="12">
        <f t="shared" si="720"/>
        <v>11</v>
      </c>
      <c r="U7626" s="12">
        <f t="shared" si="721"/>
        <v>2023</v>
      </c>
      <c r="V7626" s="12" t="str">
        <f t="shared" si="722"/>
        <v>METROPOLITANA</v>
      </c>
    </row>
    <row r="7627" spans="1:22" s="12" customFormat="1" x14ac:dyDescent="0.2">
      <c r="A7627" s="11" t="s">
        <v>9254</v>
      </c>
      <c r="B7627" s="12" t="s">
        <v>33</v>
      </c>
      <c r="C7627" s="12" t="s">
        <v>540</v>
      </c>
      <c r="D7627" s="12" t="s">
        <v>8219</v>
      </c>
      <c r="E7627" s="13">
        <v>73835526</v>
      </c>
      <c r="F7627" s="12" t="s">
        <v>26</v>
      </c>
      <c r="G7627" s="14">
        <v>3203.2</v>
      </c>
      <c r="H7627" s="12" t="s">
        <v>24</v>
      </c>
      <c r="I7627" s="12">
        <v>1</v>
      </c>
      <c r="J7627" s="12" t="s">
        <v>26</v>
      </c>
      <c r="K7627" s="12" t="s">
        <v>23</v>
      </c>
      <c r="L7627" s="12">
        <v>4</v>
      </c>
      <c r="M7627" s="15">
        <v>69173</v>
      </c>
      <c r="N7627" s="15">
        <v>0</v>
      </c>
      <c r="O7627" s="15">
        <f t="shared" si="725"/>
        <v>69173</v>
      </c>
      <c r="P7627" s="15">
        <f t="shared" si="726"/>
        <v>21.594967532467535</v>
      </c>
      <c r="Q7627" s="14">
        <v>5000</v>
      </c>
      <c r="R7627" s="12">
        <v>64</v>
      </c>
      <c r="S7627" s="12" t="s">
        <v>9257</v>
      </c>
      <c r="T7627" s="12">
        <f t="shared" si="720"/>
        <v>11</v>
      </c>
      <c r="U7627" s="12">
        <f t="shared" si="721"/>
        <v>2023</v>
      </c>
      <c r="V7627" s="12" t="str">
        <f t="shared" si="722"/>
        <v>METROPOLITANA</v>
      </c>
    </row>
    <row r="7628" spans="1:22" s="12" customFormat="1" x14ac:dyDescent="0.2">
      <c r="A7628" s="11" t="s">
        <v>9254</v>
      </c>
      <c r="B7628" s="12" t="s">
        <v>33</v>
      </c>
      <c r="C7628" s="12" t="s">
        <v>29</v>
      </c>
      <c r="D7628" s="12" t="s">
        <v>38</v>
      </c>
      <c r="E7628" s="13">
        <v>125108660</v>
      </c>
      <c r="F7628" s="12" t="s">
        <v>39</v>
      </c>
      <c r="G7628" s="14">
        <v>9866.4</v>
      </c>
      <c r="H7628" s="12" t="s">
        <v>43</v>
      </c>
      <c r="I7628" s="12">
        <v>0</v>
      </c>
      <c r="J7628" s="12" t="s">
        <v>39</v>
      </c>
      <c r="K7628" s="12" t="s">
        <v>23</v>
      </c>
      <c r="L7628" s="12">
        <v>1</v>
      </c>
      <c r="M7628" s="15">
        <v>108530</v>
      </c>
      <c r="N7628" s="15">
        <v>0</v>
      </c>
      <c r="O7628" s="15">
        <f t="shared" si="725"/>
        <v>108530</v>
      </c>
      <c r="P7628" s="15">
        <f t="shared" si="726"/>
        <v>10.99995945836374</v>
      </c>
      <c r="Q7628" s="14">
        <v>5000</v>
      </c>
      <c r="R7628" s="12">
        <v>100</v>
      </c>
      <c r="S7628" s="12" t="s">
        <v>9258</v>
      </c>
      <c r="T7628" s="12">
        <f t="shared" si="720"/>
        <v>11</v>
      </c>
      <c r="U7628" s="12">
        <f t="shared" si="721"/>
        <v>2023</v>
      </c>
      <c r="V7628" s="12" t="str">
        <f t="shared" si="722"/>
        <v>METROPOLITANA</v>
      </c>
    </row>
    <row r="7629" spans="1:22" s="12" customFormat="1" x14ac:dyDescent="0.2">
      <c r="A7629" s="11" t="s">
        <v>9254</v>
      </c>
      <c r="B7629" s="12" t="s">
        <v>33</v>
      </c>
      <c r="C7629" s="12" t="s">
        <v>29</v>
      </c>
      <c r="D7629" s="12" t="s">
        <v>8724</v>
      </c>
      <c r="E7629" s="13">
        <v>94590507</v>
      </c>
      <c r="F7629" s="12" t="s">
        <v>114</v>
      </c>
      <c r="G7629" s="14">
        <v>22847.360000000011</v>
      </c>
      <c r="H7629" s="12" t="s">
        <v>24</v>
      </c>
      <c r="I7629" s="12">
        <v>1</v>
      </c>
      <c r="J7629" s="12" t="s">
        <v>114</v>
      </c>
      <c r="K7629" s="12" t="s">
        <v>75</v>
      </c>
      <c r="L7629" s="12">
        <v>0</v>
      </c>
      <c r="M7629" s="15">
        <v>528000</v>
      </c>
      <c r="N7629" s="15">
        <v>0</v>
      </c>
      <c r="O7629" s="15">
        <f t="shared" si="725"/>
        <v>528000</v>
      </c>
      <c r="P7629" s="15">
        <f t="shared" si="726"/>
        <v>23.109891033362267</v>
      </c>
      <c r="Q7629" s="14">
        <v>14000</v>
      </c>
      <c r="R7629" s="12">
        <v>100</v>
      </c>
      <c r="S7629" s="12" t="s">
        <v>9259</v>
      </c>
      <c r="T7629" s="12">
        <f t="shared" si="720"/>
        <v>11</v>
      </c>
      <c r="U7629" s="12">
        <f t="shared" si="721"/>
        <v>2023</v>
      </c>
      <c r="V7629" s="12" t="str">
        <f t="shared" si="722"/>
        <v>REGIONES</v>
      </c>
    </row>
    <row r="7630" spans="1:22" s="12" customFormat="1" x14ac:dyDescent="0.2">
      <c r="A7630" s="11" t="s">
        <v>9254</v>
      </c>
      <c r="B7630" s="12" t="s">
        <v>33</v>
      </c>
      <c r="C7630" s="12" t="s">
        <v>29</v>
      </c>
      <c r="D7630" s="12" t="s">
        <v>164</v>
      </c>
      <c r="E7630" s="13">
        <v>154837728</v>
      </c>
      <c r="F7630" s="12" t="s">
        <v>39</v>
      </c>
      <c r="G7630" s="14">
        <v>21886.25</v>
      </c>
      <c r="H7630" s="12" t="s">
        <v>22</v>
      </c>
      <c r="I7630" s="12">
        <v>1</v>
      </c>
      <c r="J7630" s="12" t="s">
        <v>39</v>
      </c>
      <c r="K7630" s="12" t="s">
        <v>23</v>
      </c>
      <c r="L7630" s="12">
        <v>1</v>
      </c>
      <c r="M7630" s="15">
        <v>240749</v>
      </c>
      <c r="N7630" s="15">
        <v>0</v>
      </c>
      <c r="O7630" s="15">
        <f t="shared" si="725"/>
        <v>240749</v>
      </c>
      <c r="P7630" s="15">
        <f t="shared" si="726"/>
        <v>11.000011422696899</v>
      </c>
      <c r="Q7630" s="14">
        <v>5000</v>
      </c>
      <c r="R7630" s="12">
        <v>100</v>
      </c>
      <c r="S7630" s="12" t="s">
        <v>9260</v>
      </c>
      <c r="T7630" s="12">
        <f t="shared" si="720"/>
        <v>11</v>
      </c>
      <c r="U7630" s="12">
        <f t="shared" si="721"/>
        <v>2023</v>
      </c>
      <c r="V7630" s="12" t="str">
        <f t="shared" si="722"/>
        <v>METROPOLITANA</v>
      </c>
    </row>
    <row r="7631" spans="1:22" s="12" customFormat="1" x14ac:dyDescent="0.2">
      <c r="A7631" s="11" t="s">
        <v>9254</v>
      </c>
      <c r="B7631" s="12" t="s">
        <v>33</v>
      </c>
      <c r="C7631" s="12" t="s">
        <v>44</v>
      </c>
      <c r="D7631" s="12" t="s">
        <v>8580</v>
      </c>
      <c r="E7631" s="13">
        <v>276547747</v>
      </c>
      <c r="F7631" s="12" t="s">
        <v>95</v>
      </c>
      <c r="G7631" s="14">
        <v>3734.6</v>
      </c>
      <c r="H7631" s="12" t="s">
        <v>24</v>
      </c>
      <c r="I7631" s="12">
        <v>1</v>
      </c>
      <c r="J7631" s="12" t="s">
        <v>95</v>
      </c>
      <c r="K7631" s="12" t="s">
        <v>23</v>
      </c>
      <c r="L7631" s="12">
        <v>4</v>
      </c>
      <c r="M7631" s="15">
        <v>69173</v>
      </c>
      <c r="N7631" s="15">
        <v>0</v>
      </c>
      <c r="O7631" s="15">
        <f t="shared" si="725"/>
        <v>69173</v>
      </c>
      <c r="P7631" s="15">
        <f t="shared" si="726"/>
        <v>18.522197825737695</v>
      </c>
      <c r="Q7631" s="14">
        <v>5000</v>
      </c>
      <c r="R7631" s="12">
        <v>75</v>
      </c>
      <c r="S7631" s="12" t="s">
        <v>9261</v>
      </c>
      <c r="T7631" s="12">
        <f t="shared" si="720"/>
        <v>11</v>
      </c>
      <c r="U7631" s="12">
        <f t="shared" si="721"/>
        <v>2023</v>
      </c>
      <c r="V7631" s="12" t="str">
        <f t="shared" si="722"/>
        <v>METROPOLITANA</v>
      </c>
    </row>
    <row r="7632" spans="1:22" s="12" customFormat="1" x14ac:dyDescent="0.2">
      <c r="A7632" s="11" t="s">
        <v>9254</v>
      </c>
      <c r="B7632" s="12" t="s">
        <v>33</v>
      </c>
      <c r="C7632" s="12" t="s">
        <v>44</v>
      </c>
      <c r="D7632" s="12" t="s">
        <v>45</v>
      </c>
      <c r="E7632" s="13">
        <v>107643206</v>
      </c>
      <c r="F7632" s="12" t="s">
        <v>26</v>
      </c>
      <c r="G7632" s="14">
        <v>2905.2200000000012</v>
      </c>
      <c r="H7632" s="12" t="s">
        <v>22</v>
      </c>
      <c r="I7632" s="12">
        <v>0</v>
      </c>
      <c r="J7632" s="12" t="s">
        <v>26</v>
      </c>
      <c r="K7632" s="12" t="s">
        <v>23</v>
      </c>
      <c r="L7632" s="12">
        <v>4</v>
      </c>
      <c r="M7632" s="15">
        <v>69173</v>
      </c>
      <c r="N7632" s="15">
        <v>0</v>
      </c>
      <c r="O7632" s="15">
        <f t="shared" si="725"/>
        <v>69173</v>
      </c>
      <c r="P7632" s="15">
        <f t="shared" si="726"/>
        <v>23.809900799250993</v>
      </c>
      <c r="Q7632" s="14">
        <v>5000</v>
      </c>
      <c r="R7632" s="12">
        <v>58</v>
      </c>
      <c r="S7632" s="12" t="s">
        <v>9262</v>
      </c>
      <c r="T7632" s="12">
        <f t="shared" si="720"/>
        <v>11</v>
      </c>
      <c r="U7632" s="12">
        <f t="shared" si="721"/>
        <v>2023</v>
      </c>
      <c r="V7632" s="12" t="str">
        <f t="shared" si="722"/>
        <v>METROPOLITANA</v>
      </c>
    </row>
    <row r="7633" spans="1:22" s="12" customFormat="1" x14ac:dyDescent="0.2">
      <c r="A7633" s="11" t="s">
        <v>9254</v>
      </c>
      <c r="B7633" s="12" t="s">
        <v>33</v>
      </c>
      <c r="C7633" s="12" t="s">
        <v>44</v>
      </c>
      <c r="D7633" s="12" t="s">
        <v>8219</v>
      </c>
      <c r="E7633" s="13">
        <v>73835526</v>
      </c>
      <c r="F7633" s="12" t="s">
        <v>94</v>
      </c>
      <c r="G7633" s="14">
        <v>4453.4799999999996</v>
      </c>
      <c r="H7633" s="12" t="s">
        <v>24</v>
      </c>
      <c r="I7633" s="12">
        <v>1</v>
      </c>
      <c r="J7633" s="12" t="s">
        <v>59</v>
      </c>
      <c r="K7633" s="12" t="s">
        <v>78</v>
      </c>
      <c r="L7633" s="12">
        <v>0</v>
      </c>
      <c r="M7633" s="15">
        <v>300000</v>
      </c>
      <c r="N7633" s="15">
        <v>0</v>
      </c>
      <c r="O7633" s="15">
        <f t="shared" si="725"/>
        <v>300000</v>
      </c>
      <c r="P7633" s="15">
        <f t="shared" si="726"/>
        <v>67.363050917484756</v>
      </c>
      <c r="Q7633" s="14">
        <v>14000</v>
      </c>
      <c r="R7633" s="12">
        <v>32</v>
      </c>
      <c r="S7633" s="12" t="s">
        <v>9263</v>
      </c>
      <c r="T7633" s="12">
        <f t="shared" si="720"/>
        <v>11</v>
      </c>
      <c r="U7633" s="12">
        <f t="shared" si="721"/>
        <v>2023</v>
      </c>
      <c r="V7633" s="12" t="str">
        <f t="shared" si="722"/>
        <v>REGIONES</v>
      </c>
    </row>
    <row r="7634" spans="1:22" x14ac:dyDescent="0.2">
      <c r="A7634" s="23" t="s">
        <v>9265</v>
      </c>
      <c r="B7634" s="22" t="s">
        <v>18</v>
      </c>
      <c r="C7634" s="22" t="s">
        <v>4880</v>
      </c>
      <c r="D7634" s="22" t="s">
        <v>38</v>
      </c>
      <c r="E7634" s="24" t="s">
        <v>25</v>
      </c>
      <c r="F7634" s="22" t="s">
        <v>129</v>
      </c>
      <c r="G7634" s="25">
        <v>3192</v>
      </c>
      <c r="H7634" s="22" t="s">
        <v>43</v>
      </c>
      <c r="I7634" s="22">
        <v>0</v>
      </c>
      <c r="J7634" s="22" t="s">
        <v>129</v>
      </c>
      <c r="K7634" s="22" t="s">
        <v>23</v>
      </c>
      <c r="L7634" s="22">
        <v>1</v>
      </c>
      <c r="M7634" s="26">
        <v>69173</v>
      </c>
      <c r="N7634" s="26">
        <v>0</v>
      </c>
      <c r="O7634" s="15">
        <f t="shared" ref="O7634:O7651" si="727">SUM(M7634:N7634)</f>
        <v>69173</v>
      </c>
      <c r="P7634" s="15">
        <f t="shared" ref="P7634:P7651" si="728">O7634/G7634</f>
        <v>21.670739348370926</v>
      </c>
      <c r="Q7634" s="25">
        <v>5000</v>
      </c>
      <c r="R7634" s="22">
        <v>64</v>
      </c>
      <c r="S7634" s="22" t="s">
        <v>9266</v>
      </c>
      <c r="T7634" s="22">
        <f t="shared" si="720"/>
        <v>11</v>
      </c>
      <c r="U7634" s="22">
        <f t="shared" si="721"/>
        <v>2023</v>
      </c>
      <c r="V7634" s="22" t="str">
        <f t="shared" si="722"/>
        <v>METROPOLITANA</v>
      </c>
    </row>
    <row r="7635" spans="1:22" x14ac:dyDescent="0.2">
      <c r="A7635" s="23" t="s">
        <v>9265</v>
      </c>
      <c r="B7635" s="22" t="s">
        <v>18</v>
      </c>
      <c r="C7635" s="22" t="s">
        <v>4400</v>
      </c>
      <c r="D7635" s="22" t="s">
        <v>8219</v>
      </c>
      <c r="E7635" s="24" t="s">
        <v>8220</v>
      </c>
      <c r="F7635" s="22" t="s">
        <v>8185</v>
      </c>
      <c r="G7635" s="25">
        <v>9760.0800000000017</v>
      </c>
      <c r="H7635" s="22" t="s">
        <v>24</v>
      </c>
      <c r="I7635" s="22">
        <v>1</v>
      </c>
      <c r="J7635" s="22" t="s">
        <v>8185</v>
      </c>
      <c r="K7635" s="22" t="s">
        <v>171</v>
      </c>
      <c r="L7635" s="22">
        <v>0</v>
      </c>
      <c r="M7635" s="26">
        <v>350000</v>
      </c>
      <c r="N7635" s="26">
        <v>0</v>
      </c>
      <c r="O7635" s="15">
        <f t="shared" si="727"/>
        <v>350000</v>
      </c>
      <c r="P7635" s="15">
        <f t="shared" si="728"/>
        <v>35.860361800313107</v>
      </c>
      <c r="Q7635" s="25">
        <v>14000</v>
      </c>
      <c r="R7635" s="22">
        <v>70</v>
      </c>
      <c r="S7635" s="22" t="s">
        <v>9267</v>
      </c>
      <c r="T7635" s="22">
        <f t="shared" si="720"/>
        <v>11</v>
      </c>
      <c r="U7635" s="22">
        <f t="shared" si="721"/>
        <v>2023</v>
      </c>
      <c r="V7635" s="22" t="str">
        <f t="shared" si="722"/>
        <v>REGIONES</v>
      </c>
    </row>
    <row r="7636" spans="1:22" x14ac:dyDescent="0.2">
      <c r="A7636" s="23" t="s">
        <v>9265</v>
      </c>
      <c r="B7636" s="22" t="s">
        <v>18</v>
      </c>
      <c r="C7636" s="22" t="s">
        <v>8229</v>
      </c>
      <c r="D7636" s="22" t="s">
        <v>38</v>
      </c>
      <c r="E7636" s="24" t="s">
        <v>25</v>
      </c>
      <c r="F7636" s="22" t="s">
        <v>26</v>
      </c>
      <c r="G7636" s="25">
        <v>11764.8</v>
      </c>
      <c r="H7636" s="22" t="s">
        <v>43</v>
      </c>
      <c r="I7636" s="22">
        <v>0</v>
      </c>
      <c r="J7636" s="22" t="s">
        <v>26</v>
      </c>
      <c r="K7636" s="22" t="s">
        <v>23</v>
      </c>
      <c r="L7636" s="22">
        <v>4</v>
      </c>
      <c r="M7636" s="26">
        <v>129413</v>
      </c>
      <c r="N7636" s="26">
        <v>0</v>
      </c>
      <c r="O7636" s="15">
        <f t="shared" si="727"/>
        <v>129413</v>
      </c>
      <c r="P7636" s="15">
        <f t="shared" si="728"/>
        <v>11.000016999864002</v>
      </c>
      <c r="Q7636" s="25">
        <v>5000</v>
      </c>
      <c r="R7636" s="22">
        <v>100</v>
      </c>
      <c r="S7636" s="22" t="s">
        <v>9268</v>
      </c>
      <c r="T7636" s="22">
        <f t="shared" si="720"/>
        <v>11</v>
      </c>
      <c r="U7636" s="22">
        <f t="shared" si="721"/>
        <v>2023</v>
      </c>
      <c r="V7636" s="22" t="str">
        <f t="shared" si="722"/>
        <v>METROPOLITANA</v>
      </c>
    </row>
    <row r="7637" spans="1:22" x14ac:dyDescent="0.2">
      <c r="A7637" s="23" t="s">
        <v>9265</v>
      </c>
      <c r="B7637" s="22" t="s">
        <v>18</v>
      </c>
      <c r="C7637" s="22" t="s">
        <v>8229</v>
      </c>
      <c r="D7637" s="22" t="s">
        <v>20</v>
      </c>
      <c r="E7637" s="24" t="s">
        <v>21</v>
      </c>
      <c r="F7637" s="22" t="s">
        <v>26</v>
      </c>
      <c r="G7637" s="25">
        <v>9998.0400000000009</v>
      </c>
      <c r="H7637" s="22" t="s">
        <v>22</v>
      </c>
      <c r="I7637" s="22">
        <v>0</v>
      </c>
      <c r="J7637" s="22" t="s">
        <v>26</v>
      </c>
      <c r="K7637" s="22" t="s">
        <v>23</v>
      </c>
      <c r="L7637" s="22">
        <v>4</v>
      </c>
      <c r="M7637" s="26">
        <v>109978</v>
      </c>
      <c r="N7637" s="26">
        <v>0</v>
      </c>
      <c r="O7637" s="15">
        <f t="shared" si="727"/>
        <v>109978</v>
      </c>
      <c r="P7637" s="15">
        <f t="shared" si="728"/>
        <v>10.999955991374309</v>
      </c>
      <c r="Q7637" s="25">
        <v>5000</v>
      </c>
      <c r="R7637" s="22">
        <v>100</v>
      </c>
      <c r="S7637" s="22" t="s">
        <v>9269</v>
      </c>
      <c r="T7637" s="22">
        <f t="shared" si="720"/>
        <v>11</v>
      </c>
      <c r="U7637" s="22">
        <f t="shared" si="721"/>
        <v>2023</v>
      </c>
      <c r="V7637" s="22" t="str">
        <f t="shared" si="722"/>
        <v>METROPOLITANA</v>
      </c>
    </row>
    <row r="7638" spans="1:22" x14ac:dyDescent="0.2">
      <c r="A7638" s="23" t="s">
        <v>9265</v>
      </c>
      <c r="B7638" s="22" t="s">
        <v>33</v>
      </c>
      <c r="C7638" s="22" t="s">
        <v>8183</v>
      </c>
      <c r="D7638" s="22" t="s">
        <v>45</v>
      </c>
      <c r="E7638" s="24" t="s">
        <v>9270</v>
      </c>
      <c r="F7638" s="22" t="s">
        <v>39</v>
      </c>
      <c r="G7638" s="25">
        <v>1700.4</v>
      </c>
      <c r="H7638" s="22" t="s">
        <v>22</v>
      </c>
      <c r="I7638" s="22">
        <v>0</v>
      </c>
      <c r="J7638" s="22" t="s">
        <v>39</v>
      </c>
      <c r="K7638" s="22" t="s">
        <v>23</v>
      </c>
      <c r="L7638" s="22">
        <v>1</v>
      </c>
      <c r="M7638" s="26">
        <v>69173</v>
      </c>
      <c r="N7638" s="26">
        <v>0</v>
      </c>
      <c r="O7638" s="15">
        <f t="shared" si="727"/>
        <v>69173</v>
      </c>
      <c r="P7638" s="15">
        <f t="shared" si="728"/>
        <v>40.680428134556571</v>
      </c>
      <c r="Q7638" s="25">
        <v>5000</v>
      </c>
      <c r="R7638" s="22">
        <v>34</v>
      </c>
      <c r="S7638" s="22" t="s">
        <v>9271</v>
      </c>
      <c r="T7638" s="22">
        <f t="shared" si="720"/>
        <v>11</v>
      </c>
      <c r="U7638" s="22">
        <f t="shared" si="721"/>
        <v>2023</v>
      </c>
      <c r="V7638" s="22" t="str">
        <f t="shared" si="722"/>
        <v>METROPOLITANA</v>
      </c>
    </row>
    <row r="7639" spans="1:22" x14ac:dyDescent="0.2">
      <c r="A7639" s="23" t="s">
        <v>9265</v>
      </c>
      <c r="B7639" s="22" t="s">
        <v>33</v>
      </c>
      <c r="C7639" s="22" t="s">
        <v>128</v>
      </c>
      <c r="D7639" s="22" t="s">
        <v>37</v>
      </c>
      <c r="E7639" s="24" t="s">
        <v>21</v>
      </c>
      <c r="F7639" s="22" t="s">
        <v>129</v>
      </c>
      <c r="G7639" s="25">
        <v>7370.24</v>
      </c>
      <c r="H7639" s="22" t="s">
        <v>22</v>
      </c>
      <c r="I7639" s="22">
        <v>0</v>
      </c>
      <c r="J7639" s="22" t="s">
        <v>129</v>
      </c>
      <c r="K7639" s="22" t="s">
        <v>23</v>
      </c>
      <c r="L7639" s="22">
        <v>1</v>
      </c>
      <c r="M7639" s="26">
        <v>81073</v>
      </c>
      <c r="N7639" s="26">
        <v>0</v>
      </c>
      <c r="O7639" s="15">
        <f t="shared" si="727"/>
        <v>81073</v>
      </c>
      <c r="P7639" s="15">
        <f t="shared" si="728"/>
        <v>11.0000488450851</v>
      </c>
      <c r="Q7639" s="25">
        <v>5000</v>
      </c>
      <c r="R7639" s="22">
        <v>100</v>
      </c>
      <c r="S7639" s="22" t="s">
        <v>9272</v>
      </c>
      <c r="T7639" s="22">
        <f t="shared" si="720"/>
        <v>11</v>
      </c>
      <c r="U7639" s="22">
        <f t="shared" si="721"/>
        <v>2023</v>
      </c>
      <c r="V7639" s="22" t="str">
        <f t="shared" si="722"/>
        <v>METROPOLITANA</v>
      </c>
    </row>
    <row r="7640" spans="1:22" x14ac:dyDescent="0.2">
      <c r="A7640" s="23" t="s">
        <v>9265</v>
      </c>
      <c r="B7640" s="22" t="s">
        <v>33</v>
      </c>
      <c r="C7640" s="22" t="s">
        <v>128</v>
      </c>
      <c r="D7640" s="22" t="s">
        <v>786</v>
      </c>
      <c r="E7640" s="24" t="s">
        <v>787</v>
      </c>
      <c r="F7640" s="22" t="s">
        <v>39</v>
      </c>
      <c r="G7640" s="25">
        <v>6900.4000000000024</v>
      </c>
      <c r="H7640" s="22" t="s">
        <v>788</v>
      </c>
      <c r="I7640" s="22">
        <v>1</v>
      </c>
      <c r="J7640" s="22" t="s">
        <v>39</v>
      </c>
      <c r="K7640" s="22" t="s">
        <v>23</v>
      </c>
      <c r="L7640" s="22">
        <v>1</v>
      </c>
      <c r="M7640" s="26">
        <v>75904</v>
      </c>
      <c r="N7640" s="26">
        <v>0</v>
      </c>
      <c r="O7640" s="15">
        <f t="shared" si="727"/>
        <v>75904</v>
      </c>
      <c r="P7640" s="15">
        <f t="shared" si="728"/>
        <v>10.999942032345947</v>
      </c>
      <c r="Q7640" s="25">
        <v>5000</v>
      </c>
      <c r="R7640" s="22">
        <v>100</v>
      </c>
      <c r="S7640" s="22" t="s">
        <v>9273</v>
      </c>
      <c r="T7640" s="22">
        <f t="shared" si="720"/>
        <v>11</v>
      </c>
      <c r="U7640" s="22">
        <f t="shared" si="721"/>
        <v>2023</v>
      </c>
      <c r="V7640" s="22" t="str">
        <f t="shared" si="722"/>
        <v>METROPOLITANA</v>
      </c>
    </row>
    <row r="7641" spans="1:22" x14ac:dyDescent="0.2">
      <c r="A7641" s="23" t="s">
        <v>9265</v>
      </c>
      <c r="B7641" s="22" t="s">
        <v>33</v>
      </c>
      <c r="C7641" s="22" t="s">
        <v>7065</v>
      </c>
      <c r="D7641" s="22" t="s">
        <v>8219</v>
      </c>
      <c r="E7641" s="24" t="s">
        <v>8220</v>
      </c>
      <c r="F7641" s="22" t="s">
        <v>129</v>
      </c>
      <c r="G7641" s="25">
        <v>4000.1</v>
      </c>
      <c r="H7641" s="22" t="s">
        <v>24</v>
      </c>
      <c r="I7641" s="22">
        <v>1</v>
      </c>
      <c r="J7641" s="22" t="s">
        <v>129</v>
      </c>
      <c r="K7641" s="22" t="s">
        <v>23</v>
      </c>
      <c r="L7641" s="22">
        <v>1</v>
      </c>
      <c r="M7641" s="26">
        <v>69173</v>
      </c>
      <c r="N7641" s="26">
        <v>0</v>
      </c>
      <c r="O7641" s="15">
        <f t="shared" si="727"/>
        <v>69173</v>
      </c>
      <c r="P7641" s="15">
        <f t="shared" si="728"/>
        <v>17.292817679558013</v>
      </c>
      <c r="Q7641" s="25">
        <v>5000</v>
      </c>
      <c r="R7641" s="22">
        <v>80</v>
      </c>
      <c r="S7641" s="22" t="s">
        <v>9274</v>
      </c>
      <c r="T7641" s="22">
        <f t="shared" si="720"/>
        <v>11</v>
      </c>
      <c r="U7641" s="22">
        <f t="shared" si="721"/>
        <v>2023</v>
      </c>
      <c r="V7641" s="22" t="str">
        <f t="shared" si="722"/>
        <v>METROPOLITANA</v>
      </c>
    </row>
    <row r="7642" spans="1:22" x14ac:dyDescent="0.2">
      <c r="A7642" s="23" t="s">
        <v>9265</v>
      </c>
      <c r="B7642" s="22" t="s">
        <v>33</v>
      </c>
      <c r="C7642" s="22" t="s">
        <v>29</v>
      </c>
      <c r="D7642" s="22" t="s">
        <v>7711</v>
      </c>
      <c r="E7642" s="24" t="s">
        <v>7712</v>
      </c>
      <c r="F7642" s="22" t="s">
        <v>195</v>
      </c>
      <c r="G7642" s="25">
        <v>11171.6</v>
      </c>
      <c r="H7642" s="22" t="s">
        <v>24</v>
      </c>
      <c r="I7642" s="22">
        <v>1</v>
      </c>
      <c r="J7642" s="22" t="s">
        <v>195</v>
      </c>
      <c r="K7642" s="22" t="s">
        <v>124</v>
      </c>
      <c r="L7642" s="22">
        <v>0</v>
      </c>
      <c r="M7642" s="26">
        <v>440000</v>
      </c>
      <c r="N7642" s="26">
        <v>0</v>
      </c>
      <c r="O7642" s="15">
        <f t="shared" si="727"/>
        <v>440000</v>
      </c>
      <c r="P7642" s="15">
        <f t="shared" si="728"/>
        <v>39.385584875935407</v>
      </c>
      <c r="Q7642" s="25">
        <v>14000</v>
      </c>
      <c r="R7642" s="22">
        <v>80</v>
      </c>
      <c r="S7642" s="22" t="s">
        <v>9275</v>
      </c>
      <c r="T7642" s="22">
        <f t="shared" si="720"/>
        <v>11</v>
      </c>
      <c r="U7642" s="22">
        <f t="shared" si="721"/>
        <v>2023</v>
      </c>
      <c r="V7642" s="22" t="str">
        <f t="shared" si="722"/>
        <v>REGIONES</v>
      </c>
    </row>
    <row r="7643" spans="1:22" x14ac:dyDescent="0.2">
      <c r="A7643" s="23" t="s">
        <v>9265</v>
      </c>
      <c r="B7643" s="22" t="s">
        <v>33</v>
      </c>
      <c r="C7643" s="22" t="s">
        <v>29</v>
      </c>
      <c r="D7643" s="22" t="s">
        <v>8988</v>
      </c>
      <c r="E7643" s="24" t="s">
        <v>9276</v>
      </c>
      <c r="F7643" s="22" t="s">
        <v>114</v>
      </c>
      <c r="G7643" s="25">
        <v>15888.7</v>
      </c>
      <c r="H7643" s="22" t="s">
        <v>24</v>
      </c>
      <c r="I7643" s="22">
        <v>1</v>
      </c>
      <c r="J7643" s="22" t="s">
        <v>114</v>
      </c>
      <c r="K7643" s="22" t="s">
        <v>75</v>
      </c>
      <c r="L7643" s="22">
        <v>0</v>
      </c>
      <c r="M7643" s="26">
        <v>528000</v>
      </c>
      <c r="N7643" s="26">
        <v>0</v>
      </c>
      <c r="O7643" s="15">
        <f t="shared" si="727"/>
        <v>528000</v>
      </c>
      <c r="P7643" s="15">
        <f t="shared" si="728"/>
        <v>33.231164286568443</v>
      </c>
      <c r="Q7643" s="25">
        <v>14000</v>
      </c>
      <c r="R7643" s="22">
        <v>100</v>
      </c>
      <c r="S7643" s="22" t="s">
        <v>9277</v>
      </c>
      <c r="T7643" s="22">
        <f t="shared" si="720"/>
        <v>11</v>
      </c>
      <c r="U7643" s="22">
        <f t="shared" si="721"/>
        <v>2023</v>
      </c>
      <c r="V7643" s="22" t="str">
        <f t="shared" si="722"/>
        <v>REGIONES</v>
      </c>
    </row>
    <row r="7644" spans="1:22" x14ac:dyDescent="0.2">
      <c r="A7644" s="23" t="s">
        <v>9265</v>
      </c>
      <c r="B7644" s="22" t="s">
        <v>33</v>
      </c>
      <c r="C7644" s="22" t="s">
        <v>29</v>
      </c>
      <c r="D7644" s="22" t="s">
        <v>164</v>
      </c>
      <c r="E7644" s="24" t="s">
        <v>1576</v>
      </c>
      <c r="F7644" s="22" t="s">
        <v>39</v>
      </c>
      <c r="G7644" s="25">
        <v>14736.07</v>
      </c>
      <c r="H7644" s="22" t="s">
        <v>22</v>
      </c>
      <c r="I7644" s="22">
        <v>1</v>
      </c>
      <c r="J7644" s="22" t="s">
        <v>39</v>
      </c>
      <c r="K7644" s="22" t="s">
        <v>23</v>
      </c>
      <c r="L7644" s="22">
        <v>1</v>
      </c>
      <c r="M7644" s="26">
        <v>162097</v>
      </c>
      <c r="N7644" s="26">
        <v>0</v>
      </c>
      <c r="O7644" s="15">
        <f t="shared" si="727"/>
        <v>162097</v>
      </c>
      <c r="P7644" s="15">
        <f t="shared" si="728"/>
        <v>11.000015607960602</v>
      </c>
      <c r="Q7644" s="25">
        <v>5000</v>
      </c>
      <c r="R7644" s="22">
        <v>100</v>
      </c>
      <c r="S7644" s="22" t="s">
        <v>9278</v>
      </c>
      <c r="T7644" s="22">
        <f t="shared" si="720"/>
        <v>11</v>
      </c>
      <c r="U7644" s="22">
        <f t="shared" si="721"/>
        <v>2023</v>
      </c>
      <c r="V7644" s="22" t="str">
        <f t="shared" si="722"/>
        <v>METROPOLITANA</v>
      </c>
    </row>
    <row r="7645" spans="1:22" x14ac:dyDescent="0.2">
      <c r="A7645" s="23" t="s">
        <v>9265</v>
      </c>
      <c r="B7645" s="22" t="s">
        <v>33</v>
      </c>
      <c r="C7645" s="22" t="s">
        <v>44</v>
      </c>
      <c r="D7645" s="22" t="s">
        <v>9279</v>
      </c>
      <c r="E7645" s="24" t="s">
        <v>9280</v>
      </c>
      <c r="F7645" s="22" t="s">
        <v>876</v>
      </c>
      <c r="G7645" s="25">
        <f>3804.78+1501</f>
        <v>5305.7800000000007</v>
      </c>
      <c r="H7645" s="22" t="s">
        <v>24</v>
      </c>
      <c r="I7645" s="22">
        <v>1</v>
      </c>
      <c r="J7645" s="22" t="s">
        <v>876</v>
      </c>
      <c r="K7645" s="22" t="s">
        <v>86</v>
      </c>
      <c r="L7645" s="22">
        <v>0</v>
      </c>
      <c r="M7645" s="26">
        <v>420000</v>
      </c>
      <c r="N7645" s="26">
        <v>0</v>
      </c>
      <c r="O7645" s="15">
        <f t="shared" si="727"/>
        <v>420000</v>
      </c>
      <c r="P7645" s="15">
        <f t="shared" si="728"/>
        <v>79.158954951015673</v>
      </c>
      <c r="Q7645" s="25">
        <v>14000</v>
      </c>
      <c r="R7645" s="22">
        <v>47</v>
      </c>
      <c r="S7645" s="22" t="s">
        <v>9287</v>
      </c>
      <c r="T7645" s="22">
        <f t="shared" si="720"/>
        <v>11</v>
      </c>
      <c r="U7645" s="22">
        <f t="shared" si="721"/>
        <v>2023</v>
      </c>
      <c r="V7645" s="22" t="str">
        <f t="shared" si="722"/>
        <v>REGIONES</v>
      </c>
    </row>
    <row r="7646" spans="1:22" x14ac:dyDescent="0.2">
      <c r="A7646" s="23" t="s">
        <v>9265</v>
      </c>
      <c r="B7646" s="22" t="s">
        <v>33</v>
      </c>
      <c r="C7646" s="22" t="s">
        <v>44</v>
      </c>
      <c r="D7646" s="22" t="s">
        <v>37</v>
      </c>
      <c r="E7646" s="24" t="s">
        <v>1576</v>
      </c>
      <c r="F7646" s="22" t="s">
        <v>48</v>
      </c>
      <c r="G7646" s="25">
        <v>2838.16</v>
      </c>
      <c r="H7646" s="22" t="s">
        <v>22</v>
      </c>
      <c r="I7646" s="22">
        <v>0</v>
      </c>
      <c r="J7646" s="22" t="s">
        <v>48</v>
      </c>
      <c r="K7646" s="22" t="s">
        <v>23</v>
      </c>
      <c r="L7646" s="22">
        <v>1</v>
      </c>
      <c r="M7646" s="26">
        <v>69173</v>
      </c>
      <c r="N7646" s="26">
        <v>0</v>
      </c>
      <c r="O7646" s="15">
        <f t="shared" si="727"/>
        <v>69173</v>
      </c>
      <c r="P7646" s="15">
        <f t="shared" si="728"/>
        <v>24.372480762183951</v>
      </c>
      <c r="Q7646" s="25">
        <v>5000</v>
      </c>
      <c r="R7646" s="22">
        <v>57</v>
      </c>
      <c r="S7646" s="22" t="s">
        <v>9281</v>
      </c>
      <c r="T7646" s="22">
        <f t="shared" ref="T7646:T7703" si="729">MONTH(A7646)</f>
        <v>11</v>
      </c>
      <c r="U7646" s="22">
        <f t="shared" ref="U7646:U7703" si="730">YEAR(A7646)</f>
        <v>2023</v>
      </c>
      <c r="V7646" s="22" t="str">
        <f t="shared" ref="V7646:V7703" si="731">IF(K7646="METROPOLITANA DE SANTIAGO","METROPOLITANA","REGIONES")</f>
        <v>METROPOLITANA</v>
      </c>
    </row>
    <row r="7647" spans="1:22" x14ac:dyDescent="0.2">
      <c r="A7647" s="23" t="s">
        <v>9265</v>
      </c>
      <c r="B7647" s="22" t="s">
        <v>33</v>
      </c>
      <c r="C7647" s="22" t="s">
        <v>44</v>
      </c>
      <c r="D7647" s="22" t="s">
        <v>7545</v>
      </c>
      <c r="E7647" s="24" t="s">
        <v>7616</v>
      </c>
      <c r="F7647" s="22" t="s">
        <v>3438</v>
      </c>
      <c r="G7647" s="25">
        <v>7893.5199999999986</v>
      </c>
      <c r="H7647" s="22" t="s">
        <v>24</v>
      </c>
      <c r="I7647" s="22">
        <v>1</v>
      </c>
      <c r="J7647" s="22" t="s">
        <v>3438</v>
      </c>
      <c r="K7647" s="22" t="s">
        <v>93</v>
      </c>
      <c r="L7647" s="22">
        <v>0</v>
      </c>
      <c r="M7647" s="26">
        <v>1000000</v>
      </c>
      <c r="N7647" s="26">
        <v>0</v>
      </c>
      <c r="O7647" s="15">
        <f t="shared" si="727"/>
        <v>1000000</v>
      </c>
      <c r="P7647" s="15">
        <f t="shared" si="728"/>
        <v>126.68619323191683</v>
      </c>
      <c r="Q7647" s="25">
        <v>14000</v>
      </c>
      <c r="R7647" s="22">
        <v>56</v>
      </c>
      <c r="S7647" s="22" t="s">
        <v>9282</v>
      </c>
      <c r="T7647" s="22">
        <f t="shared" si="729"/>
        <v>11</v>
      </c>
      <c r="U7647" s="22">
        <f t="shared" si="730"/>
        <v>2023</v>
      </c>
      <c r="V7647" s="22" t="str">
        <f t="shared" si="731"/>
        <v>REGIONES</v>
      </c>
    </row>
    <row r="7648" spans="1:22" x14ac:dyDescent="0.2">
      <c r="A7648" s="23" t="s">
        <v>9265</v>
      </c>
      <c r="B7648" s="22" t="s">
        <v>33</v>
      </c>
      <c r="C7648" s="22" t="s">
        <v>44</v>
      </c>
      <c r="D7648" s="22" t="s">
        <v>8580</v>
      </c>
      <c r="E7648" s="24" t="s">
        <v>8619</v>
      </c>
      <c r="F7648" s="22" t="s">
        <v>138</v>
      </c>
      <c r="G7648" s="25">
        <v>2704.6</v>
      </c>
      <c r="H7648" s="22" t="s">
        <v>24</v>
      </c>
      <c r="I7648" s="22">
        <v>1</v>
      </c>
      <c r="J7648" s="22" t="s">
        <v>138</v>
      </c>
      <c r="K7648" s="22" t="s">
        <v>23</v>
      </c>
      <c r="L7648" s="22">
        <v>3</v>
      </c>
      <c r="M7648" s="26">
        <v>69173</v>
      </c>
      <c r="N7648" s="26">
        <v>0</v>
      </c>
      <c r="O7648" s="15">
        <f t="shared" si="727"/>
        <v>69173</v>
      </c>
      <c r="P7648" s="15">
        <f t="shared" si="728"/>
        <v>25.576055608962509</v>
      </c>
      <c r="Q7648" s="25">
        <v>5000</v>
      </c>
      <c r="R7648" s="22">
        <v>54</v>
      </c>
      <c r="S7648" s="22" t="s">
        <v>9283</v>
      </c>
      <c r="T7648" s="22">
        <f t="shared" si="729"/>
        <v>11</v>
      </c>
      <c r="U7648" s="22">
        <f t="shared" si="730"/>
        <v>2023</v>
      </c>
      <c r="V7648" s="22" t="str">
        <f t="shared" si="731"/>
        <v>METROPOLITANA</v>
      </c>
    </row>
    <row r="7649" spans="1:22" x14ac:dyDescent="0.2">
      <c r="A7649" s="23" t="s">
        <v>9265</v>
      </c>
      <c r="B7649" s="22" t="s">
        <v>33</v>
      </c>
      <c r="C7649" s="22" t="s">
        <v>44</v>
      </c>
      <c r="D7649" s="22" t="s">
        <v>9084</v>
      </c>
      <c r="E7649" s="24" t="s">
        <v>9085</v>
      </c>
      <c r="F7649" s="22" t="s">
        <v>53</v>
      </c>
      <c r="G7649" s="25">
        <v>2752.6000000000008</v>
      </c>
      <c r="H7649" s="22" t="s">
        <v>24</v>
      </c>
      <c r="I7649" s="22">
        <v>1</v>
      </c>
      <c r="J7649" s="22" t="s">
        <v>53</v>
      </c>
      <c r="K7649" s="22" t="s">
        <v>23</v>
      </c>
      <c r="L7649" s="22">
        <v>3</v>
      </c>
      <c r="M7649" s="26">
        <v>69173</v>
      </c>
      <c r="N7649" s="26">
        <v>0</v>
      </c>
      <c r="O7649" s="15">
        <f t="shared" si="727"/>
        <v>69173</v>
      </c>
      <c r="P7649" s="15">
        <f t="shared" si="728"/>
        <v>25.130058853447643</v>
      </c>
      <c r="Q7649" s="25">
        <v>5000</v>
      </c>
      <c r="R7649" s="22">
        <v>55</v>
      </c>
      <c r="S7649" s="22" t="s">
        <v>9284</v>
      </c>
      <c r="T7649" s="22">
        <f t="shared" si="729"/>
        <v>11</v>
      </c>
      <c r="U7649" s="22">
        <f t="shared" si="730"/>
        <v>2023</v>
      </c>
      <c r="V7649" s="22" t="str">
        <f t="shared" si="731"/>
        <v>METROPOLITANA</v>
      </c>
    </row>
    <row r="7650" spans="1:22" x14ac:dyDescent="0.2">
      <c r="A7650" s="23" t="s">
        <v>9265</v>
      </c>
      <c r="B7650" s="22" t="s">
        <v>33</v>
      </c>
      <c r="C7650" s="22" t="s">
        <v>44</v>
      </c>
      <c r="D7650" s="22" t="s">
        <v>45</v>
      </c>
      <c r="E7650" s="24" t="s">
        <v>49</v>
      </c>
      <c r="F7650" s="22" t="s">
        <v>229</v>
      </c>
      <c r="G7650" s="25">
        <v>3030.97</v>
      </c>
      <c r="H7650" s="22" t="s">
        <v>22</v>
      </c>
      <c r="I7650" s="22">
        <v>0</v>
      </c>
      <c r="J7650" s="22" t="s">
        <v>230</v>
      </c>
      <c r="K7650" s="22" t="s">
        <v>23</v>
      </c>
      <c r="L7650" s="22">
        <v>4</v>
      </c>
      <c r="M7650" s="26">
        <v>69173</v>
      </c>
      <c r="N7650" s="26">
        <v>0</v>
      </c>
      <c r="O7650" s="15">
        <f t="shared" si="727"/>
        <v>69173</v>
      </c>
      <c r="P7650" s="15">
        <f t="shared" si="728"/>
        <v>22.822066863083435</v>
      </c>
      <c r="Q7650" s="25">
        <v>5000</v>
      </c>
      <c r="R7650" s="22">
        <v>61</v>
      </c>
      <c r="S7650" s="22" t="s">
        <v>9285</v>
      </c>
      <c r="T7650" s="22">
        <f t="shared" si="729"/>
        <v>11</v>
      </c>
      <c r="U7650" s="22">
        <f t="shared" si="730"/>
        <v>2023</v>
      </c>
      <c r="V7650" s="22" t="str">
        <f t="shared" si="731"/>
        <v>METROPOLITANA</v>
      </c>
    </row>
    <row r="7651" spans="1:22" x14ac:dyDescent="0.2">
      <c r="A7651" s="23" t="s">
        <v>9265</v>
      </c>
      <c r="B7651" s="22" t="s">
        <v>33</v>
      </c>
      <c r="C7651" s="22" t="s">
        <v>44</v>
      </c>
      <c r="D7651" s="22" t="s">
        <v>20</v>
      </c>
      <c r="E7651" s="24" t="s">
        <v>21</v>
      </c>
      <c r="F7651" s="22" t="s">
        <v>137</v>
      </c>
      <c r="G7651" s="25">
        <v>2545.7800000000002</v>
      </c>
      <c r="H7651" s="22" t="s">
        <v>22</v>
      </c>
      <c r="I7651" s="22">
        <v>0</v>
      </c>
      <c r="J7651" s="22" t="s">
        <v>137</v>
      </c>
      <c r="K7651" s="22" t="s">
        <v>23</v>
      </c>
      <c r="L7651" s="22">
        <v>1</v>
      </c>
      <c r="M7651" s="26">
        <v>69173</v>
      </c>
      <c r="N7651" s="26">
        <v>0</v>
      </c>
      <c r="O7651" s="15">
        <f t="shared" si="727"/>
        <v>69173</v>
      </c>
      <c r="P7651" s="15">
        <f t="shared" si="728"/>
        <v>27.171633055487902</v>
      </c>
      <c r="Q7651" s="25">
        <v>5000</v>
      </c>
      <c r="R7651" s="22">
        <v>51</v>
      </c>
      <c r="S7651" s="22" t="s">
        <v>9286</v>
      </c>
      <c r="T7651" s="22">
        <f t="shared" si="729"/>
        <v>11</v>
      </c>
      <c r="U7651" s="22">
        <f t="shared" si="730"/>
        <v>2023</v>
      </c>
      <c r="V7651" s="22" t="str">
        <f t="shared" si="731"/>
        <v>METROPOLITANA</v>
      </c>
    </row>
    <row r="7652" spans="1:22" s="12" customFormat="1" x14ac:dyDescent="0.2">
      <c r="A7652" s="11" t="s">
        <v>9288</v>
      </c>
      <c r="B7652" s="12" t="s">
        <v>18</v>
      </c>
      <c r="C7652" s="12" t="s">
        <v>8229</v>
      </c>
      <c r="D7652" s="12" t="s">
        <v>8219</v>
      </c>
      <c r="E7652" s="13">
        <v>73835526</v>
      </c>
      <c r="F7652" s="12" t="s">
        <v>26</v>
      </c>
      <c r="G7652" s="14">
        <v>14163.89</v>
      </c>
      <c r="H7652" s="12" t="s">
        <v>24</v>
      </c>
      <c r="I7652" s="12">
        <v>1</v>
      </c>
      <c r="J7652" s="12" t="s">
        <v>26</v>
      </c>
      <c r="K7652" s="12" t="s">
        <v>23</v>
      </c>
      <c r="L7652" s="12">
        <v>4</v>
      </c>
      <c r="M7652" s="15">
        <v>155803</v>
      </c>
      <c r="N7652" s="15">
        <v>0</v>
      </c>
      <c r="O7652" s="15">
        <f t="shared" ref="O7652:O7675" si="732">SUM(M7652:N7652)</f>
        <v>155803</v>
      </c>
      <c r="P7652" s="15">
        <f t="shared" ref="P7652:P7675" si="733">O7652/G7652</f>
        <v>11.000014826435393</v>
      </c>
      <c r="Q7652" s="14">
        <v>5000</v>
      </c>
      <c r="R7652" s="12">
        <v>100</v>
      </c>
      <c r="S7652" s="12" t="s">
        <v>9289</v>
      </c>
      <c r="T7652" s="12">
        <f t="shared" si="729"/>
        <v>11</v>
      </c>
      <c r="U7652" s="12">
        <f t="shared" si="730"/>
        <v>2023</v>
      </c>
      <c r="V7652" s="12" t="str">
        <f t="shared" si="731"/>
        <v>METROPOLITANA</v>
      </c>
    </row>
    <row r="7653" spans="1:22" s="12" customFormat="1" x14ac:dyDescent="0.2">
      <c r="A7653" s="11" t="s">
        <v>9288</v>
      </c>
      <c r="B7653" s="12" t="s">
        <v>33</v>
      </c>
      <c r="C7653" s="12" t="s">
        <v>128</v>
      </c>
      <c r="D7653" s="12" t="s">
        <v>45</v>
      </c>
      <c r="E7653" s="13">
        <v>107643206</v>
      </c>
      <c r="F7653" s="12" t="s">
        <v>58</v>
      </c>
      <c r="G7653" s="14">
        <v>4106.8799999999992</v>
      </c>
      <c r="H7653" s="12" t="s">
        <v>22</v>
      </c>
      <c r="I7653" s="12">
        <v>0</v>
      </c>
      <c r="J7653" s="12" t="s">
        <v>58</v>
      </c>
      <c r="K7653" s="12" t="s">
        <v>23</v>
      </c>
      <c r="L7653" s="12">
        <v>5</v>
      </c>
      <c r="M7653" s="15">
        <v>112500</v>
      </c>
      <c r="N7653" s="15">
        <v>0</v>
      </c>
      <c r="O7653" s="15">
        <f t="shared" si="732"/>
        <v>112500</v>
      </c>
      <c r="P7653" s="15">
        <f t="shared" si="733"/>
        <v>27.393057503506316</v>
      </c>
      <c r="Q7653" s="14">
        <v>10000</v>
      </c>
      <c r="R7653" s="12">
        <v>65</v>
      </c>
      <c r="S7653" s="12" t="s">
        <v>9313</v>
      </c>
      <c r="T7653" s="12">
        <f t="shared" si="729"/>
        <v>11</v>
      </c>
      <c r="U7653" s="12">
        <f t="shared" si="730"/>
        <v>2023</v>
      </c>
      <c r="V7653" s="12" t="str">
        <f t="shared" si="731"/>
        <v>METROPOLITANA</v>
      </c>
    </row>
    <row r="7654" spans="1:22" s="12" customFormat="1" x14ac:dyDescent="0.2">
      <c r="A7654" s="11" t="s">
        <v>9288</v>
      </c>
      <c r="B7654" s="12" t="s">
        <v>33</v>
      </c>
      <c r="C7654" s="12" t="s">
        <v>8229</v>
      </c>
      <c r="D7654" s="12" t="s">
        <v>20</v>
      </c>
      <c r="E7654" s="13">
        <v>78907355</v>
      </c>
      <c r="F7654" s="12" t="s">
        <v>165</v>
      </c>
      <c r="G7654" s="14">
        <v>3911.5</v>
      </c>
      <c r="H7654" s="12" t="s">
        <v>22</v>
      </c>
      <c r="I7654" s="12">
        <v>0</v>
      </c>
      <c r="J7654" s="12" t="s">
        <v>165</v>
      </c>
      <c r="K7654" s="12" t="s">
        <v>23</v>
      </c>
      <c r="L7654" s="12">
        <v>4</v>
      </c>
      <c r="M7654" s="15">
        <v>69173</v>
      </c>
      <c r="N7654" s="15">
        <v>0</v>
      </c>
      <c r="O7654" s="15">
        <f t="shared" si="732"/>
        <v>69173</v>
      </c>
      <c r="P7654" s="15">
        <f t="shared" si="733"/>
        <v>17.684520005113129</v>
      </c>
      <c r="Q7654" s="14">
        <v>5000</v>
      </c>
      <c r="R7654" s="12">
        <v>78</v>
      </c>
      <c r="S7654" s="12" t="s">
        <v>9290</v>
      </c>
      <c r="T7654" s="12">
        <f t="shared" si="729"/>
        <v>11</v>
      </c>
      <c r="U7654" s="12">
        <f t="shared" si="730"/>
        <v>2023</v>
      </c>
      <c r="V7654" s="12" t="str">
        <f t="shared" si="731"/>
        <v>METROPOLITANA</v>
      </c>
    </row>
    <row r="7655" spans="1:22" s="12" customFormat="1" x14ac:dyDescent="0.2">
      <c r="A7655" s="11" t="s">
        <v>9288</v>
      </c>
      <c r="B7655" s="12" t="s">
        <v>33</v>
      </c>
      <c r="C7655" s="12" t="s">
        <v>29</v>
      </c>
      <c r="D7655" s="12" t="s">
        <v>5478</v>
      </c>
      <c r="E7655" s="13">
        <v>122975819</v>
      </c>
      <c r="F7655" s="12" t="s">
        <v>132</v>
      </c>
      <c r="G7655" s="14">
        <v>11704.400000000011</v>
      </c>
      <c r="H7655" s="12" t="s">
        <v>24</v>
      </c>
      <c r="I7655" s="12">
        <v>1</v>
      </c>
      <c r="J7655" s="12" t="s">
        <v>132</v>
      </c>
      <c r="K7655" s="12" t="s">
        <v>124</v>
      </c>
      <c r="L7655" s="12">
        <v>0</v>
      </c>
      <c r="M7655" s="15">
        <v>500000</v>
      </c>
      <c r="N7655" s="15">
        <v>0</v>
      </c>
      <c r="O7655" s="15">
        <f t="shared" si="732"/>
        <v>500000</v>
      </c>
      <c r="P7655" s="15">
        <f t="shared" si="733"/>
        <v>42.718977478555033</v>
      </c>
      <c r="Q7655" s="14">
        <v>14000</v>
      </c>
      <c r="R7655" s="12">
        <v>84</v>
      </c>
      <c r="S7655" s="12" t="s">
        <v>9291</v>
      </c>
      <c r="T7655" s="12">
        <f t="shared" si="729"/>
        <v>11</v>
      </c>
      <c r="U7655" s="12">
        <f t="shared" si="730"/>
        <v>2023</v>
      </c>
      <c r="V7655" s="12" t="str">
        <f t="shared" si="731"/>
        <v>REGIONES</v>
      </c>
    </row>
    <row r="7656" spans="1:22" s="12" customFormat="1" x14ac:dyDescent="0.2">
      <c r="A7656" s="11" t="s">
        <v>9288</v>
      </c>
      <c r="B7656" s="12" t="s">
        <v>33</v>
      </c>
      <c r="C7656" s="12" t="s">
        <v>29</v>
      </c>
      <c r="D7656" s="12" t="s">
        <v>164</v>
      </c>
      <c r="E7656" s="13">
        <v>154837728</v>
      </c>
      <c r="F7656" s="12" t="s">
        <v>39</v>
      </c>
      <c r="G7656" s="14">
        <v>13743.599999999989</v>
      </c>
      <c r="H7656" s="12" t="s">
        <v>22</v>
      </c>
      <c r="I7656" s="12">
        <v>1</v>
      </c>
      <c r="J7656" s="12" t="s">
        <v>39</v>
      </c>
      <c r="K7656" s="12" t="s">
        <v>23</v>
      </c>
      <c r="L7656" s="12">
        <v>1</v>
      </c>
      <c r="M7656" s="15">
        <v>151180</v>
      </c>
      <c r="N7656" s="15">
        <v>0</v>
      </c>
      <c r="O7656" s="15">
        <f t="shared" si="732"/>
        <v>151180</v>
      </c>
      <c r="P7656" s="15">
        <f t="shared" si="733"/>
        <v>11.000029104455901</v>
      </c>
      <c r="Q7656" s="14">
        <v>5000</v>
      </c>
      <c r="R7656" s="12">
        <v>100</v>
      </c>
      <c r="S7656" s="12" t="s">
        <v>9292</v>
      </c>
      <c r="T7656" s="12">
        <f t="shared" si="729"/>
        <v>11</v>
      </c>
      <c r="U7656" s="12">
        <f t="shared" si="730"/>
        <v>2023</v>
      </c>
      <c r="V7656" s="12" t="str">
        <f t="shared" si="731"/>
        <v>METROPOLITANA</v>
      </c>
    </row>
    <row r="7657" spans="1:22" s="12" customFormat="1" x14ac:dyDescent="0.2">
      <c r="A7657" s="11" t="s">
        <v>9288</v>
      </c>
      <c r="B7657" s="12" t="s">
        <v>33</v>
      </c>
      <c r="C7657" s="12" t="s">
        <v>29</v>
      </c>
      <c r="D7657" s="12" t="s">
        <v>4733</v>
      </c>
      <c r="E7657" s="13">
        <v>93321006</v>
      </c>
      <c r="F7657" s="12" t="s">
        <v>132</v>
      </c>
      <c r="G7657" s="14">
        <v>12151.8</v>
      </c>
      <c r="H7657" s="12" t="s">
        <v>24</v>
      </c>
      <c r="I7657" s="12">
        <v>1</v>
      </c>
      <c r="J7657" s="12" t="s">
        <v>132</v>
      </c>
      <c r="K7657" s="12" t="s">
        <v>124</v>
      </c>
      <c r="L7657" s="12">
        <v>0</v>
      </c>
      <c r="M7657" s="15">
        <v>500000</v>
      </c>
      <c r="N7657" s="15">
        <v>0</v>
      </c>
      <c r="O7657" s="15">
        <f t="shared" si="732"/>
        <v>500000</v>
      </c>
      <c r="P7657" s="15">
        <f t="shared" si="733"/>
        <v>41.146167645945461</v>
      </c>
      <c r="Q7657" s="14">
        <v>14000</v>
      </c>
      <c r="R7657" s="12">
        <v>87</v>
      </c>
      <c r="S7657" s="12" t="s">
        <v>9293</v>
      </c>
      <c r="T7657" s="12">
        <f t="shared" si="729"/>
        <v>11</v>
      </c>
      <c r="U7657" s="12">
        <f t="shared" si="730"/>
        <v>2023</v>
      </c>
      <c r="V7657" s="12" t="str">
        <f t="shared" si="731"/>
        <v>REGIONES</v>
      </c>
    </row>
    <row r="7658" spans="1:22" s="12" customFormat="1" x14ac:dyDescent="0.2">
      <c r="A7658" s="11" t="s">
        <v>9288</v>
      </c>
      <c r="B7658" s="12" t="s">
        <v>33</v>
      </c>
      <c r="C7658" s="12" t="s">
        <v>44</v>
      </c>
      <c r="D7658" s="12" t="s">
        <v>38</v>
      </c>
      <c r="E7658" s="13">
        <v>125108660</v>
      </c>
      <c r="F7658" s="12" t="s">
        <v>173</v>
      </c>
      <c r="G7658" s="14">
        <v>4799.6000000000004</v>
      </c>
      <c r="H7658" s="12" t="s">
        <v>43</v>
      </c>
      <c r="I7658" s="12">
        <v>0</v>
      </c>
      <c r="J7658" s="12" t="s">
        <v>173</v>
      </c>
      <c r="K7658" s="12" t="s">
        <v>23</v>
      </c>
      <c r="L7658" s="12">
        <v>5</v>
      </c>
      <c r="M7658" s="15">
        <v>112500</v>
      </c>
      <c r="N7658" s="15">
        <v>0</v>
      </c>
      <c r="O7658" s="15">
        <f t="shared" si="732"/>
        <v>112500</v>
      </c>
      <c r="P7658" s="15">
        <f t="shared" si="733"/>
        <v>23.439453287773979</v>
      </c>
      <c r="Q7658" s="14">
        <v>10000</v>
      </c>
      <c r="R7658" s="12">
        <v>48</v>
      </c>
      <c r="S7658" s="12" t="s">
        <v>9294</v>
      </c>
      <c r="T7658" s="12">
        <f t="shared" si="729"/>
        <v>11</v>
      </c>
      <c r="U7658" s="12">
        <f t="shared" si="730"/>
        <v>2023</v>
      </c>
      <c r="V7658" s="12" t="str">
        <f t="shared" si="731"/>
        <v>METROPOLITANA</v>
      </c>
    </row>
    <row r="7659" spans="1:22" s="12" customFormat="1" x14ac:dyDescent="0.2">
      <c r="A7659" s="11" t="s">
        <v>9288</v>
      </c>
      <c r="B7659" s="12" t="s">
        <v>33</v>
      </c>
      <c r="C7659" s="12" t="s">
        <v>44</v>
      </c>
      <c r="D7659" s="12" t="s">
        <v>8580</v>
      </c>
      <c r="E7659" s="13">
        <v>276544777</v>
      </c>
      <c r="F7659" s="12" t="s">
        <v>134</v>
      </c>
      <c r="G7659" s="14">
        <v>2495.62</v>
      </c>
      <c r="H7659" s="12" t="s">
        <v>24</v>
      </c>
      <c r="I7659" s="12">
        <v>1</v>
      </c>
      <c r="J7659" s="12" t="s">
        <v>134</v>
      </c>
      <c r="K7659" s="12" t="s">
        <v>23</v>
      </c>
      <c r="L7659" s="12">
        <v>2</v>
      </c>
      <c r="M7659" s="15">
        <v>69173</v>
      </c>
      <c r="N7659" s="15">
        <v>0</v>
      </c>
      <c r="O7659" s="15">
        <f t="shared" si="732"/>
        <v>69173</v>
      </c>
      <c r="P7659" s="15">
        <f t="shared" si="733"/>
        <v>27.717761518179852</v>
      </c>
      <c r="Q7659" s="14">
        <v>5000</v>
      </c>
      <c r="R7659" s="12">
        <v>50</v>
      </c>
      <c r="S7659" s="12" t="s">
        <v>9295</v>
      </c>
      <c r="T7659" s="12">
        <f t="shared" si="729"/>
        <v>11</v>
      </c>
      <c r="U7659" s="12">
        <f t="shared" si="730"/>
        <v>2023</v>
      </c>
      <c r="V7659" s="12" t="str">
        <f t="shared" si="731"/>
        <v>METROPOLITANA</v>
      </c>
    </row>
    <row r="7660" spans="1:22" s="12" customFormat="1" x14ac:dyDescent="0.2">
      <c r="A7660" s="11" t="s">
        <v>9288</v>
      </c>
      <c r="B7660" s="12" t="s">
        <v>33</v>
      </c>
      <c r="C7660" s="12" t="s">
        <v>44</v>
      </c>
      <c r="D7660" s="12" t="s">
        <v>9084</v>
      </c>
      <c r="E7660" s="13">
        <v>256738929</v>
      </c>
      <c r="F7660" s="12" t="s">
        <v>182</v>
      </c>
      <c r="G7660" s="14">
        <v>2672.02</v>
      </c>
      <c r="H7660" s="12" t="s">
        <v>24</v>
      </c>
      <c r="I7660" s="12">
        <v>1</v>
      </c>
      <c r="J7660" s="12" t="s">
        <v>182</v>
      </c>
      <c r="K7660" s="12" t="s">
        <v>23</v>
      </c>
      <c r="L7660" s="12">
        <v>4</v>
      </c>
      <c r="M7660" s="15">
        <v>69173</v>
      </c>
      <c r="N7660" s="15">
        <v>0</v>
      </c>
      <c r="O7660" s="15">
        <f t="shared" si="732"/>
        <v>69173</v>
      </c>
      <c r="P7660" s="15">
        <f t="shared" si="733"/>
        <v>25.88790503065097</v>
      </c>
      <c r="Q7660" s="14">
        <v>5000</v>
      </c>
      <c r="R7660" s="12">
        <v>53</v>
      </c>
      <c r="S7660" s="12" t="s">
        <v>9296</v>
      </c>
      <c r="T7660" s="12">
        <f t="shared" si="729"/>
        <v>11</v>
      </c>
      <c r="U7660" s="12">
        <f t="shared" si="730"/>
        <v>2023</v>
      </c>
      <c r="V7660" s="12" t="str">
        <f t="shared" si="731"/>
        <v>METROPOLITANA</v>
      </c>
    </row>
    <row r="7661" spans="1:22" s="12" customFormat="1" x14ac:dyDescent="0.2">
      <c r="A7661" s="11" t="s">
        <v>9288</v>
      </c>
      <c r="B7661" s="12" t="s">
        <v>33</v>
      </c>
      <c r="C7661" s="12" t="s">
        <v>44</v>
      </c>
      <c r="D7661" s="12" t="s">
        <v>45</v>
      </c>
      <c r="E7661" s="13">
        <v>107643206</v>
      </c>
      <c r="F7661" s="12" t="s">
        <v>129</v>
      </c>
      <c r="G7661" s="14">
        <v>2340.08</v>
      </c>
      <c r="H7661" s="12" t="s">
        <v>22</v>
      </c>
      <c r="I7661" s="12">
        <v>0</v>
      </c>
      <c r="J7661" s="12" t="s">
        <v>129</v>
      </c>
      <c r="K7661" s="12" t="s">
        <v>23</v>
      </c>
      <c r="L7661" s="12">
        <v>1</v>
      </c>
      <c r="M7661" s="15">
        <v>69173</v>
      </c>
      <c r="N7661" s="15">
        <v>0</v>
      </c>
      <c r="O7661" s="15">
        <f t="shared" si="732"/>
        <v>69173</v>
      </c>
      <c r="P7661" s="15">
        <f t="shared" si="733"/>
        <v>29.560100509384295</v>
      </c>
      <c r="Q7661" s="14">
        <v>5000</v>
      </c>
      <c r="R7661" s="12">
        <v>47</v>
      </c>
      <c r="S7661" s="12" t="s">
        <v>9297</v>
      </c>
      <c r="T7661" s="12">
        <f t="shared" si="729"/>
        <v>11</v>
      </c>
      <c r="U7661" s="12">
        <f t="shared" si="730"/>
        <v>2023</v>
      </c>
      <c r="V7661" s="12" t="str">
        <f t="shared" si="731"/>
        <v>METROPOLITANA</v>
      </c>
    </row>
    <row r="7662" spans="1:22" s="12" customFormat="1" x14ac:dyDescent="0.2">
      <c r="A7662" s="11" t="s">
        <v>9288</v>
      </c>
      <c r="B7662" s="12" t="s">
        <v>33</v>
      </c>
      <c r="C7662" s="12" t="s">
        <v>44</v>
      </c>
      <c r="D7662" s="12" t="s">
        <v>8808</v>
      </c>
      <c r="E7662" s="13">
        <v>124860342</v>
      </c>
      <c r="F7662" s="12" t="s">
        <v>132</v>
      </c>
      <c r="G7662" s="14">
        <v>5577.28</v>
      </c>
      <c r="H7662" s="12" t="s">
        <v>24</v>
      </c>
      <c r="I7662" s="12">
        <v>1</v>
      </c>
      <c r="J7662" s="12" t="s">
        <v>132</v>
      </c>
      <c r="K7662" s="12" t="s">
        <v>124</v>
      </c>
      <c r="L7662" s="12">
        <v>0</v>
      </c>
      <c r="M7662" s="15">
        <v>500000</v>
      </c>
      <c r="N7662" s="15">
        <v>0</v>
      </c>
      <c r="O7662" s="15">
        <f t="shared" si="732"/>
        <v>500000</v>
      </c>
      <c r="P7662" s="15">
        <f t="shared" si="733"/>
        <v>89.649434849962716</v>
      </c>
      <c r="Q7662" s="14">
        <v>14000</v>
      </c>
      <c r="R7662" s="12">
        <v>40</v>
      </c>
      <c r="S7662" s="12" t="s">
        <v>9298</v>
      </c>
      <c r="T7662" s="12">
        <f t="shared" si="729"/>
        <v>11</v>
      </c>
      <c r="U7662" s="12">
        <f t="shared" si="730"/>
        <v>2023</v>
      </c>
      <c r="V7662" s="12" t="str">
        <f t="shared" si="731"/>
        <v>REGIONES</v>
      </c>
    </row>
    <row r="7663" spans="1:22" s="12" customFormat="1" x14ac:dyDescent="0.2">
      <c r="A7663" s="11" t="s">
        <v>9288</v>
      </c>
      <c r="B7663" s="12" t="s">
        <v>33</v>
      </c>
      <c r="C7663" s="12" t="s">
        <v>44</v>
      </c>
      <c r="D7663" s="12" t="s">
        <v>20</v>
      </c>
      <c r="E7663" s="13">
        <v>78907355</v>
      </c>
      <c r="F7663" s="12" t="s">
        <v>51</v>
      </c>
      <c r="G7663" s="14">
        <v>1845.22</v>
      </c>
      <c r="H7663" s="12" t="s">
        <v>22</v>
      </c>
      <c r="I7663" s="12">
        <v>0</v>
      </c>
      <c r="J7663" s="12" t="s">
        <v>51</v>
      </c>
      <c r="K7663" s="12" t="s">
        <v>23</v>
      </c>
      <c r="L7663" s="12">
        <v>4</v>
      </c>
      <c r="M7663" s="15">
        <v>69173</v>
      </c>
      <c r="N7663" s="15">
        <v>0</v>
      </c>
      <c r="O7663" s="15">
        <f t="shared" si="732"/>
        <v>69173</v>
      </c>
      <c r="P7663" s="15">
        <f t="shared" si="733"/>
        <v>37.487670846836693</v>
      </c>
      <c r="Q7663" s="14">
        <v>5000</v>
      </c>
      <c r="R7663" s="12">
        <v>37</v>
      </c>
      <c r="S7663" s="12" t="s">
        <v>9299</v>
      </c>
      <c r="T7663" s="12">
        <f t="shared" si="729"/>
        <v>11</v>
      </c>
      <c r="U7663" s="12">
        <f t="shared" si="730"/>
        <v>2023</v>
      </c>
      <c r="V7663" s="12" t="str">
        <f t="shared" si="731"/>
        <v>METROPOLITANA</v>
      </c>
    </row>
    <row r="7664" spans="1:22" x14ac:dyDescent="0.2">
      <c r="A7664" s="23" t="s">
        <v>9300</v>
      </c>
      <c r="B7664" s="22" t="s">
        <v>18</v>
      </c>
      <c r="C7664" s="22" t="s">
        <v>57</v>
      </c>
      <c r="D7664" s="22" t="s">
        <v>9301</v>
      </c>
      <c r="E7664" s="24">
        <v>78907355</v>
      </c>
      <c r="F7664" s="22" t="s">
        <v>800</v>
      </c>
      <c r="G7664" s="25">
        <v>3766.52</v>
      </c>
      <c r="H7664" s="22" t="s">
        <v>24</v>
      </c>
      <c r="I7664" s="22">
        <v>1</v>
      </c>
      <c r="J7664" s="22" t="s">
        <v>800</v>
      </c>
      <c r="K7664" s="22" t="s">
        <v>23</v>
      </c>
      <c r="L7664" s="22">
        <v>5</v>
      </c>
      <c r="M7664" s="26">
        <v>180000</v>
      </c>
      <c r="N7664" s="26">
        <v>0</v>
      </c>
      <c r="O7664" s="15">
        <f t="shared" si="732"/>
        <v>180000</v>
      </c>
      <c r="P7664" s="15">
        <f t="shared" si="733"/>
        <v>47.789471448445781</v>
      </c>
      <c r="Q7664" s="25">
        <v>10000</v>
      </c>
      <c r="R7664" s="22">
        <v>38</v>
      </c>
      <c r="S7664" s="22" t="s">
        <v>9302</v>
      </c>
      <c r="T7664" s="22">
        <f t="shared" si="729"/>
        <v>11</v>
      </c>
      <c r="U7664" s="22">
        <f t="shared" si="730"/>
        <v>2023</v>
      </c>
      <c r="V7664" s="22" t="str">
        <f t="shared" si="731"/>
        <v>METROPOLITANA</v>
      </c>
    </row>
    <row r="7665" spans="1:22" x14ac:dyDescent="0.2">
      <c r="A7665" s="23" t="s">
        <v>9300</v>
      </c>
      <c r="B7665" s="22" t="s">
        <v>18</v>
      </c>
      <c r="C7665" s="22" t="s">
        <v>4400</v>
      </c>
      <c r="D7665" s="22" t="s">
        <v>38</v>
      </c>
      <c r="E7665" s="24">
        <v>125108660</v>
      </c>
      <c r="F7665" s="22" t="s">
        <v>8185</v>
      </c>
      <c r="G7665" s="25">
        <v>10433.450000000001</v>
      </c>
      <c r="H7665" s="22" t="s">
        <v>43</v>
      </c>
      <c r="I7665" s="22">
        <v>0</v>
      </c>
      <c r="J7665" s="22" t="s">
        <v>8185</v>
      </c>
      <c r="K7665" s="22" t="s">
        <v>171</v>
      </c>
      <c r="L7665" s="22">
        <v>0</v>
      </c>
      <c r="M7665" s="26">
        <v>250000</v>
      </c>
      <c r="N7665" s="26">
        <v>0</v>
      </c>
      <c r="O7665" s="15">
        <f t="shared" si="732"/>
        <v>250000</v>
      </c>
      <c r="P7665" s="15">
        <f t="shared" si="733"/>
        <v>23.961393402949167</v>
      </c>
      <c r="Q7665" s="25">
        <v>14000</v>
      </c>
      <c r="R7665" s="22">
        <v>75</v>
      </c>
      <c r="S7665" s="22" t="s">
        <v>9303</v>
      </c>
      <c r="T7665" s="22">
        <f t="shared" si="729"/>
        <v>11</v>
      </c>
      <c r="U7665" s="22">
        <f t="shared" si="730"/>
        <v>2023</v>
      </c>
      <c r="V7665" s="22" t="str">
        <f t="shared" si="731"/>
        <v>REGIONES</v>
      </c>
    </row>
    <row r="7666" spans="1:22" x14ac:dyDescent="0.2">
      <c r="A7666" s="23" t="s">
        <v>9300</v>
      </c>
      <c r="B7666" s="22" t="s">
        <v>18</v>
      </c>
      <c r="C7666" s="22" t="s">
        <v>29</v>
      </c>
      <c r="D7666" s="22" t="s">
        <v>786</v>
      </c>
      <c r="E7666" s="24">
        <v>95707734</v>
      </c>
      <c r="F7666" s="22" t="s">
        <v>8185</v>
      </c>
      <c r="G7666" s="25">
        <v>10978.24</v>
      </c>
      <c r="H7666" s="22" t="s">
        <v>788</v>
      </c>
      <c r="I7666" s="22">
        <v>1</v>
      </c>
      <c r="J7666" s="22" t="s">
        <v>8185</v>
      </c>
      <c r="K7666" s="22" t="s">
        <v>171</v>
      </c>
      <c r="L7666" s="22">
        <v>0</v>
      </c>
      <c r="M7666" s="26">
        <v>320000</v>
      </c>
      <c r="N7666" s="26">
        <v>0</v>
      </c>
      <c r="O7666" s="15">
        <f t="shared" si="732"/>
        <v>320000</v>
      </c>
      <c r="P7666" s="15">
        <f t="shared" si="733"/>
        <v>29.148570262628617</v>
      </c>
      <c r="Q7666" s="25">
        <v>14000</v>
      </c>
      <c r="R7666" s="22">
        <v>78</v>
      </c>
      <c r="S7666" s="22" t="s">
        <v>9304</v>
      </c>
      <c r="T7666" s="22">
        <f t="shared" si="729"/>
        <v>11</v>
      </c>
      <c r="U7666" s="22">
        <f t="shared" si="730"/>
        <v>2023</v>
      </c>
      <c r="V7666" s="22" t="str">
        <f t="shared" si="731"/>
        <v>REGIONES</v>
      </c>
    </row>
    <row r="7667" spans="1:22" x14ac:dyDescent="0.2">
      <c r="A7667" s="23" t="s">
        <v>9300</v>
      </c>
      <c r="B7667" s="22" t="s">
        <v>33</v>
      </c>
      <c r="C7667" s="22" t="s">
        <v>9305</v>
      </c>
      <c r="D7667" s="22" t="s">
        <v>20</v>
      </c>
      <c r="E7667" s="24">
        <v>78907355</v>
      </c>
      <c r="F7667" s="22" t="s">
        <v>129</v>
      </c>
      <c r="G7667" s="25">
        <v>5346.88</v>
      </c>
      <c r="H7667" s="22" t="s">
        <v>22</v>
      </c>
      <c r="I7667" s="22">
        <v>0</v>
      </c>
      <c r="J7667" s="22" t="s">
        <v>129</v>
      </c>
      <c r="K7667" s="22" t="s">
        <v>23</v>
      </c>
      <c r="L7667" s="22">
        <v>1</v>
      </c>
      <c r="M7667" s="26">
        <v>58816</v>
      </c>
      <c r="N7667" s="26">
        <v>0</v>
      </c>
      <c r="O7667" s="15">
        <f t="shared" si="732"/>
        <v>58816</v>
      </c>
      <c r="P7667" s="15">
        <f t="shared" si="733"/>
        <v>11.000059847986115</v>
      </c>
      <c r="Q7667" s="25">
        <v>5000</v>
      </c>
      <c r="R7667" s="22">
        <v>100</v>
      </c>
      <c r="S7667" s="22" t="s">
        <v>9306</v>
      </c>
      <c r="T7667" s="22">
        <f t="shared" si="729"/>
        <v>11</v>
      </c>
      <c r="U7667" s="22">
        <f t="shared" si="730"/>
        <v>2023</v>
      </c>
      <c r="V7667" s="22" t="str">
        <f t="shared" si="731"/>
        <v>METROPOLITANA</v>
      </c>
    </row>
    <row r="7668" spans="1:22" x14ac:dyDescent="0.2">
      <c r="A7668" s="23" t="s">
        <v>9300</v>
      </c>
      <c r="B7668" s="22" t="s">
        <v>33</v>
      </c>
      <c r="C7668" s="22" t="s">
        <v>223</v>
      </c>
      <c r="D7668" s="22" t="s">
        <v>6595</v>
      </c>
      <c r="E7668" s="24">
        <v>104157505</v>
      </c>
      <c r="F7668" s="22" t="s">
        <v>92</v>
      </c>
      <c r="G7668" s="25">
        <v>16950</v>
      </c>
      <c r="H7668" s="22" t="s">
        <v>24</v>
      </c>
      <c r="I7668" s="22">
        <v>1</v>
      </c>
      <c r="J7668" s="22" t="s">
        <v>92</v>
      </c>
      <c r="K7668" s="22" t="s">
        <v>93</v>
      </c>
      <c r="L7668" s="22">
        <v>0</v>
      </c>
      <c r="M7668" s="26">
        <v>900000</v>
      </c>
      <c r="N7668" s="26">
        <v>0</v>
      </c>
      <c r="O7668" s="15">
        <f t="shared" si="732"/>
        <v>900000</v>
      </c>
      <c r="P7668" s="15">
        <f t="shared" si="733"/>
        <v>53.097345132743364</v>
      </c>
      <c r="Q7668" s="25">
        <v>14000</v>
      </c>
      <c r="R7668" s="22">
        <v>100</v>
      </c>
      <c r="S7668" s="22" t="s">
        <v>9307</v>
      </c>
      <c r="T7668" s="22">
        <f t="shared" si="729"/>
        <v>11</v>
      </c>
      <c r="U7668" s="22">
        <f t="shared" si="730"/>
        <v>2023</v>
      </c>
      <c r="V7668" s="22" t="str">
        <f t="shared" si="731"/>
        <v>REGIONES</v>
      </c>
    </row>
    <row r="7669" spans="1:22" x14ac:dyDescent="0.2">
      <c r="A7669" s="23" t="s">
        <v>9300</v>
      </c>
      <c r="B7669" s="22" t="s">
        <v>33</v>
      </c>
      <c r="C7669" s="22" t="s">
        <v>7148</v>
      </c>
      <c r="D7669" s="22" t="s">
        <v>8219</v>
      </c>
      <c r="E7669" s="24">
        <v>73835526</v>
      </c>
      <c r="F7669" s="22" t="s">
        <v>129</v>
      </c>
      <c r="G7669" s="25">
        <v>2923.53</v>
      </c>
      <c r="H7669" s="22" t="s">
        <v>24</v>
      </c>
      <c r="I7669" s="22">
        <v>1</v>
      </c>
      <c r="J7669" s="22" t="s">
        <v>129</v>
      </c>
      <c r="K7669" s="22" t="s">
        <v>23</v>
      </c>
      <c r="L7669" s="22">
        <v>1</v>
      </c>
      <c r="M7669" s="26">
        <v>69173</v>
      </c>
      <c r="N7669" s="26">
        <v>0</v>
      </c>
      <c r="O7669" s="15">
        <f t="shared" si="732"/>
        <v>69173</v>
      </c>
      <c r="P7669" s="15">
        <f t="shared" si="733"/>
        <v>23.660779947529186</v>
      </c>
      <c r="Q7669" s="25">
        <v>5000</v>
      </c>
      <c r="R7669" s="22">
        <v>58</v>
      </c>
      <c r="S7669" s="22" t="s">
        <v>9308</v>
      </c>
      <c r="T7669" s="22">
        <f t="shared" si="729"/>
        <v>11</v>
      </c>
      <c r="U7669" s="22">
        <f t="shared" si="730"/>
        <v>2023</v>
      </c>
      <c r="V7669" s="22" t="str">
        <f t="shared" si="731"/>
        <v>METROPOLITANA</v>
      </c>
    </row>
    <row r="7670" spans="1:22" x14ac:dyDescent="0.2">
      <c r="A7670" s="23" t="s">
        <v>9300</v>
      </c>
      <c r="B7670" s="22" t="s">
        <v>33</v>
      </c>
      <c r="C7670" s="22" t="s">
        <v>8229</v>
      </c>
      <c r="D7670" s="22" t="s">
        <v>8219</v>
      </c>
      <c r="E7670" s="24">
        <v>73835526</v>
      </c>
      <c r="F7670" s="22" t="s">
        <v>165</v>
      </c>
      <c r="G7670" s="25">
        <f>9387.6+6100</f>
        <v>15487.6</v>
      </c>
      <c r="H7670" s="22" t="s">
        <v>24</v>
      </c>
      <c r="I7670" s="22">
        <v>1</v>
      </c>
      <c r="J7670" s="22" t="s">
        <v>165</v>
      </c>
      <c r="K7670" s="22" t="s">
        <v>23</v>
      </c>
      <c r="L7670" s="22">
        <v>4</v>
      </c>
      <c r="M7670" s="26">
        <v>103264</v>
      </c>
      <c r="N7670" s="26">
        <v>0</v>
      </c>
      <c r="O7670" s="15">
        <f t="shared" si="732"/>
        <v>103264</v>
      </c>
      <c r="P7670" s="15">
        <f t="shared" si="733"/>
        <v>6.6675275704434513</v>
      </c>
      <c r="Q7670" s="25">
        <v>5000</v>
      </c>
      <c r="R7670" s="22">
        <v>100</v>
      </c>
      <c r="S7670" s="22" t="s">
        <v>9314</v>
      </c>
      <c r="T7670" s="22">
        <f t="shared" si="729"/>
        <v>11</v>
      </c>
      <c r="U7670" s="22">
        <f t="shared" si="730"/>
        <v>2023</v>
      </c>
      <c r="V7670" s="22" t="str">
        <f t="shared" si="731"/>
        <v>METROPOLITANA</v>
      </c>
    </row>
    <row r="7671" spans="1:22" x14ac:dyDescent="0.2">
      <c r="A7671" s="23" t="s">
        <v>9300</v>
      </c>
      <c r="B7671" s="22" t="s">
        <v>33</v>
      </c>
      <c r="C7671" s="22" t="s">
        <v>29</v>
      </c>
      <c r="D7671" s="22" t="s">
        <v>37</v>
      </c>
      <c r="E7671" s="24">
        <v>78907355</v>
      </c>
      <c r="F7671" s="22" t="s">
        <v>39</v>
      </c>
      <c r="G7671" s="25">
        <v>9368.84</v>
      </c>
      <c r="H7671" s="22" t="s">
        <v>22</v>
      </c>
      <c r="I7671" s="22">
        <v>0</v>
      </c>
      <c r="J7671" s="22" t="s">
        <v>39</v>
      </c>
      <c r="K7671" s="22" t="s">
        <v>23</v>
      </c>
      <c r="L7671" s="22">
        <v>1</v>
      </c>
      <c r="M7671" s="26">
        <v>103057</v>
      </c>
      <c r="N7671" s="26">
        <v>0</v>
      </c>
      <c r="O7671" s="15">
        <f t="shared" si="732"/>
        <v>103057</v>
      </c>
      <c r="P7671" s="15">
        <f t="shared" si="733"/>
        <v>10.999974383168034</v>
      </c>
      <c r="Q7671" s="25">
        <v>5000</v>
      </c>
      <c r="R7671" s="22">
        <v>100</v>
      </c>
      <c r="S7671" s="22" t="s">
        <v>9309</v>
      </c>
      <c r="T7671" s="22">
        <f t="shared" si="729"/>
        <v>11</v>
      </c>
      <c r="U7671" s="22">
        <f t="shared" si="730"/>
        <v>2023</v>
      </c>
      <c r="V7671" s="22" t="str">
        <f t="shared" si="731"/>
        <v>METROPOLITANA</v>
      </c>
    </row>
    <row r="7672" spans="1:22" x14ac:dyDescent="0.2">
      <c r="A7672" s="23" t="s">
        <v>9300</v>
      </c>
      <c r="B7672" s="22" t="s">
        <v>33</v>
      </c>
      <c r="C7672" s="22" t="s">
        <v>29</v>
      </c>
      <c r="D7672" s="22" t="s">
        <v>7814</v>
      </c>
      <c r="E7672" s="24">
        <v>121384531</v>
      </c>
      <c r="F7672" s="22" t="s">
        <v>114</v>
      </c>
      <c r="G7672" s="25">
        <f>21212.22+2342</f>
        <v>23554.22</v>
      </c>
      <c r="H7672" s="22" t="s">
        <v>24</v>
      </c>
      <c r="I7672" s="22">
        <v>1</v>
      </c>
      <c r="J7672" s="22" t="s">
        <v>114</v>
      </c>
      <c r="K7672" s="22" t="s">
        <v>75</v>
      </c>
      <c r="L7672" s="22">
        <v>0</v>
      </c>
      <c r="M7672" s="26">
        <v>528000</v>
      </c>
      <c r="N7672" s="26">
        <v>0</v>
      </c>
      <c r="O7672" s="15">
        <f t="shared" si="732"/>
        <v>528000</v>
      </c>
      <c r="P7672" s="15">
        <f t="shared" si="733"/>
        <v>22.416365305240419</v>
      </c>
      <c r="Q7672" s="25">
        <v>14000</v>
      </c>
      <c r="R7672" s="22">
        <v>100</v>
      </c>
      <c r="S7672" s="22" t="s">
        <v>9315</v>
      </c>
      <c r="T7672" s="22">
        <f t="shared" si="729"/>
        <v>11</v>
      </c>
      <c r="U7672" s="22">
        <f t="shared" si="730"/>
        <v>2023</v>
      </c>
      <c r="V7672" s="22" t="str">
        <f t="shared" si="731"/>
        <v>REGIONES</v>
      </c>
    </row>
    <row r="7673" spans="1:22" x14ac:dyDescent="0.2">
      <c r="A7673" s="23" t="s">
        <v>9300</v>
      </c>
      <c r="B7673" s="22" t="s">
        <v>33</v>
      </c>
      <c r="C7673" s="22" t="s">
        <v>29</v>
      </c>
      <c r="D7673" s="22" t="s">
        <v>164</v>
      </c>
      <c r="E7673" s="24">
        <v>154837728</v>
      </c>
      <c r="F7673" s="22" t="s">
        <v>39</v>
      </c>
      <c r="G7673" s="25">
        <v>23296.500000000011</v>
      </c>
      <c r="H7673" s="22" t="s">
        <v>22</v>
      </c>
      <c r="I7673" s="22">
        <v>1</v>
      </c>
      <c r="J7673" s="22" t="s">
        <v>39</v>
      </c>
      <c r="K7673" s="22" t="s">
        <v>23</v>
      </c>
      <c r="L7673" s="22">
        <v>1</v>
      </c>
      <c r="M7673" s="26">
        <v>256262</v>
      </c>
      <c r="N7673" s="26">
        <v>0</v>
      </c>
      <c r="O7673" s="15">
        <f t="shared" si="732"/>
        <v>256262</v>
      </c>
      <c r="P7673" s="15">
        <f t="shared" si="733"/>
        <v>11.000021462451436</v>
      </c>
      <c r="Q7673" s="25">
        <v>5000</v>
      </c>
      <c r="R7673" s="22">
        <v>100</v>
      </c>
      <c r="S7673" s="22" t="s">
        <v>9310</v>
      </c>
      <c r="T7673" s="22">
        <f t="shared" si="729"/>
        <v>11</v>
      </c>
      <c r="U7673" s="22">
        <f t="shared" si="730"/>
        <v>2023</v>
      </c>
      <c r="V7673" s="22" t="str">
        <f t="shared" si="731"/>
        <v>METROPOLITANA</v>
      </c>
    </row>
    <row r="7674" spans="1:22" x14ac:dyDescent="0.2">
      <c r="A7674" s="23" t="s">
        <v>9300</v>
      </c>
      <c r="B7674" s="22" t="s">
        <v>33</v>
      </c>
      <c r="C7674" s="22" t="s">
        <v>44</v>
      </c>
      <c r="D7674" s="22" t="s">
        <v>38</v>
      </c>
      <c r="E7674" s="24">
        <v>125108660</v>
      </c>
      <c r="F7674" s="22" t="s">
        <v>173</v>
      </c>
      <c r="G7674" s="25">
        <v>9781.9399999999969</v>
      </c>
      <c r="H7674" s="22" t="s">
        <v>43</v>
      </c>
      <c r="I7674" s="22">
        <v>0</v>
      </c>
      <c r="J7674" s="22" t="s">
        <v>173</v>
      </c>
      <c r="K7674" s="22" t="s">
        <v>23</v>
      </c>
      <c r="L7674" s="22">
        <v>5</v>
      </c>
      <c r="M7674" s="26">
        <v>112500</v>
      </c>
      <c r="N7674" s="26">
        <v>0</v>
      </c>
      <c r="O7674" s="15">
        <f t="shared" si="732"/>
        <v>112500</v>
      </c>
      <c r="P7674" s="15">
        <f t="shared" si="733"/>
        <v>11.500786142626108</v>
      </c>
      <c r="Q7674" s="25">
        <v>10000</v>
      </c>
      <c r="R7674" s="22">
        <v>98</v>
      </c>
      <c r="S7674" s="22" t="s">
        <v>9311</v>
      </c>
      <c r="T7674" s="22">
        <f t="shared" si="729"/>
        <v>11</v>
      </c>
      <c r="U7674" s="22">
        <f t="shared" si="730"/>
        <v>2023</v>
      </c>
      <c r="V7674" s="22" t="str">
        <f t="shared" si="731"/>
        <v>METROPOLITANA</v>
      </c>
    </row>
    <row r="7675" spans="1:22" x14ac:dyDescent="0.2">
      <c r="A7675" s="23" t="s">
        <v>9300</v>
      </c>
      <c r="B7675" s="22" t="s">
        <v>33</v>
      </c>
      <c r="C7675" s="22" t="s">
        <v>44</v>
      </c>
      <c r="D7675" s="22" t="s">
        <v>3641</v>
      </c>
      <c r="E7675" s="24">
        <v>100822326</v>
      </c>
      <c r="F7675" s="22" t="s">
        <v>114</v>
      </c>
      <c r="G7675" s="25">
        <v>6535.3799999999992</v>
      </c>
      <c r="H7675" s="22" t="s">
        <v>24</v>
      </c>
      <c r="I7675" s="22">
        <v>1</v>
      </c>
      <c r="J7675" s="22" t="s">
        <v>114</v>
      </c>
      <c r="K7675" s="22" t="s">
        <v>75</v>
      </c>
      <c r="L7675" s="22">
        <v>0</v>
      </c>
      <c r="M7675" s="26">
        <v>528000</v>
      </c>
      <c r="N7675" s="26">
        <v>0</v>
      </c>
      <c r="O7675" s="15">
        <f t="shared" si="732"/>
        <v>528000</v>
      </c>
      <c r="P7675" s="15">
        <f t="shared" si="733"/>
        <v>80.791017507780737</v>
      </c>
      <c r="Q7675" s="25">
        <v>14000</v>
      </c>
      <c r="R7675" s="22">
        <v>47</v>
      </c>
      <c r="S7675" s="22" t="s">
        <v>9312</v>
      </c>
      <c r="T7675" s="22">
        <f t="shared" si="729"/>
        <v>11</v>
      </c>
      <c r="U7675" s="22">
        <f t="shared" si="730"/>
        <v>2023</v>
      </c>
      <c r="V7675" s="22" t="str">
        <f t="shared" si="731"/>
        <v>REGIONES</v>
      </c>
    </row>
    <row r="7676" spans="1:22" x14ac:dyDescent="0.2">
      <c r="A7676" s="11" t="s">
        <v>9316</v>
      </c>
      <c r="B7676" s="12" t="s">
        <v>18</v>
      </c>
      <c r="C7676" s="12" t="s">
        <v>29</v>
      </c>
      <c r="D7676" s="12" t="s">
        <v>786</v>
      </c>
      <c r="E7676" s="13">
        <v>95707734</v>
      </c>
      <c r="F7676" s="12" t="s">
        <v>8185</v>
      </c>
      <c r="G7676" s="14">
        <v>16045.12</v>
      </c>
      <c r="H7676" s="12" t="s">
        <v>788</v>
      </c>
      <c r="I7676" s="12">
        <v>1</v>
      </c>
      <c r="J7676" s="12" t="s">
        <v>8185</v>
      </c>
      <c r="K7676" s="12" t="s">
        <v>171</v>
      </c>
      <c r="L7676" s="12">
        <v>0</v>
      </c>
      <c r="M7676" s="15">
        <v>320000</v>
      </c>
      <c r="N7676" s="15">
        <v>0</v>
      </c>
      <c r="O7676" s="15">
        <f t="shared" ref="O7676:O7685" si="734">SUM(M7676:N7676)</f>
        <v>320000</v>
      </c>
      <c r="P7676" s="15">
        <f t="shared" ref="P7676:P7685" si="735">O7676/G7676</f>
        <v>19.943758600745895</v>
      </c>
      <c r="Q7676" s="14">
        <v>14000</v>
      </c>
      <c r="R7676" s="12">
        <v>100</v>
      </c>
      <c r="S7676" s="12" t="s">
        <v>9317</v>
      </c>
      <c r="T7676" s="22">
        <f t="shared" si="729"/>
        <v>12</v>
      </c>
      <c r="U7676" s="22">
        <f t="shared" si="730"/>
        <v>2023</v>
      </c>
      <c r="V7676" s="22" t="str">
        <f t="shared" si="731"/>
        <v>REGIONES</v>
      </c>
    </row>
    <row r="7677" spans="1:22" x14ac:dyDescent="0.2">
      <c r="A7677" s="11" t="s">
        <v>9316</v>
      </c>
      <c r="B7677" s="12" t="s">
        <v>33</v>
      </c>
      <c r="C7677" s="12" t="s">
        <v>60</v>
      </c>
      <c r="D7677" s="12" t="s">
        <v>37</v>
      </c>
      <c r="E7677" s="13">
        <v>78907355</v>
      </c>
      <c r="F7677" s="12" t="s">
        <v>1324</v>
      </c>
      <c r="G7677" s="14">
        <v>14170.000000000009</v>
      </c>
      <c r="H7677" s="12" t="s">
        <v>22</v>
      </c>
      <c r="I7677" s="12">
        <v>0</v>
      </c>
      <c r="J7677" s="12" t="s">
        <v>1324</v>
      </c>
      <c r="K7677" s="12" t="s">
        <v>23</v>
      </c>
      <c r="L7677" s="12">
        <v>2</v>
      </c>
      <c r="M7677" s="15">
        <v>155870</v>
      </c>
      <c r="N7677" s="15">
        <v>0</v>
      </c>
      <c r="O7677" s="15">
        <f t="shared" si="734"/>
        <v>155870</v>
      </c>
      <c r="P7677" s="15">
        <f t="shared" si="735"/>
        <v>10.999999999999993</v>
      </c>
      <c r="Q7677" s="14">
        <v>5000</v>
      </c>
      <c r="R7677" s="12">
        <v>100</v>
      </c>
      <c r="S7677" s="12" t="s">
        <v>9318</v>
      </c>
      <c r="T7677" s="22">
        <f t="shared" si="729"/>
        <v>12</v>
      </c>
      <c r="U7677" s="22">
        <f t="shared" si="730"/>
        <v>2023</v>
      </c>
      <c r="V7677" s="22" t="str">
        <f t="shared" si="731"/>
        <v>METROPOLITANA</v>
      </c>
    </row>
    <row r="7678" spans="1:22" x14ac:dyDescent="0.2">
      <c r="A7678" s="11" t="s">
        <v>9316</v>
      </c>
      <c r="B7678" s="12" t="s">
        <v>33</v>
      </c>
      <c r="C7678" s="12" t="s">
        <v>60</v>
      </c>
      <c r="D7678" s="12" t="s">
        <v>2955</v>
      </c>
      <c r="E7678" s="13">
        <v>65941082</v>
      </c>
      <c r="F7678" s="12" t="s">
        <v>173</v>
      </c>
      <c r="G7678" s="14">
        <v>7872.0000000000036</v>
      </c>
      <c r="H7678" s="12" t="s">
        <v>24</v>
      </c>
      <c r="I7678" s="12">
        <v>1</v>
      </c>
      <c r="J7678" s="12" t="s">
        <v>173</v>
      </c>
      <c r="K7678" s="12" t="s">
        <v>23</v>
      </c>
      <c r="L7678" s="12">
        <v>5</v>
      </c>
      <c r="M7678" s="15">
        <v>180000</v>
      </c>
      <c r="N7678" s="15">
        <v>0</v>
      </c>
      <c r="O7678" s="15">
        <f t="shared" si="734"/>
        <v>180000</v>
      </c>
      <c r="P7678" s="15">
        <f t="shared" si="735"/>
        <v>22.865853658536576</v>
      </c>
      <c r="Q7678" s="14">
        <v>10000</v>
      </c>
      <c r="R7678" s="12">
        <v>79</v>
      </c>
      <c r="S7678" s="12" t="s">
        <v>9319</v>
      </c>
      <c r="T7678" s="22">
        <f t="shared" si="729"/>
        <v>12</v>
      </c>
      <c r="U7678" s="22">
        <f t="shared" si="730"/>
        <v>2023</v>
      </c>
      <c r="V7678" s="22" t="str">
        <f t="shared" si="731"/>
        <v>METROPOLITANA</v>
      </c>
    </row>
    <row r="7679" spans="1:22" x14ac:dyDescent="0.2">
      <c r="A7679" s="11" t="s">
        <v>9316</v>
      </c>
      <c r="B7679" s="12" t="s">
        <v>33</v>
      </c>
      <c r="C7679" s="12" t="s">
        <v>8229</v>
      </c>
      <c r="D7679" s="12" t="s">
        <v>8219</v>
      </c>
      <c r="E7679" s="13">
        <v>73835526</v>
      </c>
      <c r="F7679" s="12" t="s">
        <v>165</v>
      </c>
      <c r="G7679" s="14">
        <v>9177</v>
      </c>
      <c r="H7679" s="12" t="s">
        <v>24</v>
      </c>
      <c r="I7679" s="12">
        <v>1</v>
      </c>
      <c r="J7679" s="12" t="s">
        <v>165</v>
      </c>
      <c r="K7679" s="12" t="s">
        <v>23</v>
      </c>
      <c r="L7679" s="12">
        <v>4</v>
      </c>
      <c r="M7679" s="15">
        <v>100947</v>
      </c>
      <c r="N7679" s="15">
        <v>0</v>
      </c>
      <c r="O7679" s="15">
        <f t="shared" si="734"/>
        <v>100947</v>
      </c>
      <c r="P7679" s="15">
        <f t="shared" si="735"/>
        <v>11</v>
      </c>
      <c r="Q7679" s="14">
        <v>5000</v>
      </c>
      <c r="R7679" s="12">
        <v>100</v>
      </c>
      <c r="S7679" s="12" t="s">
        <v>9320</v>
      </c>
      <c r="T7679" s="22">
        <f t="shared" si="729"/>
        <v>12</v>
      </c>
      <c r="U7679" s="22">
        <f t="shared" si="730"/>
        <v>2023</v>
      </c>
      <c r="V7679" s="22" t="str">
        <f t="shared" si="731"/>
        <v>METROPOLITANA</v>
      </c>
    </row>
    <row r="7680" spans="1:22" x14ac:dyDescent="0.2">
      <c r="A7680" s="11" t="s">
        <v>9316</v>
      </c>
      <c r="B7680" s="12" t="s">
        <v>33</v>
      </c>
      <c r="C7680" s="12" t="s">
        <v>8229</v>
      </c>
      <c r="D7680" s="12" t="s">
        <v>20</v>
      </c>
      <c r="E7680" s="13">
        <v>78907355</v>
      </c>
      <c r="F7680" s="12" t="s">
        <v>165</v>
      </c>
      <c r="G7680" s="14">
        <v>9150</v>
      </c>
      <c r="H7680" s="12" t="s">
        <v>22</v>
      </c>
      <c r="I7680" s="12">
        <v>0</v>
      </c>
      <c r="J7680" s="12" t="s">
        <v>165</v>
      </c>
      <c r="K7680" s="12" t="s">
        <v>23</v>
      </c>
      <c r="L7680" s="12">
        <v>4</v>
      </c>
      <c r="M7680" s="15">
        <v>100650</v>
      </c>
      <c r="N7680" s="15">
        <v>0</v>
      </c>
      <c r="O7680" s="15">
        <f t="shared" si="734"/>
        <v>100650</v>
      </c>
      <c r="P7680" s="15">
        <f t="shared" si="735"/>
        <v>11</v>
      </c>
      <c r="Q7680" s="14">
        <v>5000</v>
      </c>
      <c r="R7680" s="12">
        <v>100</v>
      </c>
      <c r="S7680" s="12" t="s">
        <v>9321</v>
      </c>
      <c r="T7680" s="22">
        <f t="shared" si="729"/>
        <v>12</v>
      </c>
      <c r="U7680" s="22">
        <f t="shared" si="730"/>
        <v>2023</v>
      </c>
      <c r="V7680" s="22" t="str">
        <f t="shared" si="731"/>
        <v>METROPOLITANA</v>
      </c>
    </row>
    <row r="7681" spans="1:22" x14ac:dyDescent="0.2">
      <c r="A7681" s="11" t="s">
        <v>9316</v>
      </c>
      <c r="B7681" s="12" t="s">
        <v>33</v>
      </c>
      <c r="C7681" s="12" t="s">
        <v>44</v>
      </c>
      <c r="D7681" s="12" t="s">
        <v>636</v>
      </c>
      <c r="E7681" s="13">
        <v>113693568</v>
      </c>
      <c r="F7681" s="12" t="s">
        <v>3139</v>
      </c>
      <c r="G7681" s="14">
        <f>4130.47+2703</f>
        <v>6833.47</v>
      </c>
      <c r="H7681" s="12" t="s">
        <v>85</v>
      </c>
      <c r="I7681" s="12">
        <v>1</v>
      </c>
      <c r="J7681" s="12" t="s">
        <v>3139</v>
      </c>
      <c r="K7681" s="12" t="s">
        <v>93</v>
      </c>
      <c r="L7681" s="12">
        <v>0</v>
      </c>
      <c r="M7681" s="15">
        <v>583000</v>
      </c>
      <c r="N7681" s="15">
        <v>0</v>
      </c>
      <c r="O7681" s="15">
        <f t="shared" si="734"/>
        <v>583000</v>
      </c>
      <c r="P7681" s="15">
        <f t="shared" si="735"/>
        <v>85.315366863394431</v>
      </c>
      <c r="Q7681" s="14">
        <v>14000</v>
      </c>
      <c r="R7681" s="12">
        <v>55</v>
      </c>
      <c r="S7681" s="12" t="s">
        <v>9322</v>
      </c>
      <c r="T7681" s="22">
        <f t="shared" si="729"/>
        <v>12</v>
      </c>
      <c r="U7681" s="22">
        <f t="shared" si="730"/>
        <v>2023</v>
      </c>
      <c r="V7681" s="22" t="str">
        <f t="shared" si="731"/>
        <v>REGIONES</v>
      </c>
    </row>
    <row r="7682" spans="1:22" x14ac:dyDescent="0.2">
      <c r="A7682" s="11" t="s">
        <v>9316</v>
      </c>
      <c r="B7682" s="12" t="s">
        <v>33</v>
      </c>
      <c r="C7682" s="12" t="s">
        <v>44</v>
      </c>
      <c r="D7682" s="12" t="s">
        <v>8988</v>
      </c>
      <c r="E7682" s="13">
        <v>70866846</v>
      </c>
      <c r="F7682" s="12" t="s">
        <v>114</v>
      </c>
      <c r="G7682" s="14">
        <v>6355.5999999999995</v>
      </c>
      <c r="H7682" s="12" t="s">
        <v>24</v>
      </c>
      <c r="I7682" s="12">
        <v>1</v>
      </c>
      <c r="J7682" s="12" t="s">
        <v>114</v>
      </c>
      <c r="K7682" s="12" t="s">
        <v>75</v>
      </c>
      <c r="L7682" s="12">
        <v>0</v>
      </c>
      <c r="M7682" s="15">
        <v>528000</v>
      </c>
      <c r="N7682" s="15">
        <v>0</v>
      </c>
      <c r="O7682" s="15">
        <f t="shared" si="734"/>
        <v>528000</v>
      </c>
      <c r="P7682" s="15">
        <f t="shared" si="735"/>
        <v>83.076342123481666</v>
      </c>
      <c r="Q7682" s="14">
        <v>14000</v>
      </c>
      <c r="R7682" s="12">
        <v>45</v>
      </c>
      <c r="S7682" s="12" t="s">
        <v>9323</v>
      </c>
      <c r="T7682" s="22">
        <f t="shared" si="729"/>
        <v>12</v>
      </c>
      <c r="U7682" s="22">
        <f t="shared" si="730"/>
        <v>2023</v>
      </c>
      <c r="V7682" s="22" t="str">
        <f t="shared" si="731"/>
        <v>REGIONES</v>
      </c>
    </row>
    <row r="7683" spans="1:22" x14ac:dyDescent="0.2">
      <c r="A7683" s="11" t="s">
        <v>9316</v>
      </c>
      <c r="B7683" s="12" t="s">
        <v>33</v>
      </c>
      <c r="C7683" s="12" t="s">
        <v>44</v>
      </c>
      <c r="D7683" s="12" t="s">
        <v>9084</v>
      </c>
      <c r="E7683" s="13">
        <v>256738929</v>
      </c>
      <c r="F7683" s="12" t="s">
        <v>67</v>
      </c>
      <c r="G7683" s="14">
        <v>2502.84</v>
      </c>
      <c r="H7683" s="12" t="s">
        <v>24</v>
      </c>
      <c r="I7683" s="12">
        <v>1</v>
      </c>
      <c r="J7683" s="12" t="s">
        <v>67</v>
      </c>
      <c r="K7683" s="12" t="s">
        <v>23</v>
      </c>
      <c r="L7683" s="12">
        <v>2</v>
      </c>
      <c r="M7683" s="15">
        <v>69173</v>
      </c>
      <c r="N7683" s="15">
        <v>0</v>
      </c>
      <c r="O7683" s="15">
        <f t="shared" si="734"/>
        <v>69173</v>
      </c>
      <c r="P7683" s="15">
        <f t="shared" si="735"/>
        <v>27.637803455274806</v>
      </c>
      <c r="Q7683" s="14">
        <v>5000</v>
      </c>
      <c r="R7683" s="12">
        <v>50</v>
      </c>
      <c r="S7683" s="12" t="s">
        <v>9324</v>
      </c>
      <c r="T7683" s="22">
        <f t="shared" si="729"/>
        <v>12</v>
      </c>
      <c r="U7683" s="22">
        <f t="shared" si="730"/>
        <v>2023</v>
      </c>
      <c r="V7683" s="22" t="str">
        <f t="shared" si="731"/>
        <v>METROPOLITANA</v>
      </c>
    </row>
    <row r="7684" spans="1:22" x14ac:dyDescent="0.2">
      <c r="A7684" s="11" t="s">
        <v>9316</v>
      </c>
      <c r="B7684" s="12" t="s">
        <v>33</v>
      </c>
      <c r="C7684" s="12" t="s">
        <v>44</v>
      </c>
      <c r="D7684" s="12" t="s">
        <v>45</v>
      </c>
      <c r="E7684" s="13">
        <v>107643206</v>
      </c>
      <c r="F7684" s="12" t="s">
        <v>48</v>
      </c>
      <c r="G7684" s="14">
        <v>2505.5</v>
      </c>
      <c r="H7684" s="12" t="s">
        <v>22</v>
      </c>
      <c r="I7684" s="12">
        <v>0</v>
      </c>
      <c r="J7684" s="12" t="s">
        <v>48</v>
      </c>
      <c r="K7684" s="12" t="s">
        <v>23</v>
      </c>
      <c r="L7684" s="12">
        <v>1</v>
      </c>
      <c r="M7684" s="15">
        <v>69173</v>
      </c>
      <c r="N7684" s="15">
        <v>0</v>
      </c>
      <c r="O7684" s="15">
        <f t="shared" si="734"/>
        <v>69173</v>
      </c>
      <c r="P7684" s="15">
        <f t="shared" si="735"/>
        <v>27.608461384953102</v>
      </c>
      <c r="Q7684" s="14">
        <v>5000</v>
      </c>
      <c r="R7684" s="12">
        <v>50</v>
      </c>
      <c r="S7684" s="12" t="s">
        <v>9325</v>
      </c>
      <c r="T7684" s="22">
        <f t="shared" si="729"/>
        <v>12</v>
      </c>
      <c r="U7684" s="22">
        <f t="shared" si="730"/>
        <v>2023</v>
      </c>
      <c r="V7684" s="22" t="str">
        <f t="shared" si="731"/>
        <v>METROPOLITANA</v>
      </c>
    </row>
    <row r="7685" spans="1:22" x14ac:dyDescent="0.2">
      <c r="A7685" s="11" t="s">
        <v>9316</v>
      </c>
      <c r="B7685" s="12" t="s">
        <v>33</v>
      </c>
      <c r="C7685" s="12" t="s">
        <v>44</v>
      </c>
      <c r="D7685" s="12" t="s">
        <v>20</v>
      </c>
      <c r="E7685" s="13">
        <v>78907355</v>
      </c>
      <c r="F7685" s="12" t="s">
        <v>34</v>
      </c>
      <c r="G7685" s="14">
        <v>2706.42</v>
      </c>
      <c r="H7685" s="12" t="s">
        <v>22</v>
      </c>
      <c r="I7685" s="12">
        <v>0</v>
      </c>
      <c r="J7685" s="12" t="s">
        <v>34</v>
      </c>
      <c r="K7685" s="12" t="s">
        <v>23</v>
      </c>
      <c r="L7685" s="12">
        <v>1</v>
      </c>
      <c r="M7685" s="15">
        <v>69173</v>
      </c>
      <c r="N7685" s="15">
        <v>0</v>
      </c>
      <c r="O7685" s="15">
        <f t="shared" si="734"/>
        <v>69173</v>
      </c>
      <c r="P7685" s="15">
        <f t="shared" si="735"/>
        <v>25.558856348977617</v>
      </c>
      <c r="Q7685" s="14">
        <v>5000</v>
      </c>
      <c r="R7685" s="12">
        <v>54</v>
      </c>
      <c r="S7685" s="12" t="s">
        <v>9326</v>
      </c>
      <c r="T7685" s="22">
        <f t="shared" si="729"/>
        <v>12</v>
      </c>
      <c r="U7685" s="22">
        <f t="shared" si="730"/>
        <v>2023</v>
      </c>
      <c r="V7685" s="22" t="str">
        <f t="shared" si="731"/>
        <v>METROPOLITANA</v>
      </c>
    </row>
    <row r="7686" spans="1:22" x14ac:dyDescent="0.2">
      <c r="A7686" s="23" t="s">
        <v>9327</v>
      </c>
      <c r="B7686" s="22" t="s">
        <v>18</v>
      </c>
      <c r="C7686" s="22" t="s">
        <v>57</v>
      </c>
      <c r="D7686" s="22" t="s">
        <v>38</v>
      </c>
      <c r="E7686" s="24">
        <v>125108660</v>
      </c>
      <c r="F7686" s="22" t="s">
        <v>26</v>
      </c>
      <c r="G7686" s="25">
        <v>13106.94</v>
      </c>
      <c r="H7686" s="22" t="s">
        <v>43</v>
      </c>
      <c r="I7686" s="22">
        <v>0</v>
      </c>
      <c r="J7686" s="22" t="s">
        <v>26</v>
      </c>
      <c r="K7686" s="22" t="s">
        <v>23</v>
      </c>
      <c r="L7686" s="22">
        <v>4</v>
      </c>
      <c r="M7686" s="26">
        <v>144176</v>
      </c>
      <c r="N7686" s="26">
        <v>0</v>
      </c>
      <c r="O7686" s="15">
        <f t="shared" ref="O7686:O7697" si="736">SUM(M7686:N7686)</f>
        <v>144176</v>
      </c>
      <c r="P7686" s="15">
        <f t="shared" ref="P7686:P7697" si="737">O7686/G7686</f>
        <v>10.999974059544027</v>
      </c>
      <c r="Q7686" s="25">
        <v>5000</v>
      </c>
      <c r="R7686" s="22">
        <v>100</v>
      </c>
      <c r="S7686" s="22" t="s">
        <v>9328</v>
      </c>
      <c r="T7686" s="22">
        <f t="shared" si="729"/>
        <v>12</v>
      </c>
      <c r="U7686" s="22">
        <f t="shared" si="730"/>
        <v>2023</v>
      </c>
      <c r="V7686" s="22" t="str">
        <f t="shared" si="731"/>
        <v>METROPOLITANA</v>
      </c>
    </row>
    <row r="7687" spans="1:22" x14ac:dyDescent="0.2">
      <c r="A7687" s="23" t="s">
        <v>9327</v>
      </c>
      <c r="B7687" s="22" t="s">
        <v>18</v>
      </c>
      <c r="C7687" s="22" t="s">
        <v>29</v>
      </c>
      <c r="D7687" s="22" t="s">
        <v>786</v>
      </c>
      <c r="E7687" s="24">
        <v>95707734</v>
      </c>
      <c r="F7687" s="22" t="s">
        <v>8185</v>
      </c>
      <c r="G7687" s="25">
        <v>15200.64</v>
      </c>
      <c r="H7687" s="22" t="s">
        <v>788</v>
      </c>
      <c r="I7687" s="22">
        <v>1</v>
      </c>
      <c r="J7687" s="22" t="s">
        <v>8185</v>
      </c>
      <c r="K7687" s="22" t="s">
        <v>171</v>
      </c>
      <c r="L7687" s="22">
        <v>0</v>
      </c>
      <c r="M7687" s="26">
        <v>320000</v>
      </c>
      <c r="N7687" s="26">
        <v>0</v>
      </c>
      <c r="O7687" s="15">
        <f t="shared" si="736"/>
        <v>320000</v>
      </c>
      <c r="P7687" s="15">
        <f t="shared" si="737"/>
        <v>21.051745189676225</v>
      </c>
      <c r="Q7687" s="25">
        <v>14000</v>
      </c>
      <c r="R7687" s="22">
        <v>100</v>
      </c>
      <c r="S7687" s="22" t="s">
        <v>9329</v>
      </c>
      <c r="T7687" s="22">
        <f t="shared" si="729"/>
        <v>12</v>
      </c>
      <c r="U7687" s="22">
        <f t="shared" si="730"/>
        <v>2023</v>
      </c>
      <c r="V7687" s="22" t="str">
        <f t="shared" si="731"/>
        <v>REGIONES</v>
      </c>
    </row>
    <row r="7688" spans="1:22" x14ac:dyDescent="0.2">
      <c r="A7688" s="23" t="s">
        <v>9327</v>
      </c>
      <c r="B7688" s="22" t="s">
        <v>33</v>
      </c>
      <c r="C7688" s="22" t="s">
        <v>128</v>
      </c>
      <c r="D7688" s="22" t="s">
        <v>786</v>
      </c>
      <c r="E7688" s="24">
        <v>95707734</v>
      </c>
      <c r="F7688" s="22" t="s">
        <v>34</v>
      </c>
      <c r="G7688" s="25">
        <v>10712.32</v>
      </c>
      <c r="H7688" s="22" t="s">
        <v>788</v>
      </c>
      <c r="I7688" s="22">
        <v>1</v>
      </c>
      <c r="J7688" s="22" t="s">
        <v>34</v>
      </c>
      <c r="K7688" s="22" t="s">
        <v>23</v>
      </c>
      <c r="L7688" s="22">
        <v>1</v>
      </c>
      <c r="M7688" s="26">
        <v>117836</v>
      </c>
      <c r="N7688" s="26">
        <v>0</v>
      </c>
      <c r="O7688" s="15">
        <f t="shared" si="736"/>
        <v>117836</v>
      </c>
      <c r="P7688" s="15">
        <f t="shared" si="737"/>
        <v>11.000044808220816</v>
      </c>
      <c r="Q7688" s="25">
        <v>5000</v>
      </c>
      <c r="R7688" s="22">
        <v>100</v>
      </c>
      <c r="S7688" s="22" t="s">
        <v>9330</v>
      </c>
      <c r="T7688" s="22">
        <f t="shared" si="729"/>
        <v>12</v>
      </c>
      <c r="U7688" s="22">
        <f t="shared" si="730"/>
        <v>2023</v>
      </c>
      <c r="V7688" s="22" t="str">
        <f t="shared" si="731"/>
        <v>METROPOLITANA</v>
      </c>
    </row>
    <row r="7689" spans="1:22" x14ac:dyDescent="0.2">
      <c r="A7689" s="23" t="s">
        <v>9327</v>
      </c>
      <c r="B7689" s="22" t="s">
        <v>33</v>
      </c>
      <c r="C7689" s="22" t="s">
        <v>29</v>
      </c>
      <c r="D7689" s="22" t="s">
        <v>7814</v>
      </c>
      <c r="E7689" s="24">
        <v>121384531</v>
      </c>
      <c r="F7689" s="22" t="s">
        <v>114</v>
      </c>
      <c r="G7689" s="25">
        <v>18083.599999999999</v>
      </c>
      <c r="H7689" s="22" t="s">
        <v>24</v>
      </c>
      <c r="I7689" s="22">
        <v>1</v>
      </c>
      <c r="J7689" s="22" t="s">
        <v>114</v>
      </c>
      <c r="K7689" s="22" t="s">
        <v>75</v>
      </c>
      <c r="L7689" s="22">
        <v>0</v>
      </c>
      <c r="M7689" s="26">
        <v>528000</v>
      </c>
      <c r="N7689" s="26">
        <v>0</v>
      </c>
      <c r="O7689" s="15">
        <f t="shared" si="736"/>
        <v>528000</v>
      </c>
      <c r="P7689" s="15">
        <f t="shared" si="737"/>
        <v>29.197726116481235</v>
      </c>
      <c r="Q7689" s="25">
        <v>14000</v>
      </c>
      <c r="R7689" s="22">
        <v>100</v>
      </c>
      <c r="S7689" s="22" t="s">
        <v>9331</v>
      </c>
      <c r="T7689" s="22">
        <f t="shared" si="729"/>
        <v>12</v>
      </c>
      <c r="U7689" s="22">
        <f t="shared" si="730"/>
        <v>2023</v>
      </c>
      <c r="V7689" s="22" t="str">
        <f t="shared" si="731"/>
        <v>REGIONES</v>
      </c>
    </row>
    <row r="7690" spans="1:22" x14ac:dyDescent="0.2">
      <c r="A7690" s="23" t="s">
        <v>9327</v>
      </c>
      <c r="B7690" s="22" t="s">
        <v>33</v>
      </c>
      <c r="C7690" s="22" t="s">
        <v>29</v>
      </c>
      <c r="D7690" s="22" t="s">
        <v>2955</v>
      </c>
      <c r="E7690" s="24">
        <v>65941082</v>
      </c>
      <c r="F7690" s="22" t="s">
        <v>170</v>
      </c>
      <c r="G7690" s="25">
        <v>18170.399999999991</v>
      </c>
      <c r="H7690" s="22" t="s">
        <v>24</v>
      </c>
      <c r="I7690" s="22">
        <v>1</v>
      </c>
      <c r="J7690" s="22" t="s">
        <v>170</v>
      </c>
      <c r="K7690" s="22" t="s">
        <v>171</v>
      </c>
      <c r="L7690" s="22">
        <v>0</v>
      </c>
      <c r="M7690" s="26">
        <v>289000</v>
      </c>
      <c r="N7690" s="26">
        <v>0</v>
      </c>
      <c r="O7690" s="15">
        <f t="shared" si="736"/>
        <v>289000</v>
      </c>
      <c r="P7690" s="15">
        <f t="shared" si="737"/>
        <v>15.904988332672927</v>
      </c>
      <c r="Q7690" s="25">
        <v>14000</v>
      </c>
      <c r="R7690" s="22">
        <v>100</v>
      </c>
      <c r="S7690" s="22" t="s">
        <v>9332</v>
      </c>
      <c r="T7690" s="22">
        <f t="shared" si="729"/>
        <v>12</v>
      </c>
      <c r="U7690" s="22">
        <f t="shared" si="730"/>
        <v>2023</v>
      </c>
      <c r="V7690" s="22" t="str">
        <f t="shared" si="731"/>
        <v>REGIONES</v>
      </c>
    </row>
    <row r="7691" spans="1:22" x14ac:dyDescent="0.2">
      <c r="A7691" s="23" t="s">
        <v>9327</v>
      </c>
      <c r="B7691" s="22" t="s">
        <v>33</v>
      </c>
      <c r="C7691" s="22" t="s">
        <v>29</v>
      </c>
      <c r="D7691" s="22" t="s">
        <v>8724</v>
      </c>
      <c r="E7691" s="24">
        <v>94590507</v>
      </c>
      <c r="F7691" s="22" t="s">
        <v>114</v>
      </c>
      <c r="G7691" s="25">
        <v>14702.599999999989</v>
      </c>
      <c r="H7691" s="22" t="s">
        <v>24</v>
      </c>
      <c r="I7691" s="22">
        <v>1</v>
      </c>
      <c r="J7691" s="22" t="s">
        <v>114</v>
      </c>
      <c r="K7691" s="22" t="s">
        <v>75</v>
      </c>
      <c r="L7691" s="22">
        <v>0</v>
      </c>
      <c r="M7691" s="26">
        <v>528000</v>
      </c>
      <c r="N7691" s="26">
        <v>0</v>
      </c>
      <c r="O7691" s="15">
        <f t="shared" si="736"/>
        <v>528000</v>
      </c>
      <c r="P7691" s="15">
        <f t="shared" si="737"/>
        <v>35.912015561873439</v>
      </c>
      <c r="Q7691" s="25">
        <v>14000</v>
      </c>
      <c r="R7691" s="22">
        <v>100</v>
      </c>
      <c r="S7691" s="22" t="s">
        <v>9333</v>
      </c>
      <c r="T7691" s="22">
        <f t="shared" si="729"/>
        <v>12</v>
      </c>
      <c r="U7691" s="22">
        <f t="shared" si="730"/>
        <v>2023</v>
      </c>
      <c r="V7691" s="22" t="str">
        <f t="shared" si="731"/>
        <v>REGIONES</v>
      </c>
    </row>
    <row r="7692" spans="1:22" x14ac:dyDescent="0.2">
      <c r="A7692" s="23" t="s">
        <v>9327</v>
      </c>
      <c r="B7692" s="22" t="s">
        <v>33</v>
      </c>
      <c r="C7692" s="22" t="s">
        <v>29</v>
      </c>
      <c r="D7692" s="22" t="s">
        <v>164</v>
      </c>
      <c r="E7692" s="24">
        <v>154837728</v>
      </c>
      <c r="F7692" s="22" t="s">
        <v>39</v>
      </c>
      <c r="G7692" s="25">
        <v>9239.7800000000007</v>
      </c>
      <c r="H7692" s="22" t="s">
        <v>22</v>
      </c>
      <c r="I7692" s="22">
        <v>1</v>
      </c>
      <c r="J7692" s="22" t="s">
        <v>39</v>
      </c>
      <c r="K7692" s="22" t="s">
        <v>23</v>
      </c>
      <c r="L7692" s="22">
        <v>1</v>
      </c>
      <c r="M7692" s="26">
        <v>101638</v>
      </c>
      <c r="N7692" s="26">
        <v>0</v>
      </c>
      <c r="O7692" s="15">
        <f t="shared" si="736"/>
        <v>101638</v>
      </c>
      <c r="P7692" s="15">
        <f t="shared" si="737"/>
        <v>11.000045455627731</v>
      </c>
      <c r="Q7692" s="25">
        <v>5000</v>
      </c>
      <c r="R7692" s="22">
        <v>100</v>
      </c>
      <c r="S7692" s="22" t="s">
        <v>9334</v>
      </c>
      <c r="T7692" s="22">
        <f t="shared" si="729"/>
        <v>12</v>
      </c>
      <c r="U7692" s="22">
        <f t="shared" si="730"/>
        <v>2023</v>
      </c>
      <c r="V7692" s="22" t="str">
        <f t="shared" si="731"/>
        <v>METROPOLITANA</v>
      </c>
    </row>
    <row r="7693" spans="1:22" x14ac:dyDescent="0.2">
      <c r="A7693" s="23" t="s">
        <v>9327</v>
      </c>
      <c r="B7693" s="22" t="s">
        <v>33</v>
      </c>
      <c r="C7693" s="22" t="s">
        <v>44</v>
      </c>
      <c r="D7693" s="22" t="s">
        <v>370</v>
      </c>
      <c r="E7693" s="24">
        <v>94742285</v>
      </c>
      <c r="F7693" s="22" t="s">
        <v>66</v>
      </c>
      <c r="G7693" s="25">
        <v>8578.58</v>
      </c>
      <c r="H7693" s="22" t="s">
        <v>85</v>
      </c>
      <c r="I7693" s="22">
        <v>1</v>
      </c>
      <c r="J7693" s="22" t="s">
        <v>66</v>
      </c>
      <c r="K7693" s="22" t="s">
        <v>75</v>
      </c>
      <c r="L7693" s="22">
        <v>0</v>
      </c>
      <c r="M7693" s="26">
        <v>506000</v>
      </c>
      <c r="N7693" s="26">
        <v>0</v>
      </c>
      <c r="O7693" s="15">
        <f t="shared" si="736"/>
        <v>506000</v>
      </c>
      <c r="P7693" s="15">
        <f t="shared" si="737"/>
        <v>58.984120915116492</v>
      </c>
      <c r="Q7693" s="25">
        <v>14000</v>
      </c>
      <c r="R7693" s="22">
        <v>61</v>
      </c>
      <c r="S7693" s="22" t="s">
        <v>9335</v>
      </c>
      <c r="T7693" s="22">
        <f t="shared" si="729"/>
        <v>12</v>
      </c>
      <c r="U7693" s="22">
        <f t="shared" si="730"/>
        <v>2023</v>
      </c>
      <c r="V7693" s="22" t="str">
        <f t="shared" si="731"/>
        <v>REGIONES</v>
      </c>
    </row>
    <row r="7694" spans="1:22" x14ac:dyDescent="0.2">
      <c r="A7694" s="23" t="s">
        <v>9327</v>
      </c>
      <c r="B7694" s="22" t="s">
        <v>33</v>
      </c>
      <c r="C7694" s="22" t="s">
        <v>44</v>
      </c>
      <c r="D7694" s="22" t="s">
        <v>8580</v>
      </c>
      <c r="E7694" s="24">
        <v>27657747</v>
      </c>
      <c r="F7694" s="22" t="s">
        <v>182</v>
      </c>
      <c r="G7694" s="25">
        <v>2574.5</v>
      </c>
      <c r="H7694" s="22" t="s">
        <v>24</v>
      </c>
      <c r="I7694" s="22">
        <v>1</v>
      </c>
      <c r="J7694" s="22" t="s">
        <v>182</v>
      </c>
      <c r="K7694" s="22" t="s">
        <v>23</v>
      </c>
      <c r="L7694" s="22">
        <v>4</v>
      </c>
      <c r="M7694" s="26">
        <v>69173</v>
      </c>
      <c r="N7694" s="26">
        <v>0</v>
      </c>
      <c r="O7694" s="15">
        <f t="shared" si="736"/>
        <v>69173</v>
      </c>
      <c r="P7694" s="15">
        <f t="shared" si="737"/>
        <v>26.8685181588658</v>
      </c>
      <c r="Q7694" s="25">
        <v>5000</v>
      </c>
      <c r="R7694" s="22">
        <v>51</v>
      </c>
      <c r="S7694" s="22" t="s">
        <v>9336</v>
      </c>
      <c r="T7694" s="22">
        <f t="shared" si="729"/>
        <v>12</v>
      </c>
      <c r="U7694" s="22">
        <f t="shared" si="730"/>
        <v>2023</v>
      </c>
      <c r="V7694" s="22" t="str">
        <f t="shared" si="731"/>
        <v>METROPOLITANA</v>
      </c>
    </row>
    <row r="7695" spans="1:22" x14ac:dyDescent="0.2">
      <c r="A7695" s="23" t="s">
        <v>9327</v>
      </c>
      <c r="B7695" s="22" t="s">
        <v>33</v>
      </c>
      <c r="C7695" s="22" t="s">
        <v>44</v>
      </c>
      <c r="D7695" s="22" t="s">
        <v>9084</v>
      </c>
      <c r="E7695" s="24">
        <v>256738929</v>
      </c>
      <c r="F7695" s="22" t="s">
        <v>182</v>
      </c>
      <c r="G7695" s="25">
        <v>2672.32</v>
      </c>
      <c r="H7695" s="22" t="s">
        <v>24</v>
      </c>
      <c r="I7695" s="22">
        <v>1</v>
      </c>
      <c r="J7695" s="22" t="s">
        <v>182</v>
      </c>
      <c r="K7695" s="22" t="s">
        <v>23</v>
      </c>
      <c r="L7695" s="22">
        <v>4</v>
      </c>
      <c r="M7695" s="26">
        <v>69173</v>
      </c>
      <c r="N7695" s="26">
        <v>0</v>
      </c>
      <c r="O7695" s="15">
        <f t="shared" si="736"/>
        <v>69173</v>
      </c>
      <c r="P7695" s="15">
        <f t="shared" si="737"/>
        <v>25.884998802538618</v>
      </c>
      <c r="Q7695" s="25">
        <v>5000</v>
      </c>
      <c r="R7695" s="22">
        <v>53</v>
      </c>
      <c r="S7695" s="22" t="s">
        <v>9337</v>
      </c>
      <c r="T7695" s="22">
        <f t="shared" si="729"/>
        <v>12</v>
      </c>
      <c r="U7695" s="22">
        <f t="shared" si="730"/>
        <v>2023</v>
      </c>
      <c r="V7695" s="22" t="str">
        <f t="shared" si="731"/>
        <v>METROPOLITANA</v>
      </c>
    </row>
    <row r="7696" spans="1:22" x14ac:dyDescent="0.2">
      <c r="A7696" s="23" t="s">
        <v>9327</v>
      </c>
      <c r="B7696" s="22" t="s">
        <v>33</v>
      </c>
      <c r="C7696" s="22" t="s">
        <v>44</v>
      </c>
      <c r="D7696" s="22" t="s">
        <v>45</v>
      </c>
      <c r="E7696" s="24">
        <v>107643206</v>
      </c>
      <c r="F7696" s="22" t="s">
        <v>554</v>
      </c>
      <c r="G7696" s="25">
        <v>3583.829999999999</v>
      </c>
      <c r="H7696" s="22" t="s">
        <v>22</v>
      </c>
      <c r="I7696" s="22">
        <v>0</v>
      </c>
      <c r="J7696" s="22" t="s">
        <v>554</v>
      </c>
      <c r="K7696" s="22" t="s">
        <v>23</v>
      </c>
      <c r="L7696" s="22">
        <v>4</v>
      </c>
      <c r="M7696" s="26">
        <v>69173</v>
      </c>
      <c r="N7696" s="26">
        <v>0</v>
      </c>
      <c r="O7696" s="15">
        <f t="shared" si="736"/>
        <v>69173</v>
      </c>
      <c r="P7696" s="15">
        <f t="shared" si="737"/>
        <v>19.301417756980666</v>
      </c>
      <c r="Q7696" s="25">
        <v>5000</v>
      </c>
      <c r="R7696" s="22">
        <v>72</v>
      </c>
      <c r="S7696" s="22" t="s">
        <v>9338</v>
      </c>
      <c r="T7696" s="22">
        <f t="shared" si="729"/>
        <v>12</v>
      </c>
      <c r="U7696" s="22">
        <f t="shared" si="730"/>
        <v>2023</v>
      </c>
      <c r="V7696" s="22" t="str">
        <f t="shared" si="731"/>
        <v>METROPOLITANA</v>
      </c>
    </row>
    <row r="7697" spans="1:22" x14ac:dyDescent="0.2">
      <c r="A7697" s="23" t="s">
        <v>9327</v>
      </c>
      <c r="B7697" s="22" t="s">
        <v>33</v>
      </c>
      <c r="C7697" s="22" t="s">
        <v>44</v>
      </c>
      <c r="D7697" s="22" t="s">
        <v>20</v>
      </c>
      <c r="E7697" s="24">
        <v>78907355</v>
      </c>
      <c r="F7697" s="22" t="s">
        <v>46</v>
      </c>
      <c r="G7697" s="25">
        <v>2815.68</v>
      </c>
      <c r="H7697" s="22" t="s">
        <v>22</v>
      </c>
      <c r="I7697" s="22">
        <v>0</v>
      </c>
      <c r="J7697" s="22" t="s">
        <v>46</v>
      </c>
      <c r="K7697" s="22" t="s">
        <v>23</v>
      </c>
      <c r="L7697" s="22">
        <v>2</v>
      </c>
      <c r="M7697" s="26">
        <v>69173</v>
      </c>
      <c r="N7697" s="26">
        <v>0</v>
      </c>
      <c r="O7697" s="15">
        <f t="shared" si="736"/>
        <v>69173</v>
      </c>
      <c r="P7697" s="15">
        <f t="shared" si="737"/>
        <v>24.567067280372772</v>
      </c>
      <c r="Q7697" s="25">
        <v>5000</v>
      </c>
      <c r="R7697" s="22">
        <v>56</v>
      </c>
      <c r="S7697" s="22" t="s">
        <v>9339</v>
      </c>
      <c r="T7697" s="22">
        <f t="shared" si="729"/>
        <v>12</v>
      </c>
      <c r="U7697" s="22">
        <f t="shared" si="730"/>
        <v>2023</v>
      </c>
      <c r="V7697" s="22" t="str">
        <f t="shared" si="731"/>
        <v>METROPOLITANA</v>
      </c>
    </row>
    <row r="7698" spans="1:22" x14ac:dyDescent="0.2">
      <c r="A7698" s="11" t="s">
        <v>9340</v>
      </c>
      <c r="B7698" s="12" t="s">
        <v>18</v>
      </c>
      <c r="C7698" s="12" t="s">
        <v>799</v>
      </c>
      <c r="D7698" s="12" t="s">
        <v>38</v>
      </c>
      <c r="E7698" s="13">
        <v>125108660</v>
      </c>
      <c r="F7698" s="12" t="s">
        <v>161</v>
      </c>
      <c r="G7698" s="14">
        <v>3900.5</v>
      </c>
      <c r="H7698" s="12" t="s">
        <v>43</v>
      </c>
      <c r="I7698" s="12">
        <v>0</v>
      </c>
      <c r="J7698" s="12" t="s">
        <v>161</v>
      </c>
      <c r="K7698" s="12" t="s">
        <v>23</v>
      </c>
      <c r="L7698" s="12">
        <v>5</v>
      </c>
      <c r="M7698" s="15">
        <v>112500</v>
      </c>
      <c r="N7698" s="15">
        <v>0</v>
      </c>
      <c r="O7698" s="15">
        <f t="shared" ref="O7698:O7709" si="738">SUM(M7698:N7698)</f>
        <v>112500</v>
      </c>
      <c r="P7698" s="15">
        <f t="shared" ref="P7698:P7709" si="739">O7698/G7698</f>
        <v>28.842456095372388</v>
      </c>
      <c r="Q7698" s="14">
        <v>10000</v>
      </c>
      <c r="R7698" s="12">
        <v>39</v>
      </c>
      <c r="S7698" s="12" t="s">
        <v>9341</v>
      </c>
      <c r="T7698" s="22">
        <f t="shared" si="729"/>
        <v>12</v>
      </c>
      <c r="U7698" s="22">
        <f t="shared" si="730"/>
        <v>2023</v>
      </c>
      <c r="V7698" s="22" t="str">
        <f t="shared" si="731"/>
        <v>METROPOLITANA</v>
      </c>
    </row>
    <row r="7699" spans="1:22" x14ac:dyDescent="0.2">
      <c r="A7699" s="11" t="s">
        <v>9340</v>
      </c>
      <c r="B7699" s="12" t="s">
        <v>33</v>
      </c>
      <c r="C7699" s="12" t="s">
        <v>60</v>
      </c>
      <c r="D7699" s="12" t="s">
        <v>38</v>
      </c>
      <c r="E7699" s="13">
        <v>125108660</v>
      </c>
      <c r="F7699" s="12" t="s">
        <v>51</v>
      </c>
      <c r="G7699" s="14">
        <v>9755.1999999999971</v>
      </c>
      <c r="H7699" s="12" t="s">
        <v>43</v>
      </c>
      <c r="I7699" s="12">
        <v>0</v>
      </c>
      <c r="J7699" s="12" t="s">
        <v>51</v>
      </c>
      <c r="K7699" s="12" t="s">
        <v>23</v>
      </c>
      <c r="L7699" s="12">
        <v>4</v>
      </c>
      <c r="M7699" s="15">
        <v>107307</v>
      </c>
      <c r="N7699" s="15">
        <v>0</v>
      </c>
      <c r="O7699" s="15">
        <f t="shared" si="738"/>
        <v>107307</v>
      </c>
      <c r="P7699" s="15">
        <f t="shared" si="739"/>
        <v>10.999979498113829</v>
      </c>
      <c r="Q7699" s="14">
        <v>5000</v>
      </c>
      <c r="R7699" s="12">
        <v>100</v>
      </c>
      <c r="S7699" s="12" t="s">
        <v>9342</v>
      </c>
      <c r="T7699" s="22">
        <f t="shared" si="729"/>
        <v>12</v>
      </c>
      <c r="U7699" s="22">
        <f t="shared" si="730"/>
        <v>2023</v>
      </c>
      <c r="V7699" s="22" t="str">
        <f t="shared" si="731"/>
        <v>METROPOLITANA</v>
      </c>
    </row>
    <row r="7700" spans="1:22" x14ac:dyDescent="0.2">
      <c r="A7700" s="11" t="s">
        <v>9340</v>
      </c>
      <c r="B7700" s="12" t="s">
        <v>33</v>
      </c>
      <c r="C7700" s="12" t="s">
        <v>60</v>
      </c>
      <c r="D7700" s="12" t="s">
        <v>20</v>
      </c>
      <c r="E7700" s="13">
        <v>81417709</v>
      </c>
      <c r="F7700" s="12" t="s">
        <v>51</v>
      </c>
      <c r="G7700" s="14">
        <v>9004.7999999999975</v>
      </c>
      <c r="H7700" s="12" t="s">
        <v>22</v>
      </c>
      <c r="I7700" s="12">
        <v>0</v>
      </c>
      <c r="J7700" s="12" t="s">
        <v>51</v>
      </c>
      <c r="K7700" s="12" t="s">
        <v>23</v>
      </c>
      <c r="L7700" s="12">
        <v>4</v>
      </c>
      <c r="M7700" s="15">
        <v>99053</v>
      </c>
      <c r="N7700" s="15">
        <v>0</v>
      </c>
      <c r="O7700" s="15">
        <f t="shared" si="738"/>
        <v>99053</v>
      </c>
      <c r="P7700" s="15">
        <f t="shared" si="739"/>
        <v>11.000022210376692</v>
      </c>
      <c r="Q7700" s="14">
        <v>5000</v>
      </c>
      <c r="R7700" s="12">
        <v>100</v>
      </c>
      <c r="S7700" s="12" t="s">
        <v>9343</v>
      </c>
      <c r="T7700" s="22">
        <f t="shared" si="729"/>
        <v>12</v>
      </c>
      <c r="U7700" s="22">
        <f t="shared" si="730"/>
        <v>2023</v>
      </c>
      <c r="V7700" s="22" t="str">
        <f t="shared" si="731"/>
        <v>METROPOLITANA</v>
      </c>
    </row>
    <row r="7701" spans="1:22" x14ac:dyDescent="0.2">
      <c r="A7701" s="11" t="s">
        <v>9340</v>
      </c>
      <c r="B7701" s="12" t="s">
        <v>33</v>
      </c>
      <c r="C7701" s="12" t="s">
        <v>7148</v>
      </c>
      <c r="D7701" s="12" t="s">
        <v>8219</v>
      </c>
      <c r="E7701" s="13">
        <v>73835526</v>
      </c>
      <c r="F7701" s="12" t="s">
        <v>129</v>
      </c>
      <c r="G7701" s="14">
        <v>5381.02</v>
      </c>
      <c r="H7701" s="12" t="s">
        <v>24</v>
      </c>
      <c r="I7701" s="12">
        <v>1</v>
      </c>
      <c r="J7701" s="12" t="s">
        <v>129</v>
      </c>
      <c r="K7701" s="12" t="s">
        <v>23</v>
      </c>
      <c r="L7701" s="12">
        <v>1</v>
      </c>
      <c r="M7701" s="15">
        <v>59191</v>
      </c>
      <c r="N7701" s="15">
        <v>0</v>
      </c>
      <c r="O7701" s="15">
        <f t="shared" si="738"/>
        <v>59191</v>
      </c>
      <c r="P7701" s="15">
        <f t="shared" si="739"/>
        <v>10.999959115558015</v>
      </c>
      <c r="Q7701" s="14">
        <v>5000</v>
      </c>
      <c r="R7701" s="12">
        <v>100</v>
      </c>
      <c r="S7701" s="12" t="s">
        <v>9344</v>
      </c>
      <c r="T7701" s="22">
        <f t="shared" si="729"/>
        <v>12</v>
      </c>
      <c r="U7701" s="22">
        <f t="shared" si="730"/>
        <v>2023</v>
      </c>
      <c r="V7701" s="22" t="str">
        <f t="shared" si="731"/>
        <v>METROPOLITANA</v>
      </c>
    </row>
    <row r="7702" spans="1:22" x14ac:dyDescent="0.2">
      <c r="A7702" s="11" t="s">
        <v>9340</v>
      </c>
      <c r="B7702" s="12" t="s">
        <v>33</v>
      </c>
      <c r="C7702" s="12" t="s">
        <v>3361</v>
      </c>
      <c r="D7702" s="12" t="s">
        <v>20</v>
      </c>
      <c r="E7702" s="13">
        <v>78907355</v>
      </c>
      <c r="F7702" s="12" t="s">
        <v>34</v>
      </c>
      <c r="G7702" s="14">
        <v>7806.0000000000027</v>
      </c>
      <c r="H7702" s="12" t="s">
        <v>22</v>
      </c>
      <c r="I7702" s="12">
        <v>0</v>
      </c>
      <c r="J7702" s="12" t="s">
        <v>34</v>
      </c>
      <c r="K7702" s="12" t="s">
        <v>23</v>
      </c>
      <c r="L7702" s="12">
        <v>1</v>
      </c>
      <c r="M7702" s="15">
        <v>85866</v>
      </c>
      <c r="N7702" s="15">
        <v>0</v>
      </c>
      <c r="O7702" s="15">
        <f t="shared" si="738"/>
        <v>85866</v>
      </c>
      <c r="P7702" s="15">
        <f t="shared" si="739"/>
        <v>10.999999999999996</v>
      </c>
      <c r="Q7702" s="14">
        <v>5000</v>
      </c>
      <c r="R7702" s="12">
        <v>100</v>
      </c>
      <c r="S7702" s="12" t="s">
        <v>9345</v>
      </c>
      <c r="T7702" s="22">
        <f t="shared" si="729"/>
        <v>12</v>
      </c>
      <c r="U7702" s="22">
        <f t="shared" si="730"/>
        <v>2023</v>
      </c>
      <c r="V7702" s="22" t="str">
        <f t="shared" si="731"/>
        <v>METROPOLITANA</v>
      </c>
    </row>
    <row r="7703" spans="1:22" x14ac:dyDescent="0.2">
      <c r="A7703" s="11" t="s">
        <v>9340</v>
      </c>
      <c r="B7703" s="12" t="s">
        <v>33</v>
      </c>
      <c r="C7703" s="12" t="s">
        <v>29</v>
      </c>
      <c r="D7703" s="12" t="s">
        <v>7089</v>
      </c>
      <c r="E7703" s="13">
        <v>16374632</v>
      </c>
      <c r="F7703" s="12" t="s">
        <v>114</v>
      </c>
      <c r="G7703" s="14">
        <v>8244.0000000000036</v>
      </c>
      <c r="H7703" s="12" t="s">
        <v>24</v>
      </c>
      <c r="I7703" s="12">
        <v>1</v>
      </c>
      <c r="J7703" s="12" t="s">
        <v>114</v>
      </c>
      <c r="K7703" s="12" t="s">
        <v>75</v>
      </c>
      <c r="L7703" s="12">
        <v>0</v>
      </c>
      <c r="M7703" s="15">
        <v>528000</v>
      </c>
      <c r="N7703" s="15">
        <v>0</v>
      </c>
      <c r="O7703" s="15">
        <f t="shared" si="738"/>
        <v>528000</v>
      </c>
      <c r="P7703" s="15">
        <f t="shared" si="739"/>
        <v>64.046579330422091</v>
      </c>
      <c r="Q7703" s="14">
        <v>14000</v>
      </c>
      <c r="R7703" s="12">
        <v>59</v>
      </c>
      <c r="S7703" s="12" t="s">
        <v>9346</v>
      </c>
      <c r="T7703" s="22">
        <f t="shared" si="729"/>
        <v>12</v>
      </c>
      <c r="U7703" s="22">
        <f t="shared" si="730"/>
        <v>2023</v>
      </c>
      <c r="V7703" s="22" t="str">
        <f t="shared" si="731"/>
        <v>REGIONES</v>
      </c>
    </row>
    <row r="7704" spans="1:22" x14ac:dyDescent="0.2">
      <c r="A7704" s="11" t="s">
        <v>9340</v>
      </c>
      <c r="B7704" s="12" t="s">
        <v>33</v>
      </c>
      <c r="C7704" s="12" t="s">
        <v>29</v>
      </c>
      <c r="D7704" s="12" t="s">
        <v>7075</v>
      </c>
      <c r="E7704" s="13">
        <v>101495566</v>
      </c>
      <c r="F7704" s="12" t="s">
        <v>114</v>
      </c>
      <c r="G7704" s="14">
        <v>13919.419999999989</v>
      </c>
      <c r="H7704" s="12" t="s">
        <v>24</v>
      </c>
      <c r="I7704" s="12">
        <v>1</v>
      </c>
      <c r="J7704" s="12" t="s">
        <v>114</v>
      </c>
      <c r="K7704" s="12" t="s">
        <v>75</v>
      </c>
      <c r="L7704" s="12">
        <v>0</v>
      </c>
      <c r="M7704" s="15">
        <v>528000</v>
      </c>
      <c r="N7704" s="15">
        <v>0</v>
      </c>
      <c r="O7704" s="15">
        <f t="shared" si="738"/>
        <v>528000</v>
      </c>
      <c r="P7704" s="15">
        <f t="shared" si="739"/>
        <v>37.932615008383998</v>
      </c>
      <c r="Q7704" s="14">
        <v>14000</v>
      </c>
      <c r="R7704" s="12">
        <v>99</v>
      </c>
      <c r="S7704" s="12" t="s">
        <v>9347</v>
      </c>
      <c r="T7704" s="22">
        <f t="shared" ref="T7704:T7754" si="740">MONTH(A7704)</f>
        <v>12</v>
      </c>
      <c r="U7704" s="22">
        <f t="shared" ref="U7704:U7754" si="741">YEAR(A7704)</f>
        <v>2023</v>
      </c>
      <c r="V7704" s="22" t="str">
        <f t="shared" ref="V7704:V7754" si="742">IF(K7704="METROPOLITANA DE SANTIAGO","METROPOLITANA","REGIONES")</f>
        <v>REGIONES</v>
      </c>
    </row>
    <row r="7705" spans="1:22" x14ac:dyDescent="0.2">
      <c r="A7705" s="11" t="s">
        <v>9340</v>
      </c>
      <c r="B7705" s="12" t="s">
        <v>33</v>
      </c>
      <c r="C7705" s="12" t="s">
        <v>29</v>
      </c>
      <c r="D7705" s="12" t="s">
        <v>4733</v>
      </c>
      <c r="E7705" s="13">
        <v>968424431</v>
      </c>
      <c r="F7705" s="12" t="s">
        <v>132</v>
      </c>
      <c r="G7705" s="14">
        <v>12193.28</v>
      </c>
      <c r="H7705" s="12" t="s">
        <v>24</v>
      </c>
      <c r="I7705" s="12">
        <v>1</v>
      </c>
      <c r="J7705" s="12" t="s">
        <v>132</v>
      </c>
      <c r="K7705" s="12" t="s">
        <v>124</v>
      </c>
      <c r="L7705" s="12">
        <v>0</v>
      </c>
      <c r="M7705" s="15">
        <v>500000</v>
      </c>
      <c r="N7705" s="15">
        <v>0</v>
      </c>
      <c r="O7705" s="15">
        <f t="shared" si="738"/>
        <v>500000</v>
      </c>
      <c r="P7705" s="15">
        <f t="shared" si="739"/>
        <v>41.006193575477639</v>
      </c>
      <c r="Q7705" s="14">
        <v>14000</v>
      </c>
      <c r="R7705" s="12">
        <v>87</v>
      </c>
      <c r="S7705" s="12" t="s">
        <v>9348</v>
      </c>
      <c r="T7705" s="22">
        <f t="shared" si="740"/>
        <v>12</v>
      </c>
      <c r="U7705" s="22">
        <f t="shared" si="741"/>
        <v>2023</v>
      </c>
      <c r="V7705" s="22" t="str">
        <f t="shared" si="742"/>
        <v>REGIONES</v>
      </c>
    </row>
    <row r="7706" spans="1:22" x14ac:dyDescent="0.2">
      <c r="A7706" s="11" t="s">
        <v>9340</v>
      </c>
      <c r="B7706" s="12" t="s">
        <v>33</v>
      </c>
      <c r="C7706" s="12" t="s">
        <v>44</v>
      </c>
      <c r="D7706" s="12" t="s">
        <v>9349</v>
      </c>
      <c r="E7706" s="13">
        <v>104141730</v>
      </c>
      <c r="F7706" s="12" t="s">
        <v>114</v>
      </c>
      <c r="G7706" s="14">
        <f>9021.2+1015</f>
        <v>10036.200000000001</v>
      </c>
      <c r="H7706" s="12" t="s">
        <v>24</v>
      </c>
      <c r="I7706" s="12">
        <v>1</v>
      </c>
      <c r="J7706" s="12" t="s">
        <v>114</v>
      </c>
      <c r="K7706" s="12" t="s">
        <v>75</v>
      </c>
      <c r="L7706" s="12">
        <v>0</v>
      </c>
      <c r="M7706" s="15">
        <v>528000</v>
      </c>
      <c r="N7706" s="15">
        <v>0</v>
      </c>
      <c r="O7706" s="15">
        <f t="shared" si="738"/>
        <v>528000</v>
      </c>
      <c r="P7706" s="15">
        <f t="shared" si="739"/>
        <v>52.60955341663179</v>
      </c>
      <c r="Q7706" s="14">
        <v>14000</v>
      </c>
      <c r="R7706" s="12">
        <v>80</v>
      </c>
      <c r="S7706" s="12" t="s">
        <v>9353</v>
      </c>
      <c r="T7706" s="22">
        <f t="shared" si="740"/>
        <v>12</v>
      </c>
      <c r="U7706" s="22">
        <f t="shared" si="741"/>
        <v>2023</v>
      </c>
      <c r="V7706" s="22" t="str">
        <f t="shared" si="742"/>
        <v>REGIONES</v>
      </c>
    </row>
    <row r="7707" spans="1:22" x14ac:dyDescent="0.2">
      <c r="A7707" s="11" t="s">
        <v>9340</v>
      </c>
      <c r="B7707" s="12" t="s">
        <v>33</v>
      </c>
      <c r="C7707" s="12" t="s">
        <v>44</v>
      </c>
      <c r="D7707" s="12" t="s">
        <v>8580</v>
      </c>
      <c r="E7707" s="13">
        <v>276547747</v>
      </c>
      <c r="F7707" s="12" t="s">
        <v>95</v>
      </c>
      <c r="G7707" s="14">
        <v>2518.3000000000002</v>
      </c>
      <c r="H7707" s="12" t="s">
        <v>24</v>
      </c>
      <c r="I7707" s="12">
        <v>1</v>
      </c>
      <c r="J7707" s="12" t="s">
        <v>95</v>
      </c>
      <c r="K7707" s="12" t="s">
        <v>23</v>
      </c>
      <c r="L7707" s="12">
        <v>4</v>
      </c>
      <c r="M7707" s="15">
        <v>69173</v>
      </c>
      <c r="N7707" s="15">
        <v>0</v>
      </c>
      <c r="O7707" s="15">
        <f t="shared" si="738"/>
        <v>69173</v>
      </c>
      <c r="P7707" s="15">
        <f t="shared" si="739"/>
        <v>27.46813326450383</v>
      </c>
      <c r="Q7707" s="14">
        <v>5000</v>
      </c>
      <c r="R7707" s="12">
        <v>50</v>
      </c>
      <c r="S7707" s="12" t="s">
        <v>9350</v>
      </c>
      <c r="T7707" s="22">
        <f t="shared" si="740"/>
        <v>12</v>
      </c>
      <c r="U7707" s="22">
        <f t="shared" si="741"/>
        <v>2023</v>
      </c>
      <c r="V7707" s="22" t="str">
        <f t="shared" si="742"/>
        <v>METROPOLITANA</v>
      </c>
    </row>
    <row r="7708" spans="1:22" x14ac:dyDescent="0.2">
      <c r="A7708" s="11" t="s">
        <v>9340</v>
      </c>
      <c r="B7708" s="12" t="s">
        <v>33</v>
      </c>
      <c r="C7708" s="12" t="s">
        <v>44</v>
      </c>
      <c r="D7708" s="12" t="s">
        <v>9084</v>
      </c>
      <c r="E7708" s="13">
        <v>256738929</v>
      </c>
      <c r="F7708" s="12" t="s">
        <v>95</v>
      </c>
      <c r="G7708" s="14">
        <v>2812.4</v>
      </c>
      <c r="H7708" s="12" t="s">
        <v>24</v>
      </c>
      <c r="I7708" s="12">
        <v>1</v>
      </c>
      <c r="J7708" s="12" t="s">
        <v>95</v>
      </c>
      <c r="K7708" s="12" t="s">
        <v>23</v>
      </c>
      <c r="L7708" s="12">
        <v>4</v>
      </c>
      <c r="M7708" s="15">
        <v>69173</v>
      </c>
      <c r="N7708" s="15">
        <v>0</v>
      </c>
      <c r="O7708" s="15">
        <f t="shared" si="738"/>
        <v>69173</v>
      </c>
      <c r="P7708" s="15">
        <f t="shared" si="739"/>
        <v>24.595718958896317</v>
      </c>
      <c r="Q7708" s="14">
        <v>5000</v>
      </c>
      <c r="R7708" s="12">
        <v>56</v>
      </c>
      <c r="S7708" s="12" t="s">
        <v>9351</v>
      </c>
      <c r="T7708" s="22">
        <f t="shared" si="740"/>
        <v>12</v>
      </c>
      <c r="U7708" s="22">
        <f t="shared" si="741"/>
        <v>2023</v>
      </c>
      <c r="V7708" s="22" t="str">
        <f t="shared" si="742"/>
        <v>METROPOLITANA</v>
      </c>
    </row>
    <row r="7709" spans="1:22" x14ac:dyDescent="0.2">
      <c r="A7709" s="11" t="s">
        <v>9340</v>
      </c>
      <c r="B7709" s="12" t="s">
        <v>33</v>
      </c>
      <c r="C7709" s="12" t="s">
        <v>44</v>
      </c>
      <c r="D7709" s="12" t="s">
        <v>45</v>
      </c>
      <c r="E7709" s="13">
        <v>107643206</v>
      </c>
      <c r="F7709" s="12" t="s">
        <v>51</v>
      </c>
      <c r="G7709" s="14">
        <v>3109</v>
      </c>
      <c r="H7709" s="12" t="s">
        <v>22</v>
      </c>
      <c r="I7709" s="12">
        <v>0</v>
      </c>
      <c r="J7709" s="12" t="s">
        <v>51</v>
      </c>
      <c r="K7709" s="12" t="s">
        <v>23</v>
      </c>
      <c r="L7709" s="12">
        <v>4</v>
      </c>
      <c r="M7709" s="15">
        <v>69173</v>
      </c>
      <c r="N7709" s="15">
        <v>0</v>
      </c>
      <c r="O7709" s="15">
        <f t="shared" si="738"/>
        <v>69173</v>
      </c>
      <c r="P7709" s="15">
        <f t="shared" si="739"/>
        <v>22.249276294628498</v>
      </c>
      <c r="Q7709" s="14">
        <v>5000</v>
      </c>
      <c r="R7709" s="12">
        <v>62</v>
      </c>
      <c r="S7709" s="12" t="s">
        <v>9352</v>
      </c>
      <c r="T7709" s="22">
        <f t="shared" si="740"/>
        <v>12</v>
      </c>
      <c r="U7709" s="22">
        <f t="shared" si="741"/>
        <v>2023</v>
      </c>
      <c r="V7709" s="22" t="str">
        <f t="shared" si="742"/>
        <v>METROPOLITANA</v>
      </c>
    </row>
    <row r="7710" spans="1:22" x14ac:dyDescent="0.2">
      <c r="A7710" s="23" t="s">
        <v>9354</v>
      </c>
      <c r="B7710" s="22" t="s">
        <v>18</v>
      </c>
      <c r="C7710" s="22" t="s">
        <v>57</v>
      </c>
      <c r="D7710" s="22" t="s">
        <v>37</v>
      </c>
      <c r="E7710" s="24">
        <v>81417709</v>
      </c>
      <c r="F7710" s="22" t="s">
        <v>26</v>
      </c>
      <c r="G7710" s="25">
        <f>9755.86+2526</f>
        <v>12281.86</v>
      </c>
      <c r="H7710" s="22" t="s">
        <v>22</v>
      </c>
      <c r="I7710" s="22">
        <v>0</v>
      </c>
      <c r="J7710" s="22" t="s">
        <v>26</v>
      </c>
      <c r="K7710" s="22" t="s">
        <v>23</v>
      </c>
      <c r="L7710" s="22">
        <v>4</v>
      </c>
      <c r="M7710" s="26">
        <v>107314</v>
      </c>
      <c r="N7710" s="26">
        <v>0</v>
      </c>
      <c r="O7710" s="15">
        <f t="shared" ref="O7710:O7730" si="743">SUM(M7710:N7710)</f>
        <v>107314</v>
      </c>
      <c r="P7710" s="15">
        <f t="shared" ref="P7710:P7730" si="744">O7710/G7710</f>
        <v>8.7376016336287829</v>
      </c>
      <c r="Q7710" s="25">
        <v>5000</v>
      </c>
      <c r="R7710" s="22">
        <v>100</v>
      </c>
      <c r="S7710" s="22" t="s">
        <v>9374</v>
      </c>
      <c r="T7710" s="22">
        <f t="shared" si="740"/>
        <v>12</v>
      </c>
      <c r="U7710" s="22">
        <f t="shared" si="741"/>
        <v>2023</v>
      </c>
      <c r="V7710" s="22" t="str">
        <f t="shared" si="742"/>
        <v>METROPOLITANA</v>
      </c>
    </row>
    <row r="7711" spans="1:22" x14ac:dyDescent="0.2">
      <c r="A7711" s="23" t="s">
        <v>9354</v>
      </c>
      <c r="B7711" s="22" t="s">
        <v>33</v>
      </c>
      <c r="C7711" s="22" t="s">
        <v>128</v>
      </c>
      <c r="D7711" s="22" t="s">
        <v>786</v>
      </c>
      <c r="E7711" s="24">
        <v>95707734</v>
      </c>
      <c r="F7711" s="22" t="s">
        <v>34</v>
      </c>
      <c r="G7711" s="25">
        <v>12320.070000000011</v>
      </c>
      <c r="H7711" s="22" t="s">
        <v>788</v>
      </c>
      <c r="I7711" s="22">
        <v>1</v>
      </c>
      <c r="J7711" s="22" t="s">
        <v>34</v>
      </c>
      <c r="K7711" s="22" t="s">
        <v>23</v>
      </c>
      <c r="L7711" s="22">
        <v>1</v>
      </c>
      <c r="M7711" s="26">
        <v>135521</v>
      </c>
      <c r="N7711" s="26">
        <v>0</v>
      </c>
      <c r="O7711" s="15">
        <f t="shared" si="743"/>
        <v>135521</v>
      </c>
      <c r="P7711" s="15">
        <f t="shared" si="744"/>
        <v>11.000018668725087</v>
      </c>
      <c r="Q7711" s="25">
        <v>5000</v>
      </c>
      <c r="R7711" s="22">
        <v>100</v>
      </c>
      <c r="S7711" s="22" t="s">
        <v>9355</v>
      </c>
      <c r="T7711" s="22">
        <f t="shared" si="740"/>
        <v>12</v>
      </c>
      <c r="U7711" s="22">
        <f t="shared" si="741"/>
        <v>2023</v>
      </c>
      <c r="V7711" s="22" t="str">
        <f t="shared" si="742"/>
        <v>METROPOLITANA</v>
      </c>
    </row>
    <row r="7712" spans="1:22" x14ac:dyDescent="0.2">
      <c r="A7712" s="23" t="s">
        <v>9354</v>
      </c>
      <c r="B7712" s="22" t="s">
        <v>33</v>
      </c>
      <c r="C7712" s="22" t="s">
        <v>128</v>
      </c>
      <c r="D7712" s="22" t="s">
        <v>2955</v>
      </c>
      <c r="E7712" s="24">
        <v>65941082</v>
      </c>
      <c r="F7712" s="22" t="s">
        <v>34</v>
      </c>
      <c r="G7712" s="25">
        <v>11818.990000000011</v>
      </c>
      <c r="H7712" s="22" t="s">
        <v>24</v>
      </c>
      <c r="I7712" s="22">
        <v>1</v>
      </c>
      <c r="J7712" s="22" t="s">
        <v>34</v>
      </c>
      <c r="K7712" s="22" t="s">
        <v>23</v>
      </c>
      <c r="L7712" s="22">
        <v>1</v>
      </c>
      <c r="M7712" s="26">
        <v>130009</v>
      </c>
      <c r="N7712" s="26">
        <v>0</v>
      </c>
      <c r="O7712" s="15">
        <f t="shared" si="743"/>
        <v>130009</v>
      </c>
      <c r="P7712" s="15">
        <f t="shared" si="744"/>
        <v>11.000009307055839</v>
      </c>
      <c r="Q7712" s="25">
        <v>5000</v>
      </c>
      <c r="R7712" s="22">
        <v>100</v>
      </c>
      <c r="S7712" s="22" t="s">
        <v>9356</v>
      </c>
      <c r="T7712" s="22">
        <f t="shared" si="740"/>
        <v>12</v>
      </c>
      <c r="U7712" s="22">
        <f t="shared" si="741"/>
        <v>2023</v>
      </c>
      <c r="V7712" s="22" t="str">
        <f t="shared" si="742"/>
        <v>METROPOLITANA</v>
      </c>
    </row>
    <row r="7713" spans="1:22" x14ac:dyDescent="0.2">
      <c r="A7713" s="23" t="s">
        <v>9354</v>
      </c>
      <c r="B7713" s="22" t="s">
        <v>33</v>
      </c>
      <c r="C7713" s="22" t="s">
        <v>29</v>
      </c>
      <c r="D7713" s="22" t="s">
        <v>38</v>
      </c>
      <c r="E7713" s="24">
        <v>125108660</v>
      </c>
      <c r="F7713" s="22" t="s">
        <v>39</v>
      </c>
      <c r="G7713" s="25">
        <v>13814.28</v>
      </c>
      <c r="H7713" s="22" t="s">
        <v>43</v>
      </c>
      <c r="I7713" s="22">
        <v>0</v>
      </c>
      <c r="J7713" s="22" t="s">
        <v>39</v>
      </c>
      <c r="K7713" s="22" t="s">
        <v>23</v>
      </c>
      <c r="L7713" s="22">
        <v>1</v>
      </c>
      <c r="M7713" s="26">
        <v>151957</v>
      </c>
      <c r="N7713" s="26">
        <v>0</v>
      </c>
      <c r="O7713" s="15">
        <f t="shared" si="743"/>
        <v>151957</v>
      </c>
      <c r="P7713" s="15">
        <f t="shared" si="744"/>
        <v>10.999994208891088</v>
      </c>
      <c r="Q7713" s="25">
        <v>5000</v>
      </c>
      <c r="R7713" s="22">
        <v>100</v>
      </c>
      <c r="S7713" s="22" t="s">
        <v>9357</v>
      </c>
      <c r="T7713" s="22">
        <f t="shared" si="740"/>
        <v>12</v>
      </c>
      <c r="U7713" s="22">
        <f t="shared" si="741"/>
        <v>2023</v>
      </c>
      <c r="V7713" s="22" t="str">
        <f t="shared" si="742"/>
        <v>METROPOLITANA</v>
      </c>
    </row>
    <row r="7714" spans="1:22" x14ac:dyDescent="0.2">
      <c r="A7714" s="23" t="s">
        <v>9354</v>
      </c>
      <c r="B7714" s="22" t="s">
        <v>33</v>
      </c>
      <c r="C7714" s="22" t="s">
        <v>29</v>
      </c>
      <c r="D7714" s="22" t="s">
        <v>8219</v>
      </c>
      <c r="E7714" s="24">
        <v>73835526</v>
      </c>
      <c r="F7714" s="22" t="s">
        <v>173</v>
      </c>
      <c r="G7714" s="25">
        <v>3852.84</v>
      </c>
      <c r="H7714" s="22" t="s">
        <v>24</v>
      </c>
      <c r="I7714" s="22">
        <v>1</v>
      </c>
      <c r="J7714" s="22" t="s">
        <v>173</v>
      </c>
      <c r="K7714" s="22" t="s">
        <v>23</v>
      </c>
      <c r="L7714" s="22">
        <v>5</v>
      </c>
      <c r="M7714" s="26">
        <v>180000</v>
      </c>
      <c r="N7714" s="26">
        <v>0</v>
      </c>
      <c r="O7714" s="15">
        <f t="shared" si="743"/>
        <v>180000</v>
      </c>
      <c r="P7714" s="15">
        <f t="shared" si="744"/>
        <v>46.718784065780049</v>
      </c>
      <c r="Q7714" s="25">
        <v>10000</v>
      </c>
      <c r="R7714" s="22">
        <v>39</v>
      </c>
      <c r="S7714" s="22" t="s">
        <v>9358</v>
      </c>
      <c r="T7714" s="22">
        <f t="shared" si="740"/>
        <v>12</v>
      </c>
      <c r="U7714" s="22">
        <f t="shared" si="741"/>
        <v>2023</v>
      </c>
      <c r="V7714" s="22" t="str">
        <f t="shared" si="742"/>
        <v>METROPOLITANA</v>
      </c>
    </row>
    <row r="7715" spans="1:22" x14ac:dyDescent="0.2">
      <c r="A7715" s="23" t="s">
        <v>9354</v>
      </c>
      <c r="B7715" s="22" t="s">
        <v>33</v>
      </c>
      <c r="C7715" s="22" t="s">
        <v>29</v>
      </c>
      <c r="D7715" s="22" t="s">
        <v>164</v>
      </c>
      <c r="E7715" s="24">
        <v>154837728</v>
      </c>
      <c r="F7715" s="22" t="s">
        <v>39</v>
      </c>
      <c r="G7715" s="25">
        <v>13718.11</v>
      </c>
      <c r="H7715" s="22" t="s">
        <v>22</v>
      </c>
      <c r="I7715" s="22">
        <v>1</v>
      </c>
      <c r="J7715" s="22" t="s">
        <v>39</v>
      </c>
      <c r="K7715" s="22" t="s">
        <v>23</v>
      </c>
      <c r="L7715" s="22">
        <v>1</v>
      </c>
      <c r="M7715" s="26">
        <v>150899</v>
      </c>
      <c r="N7715" s="26">
        <v>0</v>
      </c>
      <c r="O7715" s="15">
        <f t="shared" si="743"/>
        <v>150899</v>
      </c>
      <c r="P7715" s="15">
        <f t="shared" si="744"/>
        <v>10.999984691768764</v>
      </c>
      <c r="Q7715" s="25">
        <v>5000</v>
      </c>
      <c r="R7715" s="22">
        <v>100</v>
      </c>
      <c r="S7715" s="22" t="s">
        <v>9359</v>
      </c>
      <c r="T7715" s="22">
        <f t="shared" si="740"/>
        <v>12</v>
      </c>
      <c r="U7715" s="22">
        <f t="shared" si="741"/>
        <v>2023</v>
      </c>
      <c r="V7715" s="22" t="str">
        <f t="shared" si="742"/>
        <v>METROPOLITANA</v>
      </c>
    </row>
    <row r="7716" spans="1:22" x14ac:dyDescent="0.2">
      <c r="A7716" s="23" t="s">
        <v>9354</v>
      </c>
      <c r="B7716" s="22" t="s">
        <v>33</v>
      </c>
      <c r="C7716" s="22" t="s">
        <v>44</v>
      </c>
      <c r="D7716" s="22" t="s">
        <v>636</v>
      </c>
      <c r="E7716" s="24">
        <v>113693568</v>
      </c>
      <c r="F7716" s="22" t="s">
        <v>815</v>
      </c>
      <c r="G7716" s="25">
        <f>6153.42+5053</f>
        <v>11206.42</v>
      </c>
      <c r="H7716" s="22" t="s">
        <v>85</v>
      </c>
      <c r="I7716" s="22">
        <v>1</v>
      </c>
      <c r="J7716" s="22" t="s">
        <v>815</v>
      </c>
      <c r="K7716" s="22" t="s">
        <v>75</v>
      </c>
      <c r="L7716" s="22">
        <v>0</v>
      </c>
      <c r="M7716" s="26">
        <v>528000</v>
      </c>
      <c r="N7716" s="26">
        <v>0</v>
      </c>
      <c r="O7716" s="15">
        <f t="shared" si="743"/>
        <v>528000</v>
      </c>
      <c r="P7716" s="15">
        <f t="shared" si="744"/>
        <v>47.115849664745745</v>
      </c>
      <c r="Q7716" s="25">
        <v>14000</v>
      </c>
      <c r="R7716" s="22">
        <v>80</v>
      </c>
      <c r="S7716" s="22" t="s">
        <v>9375</v>
      </c>
      <c r="T7716" s="22">
        <f t="shared" si="740"/>
        <v>12</v>
      </c>
      <c r="U7716" s="22">
        <f t="shared" si="741"/>
        <v>2023</v>
      </c>
      <c r="V7716" s="22" t="str">
        <f t="shared" si="742"/>
        <v>REGIONES</v>
      </c>
    </row>
    <row r="7717" spans="1:22" x14ac:dyDescent="0.2">
      <c r="A7717" s="23" t="s">
        <v>9354</v>
      </c>
      <c r="B7717" s="22" t="s">
        <v>33</v>
      </c>
      <c r="C7717" s="22" t="s">
        <v>44</v>
      </c>
      <c r="D7717" s="22" t="s">
        <v>45</v>
      </c>
      <c r="E7717" s="24">
        <v>107643206</v>
      </c>
      <c r="F7717" s="22" t="s">
        <v>34</v>
      </c>
      <c r="G7717" s="25">
        <v>3081.02</v>
      </c>
      <c r="H7717" s="22" t="s">
        <v>22</v>
      </c>
      <c r="I7717" s="22">
        <v>0</v>
      </c>
      <c r="J7717" s="22" t="s">
        <v>34</v>
      </c>
      <c r="K7717" s="22" t="s">
        <v>23</v>
      </c>
      <c r="L7717" s="22">
        <v>1</v>
      </c>
      <c r="M7717" s="26">
        <v>69173</v>
      </c>
      <c r="N7717" s="26">
        <v>0</v>
      </c>
      <c r="O7717" s="15">
        <f t="shared" si="743"/>
        <v>69173</v>
      </c>
      <c r="P7717" s="15">
        <f t="shared" si="744"/>
        <v>22.451331052703324</v>
      </c>
      <c r="Q7717" s="25">
        <v>5000</v>
      </c>
      <c r="R7717" s="22">
        <v>62</v>
      </c>
      <c r="S7717" s="22" t="s">
        <v>9360</v>
      </c>
      <c r="T7717" s="22">
        <f t="shared" si="740"/>
        <v>12</v>
      </c>
      <c r="U7717" s="22">
        <f t="shared" si="741"/>
        <v>2023</v>
      </c>
      <c r="V7717" s="22" t="str">
        <f t="shared" si="742"/>
        <v>METROPOLITANA</v>
      </c>
    </row>
    <row r="7718" spans="1:22" x14ac:dyDescent="0.2">
      <c r="A7718" s="11" t="s">
        <v>9361</v>
      </c>
      <c r="B7718" s="12" t="s">
        <v>18</v>
      </c>
      <c r="C7718" s="12" t="s">
        <v>57</v>
      </c>
      <c r="D7718" s="12" t="s">
        <v>38</v>
      </c>
      <c r="E7718" s="13">
        <v>125108660</v>
      </c>
      <c r="F7718" s="12" t="s">
        <v>26</v>
      </c>
      <c r="G7718" s="14">
        <f>7420.85+2405</f>
        <v>9825.85</v>
      </c>
      <c r="H7718" s="12" t="s">
        <v>43</v>
      </c>
      <c r="I7718" s="12">
        <v>0</v>
      </c>
      <c r="J7718" s="12" t="s">
        <v>26</v>
      </c>
      <c r="K7718" s="12" t="s">
        <v>23</v>
      </c>
      <c r="L7718" s="12">
        <v>4</v>
      </c>
      <c r="M7718" s="15">
        <v>81629</v>
      </c>
      <c r="N7718" s="15">
        <v>0</v>
      </c>
      <c r="O7718" s="15">
        <f t="shared" si="743"/>
        <v>81629</v>
      </c>
      <c r="P7718" s="15">
        <f t="shared" si="744"/>
        <v>8.3075764437682231</v>
      </c>
      <c r="Q7718" s="14">
        <v>5000</v>
      </c>
      <c r="R7718" s="12">
        <v>100</v>
      </c>
      <c r="S7718" s="12" t="s">
        <v>9376</v>
      </c>
      <c r="T7718" s="22">
        <f t="shared" si="740"/>
        <v>12</v>
      </c>
      <c r="U7718" s="22">
        <f t="shared" si="741"/>
        <v>2023</v>
      </c>
      <c r="V7718" s="22" t="str">
        <f t="shared" si="742"/>
        <v>METROPOLITANA</v>
      </c>
    </row>
    <row r="7719" spans="1:22" x14ac:dyDescent="0.2">
      <c r="A7719" s="11" t="s">
        <v>9361</v>
      </c>
      <c r="B7719" s="12" t="s">
        <v>18</v>
      </c>
      <c r="C7719" s="12" t="s">
        <v>1525</v>
      </c>
      <c r="D7719" s="12" t="s">
        <v>786</v>
      </c>
      <c r="E7719" s="13">
        <v>95707734</v>
      </c>
      <c r="F7719" s="12" t="s">
        <v>127</v>
      </c>
      <c r="G7719" s="14">
        <v>21656.61</v>
      </c>
      <c r="H7719" s="12" t="s">
        <v>788</v>
      </c>
      <c r="I7719" s="12">
        <v>1</v>
      </c>
      <c r="J7719" s="12" t="s">
        <v>127</v>
      </c>
      <c r="K7719" s="12" t="s">
        <v>78</v>
      </c>
      <c r="L7719" s="12">
        <v>0</v>
      </c>
      <c r="M7719" s="15">
        <v>289000</v>
      </c>
      <c r="N7719" s="15">
        <v>0</v>
      </c>
      <c r="O7719" s="15">
        <f t="shared" si="743"/>
        <v>289000</v>
      </c>
      <c r="P7719" s="15">
        <f t="shared" si="744"/>
        <v>13.344655511642864</v>
      </c>
      <c r="Q7719" s="14">
        <v>14000</v>
      </c>
      <c r="R7719" s="12">
        <v>100</v>
      </c>
      <c r="S7719" s="12" t="s">
        <v>9362</v>
      </c>
      <c r="T7719" s="22">
        <f t="shared" si="740"/>
        <v>12</v>
      </c>
      <c r="U7719" s="22">
        <f t="shared" si="741"/>
        <v>2023</v>
      </c>
      <c r="V7719" s="22" t="str">
        <f t="shared" si="742"/>
        <v>REGIONES</v>
      </c>
    </row>
    <row r="7720" spans="1:22" x14ac:dyDescent="0.2">
      <c r="A7720" s="11" t="s">
        <v>9361</v>
      </c>
      <c r="B7720" s="12" t="s">
        <v>18</v>
      </c>
      <c r="C7720" s="12" t="s">
        <v>5571</v>
      </c>
      <c r="D7720" s="12" t="s">
        <v>2955</v>
      </c>
      <c r="E7720" s="13">
        <v>65941082</v>
      </c>
      <c r="F7720" s="12" t="s">
        <v>170</v>
      </c>
      <c r="G7720" s="14">
        <v>18067</v>
      </c>
      <c r="H7720" s="12" t="s">
        <v>24</v>
      </c>
      <c r="I7720" s="12">
        <v>1</v>
      </c>
      <c r="J7720" s="12" t="s">
        <v>170</v>
      </c>
      <c r="K7720" s="12" t="s">
        <v>171</v>
      </c>
      <c r="L7720" s="12">
        <v>0</v>
      </c>
      <c r="M7720" s="15">
        <v>289000</v>
      </c>
      <c r="N7720" s="15">
        <v>0</v>
      </c>
      <c r="O7720" s="15">
        <f t="shared" si="743"/>
        <v>289000</v>
      </c>
      <c r="P7720" s="15">
        <f t="shared" si="744"/>
        <v>15.996014833674655</v>
      </c>
      <c r="Q7720" s="14">
        <v>14000</v>
      </c>
      <c r="R7720" s="12">
        <v>100</v>
      </c>
      <c r="S7720" s="12" t="s">
        <v>9363</v>
      </c>
      <c r="T7720" s="22">
        <f t="shared" si="740"/>
        <v>12</v>
      </c>
      <c r="U7720" s="22">
        <f t="shared" si="741"/>
        <v>2023</v>
      </c>
      <c r="V7720" s="22" t="str">
        <f t="shared" si="742"/>
        <v>REGIONES</v>
      </c>
    </row>
    <row r="7721" spans="1:22" x14ac:dyDescent="0.2">
      <c r="A7721" s="11" t="s">
        <v>9361</v>
      </c>
      <c r="B7721" s="12" t="s">
        <v>33</v>
      </c>
      <c r="C7721" s="12" t="s">
        <v>60</v>
      </c>
      <c r="D7721" s="12" t="s">
        <v>3641</v>
      </c>
      <c r="E7721" s="13">
        <v>100822326</v>
      </c>
      <c r="F7721" s="12" t="s">
        <v>9364</v>
      </c>
      <c r="G7721" s="14">
        <v>10561.6</v>
      </c>
      <c r="H7721" s="12" t="s">
        <v>24</v>
      </c>
      <c r="I7721" s="12">
        <v>1</v>
      </c>
      <c r="J7721" s="12" t="s">
        <v>9364</v>
      </c>
      <c r="K7721" s="12" t="s">
        <v>124</v>
      </c>
      <c r="L7721" s="12">
        <v>0</v>
      </c>
      <c r="M7721" s="15">
        <v>528000</v>
      </c>
      <c r="N7721" s="15">
        <v>0</v>
      </c>
      <c r="O7721" s="15">
        <f t="shared" si="743"/>
        <v>528000</v>
      </c>
      <c r="P7721" s="15">
        <f t="shared" si="744"/>
        <v>49.992425390092407</v>
      </c>
      <c r="Q7721" s="14">
        <v>14000</v>
      </c>
      <c r="R7721" s="12">
        <v>75</v>
      </c>
      <c r="S7721" s="12" t="s">
        <v>9365</v>
      </c>
      <c r="T7721" s="22">
        <f t="shared" si="740"/>
        <v>12</v>
      </c>
      <c r="U7721" s="22">
        <f t="shared" si="741"/>
        <v>2023</v>
      </c>
      <c r="V7721" s="22" t="str">
        <f t="shared" si="742"/>
        <v>REGIONES</v>
      </c>
    </row>
    <row r="7722" spans="1:22" x14ac:dyDescent="0.2">
      <c r="A7722" s="11" t="s">
        <v>9361</v>
      </c>
      <c r="B7722" s="12" t="s">
        <v>33</v>
      </c>
      <c r="C7722" s="12" t="s">
        <v>60</v>
      </c>
      <c r="D7722" s="12" t="s">
        <v>2028</v>
      </c>
      <c r="E7722" s="13">
        <v>81417709</v>
      </c>
      <c r="F7722" s="12" t="s">
        <v>9366</v>
      </c>
      <c r="G7722" s="14">
        <f>8804+3681</f>
        <v>12485</v>
      </c>
      <c r="H7722" s="12" t="s">
        <v>22</v>
      </c>
      <c r="I7722" s="12">
        <v>1</v>
      </c>
      <c r="J7722" s="12" t="s">
        <v>9366</v>
      </c>
      <c r="K7722" s="12" t="s">
        <v>78</v>
      </c>
      <c r="L7722" s="12">
        <v>0</v>
      </c>
      <c r="M7722" s="15">
        <v>230000</v>
      </c>
      <c r="N7722" s="15">
        <v>0</v>
      </c>
      <c r="O7722" s="15">
        <f t="shared" si="743"/>
        <v>230000</v>
      </c>
      <c r="P7722" s="15">
        <f t="shared" si="744"/>
        <v>18.4221065278334</v>
      </c>
      <c r="Q7722" s="14">
        <v>14000</v>
      </c>
      <c r="R7722" s="12">
        <v>100</v>
      </c>
      <c r="S7722" s="12" t="s">
        <v>9377</v>
      </c>
      <c r="T7722" s="22">
        <f t="shared" si="740"/>
        <v>12</v>
      </c>
      <c r="U7722" s="22">
        <f t="shared" si="741"/>
        <v>2023</v>
      </c>
      <c r="V7722" s="22" t="str">
        <f t="shared" si="742"/>
        <v>REGIONES</v>
      </c>
    </row>
    <row r="7723" spans="1:22" x14ac:dyDescent="0.2">
      <c r="A7723" s="11" t="s">
        <v>9361</v>
      </c>
      <c r="B7723" s="12" t="s">
        <v>33</v>
      </c>
      <c r="C7723" s="12" t="s">
        <v>60</v>
      </c>
      <c r="D7723" s="12" t="s">
        <v>20</v>
      </c>
      <c r="E7723" s="13">
        <v>78907355</v>
      </c>
      <c r="F7723" s="12" t="s">
        <v>173</v>
      </c>
      <c r="G7723" s="14">
        <v>7503.9999999999973</v>
      </c>
      <c r="H7723" s="12" t="s">
        <v>22</v>
      </c>
      <c r="I7723" s="12">
        <v>0</v>
      </c>
      <c r="J7723" s="12" t="s">
        <v>173</v>
      </c>
      <c r="K7723" s="12" t="s">
        <v>23</v>
      </c>
      <c r="L7723" s="12">
        <v>5</v>
      </c>
      <c r="M7723" s="15">
        <v>112500</v>
      </c>
      <c r="N7723" s="15">
        <v>0</v>
      </c>
      <c r="O7723" s="15">
        <f t="shared" si="743"/>
        <v>112500</v>
      </c>
      <c r="P7723" s="15">
        <f t="shared" si="744"/>
        <v>14.99200426439233</v>
      </c>
      <c r="Q7723" s="14">
        <v>10000</v>
      </c>
      <c r="R7723" s="12">
        <v>75</v>
      </c>
      <c r="S7723" s="12" t="s">
        <v>9367</v>
      </c>
      <c r="T7723" s="22">
        <f t="shared" si="740"/>
        <v>12</v>
      </c>
      <c r="U7723" s="22">
        <f t="shared" si="741"/>
        <v>2023</v>
      </c>
      <c r="V7723" s="22" t="str">
        <f t="shared" si="742"/>
        <v>METROPOLITANA</v>
      </c>
    </row>
    <row r="7724" spans="1:22" x14ac:dyDescent="0.2">
      <c r="A7724" s="11" t="s">
        <v>9361</v>
      </c>
      <c r="B7724" s="12" t="s">
        <v>33</v>
      </c>
      <c r="C7724" s="12" t="s">
        <v>8183</v>
      </c>
      <c r="D7724" s="12" t="s">
        <v>45</v>
      </c>
      <c r="E7724" s="13">
        <v>107643206</v>
      </c>
      <c r="F7724" s="12" t="s">
        <v>129</v>
      </c>
      <c r="G7724" s="14">
        <v>1700.4</v>
      </c>
      <c r="H7724" s="12" t="s">
        <v>22</v>
      </c>
      <c r="I7724" s="12">
        <v>0</v>
      </c>
      <c r="J7724" s="12" t="s">
        <v>129</v>
      </c>
      <c r="K7724" s="12" t="s">
        <v>23</v>
      </c>
      <c r="L7724" s="12">
        <v>1</v>
      </c>
      <c r="M7724" s="15">
        <v>69173</v>
      </c>
      <c r="N7724" s="15">
        <v>0</v>
      </c>
      <c r="O7724" s="15">
        <f t="shared" si="743"/>
        <v>69173</v>
      </c>
      <c r="P7724" s="15">
        <f t="shared" si="744"/>
        <v>40.680428134556571</v>
      </c>
      <c r="Q7724" s="14">
        <v>5000</v>
      </c>
      <c r="R7724" s="12">
        <v>34</v>
      </c>
      <c r="S7724" s="12" t="s">
        <v>9368</v>
      </c>
      <c r="T7724" s="22">
        <f t="shared" si="740"/>
        <v>12</v>
      </c>
      <c r="U7724" s="22">
        <f t="shared" si="741"/>
        <v>2023</v>
      </c>
      <c r="V7724" s="22" t="str">
        <f t="shared" si="742"/>
        <v>METROPOLITANA</v>
      </c>
    </row>
    <row r="7725" spans="1:22" x14ac:dyDescent="0.2">
      <c r="A7725" s="11" t="s">
        <v>9361</v>
      </c>
      <c r="B7725" s="12" t="s">
        <v>33</v>
      </c>
      <c r="C7725" s="12" t="s">
        <v>36</v>
      </c>
      <c r="D7725" s="12" t="s">
        <v>5478</v>
      </c>
      <c r="E7725" s="13">
        <v>122975819</v>
      </c>
      <c r="F7725" s="12" t="s">
        <v>691</v>
      </c>
      <c r="G7725" s="14">
        <v>6155.7200000000012</v>
      </c>
      <c r="H7725" s="12" t="s">
        <v>24</v>
      </c>
      <c r="I7725" s="12">
        <v>1</v>
      </c>
      <c r="J7725" s="12" t="s">
        <v>691</v>
      </c>
      <c r="K7725" s="12" t="s">
        <v>873</v>
      </c>
      <c r="L7725" s="12">
        <v>0</v>
      </c>
      <c r="M7725" s="15">
        <v>1282000</v>
      </c>
      <c r="N7725" s="15">
        <v>0</v>
      </c>
      <c r="O7725" s="15">
        <f t="shared" si="743"/>
        <v>1282000</v>
      </c>
      <c r="P7725" s="15">
        <f t="shared" si="744"/>
        <v>208.26158434756613</v>
      </c>
      <c r="Q7725" s="14">
        <v>14000</v>
      </c>
      <c r="R7725" s="12">
        <v>44</v>
      </c>
      <c r="S7725" s="12" t="s">
        <v>9369</v>
      </c>
      <c r="T7725" s="22">
        <f t="shared" si="740"/>
        <v>12</v>
      </c>
      <c r="U7725" s="22">
        <f t="shared" si="741"/>
        <v>2023</v>
      </c>
      <c r="V7725" s="22" t="str">
        <f t="shared" si="742"/>
        <v>REGIONES</v>
      </c>
    </row>
    <row r="7726" spans="1:22" x14ac:dyDescent="0.2">
      <c r="A7726" s="11" t="s">
        <v>9361</v>
      </c>
      <c r="B7726" s="12" t="s">
        <v>33</v>
      </c>
      <c r="C7726" s="12" t="s">
        <v>36</v>
      </c>
      <c r="D7726" s="12" t="s">
        <v>37</v>
      </c>
      <c r="E7726" s="13">
        <v>78907355</v>
      </c>
      <c r="F7726" s="12" t="s">
        <v>308</v>
      </c>
      <c r="G7726" s="14">
        <v>6676.119999999999</v>
      </c>
      <c r="H7726" s="12" t="s">
        <v>22</v>
      </c>
      <c r="I7726" s="12">
        <v>0</v>
      </c>
      <c r="J7726" s="12" t="s">
        <v>308</v>
      </c>
      <c r="K7726" s="12" t="s">
        <v>78</v>
      </c>
      <c r="L7726" s="12">
        <v>0</v>
      </c>
      <c r="M7726" s="15">
        <v>227000</v>
      </c>
      <c r="N7726" s="15">
        <v>0</v>
      </c>
      <c r="O7726" s="15">
        <f t="shared" si="743"/>
        <v>227000</v>
      </c>
      <c r="P7726" s="15">
        <f t="shared" si="744"/>
        <v>34.001785468206087</v>
      </c>
      <c r="Q7726" s="14">
        <v>14000</v>
      </c>
      <c r="R7726" s="12">
        <v>48</v>
      </c>
      <c r="S7726" s="12" t="s">
        <v>9370</v>
      </c>
      <c r="T7726" s="22">
        <f t="shared" si="740"/>
        <v>12</v>
      </c>
      <c r="U7726" s="22">
        <f t="shared" si="741"/>
        <v>2023</v>
      </c>
      <c r="V7726" s="22" t="str">
        <f t="shared" si="742"/>
        <v>REGIONES</v>
      </c>
    </row>
    <row r="7727" spans="1:22" x14ac:dyDescent="0.2">
      <c r="A7727" s="11" t="s">
        <v>9361</v>
      </c>
      <c r="B7727" s="12" t="s">
        <v>33</v>
      </c>
      <c r="C7727" s="12" t="s">
        <v>44</v>
      </c>
      <c r="D7727" s="12" t="s">
        <v>7814</v>
      </c>
      <c r="E7727" s="13">
        <v>121384531</v>
      </c>
      <c r="F7727" s="12" t="s">
        <v>114</v>
      </c>
      <c r="G7727" s="14">
        <v>6802.32</v>
      </c>
      <c r="H7727" s="12" t="s">
        <v>24</v>
      </c>
      <c r="I7727" s="12">
        <v>1</v>
      </c>
      <c r="J7727" s="12" t="s">
        <v>114</v>
      </c>
      <c r="K7727" s="12" t="s">
        <v>75</v>
      </c>
      <c r="L7727" s="12">
        <v>0</v>
      </c>
      <c r="M7727" s="15">
        <v>528000</v>
      </c>
      <c r="N7727" s="15">
        <v>0</v>
      </c>
      <c r="O7727" s="15">
        <f t="shared" si="743"/>
        <v>528000</v>
      </c>
      <c r="P7727" s="15">
        <f t="shared" si="744"/>
        <v>77.620576509190983</v>
      </c>
      <c r="Q7727" s="14">
        <v>14000</v>
      </c>
      <c r="R7727" s="12">
        <v>49</v>
      </c>
      <c r="S7727" s="12" t="s">
        <v>9371</v>
      </c>
      <c r="T7727" s="22">
        <f t="shared" si="740"/>
        <v>12</v>
      </c>
      <c r="U7727" s="22">
        <f t="shared" si="741"/>
        <v>2023</v>
      </c>
      <c r="V7727" s="22" t="str">
        <f t="shared" si="742"/>
        <v>REGIONES</v>
      </c>
    </row>
    <row r="7728" spans="1:22" x14ac:dyDescent="0.2">
      <c r="A7728" s="11" t="s">
        <v>9361</v>
      </c>
      <c r="B7728" s="12" t="s">
        <v>33</v>
      </c>
      <c r="C7728" s="12" t="s">
        <v>44</v>
      </c>
      <c r="D7728" s="12" t="s">
        <v>45</v>
      </c>
      <c r="E7728" s="13">
        <v>107643206</v>
      </c>
      <c r="F7728" s="12" t="s">
        <v>67</v>
      </c>
      <c r="G7728" s="14">
        <v>2558.77</v>
      </c>
      <c r="H7728" s="12" t="s">
        <v>22</v>
      </c>
      <c r="I7728" s="12">
        <v>0</v>
      </c>
      <c r="J7728" s="12" t="s">
        <v>67</v>
      </c>
      <c r="K7728" s="12" t="s">
        <v>23</v>
      </c>
      <c r="L7728" s="12">
        <v>2</v>
      </c>
      <c r="M7728" s="15">
        <v>69173</v>
      </c>
      <c r="N7728" s="15">
        <v>0</v>
      </c>
      <c r="O7728" s="15">
        <f t="shared" si="743"/>
        <v>69173</v>
      </c>
      <c r="P7728" s="15">
        <f t="shared" si="744"/>
        <v>27.033691969188322</v>
      </c>
      <c r="Q7728" s="14">
        <v>5000</v>
      </c>
      <c r="R7728" s="12">
        <v>51</v>
      </c>
      <c r="S7728" s="12" t="s">
        <v>9372</v>
      </c>
      <c r="T7728" s="22">
        <f t="shared" si="740"/>
        <v>12</v>
      </c>
      <c r="U7728" s="22">
        <f t="shared" si="741"/>
        <v>2023</v>
      </c>
      <c r="V7728" s="22" t="str">
        <f t="shared" si="742"/>
        <v>METROPOLITANA</v>
      </c>
    </row>
    <row r="7729" spans="1:22" x14ac:dyDescent="0.2">
      <c r="A7729" s="11" t="s">
        <v>9361</v>
      </c>
      <c r="B7729" s="12" t="s">
        <v>33</v>
      </c>
      <c r="C7729" s="12" t="s">
        <v>44</v>
      </c>
      <c r="D7729" s="12" t="s">
        <v>8219</v>
      </c>
      <c r="E7729" s="13">
        <v>73825526</v>
      </c>
      <c r="F7729" s="12" t="s">
        <v>94</v>
      </c>
      <c r="G7729" s="14">
        <v>4671.62</v>
      </c>
      <c r="H7729" s="12" t="s">
        <v>24</v>
      </c>
      <c r="I7729" s="12">
        <v>1</v>
      </c>
      <c r="J7729" s="12" t="s">
        <v>59</v>
      </c>
      <c r="K7729" s="12" t="s">
        <v>78</v>
      </c>
      <c r="L7729" s="12">
        <v>0</v>
      </c>
      <c r="M7729" s="15">
        <v>300000</v>
      </c>
      <c r="N7729" s="15">
        <v>0</v>
      </c>
      <c r="O7729" s="15">
        <f t="shared" si="743"/>
        <v>300000</v>
      </c>
      <c r="P7729" s="15">
        <f t="shared" si="744"/>
        <v>64.217551941296591</v>
      </c>
      <c r="Q7729" s="14">
        <v>14000</v>
      </c>
      <c r="R7729" s="12">
        <v>33</v>
      </c>
      <c r="S7729" s="12" t="s">
        <v>9373</v>
      </c>
      <c r="T7729" s="22">
        <f t="shared" si="740"/>
        <v>12</v>
      </c>
      <c r="U7729" s="22">
        <f t="shared" si="741"/>
        <v>2023</v>
      </c>
      <c r="V7729" s="22" t="str">
        <f t="shared" si="742"/>
        <v>REGIONES</v>
      </c>
    </row>
    <row r="7730" spans="1:22" x14ac:dyDescent="0.2">
      <c r="A7730" s="11" t="s">
        <v>9361</v>
      </c>
      <c r="B7730" s="12" t="s">
        <v>33</v>
      </c>
      <c r="C7730" s="12" t="s">
        <v>44</v>
      </c>
      <c r="D7730" s="12" t="s">
        <v>20</v>
      </c>
      <c r="E7730" s="13">
        <v>78907355</v>
      </c>
      <c r="F7730" s="12" t="s">
        <v>48</v>
      </c>
      <c r="G7730" s="14">
        <f>1970.56+1226</f>
        <v>3196.56</v>
      </c>
      <c r="H7730" s="12" t="s">
        <v>22</v>
      </c>
      <c r="I7730" s="12">
        <v>0</v>
      </c>
      <c r="J7730" s="12" t="s">
        <v>48</v>
      </c>
      <c r="K7730" s="12" t="s">
        <v>23</v>
      </c>
      <c r="L7730" s="12">
        <v>1</v>
      </c>
      <c r="M7730" s="15">
        <v>69173</v>
      </c>
      <c r="N7730" s="15">
        <v>0</v>
      </c>
      <c r="O7730" s="15">
        <f t="shared" si="743"/>
        <v>69173</v>
      </c>
      <c r="P7730" s="15">
        <f t="shared" si="744"/>
        <v>21.639825312210625</v>
      </c>
      <c r="Q7730" s="14">
        <v>5000</v>
      </c>
      <c r="R7730" s="12">
        <v>65</v>
      </c>
      <c r="S7730" s="12" t="s">
        <v>9378</v>
      </c>
      <c r="T7730" s="22">
        <f t="shared" si="740"/>
        <v>12</v>
      </c>
      <c r="U7730" s="22">
        <f t="shared" si="741"/>
        <v>2023</v>
      </c>
      <c r="V7730" s="22" t="str">
        <f t="shared" si="742"/>
        <v>METROPOLITANA</v>
      </c>
    </row>
    <row r="7731" spans="1:22" x14ac:dyDescent="0.2">
      <c r="A7731" s="23" t="s">
        <v>9379</v>
      </c>
      <c r="B7731" s="22" t="s">
        <v>18</v>
      </c>
      <c r="C7731" s="22" t="s">
        <v>19</v>
      </c>
      <c r="D7731" s="22" t="s">
        <v>37</v>
      </c>
      <c r="E7731" s="24">
        <v>154837728</v>
      </c>
      <c r="F7731" s="22" t="s">
        <v>161</v>
      </c>
      <c r="G7731" s="25">
        <v>6677.2</v>
      </c>
      <c r="H7731" s="22" t="s">
        <v>22</v>
      </c>
      <c r="I7731" s="22">
        <v>0</v>
      </c>
      <c r="J7731" s="22" t="s">
        <v>161</v>
      </c>
      <c r="K7731" s="22" t="s">
        <v>23</v>
      </c>
      <c r="L7731" s="22">
        <v>5</v>
      </c>
      <c r="M7731" s="26">
        <v>112500</v>
      </c>
      <c r="N7731" s="26">
        <v>0</v>
      </c>
      <c r="O7731" s="15">
        <f t="shared" ref="O7731:O7751" si="745">SUM(M7731:N7731)</f>
        <v>112500</v>
      </c>
      <c r="P7731" s="15">
        <f t="shared" ref="P7731:P7751" si="746">O7731/G7731</f>
        <v>16.848379560294735</v>
      </c>
      <c r="Q7731" s="25">
        <v>10000</v>
      </c>
      <c r="R7731" s="22">
        <v>67</v>
      </c>
      <c r="S7731" s="22" t="s">
        <v>9380</v>
      </c>
      <c r="T7731" s="22">
        <f t="shared" si="740"/>
        <v>12</v>
      </c>
      <c r="U7731" s="22">
        <f t="shared" si="741"/>
        <v>2023</v>
      </c>
      <c r="V7731" s="22" t="str">
        <f t="shared" si="742"/>
        <v>METROPOLITANA</v>
      </c>
    </row>
    <row r="7732" spans="1:22" x14ac:dyDescent="0.2">
      <c r="A7732" s="23" t="s">
        <v>9379</v>
      </c>
      <c r="B7732" s="22" t="s">
        <v>18</v>
      </c>
      <c r="C7732" s="22" t="s">
        <v>8229</v>
      </c>
      <c r="D7732" s="22" t="s">
        <v>20</v>
      </c>
      <c r="E7732" s="24">
        <v>78907355</v>
      </c>
      <c r="F7732" s="22" t="s">
        <v>26</v>
      </c>
      <c r="G7732" s="25">
        <v>6632.4000000000005</v>
      </c>
      <c r="H7732" s="22" t="s">
        <v>22</v>
      </c>
      <c r="I7732" s="22">
        <v>0</v>
      </c>
      <c r="J7732" s="22" t="s">
        <v>26</v>
      </c>
      <c r="K7732" s="22" t="s">
        <v>23</v>
      </c>
      <c r="L7732" s="22">
        <v>4</v>
      </c>
      <c r="M7732" s="26">
        <v>72956</v>
      </c>
      <c r="N7732" s="26">
        <v>0</v>
      </c>
      <c r="O7732" s="15">
        <f t="shared" si="745"/>
        <v>72956</v>
      </c>
      <c r="P7732" s="15">
        <f t="shared" si="746"/>
        <v>10.999939690006633</v>
      </c>
      <c r="Q7732" s="25">
        <v>5000</v>
      </c>
      <c r="R7732" s="22">
        <v>100</v>
      </c>
      <c r="S7732" s="22" t="s">
        <v>9381</v>
      </c>
      <c r="T7732" s="22">
        <f t="shared" si="740"/>
        <v>12</v>
      </c>
      <c r="U7732" s="22">
        <f t="shared" si="741"/>
        <v>2023</v>
      </c>
      <c r="V7732" s="22" t="str">
        <f t="shared" si="742"/>
        <v>METROPOLITANA</v>
      </c>
    </row>
    <row r="7733" spans="1:22" x14ac:dyDescent="0.2">
      <c r="A7733" s="23" t="s">
        <v>9379</v>
      </c>
      <c r="B7733" s="22" t="s">
        <v>18</v>
      </c>
      <c r="C7733" s="22" t="s">
        <v>29</v>
      </c>
      <c r="D7733" s="22" t="s">
        <v>7545</v>
      </c>
      <c r="E7733" s="24">
        <v>180683275</v>
      </c>
      <c r="F7733" s="22" t="s">
        <v>66</v>
      </c>
      <c r="G7733" s="25">
        <v>6978.3999999999987</v>
      </c>
      <c r="H7733" s="22" t="s">
        <v>24</v>
      </c>
      <c r="I7733" s="22">
        <v>1</v>
      </c>
      <c r="J7733" s="22" t="s">
        <v>66</v>
      </c>
      <c r="K7733" s="22" t="s">
        <v>75</v>
      </c>
      <c r="L7733" s="22">
        <v>0</v>
      </c>
      <c r="M7733" s="26">
        <v>506000</v>
      </c>
      <c r="N7733" s="26">
        <v>0</v>
      </c>
      <c r="O7733" s="15">
        <f t="shared" si="745"/>
        <v>506000</v>
      </c>
      <c r="P7733" s="15">
        <f t="shared" si="746"/>
        <v>72.509457755359406</v>
      </c>
      <c r="Q7733" s="25">
        <v>14000</v>
      </c>
      <c r="R7733" s="22">
        <v>50</v>
      </c>
      <c r="S7733" s="22" t="s">
        <v>9382</v>
      </c>
      <c r="T7733" s="22">
        <f t="shared" si="740"/>
        <v>12</v>
      </c>
      <c r="U7733" s="22">
        <f t="shared" si="741"/>
        <v>2023</v>
      </c>
      <c r="V7733" s="22" t="str">
        <f t="shared" si="742"/>
        <v>REGIONES</v>
      </c>
    </row>
    <row r="7734" spans="1:22" x14ac:dyDescent="0.2">
      <c r="A7734" s="23" t="s">
        <v>9379</v>
      </c>
      <c r="B7734" s="22" t="s">
        <v>18</v>
      </c>
      <c r="C7734" s="22" t="s">
        <v>5571</v>
      </c>
      <c r="D7734" s="22" t="s">
        <v>38</v>
      </c>
      <c r="E7734" s="24">
        <v>125108660</v>
      </c>
      <c r="F7734" s="22" t="s">
        <v>170</v>
      </c>
      <c r="G7734" s="25">
        <v>9066</v>
      </c>
      <c r="H7734" s="22" t="s">
        <v>43</v>
      </c>
      <c r="I7734" s="22">
        <v>0</v>
      </c>
      <c r="J7734" s="22" t="s">
        <v>170</v>
      </c>
      <c r="K7734" s="22" t="s">
        <v>171</v>
      </c>
      <c r="L7734" s="22">
        <v>0</v>
      </c>
      <c r="M7734" s="26">
        <v>226400</v>
      </c>
      <c r="N7734" s="26">
        <v>0</v>
      </c>
      <c r="O7734" s="15">
        <f t="shared" si="745"/>
        <v>226400</v>
      </c>
      <c r="P7734" s="15">
        <f t="shared" si="746"/>
        <v>24.972424442973747</v>
      </c>
      <c r="Q7734" s="25">
        <v>14000</v>
      </c>
      <c r="R7734" s="22">
        <v>65</v>
      </c>
      <c r="S7734" s="22" t="s">
        <v>9383</v>
      </c>
      <c r="T7734" s="22">
        <f t="shared" si="740"/>
        <v>12</v>
      </c>
      <c r="U7734" s="22">
        <f t="shared" si="741"/>
        <v>2023</v>
      </c>
      <c r="V7734" s="22" t="str">
        <f t="shared" si="742"/>
        <v>REGIONES</v>
      </c>
    </row>
    <row r="7735" spans="1:22" x14ac:dyDescent="0.2">
      <c r="A7735" s="23" t="s">
        <v>9379</v>
      </c>
      <c r="B7735" s="22" t="s">
        <v>33</v>
      </c>
      <c r="C7735" s="22" t="s">
        <v>128</v>
      </c>
      <c r="D7735" s="22" t="s">
        <v>8219</v>
      </c>
      <c r="E7735" s="24">
        <v>73835526</v>
      </c>
      <c r="F7735" s="22" t="s">
        <v>225</v>
      </c>
      <c r="G7735" s="25">
        <v>2550.6000000000008</v>
      </c>
      <c r="H7735" s="22" t="s">
        <v>24</v>
      </c>
      <c r="I7735" s="22">
        <v>1</v>
      </c>
      <c r="J7735" s="22" t="s">
        <v>225</v>
      </c>
      <c r="K7735" s="22" t="s">
        <v>23</v>
      </c>
      <c r="L7735" s="22">
        <v>3</v>
      </c>
      <c r="M7735" s="26">
        <v>69173</v>
      </c>
      <c r="N7735" s="26">
        <v>0</v>
      </c>
      <c r="O7735" s="15">
        <f t="shared" si="745"/>
        <v>69173</v>
      </c>
      <c r="P7735" s="15">
        <f t="shared" si="746"/>
        <v>27.120285423037707</v>
      </c>
      <c r="Q7735" s="25">
        <v>5000</v>
      </c>
      <c r="R7735" s="22">
        <v>51</v>
      </c>
      <c r="S7735" s="22" t="s">
        <v>9384</v>
      </c>
      <c r="T7735" s="22">
        <f t="shared" si="740"/>
        <v>12</v>
      </c>
      <c r="U7735" s="22">
        <f t="shared" si="741"/>
        <v>2023</v>
      </c>
      <c r="V7735" s="22" t="str">
        <f t="shared" si="742"/>
        <v>METROPOLITANA</v>
      </c>
    </row>
    <row r="7736" spans="1:22" x14ac:dyDescent="0.2">
      <c r="A7736" s="23" t="s">
        <v>9379</v>
      </c>
      <c r="B7736" s="22" t="s">
        <v>33</v>
      </c>
      <c r="C7736" s="22" t="s">
        <v>2605</v>
      </c>
      <c r="D7736" s="22" t="s">
        <v>20</v>
      </c>
      <c r="E7736" s="24">
        <v>78907355</v>
      </c>
      <c r="F7736" s="22" t="s">
        <v>129</v>
      </c>
      <c r="G7736" s="25">
        <v>4464</v>
      </c>
      <c r="H7736" s="22" t="s">
        <v>22</v>
      </c>
      <c r="I7736" s="22">
        <v>0</v>
      </c>
      <c r="J7736" s="22" t="s">
        <v>129</v>
      </c>
      <c r="K7736" s="22" t="s">
        <v>23</v>
      </c>
      <c r="L7736" s="22">
        <v>1</v>
      </c>
      <c r="M7736" s="26">
        <v>69173</v>
      </c>
      <c r="N7736" s="26">
        <v>0</v>
      </c>
      <c r="O7736" s="15">
        <f t="shared" si="745"/>
        <v>69173</v>
      </c>
      <c r="P7736" s="15">
        <f t="shared" si="746"/>
        <v>15.495743727598565</v>
      </c>
      <c r="Q7736" s="25">
        <v>5000</v>
      </c>
      <c r="R7736" s="22">
        <v>89</v>
      </c>
      <c r="S7736" s="22" t="s">
        <v>9385</v>
      </c>
      <c r="T7736" s="22">
        <f t="shared" si="740"/>
        <v>12</v>
      </c>
      <c r="U7736" s="22">
        <f t="shared" si="741"/>
        <v>2023</v>
      </c>
      <c r="V7736" s="22" t="str">
        <f t="shared" si="742"/>
        <v>METROPOLITANA</v>
      </c>
    </row>
    <row r="7737" spans="1:22" x14ac:dyDescent="0.2">
      <c r="A7737" s="23" t="s">
        <v>9379</v>
      </c>
      <c r="B7737" s="22" t="s">
        <v>33</v>
      </c>
      <c r="C7737" s="22" t="s">
        <v>9386</v>
      </c>
      <c r="D7737" s="22" t="s">
        <v>7545</v>
      </c>
      <c r="E7737" s="24">
        <v>180683275</v>
      </c>
      <c r="F7737" s="22" t="s">
        <v>26</v>
      </c>
      <c r="G7737" s="25">
        <v>7454.1599999999989</v>
      </c>
      <c r="H7737" s="22" t="s">
        <v>24</v>
      </c>
      <c r="I7737" s="22">
        <v>1</v>
      </c>
      <c r="J7737" s="22" t="s">
        <v>26</v>
      </c>
      <c r="K7737" s="22" t="s">
        <v>23</v>
      </c>
      <c r="L7737" s="22">
        <v>4</v>
      </c>
      <c r="M7737" s="26">
        <v>81996</v>
      </c>
      <c r="N7737" s="26">
        <v>0</v>
      </c>
      <c r="O7737" s="15">
        <f t="shared" si="745"/>
        <v>81996</v>
      </c>
      <c r="P7737" s="15">
        <f t="shared" si="746"/>
        <v>11.000032196786762</v>
      </c>
      <c r="Q7737" s="25">
        <v>5000</v>
      </c>
      <c r="R7737" s="22">
        <v>100</v>
      </c>
      <c r="S7737" s="22" t="s">
        <v>9387</v>
      </c>
      <c r="T7737" s="22">
        <f t="shared" si="740"/>
        <v>12</v>
      </c>
      <c r="U7737" s="22">
        <f t="shared" si="741"/>
        <v>2023</v>
      </c>
      <c r="V7737" s="22" t="str">
        <f t="shared" si="742"/>
        <v>METROPOLITANA</v>
      </c>
    </row>
    <row r="7738" spans="1:22" x14ac:dyDescent="0.2">
      <c r="A7738" s="23" t="s">
        <v>9379</v>
      </c>
      <c r="B7738" s="22" t="s">
        <v>33</v>
      </c>
      <c r="C7738" s="22" t="s">
        <v>29</v>
      </c>
      <c r="D7738" s="22" t="s">
        <v>7075</v>
      </c>
      <c r="E7738" s="24">
        <v>101495566</v>
      </c>
      <c r="F7738" s="22" t="s">
        <v>114</v>
      </c>
      <c r="G7738" s="25">
        <v>19542.599999999999</v>
      </c>
      <c r="H7738" s="22" t="s">
        <v>24</v>
      </c>
      <c r="I7738" s="22">
        <v>1</v>
      </c>
      <c r="J7738" s="22" t="s">
        <v>114</v>
      </c>
      <c r="K7738" s="22" t="s">
        <v>75</v>
      </c>
      <c r="L7738" s="22">
        <v>0</v>
      </c>
      <c r="M7738" s="26">
        <v>528000</v>
      </c>
      <c r="N7738" s="26">
        <v>0</v>
      </c>
      <c r="O7738" s="15">
        <f t="shared" si="745"/>
        <v>528000</v>
      </c>
      <c r="P7738" s="15">
        <f t="shared" si="746"/>
        <v>27.017899358324893</v>
      </c>
      <c r="Q7738" s="25">
        <v>14000</v>
      </c>
      <c r="R7738" s="22">
        <v>100</v>
      </c>
      <c r="S7738" s="22" t="s">
        <v>9388</v>
      </c>
      <c r="T7738" s="22">
        <f t="shared" si="740"/>
        <v>12</v>
      </c>
      <c r="U7738" s="22">
        <f t="shared" si="741"/>
        <v>2023</v>
      </c>
      <c r="V7738" s="22" t="str">
        <f t="shared" si="742"/>
        <v>REGIONES</v>
      </c>
    </row>
    <row r="7739" spans="1:22" x14ac:dyDescent="0.2">
      <c r="A7739" s="23" t="s">
        <v>9379</v>
      </c>
      <c r="B7739" s="22" t="s">
        <v>33</v>
      </c>
      <c r="C7739" s="22" t="s">
        <v>8200</v>
      </c>
      <c r="D7739" s="22" t="s">
        <v>7086</v>
      </c>
      <c r="E7739" s="24">
        <v>116995093</v>
      </c>
      <c r="F7739" s="22" t="s">
        <v>9389</v>
      </c>
      <c r="G7739" s="25">
        <v>25092.209999999988</v>
      </c>
      <c r="H7739" s="22" t="s">
        <v>24</v>
      </c>
      <c r="I7739" s="22">
        <v>1</v>
      </c>
      <c r="J7739" s="22" t="s">
        <v>9389</v>
      </c>
      <c r="K7739" s="22" t="s">
        <v>75</v>
      </c>
      <c r="L7739" s="22">
        <v>0</v>
      </c>
      <c r="M7739" s="26">
        <v>530000</v>
      </c>
      <c r="N7739" s="26">
        <v>0</v>
      </c>
      <c r="O7739" s="15">
        <f t="shared" si="745"/>
        <v>530000</v>
      </c>
      <c r="P7739" s="15">
        <f t="shared" si="746"/>
        <v>21.122093271178596</v>
      </c>
      <c r="Q7739" s="25">
        <v>14000</v>
      </c>
      <c r="R7739" s="22">
        <v>100</v>
      </c>
      <c r="S7739" s="22" t="s">
        <v>9390</v>
      </c>
      <c r="T7739" s="22">
        <f t="shared" si="740"/>
        <v>12</v>
      </c>
      <c r="U7739" s="22">
        <f t="shared" si="741"/>
        <v>2023</v>
      </c>
      <c r="V7739" s="22" t="str">
        <f t="shared" si="742"/>
        <v>REGIONES</v>
      </c>
    </row>
    <row r="7740" spans="1:22" x14ac:dyDescent="0.2">
      <c r="A7740" s="23" t="s">
        <v>9379</v>
      </c>
      <c r="B7740" s="22" t="s">
        <v>33</v>
      </c>
      <c r="C7740" s="22" t="s">
        <v>44</v>
      </c>
      <c r="D7740" s="22" t="s">
        <v>370</v>
      </c>
      <c r="E7740" s="24">
        <v>94742285</v>
      </c>
      <c r="F7740" s="22" t="s">
        <v>691</v>
      </c>
      <c r="G7740" s="25">
        <f>7905.84+5513</f>
        <v>13418.84</v>
      </c>
      <c r="H7740" s="22" t="s">
        <v>85</v>
      </c>
      <c r="I7740" s="22">
        <v>1</v>
      </c>
      <c r="J7740" s="22" t="s">
        <v>691</v>
      </c>
      <c r="K7740" s="22" t="s">
        <v>873</v>
      </c>
      <c r="L7740" s="22">
        <v>0</v>
      </c>
      <c r="M7740" s="26">
        <v>1282000</v>
      </c>
      <c r="N7740" s="26">
        <v>0</v>
      </c>
      <c r="O7740" s="15">
        <f t="shared" si="745"/>
        <v>1282000</v>
      </c>
      <c r="P7740" s="15">
        <f t="shared" si="746"/>
        <v>95.537319172149012</v>
      </c>
      <c r="Q7740" s="25">
        <v>14000</v>
      </c>
      <c r="R7740" s="22">
        <v>100</v>
      </c>
      <c r="S7740" s="22" t="s">
        <v>9402</v>
      </c>
      <c r="T7740" s="22">
        <f t="shared" si="740"/>
        <v>12</v>
      </c>
      <c r="U7740" s="22">
        <f t="shared" si="741"/>
        <v>2023</v>
      </c>
      <c r="V7740" s="22" t="str">
        <f t="shared" si="742"/>
        <v>REGIONES</v>
      </c>
    </row>
    <row r="7741" spans="1:22" x14ac:dyDescent="0.2">
      <c r="A7741" s="23" t="s">
        <v>9379</v>
      </c>
      <c r="B7741" s="22" t="s">
        <v>33</v>
      </c>
      <c r="C7741" s="22" t="s">
        <v>44</v>
      </c>
      <c r="D7741" s="22" t="s">
        <v>8580</v>
      </c>
      <c r="E7741" s="24">
        <v>276547747</v>
      </c>
      <c r="F7741" s="22" t="s">
        <v>53</v>
      </c>
      <c r="G7741" s="25">
        <v>3576.6</v>
      </c>
      <c r="H7741" s="22" t="s">
        <v>24</v>
      </c>
      <c r="I7741" s="22">
        <v>1</v>
      </c>
      <c r="J7741" s="22" t="s">
        <v>53</v>
      </c>
      <c r="K7741" s="22" t="s">
        <v>23</v>
      </c>
      <c r="L7741" s="22">
        <v>3</v>
      </c>
      <c r="M7741" s="26">
        <v>69173</v>
      </c>
      <c r="N7741" s="26">
        <v>0</v>
      </c>
      <c r="O7741" s="15">
        <f t="shared" si="745"/>
        <v>69173</v>
      </c>
      <c r="P7741" s="15">
        <f t="shared" si="746"/>
        <v>19.340435050047532</v>
      </c>
      <c r="Q7741" s="25">
        <v>5000</v>
      </c>
      <c r="R7741" s="22">
        <v>72</v>
      </c>
      <c r="S7741" s="22" t="s">
        <v>9391</v>
      </c>
      <c r="T7741" s="22">
        <f t="shared" si="740"/>
        <v>12</v>
      </c>
      <c r="U7741" s="22">
        <f t="shared" si="741"/>
        <v>2023</v>
      </c>
      <c r="V7741" s="22" t="str">
        <f t="shared" si="742"/>
        <v>METROPOLITANA</v>
      </c>
    </row>
    <row r="7742" spans="1:22" s="12" customFormat="1" x14ac:dyDescent="0.2">
      <c r="A7742" s="11" t="s">
        <v>9392</v>
      </c>
      <c r="B7742" s="12" t="s">
        <v>18</v>
      </c>
      <c r="C7742" s="12" t="s">
        <v>57</v>
      </c>
      <c r="D7742" s="12" t="s">
        <v>8219</v>
      </c>
      <c r="E7742" s="13">
        <v>73835528</v>
      </c>
      <c r="F7742" s="12" t="s">
        <v>26</v>
      </c>
      <c r="G7742" s="14">
        <f>4724.68+3586</f>
        <v>8310.68</v>
      </c>
      <c r="H7742" s="12" t="s">
        <v>24</v>
      </c>
      <c r="I7742" s="12">
        <v>1</v>
      </c>
      <c r="J7742" s="12" t="s">
        <v>26</v>
      </c>
      <c r="K7742" s="12" t="s">
        <v>23</v>
      </c>
      <c r="L7742" s="12">
        <v>4</v>
      </c>
      <c r="M7742" s="15">
        <v>69173</v>
      </c>
      <c r="N7742" s="15">
        <v>0</v>
      </c>
      <c r="O7742" s="15">
        <f t="shared" si="745"/>
        <v>69173</v>
      </c>
      <c r="P7742" s="15">
        <f t="shared" si="746"/>
        <v>8.3233862932997056</v>
      </c>
      <c r="Q7742" s="14">
        <v>5000</v>
      </c>
      <c r="R7742" s="12">
        <v>100</v>
      </c>
      <c r="S7742" s="12" t="s">
        <v>9403</v>
      </c>
      <c r="T7742" s="12">
        <f t="shared" si="740"/>
        <v>12</v>
      </c>
      <c r="U7742" s="12">
        <f t="shared" si="741"/>
        <v>2023</v>
      </c>
      <c r="V7742" s="12" t="str">
        <f t="shared" si="742"/>
        <v>METROPOLITANA</v>
      </c>
    </row>
    <row r="7743" spans="1:22" s="12" customFormat="1" x14ac:dyDescent="0.2">
      <c r="A7743" s="11" t="s">
        <v>9392</v>
      </c>
      <c r="B7743" s="12" t="s">
        <v>18</v>
      </c>
      <c r="C7743" s="12" t="s">
        <v>19</v>
      </c>
      <c r="D7743" s="12" t="s">
        <v>6455</v>
      </c>
      <c r="E7743" s="13">
        <v>60688508</v>
      </c>
      <c r="F7743" s="12" t="s">
        <v>407</v>
      </c>
      <c r="G7743" s="14">
        <v>22943.599999999999</v>
      </c>
      <c r="H7743" s="12" t="s">
        <v>24</v>
      </c>
      <c r="I7743" s="12">
        <v>1</v>
      </c>
      <c r="J7743" s="12" t="s">
        <v>407</v>
      </c>
      <c r="K7743" s="12" t="s">
        <v>408</v>
      </c>
      <c r="L7743" s="12">
        <v>0</v>
      </c>
      <c r="M7743" s="15">
        <v>850000</v>
      </c>
      <c r="N7743" s="15">
        <v>0</v>
      </c>
      <c r="O7743" s="15">
        <f t="shared" si="745"/>
        <v>850000</v>
      </c>
      <c r="P7743" s="15">
        <f t="shared" si="746"/>
        <v>37.047368329294443</v>
      </c>
      <c r="Q7743" s="14">
        <v>14000</v>
      </c>
      <c r="R7743" s="12">
        <v>100</v>
      </c>
      <c r="S7743" s="12" t="s">
        <v>9393</v>
      </c>
      <c r="T7743" s="12">
        <f t="shared" si="740"/>
        <v>12</v>
      </c>
      <c r="U7743" s="12">
        <f t="shared" si="741"/>
        <v>2023</v>
      </c>
      <c r="V7743" s="12" t="str">
        <f t="shared" si="742"/>
        <v>REGIONES</v>
      </c>
    </row>
    <row r="7744" spans="1:22" s="12" customFormat="1" x14ac:dyDescent="0.2">
      <c r="A7744" s="11" t="s">
        <v>9392</v>
      </c>
      <c r="B7744" s="12" t="s">
        <v>33</v>
      </c>
      <c r="C7744" s="12" t="s">
        <v>60</v>
      </c>
      <c r="D7744" s="12" t="s">
        <v>2955</v>
      </c>
      <c r="E7744" s="13">
        <v>65941082</v>
      </c>
      <c r="F7744" s="12" t="s">
        <v>5240</v>
      </c>
      <c r="G7744" s="14">
        <v>6370.7999999999975</v>
      </c>
      <c r="H7744" s="12" t="s">
        <v>24</v>
      </c>
      <c r="I7744" s="12">
        <v>1</v>
      </c>
      <c r="J7744" s="12" t="s">
        <v>5240</v>
      </c>
      <c r="K7744" s="12" t="s">
        <v>78</v>
      </c>
      <c r="L7744" s="12">
        <v>0</v>
      </c>
      <c r="M7744" s="15">
        <v>289000</v>
      </c>
      <c r="N7744" s="15">
        <v>0</v>
      </c>
      <c r="O7744" s="15">
        <f t="shared" si="745"/>
        <v>289000</v>
      </c>
      <c r="P7744" s="15">
        <f t="shared" si="746"/>
        <v>45.363219689834892</v>
      </c>
      <c r="Q7744" s="14">
        <v>14000</v>
      </c>
      <c r="R7744" s="12">
        <v>46</v>
      </c>
      <c r="S7744" s="12" t="s">
        <v>9394</v>
      </c>
      <c r="T7744" s="12">
        <f t="shared" si="740"/>
        <v>12</v>
      </c>
      <c r="U7744" s="12">
        <f t="shared" si="741"/>
        <v>2023</v>
      </c>
      <c r="V7744" s="12" t="str">
        <f t="shared" si="742"/>
        <v>REGIONES</v>
      </c>
    </row>
    <row r="7745" spans="1:22" s="12" customFormat="1" x14ac:dyDescent="0.2">
      <c r="A7745" s="11" t="s">
        <v>9392</v>
      </c>
      <c r="B7745" s="12" t="s">
        <v>33</v>
      </c>
      <c r="C7745" s="12" t="s">
        <v>60</v>
      </c>
      <c r="D7745" s="12" t="s">
        <v>20</v>
      </c>
      <c r="E7745" s="13">
        <v>78907355</v>
      </c>
      <c r="F7745" s="12" t="s">
        <v>51</v>
      </c>
      <c r="G7745" s="14">
        <v>3001.6</v>
      </c>
      <c r="H7745" s="12" t="s">
        <v>22</v>
      </c>
      <c r="I7745" s="12">
        <v>0</v>
      </c>
      <c r="J7745" s="12" t="s">
        <v>51</v>
      </c>
      <c r="K7745" s="12" t="s">
        <v>23</v>
      </c>
      <c r="L7745" s="12">
        <v>4</v>
      </c>
      <c r="M7745" s="15">
        <v>69173</v>
      </c>
      <c r="N7745" s="15">
        <v>0</v>
      </c>
      <c r="O7745" s="15">
        <f t="shared" si="745"/>
        <v>69173</v>
      </c>
      <c r="P7745" s="15">
        <f t="shared" si="746"/>
        <v>23.045375799573563</v>
      </c>
      <c r="Q7745" s="14">
        <v>5000</v>
      </c>
      <c r="R7745" s="12">
        <v>60</v>
      </c>
      <c r="S7745" s="12" t="s">
        <v>9395</v>
      </c>
      <c r="T7745" s="12">
        <f t="shared" si="740"/>
        <v>12</v>
      </c>
      <c r="U7745" s="12">
        <f t="shared" si="741"/>
        <v>2023</v>
      </c>
      <c r="V7745" s="12" t="str">
        <f t="shared" si="742"/>
        <v>METROPOLITANA</v>
      </c>
    </row>
    <row r="7746" spans="1:22" s="12" customFormat="1" x14ac:dyDescent="0.2">
      <c r="A7746" s="11" t="s">
        <v>9392</v>
      </c>
      <c r="B7746" s="12" t="s">
        <v>33</v>
      </c>
      <c r="C7746" s="12" t="s">
        <v>29</v>
      </c>
      <c r="D7746" s="12" t="s">
        <v>9396</v>
      </c>
      <c r="E7746" s="13">
        <v>181082518</v>
      </c>
      <c r="F7746" s="12" t="s">
        <v>114</v>
      </c>
      <c r="G7746" s="14">
        <v>23463.720000000008</v>
      </c>
      <c r="H7746" s="12" t="s">
        <v>24</v>
      </c>
      <c r="I7746" s="12">
        <v>1</v>
      </c>
      <c r="J7746" s="12" t="s">
        <v>114</v>
      </c>
      <c r="K7746" s="12" t="s">
        <v>75</v>
      </c>
      <c r="L7746" s="12">
        <v>0</v>
      </c>
      <c r="M7746" s="15">
        <v>528000</v>
      </c>
      <c r="N7746" s="15">
        <v>0</v>
      </c>
      <c r="O7746" s="15">
        <f t="shared" si="745"/>
        <v>528000</v>
      </c>
      <c r="P7746" s="15">
        <f t="shared" si="746"/>
        <v>22.502825638901239</v>
      </c>
      <c r="Q7746" s="14">
        <v>14000</v>
      </c>
      <c r="R7746" s="12">
        <v>100</v>
      </c>
      <c r="S7746" s="12" t="s">
        <v>9397</v>
      </c>
      <c r="T7746" s="12">
        <f t="shared" si="740"/>
        <v>12</v>
      </c>
      <c r="U7746" s="12">
        <f t="shared" si="741"/>
        <v>2023</v>
      </c>
      <c r="V7746" s="12" t="str">
        <f t="shared" si="742"/>
        <v>REGIONES</v>
      </c>
    </row>
    <row r="7747" spans="1:22" s="12" customFormat="1" x14ac:dyDescent="0.2">
      <c r="A7747" s="11" t="s">
        <v>9392</v>
      </c>
      <c r="B7747" s="12" t="s">
        <v>33</v>
      </c>
      <c r="C7747" s="12" t="s">
        <v>29</v>
      </c>
      <c r="D7747" s="12" t="s">
        <v>38</v>
      </c>
      <c r="E7747" s="13">
        <v>125108660</v>
      </c>
      <c r="F7747" s="12" t="s">
        <v>39</v>
      </c>
      <c r="G7747" s="14">
        <v>7625.5999999999995</v>
      </c>
      <c r="H7747" s="12" t="s">
        <v>43</v>
      </c>
      <c r="I7747" s="12">
        <v>0</v>
      </c>
      <c r="J7747" s="12" t="s">
        <v>39</v>
      </c>
      <c r="K7747" s="12" t="s">
        <v>23</v>
      </c>
      <c r="L7747" s="12">
        <v>1</v>
      </c>
      <c r="M7747" s="15">
        <v>83882</v>
      </c>
      <c r="N7747" s="15">
        <v>0</v>
      </c>
      <c r="O7747" s="15">
        <f t="shared" si="745"/>
        <v>83882</v>
      </c>
      <c r="P7747" s="15">
        <f t="shared" si="746"/>
        <v>11.000052454888797</v>
      </c>
      <c r="Q7747" s="14">
        <v>5000</v>
      </c>
      <c r="R7747" s="12">
        <v>100</v>
      </c>
      <c r="S7747" s="12" t="s">
        <v>9398</v>
      </c>
      <c r="T7747" s="12">
        <f t="shared" si="740"/>
        <v>12</v>
      </c>
      <c r="U7747" s="12">
        <f t="shared" si="741"/>
        <v>2023</v>
      </c>
      <c r="V7747" s="12" t="str">
        <f t="shared" si="742"/>
        <v>METROPOLITANA</v>
      </c>
    </row>
    <row r="7748" spans="1:22" s="12" customFormat="1" x14ac:dyDescent="0.2">
      <c r="A7748" s="11" t="s">
        <v>9392</v>
      </c>
      <c r="B7748" s="12" t="s">
        <v>33</v>
      </c>
      <c r="C7748" s="12" t="s">
        <v>29</v>
      </c>
      <c r="D7748" s="12" t="s">
        <v>164</v>
      </c>
      <c r="E7748" s="13">
        <v>154837728</v>
      </c>
      <c r="F7748" s="12" t="s">
        <v>39</v>
      </c>
      <c r="G7748" s="14">
        <v>11237.68</v>
      </c>
      <c r="H7748" s="12" t="s">
        <v>22</v>
      </c>
      <c r="I7748" s="12">
        <v>1</v>
      </c>
      <c r="J7748" s="12" t="s">
        <v>39</v>
      </c>
      <c r="K7748" s="12" t="s">
        <v>23</v>
      </c>
      <c r="L7748" s="12">
        <v>1</v>
      </c>
      <c r="M7748" s="15">
        <v>123614</v>
      </c>
      <c r="N7748" s="15">
        <v>0</v>
      </c>
      <c r="O7748" s="15">
        <f t="shared" si="745"/>
        <v>123614</v>
      </c>
      <c r="P7748" s="15">
        <f t="shared" si="746"/>
        <v>10.999957286557368</v>
      </c>
      <c r="Q7748" s="14">
        <v>5000</v>
      </c>
      <c r="R7748" s="12">
        <v>100</v>
      </c>
      <c r="S7748" s="12" t="s">
        <v>9399</v>
      </c>
      <c r="T7748" s="12">
        <f t="shared" si="740"/>
        <v>12</v>
      </c>
      <c r="U7748" s="12">
        <f t="shared" si="741"/>
        <v>2023</v>
      </c>
      <c r="V7748" s="12" t="str">
        <f t="shared" si="742"/>
        <v>METROPOLITANA</v>
      </c>
    </row>
    <row r="7749" spans="1:22" s="12" customFormat="1" x14ac:dyDescent="0.2">
      <c r="A7749" s="11" t="s">
        <v>9392</v>
      </c>
      <c r="B7749" s="12" t="s">
        <v>33</v>
      </c>
      <c r="C7749" s="12" t="s">
        <v>44</v>
      </c>
      <c r="D7749" s="12" t="s">
        <v>9400</v>
      </c>
      <c r="E7749" s="13">
        <v>180293914</v>
      </c>
      <c r="F7749" s="12" t="s">
        <v>84</v>
      </c>
      <c r="G7749" s="14">
        <v>4500</v>
      </c>
      <c r="H7749" s="12" t="s">
        <v>24</v>
      </c>
      <c r="I7749" s="12">
        <v>1</v>
      </c>
      <c r="J7749" s="12" t="s">
        <v>84</v>
      </c>
      <c r="K7749" s="12" t="s">
        <v>86</v>
      </c>
      <c r="L7749" s="12">
        <v>0</v>
      </c>
      <c r="M7749" s="15">
        <v>402000</v>
      </c>
      <c r="N7749" s="15">
        <v>0</v>
      </c>
      <c r="O7749" s="15">
        <f t="shared" si="745"/>
        <v>402000</v>
      </c>
      <c r="P7749" s="15">
        <f t="shared" si="746"/>
        <v>89.333333333333329</v>
      </c>
      <c r="Q7749" s="14">
        <v>14000</v>
      </c>
      <c r="R7749" s="12">
        <v>45</v>
      </c>
      <c r="S7749" s="12" t="s">
        <v>9405</v>
      </c>
      <c r="T7749" s="12">
        <f t="shared" si="740"/>
        <v>12</v>
      </c>
      <c r="U7749" s="12">
        <f t="shared" si="741"/>
        <v>2023</v>
      </c>
      <c r="V7749" s="12" t="str">
        <f t="shared" si="742"/>
        <v>REGIONES</v>
      </c>
    </row>
    <row r="7750" spans="1:22" s="12" customFormat="1" x14ac:dyDescent="0.2">
      <c r="A7750" s="11" t="s">
        <v>9392</v>
      </c>
      <c r="B7750" s="12" t="s">
        <v>33</v>
      </c>
      <c r="C7750" s="12" t="s">
        <v>44</v>
      </c>
      <c r="D7750" s="12" t="s">
        <v>45</v>
      </c>
      <c r="E7750" s="13">
        <v>107643206</v>
      </c>
      <c r="F7750" s="12" t="s">
        <v>26</v>
      </c>
      <c r="G7750" s="14">
        <v>5144.2799999999988</v>
      </c>
      <c r="H7750" s="12" t="s">
        <v>22</v>
      </c>
      <c r="I7750" s="12">
        <v>0</v>
      </c>
      <c r="J7750" s="12" t="s">
        <v>26</v>
      </c>
      <c r="K7750" s="12" t="s">
        <v>23</v>
      </c>
      <c r="L7750" s="12">
        <v>4</v>
      </c>
      <c r="M7750" s="15">
        <v>56587</v>
      </c>
      <c r="N7750" s="15">
        <v>0</v>
      </c>
      <c r="O7750" s="15">
        <f t="shared" si="745"/>
        <v>56587</v>
      </c>
      <c r="P7750" s="15">
        <f t="shared" si="746"/>
        <v>10.999984448746961</v>
      </c>
      <c r="Q7750" s="14">
        <v>5000</v>
      </c>
      <c r="R7750" s="12">
        <v>100</v>
      </c>
      <c r="S7750" s="12" t="s">
        <v>9401</v>
      </c>
      <c r="T7750" s="12">
        <f t="shared" si="740"/>
        <v>12</v>
      </c>
      <c r="U7750" s="12">
        <f t="shared" si="741"/>
        <v>2023</v>
      </c>
      <c r="V7750" s="12" t="str">
        <f t="shared" si="742"/>
        <v>METROPOLITANA</v>
      </c>
    </row>
    <row r="7751" spans="1:22" s="12" customFormat="1" x14ac:dyDescent="0.2">
      <c r="A7751" s="11" t="s">
        <v>9392</v>
      </c>
      <c r="B7751" s="12" t="s">
        <v>33</v>
      </c>
      <c r="C7751" s="12" t="s">
        <v>44</v>
      </c>
      <c r="D7751" s="12" t="s">
        <v>8410</v>
      </c>
      <c r="E7751" s="13">
        <v>119629756</v>
      </c>
      <c r="F7751" s="12" t="s">
        <v>3438</v>
      </c>
      <c r="G7751" s="14">
        <f>6741.08+3329</f>
        <v>10070.08</v>
      </c>
      <c r="H7751" s="12" t="s">
        <v>24</v>
      </c>
      <c r="I7751" s="12">
        <v>1</v>
      </c>
      <c r="J7751" s="12" t="s">
        <v>3438</v>
      </c>
      <c r="K7751" s="12" t="s">
        <v>93</v>
      </c>
      <c r="L7751" s="12">
        <v>0</v>
      </c>
      <c r="M7751" s="15">
        <v>1000000</v>
      </c>
      <c r="N7751" s="15">
        <v>0</v>
      </c>
      <c r="O7751" s="15">
        <f t="shared" si="745"/>
        <v>1000000</v>
      </c>
      <c r="P7751" s="15">
        <f t="shared" si="746"/>
        <v>99.30407702818647</v>
      </c>
      <c r="Q7751" s="14">
        <v>14000</v>
      </c>
      <c r="R7751" s="12">
        <v>75</v>
      </c>
      <c r="S7751" s="12" t="s">
        <v>9404</v>
      </c>
      <c r="T7751" s="12">
        <f t="shared" si="740"/>
        <v>12</v>
      </c>
      <c r="U7751" s="12">
        <f t="shared" si="741"/>
        <v>2023</v>
      </c>
      <c r="V7751" s="12" t="str">
        <f t="shared" si="742"/>
        <v>REGIONES</v>
      </c>
    </row>
    <row r="7752" spans="1:22" x14ac:dyDescent="0.2">
      <c r="A7752" s="23" t="s">
        <v>9406</v>
      </c>
      <c r="B7752" s="22" t="s">
        <v>18</v>
      </c>
      <c r="C7752" s="22" t="s">
        <v>8348</v>
      </c>
      <c r="D7752" s="22" t="s">
        <v>37</v>
      </c>
      <c r="E7752" s="24">
        <v>154837728</v>
      </c>
      <c r="F7752" s="22" t="s">
        <v>727</v>
      </c>
      <c r="G7752" s="25">
        <v>9316.5499999999993</v>
      </c>
      <c r="H7752" s="22" t="s">
        <v>22</v>
      </c>
      <c r="I7752" s="22">
        <v>0</v>
      </c>
      <c r="J7752" s="22" t="s">
        <v>727</v>
      </c>
      <c r="K7752" s="22" t="s">
        <v>23</v>
      </c>
      <c r="L7752" s="22">
        <v>2</v>
      </c>
      <c r="M7752" s="26">
        <v>102482</v>
      </c>
      <c r="N7752" s="26">
        <v>0</v>
      </c>
      <c r="O7752" s="15">
        <f t="shared" ref="O7752:O7760" si="747">SUM(M7752:N7752)</f>
        <v>102482</v>
      </c>
      <c r="P7752" s="15">
        <f t="shared" ref="P7752:P7760" si="748">O7752/G7752</f>
        <v>10.9999946332065</v>
      </c>
      <c r="Q7752" s="25">
        <v>5000</v>
      </c>
      <c r="R7752" s="22">
        <v>100</v>
      </c>
      <c r="S7752" s="22" t="s">
        <v>9407</v>
      </c>
      <c r="T7752" s="22">
        <f t="shared" si="740"/>
        <v>12</v>
      </c>
      <c r="U7752" s="22">
        <f t="shared" si="741"/>
        <v>2023</v>
      </c>
      <c r="V7752" s="22" t="str">
        <f t="shared" si="742"/>
        <v>METROPOLITANA</v>
      </c>
    </row>
    <row r="7753" spans="1:22" x14ac:dyDescent="0.2">
      <c r="A7753" s="23" t="s">
        <v>9406</v>
      </c>
      <c r="B7753" s="22" t="s">
        <v>33</v>
      </c>
      <c r="C7753" s="22" t="s">
        <v>128</v>
      </c>
      <c r="D7753" s="22" t="s">
        <v>786</v>
      </c>
      <c r="E7753" s="24">
        <v>95707734</v>
      </c>
      <c r="F7753" s="22" t="s">
        <v>34</v>
      </c>
      <c r="G7753" s="25">
        <v>8500.81</v>
      </c>
      <c r="H7753" s="22" t="s">
        <v>788</v>
      </c>
      <c r="I7753" s="22">
        <v>1</v>
      </c>
      <c r="J7753" s="22" t="s">
        <v>34</v>
      </c>
      <c r="K7753" s="22" t="s">
        <v>23</v>
      </c>
      <c r="L7753" s="22">
        <v>1</v>
      </c>
      <c r="M7753" s="26">
        <v>93509</v>
      </c>
      <c r="N7753" s="26">
        <v>0</v>
      </c>
      <c r="O7753" s="15">
        <f t="shared" si="747"/>
        <v>93509</v>
      </c>
      <c r="P7753" s="15">
        <f t="shared" si="748"/>
        <v>11.000010587226395</v>
      </c>
      <c r="Q7753" s="25">
        <v>5000</v>
      </c>
      <c r="R7753" s="22">
        <v>100</v>
      </c>
      <c r="S7753" s="22" t="s">
        <v>9408</v>
      </c>
      <c r="T7753" s="22">
        <f t="shared" si="740"/>
        <v>12</v>
      </c>
      <c r="U7753" s="22">
        <f t="shared" si="741"/>
        <v>2023</v>
      </c>
      <c r="V7753" s="22" t="str">
        <f t="shared" si="742"/>
        <v>METROPOLITANA</v>
      </c>
    </row>
    <row r="7754" spans="1:22" x14ac:dyDescent="0.2">
      <c r="A7754" s="23" t="s">
        <v>9406</v>
      </c>
      <c r="B7754" s="22" t="s">
        <v>33</v>
      </c>
      <c r="C7754" s="22" t="s">
        <v>128</v>
      </c>
      <c r="D7754" s="22" t="s">
        <v>8219</v>
      </c>
      <c r="E7754" s="24">
        <v>73835526</v>
      </c>
      <c r="F7754" s="22" t="s">
        <v>554</v>
      </c>
      <c r="G7754" s="25">
        <v>2737.92</v>
      </c>
      <c r="H7754" s="22" t="s">
        <v>24</v>
      </c>
      <c r="I7754" s="22">
        <v>1</v>
      </c>
      <c r="J7754" s="22" t="s">
        <v>554</v>
      </c>
      <c r="K7754" s="22" t="s">
        <v>23</v>
      </c>
      <c r="L7754" s="22">
        <v>4</v>
      </c>
      <c r="M7754" s="26">
        <v>69173</v>
      </c>
      <c r="N7754" s="26">
        <v>0</v>
      </c>
      <c r="O7754" s="15">
        <f t="shared" si="747"/>
        <v>69173</v>
      </c>
      <c r="P7754" s="15">
        <f t="shared" si="748"/>
        <v>25.264799555867228</v>
      </c>
      <c r="Q7754" s="25">
        <v>5000</v>
      </c>
      <c r="R7754" s="22">
        <v>55</v>
      </c>
      <c r="S7754" s="22" t="s">
        <v>9409</v>
      </c>
      <c r="T7754" s="22">
        <f t="shared" si="740"/>
        <v>12</v>
      </c>
      <c r="U7754" s="22">
        <f t="shared" si="741"/>
        <v>2023</v>
      </c>
      <c r="V7754" s="22" t="str">
        <f t="shared" si="742"/>
        <v>METROPOLITANA</v>
      </c>
    </row>
    <row r="7755" spans="1:22" x14ac:dyDescent="0.2">
      <c r="A7755" s="23" t="s">
        <v>9406</v>
      </c>
      <c r="B7755" s="22" t="s">
        <v>33</v>
      </c>
      <c r="C7755" s="22" t="s">
        <v>223</v>
      </c>
      <c r="D7755" s="22" t="s">
        <v>20</v>
      </c>
      <c r="E7755" s="24">
        <v>78907355</v>
      </c>
      <c r="F7755" s="22" t="s">
        <v>51</v>
      </c>
      <c r="G7755" s="25">
        <v>2251.1999999999998</v>
      </c>
      <c r="H7755" s="22" t="s">
        <v>22</v>
      </c>
      <c r="I7755" s="22">
        <v>0</v>
      </c>
      <c r="J7755" s="22" t="s">
        <v>51</v>
      </c>
      <c r="K7755" s="22" t="s">
        <v>23</v>
      </c>
      <c r="L7755" s="22">
        <v>4</v>
      </c>
      <c r="M7755" s="26">
        <v>69173</v>
      </c>
      <c r="N7755" s="26">
        <v>0</v>
      </c>
      <c r="O7755" s="15">
        <f t="shared" si="747"/>
        <v>69173</v>
      </c>
      <c r="P7755" s="15">
        <f t="shared" si="748"/>
        <v>30.727167732764752</v>
      </c>
      <c r="Q7755" s="25">
        <v>5000</v>
      </c>
      <c r="R7755" s="22">
        <v>45</v>
      </c>
      <c r="S7755" s="22" t="s">
        <v>9410</v>
      </c>
      <c r="T7755" s="22">
        <f t="shared" ref="T7755:T7809" si="749">MONTH(A7755)</f>
        <v>12</v>
      </c>
      <c r="U7755" s="22">
        <f t="shared" ref="U7755:U7809" si="750">YEAR(A7755)</f>
        <v>2023</v>
      </c>
      <c r="V7755" s="22" t="str">
        <f t="shared" ref="V7755:V7809" si="751">IF(K7755="METROPOLITANA DE SANTIAGO","METROPOLITANA","REGIONES")</f>
        <v>METROPOLITANA</v>
      </c>
    </row>
    <row r="7756" spans="1:22" x14ac:dyDescent="0.2">
      <c r="A7756" s="23" t="s">
        <v>9406</v>
      </c>
      <c r="B7756" s="22" t="s">
        <v>33</v>
      </c>
      <c r="C7756" s="22" t="s">
        <v>29</v>
      </c>
      <c r="D7756" s="22" t="s">
        <v>38</v>
      </c>
      <c r="E7756" s="24">
        <v>125108660</v>
      </c>
      <c r="F7756" s="22" t="s">
        <v>173</v>
      </c>
      <c r="G7756" s="25">
        <v>5252.7999999999984</v>
      </c>
      <c r="H7756" s="22" t="s">
        <v>43</v>
      </c>
      <c r="I7756" s="22">
        <v>0</v>
      </c>
      <c r="J7756" s="22" t="s">
        <v>173</v>
      </c>
      <c r="K7756" s="22" t="s">
        <v>23</v>
      </c>
      <c r="L7756" s="22">
        <v>5</v>
      </c>
      <c r="M7756" s="26">
        <v>112500</v>
      </c>
      <c r="N7756" s="26">
        <v>0</v>
      </c>
      <c r="O7756" s="15">
        <f t="shared" si="747"/>
        <v>112500</v>
      </c>
      <c r="P7756" s="15">
        <f t="shared" si="748"/>
        <v>21.417148949131899</v>
      </c>
      <c r="Q7756" s="25">
        <v>10000</v>
      </c>
      <c r="R7756" s="22">
        <v>53</v>
      </c>
      <c r="S7756" s="22" t="s">
        <v>9411</v>
      </c>
      <c r="T7756" s="22">
        <f t="shared" si="749"/>
        <v>12</v>
      </c>
      <c r="U7756" s="22">
        <f t="shared" si="750"/>
        <v>2023</v>
      </c>
      <c r="V7756" s="22" t="str">
        <f t="shared" si="751"/>
        <v>METROPOLITANA</v>
      </c>
    </row>
    <row r="7757" spans="1:22" x14ac:dyDescent="0.2">
      <c r="A7757" s="23" t="s">
        <v>9406</v>
      </c>
      <c r="B7757" s="22" t="s">
        <v>33</v>
      </c>
      <c r="C7757" s="22" t="s">
        <v>29</v>
      </c>
      <c r="D7757" s="22" t="s">
        <v>9412</v>
      </c>
      <c r="E7757" s="24">
        <v>122975819</v>
      </c>
      <c r="F7757" s="22" t="s">
        <v>132</v>
      </c>
      <c r="G7757" s="25">
        <f>10460.48+298+8432</f>
        <v>19190.48</v>
      </c>
      <c r="H7757" s="22" t="s">
        <v>24</v>
      </c>
      <c r="I7757" s="22">
        <v>1</v>
      </c>
      <c r="J7757" s="22" t="s">
        <v>132</v>
      </c>
      <c r="K7757" s="22" t="s">
        <v>124</v>
      </c>
      <c r="L7757" s="22">
        <v>0</v>
      </c>
      <c r="M7757" s="26">
        <v>500000</v>
      </c>
      <c r="N7757" s="26">
        <v>0</v>
      </c>
      <c r="O7757" s="15">
        <f t="shared" si="747"/>
        <v>500000</v>
      </c>
      <c r="P7757" s="15">
        <f t="shared" si="748"/>
        <v>26.054585398593471</v>
      </c>
      <c r="Q7757" s="25">
        <v>14000</v>
      </c>
      <c r="R7757" s="22">
        <v>75</v>
      </c>
      <c r="S7757" s="22" t="s">
        <v>9416</v>
      </c>
      <c r="T7757" s="22">
        <f t="shared" si="749"/>
        <v>12</v>
      </c>
      <c r="U7757" s="22">
        <f t="shared" si="750"/>
        <v>2023</v>
      </c>
      <c r="V7757" s="22" t="str">
        <f t="shared" si="751"/>
        <v>REGIONES</v>
      </c>
    </row>
    <row r="7758" spans="1:22" x14ac:dyDescent="0.2">
      <c r="A7758" s="23" t="s">
        <v>9406</v>
      </c>
      <c r="B7758" s="22" t="s">
        <v>33</v>
      </c>
      <c r="C7758" s="22" t="s">
        <v>29</v>
      </c>
      <c r="D7758" s="22" t="s">
        <v>2955</v>
      </c>
      <c r="E7758" s="24">
        <v>65941082</v>
      </c>
      <c r="F7758" s="22" t="s">
        <v>170</v>
      </c>
      <c r="G7758" s="25">
        <v>19130.28</v>
      </c>
      <c r="H7758" s="22" t="s">
        <v>24</v>
      </c>
      <c r="I7758" s="22">
        <v>1</v>
      </c>
      <c r="J7758" s="22" t="s">
        <v>170</v>
      </c>
      <c r="K7758" s="22" t="s">
        <v>171</v>
      </c>
      <c r="L7758" s="22">
        <v>0</v>
      </c>
      <c r="M7758" s="26">
        <v>289000</v>
      </c>
      <c r="N7758" s="26">
        <v>0</v>
      </c>
      <c r="O7758" s="15">
        <f t="shared" si="747"/>
        <v>289000</v>
      </c>
      <c r="P7758" s="15">
        <f t="shared" si="748"/>
        <v>15.106940410699687</v>
      </c>
      <c r="Q7758" s="25">
        <v>14000</v>
      </c>
      <c r="R7758" s="22">
        <v>100</v>
      </c>
      <c r="S7758" s="22" t="s">
        <v>9413</v>
      </c>
      <c r="T7758" s="22">
        <f t="shared" si="749"/>
        <v>12</v>
      </c>
      <c r="U7758" s="22">
        <f t="shared" si="750"/>
        <v>2023</v>
      </c>
      <c r="V7758" s="22" t="str">
        <f t="shared" si="751"/>
        <v>REGIONES</v>
      </c>
    </row>
    <row r="7759" spans="1:22" x14ac:dyDescent="0.2">
      <c r="A7759" s="23" t="s">
        <v>9406</v>
      </c>
      <c r="B7759" s="22" t="s">
        <v>33</v>
      </c>
      <c r="C7759" s="22" t="s">
        <v>29</v>
      </c>
      <c r="D7759" s="22" t="s">
        <v>164</v>
      </c>
      <c r="E7759" s="24">
        <v>154837728</v>
      </c>
      <c r="F7759" s="22" t="s">
        <v>39</v>
      </c>
      <c r="G7759" s="25">
        <v>19923.240000000009</v>
      </c>
      <c r="H7759" s="22" t="s">
        <v>22</v>
      </c>
      <c r="I7759" s="22">
        <v>1</v>
      </c>
      <c r="J7759" s="22" t="s">
        <v>39</v>
      </c>
      <c r="K7759" s="22" t="s">
        <v>23</v>
      </c>
      <c r="L7759" s="22">
        <v>1</v>
      </c>
      <c r="M7759" s="26">
        <v>219156</v>
      </c>
      <c r="N7759" s="26">
        <v>0</v>
      </c>
      <c r="O7759" s="15">
        <f t="shared" si="747"/>
        <v>219156</v>
      </c>
      <c r="P7759" s="15">
        <f t="shared" si="748"/>
        <v>11.000018069350162</v>
      </c>
      <c r="Q7759" s="25">
        <v>5000</v>
      </c>
      <c r="R7759" s="22">
        <v>100</v>
      </c>
      <c r="S7759" s="22" t="s">
        <v>9414</v>
      </c>
      <c r="T7759" s="22">
        <f t="shared" si="749"/>
        <v>12</v>
      </c>
      <c r="U7759" s="22">
        <f t="shared" si="750"/>
        <v>2023</v>
      </c>
      <c r="V7759" s="22" t="str">
        <f t="shared" si="751"/>
        <v>METROPOLITANA</v>
      </c>
    </row>
    <row r="7760" spans="1:22" x14ac:dyDescent="0.2">
      <c r="A7760" s="23" t="s">
        <v>9406</v>
      </c>
      <c r="B7760" s="22" t="s">
        <v>33</v>
      </c>
      <c r="C7760" s="22" t="s">
        <v>44</v>
      </c>
      <c r="D7760" s="22" t="s">
        <v>45</v>
      </c>
      <c r="E7760" s="24">
        <v>107643206</v>
      </c>
      <c r="F7760" s="22" t="s">
        <v>48</v>
      </c>
      <c r="G7760" s="25">
        <v>3479.059999999999</v>
      </c>
      <c r="H7760" s="22" t="s">
        <v>22</v>
      </c>
      <c r="I7760" s="22">
        <v>0</v>
      </c>
      <c r="J7760" s="22" t="s">
        <v>48</v>
      </c>
      <c r="K7760" s="22" t="s">
        <v>23</v>
      </c>
      <c r="L7760" s="22">
        <v>1</v>
      </c>
      <c r="M7760" s="26">
        <v>69173</v>
      </c>
      <c r="N7760" s="26">
        <v>0</v>
      </c>
      <c r="O7760" s="15">
        <f t="shared" si="747"/>
        <v>69173</v>
      </c>
      <c r="P7760" s="15">
        <f t="shared" si="748"/>
        <v>19.88266945669233</v>
      </c>
      <c r="Q7760" s="25">
        <v>5000</v>
      </c>
      <c r="R7760" s="22">
        <v>70</v>
      </c>
      <c r="S7760" s="22" t="s">
        <v>9415</v>
      </c>
      <c r="T7760" s="22">
        <f t="shared" si="749"/>
        <v>12</v>
      </c>
      <c r="U7760" s="22">
        <f t="shared" si="750"/>
        <v>2023</v>
      </c>
      <c r="V7760" s="22" t="str">
        <f t="shared" si="751"/>
        <v>METROPOLITANA</v>
      </c>
    </row>
    <row r="7761" spans="1:22" x14ac:dyDescent="0.2">
      <c r="A7761" s="11" t="s">
        <v>9417</v>
      </c>
      <c r="B7761" s="12" t="s">
        <v>18</v>
      </c>
      <c r="C7761" s="12" t="s">
        <v>57</v>
      </c>
      <c r="D7761" s="12" t="s">
        <v>38</v>
      </c>
      <c r="E7761" s="13">
        <v>125108660</v>
      </c>
      <c r="F7761" s="12" t="s">
        <v>800</v>
      </c>
      <c r="G7761" s="14">
        <v>9728.68</v>
      </c>
      <c r="H7761" s="12" t="s">
        <v>43</v>
      </c>
      <c r="I7761" s="12">
        <v>0</v>
      </c>
      <c r="J7761" s="12" t="s">
        <v>800</v>
      </c>
      <c r="K7761" s="12" t="s">
        <v>23</v>
      </c>
      <c r="L7761" s="12">
        <v>5</v>
      </c>
      <c r="M7761" s="15">
        <v>112500</v>
      </c>
      <c r="N7761" s="15">
        <v>0</v>
      </c>
      <c r="O7761" s="15">
        <f t="shared" ref="O7761:O7779" si="752">SUM(M7761:N7761)</f>
        <v>112500</v>
      </c>
      <c r="P7761" s="15">
        <f t="shared" ref="P7761:P7779" si="753">O7761/G7761</f>
        <v>11.563747599879942</v>
      </c>
      <c r="Q7761" s="14">
        <v>10000</v>
      </c>
      <c r="R7761" s="12">
        <v>97</v>
      </c>
      <c r="S7761" s="12" t="s">
        <v>9418</v>
      </c>
      <c r="T7761" s="22">
        <f t="shared" si="749"/>
        <v>12</v>
      </c>
      <c r="U7761" s="22">
        <f t="shared" si="750"/>
        <v>2023</v>
      </c>
      <c r="V7761" s="22" t="str">
        <f t="shared" si="751"/>
        <v>METROPOLITANA</v>
      </c>
    </row>
    <row r="7762" spans="1:22" x14ac:dyDescent="0.2">
      <c r="A7762" s="11" t="s">
        <v>9417</v>
      </c>
      <c r="B7762" s="12" t="s">
        <v>18</v>
      </c>
      <c r="C7762" s="12" t="s">
        <v>5796</v>
      </c>
      <c r="D7762" s="12" t="s">
        <v>37</v>
      </c>
      <c r="E7762" s="13">
        <v>78907355</v>
      </c>
      <c r="F7762" s="12" t="s">
        <v>129</v>
      </c>
      <c r="G7762" s="14">
        <v>9907.2000000000007</v>
      </c>
      <c r="H7762" s="12" t="s">
        <v>22</v>
      </c>
      <c r="I7762" s="12">
        <v>0</v>
      </c>
      <c r="J7762" s="12" t="s">
        <v>129</v>
      </c>
      <c r="K7762" s="12" t="s">
        <v>23</v>
      </c>
      <c r="L7762" s="12">
        <v>1</v>
      </c>
      <c r="M7762" s="15">
        <v>108979</v>
      </c>
      <c r="N7762" s="15">
        <v>0</v>
      </c>
      <c r="O7762" s="15">
        <f t="shared" si="752"/>
        <v>108979</v>
      </c>
      <c r="P7762" s="15">
        <f t="shared" si="753"/>
        <v>10.999979812661499</v>
      </c>
      <c r="Q7762" s="14">
        <v>5000</v>
      </c>
      <c r="R7762" s="12">
        <v>100</v>
      </c>
      <c r="S7762" s="12" t="s">
        <v>9419</v>
      </c>
      <c r="T7762" s="22">
        <f t="shared" si="749"/>
        <v>12</v>
      </c>
      <c r="U7762" s="22">
        <f t="shared" si="750"/>
        <v>2023</v>
      </c>
      <c r="V7762" s="22" t="str">
        <f t="shared" si="751"/>
        <v>METROPOLITANA</v>
      </c>
    </row>
    <row r="7763" spans="1:22" x14ac:dyDescent="0.2">
      <c r="A7763" s="11" t="s">
        <v>9417</v>
      </c>
      <c r="B7763" s="12" t="s">
        <v>18</v>
      </c>
      <c r="C7763" s="12" t="s">
        <v>8229</v>
      </c>
      <c r="D7763" s="12" t="s">
        <v>38</v>
      </c>
      <c r="E7763" s="13">
        <v>125108660</v>
      </c>
      <c r="F7763" s="12" t="s">
        <v>26</v>
      </c>
      <c r="G7763" s="14">
        <v>9998.0400000000009</v>
      </c>
      <c r="H7763" s="12" t="s">
        <v>43</v>
      </c>
      <c r="I7763" s="12">
        <v>0</v>
      </c>
      <c r="J7763" s="12" t="s">
        <v>26</v>
      </c>
      <c r="K7763" s="12" t="s">
        <v>23</v>
      </c>
      <c r="L7763" s="12">
        <v>4</v>
      </c>
      <c r="M7763" s="15">
        <v>109978</v>
      </c>
      <c r="N7763" s="15">
        <v>0</v>
      </c>
      <c r="O7763" s="15">
        <f t="shared" si="752"/>
        <v>109978</v>
      </c>
      <c r="P7763" s="15">
        <f t="shared" si="753"/>
        <v>10.999955991374309</v>
      </c>
      <c r="Q7763" s="14">
        <v>5000</v>
      </c>
      <c r="R7763" s="12">
        <v>100</v>
      </c>
      <c r="S7763" s="12" t="s">
        <v>9420</v>
      </c>
      <c r="T7763" s="22">
        <f t="shared" si="749"/>
        <v>12</v>
      </c>
      <c r="U7763" s="22">
        <f t="shared" si="750"/>
        <v>2023</v>
      </c>
      <c r="V7763" s="22" t="str">
        <f t="shared" si="751"/>
        <v>METROPOLITANA</v>
      </c>
    </row>
    <row r="7764" spans="1:22" x14ac:dyDescent="0.2">
      <c r="A7764" s="11" t="s">
        <v>9417</v>
      </c>
      <c r="B7764" s="12" t="s">
        <v>33</v>
      </c>
      <c r="C7764" s="12" t="s">
        <v>128</v>
      </c>
      <c r="D7764" s="12" t="s">
        <v>8219</v>
      </c>
      <c r="E7764" s="13">
        <v>73835526</v>
      </c>
      <c r="F7764" s="12" t="s">
        <v>34</v>
      </c>
      <c r="G7764" s="14">
        <v>6170.1600000000017</v>
      </c>
      <c r="H7764" s="12" t="s">
        <v>24</v>
      </c>
      <c r="I7764" s="12">
        <v>1</v>
      </c>
      <c r="J7764" s="12" t="s">
        <v>34</v>
      </c>
      <c r="K7764" s="12" t="s">
        <v>23</v>
      </c>
      <c r="L7764" s="12">
        <v>1</v>
      </c>
      <c r="M7764" s="15">
        <v>67872</v>
      </c>
      <c r="N7764" s="15">
        <v>0</v>
      </c>
      <c r="O7764" s="15">
        <f t="shared" si="752"/>
        <v>67872</v>
      </c>
      <c r="P7764" s="15">
        <f t="shared" si="753"/>
        <v>11.000038896884357</v>
      </c>
      <c r="Q7764" s="14">
        <v>5000</v>
      </c>
      <c r="R7764" s="12">
        <v>100</v>
      </c>
      <c r="S7764" s="12" t="s">
        <v>9421</v>
      </c>
      <c r="T7764" s="22">
        <f t="shared" si="749"/>
        <v>12</v>
      </c>
      <c r="U7764" s="22">
        <f t="shared" si="750"/>
        <v>2023</v>
      </c>
      <c r="V7764" s="22" t="str">
        <f t="shared" si="751"/>
        <v>METROPOLITANA</v>
      </c>
    </row>
    <row r="7765" spans="1:22" x14ac:dyDescent="0.2">
      <c r="A7765" s="11" t="s">
        <v>9417</v>
      </c>
      <c r="B7765" s="12" t="s">
        <v>33</v>
      </c>
      <c r="C7765" s="12" t="s">
        <v>909</v>
      </c>
      <c r="D7765" s="12" t="s">
        <v>786</v>
      </c>
      <c r="E7765" s="13">
        <v>95707734</v>
      </c>
      <c r="F7765" s="12" t="s">
        <v>3898</v>
      </c>
      <c r="G7765" s="14">
        <v>15896.38</v>
      </c>
      <c r="H7765" s="12" t="s">
        <v>788</v>
      </c>
      <c r="I7765" s="12">
        <v>1</v>
      </c>
      <c r="J7765" s="12" t="s">
        <v>910</v>
      </c>
      <c r="K7765" s="12" t="s">
        <v>171</v>
      </c>
      <c r="L7765" s="12">
        <v>0</v>
      </c>
      <c r="M7765" s="15">
        <v>290000</v>
      </c>
      <c r="N7765" s="15">
        <v>0</v>
      </c>
      <c r="O7765" s="15">
        <f t="shared" si="752"/>
        <v>290000</v>
      </c>
      <c r="P7765" s="15">
        <f t="shared" si="753"/>
        <v>18.243147181937019</v>
      </c>
      <c r="Q7765" s="14">
        <v>14000</v>
      </c>
      <c r="R7765" s="12">
        <v>100</v>
      </c>
      <c r="S7765" s="12" t="s">
        <v>9422</v>
      </c>
      <c r="T7765" s="22">
        <f t="shared" si="749"/>
        <v>12</v>
      </c>
      <c r="U7765" s="22">
        <f t="shared" si="750"/>
        <v>2023</v>
      </c>
      <c r="V7765" s="22" t="str">
        <f t="shared" si="751"/>
        <v>REGIONES</v>
      </c>
    </row>
    <row r="7766" spans="1:22" x14ac:dyDescent="0.2">
      <c r="A7766" s="11" t="s">
        <v>9417</v>
      </c>
      <c r="B7766" s="12" t="s">
        <v>33</v>
      </c>
      <c r="C7766" s="12" t="s">
        <v>909</v>
      </c>
      <c r="D7766" s="12" t="s">
        <v>2955</v>
      </c>
      <c r="E7766" s="13">
        <v>65941082</v>
      </c>
      <c r="F7766" s="12" t="s">
        <v>8099</v>
      </c>
      <c r="G7766" s="14">
        <v>6932.5399999999991</v>
      </c>
      <c r="H7766" s="12" t="s">
        <v>24</v>
      </c>
      <c r="I7766" s="12">
        <v>1</v>
      </c>
      <c r="J7766" s="12" t="s">
        <v>8099</v>
      </c>
      <c r="K7766" s="12" t="s">
        <v>171</v>
      </c>
      <c r="L7766" s="12">
        <v>0</v>
      </c>
      <c r="M7766" s="15">
        <v>350000</v>
      </c>
      <c r="N7766" s="15">
        <v>0</v>
      </c>
      <c r="O7766" s="15">
        <f t="shared" si="752"/>
        <v>350000</v>
      </c>
      <c r="P7766" s="15">
        <f t="shared" si="753"/>
        <v>50.486546056712264</v>
      </c>
      <c r="Q7766" s="14">
        <v>14000</v>
      </c>
      <c r="R7766" s="12">
        <v>50</v>
      </c>
      <c r="S7766" s="12" t="s">
        <v>9423</v>
      </c>
      <c r="T7766" s="22">
        <f t="shared" si="749"/>
        <v>12</v>
      </c>
      <c r="U7766" s="22">
        <f t="shared" si="750"/>
        <v>2023</v>
      </c>
      <c r="V7766" s="22" t="str">
        <f t="shared" si="751"/>
        <v>REGIONES</v>
      </c>
    </row>
    <row r="7767" spans="1:22" x14ac:dyDescent="0.2">
      <c r="A7767" s="11" t="s">
        <v>9417</v>
      </c>
      <c r="B7767" s="12" t="s">
        <v>33</v>
      </c>
      <c r="C7767" s="12" t="s">
        <v>909</v>
      </c>
      <c r="D7767" s="12" t="s">
        <v>164</v>
      </c>
      <c r="E7767" s="13">
        <v>154837728</v>
      </c>
      <c r="F7767" s="12" t="s">
        <v>910</v>
      </c>
      <c r="G7767" s="14">
        <v>5377.3200000000024</v>
      </c>
      <c r="H7767" s="12" t="s">
        <v>22</v>
      </c>
      <c r="I7767" s="12">
        <v>1</v>
      </c>
      <c r="J7767" s="12" t="s">
        <v>910</v>
      </c>
      <c r="K7767" s="12" t="s">
        <v>171</v>
      </c>
      <c r="L7767" s="12">
        <v>0</v>
      </c>
      <c r="M7767" s="15">
        <v>290000</v>
      </c>
      <c r="N7767" s="15">
        <v>0</v>
      </c>
      <c r="O7767" s="15">
        <f t="shared" si="752"/>
        <v>290000</v>
      </c>
      <c r="P7767" s="15">
        <f t="shared" si="753"/>
        <v>53.930210588174013</v>
      </c>
      <c r="Q7767" s="14">
        <v>14000</v>
      </c>
      <c r="R7767" s="12">
        <v>38</v>
      </c>
      <c r="S7767" s="12" t="s">
        <v>9424</v>
      </c>
      <c r="T7767" s="22">
        <f t="shared" si="749"/>
        <v>12</v>
      </c>
      <c r="U7767" s="22">
        <f t="shared" si="750"/>
        <v>2023</v>
      </c>
      <c r="V7767" s="22" t="str">
        <f t="shared" si="751"/>
        <v>REGIONES</v>
      </c>
    </row>
    <row r="7768" spans="1:22" x14ac:dyDescent="0.2">
      <c r="A7768" s="11" t="s">
        <v>9417</v>
      </c>
      <c r="B7768" s="12" t="s">
        <v>33</v>
      </c>
      <c r="C7768" s="12" t="s">
        <v>3361</v>
      </c>
      <c r="D7768" s="12" t="s">
        <v>20</v>
      </c>
      <c r="E7768" s="13">
        <v>78907355</v>
      </c>
      <c r="F7768" s="12" t="s">
        <v>161</v>
      </c>
      <c r="G7768" s="14">
        <f>5952+3903</f>
        <v>9855</v>
      </c>
      <c r="H7768" s="12" t="s">
        <v>22</v>
      </c>
      <c r="I7768" s="12">
        <v>0</v>
      </c>
      <c r="J7768" s="12" t="s">
        <v>161</v>
      </c>
      <c r="K7768" s="12" t="s">
        <v>23</v>
      </c>
      <c r="L7768" s="12">
        <v>5</v>
      </c>
      <c r="M7768" s="15">
        <v>112500</v>
      </c>
      <c r="N7768" s="15">
        <v>0</v>
      </c>
      <c r="O7768" s="15">
        <f t="shared" si="752"/>
        <v>112500</v>
      </c>
      <c r="P7768" s="15">
        <f t="shared" si="753"/>
        <v>11.415525114155251</v>
      </c>
      <c r="Q7768" s="14">
        <v>10000</v>
      </c>
      <c r="R7768" s="12">
        <v>100</v>
      </c>
      <c r="S7768" s="12" t="s">
        <v>9434</v>
      </c>
      <c r="T7768" s="22">
        <f t="shared" si="749"/>
        <v>12</v>
      </c>
      <c r="U7768" s="22">
        <f t="shared" si="750"/>
        <v>2023</v>
      </c>
      <c r="V7768" s="22" t="str">
        <f t="shared" si="751"/>
        <v>METROPOLITANA</v>
      </c>
    </row>
    <row r="7769" spans="1:22" x14ac:dyDescent="0.2">
      <c r="A7769" s="11" t="s">
        <v>9417</v>
      </c>
      <c r="B7769" s="12" t="s">
        <v>33</v>
      </c>
      <c r="C7769" s="12" t="s">
        <v>2862</v>
      </c>
      <c r="D7769" s="12" t="s">
        <v>9425</v>
      </c>
      <c r="E7769" s="13">
        <v>114163848</v>
      </c>
      <c r="F7769" s="12" t="s">
        <v>3438</v>
      </c>
      <c r="G7769" s="14">
        <v>8825.1999999999989</v>
      </c>
      <c r="H7769" s="12" t="s">
        <v>24</v>
      </c>
      <c r="I7769" s="12">
        <v>1</v>
      </c>
      <c r="J7769" s="12" t="s">
        <v>3438</v>
      </c>
      <c r="K7769" s="12" t="s">
        <v>93</v>
      </c>
      <c r="L7769" s="12">
        <v>0</v>
      </c>
      <c r="M7769" s="15">
        <v>1000000</v>
      </c>
      <c r="N7769" s="15">
        <v>0</v>
      </c>
      <c r="O7769" s="15">
        <f t="shared" si="752"/>
        <v>1000000</v>
      </c>
      <c r="P7769" s="15">
        <f t="shared" si="753"/>
        <v>113.31187961745911</v>
      </c>
      <c r="Q7769" s="14">
        <v>14000</v>
      </c>
      <c r="R7769" s="12">
        <v>63</v>
      </c>
      <c r="S7769" s="12" t="s">
        <v>9426</v>
      </c>
      <c r="T7769" s="22">
        <f t="shared" si="749"/>
        <v>12</v>
      </c>
      <c r="U7769" s="22">
        <f t="shared" si="750"/>
        <v>2023</v>
      </c>
      <c r="V7769" s="22" t="str">
        <f t="shared" si="751"/>
        <v>REGIONES</v>
      </c>
    </row>
    <row r="7770" spans="1:22" x14ac:dyDescent="0.2">
      <c r="A7770" s="11" t="s">
        <v>9417</v>
      </c>
      <c r="B7770" s="12" t="s">
        <v>33</v>
      </c>
      <c r="C7770" s="12" t="s">
        <v>29</v>
      </c>
      <c r="D7770" s="12" t="s">
        <v>5478</v>
      </c>
      <c r="E7770" s="13">
        <v>122975819</v>
      </c>
      <c r="F7770" s="12" t="s">
        <v>132</v>
      </c>
      <c r="G7770" s="14">
        <f>10363.98+596.8</f>
        <v>10960.779999999999</v>
      </c>
      <c r="H7770" s="12" t="s">
        <v>24</v>
      </c>
      <c r="I7770" s="12">
        <v>1</v>
      </c>
      <c r="J7770" s="12" t="s">
        <v>132</v>
      </c>
      <c r="K7770" s="12" t="s">
        <v>124</v>
      </c>
      <c r="L7770" s="12">
        <v>0</v>
      </c>
      <c r="M7770" s="15">
        <v>500000</v>
      </c>
      <c r="N7770" s="15">
        <v>0</v>
      </c>
      <c r="O7770" s="15">
        <f t="shared" si="752"/>
        <v>500000</v>
      </c>
      <c r="P7770" s="15">
        <f t="shared" si="753"/>
        <v>45.617191477248888</v>
      </c>
      <c r="Q7770" s="14">
        <v>14000</v>
      </c>
      <c r="R7770" s="12">
        <v>74</v>
      </c>
      <c r="S7770" s="12" t="s">
        <v>9435</v>
      </c>
      <c r="T7770" s="22">
        <f t="shared" si="749"/>
        <v>12</v>
      </c>
      <c r="U7770" s="22">
        <f t="shared" si="750"/>
        <v>2023</v>
      </c>
      <c r="V7770" s="22" t="str">
        <f t="shared" si="751"/>
        <v>REGIONES</v>
      </c>
    </row>
    <row r="7771" spans="1:22" x14ac:dyDescent="0.2">
      <c r="A7771" s="11" t="s">
        <v>9417</v>
      </c>
      <c r="B7771" s="12" t="s">
        <v>33</v>
      </c>
      <c r="C7771" s="12" t="s">
        <v>44</v>
      </c>
      <c r="D7771" s="12" t="s">
        <v>2612</v>
      </c>
      <c r="E7771" s="13">
        <v>103576032</v>
      </c>
      <c r="F7771" s="12" t="s">
        <v>3438</v>
      </c>
      <c r="G7771" s="14">
        <v>7432.5000000000009</v>
      </c>
      <c r="H7771" s="12" t="s">
        <v>24</v>
      </c>
      <c r="I7771" s="12">
        <v>1</v>
      </c>
      <c r="J7771" s="12" t="s">
        <v>3438</v>
      </c>
      <c r="K7771" s="12" t="s">
        <v>93</v>
      </c>
      <c r="L7771" s="12">
        <v>0</v>
      </c>
      <c r="M7771" s="15">
        <v>1000000</v>
      </c>
      <c r="N7771" s="15">
        <v>0</v>
      </c>
      <c r="O7771" s="15">
        <f t="shared" si="752"/>
        <v>1000000</v>
      </c>
      <c r="P7771" s="15">
        <f t="shared" si="753"/>
        <v>134.54423141607802</v>
      </c>
      <c r="Q7771" s="14">
        <v>14000</v>
      </c>
      <c r="R7771" s="12">
        <v>53</v>
      </c>
      <c r="S7771" s="12" t="s">
        <v>9427</v>
      </c>
      <c r="T7771" s="22">
        <f t="shared" si="749"/>
        <v>12</v>
      </c>
      <c r="U7771" s="22">
        <f t="shared" si="750"/>
        <v>2023</v>
      </c>
      <c r="V7771" s="22" t="str">
        <f t="shared" si="751"/>
        <v>REGIONES</v>
      </c>
    </row>
    <row r="7772" spans="1:22" x14ac:dyDescent="0.2">
      <c r="A7772" s="11" t="s">
        <v>9417</v>
      </c>
      <c r="B7772" s="12" t="s">
        <v>33</v>
      </c>
      <c r="C7772" s="12" t="s">
        <v>44</v>
      </c>
      <c r="D7772" s="12" t="s">
        <v>7831</v>
      </c>
      <c r="E7772" s="13">
        <v>137998513</v>
      </c>
      <c r="F7772" s="12" t="s">
        <v>2308</v>
      </c>
      <c r="G7772" s="14">
        <v>6690.2700000000013</v>
      </c>
      <c r="H7772" s="12" t="s">
        <v>24</v>
      </c>
      <c r="I7772" s="12">
        <v>1</v>
      </c>
      <c r="J7772" s="12" t="s">
        <v>2308</v>
      </c>
      <c r="K7772" s="12" t="s">
        <v>2309</v>
      </c>
      <c r="L7772" s="12">
        <v>0</v>
      </c>
      <c r="M7772" s="15">
        <v>1100000</v>
      </c>
      <c r="N7772" s="15">
        <v>0</v>
      </c>
      <c r="O7772" s="15">
        <f t="shared" si="752"/>
        <v>1100000</v>
      </c>
      <c r="P7772" s="15">
        <f t="shared" si="753"/>
        <v>164.4178785011666</v>
      </c>
      <c r="Q7772" s="14">
        <v>14000</v>
      </c>
      <c r="R7772" s="12">
        <v>48</v>
      </c>
      <c r="S7772" s="12" t="s">
        <v>9428</v>
      </c>
      <c r="T7772" s="22">
        <f t="shared" si="749"/>
        <v>12</v>
      </c>
      <c r="U7772" s="22">
        <f t="shared" si="750"/>
        <v>2023</v>
      </c>
      <c r="V7772" s="22" t="str">
        <f t="shared" si="751"/>
        <v>REGIONES</v>
      </c>
    </row>
    <row r="7773" spans="1:22" x14ac:dyDescent="0.2">
      <c r="A7773" s="11" t="s">
        <v>9417</v>
      </c>
      <c r="B7773" s="12" t="s">
        <v>33</v>
      </c>
      <c r="C7773" s="12" t="s">
        <v>44</v>
      </c>
      <c r="D7773" s="12" t="s">
        <v>7615</v>
      </c>
      <c r="E7773" s="13">
        <v>161391735</v>
      </c>
      <c r="F7773" s="12" t="s">
        <v>114</v>
      </c>
      <c r="G7773" s="14">
        <f>5995.3275</f>
        <v>5995.3275000000003</v>
      </c>
      <c r="H7773" s="12" t="s">
        <v>24</v>
      </c>
      <c r="I7773" s="12">
        <v>1</v>
      </c>
      <c r="J7773" s="12" t="s">
        <v>114</v>
      </c>
      <c r="K7773" s="12" t="s">
        <v>75</v>
      </c>
      <c r="L7773" s="12">
        <v>0</v>
      </c>
      <c r="M7773" s="15">
        <v>528000</v>
      </c>
      <c r="N7773" s="15">
        <v>0</v>
      </c>
      <c r="O7773" s="15">
        <f t="shared" si="752"/>
        <v>528000</v>
      </c>
      <c r="P7773" s="15">
        <f t="shared" si="753"/>
        <v>88.068583409330017</v>
      </c>
      <c r="Q7773" s="14">
        <v>14000</v>
      </c>
      <c r="R7773" s="12">
        <v>55</v>
      </c>
      <c r="S7773" s="12" t="s">
        <v>9436</v>
      </c>
      <c r="T7773" s="22">
        <f t="shared" si="749"/>
        <v>12</v>
      </c>
      <c r="U7773" s="22">
        <f t="shared" si="750"/>
        <v>2023</v>
      </c>
      <c r="V7773" s="22" t="str">
        <f t="shared" si="751"/>
        <v>REGIONES</v>
      </c>
    </row>
    <row r="7774" spans="1:22" x14ac:dyDescent="0.2">
      <c r="A7774" s="11" t="s">
        <v>9417</v>
      </c>
      <c r="B7774" s="12" t="s">
        <v>33</v>
      </c>
      <c r="C7774" s="12" t="s">
        <v>44</v>
      </c>
      <c r="D7774" s="12" t="s">
        <v>37</v>
      </c>
      <c r="E7774" s="13">
        <v>98417709</v>
      </c>
      <c r="F7774" s="12" t="s">
        <v>95</v>
      </c>
      <c r="G7774" s="14">
        <v>2737.62</v>
      </c>
      <c r="H7774" s="12" t="s">
        <v>22</v>
      </c>
      <c r="I7774" s="12">
        <v>0</v>
      </c>
      <c r="J7774" s="12" t="s">
        <v>95</v>
      </c>
      <c r="K7774" s="12" t="s">
        <v>23</v>
      </c>
      <c r="L7774" s="12">
        <v>4</v>
      </c>
      <c r="M7774" s="15">
        <v>69173</v>
      </c>
      <c r="N7774" s="15">
        <v>0</v>
      </c>
      <c r="O7774" s="15">
        <f t="shared" si="752"/>
        <v>69173</v>
      </c>
      <c r="P7774" s="15">
        <f t="shared" si="753"/>
        <v>25.267568179659705</v>
      </c>
      <c r="Q7774" s="14">
        <v>5000</v>
      </c>
      <c r="R7774" s="12">
        <v>55</v>
      </c>
      <c r="S7774" s="12" t="s">
        <v>9429</v>
      </c>
      <c r="T7774" s="22">
        <f t="shared" si="749"/>
        <v>12</v>
      </c>
      <c r="U7774" s="22">
        <f t="shared" si="750"/>
        <v>2023</v>
      </c>
      <c r="V7774" s="22" t="str">
        <f t="shared" si="751"/>
        <v>METROPOLITANA</v>
      </c>
    </row>
    <row r="7775" spans="1:22" x14ac:dyDescent="0.2">
      <c r="A7775" s="11" t="s">
        <v>9417</v>
      </c>
      <c r="B7775" s="12" t="s">
        <v>33</v>
      </c>
      <c r="C7775" s="12" t="s">
        <v>44</v>
      </c>
      <c r="D7775" s="12" t="s">
        <v>8724</v>
      </c>
      <c r="E7775" s="13">
        <v>94590507</v>
      </c>
      <c r="F7775" s="12" t="s">
        <v>66</v>
      </c>
      <c r="G7775" s="14">
        <f>5182.79+2705+60</f>
        <v>7947.79</v>
      </c>
      <c r="H7775" s="12" t="s">
        <v>24</v>
      </c>
      <c r="I7775" s="12">
        <v>1</v>
      </c>
      <c r="J7775" s="12" t="s">
        <v>66</v>
      </c>
      <c r="K7775" s="12" t="s">
        <v>75</v>
      </c>
      <c r="L7775" s="12">
        <v>0</v>
      </c>
      <c r="M7775" s="15">
        <v>506000</v>
      </c>
      <c r="N7775" s="15">
        <v>0</v>
      </c>
      <c r="O7775" s="15">
        <f t="shared" si="752"/>
        <v>506000</v>
      </c>
      <c r="P7775" s="15">
        <f t="shared" si="753"/>
        <v>63.665496949466458</v>
      </c>
      <c r="Q7775" s="14">
        <v>14000</v>
      </c>
      <c r="R7775" s="12">
        <v>37</v>
      </c>
      <c r="S7775" s="12" t="s">
        <v>9437</v>
      </c>
      <c r="T7775" s="22">
        <f t="shared" si="749"/>
        <v>12</v>
      </c>
      <c r="U7775" s="22">
        <f t="shared" si="750"/>
        <v>2023</v>
      </c>
      <c r="V7775" s="22" t="str">
        <f t="shared" si="751"/>
        <v>REGIONES</v>
      </c>
    </row>
    <row r="7776" spans="1:22" x14ac:dyDescent="0.2">
      <c r="A7776" s="11" t="s">
        <v>9417</v>
      </c>
      <c r="B7776" s="12" t="s">
        <v>33</v>
      </c>
      <c r="C7776" s="12" t="s">
        <v>44</v>
      </c>
      <c r="D7776" s="12" t="s">
        <v>8580</v>
      </c>
      <c r="E7776" s="13">
        <v>276547747</v>
      </c>
      <c r="F7776" s="12" t="s">
        <v>138</v>
      </c>
      <c r="G7776" s="14">
        <v>4073.16</v>
      </c>
      <c r="H7776" s="12" t="s">
        <v>24</v>
      </c>
      <c r="I7776" s="12">
        <v>1</v>
      </c>
      <c r="J7776" s="12" t="s">
        <v>138</v>
      </c>
      <c r="K7776" s="12" t="s">
        <v>23</v>
      </c>
      <c r="L7776" s="12">
        <v>3</v>
      </c>
      <c r="M7776" s="15">
        <v>69173</v>
      </c>
      <c r="N7776" s="15">
        <v>0</v>
      </c>
      <c r="O7776" s="15">
        <f t="shared" si="752"/>
        <v>69173</v>
      </c>
      <c r="P7776" s="15">
        <f t="shared" si="753"/>
        <v>16.982637559045067</v>
      </c>
      <c r="Q7776" s="14">
        <v>5000</v>
      </c>
      <c r="R7776" s="12">
        <v>81</v>
      </c>
      <c r="S7776" s="12" t="s">
        <v>9430</v>
      </c>
      <c r="T7776" s="22">
        <f t="shared" si="749"/>
        <v>12</v>
      </c>
      <c r="U7776" s="22">
        <f t="shared" si="750"/>
        <v>2023</v>
      </c>
      <c r="V7776" s="22" t="str">
        <f t="shared" si="751"/>
        <v>METROPOLITANA</v>
      </c>
    </row>
    <row r="7777" spans="1:22" x14ac:dyDescent="0.2">
      <c r="A7777" s="11" t="s">
        <v>9417</v>
      </c>
      <c r="B7777" s="12" t="s">
        <v>33</v>
      </c>
      <c r="C7777" s="12" t="s">
        <v>44</v>
      </c>
      <c r="D7777" s="12" t="s">
        <v>9084</v>
      </c>
      <c r="E7777" s="13">
        <v>256738929</v>
      </c>
      <c r="F7777" s="12" t="s">
        <v>95</v>
      </c>
      <c r="G7777" s="14">
        <v>2863</v>
      </c>
      <c r="H7777" s="12" t="s">
        <v>24</v>
      </c>
      <c r="I7777" s="12">
        <v>1</v>
      </c>
      <c r="J7777" s="12" t="s">
        <v>95</v>
      </c>
      <c r="K7777" s="12" t="s">
        <v>23</v>
      </c>
      <c r="L7777" s="12">
        <v>4</v>
      </c>
      <c r="M7777" s="15">
        <v>69173</v>
      </c>
      <c r="N7777" s="15">
        <v>0</v>
      </c>
      <c r="O7777" s="15">
        <f t="shared" si="752"/>
        <v>69173</v>
      </c>
      <c r="P7777" s="15">
        <f t="shared" si="753"/>
        <v>24.161019909186169</v>
      </c>
      <c r="Q7777" s="14">
        <v>5000</v>
      </c>
      <c r="R7777" s="12">
        <v>57</v>
      </c>
      <c r="S7777" s="12" t="s">
        <v>9431</v>
      </c>
      <c r="T7777" s="22">
        <f t="shared" si="749"/>
        <v>12</v>
      </c>
      <c r="U7777" s="22">
        <f t="shared" si="750"/>
        <v>2023</v>
      </c>
      <c r="V7777" s="22" t="str">
        <f t="shared" si="751"/>
        <v>METROPOLITANA</v>
      </c>
    </row>
    <row r="7778" spans="1:22" x14ac:dyDescent="0.2">
      <c r="A7778" s="11" t="s">
        <v>9417</v>
      </c>
      <c r="B7778" s="12" t="s">
        <v>33</v>
      </c>
      <c r="C7778" s="12" t="s">
        <v>44</v>
      </c>
      <c r="D7778" s="12" t="s">
        <v>45</v>
      </c>
      <c r="E7778" s="13">
        <v>107643206</v>
      </c>
      <c r="F7778" s="12" t="s">
        <v>51</v>
      </c>
      <c r="G7778" s="14">
        <v>4681.62</v>
      </c>
      <c r="H7778" s="12" t="s">
        <v>22</v>
      </c>
      <c r="I7778" s="12">
        <v>0</v>
      </c>
      <c r="J7778" s="12" t="s">
        <v>51</v>
      </c>
      <c r="K7778" s="12" t="s">
        <v>23</v>
      </c>
      <c r="L7778" s="12">
        <v>4</v>
      </c>
      <c r="M7778" s="15">
        <v>69173</v>
      </c>
      <c r="N7778" s="15">
        <v>0</v>
      </c>
      <c r="O7778" s="15">
        <f t="shared" si="752"/>
        <v>69173</v>
      </c>
      <c r="P7778" s="15">
        <f t="shared" si="753"/>
        <v>14.775440979831767</v>
      </c>
      <c r="Q7778" s="14">
        <v>5000</v>
      </c>
      <c r="R7778" s="12">
        <v>94</v>
      </c>
      <c r="S7778" s="12" t="s">
        <v>9432</v>
      </c>
      <c r="T7778" s="22">
        <f t="shared" si="749"/>
        <v>12</v>
      </c>
      <c r="U7778" s="22">
        <f t="shared" si="750"/>
        <v>2023</v>
      </c>
      <c r="V7778" s="22" t="str">
        <f t="shared" si="751"/>
        <v>METROPOLITANA</v>
      </c>
    </row>
    <row r="7779" spans="1:22" x14ac:dyDescent="0.2">
      <c r="A7779" s="11" t="s">
        <v>9417</v>
      </c>
      <c r="B7779" s="12" t="s">
        <v>33</v>
      </c>
      <c r="C7779" s="12" t="s">
        <v>44</v>
      </c>
      <c r="D7779" s="12" t="s">
        <v>20</v>
      </c>
      <c r="E7779" s="13">
        <v>78907355</v>
      </c>
      <c r="F7779" s="12" t="s">
        <v>48</v>
      </c>
      <c r="G7779" s="14">
        <v>4852.72</v>
      </c>
      <c r="H7779" s="12" t="s">
        <v>22</v>
      </c>
      <c r="I7779" s="12">
        <v>0</v>
      </c>
      <c r="J7779" s="12" t="s">
        <v>48</v>
      </c>
      <c r="K7779" s="12" t="s">
        <v>23</v>
      </c>
      <c r="L7779" s="12">
        <v>1</v>
      </c>
      <c r="M7779" s="15">
        <v>69173</v>
      </c>
      <c r="N7779" s="15">
        <v>0</v>
      </c>
      <c r="O7779" s="15">
        <f t="shared" si="752"/>
        <v>69173</v>
      </c>
      <c r="P7779" s="15">
        <f t="shared" si="753"/>
        <v>14.254479961753407</v>
      </c>
      <c r="Q7779" s="14">
        <v>5000</v>
      </c>
      <c r="R7779" s="12">
        <v>97</v>
      </c>
      <c r="S7779" s="12" t="s">
        <v>9433</v>
      </c>
      <c r="T7779" s="22">
        <f t="shared" si="749"/>
        <v>12</v>
      </c>
      <c r="U7779" s="22">
        <f t="shared" si="750"/>
        <v>2023</v>
      </c>
      <c r="V7779" s="22" t="str">
        <f t="shared" si="751"/>
        <v>METROPOLITANA</v>
      </c>
    </row>
    <row r="7780" spans="1:22" x14ac:dyDescent="0.2">
      <c r="A7780" s="23" t="s">
        <v>9438</v>
      </c>
      <c r="B7780" s="22" t="s">
        <v>18</v>
      </c>
      <c r="C7780" s="22" t="s">
        <v>8348</v>
      </c>
      <c r="D7780" s="22" t="s">
        <v>30</v>
      </c>
      <c r="E7780" s="24">
        <v>72564391</v>
      </c>
      <c r="F7780" s="22" t="s">
        <v>727</v>
      </c>
      <c r="G7780" s="25">
        <v>3370.28</v>
      </c>
      <c r="H7780" s="22" t="s">
        <v>32</v>
      </c>
      <c r="I7780" s="22">
        <v>0</v>
      </c>
      <c r="J7780" s="22" t="s">
        <v>727</v>
      </c>
      <c r="K7780" s="22" t="s">
        <v>23</v>
      </c>
      <c r="L7780" s="22">
        <v>2</v>
      </c>
      <c r="M7780" s="26">
        <v>69173</v>
      </c>
      <c r="N7780" s="26">
        <v>0</v>
      </c>
      <c r="O7780" s="15">
        <f t="shared" ref="O7780:O7788" si="754">SUM(M7780:N7780)</f>
        <v>69173</v>
      </c>
      <c r="P7780" s="15">
        <f t="shared" ref="P7780:P7788" si="755">O7780/G7780</f>
        <v>20.524407467628802</v>
      </c>
      <c r="Q7780" s="25">
        <v>5000</v>
      </c>
      <c r="R7780" s="22">
        <v>67</v>
      </c>
      <c r="S7780" s="22" t="s">
        <v>9439</v>
      </c>
      <c r="T7780" s="22">
        <f t="shared" si="749"/>
        <v>12</v>
      </c>
      <c r="U7780" s="22">
        <f t="shared" si="750"/>
        <v>2023</v>
      </c>
      <c r="V7780" s="22" t="str">
        <f t="shared" si="751"/>
        <v>METROPOLITANA</v>
      </c>
    </row>
    <row r="7781" spans="1:22" x14ac:dyDescent="0.2">
      <c r="A7781" s="23" t="s">
        <v>9438</v>
      </c>
      <c r="B7781" s="22" t="s">
        <v>33</v>
      </c>
      <c r="C7781" s="22" t="s">
        <v>128</v>
      </c>
      <c r="D7781" s="22" t="s">
        <v>786</v>
      </c>
      <c r="E7781" s="24">
        <v>95707734</v>
      </c>
      <c r="F7781" s="22" t="s">
        <v>34</v>
      </c>
      <c r="G7781" s="25">
        <f>6275.83+265+512</f>
        <v>7052.83</v>
      </c>
      <c r="H7781" s="22" t="s">
        <v>788</v>
      </c>
      <c r="I7781" s="22">
        <v>1</v>
      </c>
      <c r="J7781" s="22" t="s">
        <v>34</v>
      </c>
      <c r="K7781" s="22" t="s">
        <v>23</v>
      </c>
      <c r="L7781" s="22">
        <v>1</v>
      </c>
      <c r="M7781" s="26">
        <v>69034</v>
      </c>
      <c r="N7781" s="26">
        <v>0</v>
      </c>
      <c r="O7781" s="15">
        <f t="shared" si="754"/>
        <v>69034</v>
      </c>
      <c r="P7781" s="15">
        <f t="shared" si="755"/>
        <v>9.7881276026786406</v>
      </c>
      <c r="Q7781" s="25">
        <v>5000</v>
      </c>
      <c r="R7781" s="22">
        <v>100</v>
      </c>
      <c r="S7781" s="22" t="s">
        <v>9447</v>
      </c>
      <c r="T7781" s="22">
        <f t="shared" si="749"/>
        <v>12</v>
      </c>
      <c r="U7781" s="22">
        <f t="shared" si="750"/>
        <v>2023</v>
      </c>
      <c r="V7781" s="22" t="str">
        <f t="shared" si="751"/>
        <v>METROPOLITANA</v>
      </c>
    </row>
    <row r="7782" spans="1:22" x14ac:dyDescent="0.2">
      <c r="A7782" s="23" t="s">
        <v>9438</v>
      </c>
      <c r="B7782" s="22" t="s">
        <v>33</v>
      </c>
      <c r="C7782" s="22" t="s">
        <v>909</v>
      </c>
      <c r="D7782" s="22" t="s">
        <v>2955</v>
      </c>
      <c r="E7782" s="24">
        <v>65941082</v>
      </c>
      <c r="F7782" s="22" t="s">
        <v>3781</v>
      </c>
      <c r="G7782" s="25">
        <v>6200.3999999999987</v>
      </c>
      <c r="H7782" s="22" t="s">
        <v>24</v>
      </c>
      <c r="I7782" s="22">
        <v>1</v>
      </c>
      <c r="J7782" s="22" t="s">
        <v>3781</v>
      </c>
      <c r="K7782" s="22" t="s">
        <v>171</v>
      </c>
      <c r="L7782" s="22">
        <v>0</v>
      </c>
      <c r="M7782" s="26">
        <v>289000</v>
      </c>
      <c r="N7782" s="26">
        <v>0</v>
      </c>
      <c r="O7782" s="15">
        <f t="shared" si="754"/>
        <v>289000</v>
      </c>
      <c r="P7782" s="15">
        <f t="shared" si="755"/>
        <v>46.609896135733187</v>
      </c>
      <c r="Q7782" s="25">
        <v>14000</v>
      </c>
      <c r="R7782" s="22">
        <v>44</v>
      </c>
      <c r="S7782" s="22" t="s">
        <v>9440</v>
      </c>
      <c r="T7782" s="22">
        <f t="shared" si="749"/>
        <v>12</v>
      </c>
      <c r="U7782" s="22">
        <f t="shared" si="750"/>
        <v>2023</v>
      </c>
      <c r="V7782" s="22" t="str">
        <f t="shared" si="751"/>
        <v>REGIONES</v>
      </c>
    </row>
    <row r="7783" spans="1:22" x14ac:dyDescent="0.2">
      <c r="A7783" s="23" t="s">
        <v>9438</v>
      </c>
      <c r="B7783" s="22" t="s">
        <v>33</v>
      </c>
      <c r="C7783" s="22" t="s">
        <v>8229</v>
      </c>
      <c r="D7783" s="22" t="s">
        <v>38</v>
      </c>
      <c r="E7783" s="24">
        <v>125108660</v>
      </c>
      <c r="F7783" s="22" t="s">
        <v>26</v>
      </c>
      <c r="G7783" s="25">
        <v>13765.5</v>
      </c>
      <c r="H7783" s="22" t="s">
        <v>43</v>
      </c>
      <c r="I7783" s="22">
        <v>0</v>
      </c>
      <c r="J7783" s="22" t="s">
        <v>26</v>
      </c>
      <c r="K7783" s="22" t="s">
        <v>23</v>
      </c>
      <c r="L7783" s="22">
        <v>4</v>
      </c>
      <c r="M7783" s="26">
        <v>151420</v>
      </c>
      <c r="N7783" s="26">
        <v>0</v>
      </c>
      <c r="O7783" s="15">
        <f t="shared" si="754"/>
        <v>151420</v>
      </c>
      <c r="P7783" s="15">
        <f t="shared" si="755"/>
        <v>10.999963677309214</v>
      </c>
      <c r="Q7783" s="25">
        <v>5000</v>
      </c>
      <c r="R7783" s="22">
        <v>100</v>
      </c>
      <c r="S7783" s="22" t="s">
        <v>9441</v>
      </c>
      <c r="T7783" s="22">
        <f t="shared" si="749"/>
        <v>12</v>
      </c>
      <c r="U7783" s="22">
        <f t="shared" si="750"/>
        <v>2023</v>
      </c>
      <c r="V7783" s="22" t="str">
        <f t="shared" si="751"/>
        <v>METROPOLITANA</v>
      </c>
    </row>
    <row r="7784" spans="1:22" x14ac:dyDescent="0.2">
      <c r="A7784" s="23" t="s">
        <v>9438</v>
      </c>
      <c r="B7784" s="22" t="s">
        <v>33</v>
      </c>
      <c r="C7784" s="22" t="s">
        <v>29</v>
      </c>
      <c r="D7784" s="22" t="s">
        <v>37</v>
      </c>
      <c r="E7784" s="24">
        <v>81417709</v>
      </c>
      <c r="F7784" s="22" t="s">
        <v>134</v>
      </c>
      <c r="G7784" s="25">
        <v>3989.6</v>
      </c>
      <c r="H7784" s="22" t="s">
        <v>22</v>
      </c>
      <c r="I7784" s="22">
        <v>0</v>
      </c>
      <c r="J7784" s="22" t="s">
        <v>134</v>
      </c>
      <c r="K7784" s="22" t="s">
        <v>23</v>
      </c>
      <c r="L7784" s="22">
        <v>2</v>
      </c>
      <c r="M7784" s="26">
        <v>69173</v>
      </c>
      <c r="N7784" s="26">
        <v>0</v>
      </c>
      <c r="O7784" s="15">
        <f t="shared" si="754"/>
        <v>69173</v>
      </c>
      <c r="P7784" s="15">
        <f t="shared" si="755"/>
        <v>17.338329657108481</v>
      </c>
      <c r="Q7784" s="25">
        <v>5000</v>
      </c>
      <c r="R7784" s="22">
        <v>80</v>
      </c>
      <c r="S7784" s="22" t="s">
        <v>9442</v>
      </c>
      <c r="T7784" s="22">
        <f t="shared" si="749"/>
        <v>12</v>
      </c>
      <c r="U7784" s="22">
        <f t="shared" si="750"/>
        <v>2023</v>
      </c>
      <c r="V7784" s="22" t="str">
        <f t="shared" si="751"/>
        <v>METROPOLITANA</v>
      </c>
    </row>
    <row r="7785" spans="1:22" x14ac:dyDescent="0.2">
      <c r="A7785" s="23" t="s">
        <v>9438</v>
      </c>
      <c r="B7785" s="22" t="s">
        <v>33</v>
      </c>
      <c r="C7785" s="22" t="s">
        <v>29</v>
      </c>
      <c r="D7785" s="22" t="s">
        <v>164</v>
      </c>
      <c r="E7785" s="24">
        <v>154837728</v>
      </c>
      <c r="F7785" s="22" t="s">
        <v>39</v>
      </c>
      <c r="G7785" s="25">
        <v>16067.47</v>
      </c>
      <c r="H7785" s="22" t="s">
        <v>22</v>
      </c>
      <c r="I7785" s="22">
        <v>1</v>
      </c>
      <c r="J7785" s="22" t="s">
        <v>39</v>
      </c>
      <c r="K7785" s="22" t="s">
        <v>23</v>
      </c>
      <c r="L7785" s="22">
        <v>1</v>
      </c>
      <c r="M7785" s="26">
        <v>176742</v>
      </c>
      <c r="N7785" s="26">
        <v>0</v>
      </c>
      <c r="O7785" s="15">
        <f t="shared" si="754"/>
        <v>176742</v>
      </c>
      <c r="P7785" s="15">
        <f t="shared" si="755"/>
        <v>10.999989419616156</v>
      </c>
      <c r="Q7785" s="25">
        <v>5000</v>
      </c>
      <c r="R7785" s="22">
        <v>100</v>
      </c>
      <c r="S7785" s="22" t="s">
        <v>9443</v>
      </c>
      <c r="T7785" s="22">
        <f t="shared" si="749"/>
        <v>12</v>
      </c>
      <c r="U7785" s="22">
        <f t="shared" si="750"/>
        <v>2023</v>
      </c>
      <c r="V7785" s="22" t="str">
        <f t="shared" si="751"/>
        <v>METROPOLITANA</v>
      </c>
    </row>
    <row r="7786" spans="1:22" x14ac:dyDescent="0.2">
      <c r="A7786" s="23" t="s">
        <v>9438</v>
      </c>
      <c r="B7786" s="22" t="s">
        <v>33</v>
      </c>
      <c r="C7786" s="22" t="s">
        <v>44</v>
      </c>
      <c r="D7786" s="22" t="s">
        <v>8580</v>
      </c>
      <c r="E7786" s="24">
        <v>276547747</v>
      </c>
      <c r="F7786" s="22" t="s">
        <v>134</v>
      </c>
      <c r="G7786" s="25">
        <v>2379.62</v>
      </c>
      <c r="H7786" s="22" t="s">
        <v>24</v>
      </c>
      <c r="I7786" s="22">
        <v>1</v>
      </c>
      <c r="J7786" s="22" t="s">
        <v>134</v>
      </c>
      <c r="K7786" s="22" t="s">
        <v>23</v>
      </c>
      <c r="L7786" s="22">
        <v>2</v>
      </c>
      <c r="M7786" s="26">
        <v>69173</v>
      </c>
      <c r="N7786" s="26">
        <v>0</v>
      </c>
      <c r="O7786" s="15">
        <f t="shared" si="754"/>
        <v>69173</v>
      </c>
      <c r="P7786" s="15">
        <f t="shared" si="755"/>
        <v>29.068926971533273</v>
      </c>
      <c r="Q7786" s="25">
        <v>5000</v>
      </c>
      <c r="R7786" s="22">
        <v>48</v>
      </c>
      <c r="S7786" s="22" t="s">
        <v>9444</v>
      </c>
      <c r="T7786" s="22">
        <f t="shared" si="749"/>
        <v>12</v>
      </c>
      <c r="U7786" s="22">
        <f t="shared" si="750"/>
        <v>2023</v>
      </c>
      <c r="V7786" s="22" t="str">
        <f t="shared" si="751"/>
        <v>METROPOLITANA</v>
      </c>
    </row>
    <row r="7787" spans="1:22" x14ac:dyDescent="0.2">
      <c r="A7787" s="23" t="s">
        <v>9438</v>
      </c>
      <c r="B7787" s="22" t="s">
        <v>33</v>
      </c>
      <c r="C7787" s="22" t="s">
        <v>44</v>
      </c>
      <c r="D7787" s="22" t="s">
        <v>45</v>
      </c>
      <c r="E7787" s="24">
        <v>107643206</v>
      </c>
      <c r="F7787" s="22" t="s">
        <v>182</v>
      </c>
      <c r="G7787" s="25">
        <v>2791</v>
      </c>
      <c r="H7787" s="22" t="s">
        <v>22</v>
      </c>
      <c r="I7787" s="22">
        <v>0</v>
      </c>
      <c r="J7787" s="22" t="s">
        <v>182</v>
      </c>
      <c r="K7787" s="22" t="s">
        <v>23</v>
      </c>
      <c r="L7787" s="22">
        <v>4</v>
      </c>
      <c r="M7787" s="26">
        <v>69173</v>
      </c>
      <c r="N7787" s="26">
        <v>0</v>
      </c>
      <c r="O7787" s="15">
        <f t="shared" si="754"/>
        <v>69173</v>
      </c>
      <c r="P7787" s="15">
        <f t="shared" si="755"/>
        <v>24.784306700107489</v>
      </c>
      <c r="Q7787" s="25">
        <v>5000</v>
      </c>
      <c r="R7787" s="22">
        <v>56</v>
      </c>
      <c r="S7787" s="22" t="s">
        <v>9445</v>
      </c>
      <c r="T7787" s="22">
        <f t="shared" si="749"/>
        <v>12</v>
      </c>
      <c r="U7787" s="22">
        <f t="shared" si="750"/>
        <v>2023</v>
      </c>
      <c r="V7787" s="22" t="str">
        <f t="shared" si="751"/>
        <v>METROPOLITANA</v>
      </c>
    </row>
    <row r="7788" spans="1:22" x14ac:dyDescent="0.2">
      <c r="A7788" s="23" t="s">
        <v>9438</v>
      </c>
      <c r="B7788" s="22" t="s">
        <v>33</v>
      </c>
      <c r="C7788" s="22" t="s">
        <v>44</v>
      </c>
      <c r="D7788" s="22" t="s">
        <v>20</v>
      </c>
      <c r="E7788" s="24">
        <v>78907355</v>
      </c>
      <c r="F7788" s="22" t="s">
        <v>554</v>
      </c>
      <c r="G7788" s="25">
        <v>2501.41</v>
      </c>
      <c r="H7788" s="22" t="s">
        <v>22</v>
      </c>
      <c r="I7788" s="22">
        <v>0</v>
      </c>
      <c r="J7788" s="22" t="s">
        <v>554</v>
      </c>
      <c r="K7788" s="22" t="s">
        <v>23</v>
      </c>
      <c r="L7788" s="22">
        <v>4</v>
      </c>
      <c r="M7788" s="26">
        <v>69173</v>
      </c>
      <c r="N7788" s="26">
        <v>0</v>
      </c>
      <c r="O7788" s="15">
        <f t="shared" si="754"/>
        <v>69173</v>
      </c>
      <c r="P7788" s="15">
        <f t="shared" si="755"/>
        <v>27.653603367700619</v>
      </c>
      <c r="Q7788" s="25">
        <v>5000</v>
      </c>
      <c r="R7788" s="22">
        <v>50</v>
      </c>
      <c r="S7788" s="22" t="s">
        <v>9446</v>
      </c>
      <c r="T7788" s="22">
        <f t="shared" si="749"/>
        <v>12</v>
      </c>
      <c r="U7788" s="22">
        <f t="shared" si="750"/>
        <v>2023</v>
      </c>
      <c r="V7788" s="22" t="str">
        <f t="shared" si="751"/>
        <v>METROPOLITANA</v>
      </c>
    </row>
    <row r="7789" spans="1:22" x14ac:dyDescent="0.2">
      <c r="T7789" s="22">
        <f t="shared" si="749"/>
        <v>1</v>
      </c>
      <c r="U7789" s="22">
        <f t="shared" si="750"/>
        <v>1900</v>
      </c>
      <c r="V7789" s="22" t="str">
        <f t="shared" si="751"/>
        <v>REGIONES</v>
      </c>
    </row>
    <row r="7790" spans="1:22" x14ac:dyDescent="0.2">
      <c r="T7790" s="22">
        <f t="shared" si="749"/>
        <v>1</v>
      </c>
      <c r="U7790" s="22">
        <f t="shared" si="750"/>
        <v>1900</v>
      </c>
      <c r="V7790" s="22" t="str">
        <f t="shared" si="751"/>
        <v>REGIONES</v>
      </c>
    </row>
    <row r="7791" spans="1:22" x14ac:dyDescent="0.2">
      <c r="T7791" s="22">
        <f t="shared" si="749"/>
        <v>1</v>
      </c>
      <c r="U7791" s="22">
        <f t="shared" si="750"/>
        <v>1900</v>
      </c>
      <c r="V7791" s="22" t="str">
        <f t="shared" si="751"/>
        <v>REGIONES</v>
      </c>
    </row>
    <row r="7792" spans="1:22" x14ac:dyDescent="0.2">
      <c r="T7792" s="22">
        <f t="shared" si="749"/>
        <v>1</v>
      </c>
      <c r="U7792" s="22">
        <f t="shared" si="750"/>
        <v>1900</v>
      </c>
      <c r="V7792" s="22" t="str">
        <f t="shared" si="751"/>
        <v>REGIONES</v>
      </c>
    </row>
    <row r="7793" spans="20:22" x14ac:dyDescent="0.2">
      <c r="T7793" s="22">
        <f t="shared" si="749"/>
        <v>1</v>
      </c>
      <c r="U7793" s="22">
        <f t="shared" si="750"/>
        <v>1900</v>
      </c>
      <c r="V7793" s="22" t="str">
        <f t="shared" si="751"/>
        <v>REGIONES</v>
      </c>
    </row>
    <row r="7794" spans="20:22" x14ac:dyDescent="0.2">
      <c r="T7794" s="22">
        <f t="shared" si="749"/>
        <v>1</v>
      </c>
      <c r="U7794" s="22">
        <f t="shared" si="750"/>
        <v>1900</v>
      </c>
      <c r="V7794" s="22" t="str">
        <f t="shared" si="751"/>
        <v>REGIONES</v>
      </c>
    </row>
    <row r="7795" spans="20:22" x14ac:dyDescent="0.2">
      <c r="T7795" s="22">
        <f t="shared" si="749"/>
        <v>1</v>
      </c>
      <c r="U7795" s="22">
        <f t="shared" si="750"/>
        <v>1900</v>
      </c>
      <c r="V7795" s="22" t="str">
        <f t="shared" si="751"/>
        <v>REGIONES</v>
      </c>
    </row>
    <row r="7796" spans="20:22" x14ac:dyDescent="0.2">
      <c r="T7796" s="22">
        <f t="shared" si="749"/>
        <v>1</v>
      </c>
      <c r="U7796" s="22">
        <f t="shared" si="750"/>
        <v>1900</v>
      </c>
      <c r="V7796" s="22" t="str">
        <f t="shared" si="751"/>
        <v>REGIONES</v>
      </c>
    </row>
    <row r="7797" spans="20:22" x14ac:dyDescent="0.2">
      <c r="T7797" s="22">
        <f t="shared" si="749"/>
        <v>1</v>
      </c>
      <c r="U7797" s="22">
        <f t="shared" si="750"/>
        <v>1900</v>
      </c>
      <c r="V7797" s="22" t="str">
        <f t="shared" si="751"/>
        <v>REGIONES</v>
      </c>
    </row>
    <row r="7798" spans="20:22" x14ac:dyDescent="0.2">
      <c r="T7798" s="22">
        <f t="shared" si="749"/>
        <v>1</v>
      </c>
      <c r="U7798" s="22">
        <f t="shared" si="750"/>
        <v>1900</v>
      </c>
      <c r="V7798" s="22" t="str">
        <f t="shared" si="751"/>
        <v>REGIONES</v>
      </c>
    </row>
    <row r="7799" spans="20:22" x14ac:dyDescent="0.2">
      <c r="T7799" s="22">
        <f t="shared" si="749"/>
        <v>1</v>
      </c>
      <c r="U7799" s="22">
        <f t="shared" si="750"/>
        <v>1900</v>
      </c>
      <c r="V7799" s="22" t="str">
        <f t="shared" si="751"/>
        <v>REGIONES</v>
      </c>
    </row>
    <row r="7800" spans="20:22" x14ac:dyDescent="0.2">
      <c r="T7800" s="22">
        <f t="shared" si="749"/>
        <v>1</v>
      </c>
      <c r="U7800" s="22">
        <f t="shared" si="750"/>
        <v>1900</v>
      </c>
      <c r="V7800" s="22" t="str">
        <f t="shared" si="751"/>
        <v>REGIONES</v>
      </c>
    </row>
    <row r="7801" spans="20:22" x14ac:dyDescent="0.2">
      <c r="T7801" s="22">
        <f t="shared" si="749"/>
        <v>1</v>
      </c>
      <c r="U7801" s="22">
        <f t="shared" si="750"/>
        <v>1900</v>
      </c>
      <c r="V7801" s="22" t="str">
        <f t="shared" si="751"/>
        <v>REGIONES</v>
      </c>
    </row>
    <row r="7802" spans="20:22" x14ac:dyDescent="0.2">
      <c r="T7802" s="22">
        <f t="shared" si="749"/>
        <v>1</v>
      </c>
      <c r="U7802" s="22">
        <f t="shared" si="750"/>
        <v>1900</v>
      </c>
      <c r="V7802" s="22" t="str">
        <f t="shared" si="751"/>
        <v>REGIONES</v>
      </c>
    </row>
    <row r="7803" spans="20:22" x14ac:dyDescent="0.2">
      <c r="T7803" s="22">
        <f t="shared" si="749"/>
        <v>1</v>
      </c>
      <c r="U7803" s="22">
        <f t="shared" si="750"/>
        <v>1900</v>
      </c>
      <c r="V7803" s="22" t="str">
        <f t="shared" si="751"/>
        <v>REGIONES</v>
      </c>
    </row>
    <row r="7804" spans="20:22" x14ac:dyDescent="0.2">
      <c r="T7804" s="22">
        <f t="shared" si="749"/>
        <v>1</v>
      </c>
      <c r="U7804" s="22">
        <f t="shared" si="750"/>
        <v>1900</v>
      </c>
      <c r="V7804" s="22" t="str">
        <f t="shared" si="751"/>
        <v>REGIONES</v>
      </c>
    </row>
    <row r="7805" spans="20:22" x14ac:dyDescent="0.2">
      <c r="T7805" s="22">
        <f t="shared" si="749"/>
        <v>1</v>
      </c>
      <c r="U7805" s="22">
        <f t="shared" si="750"/>
        <v>1900</v>
      </c>
      <c r="V7805" s="22" t="str">
        <f t="shared" si="751"/>
        <v>REGIONES</v>
      </c>
    </row>
    <row r="7806" spans="20:22" x14ac:dyDescent="0.2">
      <c r="T7806" s="22">
        <f t="shared" si="749"/>
        <v>1</v>
      </c>
      <c r="U7806" s="22">
        <f t="shared" si="750"/>
        <v>1900</v>
      </c>
      <c r="V7806" s="22" t="str">
        <f t="shared" si="751"/>
        <v>REGIONES</v>
      </c>
    </row>
    <row r="7807" spans="20:22" x14ac:dyDescent="0.2">
      <c r="T7807" s="22">
        <f t="shared" si="749"/>
        <v>1</v>
      </c>
      <c r="U7807" s="22">
        <f t="shared" si="750"/>
        <v>1900</v>
      </c>
      <c r="V7807" s="22" t="str">
        <f t="shared" si="751"/>
        <v>REGIONES</v>
      </c>
    </row>
    <row r="7808" spans="20:22" x14ac:dyDescent="0.2">
      <c r="T7808" s="22">
        <f t="shared" si="749"/>
        <v>1</v>
      </c>
      <c r="U7808" s="22">
        <f t="shared" si="750"/>
        <v>1900</v>
      </c>
      <c r="V7808" s="22" t="str">
        <f t="shared" si="751"/>
        <v>REGIONES</v>
      </c>
    </row>
    <row r="7809" spans="20:22" x14ac:dyDescent="0.2">
      <c r="T7809" s="22">
        <f t="shared" si="749"/>
        <v>1</v>
      </c>
      <c r="U7809" s="22">
        <f t="shared" si="750"/>
        <v>1900</v>
      </c>
      <c r="V7809" s="22" t="str">
        <f t="shared" si="751"/>
        <v>REGIONES</v>
      </c>
    </row>
    <row r="7810" spans="20:22" x14ac:dyDescent="0.2">
      <c r="T7810" s="22">
        <f t="shared" ref="T7810:T7873" si="756">MONTH(A7810)</f>
        <v>1</v>
      </c>
      <c r="U7810" s="22">
        <f t="shared" ref="U7810:U7873" si="757">YEAR(A7810)</f>
        <v>1900</v>
      </c>
      <c r="V7810" s="22" t="str">
        <f t="shared" ref="V7810:V7873" si="758">IF(K7810="METROPOLITANA DE SANTIAGO","METROPOLITANA","REGIONES")</f>
        <v>REGIONES</v>
      </c>
    </row>
    <row r="7811" spans="20:22" x14ac:dyDescent="0.2">
      <c r="T7811" s="22">
        <f t="shared" si="756"/>
        <v>1</v>
      </c>
      <c r="U7811" s="22">
        <f t="shared" si="757"/>
        <v>1900</v>
      </c>
      <c r="V7811" s="22" t="str">
        <f t="shared" si="758"/>
        <v>REGIONES</v>
      </c>
    </row>
    <row r="7812" spans="20:22" x14ac:dyDescent="0.2">
      <c r="T7812" s="22">
        <f t="shared" si="756"/>
        <v>1</v>
      </c>
      <c r="U7812" s="22">
        <f t="shared" si="757"/>
        <v>1900</v>
      </c>
      <c r="V7812" s="22" t="str">
        <f t="shared" si="758"/>
        <v>REGIONES</v>
      </c>
    </row>
    <row r="7813" spans="20:22" x14ac:dyDescent="0.2">
      <c r="T7813" s="22">
        <f t="shared" si="756"/>
        <v>1</v>
      </c>
      <c r="U7813" s="22">
        <f t="shared" si="757"/>
        <v>1900</v>
      </c>
      <c r="V7813" s="22" t="str">
        <f t="shared" si="758"/>
        <v>REGIONES</v>
      </c>
    </row>
    <row r="7814" spans="20:22" x14ac:dyDescent="0.2">
      <c r="T7814" s="22">
        <f t="shared" si="756"/>
        <v>1</v>
      </c>
      <c r="U7814" s="22">
        <f t="shared" si="757"/>
        <v>1900</v>
      </c>
      <c r="V7814" s="22" t="str">
        <f t="shared" si="758"/>
        <v>REGIONES</v>
      </c>
    </row>
    <row r="7815" spans="20:22" x14ac:dyDescent="0.2">
      <c r="T7815" s="22">
        <f t="shared" si="756"/>
        <v>1</v>
      </c>
      <c r="U7815" s="22">
        <f t="shared" si="757"/>
        <v>1900</v>
      </c>
      <c r="V7815" s="22" t="str">
        <f t="shared" si="758"/>
        <v>REGIONES</v>
      </c>
    </row>
    <row r="7816" spans="20:22" x14ac:dyDescent="0.2">
      <c r="T7816" s="22">
        <f t="shared" si="756"/>
        <v>1</v>
      </c>
      <c r="U7816" s="22">
        <f t="shared" si="757"/>
        <v>1900</v>
      </c>
      <c r="V7816" s="22" t="str">
        <f t="shared" si="758"/>
        <v>REGIONES</v>
      </c>
    </row>
    <row r="7817" spans="20:22" x14ac:dyDescent="0.2">
      <c r="T7817" s="22">
        <f t="shared" si="756"/>
        <v>1</v>
      </c>
      <c r="U7817" s="22">
        <f t="shared" si="757"/>
        <v>1900</v>
      </c>
      <c r="V7817" s="22" t="str">
        <f t="shared" si="758"/>
        <v>REGIONES</v>
      </c>
    </row>
    <row r="7818" spans="20:22" x14ac:dyDescent="0.2">
      <c r="T7818" s="22">
        <f t="shared" si="756"/>
        <v>1</v>
      </c>
      <c r="U7818" s="22">
        <f t="shared" si="757"/>
        <v>1900</v>
      </c>
      <c r="V7818" s="22" t="str">
        <f t="shared" si="758"/>
        <v>REGIONES</v>
      </c>
    </row>
    <row r="7819" spans="20:22" x14ac:dyDescent="0.2">
      <c r="T7819" s="22">
        <f t="shared" si="756"/>
        <v>1</v>
      </c>
      <c r="U7819" s="22">
        <f t="shared" si="757"/>
        <v>1900</v>
      </c>
      <c r="V7819" s="22" t="str">
        <f t="shared" si="758"/>
        <v>REGIONES</v>
      </c>
    </row>
    <row r="7820" spans="20:22" x14ac:dyDescent="0.2">
      <c r="T7820" s="22">
        <f t="shared" si="756"/>
        <v>1</v>
      </c>
      <c r="U7820" s="22">
        <f t="shared" si="757"/>
        <v>1900</v>
      </c>
      <c r="V7820" s="22" t="str">
        <f t="shared" si="758"/>
        <v>REGIONES</v>
      </c>
    </row>
    <row r="7821" spans="20:22" x14ac:dyDescent="0.2">
      <c r="T7821" s="22">
        <f t="shared" si="756"/>
        <v>1</v>
      </c>
      <c r="U7821" s="22">
        <f t="shared" si="757"/>
        <v>1900</v>
      </c>
      <c r="V7821" s="22" t="str">
        <f t="shared" si="758"/>
        <v>REGIONES</v>
      </c>
    </row>
    <row r="7822" spans="20:22" x14ac:dyDescent="0.2">
      <c r="T7822" s="22">
        <f t="shared" si="756"/>
        <v>1</v>
      </c>
      <c r="U7822" s="22">
        <f t="shared" si="757"/>
        <v>1900</v>
      </c>
      <c r="V7822" s="22" t="str">
        <f t="shared" si="758"/>
        <v>REGIONES</v>
      </c>
    </row>
    <row r="7823" spans="20:22" x14ac:dyDescent="0.2">
      <c r="T7823" s="22">
        <f t="shared" si="756"/>
        <v>1</v>
      </c>
      <c r="U7823" s="22">
        <f t="shared" si="757"/>
        <v>1900</v>
      </c>
      <c r="V7823" s="22" t="str">
        <f t="shared" si="758"/>
        <v>REGIONES</v>
      </c>
    </row>
    <row r="7824" spans="20:22" x14ac:dyDescent="0.2">
      <c r="T7824" s="22">
        <f t="shared" si="756"/>
        <v>1</v>
      </c>
      <c r="U7824" s="22">
        <f t="shared" si="757"/>
        <v>1900</v>
      </c>
      <c r="V7824" s="22" t="str">
        <f t="shared" si="758"/>
        <v>REGIONES</v>
      </c>
    </row>
    <row r="7825" spans="20:22" x14ac:dyDescent="0.2">
      <c r="T7825" s="22">
        <f t="shared" si="756"/>
        <v>1</v>
      </c>
      <c r="U7825" s="22">
        <f t="shared" si="757"/>
        <v>1900</v>
      </c>
      <c r="V7825" s="22" t="str">
        <f t="shared" si="758"/>
        <v>REGIONES</v>
      </c>
    </row>
    <row r="7826" spans="20:22" x14ac:dyDescent="0.2">
      <c r="T7826" s="22">
        <f t="shared" si="756"/>
        <v>1</v>
      </c>
      <c r="U7826" s="22">
        <f t="shared" si="757"/>
        <v>1900</v>
      </c>
      <c r="V7826" s="22" t="str">
        <f t="shared" si="758"/>
        <v>REGIONES</v>
      </c>
    </row>
    <row r="7827" spans="20:22" x14ac:dyDescent="0.2">
      <c r="T7827" s="22">
        <f t="shared" si="756"/>
        <v>1</v>
      </c>
      <c r="U7827" s="22">
        <f t="shared" si="757"/>
        <v>1900</v>
      </c>
      <c r="V7827" s="22" t="str">
        <f t="shared" si="758"/>
        <v>REGIONES</v>
      </c>
    </row>
    <row r="7828" spans="20:22" x14ac:dyDescent="0.2">
      <c r="T7828" s="22">
        <f t="shared" si="756"/>
        <v>1</v>
      </c>
      <c r="U7828" s="22">
        <f t="shared" si="757"/>
        <v>1900</v>
      </c>
      <c r="V7828" s="22" t="str">
        <f t="shared" si="758"/>
        <v>REGIONES</v>
      </c>
    </row>
    <row r="7829" spans="20:22" x14ac:dyDescent="0.2">
      <c r="T7829" s="22">
        <f t="shared" si="756"/>
        <v>1</v>
      </c>
      <c r="U7829" s="22">
        <f t="shared" si="757"/>
        <v>1900</v>
      </c>
      <c r="V7829" s="22" t="str">
        <f t="shared" si="758"/>
        <v>REGIONES</v>
      </c>
    </row>
    <row r="7830" spans="20:22" x14ac:dyDescent="0.2">
      <c r="T7830" s="22">
        <f t="shared" si="756"/>
        <v>1</v>
      </c>
      <c r="U7830" s="22">
        <f t="shared" si="757"/>
        <v>1900</v>
      </c>
      <c r="V7830" s="22" t="str">
        <f t="shared" si="758"/>
        <v>REGIONES</v>
      </c>
    </row>
    <row r="7831" spans="20:22" x14ac:dyDescent="0.2">
      <c r="T7831" s="22">
        <f t="shared" si="756"/>
        <v>1</v>
      </c>
      <c r="U7831" s="22">
        <f t="shared" si="757"/>
        <v>1900</v>
      </c>
      <c r="V7831" s="22" t="str">
        <f t="shared" si="758"/>
        <v>REGIONES</v>
      </c>
    </row>
    <row r="7832" spans="20:22" x14ac:dyDescent="0.2">
      <c r="T7832" s="22">
        <f t="shared" si="756"/>
        <v>1</v>
      </c>
      <c r="U7832" s="22">
        <f t="shared" si="757"/>
        <v>1900</v>
      </c>
      <c r="V7832" s="22" t="str">
        <f t="shared" si="758"/>
        <v>REGIONES</v>
      </c>
    </row>
    <row r="7833" spans="20:22" x14ac:dyDescent="0.2">
      <c r="T7833" s="22">
        <f t="shared" si="756"/>
        <v>1</v>
      </c>
      <c r="U7833" s="22">
        <f t="shared" si="757"/>
        <v>1900</v>
      </c>
      <c r="V7833" s="22" t="str">
        <f t="shared" si="758"/>
        <v>REGIONES</v>
      </c>
    </row>
    <row r="7834" spans="20:22" x14ac:dyDescent="0.2">
      <c r="T7834" s="22">
        <f t="shared" si="756"/>
        <v>1</v>
      </c>
      <c r="U7834" s="22">
        <f t="shared" si="757"/>
        <v>1900</v>
      </c>
      <c r="V7834" s="22" t="str">
        <f t="shared" si="758"/>
        <v>REGIONES</v>
      </c>
    </row>
    <row r="7835" spans="20:22" x14ac:dyDescent="0.2">
      <c r="T7835" s="22">
        <f t="shared" si="756"/>
        <v>1</v>
      </c>
      <c r="U7835" s="22">
        <f t="shared" si="757"/>
        <v>1900</v>
      </c>
      <c r="V7835" s="22" t="str">
        <f t="shared" si="758"/>
        <v>REGIONES</v>
      </c>
    </row>
    <row r="7836" spans="20:22" x14ac:dyDescent="0.2">
      <c r="T7836" s="22">
        <f t="shared" si="756"/>
        <v>1</v>
      </c>
      <c r="U7836" s="22">
        <f t="shared" si="757"/>
        <v>1900</v>
      </c>
      <c r="V7836" s="22" t="str">
        <f t="shared" si="758"/>
        <v>REGIONES</v>
      </c>
    </row>
    <row r="7837" spans="20:22" x14ac:dyDescent="0.2">
      <c r="T7837" s="22">
        <f t="shared" si="756"/>
        <v>1</v>
      </c>
      <c r="U7837" s="22">
        <f t="shared" si="757"/>
        <v>1900</v>
      </c>
      <c r="V7837" s="22" t="str">
        <f t="shared" si="758"/>
        <v>REGIONES</v>
      </c>
    </row>
    <row r="7838" spans="20:22" x14ac:dyDescent="0.2">
      <c r="T7838" s="22">
        <f t="shared" si="756"/>
        <v>1</v>
      </c>
      <c r="U7838" s="22">
        <f t="shared" si="757"/>
        <v>1900</v>
      </c>
      <c r="V7838" s="22" t="str">
        <f t="shared" si="758"/>
        <v>REGIONES</v>
      </c>
    </row>
    <row r="7839" spans="20:22" x14ac:dyDescent="0.2">
      <c r="T7839" s="22">
        <f t="shared" si="756"/>
        <v>1</v>
      </c>
      <c r="U7839" s="22">
        <f t="shared" si="757"/>
        <v>1900</v>
      </c>
      <c r="V7839" s="22" t="str">
        <f t="shared" si="758"/>
        <v>REGIONES</v>
      </c>
    </row>
    <row r="7840" spans="20:22" x14ac:dyDescent="0.2">
      <c r="T7840" s="22">
        <f t="shared" si="756"/>
        <v>1</v>
      </c>
      <c r="U7840" s="22">
        <f t="shared" si="757"/>
        <v>1900</v>
      </c>
      <c r="V7840" s="22" t="str">
        <f t="shared" si="758"/>
        <v>REGIONES</v>
      </c>
    </row>
    <row r="7841" spans="20:22" x14ac:dyDescent="0.2">
      <c r="T7841" s="22">
        <f t="shared" si="756"/>
        <v>1</v>
      </c>
      <c r="U7841" s="22">
        <f t="shared" si="757"/>
        <v>1900</v>
      </c>
      <c r="V7841" s="22" t="str">
        <f t="shared" si="758"/>
        <v>REGIONES</v>
      </c>
    </row>
    <row r="7842" spans="20:22" x14ac:dyDescent="0.2">
      <c r="T7842" s="22">
        <f t="shared" si="756"/>
        <v>1</v>
      </c>
      <c r="U7842" s="22">
        <f t="shared" si="757"/>
        <v>1900</v>
      </c>
      <c r="V7842" s="22" t="str">
        <f t="shared" si="758"/>
        <v>REGIONES</v>
      </c>
    </row>
    <row r="7843" spans="20:22" x14ac:dyDescent="0.2">
      <c r="T7843" s="22">
        <f t="shared" si="756"/>
        <v>1</v>
      </c>
      <c r="U7843" s="22">
        <f t="shared" si="757"/>
        <v>1900</v>
      </c>
      <c r="V7843" s="22" t="str">
        <f t="shared" si="758"/>
        <v>REGIONES</v>
      </c>
    </row>
    <row r="7844" spans="20:22" x14ac:dyDescent="0.2">
      <c r="T7844" s="22">
        <f t="shared" si="756"/>
        <v>1</v>
      </c>
      <c r="U7844" s="22">
        <f t="shared" si="757"/>
        <v>1900</v>
      </c>
      <c r="V7844" s="22" t="str">
        <f t="shared" si="758"/>
        <v>REGIONES</v>
      </c>
    </row>
    <row r="7845" spans="20:22" x14ac:dyDescent="0.2">
      <c r="T7845" s="22">
        <f t="shared" si="756"/>
        <v>1</v>
      </c>
      <c r="U7845" s="22">
        <f t="shared" si="757"/>
        <v>1900</v>
      </c>
      <c r="V7845" s="22" t="str">
        <f t="shared" si="758"/>
        <v>REGIONES</v>
      </c>
    </row>
    <row r="7846" spans="20:22" x14ac:dyDescent="0.2">
      <c r="T7846" s="22">
        <f t="shared" si="756"/>
        <v>1</v>
      </c>
      <c r="U7846" s="22">
        <f t="shared" si="757"/>
        <v>1900</v>
      </c>
      <c r="V7846" s="22" t="str">
        <f t="shared" si="758"/>
        <v>REGIONES</v>
      </c>
    </row>
    <row r="7847" spans="20:22" x14ac:dyDescent="0.2">
      <c r="T7847" s="22">
        <f t="shared" si="756"/>
        <v>1</v>
      </c>
      <c r="U7847" s="22">
        <f t="shared" si="757"/>
        <v>1900</v>
      </c>
      <c r="V7847" s="22" t="str">
        <f t="shared" si="758"/>
        <v>REGIONES</v>
      </c>
    </row>
    <row r="7848" spans="20:22" x14ac:dyDescent="0.2">
      <c r="T7848" s="22">
        <f t="shared" si="756"/>
        <v>1</v>
      </c>
      <c r="U7848" s="22">
        <f t="shared" si="757"/>
        <v>1900</v>
      </c>
      <c r="V7848" s="22" t="str">
        <f t="shared" si="758"/>
        <v>REGIONES</v>
      </c>
    </row>
    <row r="7849" spans="20:22" x14ac:dyDescent="0.2">
      <c r="T7849" s="22">
        <f t="shared" si="756"/>
        <v>1</v>
      </c>
      <c r="U7849" s="22">
        <f t="shared" si="757"/>
        <v>1900</v>
      </c>
      <c r="V7849" s="22" t="str">
        <f t="shared" si="758"/>
        <v>REGIONES</v>
      </c>
    </row>
    <row r="7850" spans="20:22" x14ac:dyDescent="0.2">
      <c r="T7850" s="22">
        <f t="shared" si="756"/>
        <v>1</v>
      </c>
      <c r="U7850" s="22">
        <f t="shared" si="757"/>
        <v>1900</v>
      </c>
      <c r="V7850" s="22" t="str">
        <f t="shared" si="758"/>
        <v>REGIONES</v>
      </c>
    </row>
    <row r="7851" spans="20:22" x14ac:dyDescent="0.2">
      <c r="T7851" s="22">
        <f t="shared" si="756"/>
        <v>1</v>
      </c>
      <c r="U7851" s="22">
        <f t="shared" si="757"/>
        <v>1900</v>
      </c>
      <c r="V7851" s="22" t="str">
        <f t="shared" si="758"/>
        <v>REGIONES</v>
      </c>
    </row>
    <row r="7852" spans="20:22" x14ac:dyDescent="0.2">
      <c r="T7852" s="22">
        <f t="shared" si="756"/>
        <v>1</v>
      </c>
      <c r="U7852" s="22">
        <f t="shared" si="757"/>
        <v>1900</v>
      </c>
      <c r="V7852" s="22" t="str">
        <f t="shared" si="758"/>
        <v>REGIONES</v>
      </c>
    </row>
    <row r="7853" spans="20:22" x14ac:dyDescent="0.2">
      <c r="T7853" s="22">
        <f t="shared" si="756"/>
        <v>1</v>
      </c>
      <c r="U7853" s="22">
        <f t="shared" si="757"/>
        <v>1900</v>
      </c>
      <c r="V7853" s="22" t="str">
        <f t="shared" si="758"/>
        <v>REGIONES</v>
      </c>
    </row>
    <row r="7854" spans="20:22" x14ac:dyDescent="0.2">
      <c r="T7854" s="22">
        <f t="shared" si="756"/>
        <v>1</v>
      </c>
      <c r="U7854" s="22">
        <f t="shared" si="757"/>
        <v>1900</v>
      </c>
      <c r="V7854" s="22" t="str">
        <f t="shared" si="758"/>
        <v>REGIONES</v>
      </c>
    </row>
    <row r="7855" spans="20:22" x14ac:dyDescent="0.2">
      <c r="T7855" s="22">
        <f t="shared" si="756"/>
        <v>1</v>
      </c>
      <c r="U7855" s="22">
        <f t="shared" si="757"/>
        <v>1900</v>
      </c>
      <c r="V7855" s="22" t="str">
        <f t="shared" si="758"/>
        <v>REGIONES</v>
      </c>
    </row>
    <row r="7856" spans="20:22" x14ac:dyDescent="0.2">
      <c r="T7856" s="22">
        <f t="shared" si="756"/>
        <v>1</v>
      </c>
      <c r="U7856" s="22">
        <f t="shared" si="757"/>
        <v>1900</v>
      </c>
      <c r="V7856" s="22" t="str">
        <f t="shared" si="758"/>
        <v>REGIONES</v>
      </c>
    </row>
    <row r="7857" spans="20:22" x14ac:dyDescent="0.2">
      <c r="T7857" s="22">
        <f t="shared" si="756"/>
        <v>1</v>
      </c>
      <c r="U7857" s="22">
        <f t="shared" si="757"/>
        <v>1900</v>
      </c>
      <c r="V7857" s="22" t="str">
        <f t="shared" si="758"/>
        <v>REGIONES</v>
      </c>
    </row>
    <row r="7858" spans="20:22" x14ac:dyDescent="0.2">
      <c r="T7858" s="22">
        <f t="shared" si="756"/>
        <v>1</v>
      </c>
      <c r="U7858" s="22">
        <f t="shared" si="757"/>
        <v>1900</v>
      </c>
      <c r="V7858" s="22" t="str">
        <f t="shared" si="758"/>
        <v>REGIONES</v>
      </c>
    </row>
    <row r="7859" spans="20:22" x14ac:dyDescent="0.2">
      <c r="T7859" s="22">
        <f t="shared" si="756"/>
        <v>1</v>
      </c>
      <c r="U7859" s="22">
        <f t="shared" si="757"/>
        <v>1900</v>
      </c>
      <c r="V7859" s="22" t="str">
        <f t="shared" si="758"/>
        <v>REGIONES</v>
      </c>
    </row>
    <row r="7860" spans="20:22" x14ac:dyDescent="0.2">
      <c r="T7860" s="22">
        <f t="shared" si="756"/>
        <v>1</v>
      </c>
      <c r="U7860" s="22">
        <f t="shared" si="757"/>
        <v>1900</v>
      </c>
      <c r="V7860" s="22" t="str">
        <f t="shared" si="758"/>
        <v>REGIONES</v>
      </c>
    </row>
    <row r="7861" spans="20:22" x14ac:dyDescent="0.2">
      <c r="T7861" s="22">
        <f t="shared" si="756"/>
        <v>1</v>
      </c>
      <c r="U7861" s="22">
        <f t="shared" si="757"/>
        <v>1900</v>
      </c>
      <c r="V7861" s="22" t="str">
        <f t="shared" si="758"/>
        <v>REGIONES</v>
      </c>
    </row>
    <row r="7862" spans="20:22" x14ac:dyDescent="0.2">
      <c r="T7862" s="22">
        <f t="shared" si="756"/>
        <v>1</v>
      </c>
      <c r="U7862" s="22">
        <f t="shared" si="757"/>
        <v>1900</v>
      </c>
      <c r="V7862" s="22" t="str">
        <f t="shared" si="758"/>
        <v>REGIONES</v>
      </c>
    </row>
    <row r="7863" spans="20:22" x14ac:dyDescent="0.2">
      <c r="T7863" s="22">
        <f t="shared" si="756"/>
        <v>1</v>
      </c>
      <c r="U7863" s="22">
        <f t="shared" si="757"/>
        <v>1900</v>
      </c>
      <c r="V7863" s="22" t="str">
        <f t="shared" si="758"/>
        <v>REGIONES</v>
      </c>
    </row>
    <row r="7864" spans="20:22" x14ac:dyDescent="0.2">
      <c r="T7864" s="22">
        <f t="shared" si="756"/>
        <v>1</v>
      </c>
      <c r="U7864" s="22">
        <f t="shared" si="757"/>
        <v>1900</v>
      </c>
      <c r="V7864" s="22" t="str">
        <f t="shared" si="758"/>
        <v>REGIONES</v>
      </c>
    </row>
    <row r="7865" spans="20:22" x14ac:dyDescent="0.2">
      <c r="T7865" s="22">
        <f t="shared" si="756"/>
        <v>1</v>
      </c>
      <c r="U7865" s="22">
        <f t="shared" si="757"/>
        <v>1900</v>
      </c>
      <c r="V7865" s="22" t="str">
        <f t="shared" si="758"/>
        <v>REGIONES</v>
      </c>
    </row>
    <row r="7866" spans="20:22" x14ac:dyDescent="0.2">
      <c r="T7866" s="22">
        <f t="shared" si="756"/>
        <v>1</v>
      </c>
      <c r="U7866" s="22">
        <f t="shared" si="757"/>
        <v>1900</v>
      </c>
      <c r="V7866" s="22" t="str">
        <f t="shared" si="758"/>
        <v>REGIONES</v>
      </c>
    </row>
    <row r="7867" spans="20:22" x14ac:dyDescent="0.2">
      <c r="T7867" s="22">
        <f t="shared" si="756"/>
        <v>1</v>
      </c>
      <c r="U7867" s="22">
        <f t="shared" si="757"/>
        <v>1900</v>
      </c>
      <c r="V7867" s="22" t="str">
        <f t="shared" si="758"/>
        <v>REGIONES</v>
      </c>
    </row>
    <row r="7868" spans="20:22" x14ac:dyDescent="0.2">
      <c r="T7868" s="22">
        <f t="shared" si="756"/>
        <v>1</v>
      </c>
      <c r="U7868" s="22">
        <f t="shared" si="757"/>
        <v>1900</v>
      </c>
      <c r="V7868" s="22" t="str">
        <f t="shared" si="758"/>
        <v>REGIONES</v>
      </c>
    </row>
    <row r="7869" spans="20:22" x14ac:dyDescent="0.2">
      <c r="T7869" s="22">
        <f t="shared" si="756"/>
        <v>1</v>
      </c>
      <c r="U7869" s="22">
        <f t="shared" si="757"/>
        <v>1900</v>
      </c>
      <c r="V7869" s="22" t="str">
        <f t="shared" si="758"/>
        <v>REGIONES</v>
      </c>
    </row>
    <row r="7870" spans="20:22" x14ac:dyDescent="0.2">
      <c r="T7870" s="22">
        <f t="shared" si="756"/>
        <v>1</v>
      </c>
      <c r="U7870" s="22">
        <f t="shared" si="757"/>
        <v>1900</v>
      </c>
      <c r="V7870" s="22" t="str">
        <f t="shared" si="758"/>
        <v>REGIONES</v>
      </c>
    </row>
    <row r="7871" spans="20:22" x14ac:dyDescent="0.2">
      <c r="T7871" s="22">
        <f t="shared" si="756"/>
        <v>1</v>
      </c>
      <c r="U7871" s="22">
        <f t="shared" si="757"/>
        <v>1900</v>
      </c>
      <c r="V7871" s="22" t="str">
        <f t="shared" si="758"/>
        <v>REGIONES</v>
      </c>
    </row>
    <row r="7872" spans="20:22" x14ac:dyDescent="0.2">
      <c r="T7872" s="22">
        <f t="shared" si="756"/>
        <v>1</v>
      </c>
      <c r="U7872" s="22">
        <f t="shared" si="757"/>
        <v>1900</v>
      </c>
      <c r="V7872" s="22" t="str">
        <f t="shared" si="758"/>
        <v>REGIONES</v>
      </c>
    </row>
    <row r="7873" spans="20:22" x14ac:dyDescent="0.2">
      <c r="T7873" s="22">
        <f t="shared" si="756"/>
        <v>1</v>
      </c>
      <c r="U7873" s="22">
        <f t="shared" si="757"/>
        <v>1900</v>
      </c>
      <c r="V7873" s="22" t="str">
        <f t="shared" si="758"/>
        <v>REGIONES</v>
      </c>
    </row>
    <row r="7874" spans="20:22" x14ac:dyDescent="0.2">
      <c r="T7874" s="22">
        <f t="shared" ref="T7874:T7937" si="759">MONTH(A7874)</f>
        <v>1</v>
      </c>
      <c r="U7874" s="22">
        <f t="shared" ref="U7874:U7937" si="760">YEAR(A7874)</f>
        <v>1900</v>
      </c>
      <c r="V7874" s="22" t="str">
        <f t="shared" ref="V7874:V7937" si="761">IF(K7874="METROPOLITANA DE SANTIAGO","METROPOLITANA","REGIONES")</f>
        <v>REGIONES</v>
      </c>
    </row>
    <row r="7875" spans="20:22" x14ac:dyDescent="0.2">
      <c r="T7875" s="22">
        <f t="shared" si="759"/>
        <v>1</v>
      </c>
      <c r="U7875" s="22">
        <f t="shared" si="760"/>
        <v>1900</v>
      </c>
      <c r="V7875" s="22" t="str">
        <f t="shared" si="761"/>
        <v>REGIONES</v>
      </c>
    </row>
    <row r="7876" spans="20:22" x14ac:dyDescent="0.2">
      <c r="T7876" s="22">
        <f t="shared" si="759"/>
        <v>1</v>
      </c>
      <c r="U7876" s="22">
        <f t="shared" si="760"/>
        <v>1900</v>
      </c>
      <c r="V7876" s="22" t="str">
        <f t="shared" si="761"/>
        <v>REGIONES</v>
      </c>
    </row>
    <row r="7877" spans="20:22" x14ac:dyDescent="0.2">
      <c r="T7877" s="22">
        <f t="shared" si="759"/>
        <v>1</v>
      </c>
      <c r="U7877" s="22">
        <f t="shared" si="760"/>
        <v>1900</v>
      </c>
      <c r="V7877" s="22" t="str">
        <f t="shared" si="761"/>
        <v>REGIONES</v>
      </c>
    </row>
    <row r="7878" spans="20:22" x14ac:dyDescent="0.2">
      <c r="T7878" s="22">
        <f t="shared" si="759"/>
        <v>1</v>
      </c>
      <c r="U7878" s="22">
        <f t="shared" si="760"/>
        <v>1900</v>
      </c>
      <c r="V7878" s="22" t="str">
        <f t="shared" si="761"/>
        <v>REGIONES</v>
      </c>
    </row>
    <row r="7879" spans="20:22" x14ac:dyDescent="0.2">
      <c r="T7879" s="22">
        <f t="shared" si="759"/>
        <v>1</v>
      </c>
      <c r="U7879" s="22">
        <f t="shared" si="760"/>
        <v>1900</v>
      </c>
      <c r="V7879" s="22" t="str">
        <f t="shared" si="761"/>
        <v>REGIONES</v>
      </c>
    </row>
    <row r="7880" spans="20:22" x14ac:dyDescent="0.2">
      <c r="T7880" s="22">
        <f t="shared" si="759"/>
        <v>1</v>
      </c>
      <c r="U7880" s="22">
        <f t="shared" si="760"/>
        <v>1900</v>
      </c>
      <c r="V7880" s="22" t="str">
        <f t="shared" si="761"/>
        <v>REGIONES</v>
      </c>
    </row>
    <row r="7881" spans="20:22" x14ac:dyDescent="0.2">
      <c r="T7881" s="22">
        <f t="shared" si="759"/>
        <v>1</v>
      </c>
      <c r="U7881" s="22">
        <f t="shared" si="760"/>
        <v>1900</v>
      </c>
      <c r="V7881" s="22" t="str">
        <f t="shared" si="761"/>
        <v>REGIONES</v>
      </c>
    </row>
    <row r="7882" spans="20:22" x14ac:dyDescent="0.2">
      <c r="T7882" s="22">
        <f t="shared" si="759"/>
        <v>1</v>
      </c>
      <c r="U7882" s="22">
        <f t="shared" si="760"/>
        <v>1900</v>
      </c>
      <c r="V7882" s="22" t="str">
        <f t="shared" si="761"/>
        <v>REGIONES</v>
      </c>
    </row>
    <row r="7883" spans="20:22" x14ac:dyDescent="0.2">
      <c r="T7883" s="22">
        <f t="shared" si="759"/>
        <v>1</v>
      </c>
      <c r="U7883" s="22">
        <f t="shared" si="760"/>
        <v>1900</v>
      </c>
      <c r="V7883" s="22" t="str">
        <f t="shared" si="761"/>
        <v>REGIONES</v>
      </c>
    </row>
    <row r="7884" spans="20:22" x14ac:dyDescent="0.2">
      <c r="T7884" s="22">
        <f t="shared" si="759"/>
        <v>1</v>
      </c>
      <c r="U7884" s="22">
        <f t="shared" si="760"/>
        <v>1900</v>
      </c>
      <c r="V7884" s="22" t="str">
        <f t="shared" si="761"/>
        <v>REGIONES</v>
      </c>
    </row>
    <row r="7885" spans="20:22" x14ac:dyDescent="0.2">
      <c r="T7885" s="22">
        <f t="shared" si="759"/>
        <v>1</v>
      </c>
      <c r="U7885" s="22">
        <f t="shared" si="760"/>
        <v>1900</v>
      </c>
      <c r="V7885" s="22" t="str">
        <f t="shared" si="761"/>
        <v>REGIONES</v>
      </c>
    </row>
    <row r="7886" spans="20:22" x14ac:dyDescent="0.2">
      <c r="T7886" s="22">
        <f t="shared" si="759"/>
        <v>1</v>
      </c>
      <c r="U7886" s="22">
        <f t="shared" si="760"/>
        <v>1900</v>
      </c>
      <c r="V7886" s="22" t="str">
        <f t="shared" si="761"/>
        <v>REGIONES</v>
      </c>
    </row>
    <row r="7887" spans="20:22" x14ac:dyDescent="0.2">
      <c r="T7887" s="22">
        <f t="shared" si="759"/>
        <v>1</v>
      </c>
      <c r="U7887" s="22">
        <f t="shared" si="760"/>
        <v>1900</v>
      </c>
      <c r="V7887" s="22" t="str">
        <f t="shared" si="761"/>
        <v>REGIONES</v>
      </c>
    </row>
    <row r="7888" spans="20:22" x14ac:dyDescent="0.2">
      <c r="T7888" s="22">
        <f t="shared" si="759"/>
        <v>1</v>
      </c>
      <c r="U7888" s="22">
        <f t="shared" si="760"/>
        <v>1900</v>
      </c>
      <c r="V7888" s="22" t="str">
        <f t="shared" si="761"/>
        <v>REGIONES</v>
      </c>
    </row>
    <row r="7889" spans="20:22" x14ac:dyDescent="0.2">
      <c r="T7889" s="22">
        <f t="shared" si="759"/>
        <v>1</v>
      </c>
      <c r="U7889" s="22">
        <f t="shared" si="760"/>
        <v>1900</v>
      </c>
      <c r="V7889" s="22" t="str">
        <f t="shared" si="761"/>
        <v>REGIONES</v>
      </c>
    </row>
    <row r="7890" spans="20:22" x14ac:dyDescent="0.2">
      <c r="T7890" s="22">
        <f t="shared" si="759"/>
        <v>1</v>
      </c>
      <c r="U7890" s="22">
        <f t="shared" si="760"/>
        <v>1900</v>
      </c>
      <c r="V7890" s="22" t="str">
        <f t="shared" si="761"/>
        <v>REGIONES</v>
      </c>
    </row>
    <row r="7891" spans="20:22" x14ac:dyDescent="0.2">
      <c r="T7891" s="22">
        <f t="shared" si="759"/>
        <v>1</v>
      </c>
      <c r="U7891" s="22">
        <f t="shared" si="760"/>
        <v>1900</v>
      </c>
      <c r="V7891" s="22" t="str">
        <f t="shared" si="761"/>
        <v>REGIONES</v>
      </c>
    </row>
    <row r="7892" spans="20:22" x14ac:dyDescent="0.2">
      <c r="T7892" s="22">
        <f t="shared" si="759"/>
        <v>1</v>
      </c>
      <c r="U7892" s="22">
        <f t="shared" si="760"/>
        <v>1900</v>
      </c>
      <c r="V7892" s="22" t="str">
        <f t="shared" si="761"/>
        <v>REGIONES</v>
      </c>
    </row>
    <row r="7893" spans="20:22" x14ac:dyDescent="0.2">
      <c r="T7893" s="22">
        <f t="shared" si="759"/>
        <v>1</v>
      </c>
      <c r="U7893" s="22">
        <f t="shared" si="760"/>
        <v>1900</v>
      </c>
      <c r="V7893" s="22" t="str">
        <f t="shared" si="761"/>
        <v>REGIONES</v>
      </c>
    </row>
    <row r="7894" spans="20:22" x14ac:dyDescent="0.2">
      <c r="T7894" s="22">
        <f t="shared" si="759"/>
        <v>1</v>
      </c>
      <c r="U7894" s="22">
        <f t="shared" si="760"/>
        <v>1900</v>
      </c>
      <c r="V7894" s="22" t="str">
        <f t="shared" si="761"/>
        <v>REGIONES</v>
      </c>
    </row>
    <row r="7895" spans="20:22" x14ac:dyDescent="0.2">
      <c r="T7895" s="22">
        <f t="shared" si="759"/>
        <v>1</v>
      </c>
      <c r="U7895" s="22">
        <f t="shared" si="760"/>
        <v>1900</v>
      </c>
      <c r="V7895" s="22" t="str">
        <f t="shared" si="761"/>
        <v>REGIONES</v>
      </c>
    </row>
    <row r="7896" spans="20:22" x14ac:dyDescent="0.2">
      <c r="T7896" s="22">
        <f t="shared" si="759"/>
        <v>1</v>
      </c>
      <c r="U7896" s="22">
        <f t="shared" si="760"/>
        <v>1900</v>
      </c>
      <c r="V7896" s="22" t="str">
        <f t="shared" si="761"/>
        <v>REGIONES</v>
      </c>
    </row>
    <row r="7897" spans="20:22" x14ac:dyDescent="0.2">
      <c r="T7897" s="22">
        <f t="shared" si="759"/>
        <v>1</v>
      </c>
      <c r="U7897" s="22">
        <f t="shared" si="760"/>
        <v>1900</v>
      </c>
      <c r="V7897" s="22" t="str">
        <f t="shared" si="761"/>
        <v>REGIONES</v>
      </c>
    </row>
    <row r="7898" spans="20:22" x14ac:dyDescent="0.2">
      <c r="T7898" s="22">
        <f t="shared" si="759"/>
        <v>1</v>
      </c>
      <c r="U7898" s="22">
        <f t="shared" si="760"/>
        <v>1900</v>
      </c>
      <c r="V7898" s="22" t="str">
        <f t="shared" si="761"/>
        <v>REGIONES</v>
      </c>
    </row>
    <row r="7899" spans="20:22" x14ac:dyDescent="0.2">
      <c r="T7899" s="22">
        <f t="shared" si="759"/>
        <v>1</v>
      </c>
      <c r="U7899" s="22">
        <f t="shared" si="760"/>
        <v>1900</v>
      </c>
      <c r="V7899" s="22" t="str">
        <f t="shared" si="761"/>
        <v>REGIONES</v>
      </c>
    </row>
    <row r="7900" spans="20:22" x14ac:dyDescent="0.2">
      <c r="T7900" s="22">
        <f t="shared" si="759"/>
        <v>1</v>
      </c>
      <c r="U7900" s="22">
        <f t="shared" si="760"/>
        <v>1900</v>
      </c>
      <c r="V7900" s="22" t="str">
        <f t="shared" si="761"/>
        <v>REGIONES</v>
      </c>
    </row>
    <row r="7901" spans="20:22" x14ac:dyDescent="0.2">
      <c r="T7901" s="22">
        <f t="shared" si="759"/>
        <v>1</v>
      </c>
      <c r="U7901" s="22">
        <f t="shared" si="760"/>
        <v>1900</v>
      </c>
      <c r="V7901" s="22" t="str">
        <f t="shared" si="761"/>
        <v>REGIONES</v>
      </c>
    </row>
    <row r="7902" spans="20:22" x14ac:dyDescent="0.2">
      <c r="T7902" s="22">
        <f t="shared" si="759"/>
        <v>1</v>
      </c>
      <c r="U7902" s="22">
        <f t="shared" si="760"/>
        <v>1900</v>
      </c>
      <c r="V7902" s="22" t="str">
        <f t="shared" si="761"/>
        <v>REGIONES</v>
      </c>
    </row>
    <row r="7903" spans="20:22" x14ac:dyDescent="0.2">
      <c r="T7903" s="22">
        <f t="shared" si="759"/>
        <v>1</v>
      </c>
      <c r="U7903" s="22">
        <f t="shared" si="760"/>
        <v>1900</v>
      </c>
      <c r="V7903" s="22" t="str">
        <f t="shared" si="761"/>
        <v>REGIONES</v>
      </c>
    </row>
    <row r="7904" spans="20:22" x14ac:dyDescent="0.2">
      <c r="T7904" s="22">
        <f t="shared" si="759"/>
        <v>1</v>
      </c>
      <c r="U7904" s="22">
        <f t="shared" si="760"/>
        <v>1900</v>
      </c>
      <c r="V7904" s="22" t="str">
        <f t="shared" si="761"/>
        <v>REGIONES</v>
      </c>
    </row>
    <row r="7905" spans="20:22" x14ac:dyDescent="0.2">
      <c r="T7905" s="22">
        <f t="shared" si="759"/>
        <v>1</v>
      </c>
      <c r="U7905" s="22">
        <f t="shared" si="760"/>
        <v>1900</v>
      </c>
      <c r="V7905" s="22" t="str">
        <f t="shared" si="761"/>
        <v>REGIONES</v>
      </c>
    </row>
    <row r="7906" spans="20:22" x14ac:dyDescent="0.2">
      <c r="T7906" s="22">
        <f t="shared" si="759"/>
        <v>1</v>
      </c>
      <c r="U7906" s="22">
        <f t="shared" si="760"/>
        <v>1900</v>
      </c>
      <c r="V7906" s="22" t="str">
        <f t="shared" si="761"/>
        <v>REGIONES</v>
      </c>
    </row>
    <row r="7907" spans="20:22" x14ac:dyDescent="0.2">
      <c r="T7907" s="22">
        <f t="shared" si="759"/>
        <v>1</v>
      </c>
      <c r="U7907" s="22">
        <f t="shared" si="760"/>
        <v>1900</v>
      </c>
      <c r="V7907" s="22" t="str">
        <f t="shared" si="761"/>
        <v>REGIONES</v>
      </c>
    </row>
    <row r="7908" spans="20:22" x14ac:dyDescent="0.2">
      <c r="T7908" s="22">
        <f t="shared" si="759"/>
        <v>1</v>
      </c>
      <c r="U7908" s="22">
        <f t="shared" si="760"/>
        <v>1900</v>
      </c>
      <c r="V7908" s="22" t="str">
        <f t="shared" si="761"/>
        <v>REGIONES</v>
      </c>
    </row>
    <row r="7909" spans="20:22" x14ac:dyDescent="0.2">
      <c r="T7909" s="22">
        <f t="shared" si="759"/>
        <v>1</v>
      </c>
      <c r="U7909" s="22">
        <f t="shared" si="760"/>
        <v>1900</v>
      </c>
      <c r="V7909" s="22" t="str">
        <f t="shared" si="761"/>
        <v>REGIONES</v>
      </c>
    </row>
    <row r="7910" spans="20:22" x14ac:dyDescent="0.2">
      <c r="T7910" s="22">
        <f t="shared" si="759"/>
        <v>1</v>
      </c>
      <c r="U7910" s="22">
        <f t="shared" si="760"/>
        <v>1900</v>
      </c>
      <c r="V7910" s="22" t="str">
        <f t="shared" si="761"/>
        <v>REGIONES</v>
      </c>
    </row>
    <row r="7911" spans="20:22" x14ac:dyDescent="0.2">
      <c r="T7911" s="22">
        <f t="shared" si="759"/>
        <v>1</v>
      </c>
      <c r="U7911" s="22">
        <f t="shared" si="760"/>
        <v>1900</v>
      </c>
      <c r="V7911" s="22" t="str">
        <f t="shared" si="761"/>
        <v>REGIONES</v>
      </c>
    </row>
    <row r="7912" spans="20:22" x14ac:dyDescent="0.2">
      <c r="T7912" s="22">
        <f t="shared" si="759"/>
        <v>1</v>
      </c>
      <c r="U7912" s="22">
        <f t="shared" si="760"/>
        <v>1900</v>
      </c>
      <c r="V7912" s="22" t="str">
        <f t="shared" si="761"/>
        <v>REGIONES</v>
      </c>
    </row>
    <row r="7913" spans="20:22" x14ac:dyDescent="0.2">
      <c r="T7913" s="22">
        <f t="shared" si="759"/>
        <v>1</v>
      </c>
      <c r="U7913" s="22">
        <f t="shared" si="760"/>
        <v>1900</v>
      </c>
      <c r="V7913" s="22" t="str">
        <f t="shared" si="761"/>
        <v>REGIONES</v>
      </c>
    </row>
    <row r="7914" spans="20:22" x14ac:dyDescent="0.2">
      <c r="T7914" s="22">
        <f t="shared" si="759"/>
        <v>1</v>
      </c>
      <c r="U7914" s="22">
        <f t="shared" si="760"/>
        <v>1900</v>
      </c>
      <c r="V7914" s="22" t="str">
        <f t="shared" si="761"/>
        <v>REGIONES</v>
      </c>
    </row>
    <row r="7915" spans="20:22" x14ac:dyDescent="0.2">
      <c r="T7915" s="22">
        <f t="shared" si="759"/>
        <v>1</v>
      </c>
      <c r="U7915" s="22">
        <f t="shared" si="760"/>
        <v>1900</v>
      </c>
      <c r="V7915" s="22" t="str">
        <f t="shared" si="761"/>
        <v>REGIONES</v>
      </c>
    </row>
    <row r="7916" spans="20:22" x14ac:dyDescent="0.2">
      <c r="T7916" s="22">
        <f t="shared" si="759"/>
        <v>1</v>
      </c>
      <c r="U7916" s="22">
        <f t="shared" si="760"/>
        <v>1900</v>
      </c>
      <c r="V7916" s="22" t="str">
        <f t="shared" si="761"/>
        <v>REGIONES</v>
      </c>
    </row>
    <row r="7917" spans="20:22" x14ac:dyDescent="0.2">
      <c r="T7917" s="22">
        <f t="shared" si="759"/>
        <v>1</v>
      </c>
      <c r="U7917" s="22">
        <f t="shared" si="760"/>
        <v>1900</v>
      </c>
      <c r="V7917" s="22" t="str">
        <f t="shared" si="761"/>
        <v>REGIONES</v>
      </c>
    </row>
    <row r="7918" spans="20:22" x14ac:dyDescent="0.2">
      <c r="T7918" s="22">
        <f t="shared" si="759"/>
        <v>1</v>
      </c>
      <c r="U7918" s="22">
        <f t="shared" si="760"/>
        <v>1900</v>
      </c>
      <c r="V7918" s="22" t="str">
        <f t="shared" si="761"/>
        <v>REGIONES</v>
      </c>
    </row>
    <row r="7919" spans="20:22" x14ac:dyDescent="0.2">
      <c r="T7919" s="22">
        <f t="shared" si="759"/>
        <v>1</v>
      </c>
      <c r="U7919" s="22">
        <f t="shared" si="760"/>
        <v>1900</v>
      </c>
      <c r="V7919" s="22" t="str">
        <f t="shared" si="761"/>
        <v>REGIONES</v>
      </c>
    </row>
    <row r="7920" spans="20:22" x14ac:dyDescent="0.2">
      <c r="T7920" s="22">
        <f t="shared" si="759"/>
        <v>1</v>
      </c>
      <c r="U7920" s="22">
        <f t="shared" si="760"/>
        <v>1900</v>
      </c>
      <c r="V7920" s="22" t="str">
        <f t="shared" si="761"/>
        <v>REGIONES</v>
      </c>
    </row>
    <row r="7921" spans="20:22" x14ac:dyDescent="0.2">
      <c r="T7921" s="22">
        <f t="shared" si="759"/>
        <v>1</v>
      </c>
      <c r="U7921" s="22">
        <f t="shared" si="760"/>
        <v>1900</v>
      </c>
      <c r="V7921" s="22" t="str">
        <f t="shared" si="761"/>
        <v>REGIONES</v>
      </c>
    </row>
    <row r="7922" spans="20:22" x14ac:dyDescent="0.2">
      <c r="T7922" s="22">
        <f t="shared" si="759"/>
        <v>1</v>
      </c>
      <c r="U7922" s="22">
        <f t="shared" si="760"/>
        <v>1900</v>
      </c>
      <c r="V7922" s="22" t="str">
        <f t="shared" si="761"/>
        <v>REGIONES</v>
      </c>
    </row>
    <row r="7923" spans="20:22" x14ac:dyDescent="0.2">
      <c r="T7923" s="22">
        <f t="shared" si="759"/>
        <v>1</v>
      </c>
      <c r="U7923" s="22">
        <f t="shared" si="760"/>
        <v>1900</v>
      </c>
      <c r="V7923" s="22" t="str">
        <f t="shared" si="761"/>
        <v>REGIONES</v>
      </c>
    </row>
    <row r="7924" spans="20:22" x14ac:dyDescent="0.2">
      <c r="T7924" s="22">
        <f t="shared" si="759"/>
        <v>1</v>
      </c>
      <c r="U7924" s="22">
        <f t="shared" si="760"/>
        <v>1900</v>
      </c>
      <c r="V7924" s="22" t="str">
        <f t="shared" si="761"/>
        <v>REGIONES</v>
      </c>
    </row>
    <row r="7925" spans="20:22" x14ac:dyDescent="0.2">
      <c r="T7925" s="22">
        <f t="shared" si="759"/>
        <v>1</v>
      </c>
      <c r="U7925" s="22">
        <f t="shared" si="760"/>
        <v>1900</v>
      </c>
      <c r="V7925" s="22" t="str">
        <f t="shared" si="761"/>
        <v>REGIONES</v>
      </c>
    </row>
    <row r="7926" spans="20:22" x14ac:dyDescent="0.2">
      <c r="T7926" s="22">
        <f t="shared" si="759"/>
        <v>1</v>
      </c>
      <c r="U7926" s="22">
        <f t="shared" si="760"/>
        <v>1900</v>
      </c>
      <c r="V7926" s="22" t="str">
        <f t="shared" si="761"/>
        <v>REGIONES</v>
      </c>
    </row>
    <row r="7927" spans="20:22" x14ac:dyDescent="0.2">
      <c r="T7927" s="22">
        <f t="shared" si="759"/>
        <v>1</v>
      </c>
      <c r="U7927" s="22">
        <f t="shared" si="760"/>
        <v>1900</v>
      </c>
      <c r="V7927" s="22" t="str">
        <f t="shared" si="761"/>
        <v>REGIONES</v>
      </c>
    </row>
    <row r="7928" spans="20:22" x14ac:dyDescent="0.2">
      <c r="T7928" s="22">
        <f t="shared" si="759"/>
        <v>1</v>
      </c>
      <c r="U7928" s="22">
        <f t="shared" si="760"/>
        <v>1900</v>
      </c>
      <c r="V7928" s="22" t="str">
        <f t="shared" si="761"/>
        <v>REGIONES</v>
      </c>
    </row>
    <row r="7929" spans="20:22" x14ac:dyDescent="0.2">
      <c r="T7929" s="22">
        <f t="shared" si="759"/>
        <v>1</v>
      </c>
      <c r="U7929" s="22">
        <f t="shared" si="760"/>
        <v>1900</v>
      </c>
      <c r="V7929" s="22" t="str">
        <f t="shared" si="761"/>
        <v>REGIONES</v>
      </c>
    </row>
    <row r="7930" spans="20:22" x14ac:dyDescent="0.2">
      <c r="T7930" s="22">
        <f t="shared" si="759"/>
        <v>1</v>
      </c>
      <c r="U7930" s="22">
        <f t="shared" si="760"/>
        <v>1900</v>
      </c>
      <c r="V7930" s="22" t="str">
        <f t="shared" si="761"/>
        <v>REGIONES</v>
      </c>
    </row>
    <row r="7931" spans="20:22" x14ac:dyDescent="0.2">
      <c r="T7931" s="22">
        <f t="shared" si="759"/>
        <v>1</v>
      </c>
      <c r="U7931" s="22">
        <f t="shared" si="760"/>
        <v>1900</v>
      </c>
      <c r="V7931" s="22" t="str">
        <f t="shared" si="761"/>
        <v>REGIONES</v>
      </c>
    </row>
    <row r="7932" spans="20:22" x14ac:dyDescent="0.2">
      <c r="T7932" s="22">
        <f t="shared" si="759"/>
        <v>1</v>
      </c>
      <c r="U7932" s="22">
        <f t="shared" si="760"/>
        <v>1900</v>
      </c>
      <c r="V7932" s="22" t="str">
        <f t="shared" si="761"/>
        <v>REGIONES</v>
      </c>
    </row>
    <row r="7933" spans="20:22" x14ac:dyDescent="0.2">
      <c r="T7933" s="22">
        <f t="shared" si="759"/>
        <v>1</v>
      </c>
      <c r="U7933" s="22">
        <f t="shared" si="760"/>
        <v>1900</v>
      </c>
      <c r="V7933" s="22" t="str">
        <f t="shared" si="761"/>
        <v>REGIONES</v>
      </c>
    </row>
    <row r="7934" spans="20:22" x14ac:dyDescent="0.2">
      <c r="T7934" s="22">
        <f t="shared" si="759"/>
        <v>1</v>
      </c>
      <c r="U7934" s="22">
        <f t="shared" si="760"/>
        <v>1900</v>
      </c>
      <c r="V7934" s="22" t="str">
        <f t="shared" si="761"/>
        <v>REGIONES</v>
      </c>
    </row>
    <row r="7935" spans="20:22" x14ac:dyDescent="0.2">
      <c r="T7935" s="22">
        <f t="shared" si="759"/>
        <v>1</v>
      </c>
      <c r="U7935" s="22">
        <f t="shared" si="760"/>
        <v>1900</v>
      </c>
      <c r="V7935" s="22" t="str">
        <f t="shared" si="761"/>
        <v>REGIONES</v>
      </c>
    </row>
    <row r="7936" spans="20:22" x14ac:dyDescent="0.2">
      <c r="T7936" s="22">
        <f t="shared" si="759"/>
        <v>1</v>
      </c>
      <c r="U7936" s="22">
        <f t="shared" si="760"/>
        <v>1900</v>
      </c>
      <c r="V7936" s="22" t="str">
        <f t="shared" si="761"/>
        <v>REGIONES</v>
      </c>
    </row>
    <row r="7937" spans="20:22" x14ac:dyDescent="0.2">
      <c r="T7937" s="22">
        <f t="shared" si="759"/>
        <v>1</v>
      </c>
      <c r="U7937" s="22">
        <f t="shared" si="760"/>
        <v>1900</v>
      </c>
      <c r="V7937" s="22" t="str">
        <f t="shared" si="761"/>
        <v>REGIONES</v>
      </c>
    </row>
    <row r="7938" spans="20:22" x14ac:dyDescent="0.2">
      <c r="T7938" s="22">
        <f t="shared" ref="T7938:T8001" si="762">MONTH(A7938)</f>
        <v>1</v>
      </c>
      <c r="U7938" s="22">
        <f t="shared" ref="U7938:U8001" si="763">YEAR(A7938)</f>
        <v>1900</v>
      </c>
      <c r="V7938" s="22" t="str">
        <f t="shared" ref="V7938:V8001" si="764">IF(K7938="METROPOLITANA DE SANTIAGO","METROPOLITANA","REGIONES")</f>
        <v>REGIONES</v>
      </c>
    </row>
    <row r="7939" spans="20:22" x14ac:dyDescent="0.2">
      <c r="T7939" s="22">
        <f t="shared" si="762"/>
        <v>1</v>
      </c>
      <c r="U7939" s="22">
        <f t="shared" si="763"/>
        <v>1900</v>
      </c>
      <c r="V7939" s="22" t="str">
        <f t="shared" si="764"/>
        <v>REGIONES</v>
      </c>
    </row>
    <row r="7940" spans="20:22" x14ac:dyDescent="0.2">
      <c r="T7940" s="22">
        <f t="shared" si="762"/>
        <v>1</v>
      </c>
      <c r="U7940" s="22">
        <f t="shared" si="763"/>
        <v>1900</v>
      </c>
      <c r="V7940" s="22" t="str">
        <f t="shared" si="764"/>
        <v>REGIONES</v>
      </c>
    </row>
    <row r="7941" spans="20:22" x14ac:dyDescent="0.2">
      <c r="T7941" s="22">
        <f t="shared" si="762"/>
        <v>1</v>
      </c>
      <c r="U7941" s="22">
        <f t="shared" si="763"/>
        <v>1900</v>
      </c>
      <c r="V7941" s="22" t="str">
        <f t="shared" si="764"/>
        <v>REGIONES</v>
      </c>
    </row>
    <row r="7942" spans="20:22" x14ac:dyDescent="0.2">
      <c r="T7942" s="22">
        <f t="shared" si="762"/>
        <v>1</v>
      </c>
      <c r="U7942" s="22">
        <f t="shared" si="763"/>
        <v>1900</v>
      </c>
      <c r="V7942" s="22" t="str">
        <f t="shared" si="764"/>
        <v>REGIONES</v>
      </c>
    </row>
    <row r="7943" spans="20:22" x14ac:dyDescent="0.2">
      <c r="T7943" s="22">
        <f t="shared" si="762"/>
        <v>1</v>
      </c>
      <c r="U7943" s="22">
        <f t="shared" si="763"/>
        <v>1900</v>
      </c>
      <c r="V7943" s="22" t="str">
        <f t="shared" si="764"/>
        <v>REGIONES</v>
      </c>
    </row>
    <row r="7944" spans="20:22" x14ac:dyDescent="0.2">
      <c r="T7944" s="22">
        <f t="shared" si="762"/>
        <v>1</v>
      </c>
      <c r="U7944" s="22">
        <f t="shared" si="763"/>
        <v>1900</v>
      </c>
      <c r="V7944" s="22" t="str">
        <f t="shared" si="764"/>
        <v>REGIONES</v>
      </c>
    </row>
    <row r="7945" spans="20:22" x14ac:dyDescent="0.2">
      <c r="T7945" s="22">
        <f t="shared" si="762"/>
        <v>1</v>
      </c>
      <c r="U7945" s="22">
        <f t="shared" si="763"/>
        <v>1900</v>
      </c>
      <c r="V7945" s="22" t="str">
        <f t="shared" si="764"/>
        <v>REGIONES</v>
      </c>
    </row>
    <row r="7946" spans="20:22" x14ac:dyDescent="0.2">
      <c r="T7946" s="22">
        <f t="shared" si="762"/>
        <v>1</v>
      </c>
      <c r="U7946" s="22">
        <f t="shared" si="763"/>
        <v>1900</v>
      </c>
      <c r="V7946" s="22" t="str">
        <f t="shared" si="764"/>
        <v>REGIONES</v>
      </c>
    </row>
    <row r="7947" spans="20:22" x14ac:dyDescent="0.2">
      <c r="T7947" s="22">
        <f t="shared" si="762"/>
        <v>1</v>
      </c>
      <c r="U7947" s="22">
        <f t="shared" si="763"/>
        <v>1900</v>
      </c>
      <c r="V7947" s="22" t="str">
        <f t="shared" si="764"/>
        <v>REGIONES</v>
      </c>
    </row>
    <row r="7948" spans="20:22" x14ac:dyDescent="0.2">
      <c r="T7948" s="22">
        <f t="shared" si="762"/>
        <v>1</v>
      </c>
      <c r="U7948" s="22">
        <f t="shared" si="763"/>
        <v>1900</v>
      </c>
      <c r="V7948" s="22" t="str">
        <f t="shared" si="764"/>
        <v>REGIONES</v>
      </c>
    </row>
    <row r="7949" spans="20:22" x14ac:dyDescent="0.2">
      <c r="T7949" s="22">
        <f t="shared" si="762"/>
        <v>1</v>
      </c>
      <c r="U7949" s="22">
        <f t="shared" si="763"/>
        <v>1900</v>
      </c>
      <c r="V7949" s="22" t="str">
        <f t="shared" si="764"/>
        <v>REGIONES</v>
      </c>
    </row>
    <row r="7950" spans="20:22" x14ac:dyDescent="0.2">
      <c r="T7950" s="22">
        <f t="shared" si="762"/>
        <v>1</v>
      </c>
      <c r="U7950" s="22">
        <f t="shared" si="763"/>
        <v>1900</v>
      </c>
      <c r="V7950" s="22" t="str">
        <f t="shared" si="764"/>
        <v>REGIONES</v>
      </c>
    </row>
    <row r="7951" spans="20:22" x14ac:dyDescent="0.2">
      <c r="T7951" s="22">
        <f t="shared" si="762"/>
        <v>1</v>
      </c>
      <c r="U7951" s="22">
        <f t="shared" si="763"/>
        <v>1900</v>
      </c>
      <c r="V7951" s="22" t="str">
        <f t="shared" si="764"/>
        <v>REGIONES</v>
      </c>
    </row>
    <row r="7952" spans="20:22" x14ac:dyDescent="0.2">
      <c r="T7952" s="22">
        <f t="shared" si="762"/>
        <v>1</v>
      </c>
      <c r="U7952" s="22">
        <f t="shared" si="763"/>
        <v>1900</v>
      </c>
      <c r="V7952" s="22" t="str">
        <f t="shared" si="764"/>
        <v>REGIONES</v>
      </c>
    </row>
    <row r="7953" spans="20:22" x14ac:dyDescent="0.2">
      <c r="T7953" s="22">
        <f t="shared" si="762"/>
        <v>1</v>
      </c>
      <c r="U7953" s="22">
        <f t="shared" si="763"/>
        <v>1900</v>
      </c>
      <c r="V7953" s="22" t="str">
        <f t="shared" si="764"/>
        <v>REGIONES</v>
      </c>
    </row>
    <row r="7954" spans="20:22" x14ac:dyDescent="0.2">
      <c r="T7954" s="22">
        <f t="shared" si="762"/>
        <v>1</v>
      </c>
      <c r="U7954" s="22">
        <f t="shared" si="763"/>
        <v>1900</v>
      </c>
      <c r="V7954" s="22" t="str">
        <f t="shared" si="764"/>
        <v>REGIONES</v>
      </c>
    </row>
    <row r="7955" spans="20:22" x14ac:dyDescent="0.2">
      <c r="T7955" s="22">
        <f t="shared" si="762"/>
        <v>1</v>
      </c>
      <c r="U7955" s="22">
        <f t="shared" si="763"/>
        <v>1900</v>
      </c>
      <c r="V7955" s="22" t="str">
        <f t="shared" si="764"/>
        <v>REGIONES</v>
      </c>
    </row>
    <row r="7956" spans="20:22" x14ac:dyDescent="0.2">
      <c r="T7956" s="22">
        <f t="shared" si="762"/>
        <v>1</v>
      </c>
      <c r="U7956" s="22">
        <f t="shared" si="763"/>
        <v>1900</v>
      </c>
      <c r="V7956" s="22" t="str">
        <f t="shared" si="764"/>
        <v>REGIONES</v>
      </c>
    </row>
    <row r="7957" spans="20:22" x14ac:dyDescent="0.2">
      <c r="T7957" s="22">
        <f t="shared" si="762"/>
        <v>1</v>
      </c>
      <c r="U7957" s="22">
        <f t="shared" si="763"/>
        <v>1900</v>
      </c>
      <c r="V7957" s="22" t="str">
        <f t="shared" si="764"/>
        <v>REGIONES</v>
      </c>
    </row>
    <row r="7958" spans="20:22" x14ac:dyDescent="0.2">
      <c r="T7958" s="22">
        <f t="shared" si="762"/>
        <v>1</v>
      </c>
      <c r="U7958" s="22">
        <f t="shared" si="763"/>
        <v>1900</v>
      </c>
      <c r="V7958" s="22" t="str">
        <f t="shared" si="764"/>
        <v>REGIONES</v>
      </c>
    </row>
    <row r="7959" spans="20:22" x14ac:dyDescent="0.2">
      <c r="T7959" s="22">
        <f t="shared" si="762"/>
        <v>1</v>
      </c>
      <c r="U7959" s="22">
        <f t="shared" si="763"/>
        <v>1900</v>
      </c>
      <c r="V7959" s="22" t="str">
        <f t="shared" si="764"/>
        <v>REGIONES</v>
      </c>
    </row>
    <row r="7960" spans="20:22" x14ac:dyDescent="0.2">
      <c r="T7960" s="22">
        <f t="shared" si="762"/>
        <v>1</v>
      </c>
      <c r="U7960" s="22">
        <f t="shared" si="763"/>
        <v>1900</v>
      </c>
      <c r="V7960" s="22" t="str">
        <f t="shared" si="764"/>
        <v>REGIONES</v>
      </c>
    </row>
    <row r="7961" spans="20:22" x14ac:dyDescent="0.2">
      <c r="T7961" s="22">
        <f t="shared" si="762"/>
        <v>1</v>
      </c>
      <c r="U7961" s="22">
        <f t="shared" si="763"/>
        <v>1900</v>
      </c>
      <c r="V7961" s="22" t="str">
        <f t="shared" si="764"/>
        <v>REGIONES</v>
      </c>
    </row>
    <row r="7962" spans="20:22" x14ac:dyDescent="0.2">
      <c r="T7962" s="22">
        <f t="shared" si="762"/>
        <v>1</v>
      </c>
      <c r="U7962" s="22">
        <f t="shared" si="763"/>
        <v>1900</v>
      </c>
      <c r="V7962" s="22" t="str">
        <f t="shared" si="764"/>
        <v>REGIONES</v>
      </c>
    </row>
    <row r="7963" spans="20:22" x14ac:dyDescent="0.2">
      <c r="T7963" s="22">
        <f t="shared" si="762"/>
        <v>1</v>
      </c>
      <c r="U7963" s="22">
        <f t="shared" si="763"/>
        <v>1900</v>
      </c>
      <c r="V7963" s="22" t="str">
        <f t="shared" si="764"/>
        <v>REGIONES</v>
      </c>
    </row>
    <row r="7964" spans="20:22" x14ac:dyDescent="0.2">
      <c r="T7964" s="22">
        <f t="shared" si="762"/>
        <v>1</v>
      </c>
      <c r="U7964" s="22">
        <f t="shared" si="763"/>
        <v>1900</v>
      </c>
      <c r="V7964" s="22" t="str">
        <f t="shared" si="764"/>
        <v>REGIONES</v>
      </c>
    </row>
    <row r="7965" spans="20:22" x14ac:dyDescent="0.2">
      <c r="T7965" s="22">
        <f t="shared" si="762"/>
        <v>1</v>
      </c>
      <c r="U7965" s="22">
        <f t="shared" si="763"/>
        <v>1900</v>
      </c>
      <c r="V7965" s="22" t="str">
        <f t="shared" si="764"/>
        <v>REGIONES</v>
      </c>
    </row>
    <row r="7966" spans="20:22" x14ac:dyDescent="0.2">
      <c r="T7966" s="22">
        <f t="shared" si="762"/>
        <v>1</v>
      </c>
      <c r="U7966" s="22">
        <f t="shared" si="763"/>
        <v>1900</v>
      </c>
      <c r="V7966" s="22" t="str">
        <f t="shared" si="764"/>
        <v>REGIONES</v>
      </c>
    </row>
    <row r="7967" spans="20:22" x14ac:dyDescent="0.2">
      <c r="T7967" s="22">
        <f t="shared" si="762"/>
        <v>1</v>
      </c>
      <c r="U7967" s="22">
        <f t="shared" si="763"/>
        <v>1900</v>
      </c>
      <c r="V7967" s="22" t="str">
        <f t="shared" si="764"/>
        <v>REGIONES</v>
      </c>
    </row>
    <row r="7968" spans="20:22" x14ac:dyDescent="0.2">
      <c r="T7968" s="22">
        <f t="shared" si="762"/>
        <v>1</v>
      </c>
      <c r="U7968" s="22">
        <f t="shared" si="763"/>
        <v>1900</v>
      </c>
      <c r="V7968" s="22" t="str">
        <f t="shared" si="764"/>
        <v>REGIONES</v>
      </c>
    </row>
    <row r="7969" spans="20:22" x14ac:dyDescent="0.2">
      <c r="T7969" s="22">
        <f t="shared" si="762"/>
        <v>1</v>
      </c>
      <c r="U7969" s="22">
        <f t="shared" si="763"/>
        <v>1900</v>
      </c>
      <c r="V7969" s="22" t="str">
        <f t="shared" si="764"/>
        <v>REGIONES</v>
      </c>
    </row>
    <row r="7970" spans="20:22" x14ac:dyDescent="0.2">
      <c r="T7970" s="22">
        <f t="shared" si="762"/>
        <v>1</v>
      </c>
      <c r="U7970" s="22">
        <f t="shared" si="763"/>
        <v>1900</v>
      </c>
      <c r="V7970" s="22" t="str">
        <f t="shared" si="764"/>
        <v>REGIONES</v>
      </c>
    </row>
    <row r="7971" spans="20:22" x14ac:dyDescent="0.2">
      <c r="T7971" s="22">
        <f t="shared" si="762"/>
        <v>1</v>
      </c>
      <c r="U7971" s="22">
        <f t="shared" si="763"/>
        <v>1900</v>
      </c>
      <c r="V7971" s="22" t="str">
        <f t="shared" si="764"/>
        <v>REGIONES</v>
      </c>
    </row>
    <row r="7972" spans="20:22" x14ac:dyDescent="0.2">
      <c r="T7972" s="22">
        <f t="shared" si="762"/>
        <v>1</v>
      </c>
      <c r="U7972" s="22">
        <f t="shared" si="763"/>
        <v>1900</v>
      </c>
      <c r="V7972" s="22" t="str">
        <f t="shared" si="764"/>
        <v>REGIONES</v>
      </c>
    </row>
    <row r="7973" spans="20:22" x14ac:dyDescent="0.2">
      <c r="T7973" s="22">
        <f t="shared" si="762"/>
        <v>1</v>
      </c>
      <c r="U7973" s="22">
        <f t="shared" si="763"/>
        <v>1900</v>
      </c>
      <c r="V7973" s="22" t="str">
        <f t="shared" si="764"/>
        <v>REGIONES</v>
      </c>
    </row>
    <row r="7974" spans="20:22" x14ac:dyDescent="0.2">
      <c r="T7974" s="22">
        <f t="shared" si="762"/>
        <v>1</v>
      </c>
      <c r="U7974" s="22">
        <f t="shared" si="763"/>
        <v>1900</v>
      </c>
      <c r="V7974" s="22" t="str">
        <f t="shared" si="764"/>
        <v>REGIONES</v>
      </c>
    </row>
    <row r="7975" spans="20:22" x14ac:dyDescent="0.2">
      <c r="T7975" s="22">
        <f t="shared" si="762"/>
        <v>1</v>
      </c>
      <c r="U7975" s="22">
        <f t="shared" si="763"/>
        <v>1900</v>
      </c>
      <c r="V7975" s="22" t="str">
        <f t="shared" si="764"/>
        <v>REGIONES</v>
      </c>
    </row>
    <row r="7976" spans="20:22" x14ac:dyDescent="0.2">
      <c r="T7976" s="22">
        <f t="shared" si="762"/>
        <v>1</v>
      </c>
      <c r="U7976" s="22">
        <f t="shared" si="763"/>
        <v>1900</v>
      </c>
      <c r="V7976" s="22" t="str">
        <f t="shared" si="764"/>
        <v>REGIONES</v>
      </c>
    </row>
    <row r="7977" spans="20:22" x14ac:dyDescent="0.2">
      <c r="T7977" s="22">
        <f t="shared" si="762"/>
        <v>1</v>
      </c>
      <c r="U7977" s="22">
        <f t="shared" si="763"/>
        <v>1900</v>
      </c>
      <c r="V7977" s="22" t="str">
        <f t="shared" si="764"/>
        <v>REGIONES</v>
      </c>
    </row>
    <row r="7978" spans="20:22" x14ac:dyDescent="0.2">
      <c r="T7978" s="22">
        <f t="shared" si="762"/>
        <v>1</v>
      </c>
      <c r="U7978" s="22">
        <f t="shared" si="763"/>
        <v>1900</v>
      </c>
      <c r="V7978" s="22" t="str">
        <f t="shared" si="764"/>
        <v>REGIONES</v>
      </c>
    </row>
    <row r="7979" spans="20:22" x14ac:dyDescent="0.2">
      <c r="T7979" s="22">
        <f t="shared" si="762"/>
        <v>1</v>
      </c>
      <c r="U7979" s="22">
        <f t="shared" si="763"/>
        <v>1900</v>
      </c>
      <c r="V7979" s="22" t="str">
        <f t="shared" si="764"/>
        <v>REGIONES</v>
      </c>
    </row>
    <row r="7980" spans="20:22" x14ac:dyDescent="0.2">
      <c r="T7980" s="22">
        <f t="shared" si="762"/>
        <v>1</v>
      </c>
      <c r="U7980" s="22">
        <f t="shared" si="763"/>
        <v>1900</v>
      </c>
      <c r="V7980" s="22" t="str">
        <f t="shared" si="764"/>
        <v>REGIONES</v>
      </c>
    </row>
    <row r="7981" spans="20:22" x14ac:dyDescent="0.2">
      <c r="T7981" s="22">
        <f t="shared" si="762"/>
        <v>1</v>
      </c>
      <c r="U7981" s="22">
        <f t="shared" si="763"/>
        <v>1900</v>
      </c>
      <c r="V7981" s="22" t="str">
        <f t="shared" si="764"/>
        <v>REGIONES</v>
      </c>
    </row>
    <row r="7982" spans="20:22" x14ac:dyDescent="0.2">
      <c r="T7982" s="22">
        <f t="shared" si="762"/>
        <v>1</v>
      </c>
      <c r="U7982" s="22">
        <f t="shared" si="763"/>
        <v>1900</v>
      </c>
      <c r="V7982" s="22" t="str">
        <f t="shared" si="764"/>
        <v>REGIONES</v>
      </c>
    </row>
    <row r="7983" spans="20:22" x14ac:dyDescent="0.2">
      <c r="T7983" s="22">
        <f t="shared" si="762"/>
        <v>1</v>
      </c>
      <c r="U7983" s="22">
        <f t="shared" si="763"/>
        <v>1900</v>
      </c>
      <c r="V7983" s="22" t="str">
        <f t="shared" si="764"/>
        <v>REGIONES</v>
      </c>
    </row>
    <row r="7984" spans="20:22" x14ac:dyDescent="0.2">
      <c r="T7984" s="22">
        <f t="shared" si="762"/>
        <v>1</v>
      </c>
      <c r="U7984" s="22">
        <f t="shared" si="763"/>
        <v>1900</v>
      </c>
      <c r="V7984" s="22" t="str">
        <f t="shared" si="764"/>
        <v>REGIONES</v>
      </c>
    </row>
    <row r="7985" spans="20:22" x14ac:dyDescent="0.2">
      <c r="T7985" s="22">
        <f t="shared" si="762"/>
        <v>1</v>
      </c>
      <c r="U7985" s="22">
        <f t="shared" si="763"/>
        <v>1900</v>
      </c>
      <c r="V7985" s="22" t="str">
        <f t="shared" si="764"/>
        <v>REGIONES</v>
      </c>
    </row>
    <row r="7986" spans="20:22" x14ac:dyDescent="0.2">
      <c r="T7986" s="22">
        <f t="shared" si="762"/>
        <v>1</v>
      </c>
      <c r="U7986" s="22">
        <f t="shared" si="763"/>
        <v>1900</v>
      </c>
      <c r="V7986" s="22" t="str">
        <f t="shared" si="764"/>
        <v>REGIONES</v>
      </c>
    </row>
    <row r="7987" spans="20:22" x14ac:dyDescent="0.2">
      <c r="T7987" s="22">
        <f t="shared" si="762"/>
        <v>1</v>
      </c>
      <c r="U7987" s="22">
        <f t="shared" si="763"/>
        <v>1900</v>
      </c>
      <c r="V7987" s="22" t="str">
        <f t="shared" si="764"/>
        <v>REGIONES</v>
      </c>
    </row>
    <row r="7988" spans="20:22" x14ac:dyDescent="0.2">
      <c r="T7988" s="22">
        <f t="shared" si="762"/>
        <v>1</v>
      </c>
      <c r="U7988" s="22">
        <f t="shared" si="763"/>
        <v>1900</v>
      </c>
      <c r="V7988" s="22" t="str">
        <f t="shared" si="764"/>
        <v>REGIONES</v>
      </c>
    </row>
    <row r="7989" spans="20:22" x14ac:dyDescent="0.2">
      <c r="T7989" s="22">
        <f t="shared" si="762"/>
        <v>1</v>
      </c>
      <c r="U7989" s="22">
        <f t="shared" si="763"/>
        <v>1900</v>
      </c>
      <c r="V7989" s="22" t="str">
        <f t="shared" si="764"/>
        <v>REGIONES</v>
      </c>
    </row>
    <row r="7990" spans="20:22" x14ac:dyDescent="0.2">
      <c r="T7990" s="22">
        <f t="shared" si="762"/>
        <v>1</v>
      </c>
      <c r="U7990" s="22">
        <f t="shared" si="763"/>
        <v>1900</v>
      </c>
      <c r="V7990" s="22" t="str">
        <f t="shared" si="764"/>
        <v>REGIONES</v>
      </c>
    </row>
    <row r="7991" spans="20:22" x14ac:dyDescent="0.2">
      <c r="T7991" s="22">
        <f t="shared" si="762"/>
        <v>1</v>
      </c>
      <c r="U7991" s="22">
        <f t="shared" si="763"/>
        <v>1900</v>
      </c>
      <c r="V7991" s="22" t="str">
        <f t="shared" si="764"/>
        <v>REGIONES</v>
      </c>
    </row>
    <row r="7992" spans="20:22" x14ac:dyDescent="0.2">
      <c r="T7992" s="22">
        <f t="shared" si="762"/>
        <v>1</v>
      </c>
      <c r="U7992" s="22">
        <f t="shared" si="763"/>
        <v>1900</v>
      </c>
      <c r="V7992" s="22" t="str">
        <f t="shared" si="764"/>
        <v>REGIONES</v>
      </c>
    </row>
    <row r="7993" spans="20:22" x14ac:dyDescent="0.2">
      <c r="T7993" s="22">
        <f t="shared" si="762"/>
        <v>1</v>
      </c>
      <c r="U7993" s="22">
        <f t="shared" si="763"/>
        <v>1900</v>
      </c>
      <c r="V7993" s="22" t="str">
        <f t="shared" si="764"/>
        <v>REGIONES</v>
      </c>
    </row>
    <row r="7994" spans="20:22" x14ac:dyDescent="0.2">
      <c r="T7994" s="22">
        <f t="shared" si="762"/>
        <v>1</v>
      </c>
      <c r="U7994" s="22">
        <f t="shared" si="763"/>
        <v>1900</v>
      </c>
      <c r="V7994" s="22" t="str">
        <f t="shared" si="764"/>
        <v>REGIONES</v>
      </c>
    </row>
    <row r="7995" spans="20:22" x14ac:dyDescent="0.2">
      <c r="T7995" s="22">
        <f t="shared" si="762"/>
        <v>1</v>
      </c>
      <c r="U7995" s="22">
        <f t="shared" si="763"/>
        <v>1900</v>
      </c>
      <c r="V7995" s="22" t="str">
        <f t="shared" si="764"/>
        <v>REGIONES</v>
      </c>
    </row>
    <row r="7996" spans="20:22" x14ac:dyDescent="0.2">
      <c r="T7996" s="22">
        <f t="shared" si="762"/>
        <v>1</v>
      </c>
      <c r="U7996" s="22">
        <f t="shared" si="763"/>
        <v>1900</v>
      </c>
      <c r="V7996" s="22" t="str">
        <f t="shared" si="764"/>
        <v>REGIONES</v>
      </c>
    </row>
    <row r="7997" spans="20:22" x14ac:dyDescent="0.2">
      <c r="T7997" s="22">
        <f t="shared" si="762"/>
        <v>1</v>
      </c>
      <c r="U7997" s="22">
        <f t="shared" si="763"/>
        <v>1900</v>
      </c>
      <c r="V7997" s="22" t="str">
        <f t="shared" si="764"/>
        <v>REGIONES</v>
      </c>
    </row>
    <row r="7998" spans="20:22" x14ac:dyDescent="0.2">
      <c r="T7998" s="22">
        <f t="shared" si="762"/>
        <v>1</v>
      </c>
      <c r="U7998" s="22">
        <f t="shared" si="763"/>
        <v>1900</v>
      </c>
      <c r="V7998" s="22" t="str">
        <f t="shared" si="764"/>
        <v>REGIONES</v>
      </c>
    </row>
    <row r="7999" spans="20:22" x14ac:dyDescent="0.2">
      <c r="T7999" s="22">
        <f t="shared" si="762"/>
        <v>1</v>
      </c>
      <c r="U7999" s="22">
        <f t="shared" si="763"/>
        <v>1900</v>
      </c>
      <c r="V7999" s="22" t="str">
        <f t="shared" si="764"/>
        <v>REGIONES</v>
      </c>
    </row>
    <row r="8000" spans="20:22" x14ac:dyDescent="0.2">
      <c r="T8000" s="22">
        <f t="shared" si="762"/>
        <v>1</v>
      </c>
      <c r="U8000" s="22">
        <f t="shared" si="763"/>
        <v>1900</v>
      </c>
      <c r="V8000" s="22" t="str">
        <f t="shared" si="764"/>
        <v>REGIONES</v>
      </c>
    </row>
    <row r="8001" spans="20:22" x14ac:dyDescent="0.2">
      <c r="T8001" s="22">
        <f t="shared" si="762"/>
        <v>1</v>
      </c>
      <c r="U8001" s="22">
        <f t="shared" si="763"/>
        <v>1900</v>
      </c>
      <c r="V8001" s="22" t="str">
        <f t="shared" si="764"/>
        <v>REGIONES</v>
      </c>
    </row>
    <row r="8002" spans="20:22" x14ac:dyDescent="0.2">
      <c r="T8002" s="22">
        <f t="shared" ref="T8002:T8065" si="765">MONTH(A8002)</f>
        <v>1</v>
      </c>
      <c r="U8002" s="22">
        <f t="shared" ref="U8002:U8065" si="766">YEAR(A8002)</f>
        <v>1900</v>
      </c>
      <c r="V8002" s="22" t="str">
        <f t="shared" ref="V8002:V8065" si="767">IF(K8002="METROPOLITANA DE SANTIAGO","METROPOLITANA","REGIONES")</f>
        <v>REGIONES</v>
      </c>
    </row>
    <row r="8003" spans="20:22" x14ac:dyDescent="0.2">
      <c r="T8003" s="22">
        <f t="shared" si="765"/>
        <v>1</v>
      </c>
      <c r="U8003" s="22">
        <f t="shared" si="766"/>
        <v>1900</v>
      </c>
      <c r="V8003" s="22" t="str">
        <f t="shared" si="767"/>
        <v>REGIONES</v>
      </c>
    </row>
    <row r="8004" spans="20:22" x14ac:dyDescent="0.2">
      <c r="T8004" s="22">
        <f t="shared" si="765"/>
        <v>1</v>
      </c>
      <c r="U8004" s="22">
        <f t="shared" si="766"/>
        <v>1900</v>
      </c>
      <c r="V8004" s="22" t="str">
        <f t="shared" si="767"/>
        <v>REGIONES</v>
      </c>
    </row>
    <row r="8005" spans="20:22" x14ac:dyDescent="0.2">
      <c r="T8005" s="22">
        <f t="shared" si="765"/>
        <v>1</v>
      </c>
      <c r="U8005" s="22">
        <f t="shared" si="766"/>
        <v>1900</v>
      </c>
      <c r="V8005" s="22" t="str">
        <f t="shared" si="767"/>
        <v>REGIONES</v>
      </c>
    </row>
    <row r="8006" spans="20:22" x14ac:dyDescent="0.2">
      <c r="T8006" s="22">
        <f t="shared" si="765"/>
        <v>1</v>
      </c>
      <c r="U8006" s="22">
        <f t="shared" si="766"/>
        <v>1900</v>
      </c>
      <c r="V8006" s="22" t="str">
        <f t="shared" si="767"/>
        <v>REGIONES</v>
      </c>
    </row>
    <row r="8007" spans="20:22" x14ac:dyDescent="0.2">
      <c r="T8007" s="22">
        <f t="shared" si="765"/>
        <v>1</v>
      </c>
      <c r="U8007" s="22">
        <f t="shared" si="766"/>
        <v>1900</v>
      </c>
      <c r="V8007" s="22" t="str">
        <f t="shared" si="767"/>
        <v>REGIONES</v>
      </c>
    </row>
    <row r="8008" spans="20:22" x14ac:dyDescent="0.2">
      <c r="T8008" s="22">
        <f t="shared" si="765"/>
        <v>1</v>
      </c>
      <c r="U8008" s="22">
        <f t="shared" si="766"/>
        <v>1900</v>
      </c>
      <c r="V8008" s="22" t="str">
        <f t="shared" si="767"/>
        <v>REGIONES</v>
      </c>
    </row>
    <row r="8009" spans="20:22" x14ac:dyDescent="0.2">
      <c r="T8009" s="22">
        <f t="shared" si="765"/>
        <v>1</v>
      </c>
      <c r="U8009" s="22">
        <f t="shared" si="766"/>
        <v>1900</v>
      </c>
      <c r="V8009" s="22" t="str">
        <f t="shared" si="767"/>
        <v>REGIONES</v>
      </c>
    </row>
    <row r="8010" spans="20:22" x14ac:dyDescent="0.2">
      <c r="T8010" s="22">
        <f t="shared" si="765"/>
        <v>1</v>
      </c>
      <c r="U8010" s="22">
        <f t="shared" si="766"/>
        <v>1900</v>
      </c>
      <c r="V8010" s="22" t="str">
        <f t="shared" si="767"/>
        <v>REGIONES</v>
      </c>
    </row>
    <row r="8011" spans="20:22" x14ac:dyDescent="0.2">
      <c r="T8011" s="22">
        <f t="shared" si="765"/>
        <v>1</v>
      </c>
      <c r="U8011" s="22">
        <f t="shared" si="766"/>
        <v>1900</v>
      </c>
      <c r="V8011" s="22" t="str">
        <f t="shared" si="767"/>
        <v>REGIONES</v>
      </c>
    </row>
    <row r="8012" spans="20:22" x14ac:dyDescent="0.2">
      <c r="T8012" s="22">
        <f t="shared" si="765"/>
        <v>1</v>
      </c>
      <c r="U8012" s="22">
        <f t="shared" si="766"/>
        <v>1900</v>
      </c>
      <c r="V8012" s="22" t="str">
        <f t="shared" si="767"/>
        <v>REGIONES</v>
      </c>
    </row>
    <row r="8013" spans="20:22" x14ac:dyDescent="0.2">
      <c r="T8013" s="22">
        <f t="shared" si="765"/>
        <v>1</v>
      </c>
      <c r="U8013" s="22">
        <f t="shared" si="766"/>
        <v>1900</v>
      </c>
      <c r="V8013" s="22" t="str">
        <f t="shared" si="767"/>
        <v>REGIONES</v>
      </c>
    </row>
    <row r="8014" spans="20:22" x14ac:dyDescent="0.2">
      <c r="T8014" s="22">
        <f t="shared" si="765"/>
        <v>1</v>
      </c>
      <c r="U8014" s="22">
        <f t="shared" si="766"/>
        <v>1900</v>
      </c>
      <c r="V8014" s="22" t="str">
        <f t="shared" si="767"/>
        <v>REGIONES</v>
      </c>
    </row>
    <row r="8015" spans="20:22" x14ac:dyDescent="0.2">
      <c r="T8015" s="22">
        <f t="shared" si="765"/>
        <v>1</v>
      </c>
      <c r="U8015" s="22">
        <f t="shared" si="766"/>
        <v>1900</v>
      </c>
      <c r="V8015" s="22" t="str">
        <f t="shared" si="767"/>
        <v>REGIONES</v>
      </c>
    </row>
    <row r="8016" spans="20:22" x14ac:dyDescent="0.2">
      <c r="T8016" s="22">
        <f t="shared" si="765"/>
        <v>1</v>
      </c>
      <c r="U8016" s="22">
        <f t="shared" si="766"/>
        <v>1900</v>
      </c>
      <c r="V8016" s="22" t="str">
        <f t="shared" si="767"/>
        <v>REGIONES</v>
      </c>
    </row>
    <row r="8017" spans="20:22" x14ac:dyDescent="0.2">
      <c r="T8017" s="22">
        <f t="shared" si="765"/>
        <v>1</v>
      </c>
      <c r="U8017" s="22">
        <f t="shared" si="766"/>
        <v>1900</v>
      </c>
      <c r="V8017" s="22" t="str">
        <f t="shared" si="767"/>
        <v>REGIONES</v>
      </c>
    </row>
    <row r="8018" spans="20:22" x14ac:dyDescent="0.2">
      <c r="T8018" s="22">
        <f t="shared" si="765"/>
        <v>1</v>
      </c>
      <c r="U8018" s="22">
        <f t="shared" si="766"/>
        <v>1900</v>
      </c>
      <c r="V8018" s="22" t="str">
        <f t="shared" si="767"/>
        <v>REGIONES</v>
      </c>
    </row>
    <row r="8019" spans="20:22" x14ac:dyDescent="0.2">
      <c r="T8019" s="22">
        <f t="shared" si="765"/>
        <v>1</v>
      </c>
      <c r="U8019" s="22">
        <f t="shared" si="766"/>
        <v>1900</v>
      </c>
      <c r="V8019" s="22" t="str">
        <f t="shared" si="767"/>
        <v>REGIONES</v>
      </c>
    </row>
    <row r="8020" spans="20:22" x14ac:dyDescent="0.2">
      <c r="T8020" s="22">
        <f t="shared" si="765"/>
        <v>1</v>
      </c>
      <c r="U8020" s="22">
        <f t="shared" si="766"/>
        <v>1900</v>
      </c>
      <c r="V8020" s="22" t="str">
        <f t="shared" si="767"/>
        <v>REGIONES</v>
      </c>
    </row>
    <row r="8021" spans="20:22" x14ac:dyDescent="0.2">
      <c r="T8021" s="22">
        <f t="shared" si="765"/>
        <v>1</v>
      </c>
      <c r="U8021" s="22">
        <f t="shared" si="766"/>
        <v>1900</v>
      </c>
      <c r="V8021" s="22" t="str">
        <f t="shared" si="767"/>
        <v>REGIONES</v>
      </c>
    </row>
    <row r="8022" spans="20:22" x14ac:dyDescent="0.2">
      <c r="T8022" s="22">
        <f t="shared" si="765"/>
        <v>1</v>
      </c>
      <c r="U8022" s="22">
        <f t="shared" si="766"/>
        <v>1900</v>
      </c>
      <c r="V8022" s="22" t="str">
        <f t="shared" si="767"/>
        <v>REGIONES</v>
      </c>
    </row>
    <row r="8023" spans="20:22" x14ac:dyDescent="0.2">
      <c r="T8023" s="22">
        <f t="shared" si="765"/>
        <v>1</v>
      </c>
      <c r="U8023" s="22">
        <f t="shared" si="766"/>
        <v>1900</v>
      </c>
      <c r="V8023" s="22" t="str">
        <f t="shared" si="767"/>
        <v>REGIONES</v>
      </c>
    </row>
    <row r="8024" spans="20:22" x14ac:dyDescent="0.2">
      <c r="T8024" s="22">
        <f t="shared" si="765"/>
        <v>1</v>
      </c>
      <c r="U8024" s="22">
        <f t="shared" si="766"/>
        <v>1900</v>
      </c>
      <c r="V8024" s="22" t="str">
        <f t="shared" si="767"/>
        <v>REGIONES</v>
      </c>
    </row>
    <row r="8025" spans="20:22" x14ac:dyDescent="0.2">
      <c r="T8025" s="22">
        <f t="shared" si="765"/>
        <v>1</v>
      </c>
      <c r="U8025" s="22">
        <f t="shared" si="766"/>
        <v>1900</v>
      </c>
      <c r="V8025" s="22" t="str">
        <f t="shared" si="767"/>
        <v>REGIONES</v>
      </c>
    </row>
    <row r="8026" spans="20:22" x14ac:dyDescent="0.2">
      <c r="T8026" s="22">
        <f t="shared" si="765"/>
        <v>1</v>
      </c>
      <c r="U8026" s="22">
        <f t="shared" si="766"/>
        <v>1900</v>
      </c>
      <c r="V8026" s="22" t="str">
        <f t="shared" si="767"/>
        <v>REGIONES</v>
      </c>
    </row>
    <row r="8027" spans="20:22" x14ac:dyDescent="0.2">
      <c r="T8027" s="22">
        <f t="shared" si="765"/>
        <v>1</v>
      </c>
      <c r="U8027" s="22">
        <f t="shared" si="766"/>
        <v>1900</v>
      </c>
      <c r="V8027" s="22" t="str">
        <f t="shared" si="767"/>
        <v>REGIONES</v>
      </c>
    </row>
    <row r="8028" spans="20:22" x14ac:dyDescent="0.2">
      <c r="T8028" s="22">
        <f t="shared" si="765"/>
        <v>1</v>
      </c>
      <c r="U8028" s="22">
        <f t="shared" si="766"/>
        <v>1900</v>
      </c>
      <c r="V8028" s="22" t="str">
        <f t="shared" si="767"/>
        <v>REGIONES</v>
      </c>
    </row>
    <row r="8029" spans="20:22" x14ac:dyDescent="0.2">
      <c r="T8029" s="22">
        <f t="shared" si="765"/>
        <v>1</v>
      </c>
      <c r="U8029" s="22">
        <f t="shared" si="766"/>
        <v>1900</v>
      </c>
      <c r="V8029" s="22" t="str">
        <f t="shared" si="767"/>
        <v>REGIONES</v>
      </c>
    </row>
    <row r="8030" spans="20:22" x14ac:dyDescent="0.2">
      <c r="T8030" s="22">
        <f t="shared" si="765"/>
        <v>1</v>
      </c>
      <c r="U8030" s="22">
        <f t="shared" si="766"/>
        <v>1900</v>
      </c>
      <c r="V8030" s="22" t="str">
        <f t="shared" si="767"/>
        <v>REGIONES</v>
      </c>
    </row>
    <row r="8031" spans="20:22" x14ac:dyDescent="0.2">
      <c r="T8031" s="22">
        <f t="shared" si="765"/>
        <v>1</v>
      </c>
      <c r="U8031" s="22">
        <f t="shared" si="766"/>
        <v>1900</v>
      </c>
      <c r="V8031" s="22" t="str">
        <f t="shared" si="767"/>
        <v>REGIONES</v>
      </c>
    </row>
    <row r="8032" spans="20:22" x14ac:dyDescent="0.2">
      <c r="T8032" s="22">
        <f t="shared" si="765"/>
        <v>1</v>
      </c>
      <c r="U8032" s="22">
        <f t="shared" si="766"/>
        <v>1900</v>
      </c>
      <c r="V8032" s="22" t="str">
        <f t="shared" si="767"/>
        <v>REGIONES</v>
      </c>
    </row>
    <row r="8033" spans="20:22" x14ac:dyDescent="0.2">
      <c r="T8033" s="22">
        <f t="shared" si="765"/>
        <v>1</v>
      </c>
      <c r="U8033" s="22">
        <f t="shared" si="766"/>
        <v>1900</v>
      </c>
      <c r="V8033" s="22" t="str">
        <f t="shared" si="767"/>
        <v>REGIONES</v>
      </c>
    </row>
    <row r="8034" spans="20:22" x14ac:dyDescent="0.2">
      <c r="T8034" s="22">
        <f t="shared" si="765"/>
        <v>1</v>
      </c>
      <c r="U8034" s="22">
        <f t="shared" si="766"/>
        <v>1900</v>
      </c>
      <c r="V8034" s="22" t="str">
        <f t="shared" si="767"/>
        <v>REGIONES</v>
      </c>
    </row>
    <row r="8035" spans="20:22" x14ac:dyDescent="0.2">
      <c r="T8035" s="22">
        <f t="shared" si="765"/>
        <v>1</v>
      </c>
      <c r="U8035" s="22">
        <f t="shared" si="766"/>
        <v>1900</v>
      </c>
      <c r="V8035" s="22" t="str">
        <f t="shared" si="767"/>
        <v>REGIONES</v>
      </c>
    </row>
    <row r="8036" spans="20:22" x14ac:dyDescent="0.2">
      <c r="T8036" s="22">
        <f t="shared" si="765"/>
        <v>1</v>
      </c>
      <c r="U8036" s="22">
        <f t="shared" si="766"/>
        <v>1900</v>
      </c>
      <c r="V8036" s="22" t="str">
        <f t="shared" si="767"/>
        <v>REGIONES</v>
      </c>
    </row>
    <row r="8037" spans="20:22" x14ac:dyDescent="0.2">
      <c r="T8037" s="22">
        <f t="shared" si="765"/>
        <v>1</v>
      </c>
      <c r="U8037" s="22">
        <f t="shared" si="766"/>
        <v>1900</v>
      </c>
      <c r="V8037" s="22" t="str">
        <f t="shared" si="767"/>
        <v>REGIONES</v>
      </c>
    </row>
    <row r="8038" spans="20:22" x14ac:dyDescent="0.2">
      <c r="T8038" s="22">
        <f t="shared" si="765"/>
        <v>1</v>
      </c>
      <c r="U8038" s="22">
        <f t="shared" si="766"/>
        <v>1900</v>
      </c>
      <c r="V8038" s="22" t="str">
        <f t="shared" si="767"/>
        <v>REGIONES</v>
      </c>
    </row>
    <row r="8039" spans="20:22" x14ac:dyDescent="0.2">
      <c r="T8039" s="22">
        <f t="shared" si="765"/>
        <v>1</v>
      </c>
      <c r="U8039" s="22">
        <f t="shared" si="766"/>
        <v>1900</v>
      </c>
      <c r="V8039" s="22" t="str">
        <f t="shared" si="767"/>
        <v>REGIONES</v>
      </c>
    </row>
    <row r="8040" spans="20:22" x14ac:dyDescent="0.2">
      <c r="T8040" s="22">
        <f t="shared" si="765"/>
        <v>1</v>
      </c>
      <c r="U8040" s="22">
        <f t="shared" si="766"/>
        <v>1900</v>
      </c>
      <c r="V8040" s="22" t="str">
        <f t="shared" si="767"/>
        <v>REGIONES</v>
      </c>
    </row>
    <row r="8041" spans="20:22" x14ac:dyDescent="0.2">
      <c r="T8041" s="22">
        <f t="shared" si="765"/>
        <v>1</v>
      </c>
      <c r="U8041" s="22">
        <f t="shared" si="766"/>
        <v>1900</v>
      </c>
      <c r="V8041" s="22" t="str">
        <f t="shared" si="767"/>
        <v>REGIONES</v>
      </c>
    </row>
    <row r="8042" spans="20:22" x14ac:dyDescent="0.2">
      <c r="T8042" s="22">
        <f t="shared" si="765"/>
        <v>1</v>
      </c>
      <c r="U8042" s="22">
        <f t="shared" si="766"/>
        <v>1900</v>
      </c>
      <c r="V8042" s="22" t="str">
        <f t="shared" si="767"/>
        <v>REGIONES</v>
      </c>
    </row>
    <row r="8043" spans="20:22" x14ac:dyDescent="0.2">
      <c r="T8043" s="22">
        <f t="shared" si="765"/>
        <v>1</v>
      </c>
      <c r="U8043" s="22">
        <f t="shared" si="766"/>
        <v>1900</v>
      </c>
      <c r="V8043" s="22" t="str">
        <f t="shared" si="767"/>
        <v>REGIONES</v>
      </c>
    </row>
    <row r="8044" spans="20:22" x14ac:dyDescent="0.2">
      <c r="T8044" s="22">
        <f t="shared" si="765"/>
        <v>1</v>
      </c>
      <c r="U8044" s="22">
        <f t="shared" si="766"/>
        <v>1900</v>
      </c>
      <c r="V8044" s="22" t="str">
        <f t="shared" si="767"/>
        <v>REGIONES</v>
      </c>
    </row>
    <row r="8045" spans="20:22" x14ac:dyDescent="0.2">
      <c r="T8045" s="22">
        <f t="shared" si="765"/>
        <v>1</v>
      </c>
      <c r="U8045" s="22">
        <f t="shared" si="766"/>
        <v>1900</v>
      </c>
      <c r="V8045" s="22" t="str">
        <f t="shared" si="767"/>
        <v>REGIONES</v>
      </c>
    </row>
    <row r="8046" spans="20:22" x14ac:dyDescent="0.2">
      <c r="T8046" s="22">
        <f t="shared" si="765"/>
        <v>1</v>
      </c>
      <c r="U8046" s="22">
        <f t="shared" si="766"/>
        <v>1900</v>
      </c>
      <c r="V8046" s="22" t="str">
        <f t="shared" si="767"/>
        <v>REGIONES</v>
      </c>
    </row>
    <row r="8047" spans="20:22" x14ac:dyDescent="0.2">
      <c r="T8047" s="22">
        <f t="shared" si="765"/>
        <v>1</v>
      </c>
      <c r="U8047" s="22">
        <f t="shared" si="766"/>
        <v>1900</v>
      </c>
      <c r="V8047" s="22" t="str">
        <f t="shared" si="767"/>
        <v>REGIONES</v>
      </c>
    </row>
    <row r="8048" spans="20:22" x14ac:dyDescent="0.2">
      <c r="T8048" s="22">
        <f t="shared" si="765"/>
        <v>1</v>
      </c>
      <c r="U8048" s="22">
        <f t="shared" si="766"/>
        <v>1900</v>
      </c>
      <c r="V8048" s="22" t="str">
        <f t="shared" si="767"/>
        <v>REGIONES</v>
      </c>
    </row>
    <row r="8049" spans="20:22" x14ac:dyDescent="0.2">
      <c r="T8049" s="22">
        <f t="shared" si="765"/>
        <v>1</v>
      </c>
      <c r="U8049" s="22">
        <f t="shared" si="766"/>
        <v>1900</v>
      </c>
      <c r="V8049" s="22" t="str">
        <f t="shared" si="767"/>
        <v>REGIONES</v>
      </c>
    </row>
    <row r="8050" spans="20:22" x14ac:dyDescent="0.2">
      <c r="T8050" s="22">
        <f t="shared" si="765"/>
        <v>1</v>
      </c>
      <c r="U8050" s="22">
        <f t="shared" si="766"/>
        <v>1900</v>
      </c>
      <c r="V8050" s="22" t="str">
        <f t="shared" si="767"/>
        <v>REGIONES</v>
      </c>
    </row>
    <row r="8051" spans="20:22" x14ac:dyDescent="0.2">
      <c r="T8051" s="22">
        <f t="shared" si="765"/>
        <v>1</v>
      </c>
      <c r="U8051" s="22">
        <f t="shared" si="766"/>
        <v>1900</v>
      </c>
      <c r="V8051" s="22" t="str">
        <f t="shared" si="767"/>
        <v>REGIONES</v>
      </c>
    </row>
    <row r="8052" spans="20:22" x14ac:dyDescent="0.2">
      <c r="T8052" s="22">
        <f t="shared" si="765"/>
        <v>1</v>
      </c>
      <c r="U8052" s="22">
        <f t="shared" si="766"/>
        <v>1900</v>
      </c>
      <c r="V8052" s="22" t="str">
        <f t="shared" si="767"/>
        <v>REGIONES</v>
      </c>
    </row>
    <row r="8053" spans="20:22" x14ac:dyDescent="0.2">
      <c r="T8053" s="22">
        <f t="shared" si="765"/>
        <v>1</v>
      </c>
      <c r="U8053" s="22">
        <f t="shared" si="766"/>
        <v>1900</v>
      </c>
      <c r="V8053" s="22" t="str">
        <f t="shared" si="767"/>
        <v>REGIONES</v>
      </c>
    </row>
    <row r="8054" spans="20:22" x14ac:dyDescent="0.2">
      <c r="T8054" s="22">
        <f t="shared" si="765"/>
        <v>1</v>
      </c>
      <c r="U8054" s="22">
        <f t="shared" si="766"/>
        <v>1900</v>
      </c>
      <c r="V8054" s="22" t="str">
        <f t="shared" si="767"/>
        <v>REGIONES</v>
      </c>
    </row>
    <row r="8055" spans="20:22" x14ac:dyDescent="0.2">
      <c r="T8055" s="22">
        <f t="shared" si="765"/>
        <v>1</v>
      </c>
      <c r="U8055" s="22">
        <f t="shared" si="766"/>
        <v>1900</v>
      </c>
      <c r="V8055" s="22" t="str">
        <f t="shared" si="767"/>
        <v>REGIONES</v>
      </c>
    </row>
    <row r="8056" spans="20:22" x14ac:dyDescent="0.2">
      <c r="T8056" s="22">
        <f t="shared" si="765"/>
        <v>1</v>
      </c>
      <c r="U8056" s="22">
        <f t="shared" si="766"/>
        <v>1900</v>
      </c>
      <c r="V8056" s="22" t="str">
        <f t="shared" si="767"/>
        <v>REGIONES</v>
      </c>
    </row>
    <row r="8057" spans="20:22" x14ac:dyDescent="0.2">
      <c r="T8057" s="22">
        <f t="shared" si="765"/>
        <v>1</v>
      </c>
      <c r="U8057" s="22">
        <f t="shared" si="766"/>
        <v>1900</v>
      </c>
      <c r="V8057" s="22" t="str">
        <f t="shared" si="767"/>
        <v>REGIONES</v>
      </c>
    </row>
    <row r="8058" spans="20:22" x14ac:dyDescent="0.2">
      <c r="T8058" s="22">
        <f t="shared" si="765"/>
        <v>1</v>
      </c>
      <c r="U8058" s="22">
        <f t="shared" si="766"/>
        <v>1900</v>
      </c>
      <c r="V8058" s="22" t="str">
        <f t="shared" si="767"/>
        <v>REGIONES</v>
      </c>
    </row>
    <row r="8059" spans="20:22" x14ac:dyDescent="0.2">
      <c r="T8059" s="22">
        <f t="shared" si="765"/>
        <v>1</v>
      </c>
      <c r="U8059" s="22">
        <f t="shared" si="766"/>
        <v>1900</v>
      </c>
      <c r="V8059" s="22" t="str">
        <f t="shared" si="767"/>
        <v>REGIONES</v>
      </c>
    </row>
    <row r="8060" spans="20:22" x14ac:dyDescent="0.2">
      <c r="T8060" s="22">
        <f t="shared" si="765"/>
        <v>1</v>
      </c>
      <c r="U8060" s="22">
        <f t="shared" si="766"/>
        <v>1900</v>
      </c>
      <c r="V8060" s="22" t="str">
        <f t="shared" si="767"/>
        <v>REGIONES</v>
      </c>
    </row>
    <row r="8061" spans="20:22" x14ac:dyDescent="0.2">
      <c r="T8061" s="22">
        <f t="shared" si="765"/>
        <v>1</v>
      </c>
      <c r="U8061" s="22">
        <f t="shared" si="766"/>
        <v>1900</v>
      </c>
      <c r="V8061" s="22" t="str">
        <f t="shared" si="767"/>
        <v>REGIONES</v>
      </c>
    </row>
    <row r="8062" spans="20:22" x14ac:dyDescent="0.2">
      <c r="T8062" s="22">
        <f t="shared" si="765"/>
        <v>1</v>
      </c>
      <c r="U8062" s="22">
        <f t="shared" si="766"/>
        <v>1900</v>
      </c>
      <c r="V8062" s="22" t="str">
        <f t="shared" si="767"/>
        <v>REGIONES</v>
      </c>
    </row>
    <row r="8063" spans="20:22" x14ac:dyDescent="0.2">
      <c r="T8063" s="22">
        <f t="shared" si="765"/>
        <v>1</v>
      </c>
      <c r="U8063" s="22">
        <f t="shared" si="766"/>
        <v>1900</v>
      </c>
      <c r="V8063" s="22" t="str">
        <f t="shared" si="767"/>
        <v>REGIONES</v>
      </c>
    </row>
    <row r="8064" spans="20:22" x14ac:dyDescent="0.2">
      <c r="T8064" s="22">
        <f t="shared" si="765"/>
        <v>1</v>
      </c>
      <c r="U8064" s="22">
        <f t="shared" si="766"/>
        <v>1900</v>
      </c>
      <c r="V8064" s="22" t="str">
        <f t="shared" si="767"/>
        <v>REGIONES</v>
      </c>
    </row>
    <row r="8065" spans="20:22" x14ac:dyDescent="0.2">
      <c r="T8065" s="22">
        <f t="shared" si="765"/>
        <v>1</v>
      </c>
      <c r="U8065" s="22">
        <f t="shared" si="766"/>
        <v>1900</v>
      </c>
      <c r="V8065" s="22" t="str">
        <f t="shared" si="767"/>
        <v>REGIONES</v>
      </c>
    </row>
    <row r="8066" spans="20:22" x14ac:dyDescent="0.2">
      <c r="T8066" s="22">
        <f t="shared" ref="T8066:T8129" si="768">MONTH(A8066)</f>
        <v>1</v>
      </c>
      <c r="U8066" s="22">
        <f t="shared" ref="U8066:U8129" si="769">YEAR(A8066)</f>
        <v>1900</v>
      </c>
      <c r="V8066" s="22" t="str">
        <f t="shared" ref="V8066:V8129" si="770">IF(K8066="METROPOLITANA DE SANTIAGO","METROPOLITANA","REGIONES")</f>
        <v>REGIONES</v>
      </c>
    </row>
    <row r="8067" spans="20:22" x14ac:dyDescent="0.2">
      <c r="T8067" s="22">
        <f t="shared" si="768"/>
        <v>1</v>
      </c>
      <c r="U8067" s="22">
        <f t="shared" si="769"/>
        <v>1900</v>
      </c>
      <c r="V8067" s="22" t="str">
        <f t="shared" si="770"/>
        <v>REGIONES</v>
      </c>
    </row>
    <row r="8068" spans="20:22" x14ac:dyDescent="0.2">
      <c r="T8068" s="22">
        <f t="shared" si="768"/>
        <v>1</v>
      </c>
      <c r="U8068" s="22">
        <f t="shared" si="769"/>
        <v>1900</v>
      </c>
      <c r="V8068" s="22" t="str">
        <f t="shared" si="770"/>
        <v>REGIONES</v>
      </c>
    </row>
    <row r="8069" spans="20:22" x14ac:dyDescent="0.2">
      <c r="T8069" s="22">
        <f t="shared" si="768"/>
        <v>1</v>
      </c>
      <c r="U8069" s="22">
        <f t="shared" si="769"/>
        <v>1900</v>
      </c>
      <c r="V8069" s="22" t="str">
        <f t="shared" si="770"/>
        <v>REGIONES</v>
      </c>
    </row>
    <row r="8070" spans="20:22" x14ac:dyDescent="0.2">
      <c r="T8070" s="22">
        <f t="shared" si="768"/>
        <v>1</v>
      </c>
      <c r="U8070" s="22">
        <f t="shared" si="769"/>
        <v>1900</v>
      </c>
      <c r="V8070" s="22" t="str">
        <f t="shared" si="770"/>
        <v>REGIONES</v>
      </c>
    </row>
    <row r="8071" spans="20:22" x14ac:dyDescent="0.2">
      <c r="T8071" s="22">
        <f t="shared" si="768"/>
        <v>1</v>
      </c>
      <c r="U8071" s="22">
        <f t="shared" si="769"/>
        <v>1900</v>
      </c>
      <c r="V8071" s="22" t="str">
        <f t="shared" si="770"/>
        <v>REGIONES</v>
      </c>
    </row>
    <row r="8072" spans="20:22" x14ac:dyDescent="0.2">
      <c r="T8072" s="22">
        <f t="shared" si="768"/>
        <v>1</v>
      </c>
      <c r="U8072" s="22">
        <f t="shared" si="769"/>
        <v>1900</v>
      </c>
      <c r="V8072" s="22" t="str">
        <f t="shared" si="770"/>
        <v>REGIONES</v>
      </c>
    </row>
    <row r="8073" spans="20:22" x14ac:dyDescent="0.2">
      <c r="T8073" s="22">
        <f t="shared" si="768"/>
        <v>1</v>
      </c>
      <c r="U8073" s="22">
        <f t="shared" si="769"/>
        <v>1900</v>
      </c>
      <c r="V8073" s="22" t="str">
        <f t="shared" si="770"/>
        <v>REGIONES</v>
      </c>
    </row>
    <row r="8074" spans="20:22" x14ac:dyDescent="0.2">
      <c r="T8074" s="22">
        <f t="shared" si="768"/>
        <v>1</v>
      </c>
      <c r="U8074" s="22">
        <f t="shared" si="769"/>
        <v>1900</v>
      </c>
      <c r="V8074" s="22" t="str">
        <f t="shared" si="770"/>
        <v>REGIONES</v>
      </c>
    </row>
    <row r="8075" spans="20:22" x14ac:dyDescent="0.2">
      <c r="T8075" s="22">
        <f t="shared" si="768"/>
        <v>1</v>
      </c>
      <c r="U8075" s="22">
        <f t="shared" si="769"/>
        <v>1900</v>
      </c>
      <c r="V8075" s="22" t="str">
        <f t="shared" si="770"/>
        <v>REGIONES</v>
      </c>
    </row>
    <row r="8076" spans="20:22" x14ac:dyDescent="0.2">
      <c r="T8076" s="22">
        <f t="shared" si="768"/>
        <v>1</v>
      </c>
      <c r="U8076" s="22">
        <f t="shared" si="769"/>
        <v>1900</v>
      </c>
      <c r="V8076" s="22" t="str">
        <f t="shared" si="770"/>
        <v>REGIONES</v>
      </c>
    </row>
    <row r="8077" spans="20:22" x14ac:dyDescent="0.2">
      <c r="T8077" s="22">
        <f t="shared" si="768"/>
        <v>1</v>
      </c>
      <c r="U8077" s="22">
        <f t="shared" si="769"/>
        <v>1900</v>
      </c>
      <c r="V8077" s="22" t="str">
        <f t="shared" si="770"/>
        <v>REGIONES</v>
      </c>
    </row>
    <row r="8078" spans="20:22" x14ac:dyDescent="0.2">
      <c r="T8078" s="22">
        <f t="shared" si="768"/>
        <v>1</v>
      </c>
      <c r="U8078" s="22">
        <f t="shared" si="769"/>
        <v>1900</v>
      </c>
      <c r="V8078" s="22" t="str">
        <f t="shared" si="770"/>
        <v>REGIONES</v>
      </c>
    </row>
    <row r="8079" spans="20:22" x14ac:dyDescent="0.2">
      <c r="T8079" s="22">
        <f t="shared" si="768"/>
        <v>1</v>
      </c>
      <c r="U8079" s="22">
        <f t="shared" si="769"/>
        <v>1900</v>
      </c>
      <c r="V8079" s="22" t="str">
        <f t="shared" si="770"/>
        <v>REGIONES</v>
      </c>
    </row>
    <row r="8080" spans="20:22" x14ac:dyDescent="0.2">
      <c r="T8080" s="22">
        <f t="shared" si="768"/>
        <v>1</v>
      </c>
      <c r="U8080" s="22">
        <f t="shared" si="769"/>
        <v>1900</v>
      </c>
      <c r="V8080" s="22" t="str">
        <f t="shared" si="770"/>
        <v>REGIONES</v>
      </c>
    </row>
    <row r="8081" spans="20:22" x14ac:dyDescent="0.2">
      <c r="T8081" s="22">
        <f t="shared" si="768"/>
        <v>1</v>
      </c>
      <c r="U8081" s="22">
        <f t="shared" si="769"/>
        <v>1900</v>
      </c>
      <c r="V8081" s="22" t="str">
        <f t="shared" si="770"/>
        <v>REGIONES</v>
      </c>
    </row>
    <row r="8082" spans="20:22" x14ac:dyDescent="0.2">
      <c r="T8082" s="22">
        <f t="shared" si="768"/>
        <v>1</v>
      </c>
      <c r="U8082" s="22">
        <f t="shared" si="769"/>
        <v>1900</v>
      </c>
      <c r="V8082" s="22" t="str">
        <f t="shared" si="770"/>
        <v>REGIONES</v>
      </c>
    </row>
    <row r="8083" spans="20:22" x14ac:dyDescent="0.2">
      <c r="T8083" s="22">
        <f t="shared" si="768"/>
        <v>1</v>
      </c>
      <c r="U8083" s="22">
        <f t="shared" si="769"/>
        <v>1900</v>
      </c>
      <c r="V8083" s="22" t="str">
        <f t="shared" si="770"/>
        <v>REGIONES</v>
      </c>
    </row>
    <row r="8084" spans="20:22" x14ac:dyDescent="0.2">
      <c r="T8084" s="22">
        <f t="shared" si="768"/>
        <v>1</v>
      </c>
      <c r="U8084" s="22">
        <f t="shared" si="769"/>
        <v>1900</v>
      </c>
      <c r="V8084" s="22" t="str">
        <f t="shared" si="770"/>
        <v>REGIONES</v>
      </c>
    </row>
    <row r="8085" spans="20:22" x14ac:dyDescent="0.2">
      <c r="T8085" s="22">
        <f t="shared" si="768"/>
        <v>1</v>
      </c>
      <c r="U8085" s="22">
        <f t="shared" si="769"/>
        <v>1900</v>
      </c>
      <c r="V8085" s="22" t="str">
        <f t="shared" si="770"/>
        <v>REGIONES</v>
      </c>
    </row>
    <row r="8086" spans="20:22" x14ac:dyDescent="0.2">
      <c r="T8086" s="22">
        <f t="shared" si="768"/>
        <v>1</v>
      </c>
      <c r="U8086" s="22">
        <f t="shared" si="769"/>
        <v>1900</v>
      </c>
      <c r="V8086" s="22" t="str">
        <f t="shared" si="770"/>
        <v>REGIONES</v>
      </c>
    </row>
    <row r="8087" spans="20:22" x14ac:dyDescent="0.2">
      <c r="T8087" s="22">
        <f t="shared" si="768"/>
        <v>1</v>
      </c>
      <c r="U8087" s="22">
        <f t="shared" si="769"/>
        <v>1900</v>
      </c>
      <c r="V8087" s="22" t="str">
        <f t="shared" si="770"/>
        <v>REGIONES</v>
      </c>
    </row>
    <row r="8088" spans="20:22" x14ac:dyDescent="0.2">
      <c r="T8088" s="22">
        <f t="shared" si="768"/>
        <v>1</v>
      </c>
      <c r="U8088" s="22">
        <f t="shared" si="769"/>
        <v>1900</v>
      </c>
      <c r="V8088" s="22" t="str">
        <f t="shared" si="770"/>
        <v>REGIONES</v>
      </c>
    </row>
    <row r="8089" spans="20:22" x14ac:dyDescent="0.2">
      <c r="T8089" s="22">
        <f t="shared" si="768"/>
        <v>1</v>
      </c>
      <c r="U8089" s="22">
        <f t="shared" si="769"/>
        <v>1900</v>
      </c>
      <c r="V8089" s="22" t="str">
        <f t="shared" si="770"/>
        <v>REGIONES</v>
      </c>
    </row>
    <row r="8090" spans="20:22" x14ac:dyDescent="0.2">
      <c r="T8090" s="22">
        <f t="shared" si="768"/>
        <v>1</v>
      </c>
      <c r="U8090" s="22">
        <f t="shared" si="769"/>
        <v>1900</v>
      </c>
      <c r="V8090" s="22" t="str">
        <f t="shared" si="770"/>
        <v>REGIONES</v>
      </c>
    </row>
    <row r="8091" spans="20:22" x14ac:dyDescent="0.2">
      <c r="T8091" s="22">
        <f t="shared" si="768"/>
        <v>1</v>
      </c>
      <c r="U8091" s="22">
        <f t="shared" si="769"/>
        <v>1900</v>
      </c>
      <c r="V8091" s="22" t="str">
        <f t="shared" si="770"/>
        <v>REGIONES</v>
      </c>
    </row>
    <row r="8092" spans="20:22" x14ac:dyDescent="0.2">
      <c r="T8092" s="22">
        <f t="shared" si="768"/>
        <v>1</v>
      </c>
      <c r="U8092" s="22">
        <f t="shared" si="769"/>
        <v>1900</v>
      </c>
      <c r="V8092" s="22" t="str">
        <f t="shared" si="770"/>
        <v>REGIONES</v>
      </c>
    </row>
    <row r="8093" spans="20:22" x14ac:dyDescent="0.2">
      <c r="T8093" s="22">
        <f t="shared" si="768"/>
        <v>1</v>
      </c>
      <c r="U8093" s="22">
        <f t="shared" si="769"/>
        <v>1900</v>
      </c>
      <c r="V8093" s="22" t="str">
        <f t="shared" si="770"/>
        <v>REGIONES</v>
      </c>
    </row>
    <row r="8094" spans="20:22" x14ac:dyDescent="0.2">
      <c r="T8094" s="22">
        <f t="shared" si="768"/>
        <v>1</v>
      </c>
      <c r="U8094" s="22">
        <f t="shared" si="769"/>
        <v>1900</v>
      </c>
      <c r="V8094" s="22" t="str">
        <f t="shared" si="770"/>
        <v>REGIONES</v>
      </c>
    </row>
    <row r="8095" spans="20:22" x14ac:dyDescent="0.2">
      <c r="T8095" s="22">
        <f t="shared" si="768"/>
        <v>1</v>
      </c>
      <c r="U8095" s="22">
        <f t="shared" si="769"/>
        <v>1900</v>
      </c>
      <c r="V8095" s="22" t="str">
        <f t="shared" si="770"/>
        <v>REGIONES</v>
      </c>
    </row>
    <row r="8096" spans="20:22" x14ac:dyDescent="0.2">
      <c r="T8096" s="22">
        <f t="shared" si="768"/>
        <v>1</v>
      </c>
      <c r="U8096" s="22">
        <f t="shared" si="769"/>
        <v>1900</v>
      </c>
      <c r="V8096" s="22" t="str">
        <f t="shared" si="770"/>
        <v>REGIONES</v>
      </c>
    </row>
    <row r="8097" spans="20:22" x14ac:dyDescent="0.2">
      <c r="T8097" s="22">
        <f t="shared" si="768"/>
        <v>1</v>
      </c>
      <c r="U8097" s="22">
        <f t="shared" si="769"/>
        <v>1900</v>
      </c>
      <c r="V8097" s="22" t="str">
        <f t="shared" si="770"/>
        <v>REGIONES</v>
      </c>
    </row>
    <row r="8098" spans="20:22" x14ac:dyDescent="0.2">
      <c r="T8098" s="22">
        <f t="shared" si="768"/>
        <v>1</v>
      </c>
      <c r="U8098" s="22">
        <f t="shared" si="769"/>
        <v>1900</v>
      </c>
      <c r="V8098" s="22" t="str">
        <f t="shared" si="770"/>
        <v>REGIONES</v>
      </c>
    </row>
    <row r="8099" spans="20:22" x14ac:dyDescent="0.2">
      <c r="T8099" s="22">
        <f t="shared" si="768"/>
        <v>1</v>
      </c>
      <c r="U8099" s="22">
        <f t="shared" si="769"/>
        <v>1900</v>
      </c>
      <c r="V8099" s="22" t="str">
        <f t="shared" si="770"/>
        <v>REGIONES</v>
      </c>
    </row>
    <row r="8100" spans="20:22" x14ac:dyDescent="0.2">
      <c r="T8100" s="22">
        <f t="shared" si="768"/>
        <v>1</v>
      </c>
      <c r="U8100" s="22">
        <f t="shared" si="769"/>
        <v>1900</v>
      </c>
      <c r="V8100" s="22" t="str">
        <f t="shared" si="770"/>
        <v>REGIONES</v>
      </c>
    </row>
    <row r="8101" spans="20:22" x14ac:dyDescent="0.2">
      <c r="T8101" s="22">
        <f t="shared" si="768"/>
        <v>1</v>
      </c>
      <c r="U8101" s="22">
        <f t="shared" si="769"/>
        <v>1900</v>
      </c>
      <c r="V8101" s="22" t="str">
        <f t="shared" si="770"/>
        <v>REGIONES</v>
      </c>
    </row>
    <row r="8102" spans="20:22" x14ac:dyDescent="0.2">
      <c r="T8102" s="22">
        <f t="shared" si="768"/>
        <v>1</v>
      </c>
      <c r="U8102" s="22">
        <f t="shared" si="769"/>
        <v>1900</v>
      </c>
      <c r="V8102" s="22" t="str">
        <f t="shared" si="770"/>
        <v>REGIONES</v>
      </c>
    </row>
    <row r="8103" spans="20:22" x14ac:dyDescent="0.2">
      <c r="T8103" s="22">
        <f t="shared" si="768"/>
        <v>1</v>
      </c>
      <c r="U8103" s="22">
        <f t="shared" si="769"/>
        <v>1900</v>
      </c>
      <c r="V8103" s="22" t="str">
        <f t="shared" si="770"/>
        <v>REGIONES</v>
      </c>
    </row>
    <row r="8104" spans="20:22" x14ac:dyDescent="0.2">
      <c r="T8104" s="22">
        <f t="shared" si="768"/>
        <v>1</v>
      </c>
      <c r="U8104" s="22">
        <f t="shared" si="769"/>
        <v>1900</v>
      </c>
      <c r="V8104" s="22" t="str">
        <f t="shared" si="770"/>
        <v>REGIONES</v>
      </c>
    </row>
    <row r="8105" spans="20:22" x14ac:dyDescent="0.2">
      <c r="T8105" s="22">
        <f t="shared" si="768"/>
        <v>1</v>
      </c>
      <c r="U8105" s="22">
        <f t="shared" si="769"/>
        <v>1900</v>
      </c>
      <c r="V8105" s="22" t="str">
        <f t="shared" si="770"/>
        <v>REGIONES</v>
      </c>
    </row>
    <row r="8106" spans="20:22" x14ac:dyDescent="0.2">
      <c r="T8106" s="22">
        <f t="shared" si="768"/>
        <v>1</v>
      </c>
      <c r="U8106" s="22">
        <f t="shared" si="769"/>
        <v>1900</v>
      </c>
      <c r="V8106" s="22" t="str">
        <f t="shared" si="770"/>
        <v>REGIONES</v>
      </c>
    </row>
    <row r="8107" spans="20:22" x14ac:dyDescent="0.2">
      <c r="T8107" s="22">
        <f t="shared" si="768"/>
        <v>1</v>
      </c>
      <c r="U8107" s="22">
        <f t="shared" si="769"/>
        <v>1900</v>
      </c>
      <c r="V8107" s="22" t="str">
        <f t="shared" si="770"/>
        <v>REGIONES</v>
      </c>
    </row>
    <row r="8108" spans="20:22" x14ac:dyDescent="0.2">
      <c r="T8108" s="22">
        <f t="shared" si="768"/>
        <v>1</v>
      </c>
      <c r="U8108" s="22">
        <f t="shared" si="769"/>
        <v>1900</v>
      </c>
      <c r="V8108" s="22" t="str">
        <f t="shared" si="770"/>
        <v>REGIONES</v>
      </c>
    </row>
    <row r="8109" spans="20:22" x14ac:dyDescent="0.2">
      <c r="T8109" s="22">
        <f t="shared" si="768"/>
        <v>1</v>
      </c>
      <c r="U8109" s="22">
        <f t="shared" si="769"/>
        <v>1900</v>
      </c>
      <c r="V8109" s="22" t="str">
        <f t="shared" si="770"/>
        <v>REGIONES</v>
      </c>
    </row>
    <row r="8110" spans="20:22" x14ac:dyDescent="0.2">
      <c r="T8110" s="22">
        <f t="shared" si="768"/>
        <v>1</v>
      </c>
      <c r="U8110" s="22">
        <f t="shared" si="769"/>
        <v>1900</v>
      </c>
      <c r="V8110" s="22" t="str">
        <f t="shared" si="770"/>
        <v>REGIONES</v>
      </c>
    </row>
    <row r="8111" spans="20:22" x14ac:dyDescent="0.2">
      <c r="T8111" s="22">
        <f t="shared" si="768"/>
        <v>1</v>
      </c>
      <c r="U8111" s="22">
        <f t="shared" si="769"/>
        <v>1900</v>
      </c>
      <c r="V8111" s="22" t="str">
        <f t="shared" si="770"/>
        <v>REGIONES</v>
      </c>
    </row>
    <row r="8112" spans="20:22" x14ac:dyDescent="0.2">
      <c r="T8112" s="22">
        <f t="shared" si="768"/>
        <v>1</v>
      </c>
      <c r="U8112" s="22">
        <f t="shared" si="769"/>
        <v>1900</v>
      </c>
      <c r="V8112" s="22" t="str">
        <f t="shared" si="770"/>
        <v>REGIONES</v>
      </c>
    </row>
    <row r="8113" spans="20:22" x14ac:dyDescent="0.2">
      <c r="T8113" s="22">
        <f t="shared" si="768"/>
        <v>1</v>
      </c>
      <c r="U8113" s="22">
        <f t="shared" si="769"/>
        <v>1900</v>
      </c>
      <c r="V8113" s="22" t="str">
        <f t="shared" si="770"/>
        <v>REGIONES</v>
      </c>
    </row>
    <row r="8114" spans="20:22" x14ac:dyDescent="0.2">
      <c r="T8114" s="22">
        <f t="shared" si="768"/>
        <v>1</v>
      </c>
      <c r="U8114" s="22">
        <f t="shared" si="769"/>
        <v>1900</v>
      </c>
      <c r="V8114" s="22" t="str">
        <f t="shared" si="770"/>
        <v>REGIONES</v>
      </c>
    </row>
    <row r="8115" spans="20:22" x14ac:dyDescent="0.2">
      <c r="T8115" s="22">
        <f t="shared" si="768"/>
        <v>1</v>
      </c>
      <c r="U8115" s="22">
        <f t="shared" si="769"/>
        <v>1900</v>
      </c>
      <c r="V8115" s="22" t="str">
        <f t="shared" si="770"/>
        <v>REGIONES</v>
      </c>
    </row>
    <row r="8116" spans="20:22" x14ac:dyDescent="0.2">
      <c r="T8116" s="22">
        <f t="shared" si="768"/>
        <v>1</v>
      </c>
      <c r="U8116" s="22">
        <f t="shared" si="769"/>
        <v>1900</v>
      </c>
      <c r="V8116" s="22" t="str">
        <f t="shared" si="770"/>
        <v>REGIONES</v>
      </c>
    </row>
    <row r="8117" spans="20:22" x14ac:dyDescent="0.2">
      <c r="T8117" s="22">
        <f t="shared" si="768"/>
        <v>1</v>
      </c>
      <c r="U8117" s="22">
        <f t="shared" si="769"/>
        <v>1900</v>
      </c>
      <c r="V8117" s="22" t="str">
        <f t="shared" si="770"/>
        <v>REGIONES</v>
      </c>
    </row>
    <row r="8118" spans="20:22" x14ac:dyDescent="0.2">
      <c r="T8118" s="22">
        <f t="shared" si="768"/>
        <v>1</v>
      </c>
      <c r="U8118" s="22">
        <f t="shared" si="769"/>
        <v>1900</v>
      </c>
      <c r="V8118" s="22" t="str">
        <f t="shared" si="770"/>
        <v>REGIONES</v>
      </c>
    </row>
    <row r="8119" spans="20:22" x14ac:dyDescent="0.2">
      <c r="T8119" s="22">
        <f t="shared" si="768"/>
        <v>1</v>
      </c>
      <c r="U8119" s="22">
        <f t="shared" si="769"/>
        <v>1900</v>
      </c>
      <c r="V8119" s="22" t="str">
        <f t="shared" si="770"/>
        <v>REGIONES</v>
      </c>
    </row>
    <row r="8120" spans="20:22" x14ac:dyDescent="0.2">
      <c r="T8120" s="22">
        <f t="shared" si="768"/>
        <v>1</v>
      </c>
      <c r="U8120" s="22">
        <f t="shared" si="769"/>
        <v>1900</v>
      </c>
      <c r="V8120" s="22" t="str">
        <f t="shared" si="770"/>
        <v>REGIONES</v>
      </c>
    </row>
    <row r="8121" spans="20:22" x14ac:dyDescent="0.2">
      <c r="T8121" s="22">
        <f t="shared" si="768"/>
        <v>1</v>
      </c>
      <c r="U8121" s="22">
        <f t="shared" si="769"/>
        <v>1900</v>
      </c>
      <c r="V8121" s="22" t="str">
        <f t="shared" si="770"/>
        <v>REGIONES</v>
      </c>
    </row>
    <row r="8122" spans="20:22" x14ac:dyDescent="0.2">
      <c r="T8122" s="22">
        <f t="shared" si="768"/>
        <v>1</v>
      </c>
      <c r="U8122" s="22">
        <f t="shared" si="769"/>
        <v>1900</v>
      </c>
      <c r="V8122" s="22" t="str">
        <f t="shared" si="770"/>
        <v>REGIONES</v>
      </c>
    </row>
    <row r="8123" spans="20:22" x14ac:dyDescent="0.2">
      <c r="T8123" s="22">
        <f t="shared" si="768"/>
        <v>1</v>
      </c>
      <c r="U8123" s="22">
        <f t="shared" si="769"/>
        <v>1900</v>
      </c>
      <c r="V8123" s="22" t="str">
        <f t="shared" si="770"/>
        <v>REGIONES</v>
      </c>
    </row>
    <row r="8124" spans="20:22" x14ac:dyDescent="0.2">
      <c r="T8124" s="22">
        <f t="shared" si="768"/>
        <v>1</v>
      </c>
      <c r="U8124" s="22">
        <f t="shared" si="769"/>
        <v>1900</v>
      </c>
      <c r="V8124" s="22" t="str">
        <f t="shared" si="770"/>
        <v>REGIONES</v>
      </c>
    </row>
    <row r="8125" spans="20:22" x14ac:dyDescent="0.2">
      <c r="T8125" s="22">
        <f t="shared" si="768"/>
        <v>1</v>
      </c>
      <c r="U8125" s="22">
        <f t="shared" si="769"/>
        <v>1900</v>
      </c>
      <c r="V8125" s="22" t="str">
        <f t="shared" si="770"/>
        <v>REGIONES</v>
      </c>
    </row>
    <row r="8126" spans="20:22" x14ac:dyDescent="0.2">
      <c r="T8126" s="22">
        <f t="shared" si="768"/>
        <v>1</v>
      </c>
      <c r="U8126" s="22">
        <f t="shared" si="769"/>
        <v>1900</v>
      </c>
      <c r="V8126" s="22" t="str">
        <f t="shared" si="770"/>
        <v>REGIONES</v>
      </c>
    </row>
    <row r="8127" spans="20:22" x14ac:dyDescent="0.2">
      <c r="T8127" s="22">
        <f t="shared" si="768"/>
        <v>1</v>
      </c>
      <c r="U8127" s="22">
        <f t="shared" si="769"/>
        <v>1900</v>
      </c>
      <c r="V8127" s="22" t="str">
        <f t="shared" si="770"/>
        <v>REGIONES</v>
      </c>
    </row>
    <row r="8128" spans="20:22" x14ac:dyDescent="0.2">
      <c r="T8128" s="22">
        <f t="shared" si="768"/>
        <v>1</v>
      </c>
      <c r="U8128" s="22">
        <f t="shared" si="769"/>
        <v>1900</v>
      </c>
      <c r="V8128" s="22" t="str">
        <f t="shared" si="770"/>
        <v>REGIONES</v>
      </c>
    </row>
    <row r="8129" spans="20:22" x14ac:dyDescent="0.2">
      <c r="T8129" s="22">
        <f t="shared" si="768"/>
        <v>1</v>
      </c>
      <c r="U8129" s="22">
        <f t="shared" si="769"/>
        <v>1900</v>
      </c>
      <c r="V8129" s="22" t="str">
        <f t="shared" si="770"/>
        <v>REGIONES</v>
      </c>
    </row>
    <row r="8130" spans="20:22" x14ac:dyDescent="0.2">
      <c r="T8130" s="22">
        <f t="shared" ref="T8130:T8193" si="771">MONTH(A8130)</f>
        <v>1</v>
      </c>
      <c r="U8130" s="22">
        <f t="shared" ref="U8130:U8193" si="772">YEAR(A8130)</f>
        <v>1900</v>
      </c>
      <c r="V8130" s="22" t="str">
        <f t="shared" ref="V8130:V8193" si="773">IF(K8130="METROPOLITANA DE SANTIAGO","METROPOLITANA","REGIONES")</f>
        <v>REGIONES</v>
      </c>
    </row>
    <row r="8131" spans="20:22" x14ac:dyDescent="0.2">
      <c r="T8131" s="22">
        <f t="shared" si="771"/>
        <v>1</v>
      </c>
      <c r="U8131" s="22">
        <f t="shared" si="772"/>
        <v>1900</v>
      </c>
      <c r="V8131" s="22" t="str">
        <f t="shared" si="773"/>
        <v>REGIONES</v>
      </c>
    </row>
    <row r="8132" spans="20:22" x14ac:dyDescent="0.2">
      <c r="T8132" s="22">
        <f t="shared" si="771"/>
        <v>1</v>
      </c>
      <c r="U8132" s="22">
        <f t="shared" si="772"/>
        <v>1900</v>
      </c>
      <c r="V8132" s="22" t="str">
        <f t="shared" si="773"/>
        <v>REGIONES</v>
      </c>
    </row>
    <row r="8133" spans="20:22" x14ac:dyDescent="0.2">
      <c r="T8133" s="22">
        <f t="shared" si="771"/>
        <v>1</v>
      </c>
      <c r="U8133" s="22">
        <f t="shared" si="772"/>
        <v>1900</v>
      </c>
      <c r="V8133" s="22" t="str">
        <f t="shared" si="773"/>
        <v>REGIONES</v>
      </c>
    </row>
    <row r="8134" spans="20:22" x14ac:dyDescent="0.2">
      <c r="T8134" s="22">
        <f t="shared" si="771"/>
        <v>1</v>
      </c>
      <c r="U8134" s="22">
        <f t="shared" si="772"/>
        <v>1900</v>
      </c>
      <c r="V8134" s="22" t="str">
        <f t="shared" si="773"/>
        <v>REGIONES</v>
      </c>
    </row>
    <row r="8135" spans="20:22" x14ac:dyDescent="0.2">
      <c r="T8135" s="22">
        <f t="shared" si="771"/>
        <v>1</v>
      </c>
      <c r="U8135" s="22">
        <f t="shared" si="772"/>
        <v>1900</v>
      </c>
      <c r="V8135" s="22" t="str">
        <f t="shared" si="773"/>
        <v>REGIONES</v>
      </c>
    </row>
    <row r="8136" spans="20:22" x14ac:dyDescent="0.2">
      <c r="T8136" s="22">
        <f t="shared" si="771"/>
        <v>1</v>
      </c>
      <c r="U8136" s="22">
        <f t="shared" si="772"/>
        <v>1900</v>
      </c>
      <c r="V8136" s="22" t="str">
        <f t="shared" si="773"/>
        <v>REGIONES</v>
      </c>
    </row>
    <row r="8137" spans="20:22" x14ac:dyDescent="0.2">
      <c r="T8137" s="22">
        <f t="shared" si="771"/>
        <v>1</v>
      </c>
      <c r="U8137" s="22">
        <f t="shared" si="772"/>
        <v>1900</v>
      </c>
      <c r="V8137" s="22" t="str">
        <f t="shared" si="773"/>
        <v>REGIONES</v>
      </c>
    </row>
    <row r="8138" spans="20:22" x14ac:dyDescent="0.2">
      <c r="T8138" s="22">
        <f t="shared" si="771"/>
        <v>1</v>
      </c>
      <c r="U8138" s="22">
        <f t="shared" si="772"/>
        <v>1900</v>
      </c>
      <c r="V8138" s="22" t="str">
        <f t="shared" si="773"/>
        <v>REGIONES</v>
      </c>
    </row>
    <row r="8139" spans="20:22" x14ac:dyDescent="0.2">
      <c r="T8139" s="22">
        <f t="shared" si="771"/>
        <v>1</v>
      </c>
      <c r="U8139" s="22">
        <f t="shared" si="772"/>
        <v>1900</v>
      </c>
      <c r="V8139" s="22" t="str">
        <f t="shared" si="773"/>
        <v>REGIONES</v>
      </c>
    </row>
    <row r="8140" spans="20:22" x14ac:dyDescent="0.2">
      <c r="T8140" s="22">
        <f t="shared" si="771"/>
        <v>1</v>
      </c>
      <c r="U8140" s="22">
        <f t="shared" si="772"/>
        <v>1900</v>
      </c>
      <c r="V8140" s="22" t="str">
        <f t="shared" si="773"/>
        <v>REGIONES</v>
      </c>
    </row>
    <row r="8141" spans="20:22" x14ac:dyDescent="0.2">
      <c r="T8141" s="22">
        <f t="shared" si="771"/>
        <v>1</v>
      </c>
      <c r="U8141" s="22">
        <f t="shared" si="772"/>
        <v>1900</v>
      </c>
      <c r="V8141" s="22" t="str">
        <f t="shared" si="773"/>
        <v>REGIONES</v>
      </c>
    </row>
    <row r="8142" spans="20:22" x14ac:dyDescent="0.2">
      <c r="T8142" s="22">
        <f t="shared" si="771"/>
        <v>1</v>
      </c>
      <c r="U8142" s="22">
        <f t="shared" si="772"/>
        <v>1900</v>
      </c>
      <c r="V8142" s="22" t="str">
        <f t="shared" si="773"/>
        <v>REGIONES</v>
      </c>
    </row>
    <row r="8143" spans="20:22" x14ac:dyDescent="0.2">
      <c r="T8143" s="22">
        <f t="shared" si="771"/>
        <v>1</v>
      </c>
      <c r="U8143" s="22">
        <f t="shared" si="772"/>
        <v>1900</v>
      </c>
      <c r="V8143" s="22" t="str">
        <f t="shared" si="773"/>
        <v>REGIONES</v>
      </c>
    </row>
    <row r="8144" spans="20:22" x14ac:dyDescent="0.2">
      <c r="T8144" s="22">
        <f t="shared" si="771"/>
        <v>1</v>
      </c>
      <c r="U8144" s="22">
        <f t="shared" si="772"/>
        <v>1900</v>
      </c>
      <c r="V8144" s="22" t="str">
        <f t="shared" si="773"/>
        <v>REGIONES</v>
      </c>
    </row>
    <row r="8145" spans="20:22" x14ac:dyDescent="0.2">
      <c r="T8145" s="22">
        <f t="shared" si="771"/>
        <v>1</v>
      </c>
      <c r="U8145" s="22">
        <f t="shared" si="772"/>
        <v>1900</v>
      </c>
      <c r="V8145" s="22" t="str">
        <f t="shared" si="773"/>
        <v>REGIONES</v>
      </c>
    </row>
    <row r="8146" spans="20:22" x14ac:dyDescent="0.2">
      <c r="T8146" s="22">
        <f t="shared" si="771"/>
        <v>1</v>
      </c>
      <c r="U8146" s="22">
        <f t="shared" si="772"/>
        <v>1900</v>
      </c>
      <c r="V8146" s="22" t="str">
        <f t="shared" si="773"/>
        <v>REGIONES</v>
      </c>
    </row>
    <row r="8147" spans="20:22" x14ac:dyDescent="0.2">
      <c r="T8147" s="22">
        <f t="shared" si="771"/>
        <v>1</v>
      </c>
      <c r="U8147" s="22">
        <f t="shared" si="772"/>
        <v>1900</v>
      </c>
      <c r="V8147" s="22" t="str">
        <f t="shared" si="773"/>
        <v>REGIONES</v>
      </c>
    </row>
    <row r="8148" spans="20:22" x14ac:dyDescent="0.2">
      <c r="T8148" s="22">
        <f t="shared" si="771"/>
        <v>1</v>
      </c>
      <c r="U8148" s="22">
        <f t="shared" si="772"/>
        <v>1900</v>
      </c>
      <c r="V8148" s="22" t="str">
        <f t="shared" si="773"/>
        <v>REGIONES</v>
      </c>
    </row>
    <row r="8149" spans="20:22" x14ac:dyDescent="0.2">
      <c r="T8149" s="22">
        <f t="shared" si="771"/>
        <v>1</v>
      </c>
      <c r="U8149" s="22">
        <f t="shared" si="772"/>
        <v>1900</v>
      </c>
      <c r="V8149" s="22" t="str">
        <f t="shared" si="773"/>
        <v>REGIONES</v>
      </c>
    </row>
    <row r="8150" spans="20:22" x14ac:dyDescent="0.2">
      <c r="T8150" s="22">
        <f t="shared" si="771"/>
        <v>1</v>
      </c>
      <c r="U8150" s="22">
        <f t="shared" si="772"/>
        <v>1900</v>
      </c>
      <c r="V8150" s="22" t="str">
        <f t="shared" si="773"/>
        <v>REGIONES</v>
      </c>
    </row>
    <row r="8151" spans="20:22" x14ac:dyDescent="0.2">
      <c r="T8151" s="22">
        <f t="shared" si="771"/>
        <v>1</v>
      </c>
      <c r="U8151" s="22">
        <f t="shared" si="772"/>
        <v>1900</v>
      </c>
      <c r="V8151" s="22" t="str">
        <f t="shared" si="773"/>
        <v>REGIONES</v>
      </c>
    </row>
    <row r="8152" spans="20:22" x14ac:dyDescent="0.2">
      <c r="T8152" s="22">
        <f t="shared" si="771"/>
        <v>1</v>
      </c>
      <c r="U8152" s="22">
        <f t="shared" si="772"/>
        <v>1900</v>
      </c>
      <c r="V8152" s="22" t="str">
        <f t="shared" si="773"/>
        <v>REGIONES</v>
      </c>
    </row>
    <row r="8153" spans="20:22" x14ac:dyDescent="0.2">
      <c r="T8153" s="22">
        <f t="shared" si="771"/>
        <v>1</v>
      </c>
      <c r="U8153" s="22">
        <f t="shared" si="772"/>
        <v>1900</v>
      </c>
      <c r="V8153" s="22" t="str">
        <f t="shared" si="773"/>
        <v>REGIONES</v>
      </c>
    </row>
    <row r="8154" spans="20:22" x14ac:dyDescent="0.2">
      <c r="T8154" s="22">
        <f t="shared" si="771"/>
        <v>1</v>
      </c>
      <c r="U8154" s="22">
        <f t="shared" si="772"/>
        <v>1900</v>
      </c>
      <c r="V8154" s="22" t="str">
        <f t="shared" si="773"/>
        <v>REGIONES</v>
      </c>
    </row>
    <row r="8155" spans="20:22" x14ac:dyDescent="0.2">
      <c r="T8155" s="22">
        <f t="shared" si="771"/>
        <v>1</v>
      </c>
      <c r="U8155" s="22">
        <f t="shared" si="772"/>
        <v>1900</v>
      </c>
      <c r="V8155" s="22" t="str">
        <f t="shared" si="773"/>
        <v>REGIONES</v>
      </c>
    </row>
    <row r="8156" spans="20:22" x14ac:dyDescent="0.2">
      <c r="T8156" s="22">
        <f t="shared" si="771"/>
        <v>1</v>
      </c>
      <c r="U8156" s="22">
        <f t="shared" si="772"/>
        <v>1900</v>
      </c>
      <c r="V8156" s="22" t="str">
        <f t="shared" si="773"/>
        <v>REGIONES</v>
      </c>
    </row>
    <row r="8157" spans="20:22" x14ac:dyDescent="0.2">
      <c r="T8157" s="22">
        <f t="shared" si="771"/>
        <v>1</v>
      </c>
      <c r="U8157" s="22">
        <f t="shared" si="772"/>
        <v>1900</v>
      </c>
      <c r="V8157" s="22" t="str">
        <f t="shared" si="773"/>
        <v>REGIONES</v>
      </c>
    </row>
    <row r="8158" spans="20:22" x14ac:dyDescent="0.2">
      <c r="T8158" s="22">
        <f t="shared" si="771"/>
        <v>1</v>
      </c>
      <c r="U8158" s="22">
        <f t="shared" si="772"/>
        <v>1900</v>
      </c>
      <c r="V8158" s="22" t="str">
        <f t="shared" si="773"/>
        <v>REGIONES</v>
      </c>
    </row>
    <row r="8159" spans="20:22" x14ac:dyDescent="0.2">
      <c r="T8159" s="22">
        <f t="shared" si="771"/>
        <v>1</v>
      </c>
      <c r="U8159" s="22">
        <f t="shared" si="772"/>
        <v>1900</v>
      </c>
      <c r="V8159" s="22" t="str">
        <f t="shared" si="773"/>
        <v>REGIONES</v>
      </c>
    </row>
    <row r="8160" spans="20:22" x14ac:dyDescent="0.2">
      <c r="T8160" s="22">
        <f t="shared" si="771"/>
        <v>1</v>
      </c>
      <c r="U8160" s="22">
        <f t="shared" si="772"/>
        <v>1900</v>
      </c>
      <c r="V8160" s="22" t="str">
        <f t="shared" si="773"/>
        <v>REGIONES</v>
      </c>
    </row>
    <row r="8161" spans="20:22" x14ac:dyDescent="0.2">
      <c r="T8161" s="22">
        <f t="shared" si="771"/>
        <v>1</v>
      </c>
      <c r="U8161" s="22">
        <f t="shared" si="772"/>
        <v>1900</v>
      </c>
      <c r="V8161" s="22" t="str">
        <f t="shared" si="773"/>
        <v>REGIONES</v>
      </c>
    </row>
    <row r="8162" spans="20:22" x14ac:dyDescent="0.2">
      <c r="T8162" s="22">
        <f t="shared" si="771"/>
        <v>1</v>
      </c>
      <c r="U8162" s="22">
        <f t="shared" si="772"/>
        <v>1900</v>
      </c>
      <c r="V8162" s="22" t="str">
        <f t="shared" si="773"/>
        <v>REGIONES</v>
      </c>
    </row>
    <row r="8163" spans="20:22" x14ac:dyDescent="0.2">
      <c r="T8163" s="22">
        <f t="shared" si="771"/>
        <v>1</v>
      </c>
      <c r="U8163" s="22">
        <f t="shared" si="772"/>
        <v>1900</v>
      </c>
      <c r="V8163" s="22" t="str">
        <f t="shared" si="773"/>
        <v>REGIONES</v>
      </c>
    </row>
    <row r="8164" spans="20:22" x14ac:dyDescent="0.2">
      <c r="T8164" s="22">
        <f t="shared" si="771"/>
        <v>1</v>
      </c>
      <c r="U8164" s="22">
        <f t="shared" si="772"/>
        <v>1900</v>
      </c>
      <c r="V8164" s="22" t="str">
        <f t="shared" si="773"/>
        <v>REGIONES</v>
      </c>
    </row>
    <row r="8165" spans="20:22" x14ac:dyDescent="0.2">
      <c r="T8165" s="22">
        <f t="shared" si="771"/>
        <v>1</v>
      </c>
      <c r="U8165" s="22">
        <f t="shared" si="772"/>
        <v>1900</v>
      </c>
      <c r="V8165" s="22" t="str">
        <f t="shared" si="773"/>
        <v>REGIONES</v>
      </c>
    </row>
    <row r="8166" spans="20:22" x14ac:dyDescent="0.2">
      <c r="T8166" s="22">
        <f t="shared" si="771"/>
        <v>1</v>
      </c>
      <c r="U8166" s="22">
        <f t="shared" si="772"/>
        <v>1900</v>
      </c>
      <c r="V8166" s="22" t="str">
        <f t="shared" si="773"/>
        <v>REGIONES</v>
      </c>
    </row>
    <row r="8167" spans="20:22" x14ac:dyDescent="0.2">
      <c r="T8167" s="22">
        <f t="shared" si="771"/>
        <v>1</v>
      </c>
      <c r="U8167" s="22">
        <f t="shared" si="772"/>
        <v>1900</v>
      </c>
      <c r="V8167" s="22" t="str">
        <f t="shared" si="773"/>
        <v>REGIONES</v>
      </c>
    </row>
    <row r="8168" spans="20:22" x14ac:dyDescent="0.2">
      <c r="T8168" s="22">
        <f t="shared" si="771"/>
        <v>1</v>
      </c>
      <c r="U8168" s="22">
        <f t="shared" si="772"/>
        <v>1900</v>
      </c>
      <c r="V8168" s="22" t="str">
        <f t="shared" si="773"/>
        <v>REGIONES</v>
      </c>
    </row>
    <row r="8169" spans="20:22" x14ac:dyDescent="0.2">
      <c r="T8169" s="22">
        <f t="shared" si="771"/>
        <v>1</v>
      </c>
      <c r="U8169" s="22">
        <f t="shared" si="772"/>
        <v>1900</v>
      </c>
      <c r="V8169" s="22" t="str">
        <f t="shared" si="773"/>
        <v>REGIONES</v>
      </c>
    </row>
    <row r="8170" spans="20:22" x14ac:dyDescent="0.2">
      <c r="T8170" s="22">
        <f t="shared" si="771"/>
        <v>1</v>
      </c>
      <c r="U8170" s="22">
        <f t="shared" si="772"/>
        <v>1900</v>
      </c>
      <c r="V8170" s="22" t="str">
        <f t="shared" si="773"/>
        <v>REGIONES</v>
      </c>
    </row>
    <row r="8171" spans="20:22" x14ac:dyDescent="0.2">
      <c r="T8171" s="22">
        <f t="shared" si="771"/>
        <v>1</v>
      </c>
      <c r="U8171" s="22">
        <f t="shared" si="772"/>
        <v>1900</v>
      </c>
      <c r="V8171" s="22" t="str">
        <f t="shared" si="773"/>
        <v>REGIONES</v>
      </c>
    </row>
    <row r="8172" spans="20:22" x14ac:dyDescent="0.2">
      <c r="T8172" s="22">
        <f t="shared" si="771"/>
        <v>1</v>
      </c>
      <c r="U8172" s="22">
        <f t="shared" si="772"/>
        <v>1900</v>
      </c>
      <c r="V8172" s="22" t="str">
        <f t="shared" si="773"/>
        <v>REGIONES</v>
      </c>
    </row>
    <row r="8173" spans="20:22" x14ac:dyDescent="0.2">
      <c r="T8173" s="22">
        <f t="shared" si="771"/>
        <v>1</v>
      </c>
      <c r="U8173" s="22">
        <f t="shared" si="772"/>
        <v>1900</v>
      </c>
      <c r="V8173" s="22" t="str">
        <f t="shared" si="773"/>
        <v>REGIONES</v>
      </c>
    </row>
    <row r="8174" spans="20:22" x14ac:dyDescent="0.2">
      <c r="T8174" s="22">
        <f t="shared" si="771"/>
        <v>1</v>
      </c>
      <c r="U8174" s="22">
        <f t="shared" si="772"/>
        <v>1900</v>
      </c>
      <c r="V8174" s="22" t="str">
        <f t="shared" si="773"/>
        <v>REGIONES</v>
      </c>
    </row>
    <row r="8175" spans="20:22" x14ac:dyDescent="0.2">
      <c r="T8175" s="22">
        <f t="shared" si="771"/>
        <v>1</v>
      </c>
      <c r="U8175" s="22">
        <f t="shared" si="772"/>
        <v>1900</v>
      </c>
      <c r="V8175" s="22" t="str">
        <f t="shared" si="773"/>
        <v>REGIONES</v>
      </c>
    </row>
    <row r="8176" spans="20:22" x14ac:dyDescent="0.2">
      <c r="T8176" s="22">
        <f t="shared" si="771"/>
        <v>1</v>
      </c>
      <c r="U8176" s="22">
        <f t="shared" si="772"/>
        <v>1900</v>
      </c>
      <c r="V8176" s="22" t="str">
        <f t="shared" si="773"/>
        <v>REGIONES</v>
      </c>
    </row>
    <row r="8177" spans="20:22" x14ac:dyDescent="0.2">
      <c r="T8177" s="22">
        <f t="shared" si="771"/>
        <v>1</v>
      </c>
      <c r="U8177" s="22">
        <f t="shared" si="772"/>
        <v>1900</v>
      </c>
      <c r="V8177" s="22" t="str">
        <f t="shared" si="773"/>
        <v>REGIONES</v>
      </c>
    </row>
    <row r="8178" spans="20:22" x14ac:dyDescent="0.2">
      <c r="T8178" s="22">
        <f t="shared" si="771"/>
        <v>1</v>
      </c>
      <c r="U8178" s="22">
        <f t="shared" si="772"/>
        <v>1900</v>
      </c>
      <c r="V8178" s="22" t="str">
        <f t="shared" si="773"/>
        <v>REGIONES</v>
      </c>
    </row>
    <row r="8179" spans="20:22" x14ac:dyDescent="0.2">
      <c r="T8179" s="22">
        <f t="shared" si="771"/>
        <v>1</v>
      </c>
      <c r="U8179" s="22">
        <f t="shared" si="772"/>
        <v>1900</v>
      </c>
      <c r="V8179" s="22" t="str">
        <f t="shared" si="773"/>
        <v>REGIONES</v>
      </c>
    </row>
    <row r="8180" spans="20:22" x14ac:dyDescent="0.2">
      <c r="T8180" s="22">
        <f t="shared" si="771"/>
        <v>1</v>
      </c>
      <c r="U8180" s="22">
        <f t="shared" si="772"/>
        <v>1900</v>
      </c>
      <c r="V8180" s="22" t="str">
        <f t="shared" si="773"/>
        <v>REGIONES</v>
      </c>
    </row>
    <row r="8181" spans="20:22" x14ac:dyDescent="0.2">
      <c r="T8181" s="22">
        <f t="shared" si="771"/>
        <v>1</v>
      </c>
      <c r="U8181" s="22">
        <f t="shared" si="772"/>
        <v>1900</v>
      </c>
      <c r="V8181" s="22" t="str">
        <f t="shared" si="773"/>
        <v>REGIONES</v>
      </c>
    </row>
    <row r="8182" spans="20:22" x14ac:dyDescent="0.2">
      <c r="T8182" s="22">
        <f t="shared" si="771"/>
        <v>1</v>
      </c>
      <c r="U8182" s="22">
        <f t="shared" si="772"/>
        <v>1900</v>
      </c>
      <c r="V8182" s="22" t="str">
        <f t="shared" si="773"/>
        <v>REGIONES</v>
      </c>
    </row>
    <row r="8183" spans="20:22" x14ac:dyDescent="0.2">
      <c r="T8183" s="22">
        <f t="shared" si="771"/>
        <v>1</v>
      </c>
      <c r="U8183" s="22">
        <f t="shared" si="772"/>
        <v>1900</v>
      </c>
      <c r="V8183" s="22" t="str">
        <f t="shared" si="773"/>
        <v>REGIONES</v>
      </c>
    </row>
    <row r="8184" spans="20:22" x14ac:dyDescent="0.2">
      <c r="T8184" s="22">
        <f t="shared" si="771"/>
        <v>1</v>
      </c>
      <c r="U8184" s="22">
        <f t="shared" si="772"/>
        <v>1900</v>
      </c>
      <c r="V8184" s="22" t="str">
        <f t="shared" si="773"/>
        <v>REGIONES</v>
      </c>
    </row>
    <row r="8185" spans="20:22" x14ac:dyDescent="0.2">
      <c r="T8185" s="22">
        <f t="shared" si="771"/>
        <v>1</v>
      </c>
      <c r="U8185" s="22">
        <f t="shared" si="772"/>
        <v>1900</v>
      </c>
      <c r="V8185" s="22" t="str">
        <f t="shared" si="773"/>
        <v>REGIONES</v>
      </c>
    </row>
    <row r="8186" spans="20:22" x14ac:dyDescent="0.2">
      <c r="T8186" s="22">
        <f t="shared" si="771"/>
        <v>1</v>
      </c>
      <c r="U8186" s="22">
        <f t="shared" si="772"/>
        <v>1900</v>
      </c>
      <c r="V8186" s="22" t="str">
        <f t="shared" si="773"/>
        <v>REGIONES</v>
      </c>
    </row>
    <row r="8187" spans="20:22" x14ac:dyDescent="0.2">
      <c r="T8187" s="22">
        <f t="shared" si="771"/>
        <v>1</v>
      </c>
      <c r="U8187" s="22">
        <f t="shared" si="772"/>
        <v>1900</v>
      </c>
      <c r="V8187" s="22" t="str">
        <f t="shared" si="773"/>
        <v>REGIONES</v>
      </c>
    </row>
    <row r="8188" spans="20:22" x14ac:dyDescent="0.2">
      <c r="T8188" s="22">
        <f t="shared" si="771"/>
        <v>1</v>
      </c>
      <c r="U8188" s="22">
        <f t="shared" si="772"/>
        <v>1900</v>
      </c>
      <c r="V8188" s="22" t="str">
        <f t="shared" si="773"/>
        <v>REGIONES</v>
      </c>
    </row>
    <row r="8189" spans="20:22" x14ac:dyDescent="0.2">
      <c r="T8189" s="22">
        <f t="shared" si="771"/>
        <v>1</v>
      </c>
      <c r="U8189" s="22">
        <f t="shared" si="772"/>
        <v>1900</v>
      </c>
      <c r="V8189" s="22" t="str">
        <f t="shared" si="773"/>
        <v>REGIONES</v>
      </c>
    </row>
    <row r="8190" spans="20:22" x14ac:dyDescent="0.2">
      <c r="T8190" s="22">
        <f t="shared" si="771"/>
        <v>1</v>
      </c>
      <c r="U8190" s="22">
        <f t="shared" si="772"/>
        <v>1900</v>
      </c>
      <c r="V8190" s="22" t="str">
        <f t="shared" si="773"/>
        <v>REGIONES</v>
      </c>
    </row>
    <row r="8191" spans="20:22" x14ac:dyDescent="0.2">
      <c r="T8191" s="22">
        <f t="shared" si="771"/>
        <v>1</v>
      </c>
      <c r="U8191" s="22">
        <f t="shared" si="772"/>
        <v>1900</v>
      </c>
      <c r="V8191" s="22" t="str">
        <f t="shared" si="773"/>
        <v>REGIONES</v>
      </c>
    </row>
    <row r="8192" spans="20:22" x14ac:dyDescent="0.2">
      <c r="T8192" s="22">
        <f t="shared" si="771"/>
        <v>1</v>
      </c>
      <c r="U8192" s="22">
        <f t="shared" si="772"/>
        <v>1900</v>
      </c>
      <c r="V8192" s="22" t="str">
        <f t="shared" si="773"/>
        <v>REGIONES</v>
      </c>
    </row>
    <row r="8193" spans="20:22" x14ac:dyDescent="0.2">
      <c r="T8193" s="22">
        <f t="shared" si="771"/>
        <v>1</v>
      </c>
      <c r="U8193" s="22">
        <f t="shared" si="772"/>
        <v>1900</v>
      </c>
      <c r="V8193" s="22" t="str">
        <f t="shared" si="773"/>
        <v>REGIONES</v>
      </c>
    </row>
    <row r="8194" spans="20:22" x14ac:dyDescent="0.2">
      <c r="T8194" s="22">
        <f t="shared" ref="T8194:T8257" si="774">MONTH(A8194)</f>
        <v>1</v>
      </c>
      <c r="U8194" s="22">
        <f t="shared" ref="U8194:U8257" si="775">YEAR(A8194)</f>
        <v>1900</v>
      </c>
      <c r="V8194" s="22" t="str">
        <f t="shared" ref="V8194:V8257" si="776">IF(K8194="METROPOLITANA DE SANTIAGO","METROPOLITANA","REGIONES")</f>
        <v>REGIONES</v>
      </c>
    </row>
    <row r="8195" spans="20:22" x14ac:dyDescent="0.2">
      <c r="T8195" s="22">
        <f t="shared" si="774"/>
        <v>1</v>
      </c>
      <c r="U8195" s="22">
        <f t="shared" si="775"/>
        <v>1900</v>
      </c>
      <c r="V8195" s="22" t="str">
        <f t="shared" si="776"/>
        <v>REGIONES</v>
      </c>
    </row>
    <row r="8196" spans="20:22" x14ac:dyDescent="0.2">
      <c r="T8196" s="22">
        <f t="shared" si="774"/>
        <v>1</v>
      </c>
      <c r="U8196" s="22">
        <f t="shared" si="775"/>
        <v>1900</v>
      </c>
      <c r="V8196" s="22" t="str">
        <f t="shared" si="776"/>
        <v>REGIONES</v>
      </c>
    </row>
    <row r="8197" spans="20:22" x14ac:dyDescent="0.2">
      <c r="T8197" s="22">
        <f t="shared" si="774"/>
        <v>1</v>
      </c>
      <c r="U8197" s="22">
        <f t="shared" si="775"/>
        <v>1900</v>
      </c>
      <c r="V8197" s="22" t="str">
        <f t="shared" si="776"/>
        <v>REGIONES</v>
      </c>
    </row>
    <row r="8198" spans="20:22" x14ac:dyDescent="0.2">
      <c r="T8198" s="22">
        <f t="shared" si="774"/>
        <v>1</v>
      </c>
      <c r="U8198" s="22">
        <f t="shared" si="775"/>
        <v>1900</v>
      </c>
      <c r="V8198" s="22" t="str">
        <f t="shared" si="776"/>
        <v>REGIONES</v>
      </c>
    </row>
    <row r="8199" spans="20:22" x14ac:dyDescent="0.2">
      <c r="T8199" s="22">
        <f t="shared" si="774"/>
        <v>1</v>
      </c>
      <c r="U8199" s="22">
        <f t="shared" si="775"/>
        <v>1900</v>
      </c>
      <c r="V8199" s="22" t="str">
        <f t="shared" si="776"/>
        <v>REGIONES</v>
      </c>
    </row>
    <row r="8200" spans="20:22" x14ac:dyDescent="0.2">
      <c r="T8200" s="22">
        <f t="shared" si="774"/>
        <v>1</v>
      </c>
      <c r="U8200" s="22">
        <f t="shared" si="775"/>
        <v>1900</v>
      </c>
      <c r="V8200" s="22" t="str">
        <f t="shared" si="776"/>
        <v>REGIONES</v>
      </c>
    </row>
    <row r="8201" spans="20:22" x14ac:dyDescent="0.2">
      <c r="T8201" s="22">
        <f t="shared" si="774"/>
        <v>1</v>
      </c>
      <c r="U8201" s="22">
        <f t="shared" si="775"/>
        <v>1900</v>
      </c>
      <c r="V8201" s="22" t="str">
        <f t="shared" si="776"/>
        <v>REGIONES</v>
      </c>
    </row>
    <row r="8202" spans="20:22" x14ac:dyDescent="0.2">
      <c r="T8202" s="22">
        <f t="shared" si="774"/>
        <v>1</v>
      </c>
      <c r="U8202" s="22">
        <f t="shared" si="775"/>
        <v>1900</v>
      </c>
      <c r="V8202" s="22" t="str">
        <f t="shared" si="776"/>
        <v>REGIONES</v>
      </c>
    </row>
    <row r="8203" spans="20:22" x14ac:dyDescent="0.2">
      <c r="T8203" s="22">
        <f t="shared" si="774"/>
        <v>1</v>
      </c>
      <c r="U8203" s="22">
        <f t="shared" si="775"/>
        <v>1900</v>
      </c>
      <c r="V8203" s="22" t="str">
        <f t="shared" si="776"/>
        <v>REGIONES</v>
      </c>
    </row>
    <row r="8204" spans="20:22" x14ac:dyDescent="0.2">
      <c r="T8204" s="22">
        <f t="shared" si="774"/>
        <v>1</v>
      </c>
      <c r="U8204" s="22">
        <f t="shared" si="775"/>
        <v>1900</v>
      </c>
      <c r="V8204" s="22" t="str">
        <f t="shared" si="776"/>
        <v>REGIONES</v>
      </c>
    </row>
    <row r="8205" spans="20:22" x14ac:dyDescent="0.2">
      <c r="T8205" s="22">
        <f t="shared" si="774"/>
        <v>1</v>
      </c>
      <c r="U8205" s="22">
        <f t="shared" si="775"/>
        <v>1900</v>
      </c>
      <c r="V8205" s="22" t="str">
        <f t="shared" si="776"/>
        <v>REGIONES</v>
      </c>
    </row>
    <row r="8206" spans="20:22" x14ac:dyDescent="0.2">
      <c r="T8206" s="22">
        <f t="shared" si="774"/>
        <v>1</v>
      </c>
      <c r="U8206" s="22">
        <f t="shared" si="775"/>
        <v>1900</v>
      </c>
      <c r="V8206" s="22" t="str">
        <f t="shared" si="776"/>
        <v>REGIONES</v>
      </c>
    </row>
    <row r="8207" spans="20:22" x14ac:dyDescent="0.2">
      <c r="T8207" s="22">
        <f t="shared" si="774"/>
        <v>1</v>
      </c>
      <c r="U8207" s="22">
        <f t="shared" si="775"/>
        <v>1900</v>
      </c>
      <c r="V8207" s="22" t="str">
        <f t="shared" si="776"/>
        <v>REGIONES</v>
      </c>
    </row>
    <row r="8208" spans="20:22" x14ac:dyDescent="0.2">
      <c r="T8208" s="22">
        <f t="shared" si="774"/>
        <v>1</v>
      </c>
      <c r="U8208" s="22">
        <f t="shared" si="775"/>
        <v>1900</v>
      </c>
      <c r="V8208" s="22" t="str">
        <f t="shared" si="776"/>
        <v>REGIONES</v>
      </c>
    </row>
    <row r="8209" spans="20:22" x14ac:dyDescent="0.2">
      <c r="T8209" s="22">
        <f t="shared" si="774"/>
        <v>1</v>
      </c>
      <c r="U8209" s="22">
        <f t="shared" si="775"/>
        <v>1900</v>
      </c>
      <c r="V8209" s="22" t="str">
        <f t="shared" si="776"/>
        <v>REGIONES</v>
      </c>
    </row>
    <row r="8210" spans="20:22" x14ac:dyDescent="0.2">
      <c r="T8210" s="22">
        <f t="shared" si="774"/>
        <v>1</v>
      </c>
      <c r="U8210" s="22">
        <f t="shared" si="775"/>
        <v>1900</v>
      </c>
      <c r="V8210" s="22" t="str">
        <f t="shared" si="776"/>
        <v>REGIONES</v>
      </c>
    </row>
    <row r="8211" spans="20:22" x14ac:dyDescent="0.2">
      <c r="T8211" s="22">
        <f t="shared" si="774"/>
        <v>1</v>
      </c>
      <c r="U8211" s="22">
        <f t="shared" si="775"/>
        <v>1900</v>
      </c>
      <c r="V8211" s="22" t="str">
        <f t="shared" si="776"/>
        <v>REGIONES</v>
      </c>
    </row>
    <row r="8212" spans="20:22" x14ac:dyDescent="0.2">
      <c r="T8212" s="22">
        <f t="shared" si="774"/>
        <v>1</v>
      </c>
      <c r="U8212" s="22">
        <f t="shared" si="775"/>
        <v>1900</v>
      </c>
      <c r="V8212" s="22" t="str">
        <f t="shared" si="776"/>
        <v>REGIONES</v>
      </c>
    </row>
    <row r="8213" spans="20:22" x14ac:dyDescent="0.2">
      <c r="T8213" s="22">
        <f t="shared" si="774"/>
        <v>1</v>
      </c>
      <c r="U8213" s="22">
        <f t="shared" si="775"/>
        <v>1900</v>
      </c>
      <c r="V8213" s="22" t="str">
        <f t="shared" si="776"/>
        <v>REGIONES</v>
      </c>
    </row>
    <row r="8214" spans="20:22" x14ac:dyDescent="0.2">
      <c r="T8214" s="22">
        <f t="shared" si="774"/>
        <v>1</v>
      </c>
      <c r="U8214" s="22">
        <f t="shared" si="775"/>
        <v>1900</v>
      </c>
      <c r="V8214" s="22" t="str">
        <f t="shared" si="776"/>
        <v>REGIONES</v>
      </c>
    </row>
    <row r="8215" spans="20:22" x14ac:dyDescent="0.2">
      <c r="T8215" s="22">
        <f t="shared" si="774"/>
        <v>1</v>
      </c>
      <c r="U8215" s="22">
        <f t="shared" si="775"/>
        <v>1900</v>
      </c>
      <c r="V8215" s="22" t="str">
        <f t="shared" si="776"/>
        <v>REGIONES</v>
      </c>
    </row>
    <row r="8216" spans="20:22" x14ac:dyDescent="0.2">
      <c r="T8216" s="22">
        <f t="shared" si="774"/>
        <v>1</v>
      </c>
      <c r="U8216" s="22">
        <f t="shared" si="775"/>
        <v>1900</v>
      </c>
      <c r="V8216" s="22" t="str">
        <f t="shared" si="776"/>
        <v>REGIONES</v>
      </c>
    </row>
    <row r="8217" spans="20:22" x14ac:dyDescent="0.2">
      <c r="T8217" s="22">
        <f t="shared" si="774"/>
        <v>1</v>
      </c>
      <c r="U8217" s="22">
        <f t="shared" si="775"/>
        <v>1900</v>
      </c>
      <c r="V8217" s="22" t="str">
        <f t="shared" si="776"/>
        <v>REGIONES</v>
      </c>
    </row>
    <row r="8218" spans="20:22" x14ac:dyDescent="0.2">
      <c r="T8218" s="22">
        <f t="shared" si="774"/>
        <v>1</v>
      </c>
      <c r="U8218" s="22">
        <f t="shared" si="775"/>
        <v>1900</v>
      </c>
      <c r="V8218" s="22" t="str">
        <f t="shared" si="776"/>
        <v>REGIONES</v>
      </c>
    </row>
    <row r="8219" spans="20:22" x14ac:dyDescent="0.2">
      <c r="T8219" s="22">
        <f t="shared" si="774"/>
        <v>1</v>
      </c>
      <c r="U8219" s="22">
        <f t="shared" si="775"/>
        <v>1900</v>
      </c>
      <c r="V8219" s="22" t="str">
        <f t="shared" si="776"/>
        <v>REGIONES</v>
      </c>
    </row>
    <row r="8220" spans="20:22" x14ac:dyDescent="0.2">
      <c r="T8220" s="22">
        <f t="shared" si="774"/>
        <v>1</v>
      </c>
      <c r="U8220" s="22">
        <f t="shared" si="775"/>
        <v>1900</v>
      </c>
      <c r="V8220" s="22" t="str">
        <f t="shared" si="776"/>
        <v>REGIONES</v>
      </c>
    </row>
    <row r="8221" spans="20:22" x14ac:dyDescent="0.2">
      <c r="T8221" s="22">
        <f t="shared" si="774"/>
        <v>1</v>
      </c>
      <c r="U8221" s="22">
        <f t="shared" si="775"/>
        <v>1900</v>
      </c>
      <c r="V8221" s="22" t="str">
        <f t="shared" si="776"/>
        <v>REGIONES</v>
      </c>
    </row>
    <row r="8222" spans="20:22" x14ac:dyDescent="0.2">
      <c r="T8222" s="22">
        <f t="shared" si="774"/>
        <v>1</v>
      </c>
      <c r="U8222" s="22">
        <f t="shared" si="775"/>
        <v>1900</v>
      </c>
      <c r="V8222" s="22" t="str">
        <f t="shared" si="776"/>
        <v>REGIONES</v>
      </c>
    </row>
    <row r="8223" spans="20:22" x14ac:dyDescent="0.2">
      <c r="T8223" s="22">
        <f t="shared" si="774"/>
        <v>1</v>
      </c>
      <c r="U8223" s="22">
        <f t="shared" si="775"/>
        <v>1900</v>
      </c>
      <c r="V8223" s="22" t="str">
        <f t="shared" si="776"/>
        <v>REGIONES</v>
      </c>
    </row>
    <row r="8224" spans="20:22" x14ac:dyDescent="0.2">
      <c r="T8224" s="22">
        <f t="shared" si="774"/>
        <v>1</v>
      </c>
      <c r="U8224" s="22">
        <f t="shared" si="775"/>
        <v>1900</v>
      </c>
      <c r="V8224" s="22" t="str">
        <f t="shared" si="776"/>
        <v>REGIONES</v>
      </c>
    </row>
    <row r="8225" spans="20:22" x14ac:dyDescent="0.2">
      <c r="T8225" s="22">
        <f t="shared" si="774"/>
        <v>1</v>
      </c>
      <c r="U8225" s="22">
        <f t="shared" si="775"/>
        <v>1900</v>
      </c>
      <c r="V8225" s="22" t="str">
        <f t="shared" si="776"/>
        <v>REGIONES</v>
      </c>
    </row>
    <row r="8226" spans="20:22" x14ac:dyDescent="0.2">
      <c r="T8226" s="22">
        <f t="shared" si="774"/>
        <v>1</v>
      </c>
      <c r="U8226" s="22">
        <f t="shared" si="775"/>
        <v>1900</v>
      </c>
      <c r="V8226" s="22" t="str">
        <f t="shared" si="776"/>
        <v>REGIONES</v>
      </c>
    </row>
    <row r="8227" spans="20:22" x14ac:dyDescent="0.2">
      <c r="T8227" s="22">
        <f t="shared" si="774"/>
        <v>1</v>
      </c>
      <c r="U8227" s="22">
        <f t="shared" si="775"/>
        <v>1900</v>
      </c>
      <c r="V8227" s="22" t="str">
        <f t="shared" si="776"/>
        <v>REGIONES</v>
      </c>
    </row>
    <row r="8228" spans="20:22" x14ac:dyDescent="0.2">
      <c r="T8228" s="22">
        <f t="shared" si="774"/>
        <v>1</v>
      </c>
      <c r="U8228" s="22">
        <f t="shared" si="775"/>
        <v>1900</v>
      </c>
      <c r="V8228" s="22" t="str">
        <f t="shared" si="776"/>
        <v>REGIONES</v>
      </c>
    </row>
    <row r="8229" spans="20:22" x14ac:dyDescent="0.2">
      <c r="T8229" s="22">
        <f t="shared" si="774"/>
        <v>1</v>
      </c>
      <c r="U8229" s="22">
        <f t="shared" si="775"/>
        <v>1900</v>
      </c>
      <c r="V8229" s="22" t="str">
        <f t="shared" si="776"/>
        <v>REGIONES</v>
      </c>
    </row>
    <row r="8230" spans="20:22" x14ac:dyDescent="0.2">
      <c r="T8230" s="22">
        <f t="shared" si="774"/>
        <v>1</v>
      </c>
      <c r="U8230" s="22">
        <f t="shared" si="775"/>
        <v>1900</v>
      </c>
      <c r="V8230" s="22" t="str">
        <f t="shared" si="776"/>
        <v>REGIONES</v>
      </c>
    </row>
    <row r="8231" spans="20:22" x14ac:dyDescent="0.2">
      <c r="T8231" s="22">
        <f t="shared" si="774"/>
        <v>1</v>
      </c>
      <c r="U8231" s="22">
        <f t="shared" si="775"/>
        <v>1900</v>
      </c>
      <c r="V8231" s="22" t="str">
        <f t="shared" si="776"/>
        <v>REGIONES</v>
      </c>
    </row>
    <row r="8232" spans="20:22" x14ac:dyDescent="0.2">
      <c r="T8232" s="22">
        <f t="shared" si="774"/>
        <v>1</v>
      </c>
      <c r="U8232" s="22">
        <f t="shared" si="775"/>
        <v>1900</v>
      </c>
      <c r="V8232" s="22" t="str">
        <f t="shared" si="776"/>
        <v>REGIONES</v>
      </c>
    </row>
    <row r="8233" spans="20:22" x14ac:dyDescent="0.2">
      <c r="T8233" s="22">
        <f t="shared" si="774"/>
        <v>1</v>
      </c>
      <c r="U8233" s="22">
        <f t="shared" si="775"/>
        <v>1900</v>
      </c>
      <c r="V8233" s="22" t="str">
        <f t="shared" si="776"/>
        <v>REGIONES</v>
      </c>
    </row>
    <row r="8234" spans="20:22" x14ac:dyDescent="0.2">
      <c r="T8234" s="22">
        <f t="shared" si="774"/>
        <v>1</v>
      </c>
      <c r="U8234" s="22">
        <f t="shared" si="775"/>
        <v>1900</v>
      </c>
      <c r="V8234" s="22" t="str">
        <f t="shared" si="776"/>
        <v>REGIONES</v>
      </c>
    </row>
    <row r="8235" spans="20:22" x14ac:dyDescent="0.2">
      <c r="T8235" s="22">
        <f t="shared" si="774"/>
        <v>1</v>
      </c>
      <c r="U8235" s="22">
        <f t="shared" si="775"/>
        <v>1900</v>
      </c>
      <c r="V8235" s="22" t="str">
        <f t="shared" si="776"/>
        <v>REGIONES</v>
      </c>
    </row>
    <row r="8236" spans="20:22" x14ac:dyDescent="0.2">
      <c r="T8236" s="22">
        <f t="shared" si="774"/>
        <v>1</v>
      </c>
      <c r="U8236" s="22">
        <f t="shared" si="775"/>
        <v>1900</v>
      </c>
      <c r="V8236" s="22" t="str">
        <f t="shared" si="776"/>
        <v>REGIONES</v>
      </c>
    </row>
    <row r="8237" spans="20:22" x14ac:dyDescent="0.2">
      <c r="T8237" s="22">
        <f t="shared" si="774"/>
        <v>1</v>
      </c>
      <c r="U8237" s="22">
        <f t="shared" si="775"/>
        <v>1900</v>
      </c>
      <c r="V8237" s="22" t="str">
        <f t="shared" si="776"/>
        <v>REGIONES</v>
      </c>
    </row>
    <row r="8238" spans="20:22" x14ac:dyDescent="0.2">
      <c r="T8238" s="22">
        <f t="shared" si="774"/>
        <v>1</v>
      </c>
      <c r="U8238" s="22">
        <f t="shared" si="775"/>
        <v>1900</v>
      </c>
      <c r="V8238" s="22" t="str">
        <f t="shared" si="776"/>
        <v>REGIONES</v>
      </c>
    </row>
    <row r="8239" spans="20:22" x14ac:dyDescent="0.2">
      <c r="T8239" s="22">
        <f t="shared" si="774"/>
        <v>1</v>
      </c>
      <c r="U8239" s="22">
        <f t="shared" si="775"/>
        <v>1900</v>
      </c>
      <c r="V8239" s="22" t="str">
        <f t="shared" si="776"/>
        <v>REGIONES</v>
      </c>
    </row>
    <row r="8240" spans="20:22" x14ac:dyDescent="0.2">
      <c r="T8240" s="22">
        <f t="shared" si="774"/>
        <v>1</v>
      </c>
      <c r="U8240" s="22">
        <f t="shared" si="775"/>
        <v>1900</v>
      </c>
      <c r="V8240" s="22" t="str">
        <f t="shared" si="776"/>
        <v>REGIONES</v>
      </c>
    </row>
    <row r="8241" spans="20:22" x14ac:dyDescent="0.2">
      <c r="T8241" s="22">
        <f t="shared" si="774"/>
        <v>1</v>
      </c>
      <c r="U8241" s="22">
        <f t="shared" si="775"/>
        <v>1900</v>
      </c>
      <c r="V8241" s="22" t="str">
        <f t="shared" si="776"/>
        <v>REGIONES</v>
      </c>
    </row>
    <row r="8242" spans="20:22" x14ac:dyDescent="0.2">
      <c r="T8242" s="22">
        <f t="shared" si="774"/>
        <v>1</v>
      </c>
      <c r="U8242" s="22">
        <f t="shared" si="775"/>
        <v>1900</v>
      </c>
      <c r="V8242" s="22" t="str">
        <f t="shared" si="776"/>
        <v>REGIONES</v>
      </c>
    </row>
    <row r="8243" spans="20:22" x14ac:dyDescent="0.2">
      <c r="T8243" s="22">
        <f t="shared" si="774"/>
        <v>1</v>
      </c>
      <c r="U8243" s="22">
        <f t="shared" si="775"/>
        <v>1900</v>
      </c>
      <c r="V8243" s="22" t="str">
        <f t="shared" si="776"/>
        <v>REGIONES</v>
      </c>
    </row>
    <row r="8244" spans="20:22" x14ac:dyDescent="0.2">
      <c r="T8244" s="22">
        <f t="shared" si="774"/>
        <v>1</v>
      </c>
      <c r="U8244" s="22">
        <f t="shared" si="775"/>
        <v>1900</v>
      </c>
      <c r="V8244" s="22" t="str">
        <f t="shared" si="776"/>
        <v>REGIONES</v>
      </c>
    </row>
    <row r="8245" spans="20:22" x14ac:dyDescent="0.2">
      <c r="T8245" s="22">
        <f t="shared" si="774"/>
        <v>1</v>
      </c>
      <c r="U8245" s="22">
        <f t="shared" si="775"/>
        <v>1900</v>
      </c>
      <c r="V8245" s="22" t="str">
        <f t="shared" si="776"/>
        <v>REGIONES</v>
      </c>
    </row>
    <row r="8246" spans="20:22" x14ac:dyDescent="0.2">
      <c r="T8246" s="22">
        <f t="shared" si="774"/>
        <v>1</v>
      </c>
      <c r="U8246" s="22">
        <f t="shared" si="775"/>
        <v>1900</v>
      </c>
      <c r="V8246" s="22" t="str">
        <f t="shared" si="776"/>
        <v>REGIONES</v>
      </c>
    </row>
    <row r="8247" spans="20:22" x14ac:dyDescent="0.2">
      <c r="T8247" s="22">
        <f t="shared" si="774"/>
        <v>1</v>
      </c>
      <c r="U8247" s="22">
        <f t="shared" si="775"/>
        <v>1900</v>
      </c>
      <c r="V8247" s="22" t="str">
        <f t="shared" si="776"/>
        <v>REGIONES</v>
      </c>
    </row>
    <row r="8248" spans="20:22" x14ac:dyDescent="0.2">
      <c r="T8248" s="22">
        <f t="shared" si="774"/>
        <v>1</v>
      </c>
      <c r="U8248" s="22">
        <f t="shared" si="775"/>
        <v>1900</v>
      </c>
      <c r="V8248" s="22" t="str">
        <f t="shared" si="776"/>
        <v>REGIONES</v>
      </c>
    </row>
    <row r="8249" spans="20:22" x14ac:dyDescent="0.2">
      <c r="T8249" s="22">
        <f t="shared" si="774"/>
        <v>1</v>
      </c>
      <c r="U8249" s="22">
        <f t="shared" si="775"/>
        <v>1900</v>
      </c>
      <c r="V8249" s="22" t="str">
        <f t="shared" si="776"/>
        <v>REGIONES</v>
      </c>
    </row>
    <row r="8250" spans="20:22" x14ac:dyDescent="0.2">
      <c r="T8250" s="22">
        <f t="shared" si="774"/>
        <v>1</v>
      </c>
      <c r="U8250" s="22">
        <f t="shared" si="775"/>
        <v>1900</v>
      </c>
      <c r="V8250" s="22" t="str">
        <f t="shared" si="776"/>
        <v>REGIONES</v>
      </c>
    </row>
    <row r="8251" spans="20:22" x14ac:dyDescent="0.2">
      <c r="T8251" s="22">
        <f t="shared" si="774"/>
        <v>1</v>
      </c>
      <c r="U8251" s="22">
        <f t="shared" si="775"/>
        <v>1900</v>
      </c>
      <c r="V8251" s="22" t="str">
        <f t="shared" si="776"/>
        <v>REGIONES</v>
      </c>
    </row>
    <row r="8252" spans="20:22" x14ac:dyDescent="0.2">
      <c r="T8252" s="22">
        <f t="shared" si="774"/>
        <v>1</v>
      </c>
      <c r="U8252" s="22">
        <f t="shared" si="775"/>
        <v>1900</v>
      </c>
      <c r="V8252" s="22" t="str">
        <f t="shared" si="776"/>
        <v>REGIONES</v>
      </c>
    </row>
    <row r="8253" spans="20:22" x14ac:dyDescent="0.2">
      <c r="T8253" s="22">
        <f t="shared" si="774"/>
        <v>1</v>
      </c>
      <c r="U8253" s="22">
        <f t="shared" si="775"/>
        <v>1900</v>
      </c>
      <c r="V8253" s="22" t="str">
        <f t="shared" si="776"/>
        <v>REGIONES</v>
      </c>
    </row>
    <row r="8254" spans="20:22" x14ac:dyDescent="0.2">
      <c r="T8254" s="22">
        <f t="shared" si="774"/>
        <v>1</v>
      </c>
      <c r="U8254" s="22">
        <f t="shared" si="775"/>
        <v>1900</v>
      </c>
      <c r="V8254" s="22" t="str">
        <f t="shared" si="776"/>
        <v>REGIONES</v>
      </c>
    </row>
    <row r="8255" spans="20:22" x14ac:dyDescent="0.2">
      <c r="T8255" s="22">
        <f t="shared" si="774"/>
        <v>1</v>
      </c>
      <c r="U8255" s="22">
        <f t="shared" si="775"/>
        <v>1900</v>
      </c>
      <c r="V8255" s="22" t="str">
        <f t="shared" si="776"/>
        <v>REGIONES</v>
      </c>
    </row>
    <row r="8256" spans="20:22" x14ac:dyDescent="0.2">
      <c r="T8256" s="22">
        <f t="shared" si="774"/>
        <v>1</v>
      </c>
      <c r="U8256" s="22">
        <f t="shared" si="775"/>
        <v>1900</v>
      </c>
      <c r="V8256" s="22" t="str">
        <f t="shared" si="776"/>
        <v>REGIONES</v>
      </c>
    </row>
    <row r="8257" spans="20:22" x14ac:dyDescent="0.2">
      <c r="T8257" s="22">
        <f t="shared" si="774"/>
        <v>1</v>
      </c>
      <c r="U8257" s="22">
        <f t="shared" si="775"/>
        <v>1900</v>
      </c>
      <c r="V8257" s="22" t="str">
        <f t="shared" si="776"/>
        <v>REGIONES</v>
      </c>
    </row>
    <row r="8258" spans="20:22" x14ac:dyDescent="0.2">
      <c r="T8258" s="22">
        <f t="shared" ref="T8258:T8321" si="777">MONTH(A8258)</f>
        <v>1</v>
      </c>
      <c r="U8258" s="22">
        <f t="shared" ref="U8258:U8321" si="778">YEAR(A8258)</f>
        <v>1900</v>
      </c>
      <c r="V8258" s="22" t="str">
        <f t="shared" ref="V8258:V8321" si="779">IF(K8258="METROPOLITANA DE SANTIAGO","METROPOLITANA","REGIONES")</f>
        <v>REGIONES</v>
      </c>
    </row>
    <row r="8259" spans="20:22" x14ac:dyDescent="0.2">
      <c r="T8259" s="22">
        <f t="shared" si="777"/>
        <v>1</v>
      </c>
      <c r="U8259" s="22">
        <f t="shared" si="778"/>
        <v>1900</v>
      </c>
      <c r="V8259" s="22" t="str">
        <f t="shared" si="779"/>
        <v>REGIONES</v>
      </c>
    </row>
    <row r="8260" spans="20:22" x14ac:dyDescent="0.2">
      <c r="T8260" s="22">
        <f t="shared" si="777"/>
        <v>1</v>
      </c>
      <c r="U8260" s="22">
        <f t="shared" si="778"/>
        <v>1900</v>
      </c>
      <c r="V8260" s="22" t="str">
        <f t="shared" si="779"/>
        <v>REGIONES</v>
      </c>
    </row>
    <row r="8261" spans="20:22" x14ac:dyDescent="0.2">
      <c r="T8261" s="22">
        <f t="shared" si="777"/>
        <v>1</v>
      </c>
      <c r="U8261" s="22">
        <f t="shared" si="778"/>
        <v>1900</v>
      </c>
      <c r="V8261" s="22" t="str">
        <f t="shared" si="779"/>
        <v>REGIONES</v>
      </c>
    </row>
    <row r="8262" spans="20:22" x14ac:dyDescent="0.2">
      <c r="T8262" s="22">
        <f t="shared" si="777"/>
        <v>1</v>
      </c>
      <c r="U8262" s="22">
        <f t="shared" si="778"/>
        <v>1900</v>
      </c>
      <c r="V8262" s="22" t="str">
        <f t="shared" si="779"/>
        <v>REGIONES</v>
      </c>
    </row>
    <row r="8263" spans="20:22" x14ac:dyDescent="0.2">
      <c r="T8263" s="22">
        <f t="shared" si="777"/>
        <v>1</v>
      </c>
      <c r="U8263" s="22">
        <f t="shared" si="778"/>
        <v>1900</v>
      </c>
      <c r="V8263" s="22" t="str">
        <f t="shared" si="779"/>
        <v>REGIONES</v>
      </c>
    </row>
    <row r="8264" spans="20:22" x14ac:dyDescent="0.2">
      <c r="T8264" s="22">
        <f t="shared" si="777"/>
        <v>1</v>
      </c>
      <c r="U8264" s="22">
        <f t="shared" si="778"/>
        <v>1900</v>
      </c>
      <c r="V8264" s="22" t="str">
        <f t="shared" si="779"/>
        <v>REGIONES</v>
      </c>
    </row>
    <row r="8265" spans="20:22" x14ac:dyDescent="0.2">
      <c r="T8265" s="22">
        <f t="shared" si="777"/>
        <v>1</v>
      </c>
      <c r="U8265" s="22">
        <f t="shared" si="778"/>
        <v>1900</v>
      </c>
      <c r="V8265" s="22" t="str">
        <f t="shared" si="779"/>
        <v>REGIONES</v>
      </c>
    </row>
    <row r="8266" spans="20:22" x14ac:dyDescent="0.2">
      <c r="T8266" s="22">
        <f t="shared" si="777"/>
        <v>1</v>
      </c>
      <c r="U8266" s="22">
        <f t="shared" si="778"/>
        <v>1900</v>
      </c>
      <c r="V8266" s="22" t="str">
        <f t="shared" si="779"/>
        <v>REGIONES</v>
      </c>
    </row>
    <row r="8267" spans="20:22" x14ac:dyDescent="0.2">
      <c r="T8267" s="22">
        <f t="shared" si="777"/>
        <v>1</v>
      </c>
      <c r="U8267" s="22">
        <f t="shared" si="778"/>
        <v>1900</v>
      </c>
      <c r="V8267" s="22" t="str">
        <f t="shared" si="779"/>
        <v>REGIONES</v>
      </c>
    </row>
    <row r="8268" spans="20:22" x14ac:dyDescent="0.2">
      <c r="T8268" s="22">
        <f t="shared" si="777"/>
        <v>1</v>
      </c>
      <c r="U8268" s="22">
        <f t="shared" si="778"/>
        <v>1900</v>
      </c>
      <c r="V8268" s="22" t="str">
        <f t="shared" si="779"/>
        <v>REGIONES</v>
      </c>
    </row>
    <row r="8269" spans="20:22" x14ac:dyDescent="0.2">
      <c r="T8269" s="22">
        <f t="shared" si="777"/>
        <v>1</v>
      </c>
      <c r="U8269" s="22">
        <f t="shared" si="778"/>
        <v>1900</v>
      </c>
      <c r="V8269" s="22" t="str">
        <f t="shared" si="779"/>
        <v>REGIONES</v>
      </c>
    </row>
    <row r="8270" spans="20:22" x14ac:dyDescent="0.2">
      <c r="T8270" s="22">
        <f t="shared" si="777"/>
        <v>1</v>
      </c>
      <c r="U8270" s="22">
        <f t="shared" si="778"/>
        <v>1900</v>
      </c>
      <c r="V8270" s="22" t="str">
        <f t="shared" si="779"/>
        <v>REGIONES</v>
      </c>
    </row>
    <row r="8271" spans="20:22" x14ac:dyDescent="0.2">
      <c r="T8271" s="22">
        <f t="shared" si="777"/>
        <v>1</v>
      </c>
      <c r="U8271" s="22">
        <f t="shared" si="778"/>
        <v>1900</v>
      </c>
      <c r="V8271" s="22" t="str">
        <f t="shared" si="779"/>
        <v>REGIONES</v>
      </c>
    </row>
    <row r="8272" spans="20:22" x14ac:dyDescent="0.2">
      <c r="T8272" s="22">
        <f t="shared" si="777"/>
        <v>1</v>
      </c>
      <c r="U8272" s="22">
        <f t="shared" si="778"/>
        <v>1900</v>
      </c>
      <c r="V8272" s="22" t="str">
        <f t="shared" si="779"/>
        <v>REGIONES</v>
      </c>
    </row>
    <row r="8273" spans="20:22" x14ac:dyDescent="0.2">
      <c r="T8273" s="22">
        <f t="shared" si="777"/>
        <v>1</v>
      </c>
      <c r="U8273" s="22">
        <f t="shared" si="778"/>
        <v>1900</v>
      </c>
      <c r="V8273" s="22" t="str">
        <f t="shared" si="779"/>
        <v>REGIONES</v>
      </c>
    </row>
    <row r="8274" spans="20:22" x14ac:dyDescent="0.2">
      <c r="T8274" s="22">
        <f t="shared" si="777"/>
        <v>1</v>
      </c>
      <c r="U8274" s="22">
        <f t="shared" si="778"/>
        <v>1900</v>
      </c>
      <c r="V8274" s="22" t="str">
        <f t="shared" si="779"/>
        <v>REGIONES</v>
      </c>
    </row>
    <row r="8275" spans="20:22" x14ac:dyDescent="0.2">
      <c r="T8275" s="22">
        <f t="shared" si="777"/>
        <v>1</v>
      </c>
      <c r="U8275" s="22">
        <f t="shared" si="778"/>
        <v>1900</v>
      </c>
      <c r="V8275" s="22" t="str">
        <f t="shared" si="779"/>
        <v>REGIONES</v>
      </c>
    </row>
    <row r="8276" spans="20:22" x14ac:dyDescent="0.2">
      <c r="T8276" s="22">
        <f t="shared" si="777"/>
        <v>1</v>
      </c>
      <c r="U8276" s="22">
        <f t="shared" si="778"/>
        <v>1900</v>
      </c>
      <c r="V8276" s="22" t="str">
        <f t="shared" si="779"/>
        <v>REGIONES</v>
      </c>
    </row>
    <row r="8277" spans="20:22" x14ac:dyDescent="0.2">
      <c r="T8277" s="22">
        <f t="shared" si="777"/>
        <v>1</v>
      </c>
      <c r="U8277" s="22">
        <f t="shared" si="778"/>
        <v>1900</v>
      </c>
      <c r="V8277" s="22" t="str">
        <f t="shared" si="779"/>
        <v>REGIONES</v>
      </c>
    </row>
    <row r="8278" spans="20:22" x14ac:dyDescent="0.2">
      <c r="T8278" s="22">
        <f t="shared" si="777"/>
        <v>1</v>
      </c>
      <c r="U8278" s="22">
        <f t="shared" si="778"/>
        <v>1900</v>
      </c>
      <c r="V8278" s="22" t="str">
        <f t="shared" si="779"/>
        <v>REGIONES</v>
      </c>
    </row>
    <row r="8279" spans="20:22" x14ac:dyDescent="0.2">
      <c r="T8279" s="22">
        <f t="shared" si="777"/>
        <v>1</v>
      </c>
      <c r="U8279" s="22">
        <f t="shared" si="778"/>
        <v>1900</v>
      </c>
      <c r="V8279" s="22" t="str">
        <f t="shared" si="779"/>
        <v>REGIONES</v>
      </c>
    </row>
    <row r="8280" spans="20:22" x14ac:dyDescent="0.2">
      <c r="T8280" s="22">
        <f t="shared" si="777"/>
        <v>1</v>
      </c>
      <c r="U8280" s="22">
        <f t="shared" si="778"/>
        <v>1900</v>
      </c>
      <c r="V8280" s="22" t="str">
        <f t="shared" si="779"/>
        <v>REGIONES</v>
      </c>
    </row>
    <row r="8281" spans="20:22" x14ac:dyDescent="0.2">
      <c r="T8281" s="22">
        <f t="shared" si="777"/>
        <v>1</v>
      </c>
      <c r="U8281" s="22">
        <f t="shared" si="778"/>
        <v>1900</v>
      </c>
      <c r="V8281" s="22" t="str">
        <f t="shared" si="779"/>
        <v>REGIONES</v>
      </c>
    </row>
    <row r="8282" spans="20:22" x14ac:dyDescent="0.2">
      <c r="T8282" s="22">
        <f t="shared" si="777"/>
        <v>1</v>
      </c>
      <c r="U8282" s="22">
        <f t="shared" si="778"/>
        <v>1900</v>
      </c>
      <c r="V8282" s="22" t="str">
        <f t="shared" si="779"/>
        <v>REGIONES</v>
      </c>
    </row>
    <row r="8283" spans="20:22" x14ac:dyDescent="0.2">
      <c r="T8283" s="22">
        <f t="shared" si="777"/>
        <v>1</v>
      </c>
      <c r="U8283" s="22">
        <f t="shared" si="778"/>
        <v>1900</v>
      </c>
      <c r="V8283" s="22" t="str">
        <f t="shared" si="779"/>
        <v>REGIONES</v>
      </c>
    </row>
    <row r="8284" spans="20:22" x14ac:dyDescent="0.2">
      <c r="T8284" s="22">
        <f t="shared" si="777"/>
        <v>1</v>
      </c>
      <c r="U8284" s="22">
        <f t="shared" si="778"/>
        <v>1900</v>
      </c>
      <c r="V8284" s="22" t="str">
        <f t="shared" si="779"/>
        <v>REGIONES</v>
      </c>
    </row>
    <row r="8285" spans="20:22" x14ac:dyDescent="0.2">
      <c r="T8285" s="22">
        <f t="shared" si="777"/>
        <v>1</v>
      </c>
      <c r="U8285" s="22">
        <f t="shared" si="778"/>
        <v>1900</v>
      </c>
      <c r="V8285" s="22" t="str">
        <f t="shared" si="779"/>
        <v>REGIONES</v>
      </c>
    </row>
    <row r="8286" spans="20:22" x14ac:dyDescent="0.2">
      <c r="T8286" s="22">
        <f t="shared" si="777"/>
        <v>1</v>
      </c>
      <c r="U8286" s="22">
        <f t="shared" si="778"/>
        <v>1900</v>
      </c>
      <c r="V8286" s="22" t="str">
        <f t="shared" si="779"/>
        <v>REGIONES</v>
      </c>
    </row>
    <row r="8287" spans="20:22" x14ac:dyDescent="0.2">
      <c r="T8287" s="22">
        <f t="shared" si="777"/>
        <v>1</v>
      </c>
      <c r="U8287" s="22">
        <f t="shared" si="778"/>
        <v>1900</v>
      </c>
      <c r="V8287" s="22" t="str">
        <f t="shared" si="779"/>
        <v>REGIONES</v>
      </c>
    </row>
    <row r="8288" spans="20:22" x14ac:dyDescent="0.2">
      <c r="T8288" s="22">
        <f t="shared" si="777"/>
        <v>1</v>
      </c>
      <c r="U8288" s="22">
        <f t="shared" si="778"/>
        <v>1900</v>
      </c>
      <c r="V8288" s="22" t="str">
        <f t="shared" si="779"/>
        <v>REGIONES</v>
      </c>
    </row>
    <row r="8289" spans="20:22" x14ac:dyDescent="0.2">
      <c r="T8289" s="22">
        <f t="shared" si="777"/>
        <v>1</v>
      </c>
      <c r="U8289" s="22">
        <f t="shared" si="778"/>
        <v>1900</v>
      </c>
      <c r="V8289" s="22" t="str">
        <f t="shared" si="779"/>
        <v>REGIONES</v>
      </c>
    </row>
    <row r="8290" spans="20:22" x14ac:dyDescent="0.2">
      <c r="T8290" s="22">
        <f t="shared" si="777"/>
        <v>1</v>
      </c>
      <c r="U8290" s="22">
        <f t="shared" si="778"/>
        <v>1900</v>
      </c>
      <c r="V8290" s="22" t="str">
        <f t="shared" si="779"/>
        <v>REGIONES</v>
      </c>
    </row>
    <row r="8291" spans="20:22" x14ac:dyDescent="0.2">
      <c r="T8291" s="22">
        <f t="shared" si="777"/>
        <v>1</v>
      </c>
      <c r="U8291" s="22">
        <f t="shared" si="778"/>
        <v>1900</v>
      </c>
      <c r="V8291" s="22" t="str">
        <f t="shared" si="779"/>
        <v>REGIONES</v>
      </c>
    </row>
    <row r="8292" spans="20:22" x14ac:dyDescent="0.2">
      <c r="T8292" s="22">
        <f t="shared" si="777"/>
        <v>1</v>
      </c>
      <c r="U8292" s="22">
        <f t="shared" si="778"/>
        <v>1900</v>
      </c>
      <c r="V8292" s="22" t="str">
        <f t="shared" si="779"/>
        <v>REGIONES</v>
      </c>
    </row>
    <row r="8293" spans="20:22" x14ac:dyDescent="0.2">
      <c r="T8293" s="22">
        <f t="shared" si="777"/>
        <v>1</v>
      </c>
      <c r="U8293" s="22">
        <f t="shared" si="778"/>
        <v>1900</v>
      </c>
      <c r="V8293" s="22" t="str">
        <f t="shared" si="779"/>
        <v>REGIONES</v>
      </c>
    </row>
    <row r="8294" spans="20:22" x14ac:dyDescent="0.2">
      <c r="T8294" s="22">
        <f t="shared" si="777"/>
        <v>1</v>
      </c>
      <c r="U8294" s="22">
        <f t="shared" si="778"/>
        <v>1900</v>
      </c>
      <c r="V8294" s="22" t="str">
        <f t="shared" si="779"/>
        <v>REGIONES</v>
      </c>
    </row>
    <row r="8295" spans="20:22" x14ac:dyDescent="0.2">
      <c r="T8295" s="22">
        <f t="shared" si="777"/>
        <v>1</v>
      </c>
      <c r="U8295" s="22">
        <f t="shared" si="778"/>
        <v>1900</v>
      </c>
      <c r="V8295" s="22" t="str">
        <f t="shared" si="779"/>
        <v>REGIONES</v>
      </c>
    </row>
    <row r="8296" spans="20:22" x14ac:dyDescent="0.2">
      <c r="T8296" s="22">
        <f t="shared" si="777"/>
        <v>1</v>
      </c>
      <c r="U8296" s="22">
        <f t="shared" si="778"/>
        <v>1900</v>
      </c>
      <c r="V8296" s="22" t="str">
        <f t="shared" si="779"/>
        <v>REGIONES</v>
      </c>
    </row>
    <row r="8297" spans="20:22" x14ac:dyDescent="0.2">
      <c r="T8297" s="22">
        <f t="shared" si="777"/>
        <v>1</v>
      </c>
      <c r="U8297" s="22">
        <f t="shared" si="778"/>
        <v>1900</v>
      </c>
      <c r="V8297" s="22" t="str">
        <f t="shared" si="779"/>
        <v>REGIONES</v>
      </c>
    </row>
    <row r="8298" spans="20:22" x14ac:dyDescent="0.2">
      <c r="T8298" s="22">
        <f t="shared" si="777"/>
        <v>1</v>
      </c>
      <c r="U8298" s="22">
        <f t="shared" si="778"/>
        <v>1900</v>
      </c>
      <c r="V8298" s="22" t="str">
        <f t="shared" si="779"/>
        <v>REGIONES</v>
      </c>
    </row>
    <row r="8299" spans="20:22" x14ac:dyDescent="0.2">
      <c r="T8299" s="22">
        <f t="shared" si="777"/>
        <v>1</v>
      </c>
      <c r="U8299" s="22">
        <f t="shared" si="778"/>
        <v>1900</v>
      </c>
      <c r="V8299" s="22" t="str">
        <f t="shared" si="779"/>
        <v>REGIONES</v>
      </c>
    </row>
    <row r="8300" spans="20:22" x14ac:dyDescent="0.2">
      <c r="T8300" s="22">
        <f t="shared" si="777"/>
        <v>1</v>
      </c>
      <c r="U8300" s="22">
        <f t="shared" si="778"/>
        <v>1900</v>
      </c>
      <c r="V8300" s="22" t="str">
        <f t="shared" si="779"/>
        <v>REGIONES</v>
      </c>
    </row>
    <row r="8301" spans="20:22" x14ac:dyDescent="0.2">
      <c r="T8301" s="22">
        <f t="shared" si="777"/>
        <v>1</v>
      </c>
      <c r="U8301" s="22">
        <f t="shared" si="778"/>
        <v>1900</v>
      </c>
      <c r="V8301" s="22" t="str">
        <f t="shared" si="779"/>
        <v>REGIONES</v>
      </c>
    </row>
    <row r="8302" spans="20:22" x14ac:dyDescent="0.2">
      <c r="T8302" s="22">
        <f t="shared" si="777"/>
        <v>1</v>
      </c>
      <c r="U8302" s="22">
        <f t="shared" si="778"/>
        <v>1900</v>
      </c>
      <c r="V8302" s="22" t="str">
        <f t="shared" si="779"/>
        <v>REGIONES</v>
      </c>
    </row>
    <row r="8303" spans="20:22" x14ac:dyDescent="0.2">
      <c r="T8303" s="22">
        <f t="shared" si="777"/>
        <v>1</v>
      </c>
      <c r="U8303" s="22">
        <f t="shared" si="778"/>
        <v>1900</v>
      </c>
      <c r="V8303" s="22" t="str">
        <f t="shared" si="779"/>
        <v>REGIONES</v>
      </c>
    </row>
    <row r="8304" spans="20:22" x14ac:dyDescent="0.2">
      <c r="T8304" s="22">
        <f t="shared" si="777"/>
        <v>1</v>
      </c>
      <c r="U8304" s="22">
        <f t="shared" si="778"/>
        <v>1900</v>
      </c>
      <c r="V8304" s="22" t="str">
        <f t="shared" si="779"/>
        <v>REGIONES</v>
      </c>
    </row>
    <row r="8305" spans="20:22" x14ac:dyDescent="0.2">
      <c r="T8305" s="22">
        <f t="shared" si="777"/>
        <v>1</v>
      </c>
      <c r="U8305" s="22">
        <f t="shared" si="778"/>
        <v>1900</v>
      </c>
      <c r="V8305" s="22" t="str">
        <f t="shared" si="779"/>
        <v>REGIONES</v>
      </c>
    </row>
    <row r="8306" spans="20:22" x14ac:dyDescent="0.2">
      <c r="T8306" s="22">
        <f t="shared" si="777"/>
        <v>1</v>
      </c>
      <c r="U8306" s="22">
        <f t="shared" si="778"/>
        <v>1900</v>
      </c>
      <c r="V8306" s="22" t="str">
        <f t="shared" si="779"/>
        <v>REGIONES</v>
      </c>
    </row>
    <row r="8307" spans="20:22" x14ac:dyDescent="0.2">
      <c r="T8307" s="22">
        <f t="shared" si="777"/>
        <v>1</v>
      </c>
      <c r="U8307" s="22">
        <f t="shared" si="778"/>
        <v>1900</v>
      </c>
      <c r="V8307" s="22" t="str">
        <f t="shared" si="779"/>
        <v>REGIONES</v>
      </c>
    </row>
    <row r="8308" spans="20:22" x14ac:dyDescent="0.2">
      <c r="T8308" s="22">
        <f t="shared" si="777"/>
        <v>1</v>
      </c>
      <c r="U8308" s="22">
        <f t="shared" si="778"/>
        <v>1900</v>
      </c>
      <c r="V8308" s="22" t="str">
        <f t="shared" si="779"/>
        <v>REGIONES</v>
      </c>
    </row>
    <row r="8309" spans="20:22" x14ac:dyDescent="0.2">
      <c r="T8309" s="22">
        <f t="shared" si="777"/>
        <v>1</v>
      </c>
      <c r="U8309" s="22">
        <f t="shared" si="778"/>
        <v>1900</v>
      </c>
      <c r="V8309" s="22" t="str">
        <f t="shared" si="779"/>
        <v>REGIONES</v>
      </c>
    </row>
    <row r="8310" spans="20:22" x14ac:dyDescent="0.2">
      <c r="T8310" s="22">
        <f t="shared" si="777"/>
        <v>1</v>
      </c>
      <c r="U8310" s="22">
        <f t="shared" si="778"/>
        <v>1900</v>
      </c>
      <c r="V8310" s="22" t="str">
        <f t="shared" si="779"/>
        <v>REGIONES</v>
      </c>
    </row>
    <row r="8311" spans="20:22" x14ac:dyDescent="0.2">
      <c r="T8311" s="22">
        <f t="shared" si="777"/>
        <v>1</v>
      </c>
      <c r="U8311" s="22">
        <f t="shared" si="778"/>
        <v>1900</v>
      </c>
      <c r="V8311" s="22" t="str">
        <f t="shared" si="779"/>
        <v>REGIONES</v>
      </c>
    </row>
    <row r="8312" spans="20:22" x14ac:dyDescent="0.2">
      <c r="T8312" s="22">
        <f t="shared" si="777"/>
        <v>1</v>
      </c>
      <c r="U8312" s="22">
        <f t="shared" si="778"/>
        <v>1900</v>
      </c>
      <c r="V8312" s="22" t="str">
        <f t="shared" si="779"/>
        <v>REGIONES</v>
      </c>
    </row>
    <row r="8313" spans="20:22" x14ac:dyDescent="0.2">
      <c r="T8313" s="22">
        <f t="shared" si="777"/>
        <v>1</v>
      </c>
      <c r="U8313" s="22">
        <f t="shared" si="778"/>
        <v>1900</v>
      </c>
      <c r="V8313" s="22" t="str">
        <f t="shared" si="779"/>
        <v>REGIONES</v>
      </c>
    </row>
    <row r="8314" spans="20:22" x14ac:dyDescent="0.2">
      <c r="T8314" s="22">
        <f t="shared" si="777"/>
        <v>1</v>
      </c>
      <c r="U8314" s="22">
        <f t="shared" si="778"/>
        <v>1900</v>
      </c>
      <c r="V8314" s="22" t="str">
        <f t="shared" si="779"/>
        <v>REGIONES</v>
      </c>
    </row>
    <row r="8315" spans="20:22" x14ac:dyDescent="0.2">
      <c r="T8315" s="22">
        <f t="shared" si="777"/>
        <v>1</v>
      </c>
      <c r="U8315" s="22">
        <f t="shared" si="778"/>
        <v>1900</v>
      </c>
      <c r="V8315" s="22" t="str">
        <f t="shared" si="779"/>
        <v>REGIONES</v>
      </c>
    </row>
    <row r="8316" spans="20:22" x14ac:dyDescent="0.2">
      <c r="T8316" s="22">
        <f t="shared" si="777"/>
        <v>1</v>
      </c>
      <c r="U8316" s="22">
        <f t="shared" si="778"/>
        <v>1900</v>
      </c>
      <c r="V8316" s="22" t="str">
        <f t="shared" si="779"/>
        <v>REGIONES</v>
      </c>
    </row>
    <row r="8317" spans="20:22" x14ac:dyDescent="0.2">
      <c r="T8317" s="22">
        <f t="shared" si="777"/>
        <v>1</v>
      </c>
      <c r="U8317" s="22">
        <f t="shared" si="778"/>
        <v>1900</v>
      </c>
      <c r="V8317" s="22" t="str">
        <f t="shared" si="779"/>
        <v>REGIONES</v>
      </c>
    </row>
    <row r="8318" spans="20:22" x14ac:dyDescent="0.2">
      <c r="T8318" s="22">
        <f t="shared" si="777"/>
        <v>1</v>
      </c>
      <c r="U8318" s="22">
        <f t="shared" si="778"/>
        <v>1900</v>
      </c>
      <c r="V8318" s="22" t="str">
        <f t="shared" si="779"/>
        <v>REGIONES</v>
      </c>
    </row>
    <row r="8319" spans="20:22" x14ac:dyDescent="0.2">
      <c r="T8319" s="22">
        <f t="shared" si="777"/>
        <v>1</v>
      </c>
      <c r="U8319" s="22">
        <f t="shared" si="778"/>
        <v>1900</v>
      </c>
      <c r="V8319" s="22" t="str">
        <f t="shared" si="779"/>
        <v>REGIONES</v>
      </c>
    </row>
    <row r="8320" spans="20:22" x14ac:dyDescent="0.2">
      <c r="T8320" s="22">
        <f t="shared" si="777"/>
        <v>1</v>
      </c>
      <c r="U8320" s="22">
        <f t="shared" si="778"/>
        <v>1900</v>
      </c>
      <c r="V8320" s="22" t="str">
        <f t="shared" si="779"/>
        <v>REGIONES</v>
      </c>
    </row>
    <row r="8321" spans="20:22" x14ac:dyDescent="0.2">
      <c r="T8321" s="22">
        <f t="shared" si="777"/>
        <v>1</v>
      </c>
      <c r="U8321" s="22">
        <f t="shared" si="778"/>
        <v>1900</v>
      </c>
      <c r="V8321" s="22" t="str">
        <f t="shared" si="779"/>
        <v>REGIONES</v>
      </c>
    </row>
    <row r="8322" spans="20:22" x14ac:dyDescent="0.2">
      <c r="T8322" s="22">
        <f t="shared" ref="T8322:T8385" si="780">MONTH(A8322)</f>
        <v>1</v>
      </c>
      <c r="U8322" s="22">
        <f t="shared" ref="U8322:U8385" si="781">YEAR(A8322)</f>
        <v>1900</v>
      </c>
      <c r="V8322" s="22" t="str">
        <f t="shared" ref="V8322:V8385" si="782">IF(K8322="METROPOLITANA DE SANTIAGO","METROPOLITANA","REGIONES")</f>
        <v>REGIONES</v>
      </c>
    </row>
    <row r="8323" spans="20:22" x14ac:dyDescent="0.2">
      <c r="T8323" s="22">
        <f t="shared" si="780"/>
        <v>1</v>
      </c>
      <c r="U8323" s="22">
        <f t="shared" si="781"/>
        <v>1900</v>
      </c>
      <c r="V8323" s="22" t="str">
        <f t="shared" si="782"/>
        <v>REGIONES</v>
      </c>
    </row>
    <row r="8324" spans="20:22" x14ac:dyDescent="0.2">
      <c r="T8324" s="22">
        <f t="shared" si="780"/>
        <v>1</v>
      </c>
      <c r="U8324" s="22">
        <f t="shared" si="781"/>
        <v>1900</v>
      </c>
      <c r="V8324" s="22" t="str">
        <f t="shared" si="782"/>
        <v>REGIONES</v>
      </c>
    </row>
    <row r="8325" spans="20:22" x14ac:dyDescent="0.2">
      <c r="T8325" s="22">
        <f t="shared" si="780"/>
        <v>1</v>
      </c>
      <c r="U8325" s="22">
        <f t="shared" si="781"/>
        <v>1900</v>
      </c>
      <c r="V8325" s="22" t="str">
        <f t="shared" si="782"/>
        <v>REGIONES</v>
      </c>
    </row>
    <row r="8326" spans="20:22" x14ac:dyDescent="0.2">
      <c r="T8326" s="22">
        <f t="shared" si="780"/>
        <v>1</v>
      </c>
      <c r="U8326" s="22">
        <f t="shared" si="781"/>
        <v>1900</v>
      </c>
      <c r="V8326" s="22" t="str">
        <f t="shared" si="782"/>
        <v>REGIONES</v>
      </c>
    </row>
    <row r="8327" spans="20:22" x14ac:dyDescent="0.2">
      <c r="T8327" s="22">
        <f t="shared" si="780"/>
        <v>1</v>
      </c>
      <c r="U8327" s="22">
        <f t="shared" si="781"/>
        <v>1900</v>
      </c>
      <c r="V8327" s="22" t="str">
        <f t="shared" si="782"/>
        <v>REGIONES</v>
      </c>
    </row>
    <row r="8328" spans="20:22" x14ac:dyDescent="0.2">
      <c r="T8328" s="22">
        <f t="shared" si="780"/>
        <v>1</v>
      </c>
      <c r="U8328" s="22">
        <f t="shared" si="781"/>
        <v>1900</v>
      </c>
      <c r="V8328" s="22" t="str">
        <f t="shared" si="782"/>
        <v>REGIONES</v>
      </c>
    </row>
    <row r="8329" spans="20:22" x14ac:dyDescent="0.2">
      <c r="T8329" s="22">
        <f t="shared" si="780"/>
        <v>1</v>
      </c>
      <c r="U8329" s="22">
        <f t="shared" si="781"/>
        <v>1900</v>
      </c>
      <c r="V8329" s="22" t="str">
        <f t="shared" si="782"/>
        <v>REGIONES</v>
      </c>
    </row>
    <row r="8330" spans="20:22" x14ac:dyDescent="0.2">
      <c r="T8330" s="22">
        <f t="shared" si="780"/>
        <v>1</v>
      </c>
      <c r="U8330" s="22">
        <f t="shared" si="781"/>
        <v>1900</v>
      </c>
      <c r="V8330" s="22" t="str">
        <f t="shared" si="782"/>
        <v>REGIONES</v>
      </c>
    </row>
    <row r="8331" spans="20:22" x14ac:dyDescent="0.2">
      <c r="T8331" s="22">
        <f t="shared" si="780"/>
        <v>1</v>
      </c>
      <c r="U8331" s="22">
        <f t="shared" si="781"/>
        <v>1900</v>
      </c>
      <c r="V8331" s="22" t="str">
        <f t="shared" si="782"/>
        <v>REGIONES</v>
      </c>
    </row>
    <row r="8332" spans="20:22" x14ac:dyDescent="0.2">
      <c r="T8332" s="22">
        <f t="shared" si="780"/>
        <v>1</v>
      </c>
      <c r="U8332" s="22">
        <f t="shared" si="781"/>
        <v>1900</v>
      </c>
      <c r="V8332" s="22" t="str">
        <f t="shared" si="782"/>
        <v>REGIONES</v>
      </c>
    </row>
    <row r="8333" spans="20:22" x14ac:dyDescent="0.2">
      <c r="T8333" s="22">
        <f t="shared" si="780"/>
        <v>1</v>
      </c>
      <c r="U8333" s="22">
        <f t="shared" si="781"/>
        <v>1900</v>
      </c>
      <c r="V8333" s="22" t="str">
        <f t="shared" si="782"/>
        <v>REGIONES</v>
      </c>
    </row>
    <row r="8334" spans="20:22" x14ac:dyDescent="0.2">
      <c r="T8334" s="22">
        <f t="shared" si="780"/>
        <v>1</v>
      </c>
      <c r="U8334" s="22">
        <f t="shared" si="781"/>
        <v>1900</v>
      </c>
      <c r="V8334" s="22" t="str">
        <f t="shared" si="782"/>
        <v>REGIONES</v>
      </c>
    </row>
    <row r="8335" spans="20:22" x14ac:dyDescent="0.2">
      <c r="T8335" s="22">
        <f t="shared" si="780"/>
        <v>1</v>
      </c>
      <c r="U8335" s="22">
        <f t="shared" si="781"/>
        <v>1900</v>
      </c>
      <c r="V8335" s="22" t="str">
        <f t="shared" si="782"/>
        <v>REGIONES</v>
      </c>
    </row>
    <row r="8336" spans="20:22" x14ac:dyDescent="0.2">
      <c r="T8336" s="22">
        <f t="shared" si="780"/>
        <v>1</v>
      </c>
      <c r="U8336" s="22">
        <f t="shared" si="781"/>
        <v>1900</v>
      </c>
      <c r="V8336" s="22" t="str">
        <f t="shared" si="782"/>
        <v>REGIONES</v>
      </c>
    </row>
    <row r="8337" spans="20:22" x14ac:dyDescent="0.2">
      <c r="T8337" s="22">
        <f t="shared" si="780"/>
        <v>1</v>
      </c>
      <c r="U8337" s="22">
        <f t="shared" si="781"/>
        <v>1900</v>
      </c>
      <c r="V8337" s="22" t="str">
        <f t="shared" si="782"/>
        <v>REGIONES</v>
      </c>
    </row>
    <row r="8338" spans="20:22" x14ac:dyDescent="0.2">
      <c r="T8338" s="22">
        <f t="shared" si="780"/>
        <v>1</v>
      </c>
      <c r="U8338" s="22">
        <f t="shared" si="781"/>
        <v>1900</v>
      </c>
      <c r="V8338" s="22" t="str">
        <f t="shared" si="782"/>
        <v>REGIONES</v>
      </c>
    </row>
    <row r="8339" spans="20:22" x14ac:dyDescent="0.2">
      <c r="T8339" s="22">
        <f t="shared" si="780"/>
        <v>1</v>
      </c>
      <c r="U8339" s="22">
        <f t="shared" si="781"/>
        <v>1900</v>
      </c>
      <c r="V8339" s="22" t="str">
        <f t="shared" si="782"/>
        <v>REGIONES</v>
      </c>
    </row>
    <row r="8340" spans="20:22" x14ac:dyDescent="0.2">
      <c r="T8340" s="22">
        <f t="shared" si="780"/>
        <v>1</v>
      </c>
      <c r="U8340" s="22">
        <f t="shared" si="781"/>
        <v>1900</v>
      </c>
      <c r="V8340" s="22" t="str">
        <f t="shared" si="782"/>
        <v>REGIONES</v>
      </c>
    </row>
    <row r="8341" spans="20:22" x14ac:dyDescent="0.2">
      <c r="T8341" s="22">
        <f t="shared" si="780"/>
        <v>1</v>
      </c>
      <c r="U8341" s="22">
        <f t="shared" si="781"/>
        <v>1900</v>
      </c>
      <c r="V8341" s="22" t="str">
        <f t="shared" si="782"/>
        <v>REGIONES</v>
      </c>
    </row>
    <row r="8342" spans="20:22" x14ac:dyDescent="0.2">
      <c r="T8342" s="22">
        <f t="shared" si="780"/>
        <v>1</v>
      </c>
      <c r="U8342" s="22">
        <f t="shared" si="781"/>
        <v>1900</v>
      </c>
      <c r="V8342" s="22" t="str">
        <f t="shared" si="782"/>
        <v>REGIONES</v>
      </c>
    </row>
    <row r="8343" spans="20:22" x14ac:dyDescent="0.2">
      <c r="T8343" s="22">
        <f t="shared" si="780"/>
        <v>1</v>
      </c>
      <c r="U8343" s="22">
        <f t="shared" si="781"/>
        <v>1900</v>
      </c>
      <c r="V8343" s="22" t="str">
        <f t="shared" si="782"/>
        <v>REGIONES</v>
      </c>
    </row>
    <row r="8344" spans="20:22" x14ac:dyDescent="0.2">
      <c r="T8344" s="22">
        <f t="shared" si="780"/>
        <v>1</v>
      </c>
      <c r="U8344" s="22">
        <f t="shared" si="781"/>
        <v>1900</v>
      </c>
      <c r="V8344" s="22" t="str">
        <f t="shared" si="782"/>
        <v>REGIONES</v>
      </c>
    </row>
    <row r="8345" spans="20:22" x14ac:dyDescent="0.2">
      <c r="T8345" s="22">
        <f t="shared" si="780"/>
        <v>1</v>
      </c>
      <c r="U8345" s="22">
        <f t="shared" si="781"/>
        <v>1900</v>
      </c>
      <c r="V8345" s="22" t="str">
        <f t="shared" si="782"/>
        <v>REGIONES</v>
      </c>
    </row>
    <row r="8346" spans="20:22" x14ac:dyDescent="0.2">
      <c r="T8346" s="22">
        <f t="shared" si="780"/>
        <v>1</v>
      </c>
      <c r="U8346" s="22">
        <f t="shared" si="781"/>
        <v>1900</v>
      </c>
      <c r="V8346" s="22" t="str">
        <f t="shared" si="782"/>
        <v>REGIONES</v>
      </c>
    </row>
    <row r="8347" spans="20:22" x14ac:dyDescent="0.2">
      <c r="T8347" s="22">
        <f t="shared" si="780"/>
        <v>1</v>
      </c>
      <c r="U8347" s="22">
        <f t="shared" si="781"/>
        <v>1900</v>
      </c>
      <c r="V8347" s="22" t="str">
        <f t="shared" si="782"/>
        <v>REGIONES</v>
      </c>
    </row>
    <row r="8348" spans="20:22" x14ac:dyDescent="0.2">
      <c r="T8348" s="22">
        <f t="shared" si="780"/>
        <v>1</v>
      </c>
      <c r="U8348" s="22">
        <f t="shared" si="781"/>
        <v>1900</v>
      </c>
      <c r="V8348" s="22" t="str">
        <f t="shared" si="782"/>
        <v>REGIONES</v>
      </c>
    </row>
    <row r="8349" spans="20:22" x14ac:dyDescent="0.2">
      <c r="T8349" s="22">
        <f t="shared" si="780"/>
        <v>1</v>
      </c>
      <c r="U8349" s="22">
        <f t="shared" si="781"/>
        <v>1900</v>
      </c>
      <c r="V8349" s="22" t="str">
        <f t="shared" si="782"/>
        <v>REGIONES</v>
      </c>
    </row>
    <row r="8350" spans="20:22" x14ac:dyDescent="0.2">
      <c r="T8350" s="22">
        <f t="shared" si="780"/>
        <v>1</v>
      </c>
      <c r="U8350" s="22">
        <f t="shared" si="781"/>
        <v>1900</v>
      </c>
      <c r="V8350" s="22" t="str">
        <f t="shared" si="782"/>
        <v>REGIONES</v>
      </c>
    </row>
    <row r="8351" spans="20:22" x14ac:dyDescent="0.2">
      <c r="T8351" s="22">
        <f t="shared" si="780"/>
        <v>1</v>
      </c>
      <c r="U8351" s="22">
        <f t="shared" si="781"/>
        <v>1900</v>
      </c>
      <c r="V8351" s="22" t="str">
        <f t="shared" si="782"/>
        <v>REGIONES</v>
      </c>
    </row>
    <row r="8352" spans="20:22" x14ac:dyDescent="0.2">
      <c r="T8352" s="22">
        <f t="shared" si="780"/>
        <v>1</v>
      </c>
      <c r="U8352" s="22">
        <f t="shared" si="781"/>
        <v>1900</v>
      </c>
      <c r="V8352" s="22" t="str">
        <f t="shared" si="782"/>
        <v>REGIONES</v>
      </c>
    </row>
    <row r="8353" spans="20:22" x14ac:dyDescent="0.2">
      <c r="T8353" s="22">
        <f t="shared" si="780"/>
        <v>1</v>
      </c>
      <c r="U8353" s="22">
        <f t="shared" si="781"/>
        <v>1900</v>
      </c>
      <c r="V8353" s="22" t="str">
        <f t="shared" si="782"/>
        <v>REGIONES</v>
      </c>
    </row>
    <row r="8354" spans="20:22" x14ac:dyDescent="0.2">
      <c r="T8354" s="22">
        <f t="shared" si="780"/>
        <v>1</v>
      </c>
      <c r="U8354" s="22">
        <f t="shared" si="781"/>
        <v>1900</v>
      </c>
      <c r="V8354" s="22" t="str">
        <f t="shared" si="782"/>
        <v>REGIONES</v>
      </c>
    </row>
    <row r="8355" spans="20:22" x14ac:dyDescent="0.2">
      <c r="T8355" s="22">
        <f t="shared" si="780"/>
        <v>1</v>
      </c>
      <c r="U8355" s="22">
        <f t="shared" si="781"/>
        <v>1900</v>
      </c>
      <c r="V8355" s="22" t="str">
        <f t="shared" si="782"/>
        <v>REGIONES</v>
      </c>
    </row>
    <row r="8356" spans="20:22" x14ac:dyDescent="0.2">
      <c r="T8356" s="22">
        <f t="shared" si="780"/>
        <v>1</v>
      </c>
      <c r="U8356" s="22">
        <f t="shared" si="781"/>
        <v>1900</v>
      </c>
      <c r="V8356" s="22" t="str">
        <f t="shared" si="782"/>
        <v>REGIONES</v>
      </c>
    </row>
    <row r="8357" spans="20:22" x14ac:dyDescent="0.2">
      <c r="T8357" s="22">
        <f t="shared" si="780"/>
        <v>1</v>
      </c>
      <c r="U8357" s="22">
        <f t="shared" si="781"/>
        <v>1900</v>
      </c>
      <c r="V8357" s="22" t="str">
        <f t="shared" si="782"/>
        <v>REGIONES</v>
      </c>
    </row>
    <row r="8358" spans="20:22" x14ac:dyDescent="0.2">
      <c r="T8358" s="22">
        <f t="shared" si="780"/>
        <v>1</v>
      </c>
      <c r="U8358" s="22">
        <f t="shared" si="781"/>
        <v>1900</v>
      </c>
      <c r="V8358" s="22" t="str">
        <f t="shared" si="782"/>
        <v>REGIONES</v>
      </c>
    </row>
    <row r="8359" spans="20:22" x14ac:dyDescent="0.2">
      <c r="T8359" s="22">
        <f t="shared" si="780"/>
        <v>1</v>
      </c>
      <c r="U8359" s="22">
        <f t="shared" si="781"/>
        <v>1900</v>
      </c>
      <c r="V8359" s="22" t="str">
        <f t="shared" si="782"/>
        <v>REGIONES</v>
      </c>
    </row>
    <row r="8360" spans="20:22" x14ac:dyDescent="0.2">
      <c r="T8360" s="22">
        <f t="shared" si="780"/>
        <v>1</v>
      </c>
      <c r="U8360" s="22">
        <f t="shared" si="781"/>
        <v>1900</v>
      </c>
      <c r="V8360" s="22" t="str">
        <f t="shared" si="782"/>
        <v>REGIONES</v>
      </c>
    </row>
    <row r="8361" spans="20:22" x14ac:dyDescent="0.2">
      <c r="T8361" s="22">
        <f t="shared" si="780"/>
        <v>1</v>
      </c>
      <c r="U8361" s="22">
        <f t="shared" si="781"/>
        <v>1900</v>
      </c>
      <c r="V8361" s="22" t="str">
        <f t="shared" si="782"/>
        <v>REGIONES</v>
      </c>
    </row>
    <row r="8362" spans="20:22" x14ac:dyDescent="0.2">
      <c r="T8362" s="22">
        <f t="shared" si="780"/>
        <v>1</v>
      </c>
      <c r="U8362" s="22">
        <f t="shared" si="781"/>
        <v>1900</v>
      </c>
      <c r="V8362" s="22" t="str">
        <f t="shared" si="782"/>
        <v>REGIONES</v>
      </c>
    </row>
    <row r="8363" spans="20:22" x14ac:dyDescent="0.2">
      <c r="T8363" s="22">
        <f t="shared" si="780"/>
        <v>1</v>
      </c>
      <c r="U8363" s="22">
        <f t="shared" si="781"/>
        <v>1900</v>
      </c>
      <c r="V8363" s="22" t="str">
        <f t="shared" si="782"/>
        <v>REGIONES</v>
      </c>
    </row>
    <row r="8364" spans="20:22" x14ac:dyDescent="0.2">
      <c r="T8364" s="22">
        <f t="shared" si="780"/>
        <v>1</v>
      </c>
      <c r="U8364" s="22">
        <f t="shared" si="781"/>
        <v>1900</v>
      </c>
      <c r="V8364" s="22" t="str">
        <f t="shared" si="782"/>
        <v>REGIONES</v>
      </c>
    </row>
    <row r="8365" spans="20:22" x14ac:dyDescent="0.2">
      <c r="T8365" s="22">
        <f t="shared" si="780"/>
        <v>1</v>
      </c>
      <c r="U8365" s="22">
        <f t="shared" si="781"/>
        <v>1900</v>
      </c>
      <c r="V8365" s="22" t="str">
        <f t="shared" si="782"/>
        <v>REGIONES</v>
      </c>
    </row>
    <row r="8366" spans="20:22" x14ac:dyDescent="0.2">
      <c r="T8366" s="22">
        <f t="shared" si="780"/>
        <v>1</v>
      </c>
      <c r="U8366" s="22">
        <f t="shared" si="781"/>
        <v>1900</v>
      </c>
      <c r="V8366" s="22" t="str">
        <f t="shared" si="782"/>
        <v>REGIONES</v>
      </c>
    </row>
    <row r="8367" spans="20:22" x14ac:dyDescent="0.2">
      <c r="T8367" s="22">
        <f t="shared" si="780"/>
        <v>1</v>
      </c>
      <c r="U8367" s="22">
        <f t="shared" si="781"/>
        <v>1900</v>
      </c>
      <c r="V8367" s="22" t="str">
        <f t="shared" si="782"/>
        <v>REGIONES</v>
      </c>
    </row>
    <row r="8368" spans="20:22" x14ac:dyDescent="0.2">
      <c r="T8368" s="22">
        <f t="shared" si="780"/>
        <v>1</v>
      </c>
      <c r="U8368" s="22">
        <f t="shared" si="781"/>
        <v>1900</v>
      </c>
      <c r="V8368" s="22" t="str">
        <f t="shared" si="782"/>
        <v>REGIONES</v>
      </c>
    </row>
    <row r="8369" spans="20:22" x14ac:dyDescent="0.2">
      <c r="T8369" s="22">
        <f t="shared" si="780"/>
        <v>1</v>
      </c>
      <c r="U8369" s="22">
        <f t="shared" si="781"/>
        <v>1900</v>
      </c>
      <c r="V8369" s="22" t="str">
        <f t="shared" si="782"/>
        <v>REGIONES</v>
      </c>
    </row>
    <row r="8370" spans="20:22" x14ac:dyDescent="0.2">
      <c r="T8370" s="22">
        <f t="shared" si="780"/>
        <v>1</v>
      </c>
      <c r="U8370" s="22">
        <f t="shared" si="781"/>
        <v>1900</v>
      </c>
      <c r="V8370" s="22" t="str">
        <f t="shared" si="782"/>
        <v>REGIONES</v>
      </c>
    </row>
    <row r="8371" spans="20:22" x14ac:dyDescent="0.2">
      <c r="T8371" s="22">
        <f t="shared" si="780"/>
        <v>1</v>
      </c>
      <c r="U8371" s="22">
        <f t="shared" si="781"/>
        <v>1900</v>
      </c>
      <c r="V8371" s="22" t="str">
        <f t="shared" si="782"/>
        <v>REGIONES</v>
      </c>
    </row>
    <row r="8372" spans="20:22" x14ac:dyDescent="0.2">
      <c r="T8372" s="22">
        <f t="shared" si="780"/>
        <v>1</v>
      </c>
      <c r="U8372" s="22">
        <f t="shared" si="781"/>
        <v>1900</v>
      </c>
      <c r="V8372" s="22" t="str">
        <f t="shared" si="782"/>
        <v>REGIONES</v>
      </c>
    </row>
    <row r="8373" spans="20:22" x14ac:dyDescent="0.2">
      <c r="T8373" s="22">
        <f t="shared" si="780"/>
        <v>1</v>
      </c>
      <c r="U8373" s="22">
        <f t="shared" si="781"/>
        <v>1900</v>
      </c>
      <c r="V8373" s="22" t="str">
        <f t="shared" si="782"/>
        <v>REGIONES</v>
      </c>
    </row>
    <row r="8374" spans="20:22" x14ac:dyDescent="0.2">
      <c r="T8374" s="22">
        <f t="shared" si="780"/>
        <v>1</v>
      </c>
      <c r="U8374" s="22">
        <f t="shared" si="781"/>
        <v>1900</v>
      </c>
      <c r="V8374" s="22" t="str">
        <f t="shared" si="782"/>
        <v>REGIONES</v>
      </c>
    </row>
    <row r="8375" spans="20:22" x14ac:dyDescent="0.2">
      <c r="T8375" s="22">
        <f t="shared" si="780"/>
        <v>1</v>
      </c>
      <c r="U8375" s="22">
        <f t="shared" si="781"/>
        <v>1900</v>
      </c>
      <c r="V8375" s="22" t="str">
        <f t="shared" si="782"/>
        <v>REGIONES</v>
      </c>
    </row>
    <row r="8376" spans="20:22" x14ac:dyDescent="0.2">
      <c r="T8376" s="22">
        <f t="shared" si="780"/>
        <v>1</v>
      </c>
      <c r="U8376" s="22">
        <f t="shared" si="781"/>
        <v>1900</v>
      </c>
      <c r="V8376" s="22" t="str">
        <f t="shared" si="782"/>
        <v>REGIONES</v>
      </c>
    </row>
    <row r="8377" spans="20:22" x14ac:dyDescent="0.2">
      <c r="T8377" s="22">
        <f t="shared" si="780"/>
        <v>1</v>
      </c>
      <c r="U8377" s="22">
        <f t="shared" si="781"/>
        <v>1900</v>
      </c>
      <c r="V8377" s="22" t="str">
        <f t="shared" si="782"/>
        <v>REGIONES</v>
      </c>
    </row>
    <row r="8378" spans="20:22" x14ac:dyDescent="0.2">
      <c r="T8378" s="22">
        <f t="shared" si="780"/>
        <v>1</v>
      </c>
      <c r="U8378" s="22">
        <f t="shared" si="781"/>
        <v>1900</v>
      </c>
      <c r="V8378" s="22" t="str">
        <f t="shared" si="782"/>
        <v>REGIONES</v>
      </c>
    </row>
    <row r="8379" spans="20:22" x14ac:dyDescent="0.2">
      <c r="T8379" s="22">
        <f t="shared" si="780"/>
        <v>1</v>
      </c>
      <c r="U8379" s="22">
        <f t="shared" si="781"/>
        <v>1900</v>
      </c>
      <c r="V8379" s="22" t="str">
        <f t="shared" si="782"/>
        <v>REGIONES</v>
      </c>
    </row>
    <row r="8380" spans="20:22" x14ac:dyDescent="0.2">
      <c r="T8380" s="22">
        <f t="shared" si="780"/>
        <v>1</v>
      </c>
      <c r="U8380" s="22">
        <f t="shared" si="781"/>
        <v>1900</v>
      </c>
      <c r="V8380" s="22" t="str">
        <f t="shared" si="782"/>
        <v>REGIONES</v>
      </c>
    </row>
    <row r="8381" spans="20:22" x14ac:dyDescent="0.2">
      <c r="T8381" s="22">
        <f t="shared" si="780"/>
        <v>1</v>
      </c>
      <c r="U8381" s="22">
        <f t="shared" si="781"/>
        <v>1900</v>
      </c>
      <c r="V8381" s="22" t="str">
        <f t="shared" si="782"/>
        <v>REGIONES</v>
      </c>
    </row>
    <row r="8382" spans="20:22" x14ac:dyDescent="0.2">
      <c r="T8382" s="22">
        <f t="shared" si="780"/>
        <v>1</v>
      </c>
      <c r="U8382" s="22">
        <f t="shared" si="781"/>
        <v>1900</v>
      </c>
      <c r="V8382" s="22" t="str">
        <f t="shared" si="782"/>
        <v>REGIONES</v>
      </c>
    </row>
    <row r="8383" spans="20:22" x14ac:dyDescent="0.2">
      <c r="T8383" s="22">
        <f t="shared" si="780"/>
        <v>1</v>
      </c>
      <c r="U8383" s="22">
        <f t="shared" si="781"/>
        <v>1900</v>
      </c>
      <c r="V8383" s="22" t="str">
        <f t="shared" si="782"/>
        <v>REGIONES</v>
      </c>
    </row>
    <row r="8384" spans="20:22" x14ac:dyDescent="0.2">
      <c r="T8384" s="22">
        <f t="shared" si="780"/>
        <v>1</v>
      </c>
      <c r="U8384" s="22">
        <f t="shared" si="781"/>
        <v>1900</v>
      </c>
      <c r="V8384" s="22" t="str">
        <f t="shared" si="782"/>
        <v>REGIONES</v>
      </c>
    </row>
    <row r="8385" spans="20:22" x14ac:dyDescent="0.2">
      <c r="T8385" s="22">
        <f t="shared" si="780"/>
        <v>1</v>
      </c>
      <c r="U8385" s="22">
        <f t="shared" si="781"/>
        <v>1900</v>
      </c>
      <c r="V8385" s="22" t="str">
        <f t="shared" si="782"/>
        <v>REGIONES</v>
      </c>
    </row>
    <row r="8386" spans="20:22" x14ac:dyDescent="0.2">
      <c r="T8386" s="22">
        <f t="shared" ref="T8386:T8449" si="783">MONTH(A8386)</f>
        <v>1</v>
      </c>
      <c r="U8386" s="22">
        <f t="shared" ref="U8386:U8449" si="784">YEAR(A8386)</f>
        <v>1900</v>
      </c>
      <c r="V8386" s="22" t="str">
        <f t="shared" ref="V8386:V8449" si="785">IF(K8386="METROPOLITANA DE SANTIAGO","METROPOLITANA","REGIONES")</f>
        <v>REGIONES</v>
      </c>
    </row>
    <row r="8387" spans="20:22" x14ac:dyDescent="0.2">
      <c r="T8387" s="22">
        <f t="shared" si="783"/>
        <v>1</v>
      </c>
      <c r="U8387" s="22">
        <f t="shared" si="784"/>
        <v>1900</v>
      </c>
      <c r="V8387" s="22" t="str">
        <f t="shared" si="785"/>
        <v>REGIONES</v>
      </c>
    </row>
    <row r="8388" spans="20:22" x14ac:dyDescent="0.2">
      <c r="T8388" s="22">
        <f t="shared" si="783"/>
        <v>1</v>
      </c>
      <c r="U8388" s="22">
        <f t="shared" si="784"/>
        <v>1900</v>
      </c>
      <c r="V8388" s="22" t="str">
        <f t="shared" si="785"/>
        <v>REGIONES</v>
      </c>
    </row>
    <row r="8389" spans="20:22" x14ac:dyDescent="0.2">
      <c r="T8389" s="22">
        <f t="shared" si="783"/>
        <v>1</v>
      </c>
      <c r="U8389" s="22">
        <f t="shared" si="784"/>
        <v>1900</v>
      </c>
      <c r="V8389" s="22" t="str">
        <f t="shared" si="785"/>
        <v>REGIONES</v>
      </c>
    </row>
    <row r="8390" spans="20:22" x14ac:dyDescent="0.2">
      <c r="T8390" s="22">
        <f t="shared" si="783"/>
        <v>1</v>
      </c>
      <c r="U8390" s="22">
        <f t="shared" si="784"/>
        <v>1900</v>
      </c>
      <c r="V8390" s="22" t="str">
        <f t="shared" si="785"/>
        <v>REGIONES</v>
      </c>
    </row>
    <row r="8391" spans="20:22" x14ac:dyDescent="0.2">
      <c r="T8391" s="22">
        <f t="shared" si="783"/>
        <v>1</v>
      </c>
      <c r="U8391" s="22">
        <f t="shared" si="784"/>
        <v>1900</v>
      </c>
      <c r="V8391" s="22" t="str">
        <f t="shared" si="785"/>
        <v>REGIONES</v>
      </c>
    </row>
    <row r="8392" spans="20:22" x14ac:dyDescent="0.2">
      <c r="T8392" s="22">
        <f t="shared" si="783"/>
        <v>1</v>
      </c>
      <c r="U8392" s="22">
        <f t="shared" si="784"/>
        <v>1900</v>
      </c>
      <c r="V8392" s="22" t="str">
        <f t="shared" si="785"/>
        <v>REGIONES</v>
      </c>
    </row>
    <row r="8393" spans="20:22" x14ac:dyDescent="0.2">
      <c r="T8393" s="22">
        <f t="shared" si="783"/>
        <v>1</v>
      </c>
      <c r="U8393" s="22">
        <f t="shared" si="784"/>
        <v>1900</v>
      </c>
      <c r="V8393" s="22" t="str">
        <f t="shared" si="785"/>
        <v>REGIONES</v>
      </c>
    </row>
    <row r="8394" spans="20:22" x14ac:dyDescent="0.2">
      <c r="T8394" s="22">
        <f t="shared" si="783"/>
        <v>1</v>
      </c>
      <c r="U8394" s="22">
        <f t="shared" si="784"/>
        <v>1900</v>
      </c>
      <c r="V8394" s="22" t="str">
        <f t="shared" si="785"/>
        <v>REGIONES</v>
      </c>
    </row>
    <row r="8395" spans="20:22" x14ac:dyDescent="0.2">
      <c r="T8395" s="22">
        <f t="shared" si="783"/>
        <v>1</v>
      </c>
      <c r="U8395" s="22">
        <f t="shared" si="784"/>
        <v>1900</v>
      </c>
      <c r="V8395" s="22" t="str">
        <f t="shared" si="785"/>
        <v>REGIONES</v>
      </c>
    </row>
    <row r="8396" spans="20:22" x14ac:dyDescent="0.2">
      <c r="T8396" s="22">
        <f t="shared" si="783"/>
        <v>1</v>
      </c>
      <c r="U8396" s="22">
        <f t="shared" si="784"/>
        <v>1900</v>
      </c>
      <c r="V8396" s="22" t="str">
        <f t="shared" si="785"/>
        <v>REGIONES</v>
      </c>
    </row>
    <row r="8397" spans="20:22" x14ac:dyDescent="0.2">
      <c r="T8397" s="22">
        <f t="shared" si="783"/>
        <v>1</v>
      </c>
      <c r="U8397" s="22">
        <f t="shared" si="784"/>
        <v>1900</v>
      </c>
      <c r="V8397" s="22" t="str">
        <f t="shared" si="785"/>
        <v>REGIONES</v>
      </c>
    </row>
    <row r="8398" spans="20:22" x14ac:dyDescent="0.2">
      <c r="T8398" s="22">
        <f t="shared" si="783"/>
        <v>1</v>
      </c>
      <c r="U8398" s="22">
        <f t="shared" si="784"/>
        <v>1900</v>
      </c>
      <c r="V8398" s="22" t="str">
        <f t="shared" si="785"/>
        <v>REGIONES</v>
      </c>
    </row>
    <row r="8399" spans="20:22" x14ac:dyDescent="0.2">
      <c r="T8399" s="22">
        <f t="shared" si="783"/>
        <v>1</v>
      </c>
      <c r="U8399" s="22">
        <f t="shared" si="784"/>
        <v>1900</v>
      </c>
      <c r="V8399" s="22" t="str">
        <f t="shared" si="785"/>
        <v>REGIONES</v>
      </c>
    </row>
    <row r="8400" spans="20:22" x14ac:dyDescent="0.2">
      <c r="T8400" s="22">
        <f t="shared" si="783"/>
        <v>1</v>
      </c>
      <c r="U8400" s="22">
        <f t="shared" si="784"/>
        <v>1900</v>
      </c>
      <c r="V8400" s="22" t="str">
        <f t="shared" si="785"/>
        <v>REGIONES</v>
      </c>
    </row>
    <row r="8401" spans="20:22" x14ac:dyDescent="0.2">
      <c r="T8401" s="22">
        <f t="shared" si="783"/>
        <v>1</v>
      </c>
      <c r="U8401" s="22">
        <f t="shared" si="784"/>
        <v>1900</v>
      </c>
      <c r="V8401" s="22" t="str">
        <f t="shared" si="785"/>
        <v>REGIONES</v>
      </c>
    </row>
    <row r="8402" spans="20:22" x14ac:dyDescent="0.2">
      <c r="T8402" s="22">
        <f t="shared" si="783"/>
        <v>1</v>
      </c>
      <c r="U8402" s="22">
        <f t="shared" si="784"/>
        <v>1900</v>
      </c>
      <c r="V8402" s="22" t="str">
        <f t="shared" si="785"/>
        <v>REGIONES</v>
      </c>
    </row>
    <row r="8403" spans="20:22" x14ac:dyDescent="0.2">
      <c r="T8403" s="22">
        <f t="shared" si="783"/>
        <v>1</v>
      </c>
      <c r="U8403" s="22">
        <f t="shared" si="784"/>
        <v>1900</v>
      </c>
      <c r="V8403" s="22" t="str">
        <f t="shared" si="785"/>
        <v>REGIONES</v>
      </c>
    </row>
    <row r="8404" spans="20:22" x14ac:dyDescent="0.2">
      <c r="T8404" s="22">
        <f t="shared" si="783"/>
        <v>1</v>
      </c>
      <c r="U8404" s="22">
        <f t="shared" si="784"/>
        <v>1900</v>
      </c>
      <c r="V8404" s="22" t="str">
        <f t="shared" si="785"/>
        <v>REGIONES</v>
      </c>
    </row>
    <row r="8405" spans="20:22" x14ac:dyDescent="0.2">
      <c r="T8405" s="22">
        <f t="shared" si="783"/>
        <v>1</v>
      </c>
      <c r="U8405" s="22">
        <f t="shared" si="784"/>
        <v>1900</v>
      </c>
      <c r="V8405" s="22" t="str">
        <f t="shared" si="785"/>
        <v>REGIONES</v>
      </c>
    </row>
    <row r="8406" spans="20:22" x14ac:dyDescent="0.2">
      <c r="T8406" s="22">
        <f t="shared" si="783"/>
        <v>1</v>
      </c>
      <c r="U8406" s="22">
        <f t="shared" si="784"/>
        <v>1900</v>
      </c>
      <c r="V8406" s="22" t="str">
        <f t="shared" si="785"/>
        <v>REGIONES</v>
      </c>
    </row>
    <row r="8407" spans="20:22" x14ac:dyDescent="0.2">
      <c r="T8407" s="22">
        <f t="shared" si="783"/>
        <v>1</v>
      </c>
      <c r="U8407" s="22">
        <f t="shared" si="784"/>
        <v>1900</v>
      </c>
      <c r="V8407" s="22" t="str">
        <f t="shared" si="785"/>
        <v>REGIONES</v>
      </c>
    </row>
    <row r="8408" spans="20:22" x14ac:dyDescent="0.2">
      <c r="T8408" s="22">
        <f t="shared" si="783"/>
        <v>1</v>
      </c>
      <c r="U8408" s="22">
        <f t="shared" si="784"/>
        <v>1900</v>
      </c>
      <c r="V8408" s="22" t="str">
        <f t="shared" si="785"/>
        <v>REGIONES</v>
      </c>
    </row>
    <row r="8409" spans="20:22" x14ac:dyDescent="0.2">
      <c r="T8409" s="22">
        <f t="shared" si="783"/>
        <v>1</v>
      </c>
      <c r="U8409" s="22">
        <f t="shared" si="784"/>
        <v>1900</v>
      </c>
      <c r="V8409" s="22" t="str">
        <f t="shared" si="785"/>
        <v>REGIONES</v>
      </c>
    </row>
    <row r="8410" spans="20:22" x14ac:dyDescent="0.2">
      <c r="T8410" s="22">
        <f t="shared" si="783"/>
        <v>1</v>
      </c>
      <c r="U8410" s="22">
        <f t="shared" si="784"/>
        <v>1900</v>
      </c>
      <c r="V8410" s="22" t="str">
        <f t="shared" si="785"/>
        <v>REGIONES</v>
      </c>
    </row>
    <row r="8411" spans="20:22" x14ac:dyDescent="0.2">
      <c r="T8411" s="22">
        <f t="shared" si="783"/>
        <v>1</v>
      </c>
      <c r="U8411" s="22">
        <f t="shared" si="784"/>
        <v>1900</v>
      </c>
      <c r="V8411" s="22" t="str">
        <f t="shared" si="785"/>
        <v>REGIONES</v>
      </c>
    </row>
    <row r="8412" spans="20:22" x14ac:dyDescent="0.2">
      <c r="T8412" s="22">
        <f t="shared" si="783"/>
        <v>1</v>
      </c>
      <c r="U8412" s="22">
        <f t="shared" si="784"/>
        <v>1900</v>
      </c>
      <c r="V8412" s="22" t="str">
        <f t="shared" si="785"/>
        <v>REGIONES</v>
      </c>
    </row>
    <row r="8413" spans="20:22" x14ac:dyDescent="0.2">
      <c r="T8413" s="22">
        <f t="shared" si="783"/>
        <v>1</v>
      </c>
      <c r="U8413" s="22">
        <f t="shared" si="784"/>
        <v>1900</v>
      </c>
      <c r="V8413" s="22" t="str">
        <f t="shared" si="785"/>
        <v>REGIONES</v>
      </c>
    </row>
    <row r="8414" spans="20:22" x14ac:dyDescent="0.2">
      <c r="T8414" s="22">
        <f t="shared" si="783"/>
        <v>1</v>
      </c>
      <c r="U8414" s="22">
        <f t="shared" si="784"/>
        <v>1900</v>
      </c>
      <c r="V8414" s="22" t="str">
        <f t="shared" si="785"/>
        <v>REGIONES</v>
      </c>
    </row>
    <row r="8415" spans="20:22" x14ac:dyDescent="0.2">
      <c r="T8415" s="22">
        <f t="shared" si="783"/>
        <v>1</v>
      </c>
      <c r="U8415" s="22">
        <f t="shared" si="784"/>
        <v>1900</v>
      </c>
      <c r="V8415" s="22" t="str">
        <f t="shared" si="785"/>
        <v>REGIONES</v>
      </c>
    </row>
    <row r="8416" spans="20:22" x14ac:dyDescent="0.2">
      <c r="T8416" s="22">
        <f t="shared" si="783"/>
        <v>1</v>
      </c>
      <c r="U8416" s="22">
        <f t="shared" si="784"/>
        <v>1900</v>
      </c>
      <c r="V8416" s="22" t="str">
        <f t="shared" si="785"/>
        <v>REGIONES</v>
      </c>
    </row>
    <row r="8417" spans="20:22" x14ac:dyDescent="0.2">
      <c r="T8417" s="22">
        <f t="shared" si="783"/>
        <v>1</v>
      </c>
      <c r="U8417" s="22">
        <f t="shared" si="784"/>
        <v>1900</v>
      </c>
      <c r="V8417" s="22" t="str">
        <f t="shared" si="785"/>
        <v>REGIONES</v>
      </c>
    </row>
    <row r="8418" spans="20:22" x14ac:dyDescent="0.2">
      <c r="T8418" s="22">
        <f t="shared" si="783"/>
        <v>1</v>
      </c>
      <c r="U8418" s="22">
        <f t="shared" si="784"/>
        <v>1900</v>
      </c>
      <c r="V8418" s="22" t="str">
        <f t="shared" si="785"/>
        <v>REGIONES</v>
      </c>
    </row>
    <row r="8419" spans="20:22" x14ac:dyDescent="0.2">
      <c r="T8419" s="22">
        <f t="shared" si="783"/>
        <v>1</v>
      </c>
      <c r="U8419" s="22">
        <f t="shared" si="784"/>
        <v>1900</v>
      </c>
      <c r="V8419" s="22" t="str">
        <f t="shared" si="785"/>
        <v>REGIONES</v>
      </c>
    </row>
    <row r="8420" spans="20:22" x14ac:dyDescent="0.2">
      <c r="T8420" s="22">
        <f t="shared" si="783"/>
        <v>1</v>
      </c>
      <c r="U8420" s="22">
        <f t="shared" si="784"/>
        <v>1900</v>
      </c>
      <c r="V8420" s="22" t="str">
        <f t="shared" si="785"/>
        <v>REGIONES</v>
      </c>
    </row>
    <row r="8421" spans="20:22" x14ac:dyDescent="0.2">
      <c r="T8421" s="22">
        <f t="shared" si="783"/>
        <v>1</v>
      </c>
      <c r="U8421" s="22">
        <f t="shared" si="784"/>
        <v>1900</v>
      </c>
      <c r="V8421" s="22" t="str">
        <f t="shared" si="785"/>
        <v>REGIONES</v>
      </c>
    </row>
    <row r="8422" spans="20:22" x14ac:dyDescent="0.2">
      <c r="T8422" s="22">
        <f t="shared" si="783"/>
        <v>1</v>
      </c>
      <c r="U8422" s="22">
        <f t="shared" si="784"/>
        <v>1900</v>
      </c>
      <c r="V8422" s="22" t="str">
        <f t="shared" si="785"/>
        <v>REGIONES</v>
      </c>
    </row>
    <row r="8423" spans="20:22" x14ac:dyDescent="0.2">
      <c r="T8423" s="22">
        <f t="shared" si="783"/>
        <v>1</v>
      </c>
      <c r="U8423" s="22">
        <f t="shared" si="784"/>
        <v>1900</v>
      </c>
      <c r="V8423" s="22" t="str">
        <f t="shared" si="785"/>
        <v>REGIONES</v>
      </c>
    </row>
    <row r="8424" spans="20:22" x14ac:dyDescent="0.2">
      <c r="T8424" s="22">
        <f t="shared" si="783"/>
        <v>1</v>
      </c>
      <c r="U8424" s="22">
        <f t="shared" si="784"/>
        <v>1900</v>
      </c>
      <c r="V8424" s="22" t="str">
        <f t="shared" si="785"/>
        <v>REGIONES</v>
      </c>
    </row>
    <row r="8425" spans="20:22" x14ac:dyDescent="0.2">
      <c r="T8425" s="22">
        <f t="shared" si="783"/>
        <v>1</v>
      </c>
      <c r="U8425" s="22">
        <f t="shared" si="784"/>
        <v>1900</v>
      </c>
      <c r="V8425" s="22" t="str">
        <f t="shared" si="785"/>
        <v>REGIONES</v>
      </c>
    </row>
    <row r="8426" spans="20:22" x14ac:dyDescent="0.2">
      <c r="T8426" s="22">
        <f t="shared" si="783"/>
        <v>1</v>
      </c>
      <c r="U8426" s="22">
        <f t="shared" si="784"/>
        <v>1900</v>
      </c>
      <c r="V8426" s="22" t="str">
        <f t="shared" si="785"/>
        <v>REGIONES</v>
      </c>
    </row>
    <row r="8427" spans="20:22" x14ac:dyDescent="0.2">
      <c r="T8427" s="22">
        <f t="shared" si="783"/>
        <v>1</v>
      </c>
      <c r="U8427" s="22">
        <f t="shared" si="784"/>
        <v>1900</v>
      </c>
      <c r="V8427" s="22" t="str">
        <f t="shared" si="785"/>
        <v>REGIONES</v>
      </c>
    </row>
    <row r="8428" spans="20:22" x14ac:dyDescent="0.2">
      <c r="T8428" s="22">
        <f t="shared" si="783"/>
        <v>1</v>
      </c>
      <c r="U8428" s="22">
        <f t="shared" si="784"/>
        <v>1900</v>
      </c>
      <c r="V8428" s="22" t="str">
        <f t="shared" si="785"/>
        <v>REGIONES</v>
      </c>
    </row>
    <row r="8429" spans="20:22" x14ac:dyDescent="0.2">
      <c r="T8429" s="22">
        <f t="shared" si="783"/>
        <v>1</v>
      </c>
      <c r="U8429" s="22">
        <f t="shared" si="784"/>
        <v>1900</v>
      </c>
      <c r="V8429" s="22" t="str">
        <f t="shared" si="785"/>
        <v>REGIONES</v>
      </c>
    </row>
    <row r="8430" spans="20:22" x14ac:dyDescent="0.2">
      <c r="T8430" s="22">
        <f t="shared" si="783"/>
        <v>1</v>
      </c>
      <c r="U8430" s="22">
        <f t="shared" si="784"/>
        <v>1900</v>
      </c>
      <c r="V8430" s="22" t="str">
        <f t="shared" si="785"/>
        <v>REGIONES</v>
      </c>
    </row>
    <row r="8431" spans="20:22" x14ac:dyDescent="0.2">
      <c r="T8431" s="22">
        <f t="shared" si="783"/>
        <v>1</v>
      </c>
      <c r="U8431" s="22">
        <f t="shared" si="784"/>
        <v>1900</v>
      </c>
      <c r="V8431" s="22" t="str">
        <f t="shared" si="785"/>
        <v>REGIONES</v>
      </c>
    </row>
    <row r="8432" spans="20:22" x14ac:dyDescent="0.2">
      <c r="T8432" s="22">
        <f t="shared" si="783"/>
        <v>1</v>
      </c>
      <c r="U8432" s="22">
        <f t="shared" si="784"/>
        <v>1900</v>
      </c>
      <c r="V8432" s="22" t="str">
        <f t="shared" si="785"/>
        <v>REGIONES</v>
      </c>
    </row>
    <row r="8433" spans="20:22" x14ac:dyDescent="0.2">
      <c r="T8433" s="22">
        <f t="shared" si="783"/>
        <v>1</v>
      </c>
      <c r="U8433" s="22">
        <f t="shared" si="784"/>
        <v>1900</v>
      </c>
      <c r="V8433" s="22" t="str">
        <f t="shared" si="785"/>
        <v>REGIONES</v>
      </c>
    </row>
    <row r="8434" spans="20:22" x14ac:dyDescent="0.2">
      <c r="T8434" s="22">
        <f t="shared" si="783"/>
        <v>1</v>
      </c>
      <c r="U8434" s="22">
        <f t="shared" si="784"/>
        <v>1900</v>
      </c>
      <c r="V8434" s="22" t="str">
        <f t="shared" si="785"/>
        <v>REGIONES</v>
      </c>
    </row>
    <row r="8435" spans="20:22" x14ac:dyDescent="0.2">
      <c r="T8435" s="22">
        <f t="shared" si="783"/>
        <v>1</v>
      </c>
      <c r="U8435" s="22">
        <f t="shared" si="784"/>
        <v>1900</v>
      </c>
      <c r="V8435" s="22" t="str">
        <f t="shared" si="785"/>
        <v>REGIONES</v>
      </c>
    </row>
    <row r="8436" spans="20:22" x14ac:dyDescent="0.2">
      <c r="T8436" s="22">
        <f t="shared" si="783"/>
        <v>1</v>
      </c>
      <c r="U8436" s="22">
        <f t="shared" si="784"/>
        <v>1900</v>
      </c>
      <c r="V8436" s="22" t="str">
        <f t="shared" si="785"/>
        <v>REGIONES</v>
      </c>
    </row>
    <row r="8437" spans="20:22" x14ac:dyDescent="0.2">
      <c r="T8437" s="22">
        <f t="shared" si="783"/>
        <v>1</v>
      </c>
      <c r="U8437" s="22">
        <f t="shared" si="784"/>
        <v>1900</v>
      </c>
      <c r="V8437" s="22" t="str">
        <f t="shared" si="785"/>
        <v>REGIONES</v>
      </c>
    </row>
    <row r="8438" spans="20:22" x14ac:dyDescent="0.2">
      <c r="T8438" s="22">
        <f t="shared" si="783"/>
        <v>1</v>
      </c>
      <c r="U8438" s="22">
        <f t="shared" si="784"/>
        <v>1900</v>
      </c>
      <c r="V8438" s="22" t="str">
        <f t="shared" si="785"/>
        <v>REGIONES</v>
      </c>
    </row>
    <row r="8439" spans="20:22" x14ac:dyDescent="0.2">
      <c r="T8439" s="22">
        <f t="shared" si="783"/>
        <v>1</v>
      </c>
      <c r="U8439" s="22">
        <f t="shared" si="784"/>
        <v>1900</v>
      </c>
      <c r="V8439" s="22" t="str">
        <f t="shared" si="785"/>
        <v>REGIONES</v>
      </c>
    </row>
    <row r="8440" spans="20:22" x14ac:dyDescent="0.2">
      <c r="T8440" s="22">
        <f t="shared" si="783"/>
        <v>1</v>
      </c>
      <c r="U8440" s="22">
        <f t="shared" si="784"/>
        <v>1900</v>
      </c>
      <c r="V8440" s="22" t="str">
        <f t="shared" si="785"/>
        <v>REGIONES</v>
      </c>
    </row>
    <row r="8441" spans="20:22" x14ac:dyDescent="0.2">
      <c r="T8441" s="22">
        <f t="shared" si="783"/>
        <v>1</v>
      </c>
      <c r="U8441" s="22">
        <f t="shared" si="784"/>
        <v>1900</v>
      </c>
      <c r="V8441" s="22" t="str">
        <f t="shared" si="785"/>
        <v>REGIONES</v>
      </c>
    </row>
    <row r="8442" spans="20:22" x14ac:dyDescent="0.2">
      <c r="T8442" s="22">
        <f t="shared" si="783"/>
        <v>1</v>
      </c>
      <c r="U8442" s="22">
        <f t="shared" si="784"/>
        <v>1900</v>
      </c>
      <c r="V8442" s="22" t="str">
        <f t="shared" si="785"/>
        <v>REGIONES</v>
      </c>
    </row>
    <row r="8443" spans="20:22" x14ac:dyDescent="0.2">
      <c r="T8443" s="22">
        <f t="shared" si="783"/>
        <v>1</v>
      </c>
      <c r="U8443" s="22">
        <f t="shared" si="784"/>
        <v>1900</v>
      </c>
      <c r="V8443" s="22" t="str">
        <f t="shared" si="785"/>
        <v>REGIONES</v>
      </c>
    </row>
    <row r="8444" spans="20:22" x14ac:dyDescent="0.2">
      <c r="T8444" s="22">
        <f t="shared" si="783"/>
        <v>1</v>
      </c>
      <c r="U8444" s="22">
        <f t="shared" si="784"/>
        <v>1900</v>
      </c>
      <c r="V8444" s="22" t="str">
        <f t="shared" si="785"/>
        <v>REGIONES</v>
      </c>
    </row>
    <row r="8445" spans="20:22" x14ac:dyDescent="0.2">
      <c r="T8445" s="22">
        <f t="shared" si="783"/>
        <v>1</v>
      </c>
      <c r="U8445" s="22">
        <f t="shared" si="784"/>
        <v>1900</v>
      </c>
      <c r="V8445" s="22" t="str">
        <f t="shared" si="785"/>
        <v>REGIONES</v>
      </c>
    </row>
    <row r="8446" spans="20:22" x14ac:dyDescent="0.2">
      <c r="T8446" s="22">
        <f t="shared" si="783"/>
        <v>1</v>
      </c>
      <c r="U8446" s="22">
        <f t="shared" si="784"/>
        <v>1900</v>
      </c>
      <c r="V8446" s="22" t="str">
        <f t="shared" si="785"/>
        <v>REGIONES</v>
      </c>
    </row>
    <row r="8447" spans="20:22" x14ac:dyDescent="0.2">
      <c r="T8447" s="22">
        <f t="shared" si="783"/>
        <v>1</v>
      </c>
      <c r="U8447" s="22">
        <f t="shared" si="784"/>
        <v>1900</v>
      </c>
      <c r="V8447" s="22" t="str">
        <f t="shared" si="785"/>
        <v>REGIONES</v>
      </c>
    </row>
    <row r="8448" spans="20:22" x14ac:dyDescent="0.2">
      <c r="T8448" s="22">
        <f t="shared" si="783"/>
        <v>1</v>
      </c>
      <c r="U8448" s="22">
        <f t="shared" si="784"/>
        <v>1900</v>
      </c>
      <c r="V8448" s="22" t="str">
        <f t="shared" si="785"/>
        <v>REGIONES</v>
      </c>
    </row>
    <row r="8449" spans="20:22" x14ac:dyDescent="0.2">
      <c r="T8449" s="22">
        <f t="shared" si="783"/>
        <v>1</v>
      </c>
      <c r="U8449" s="22">
        <f t="shared" si="784"/>
        <v>1900</v>
      </c>
      <c r="V8449" s="22" t="str">
        <f t="shared" si="785"/>
        <v>REGIONES</v>
      </c>
    </row>
    <row r="8450" spans="20:22" x14ac:dyDescent="0.2">
      <c r="T8450" s="22">
        <f t="shared" ref="T8450:T8513" si="786">MONTH(A8450)</f>
        <v>1</v>
      </c>
      <c r="U8450" s="22">
        <f t="shared" ref="U8450:U8513" si="787">YEAR(A8450)</f>
        <v>1900</v>
      </c>
      <c r="V8450" s="22" t="str">
        <f t="shared" ref="V8450:V8513" si="788">IF(K8450="METROPOLITANA DE SANTIAGO","METROPOLITANA","REGIONES")</f>
        <v>REGIONES</v>
      </c>
    </row>
    <row r="8451" spans="20:22" x14ac:dyDescent="0.2">
      <c r="T8451" s="22">
        <f t="shared" si="786"/>
        <v>1</v>
      </c>
      <c r="U8451" s="22">
        <f t="shared" si="787"/>
        <v>1900</v>
      </c>
      <c r="V8451" s="22" t="str">
        <f t="shared" si="788"/>
        <v>REGIONES</v>
      </c>
    </row>
    <row r="8452" spans="20:22" x14ac:dyDescent="0.2">
      <c r="T8452" s="22">
        <f t="shared" si="786"/>
        <v>1</v>
      </c>
      <c r="U8452" s="22">
        <f t="shared" si="787"/>
        <v>1900</v>
      </c>
      <c r="V8452" s="22" t="str">
        <f t="shared" si="788"/>
        <v>REGIONES</v>
      </c>
    </row>
    <row r="8453" spans="20:22" x14ac:dyDescent="0.2">
      <c r="T8453" s="22">
        <f t="shared" si="786"/>
        <v>1</v>
      </c>
      <c r="U8453" s="22">
        <f t="shared" si="787"/>
        <v>1900</v>
      </c>
      <c r="V8453" s="22" t="str">
        <f t="shared" si="788"/>
        <v>REGIONES</v>
      </c>
    </row>
    <row r="8454" spans="20:22" x14ac:dyDescent="0.2">
      <c r="T8454" s="22">
        <f t="shared" si="786"/>
        <v>1</v>
      </c>
      <c r="U8454" s="22">
        <f t="shared" si="787"/>
        <v>1900</v>
      </c>
      <c r="V8454" s="22" t="str">
        <f t="shared" si="788"/>
        <v>REGIONES</v>
      </c>
    </row>
    <row r="8455" spans="20:22" x14ac:dyDescent="0.2">
      <c r="T8455" s="22">
        <f t="shared" si="786"/>
        <v>1</v>
      </c>
      <c r="U8455" s="22">
        <f t="shared" si="787"/>
        <v>1900</v>
      </c>
      <c r="V8455" s="22" t="str">
        <f t="shared" si="788"/>
        <v>REGIONES</v>
      </c>
    </row>
    <row r="8456" spans="20:22" x14ac:dyDescent="0.2">
      <c r="T8456" s="22">
        <f t="shared" si="786"/>
        <v>1</v>
      </c>
      <c r="U8456" s="22">
        <f t="shared" si="787"/>
        <v>1900</v>
      </c>
      <c r="V8456" s="22" t="str">
        <f t="shared" si="788"/>
        <v>REGIONES</v>
      </c>
    </row>
    <row r="8457" spans="20:22" x14ac:dyDescent="0.2">
      <c r="T8457" s="22">
        <f t="shared" si="786"/>
        <v>1</v>
      </c>
      <c r="U8457" s="22">
        <f t="shared" si="787"/>
        <v>1900</v>
      </c>
      <c r="V8457" s="22" t="str">
        <f t="shared" si="788"/>
        <v>REGIONES</v>
      </c>
    </row>
    <row r="8458" spans="20:22" x14ac:dyDescent="0.2">
      <c r="T8458" s="22">
        <f t="shared" si="786"/>
        <v>1</v>
      </c>
      <c r="U8458" s="22">
        <f t="shared" si="787"/>
        <v>1900</v>
      </c>
      <c r="V8458" s="22" t="str">
        <f t="shared" si="788"/>
        <v>REGIONES</v>
      </c>
    </row>
    <row r="8459" spans="20:22" x14ac:dyDescent="0.2">
      <c r="T8459" s="22">
        <f t="shared" si="786"/>
        <v>1</v>
      </c>
      <c r="U8459" s="22">
        <f t="shared" si="787"/>
        <v>1900</v>
      </c>
      <c r="V8459" s="22" t="str">
        <f t="shared" si="788"/>
        <v>REGIONES</v>
      </c>
    </row>
    <row r="8460" spans="20:22" x14ac:dyDescent="0.2">
      <c r="T8460" s="22">
        <f t="shared" si="786"/>
        <v>1</v>
      </c>
      <c r="U8460" s="22">
        <f t="shared" si="787"/>
        <v>1900</v>
      </c>
      <c r="V8460" s="22" t="str">
        <f t="shared" si="788"/>
        <v>REGIONES</v>
      </c>
    </row>
    <row r="8461" spans="20:22" x14ac:dyDescent="0.2">
      <c r="T8461" s="22">
        <f t="shared" si="786"/>
        <v>1</v>
      </c>
      <c r="U8461" s="22">
        <f t="shared" si="787"/>
        <v>1900</v>
      </c>
      <c r="V8461" s="22" t="str">
        <f t="shared" si="788"/>
        <v>REGIONES</v>
      </c>
    </row>
    <row r="8462" spans="20:22" x14ac:dyDescent="0.2">
      <c r="T8462" s="22">
        <f t="shared" si="786"/>
        <v>1</v>
      </c>
      <c r="U8462" s="22">
        <f t="shared" si="787"/>
        <v>1900</v>
      </c>
      <c r="V8462" s="22" t="str">
        <f t="shared" si="788"/>
        <v>REGIONES</v>
      </c>
    </row>
    <row r="8463" spans="20:22" x14ac:dyDescent="0.2">
      <c r="T8463" s="22">
        <f t="shared" si="786"/>
        <v>1</v>
      </c>
      <c r="U8463" s="22">
        <f t="shared" si="787"/>
        <v>1900</v>
      </c>
      <c r="V8463" s="22" t="str">
        <f t="shared" si="788"/>
        <v>REGIONES</v>
      </c>
    </row>
    <row r="8464" spans="20:22" x14ac:dyDescent="0.2">
      <c r="T8464" s="22">
        <f t="shared" si="786"/>
        <v>1</v>
      </c>
      <c r="U8464" s="22">
        <f t="shared" si="787"/>
        <v>1900</v>
      </c>
      <c r="V8464" s="22" t="str">
        <f t="shared" si="788"/>
        <v>REGIONES</v>
      </c>
    </row>
    <row r="8465" spans="20:22" x14ac:dyDescent="0.2">
      <c r="T8465" s="22">
        <f t="shared" si="786"/>
        <v>1</v>
      </c>
      <c r="U8465" s="22">
        <f t="shared" si="787"/>
        <v>1900</v>
      </c>
      <c r="V8465" s="22" t="str">
        <f t="shared" si="788"/>
        <v>REGIONES</v>
      </c>
    </row>
    <row r="8466" spans="20:22" x14ac:dyDescent="0.2">
      <c r="T8466" s="22">
        <f t="shared" si="786"/>
        <v>1</v>
      </c>
      <c r="U8466" s="22">
        <f t="shared" si="787"/>
        <v>1900</v>
      </c>
      <c r="V8466" s="22" t="str">
        <f t="shared" si="788"/>
        <v>REGIONES</v>
      </c>
    </row>
    <row r="8467" spans="20:22" x14ac:dyDescent="0.2">
      <c r="T8467" s="22">
        <f t="shared" si="786"/>
        <v>1</v>
      </c>
      <c r="U8467" s="22">
        <f t="shared" si="787"/>
        <v>1900</v>
      </c>
      <c r="V8467" s="22" t="str">
        <f t="shared" si="788"/>
        <v>REGIONES</v>
      </c>
    </row>
    <row r="8468" spans="20:22" x14ac:dyDescent="0.2">
      <c r="T8468" s="22">
        <f t="shared" si="786"/>
        <v>1</v>
      </c>
      <c r="U8468" s="22">
        <f t="shared" si="787"/>
        <v>1900</v>
      </c>
      <c r="V8468" s="22" t="str">
        <f t="shared" si="788"/>
        <v>REGIONES</v>
      </c>
    </row>
    <row r="8469" spans="20:22" x14ac:dyDescent="0.2">
      <c r="T8469" s="22">
        <f t="shared" si="786"/>
        <v>1</v>
      </c>
      <c r="U8469" s="22">
        <f t="shared" si="787"/>
        <v>1900</v>
      </c>
      <c r="V8469" s="22" t="str">
        <f t="shared" si="788"/>
        <v>REGIONES</v>
      </c>
    </row>
    <row r="8470" spans="20:22" x14ac:dyDescent="0.2">
      <c r="T8470" s="22">
        <f t="shared" si="786"/>
        <v>1</v>
      </c>
      <c r="U8470" s="22">
        <f t="shared" si="787"/>
        <v>1900</v>
      </c>
      <c r="V8470" s="22" t="str">
        <f t="shared" si="788"/>
        <v>REGIONES</v>
      </c>
    </row>
    <row r="8471" spans="20:22" x14ac:dyDescent="0.2">
      <c r="T8471" s="22">
        <f t="shared" si="786"/>
        <v>1</v>
      </c>
      <c r="U8471" s="22">
        <f t="shared" si="787"/>
        <v>1900</v>
      </c>
      <c r="V8471" s="22" t="str">
        <f t="shared" si="788"/>
        <v>REGIONES</v>
      </c>
    </row>
    <row r="8472" spans="20:22" x14ac:dyDescent="0.2">
      <c r="T8472" s="22">
        <f t="shared" si="786"/>
        <v>1</v>
      </c>
      <c r="U8472" s="22">
        <f t="shared" si="787"/>
        <v>1900</v>
      </c>
      <c r="V8472" s="22" t="str">
        <f t="shared" si="788"/>
        <v>REGIONES</v>
      </c>
    </row>
    <row r="8473" spans="20:22" x14ac:dyDescent="0.2">
      <c r="T8473" s="22">
        <f t="shared" si="786"/>
        <v>1</v>
      </c>
      <c r="U8473" s="22">
        <f t="shared" si="787"/>
        <v>1900</v>
      </c>
      <c r="V8473" s="22" t="str">
        <f t="shared" si="788"/>
        <v>REGIONES</v>
      </c>
    </row>
    <row r="8474" spans="20:22" x14ac:dyDescent="0.2">
      <c r="T8474" s="22">
        <f t="shared" si="786"/>
        <v>1</v>
      </c>
      <c r="U8474" s="22">
        <f t="shared" si="787"/>
        <v>1900</v>
      </c>
      <c r="V8474" s="22" t="str">
        <f t="shared" si="788"/>
        <v>REGIONES</v>
      </c>
    </row>
    <row r="8475" spans="20:22" x14ac:dyDescent="0.2">
      <c r="T8475" s="22">
        <f t="shared" si="786"/>
        <v>1</v>
      </c>
      <c r="U8475" s="22">
        <f t="shared" si="787"/>
        <v>1900</v>
      </c>
      <c r="V8475" s="22" t="str">
        <f t="shared" si="788"/>
        <v>REGIONES</v>
      </c>
    </row>
    <row r="8476" spans="20:22" x14ac:dyDescent="0.2">
      <c r="T8476" s="22">
        <f t="shared" si="786"/>
        <v>1</v>
      </c>
      <c r="U8476" s="22">
        <f t="shared" si="787"/>
        <v>1900</v>
      </c>
      <c r="V8476" s="22" t="str">
        <f t="shared" si="788"/>
        <v>REGIONES</v>
      </c>
    </row>
    <row r="8477" spans="20:22" x14ac:dyDescent="0.2">
      <c r="T8477" s="22">
        <f t="shared" si="786"/>
        <v>1</v>
      </c>
      <c r="U8477" s="22">
        <f t="shared" si="787"/>
        <v>1900</v>
      </c>
      <c r="V8477" s="22" t="str">
        <f t="shared" si="788"/>
        <v>REGIONES</v>
      </c>
    </row>
    <row r="8478" spans="20:22" x14ac:dyDescent="0.2">
      <c r="T8478" s="22">
        <f t="shared" si="786"/>
        <v>1</v>
      </c>
      <c r="U8478" s="22">
        <f t="shared" si="787"/>
        <v>1900</v>
      </c>
      <c r="V8478" s="22" t="str">
        <f t="shared" si="788"/>
        <v>REGIONES</v>
      </c>
    </row>
    <row r="8479" spans="20:22" x14ac:dyDescent="0.2">
      <c r="T8479" s="22">
        <f t="shared" si="786"/>
        <v>1</v>
      </c>
      <c r="U8479" s="22">
        <f t="shared" si="787"/>
        <v>1900</v>
      </c>
      <c r="V8479" s="22" t="str">
        <f t="shared" si="788"/>
        <v>REGIONES</v>
      </c>
    </row>
    <row r="8480" spans="20:22" x14ac:dyDescent="0.2">
      <c r="T8480" s="22">
        <f t="shared" si="786"/>
        <v>1</v>
      </c>
      <c r="U8480" s="22">
        <f t="shared" si="787"/>
        <v>1900</v>
      </c>
      <c r="V8480" s="22" t="str">
        <f t="shared" si="788"/>
        <v>REGIONES</v>
      </c>
    </row>
    <row r="8481" spans="20:22" x14ac:dyDescent="0.2">
      <c r="T8481" s="22">
        <f t="shared" si="786"/>
        <v>1</v>
      </c>
      <c r="U8481" s="22">
        <f t="shared" si="787"/>
        <v>1900</v>
      </c>
      <c r="V8481" s="22" t="str">
        <f t="shared" si="788"/>
        <v>REGIONES</v>
      </c>
    </row>
    <row r="8482" spans="20:22" x14ac:dyDescent="0.2">
      <c r="T8482" s="22">
        <f t="shared" si="786"/>
        <v>1</v>
      </c>
      <c r="U8482" s="22">
        <f t="shared" si="787"/>
        <v>1900</v>
      </c>
      <c r="V8482" s="22" t="str">
        <f t="shared" si="788"/>
        <v>REGIONES</v>
      </c>
    </row>
    <row r="8483" spans="20:22" x14ac:dyDescent="0.2">
      <c r="T8483" s="22">
        <f t="shared" si="786"/>
        <v>1</v>
      </c>
      <c r="U8483" s="22">
        <f t="shared" si="787"/>
        <v>1900</v>
      </c>
      <c r="V8483" s="22" t="str">
        <f t="shared" si="788"/>
        <v>REGIONES</v>
      </c>
    </row>
    <row r="8484" spans="20:22" x14ac:dyDescent="0.2">
      <c r="T8484" s="22">
        <f t="shared" si="786"/>
        <v>1</v>
      </c>
      <c r="U8484" s="22">
        <f t="shared" si="787"/>
        <v>1900</v>
      </c>
      <c r="V8484" s="22" t="str">
        <f t="shared" si="788"/>
        <v>REGIONES</v>
      </c>
    </row>
    <row r="8485" spans="20:22" x14ac:dyDescent="0.2">
      <c r="T8485" s="22">
        <f t="shared" si="786"/>
        <v>1</v>
      </c>
      <c r="U8485" s="22">
        <f t="shared" si="787"/>
        <v>1900</v>
      </c>
      <c r="V8485" s="22" t="str">
        <f t="shared" si="788"/>
        <v>REGIONES</v>
      </c>
    </row>
    <row r="8486" spans="20:22" x14ac:dyDescent="0.2">
      <c r="T8486" s="22">
        <f t="shared" si="786"/>
        <v>1</v>
      </c>
      <c r="U8486" s="22">
        <f t="shared" si="787"/>
        <v>1900</v>
      </c>
      <c r="V8486" s="22" t="str">
        <f t="shared" si="788"/>
        <v>REGIONES</v>
      </c>
    </row>
    <row r="8487" spans="20:22" x14ac:dyDescent="0.2">
      <c r="T8487" s="22">
        <f t="shared" si="786"/>
        <v>1</v>
      </c>
      <c r="U8487" s="22">
        <f t="shared" si="787"/>
        <v>1900</v>
      </c>
      <c r="V8487" s="22" t="str">
        <f t="shared" si="788"/>
        <v>REGIONES</v>
      </c>
    </row>
    <row r="8488" spans="20:22" x14ac:dyDescent="0.2">
      <c r="T8488" s="22">
        <f t="shared" si="786"/>
        <v>1</v>
      </c>
      <c r="U8488" s="22">
        <f t="shared" si="787"/>
        <v>1900</v>
      </c>
      <c r="V8488" s="22" t="str">
        <f t="shared" si="788"/>
        <v>REGIONES</v>
      </c>
    </row>
    <row r="8489" spans="20:22" x14ac:dyDescent="0.2">
      <c r="T8489" s="22">
        <f t="shared" si="786"/>
        <v>1</v>
      </c>
      <c r="U8489" s="22">
        <f t="shared" si="787"/>
        <v>1900</v>
      </c>
      <c r="V8489" s="22" t="str">
        <f t="shared" si="788"/>
        <v>REGIONES</v>
      </c>
    </row>
    <row r="8490" spans="20:22" x14ac:dyDescent="0.2">
      <c r="T8490" s="22">
        <f t="shared" si="786"/>
        <v>1</v>
      </c>
      <c r="U8490" s="22">
        <f t="shared" si="787"/>
        <v>1900</v>
      </c>
      <c r="V8490" s="22" t="str">
        <f t="shared" si="788"/>
        <v>REGIONES</v>
      </c>
    </row>
    <row r="8491" spans="20:22" x14ac:dyDescent="0.2">
      <c r="T8491" s="22">
        <f t="shared" si="786"/>
        <v>1</v>
      </c>
      <c r="U8491" s="22">
        <f t="shared" si="787"/>
        <v>1900</v>
      </c>
      <c r="V8491" s="22" t="str">
        <f t="shared" si="788"/>
        <v>REGIONES</v>
      </c>
    </row>
    <row r="8492" spans="20:22" x14ac:dyDescent="0.2">
      <c r="T8492" s="22">
        <f t="shared" si="786"/>
        <v>1</v>
      </c>
      <c r="U8492" s="22">
        <f t="shared" si="787"/>
        <v>1900</v>
      </c>
      <c r="V8492" s="22" t="str">
        <f t="shared" si="788"/>
        <v>REGIONES</v>
      </c>
    </row>
    <row r="8493" spans="20:22" x14ac:dyDescent="0.2">
      <c r="T8493" s="22">
        <f t="shared" si="786"/>
        <v>1</v>
      </c>
      <c r="U8493" s="22">
        <f t="shared" si="787"/>
        <v>1900</v>
      </c>
      <c r="V8493" s="22" t="str">
        <f t="shared" si="788"/>
        <v>REGIONES</v>
      </c>
    </row>
    <row r="8494" spans="20:22" x14ac:dyDescent="0.2">
      <c r="T8494" s="22">
        <f t="shared" si="786"/>
        <v>1</v>
      </c>
      <c r="U8494" s="22">
        <f t="shared" si="787"/>
        <v>1900</v>
      </c>
      <c r="V8494" s="22" t="str">
        <f t="shared" si="788"/>
        <v>REGIONES</v>
      </c>
    </row>
    <row r="8495" spans="20:22" x14ac:dyDescent="0.2">
      <c r="T8495" s="22">
        <f t="shared" si="786"/>
        <v>1</v>
      </c>
      <c r="U8495" s="22">
        <f t="shared" si="787"/>
        <v>1900</v>
      </c>
      <c r="V8495" s="22" t="str">
        <f t="shared" si="788"/>
        <v>REGIONES</v>
      </c>
    </row>
    <row r="8496" spans="20:22" x14ac:dyDescent="0.2">
      <c r="T8496" s="22">
        <f t="shared" si="786"/>
        <v>1</v>
      </c>
      <c r="U8496" s="22">
        <f t="shared" si="787"/>
        <v>1900</v>
      </c>
      <c r="V8496" s="22" t="str">
        <f t="shared" si="788"/>
        <v>REGIONES</v>
      </c>
    </row>
    <row r="8497" spans="20:22" x14ac:dyDescent="0.2">
      <c r="T8497" s="22">
        <f t="shared" si="786"/>
        <v>1</v>
      </c>
      <c r="U8497" s="22">
        <f t="shared" si="787"/>
        <v>1900</v>
      </c>
      <c r="V8497" s="22" t="str">
        <f t="shared" si="788"/>
        <v>REGIONES</v>
      </c>
    </row>
    <row r="8498" spans="20:22" x14ac:dyDescent="0.2">
      <c r="T8498" s="22">
        <f t="shared" si="786"/>
        <v>1</v>
      </c>
      <c r="U8498" s="22">
        <f t="shared" si="787"/>
        <v>1900</v>
      </c>
      <c r="V8498" s="22" t="str">
        <f t="shared" si="788"/>
        <v>REGIONES</v>
      </c>
    </row>
    <row r="8499" spans="20:22" x14ac:dyDescent="0.2">
      <c r="T8499" s="22">
        <f t="shared" si="786"/>
        <v>1</v>
      </c>
      <c r="U8499" s="22">
        <f t="shared" si="787"/>
        <v>1900</v>
      </c>
      <c r="V8499" s="22" t="str">
        <f t="shared" si="788"/>
        <v>REGIONES</v>
      </c>
    </row>
    <row r="8500" spans="20:22" x14ac:dyDescent="0.2">
      <c r="T8500" s="22">
        <f t="shared" si="786"/>
        <v>1</v>
      </c>
      <c r="U8500" s="22">
        <f t="shared" si="787"/>
        <v>1900</v>
      </c>
      <c r="V8500" s="22" t="str">
        <f t="shared" si="788"/>
        <v>REGIONES</v>
      </c>
    </row>
    <row r="8501" spans="20:22" x14ac:dyDescent="0.2">
      <c r="T8501" s="22">
        <f t="shared" si="786"/>
        <v>1</v>
      </c>
      <c r="U8501" s="22">
        <f t="shared" si="787"/>
        <v>1900</v>
      </c>
      <c r="V8501" s="22" t="str">
        <f t="shared" si="788"/>
        <v>REGIONES</v>
      </c>
    </row>
    <row r="8502" spans="20:22" x14ac:dyDescent="0.2">
      <c r="T8502" s="22">
        <f t="shared" si="786"/>
        <v>1</v>
      </c>
      <c r="U8502" s="22">
        <f t="shared" si="787"/>
        <v>1900</v>
      </c>
      <c r="V8502" s="22" t="str">
        <f t="shared" si="788"/>
        <v>REGIONES</v>
      </c>
    </row>
    <row r="8503" spans="20:22" x14ac:dyDescent="0.2">
      <c r="T8503" s="22">
        <f t="shared" si="786"/>
        <v>1</v>
      </c>
      <c r="U8503" s="22">
        <f t="shared" si="787"/>
        <v>1900</v>
      </c>
      <c r="V8503" s="22" t="str">
        <f t="shared" si="788"/>
        <v>REGIONES</v>
      </c>
    </row>
    <row r="8504" spans="20:22" x14ac:dyDescent="0.2">
      <c r="T8504" s="22">
        <f t="shared" si="786"/>
        <v>1</v>
      </c>
      <c r="U8504" s="22">
        <f t="shared" si="787"/>
        <v>1900</v>
      </c>
      <c r="V8504" s="22" t="str">
        <f t="shared" si="788"/>
        <v>REGIONES</v>
      </c>
    </row>
    <row r="8505" spans="20:22" x14ac:dyDescent="0.2">
      <c r="T8505" s="22">
        <f t="shared" si="786"/>
        <v>1</v>
      </c>
      <c r="U8505" s="22">
        <f t="shared" si="787"/>
        <v>1900</v>
      </c>
      <c r="V8505" s="22" t="str">
        <f t="shared" si="788"/>
        <v>REGIONES</v>
      </c>
    </row>
    <row r="8506" spans="20:22" x14ac:dyDescent="0.2">
      <c r="T8506" s="22">
        <f t="shared" si="786"/>
        <v>1</v>
      </c>
      <c r="U8506" s="22">
        <f t="shared" si="787"/>
        <v>1900</v>
      </c>
      <c r="V8506" s="22" t="str">
        <f t="shared" si="788"/>
        <v>REGIONES</v>
      </c>
    </row>
    <row r="8507" spans="20:22" x14ac:dyDescent="0.2">
      <c r="T8507" s="22">
        <f t="shared" si="786"/>
        <v>1</v>
      </c>
      <c r="U8507" s="22">
        <f t="shared" si="787"/>
        <v>1900</v>
      </c>
      <c r="V8507" s="22" t="str">
        <f t="shared" si="788"/>
        <v>REGIONES</v>
      </c>
    </row>
    <row r="8508" spans="20:22" x14ac:dyDescent="0.2">
      <c r="T8508" s="22">
        <f t="shared" si="786"/>
        <v>1</v>
      </c>
      <c r="U8508" s="22">
        <f t="shared" si="787"/>
        <v>1900</v>
      </c>
      <c r="V8508" s="22" t="str">
        <f t="shared" si="788"/>
        <v>REGIONES</v>
      </c>
    </row>
    <row r="8509" spans="20:22" x14ac:dyDescent="0.2">
      <c r="T8509" s="22">
        <f t="shared" si="786"/>
        <v>1</v>
      </c>
      <c r="U8509" s="22">
        <f t="shared" si="787"/>
        <v>1900</v>
      </c>
      <c r="V8509" s="22" t="str">
        <f t="shared" si="788"/>
        <v>REGIONES</v>
      </c>
    </row>
    <row r="8510" spans="20:22" x14ac:dyDescent="0.2">
      <c r="T8510" s="22">
        <f t="shared" si="786"/>
        <v>1</v>
      </c>
      <c r="U8510" s="22">
        <f t="shared" si="787"/>
        <v>1900</v>
      </c>
      <c r="V8510" s="22" t="str">
        <f t="shared" si="788"/>
        <v>REGIONES</v>
      </c>
    </row>
    <row r="8511" spans="20:22" x14ac:dyDescent="0.2">
      <c r="T8511" s="22">
        <f t="shared" si="786"/>
        <v>1</v>
      </c>
      <c r="U8511" s="22">
        <f t="shared" si="787"/>
        <v>1900</v>
      </c>
      <c r="V8511" s="22" t="str">
        <f t="shared" si="788"/>
        <v>REGIONES</v>
      </c>
    </row>
    <row r="8512" spans="20:22" x14ac:dyDescent="0.2">
      <c r="T8512" s="22">
        <f t="shared" si="786"/>
        <v>1</v>
      </c>
      <c r="U8512" s="22">
        <f t="shared" si="787"/>
        <v>1900</v>
      </c>
      <c r="V8512" s="22" t="str">
        <f t="shared" si="788"/>
        <v>REGIONES</v>
      </c>
    </row>
    <row r="8513" spans="20:22" x14ac:dyDescent="0.2">
      <c r="T8513" s="22">
        <f t="shared" si="786"/>
        <v>1</v>
      </c>
      <c r="U8513" s="22">
        <f t="shared" si="787"/>
        <v>1900</v>
      </c>
      <c r="V8513" s="22" t="str">
        <f t="shared" si="788"/>
        <v>REGIONES</v>
      </c>
    </row>
    <row r="8514" spans="20:22" x14ac:dyDescent="0.2">
      <c r="T8514" s="22">
        <f t="shared" ref="T8514:T8577" si="789">MONTH(A8514)</f>
        <v>1</v>
      </c>
      <c r="U8514" s="22">
        <f t="shared" ref="U8514:U8577" si="790">YEAR(A8514)</f>
        <v>1900</v>
      </c>
      <c r="V8514" s="22" t="str">
        <f t="shared" ref="V8514:V8577" si="791">IF(K8514="METROPOLITANA DE SANTIAGO","METROPOLITANA","REGIONES")</f>
        <v>REGIONES</v>
      </c>
    </row>
    <row r="8515" spans="20:22" x14ac:dyDescent="0.2">
      <c r="T8515" s="22">
        <f t="shared" si="789"/>
        <v>1</v>
      </c>
      <c r="U8515" s="22">
        <f t="shared" si="790"/>
        <v>1900</v>
      </c>
      <c r="V8515" s="22" t="str">
        <f t="shared" si="791"/>
        <v>REGIONES</v>
      </c>
    </row>
    <row r="8516" spans="20:22" x14ac:dyDescent="0.2">
      <c r="T8516" s="22">
        <f t="shared" si="789"/>
        <v>1</v>
      </c>
      <c r="U8516" s="22">
        <f t="shared" si="790"/>
        <v>1900</v>
      </c>
      <c r="V8516" s="22" t="str">
        <f t="shared" si="791"/>
        <v>REGIONES</v>
      </c>
    </row>
    <row r="8517" spans="20:22" x14ac:dyDescent="0.2">
      <c r="T8517" s="22">
        <f t="shared" si="789"/>
        <v>1</v>
      </c>
      <c r="U8517" s="22">
        <f t="shared" si="790"/>
        <v>1900</v>
      </c>
      <c r="V8517" s="22" t="str">
        <f t="shared" si="791"/>
        <v>REGIONES</v>
      </c>
    </row>
    <row r="8518" spans="20:22" x14ac:dyDescent="0.2">
      <c r="T8518" s="22">
        <f t="shared" si="789"/>
        <v>1</v>
      </c>
      <c r="U8518" s="22">
        <f t="shared" si="790"/>
        <v>1900</v>
      </c>
      <c r="V8518" s="22" t="str">
        <f t="shared" si="791"/>
        <v>REGIONES</v>
      </c>
    </row>
    <row r="8519" spans="20:22" x14ac:dyDescent="0.2">
      <c r="T8519" s="22">
        <f t="shared" si="789"/>
        <v>1</v>
      </c>
      <c r="U8519" s="22">
        <f t="shared" si="790"/>
        <v>1900</v>
      </c>
      <c r="V8519" s="22" t="str">
        <f t="shared" si="791"/>
        <v>REGIONES</v>
      </c>
    </row>
    <row r="8520" spans="20:22" x14ac:dyDescent="0.2">
      <c r="T8520" s="22">
        <f t="shared" si="789"/>
        <v>1</v>
      </c>
      <c r="U8520" s="22">
        <f t="shared" si="790"/>
        <v>1900</v>
      </c>
      <c r="V8520" s="22" t="str">
        <f t="shared" si="791"/>
        <v>REGIONES</v>
      </c>
    </row>
    <row r="8521" spans="20:22" x14ac:dyDescent="0.2">
      <c r="T8521" s="22">
        <f t="shared" si="789"/>
        <v>1</v>
      </c>
      <c r="U8521" s="22">
        <f t="shared" si="790"/>
        <v>1900</v>
      </c>
      <c r="V8521" s="22" t="str">
        <f t="shared" si="791"/>
        <v>REGIONES</v>
      </c>
    </row>
    <row r="8522" spans="20:22" x14ac:dyDescent="0.2">
      <c r="T8522" s="22">
        <f t="shared" si="789"/>
        <v>1</v>
      </c>
      <c r="U8522" s="22">
        <f t="shared" si="790"/>
        <v>1900</v>
      </c>
      <c r="V8522" s="22" t="str">
        <f t="shared" si="791"/>
        <v>REGIONES</v>
      </c>
    </row>
    <row r="8523" spans="20:22" x14ac:dyDescent="0.2">
      <c r="T8523" s="22">
        <f t="shared" si="789"/>
        <v>1</v>
      </c>
      <c r="U8523" s="22">
        <f t="shared" si="790"/>
        <v>1900</v>
      </c>
      <c r="V8523" s="22" t="str">
        <f t="shared" si="791"/>
        <v>REGIONES</v>
      </c>
    </row>
    <row r="8524" spans="20:22" x14ac:dyDescent="0.2">
      <c r="T8524" s="22">
        <f t="shared" si="789"/>
        <v>1</v>
      </c>
      <c r="U8524" s="22">
        <f t="shared" si="790"/>
        <v>1900</v>
      </c>
      <c r="V8524" s="22" t="str">
        <f t="shared" si="791"/>
        <v>REGIONES</v>
      </c>
    </row>
    <row r="8525" spans="20:22" x14ac:dyDescent="0.2">
      <c r="T8525" s="22">
        <f t="shared" si="789"/>
        <v>1</v>
      </c>
      <c r="U8525" s="22">
        <f t="shared" si="790"/>
        <v>1900</v>
      </c>
      <c r="V8525" s="22" t="str">
        <f t="shared" si="791"/>
        <v>REGIONES</v>
      </c>
    </row>
    <row r="8526" spans="20:22" x14ac:dyDescent="0.2">
      <c r="T8526" s="22">
        <f t="shared" si="789"/>
        <v>1</v>
      </c>
      <c r="U8526" s="22">
        <f t="shared" si="790"/>
        <v>1900</v>
      </c>
      <c r="V8526" s="22" t="str">
        <f t="shared" si="791"/>
        <v>REGIONES</v>
      </c>
    </row>
    <row r="8527" spans="20:22" x14ac:dyDescent="0.2">
      <c r="T8527" s="22">
        <f t="shared" si="789"/>
        <v>1</v>
      </c>
      <c r="U8527" s="22">
        <f t="shared" si="790"/>
        <v>1900</v>
      </c>
      <c r="V8527" s="22" t="str">
        <f t="shared" si="791"/>
        <v>REGIONES</v>
      </c>
    </row>
    <row r="8528" spans="20:22" x14ac:dyDescent="0.2">
      <c r="T8528" s="22">
        <f t="shared" si="789"/>
        <v>1</v>
      </c>
      <c r="U8528" s="22">
        <f t="shared" si="790"/>
        <v>1900</v>
      </c>
      <c r="V8528" s="22" t="str">
        <f t="shared" si="791"/>
        <v>REGIONES</v>
      </c>
    </row>
    <row r="8529" spans="20:22" x14ac:dyDescent="0.2">
      <c r="T8529" s="22">
        <f t="shared" si="789"/>
        <v>1</v>
      </c>
      <c r="U8529" s="22">
        <f t="shared" si="790"/>
        <v>1900</v>
      </c>
      <c r="V8529" s="22" t="str">
        <f t="shared" si="791"/>
        <v>REGIONES</v>
      </c>
    </row>
    <row r="8530" spans="20:22" x14ac:dyDescent="0.2">
      <c r="T8530" s="22">
        <f t="shared" si="789"/>
        <v>1</v>
      </c>
      <c r="U8530" s="22">
        <f t="shared" si="790"/>
        <v>1900</v>
      </c>
      <c r="V8530" s="22" t="str">
        <f t="shared" si="791"/>
        <v>REGIONES</v>
      </c>
    </row>
    <row r="8531" spans="20:22" x14ac:dyDescent="0.2">
      <c r="T8531" s="22">
        <f t="shared" si="789"/>
        <v>1</v>
      </c>
      <c r="U8531" s="22">
        <f t="shared" si="790"/>
        <v>1900</v>
      </c>
      <c r="V8531" s="22" t="str">
        <f t="shared" si="791"/>
        <v>REGIONES</v>
      </c>
    </row>
    <row r="8532" spans="20:22" x14ac:dyDescent="0.2">
      <c r="T8532" s="22">
        <f t="shared" si="789"/>
        <v>1</v>
      </c>
      <c r="U8532" s="22">
        <f t="shared" si="790"/>
        <v>1900</v>
      </c>
      <c r="V8532" s="22" t="str">
        <f t="shared" si="791"/>
        <v>REGIONES</v>
      </c>
    </row>
    <row r="8533" spans="20:22" x14ac:dyDescent="0.2">
      <c r="T8533" s="22">
        <f t="shared" si="789"/>
        <v>1</v>
      </c>
      <c r="U8533" s="22">
        <f t="shared" si="790"/>
        <v>1900</v>
      </c>
      <c r="V8533" s="22" t="str">
        <f t="shared" si="791"/>
        <v>REGIONES</v>
      </c>
    </row>
    <row r="8534" spans="20:22" x14ac:dyDescent="0.2">
      <c r="T8534" s="22">
        <f t="shared" si="789"/>
        <v>1</v>
      </c>
      <c r="U8534" s="22">
        <f t="shared" si="790"/>
        <v>1900</v>
      </c>
      <c r="V8534" s="22" t="str">
        <f t="shared" si="791"/>
        <v>REGIONES</v>
      </c>
    </row>
    <row r="8535" spans="20:22" x14ac:dyDescent="0.2">
      <c r="T8535" s="22">
        <f t="shared" si="789"/>
        <v>1</v>
      </c>
      <c r="U8535" s="22">
        <f t="shared" si="790"/>
        <v>1900</v>
      </c>
      <c r="V8535" s="22" t="str">
        <f t="shared" si="791"/>
        <v>REGIONES</v>
      </c>
    </row>
    <row r="8536" spans="20:22" x14ac:dyDescent="0.2">
      <c r="T8536" s="22">
        <f t="shared" si="789"/>
        <v>1</v>
      </c>
      <c r="U8536" s="22">
        <f t="shared" si="790"/>
        <v>1900</v>
      </c>
      <c r="V8536" s="22" t="str">
        <f t="shared" si="791"/>
        <v>REGIONES</v>
      </c>
    </row>
    <row r="8537" spans="20:22" x14ac:dyDescent="0.2">
      <c r="T8537" s="22">
        <f t="shared" si="789"/>
        <v>1</v>
      </c>
      <c r="U8537" s="22">
        <f t="shared" si="790"/>
        <v>1900</v>
      </c>
      <c r="V8537" s="22" t="str">
        <f t="shared" si="791"/>
        <v>REGIONES</v>
      </c>
    </row>
    <row r="8538" spans="20:22" x14ac:dyDescent="0.2">
      <c r="T8538" s="22">
        <f t="shared" si="789"/>
        <v>1</v>
      </c>
      <c r="U8538" s="22">
        <f t="shared" si="790"/>
        <v>1900</v>
      </c>
      <c r="V8538" s="22" t="str">
        <f t="shared" si="791"/>
        <v>REGIONES</v>
      </c>
    </row>
    <row r="8539" spans="20:22" x14ac:dyDescent="0.2">
      <c r="T8539" s="22">
        <f t="shared" si="789"/>
        <v>1</v>
      </c>
      <c r="U8539" s="22">
        <f t="shared" si="790"/>
        <v>1900</v>
      </c>
      <c r="V8539" s="22" t="str">
        <f t="shared" si="791"/>
        <v>REGIONES</v>
      </c>
    </row>
    <row r="8540" spans="20:22" x14ac:dyDescent="0.2">
      <c r="T8540" s="22">
        <f t="shared" si="789"/>
        <v>1</v>
      </c>
      <c r="U8540" s="22">
        <f t="shared" si="790"/>
        <v>1900</v>
      </c>
      <c r="V8540" s="22" t="str">
        <f t="shared" si="791"/>
        <v>REGIONES</v>
      </c>
    </row>
    <row r="8541" spans="20:22" x14ac:dyDescent="0.2">
      <c r="T8541" s="22">
        <f t="shared" si="789"/>
        <v>1</v>
      </c>
      <c r="U8541" s="22">
        <f t="shared" si="790"/>
        <v>1900</v>
      </c>
      <c r="V8541" s="22" t="str">
        <f t="shared" si="791"/>
        <v>REGIONES</v>
      </c>
    </row>
    <row r="8542" spans="20:22" x14ac:dyDescent="0.2">
      <c r="T8542" s="22">
        <f t="shared" si="789"/>
        <v>1</v>
      </c>
      <c r="U8542" s="22">
        <f t="shared" si="790"/>
        <v>1900</v>
      </c>
      <c r="V8542" s="22" t="str">
        <f t="shared" si="791"/>
        <v>REGIONES</v>
      </c>
    </row>
    <row r="8543" spans="20:22" x14ac:dyDescent="0.2">
      <c r="T8543" s="22">
        <f t="shared" si="789"/>
        <v>1</v>
      </c>
      <c r="U8543" s="22">
        <f t="shared" si="790"/>
        <v>1900</v>
      </c>
      <c r="V8543" s="22" t="str">
        <f t="shared" si="791"/>
        <v>REGIONES</v>
      </c>
    </row>
    <row r="8544" spans="20:22" x14ac:dyDescent="0.2">
      <c r="T8544" s="22">
        <f t="shared" si="789"/>
        <v>1</v>
      </c>
      <c r="U8544" s="22">
        <f t="shared" si="790"/>
        <v>1900</v>
      </c>
      <c r="V8544" s="22" t="str">
        <f t="shared" si="791"/>
        <v>REGIONES</v>
      </c>
    </row>
    <row r="8545" spans="20:22" x14ac:dyDescent="0.2">
      <c r="T8545" s="22">
        <f t="shared" si="789"/>
        <v>1</v>
      </c>
      <c r="U8545" s="22">
        <f t="shared" si="790"/>
        <v>1900</v>
      </c>
      <c r="V8545" s="22" t="str">
        <f t="shared" si="791"/>
        <v>REGIONES</v>
      </c>
    </row>
    <row r="8546" spans="20:22" x14ac:dyDescent="0.2">
      <c r="T8546" s="22">
        <f t="shared" si="789"/>
        <v>1</v>
      </c>
      <c r="U8546" s="22">
        <f t="shared" si="790"/>
        <v>1900</v>
      </c>
      <c r="V8546" s="22" t="str">
        <f t="shared" si="791"/>
        <v>REGIONES</v>
      </c>
    </row>
    <row r="8547" spans="20:22" x14ac:dyDescent="0.2">
      <c r="T8547" s="22">
        <f t="shared" si="789"/>
        <v>1</v>
      </c>
      <c r="U8547" s="22">
        <f t="shared" si="790"/>
        <v>1900</v>
      </c>
      <c r="V8547" s="22" t="str">
        <f t="shared" si="791"/>
        <v>REGIONES</v>
      </c>
    </row>
    <row r="8548" spans="20:22" x14ac:dyDescent="0.2">
      <c r="T8548" s="22">
        <f t="shared" si="789"/>
        <v>1</v>
      </c>
      <c r="U8548" s="22">
        <f t="shared" si="790"/>
        <v>1900</v>
      </c>
      <c r="V8548" s="22" t="str">
        <f t="shared" si="791"/>
        <v>REGIONES</v>
      </c>
    </row>
    <row r="8549" spans="20:22" x14ac:dyDescent="0.2">
      <c r="T8549" s="22">
        <f t="shared" si="789"/>
        <v>1</v>
      </c>
      <c r="U8549" s="22">
        <f t="shared" si="790"/>
        <v>1900</v>
      </c>
      <c r="V8549" s="22" t="str">
        <f t="shared" si="791"/>
        <v>REGIONES</v>
      </c>
    </row>
    <row r="8550" spans="20:22" x14ac:dyDescent="0.2">
      <c r="T8550" s="22">
        <f t="shared" si="789"/>
        <v>1</v>
      </c>
      <c r="U8550" s="22">
        <f t="shared" si="790"/>
        <v>1900</v>
      </c>
      <c r="V8550" s="22" t="str">
        <f t="shared" si="791"/>
        <v>REGIONES</v>
      </c>
    </row>
    <row r="8551" spans="20:22" x14ac:dyDescent="0.2">
      <c r="T8551" s="22">
        <f t="shared" si="789"/>
        <v>1</v>
      </c>
      <c r="U8551" s="22">
        <f t="shared" si="790"/>
        <v>1900</v>
      </c>
      <c r="V8551" s="22" t="str">
        <f t="shared" si="791"/>
        <v>REGIONES</v>
      </c>
    </row>
    <row r="8552" spans="20:22" x14ac:dyDescent="0.2">
      <c r="T8552" s="22">
        <f t="shared" si="789"/>
        <v>1</v>
      </c>
      <c r="U8552" s="22">
        <f t="shared" si="790"/>
        <v>1900</v>
      </c>
      <c r="V8552" s="22" t="str">
        <f t="shared" si="791"/>
        <v>REGIONES</v>
      </c>
    </row>
    <row r="8553" spans="20:22" x14ac:dyDescent="0.2">
      <c r="T8553" s="22">
        <f t="shared" si="789"/>
        <v>1</v>
      </c>
      <c r="U8553" s="22">
        <f t="shared" si="790"/>
        <v>1900</v>
      </c>
      <c r="V8553" s="22" t="str">
        <f t="shared" si="791"/>
        <v>REGIONES</v>
      </c>
    </row>
    <row r="8554" spans="20:22" x14ac:dyDescent="0.2">
      <c r="T8554" s="22">
        <f t="shared" si="789"/>
        <v>1</v>
      </c>
      <c r="U8554" s="22">
        <f t="shared" si="790"/>
        <v>1900</v>
      </c>
      <c r="V8554" s="22" t="str">
        <f t="shared" si="791"/>
        <v>REGIONES</v>
      </c>
    </row>
    <row r="8555" spans="20:22" x14ac:dyDescent="0.2">
      <c r="T8555" s="22">
        <f t="shared" si="789"/>
        <v>1</v>
      </c>
      <c r="U8555" s="22">
        <f t="shared" si="790"/>
        <v>1900</v>
      </c>
      <c r="V8555" s="22" t="str">
        <f t="shared" si="791"/>
        <v>REGIONES</v>
      </c>
    </row>
    <row r="8556" spans="20:22" x14ac:dyDescent="0.2">
      <c r="T8556" s="22">
        <f t="shared" si="789"/>
        <v>1</v>
      </c>
      <c r="U8556" s="22">
        <f t="shared" si="790"/>
        <v>1900</v>
      </c>
      <c r="V8556" s="22" t="str">
        <f t="shared" si="791"/>
        <v>REGIONES</v>
      </c>
    </row>
    <row r="8557" spans="20:22" x14ac:dyDescent="0.2">
      <c r="T8557" s="22">
        <f t="shared" si="789"/>
        <v>1</v>
      </c>
      <c r="U8557" s="22">
        <f t="shared" si="790"/>
        <v>1900</v>
      </c>
      <c r="V8557" s="22" t="str">
        <f t="shared" si="791"/>
        <v>REGIONES</v>
      </c>
    </row>
    <row r="8558" spans="20:22" x14ac:dyDescent="0.2">
      <c r="T8558" s="22">
        <f t="shared" si="789"/>
        <v>1</v>
      </c>
      <c r="U8558" s="22">
        <f t="shared" si="790"/>
        <v>1900</v>
      </c>
      <c r="V8558" s="22" t="str">
        <f t="shared" si="791"/>
        <v>REGIONES</v>
      </c>
    </row>
    <row r="8559" spans="20:22" x14ac:dyDescent="0.2">
      <c r="T8559" s="22">
        <f t="shared" si="789"/>
        <v>1</v>
      </c>
      <c r="U8559" s="22">
        <f t="shared" si="790"/>
        <v>1900</v>
      </c>
      <c r="V8559" s="22" t="str">
        <f t="shared" si="791"/>
        <v>REGIONES</v>
      </c>
    </row>
    <row r="8560" spans="20:22" x14ac:dyDescent="0.2">
      <c r="T8560" s="22">
        <f t="shared" si="789"/>
        <v>1</v>
      </c>
      <c r="U8560" s="22">
        <f t="shared" si="790"/>
        <v>1900</v>
      </c>
      <c r="V8560" s="22" t="str">
        <f t="shared" si="791"/>
        <v>REGIONES</v>
      </c>
    </row>
    <row r="8561" spans="20:22" x14ac:dyDescent="0.2">
      <c r="T8561" s="22">
        <f t="shared" si="789"/>
        <v>1</v>
      </c>
      <c r="U8561" s="22">
        <f t="shared" si="790"/>
        <v>1900</v>
      </c>
      <c r="V8561" s="22" t="str">
        <f t="shared" si="791"/>
        <v>REGIONES</v>
      </c>
    </row>
    <row r="8562" spans="20:22" x14ac:dyDescent="0.2">
      <c r="T8562" s="22">
        <f t="shared" si="789"/>
        <v>1</v>
      </c>
      <c r="U8562" s="22">
        <f t="shared" si="790"/>
        <v>1900</v>
      </c>
      <c r="V8562" s="22" t="str">
        <f t="shared" si="791"/>
        <v>REGIONES</v>
      </c>
    </row>
    <row r="8563" spans="20:22" x14ac:dyDescent="0.2">
      <c r="T8563" s="22">
        <f t="shared" si="789"/>
        <v>1</v>
      </c>
      <c r="U8563" s="22">
        <f t="shared" si="790"/>
        <v>1900</v>
      </c>
      <c r="V8563" s="22" t="str">
        <f t="shared" si="791"/>
        <v>REGIONES</v>
      </c>
    </row>
    <row r="8564" spans="20:22" x14ac:dyDescent="0.2">
      <c r="T8564" s="22">
        <f t="shared" si="789"/>
        <v>1</v>
      </c>
      <c r="U8564" s="22">
        <f t="shared" si="790"/>
        <v>1900</v>
      </c>
      <c r="V8564" s="22" t="str">
        <f t="shared" si="791"/>
        <v>REGIONES</v>
      </c>
    </row>
    <row r="8565" spans="20:22" x14ac:dyDescent="0.2">
      <c r="T8565" s="22">
        <f t="shared" si="789"/>
        <v>1</v>
      </c>
      <c r="U8565" s="22">
        <f t="shared" si="790"/>
        <v>1900</v>
      </c>
      <c r="V8565" s="22" t="str">
        <f t="shared" si="791"/>
        <v>REGIONES</v>
      </c>
    </row>
    <row r="8566" spans="20:22" x14ac:dyDescent="0.2">
      <c r="T8566" s="22">
        <f t="shared" si="789"/>
        <v>1</v>
      </c>
      <c r="U8566" s="22">
        <f t="shared" si="790"/>
        <v>1900</v>
      </c>
      <c r="V8566" s="22" t="str">
        <f t="shared" si="791"/>
        <v>REGIONES</v>
      </c>
    </row>
    <row r="8567" spans="20:22" x14ac:dyDescent="0.2">
      <c r="T8567" s="22">
        <f t="shared" si="789"/>
        <v>1</v>
      </c>
      <c r="U8567" s="22">
        <f t="shared" si="790"/>
        <v>1900</v>
      </c>
      <c r="V8567" s="22" t="str">
        <f t="shared" si="791"/>
        <v>REGIONES</v>
      </c>
    </row>
    <row r="8568" spans="20:22" x14ac:dyDescent="0.2">
      <c r="T8568" s="22">
        <f t="shared" si="789"/>
        <v>1</v>
      </c>
      <c r="U8568" s="22">
        <f t="shared" si="790"/>
        <v>1900</v>
      </c>
      <c r="V8568" s="22" t="str">
        <f t="shared" si="791"/>
        <v>REGIONES</v>
      </c>
    </row>
    <row r="8569" spans="20:22" x14ac:dyDescent="0.2">
      <c r="T8569" s="22">
        <f t="shared" si="789"/>
        <v>1</v>
      </c>
      <c r="U8569" s="22">
        <f t="shared" si="790"/>
        <v>1900</v>
      </c>
      <c r="V8569" s="22" t="str">
        <f t="shared" si="791"/>
        <v>REGIONES</v>
      </c>
    </row>
    <row r="8570" spans="20:22" x14ac:dyDescent="0.2">
      <c r="T8570" s="22">
        <f t="shared" si="789"/>
        <v>1</v>
      </c>
      <c r="U8570" s="22">
        <f t="shared" si="790"/>
        <v>1900</v>
      </c>
      <c r="V8570" s="22" t="str">
        <f t="shared" si="791"/>
        <v>REGIONES</v>
      </c>
    </row>
    <row r="8571" spans="20:22" x14ac:dyDescent="0.2">
      <c r="T8571" s="22">
        <f t="shared" si="789"/>
        <v>1</v>
      </c>
      <c r="U8571" s="22">
        <f t="shared" si="790"/>
        <v>1900</v>
      </c>
      <c r="V8571" s="22" t="str">
        <f t="shared" si="791"/>
        <v>REGIONES</v>
      </c>
    </row>
    <row r="8572" spans="20:22" x14ac:dyDescent="0.2">
      <c r="T8572" s="22">
        <f t="shared" si="789"/>
        <v>1</v>
      </c>
      <c r="U8572" s="22">
        <f t="shared" si="790"/>
        <v>1900</v>
      </c>
      <c r="V8572" s="22" t="str">
        <f t="shared" si="791"/>
        <v>REGIONES</v>
      </c>
    </row>
    <row r="8573" spans="20:22" x14ac:dyDescent="0.2">
      <c r="T8573" s="22">
        <f t="shared" si="789"/>
        <v>1</v>
      </c>
      <c r="U8573" s="22">
        <f t="shared" si="790"/>
        <v>1900</v>
      </c>
      <c r="V8573" s="22" t="str">
        <f t="shared" si="791"/>
        <v>REGIONES</v>
      </c>
    </row>
    <row r="8574" spans="20:22" x14ac:dyDescent="0.2">
      <c r="T8574" s="22">
        <f t="shared" si="789"/>
        <v>1</v>
      </c>
      <c r="U8574" s="22">
        <f t="shared" si="790"/>
        <v>1900</v>
      </c>
      <c r="V8574" s="22" t="str">
        <f t="shared" si="791"/>
        <v>REGIONES</v>
      </c>
    </row>
    <row r="8575" spans="20:22" x14ac:dyDescent="0.2">
      <c r="T8575" s="22">
        <f t="shared" si="789"/>
        <v>1</v>
      </c>
      <c r="U8575" s="22">
        <f t="shared" si="790"/>
        <v>1900</v>
      </c>
      <c r="V8575" s="22" t="str">
        <f t="shared" si="791"/>
        <v>REGIONES</v>
      </c>
    </row>
    <row r="8576" spans="20:22" x14ac:dyDescent="0.2">
      <c r="T8576" s="22">
        <f t="shared" si="789"/>
        <v>1</v>
      </c>
      <c r="U8576" s="22">
        <f t="shared" si="790"/>
        <v>1900</v>
      </c>
      <c r="V8576" s="22" t="str">
        <f t="shared" si="791"/>
        <v>REGIONES</v>
      </c>
    </row>
    <row r="8577" spans="20:22" x14ac:dyDescent="0.2">
      <c r="T8577" s="22">
        <f t="shared" si="789"/>
        <v>1</v>
      </c>
      <c r="U8577" s="22">
        <f t="shared" si="790"/>
        <v>1900</v>
      </c>
      <c r="V8577" s="22" t="str">
        <f t="shared" si="791"/>
        <v>REGIONES</v>
      </c>
    </row>
    <row r="8578" spans="20:22" x14ac:dyDescent="0.2">
      <c r="T8578" s="22">
        <f t="shared" ref="T8578:T8641" si="792">MONTH(A8578)</f>
        <v>1</v>
      </c>
      <c r="U8578" s="22">
        <f t="shared" ref="U8578:U8641" si="793">YEAR(A8578)</f>
        <v>1900</v>
      </c>
      <c r="V8578" s="22" t="str">
        <f t="shared" ref="V8578:V8641" si="794">IF(K8578="METROPOLITANA DE SANTIAGO","METROPOLITANA","REGIONES")</f>
        <v>REGIONES</v>
      </c>
    </row>
    <row r="8579" spans="20:22" x14ac:dyDescent="0.2">
      <c r="T8579" s="22">
        <f t="shared" si="792"/>
        <v>1</v>
      </c>
      <c r="U8579" s="22">
        <f t="shared" si="793"/>
        <v>1900</v>
      </c>
      <c r="V8579" s="22" t="str">
        <f t="shared" si="794"/>
        <v>REGIONES</v>
      </c>
    </row>
    <row r="8580" spans="20:22" x14ac:dyDescent="0.2">
      <c r="T8580" s="22">
        <f t="shared" si="792"/>
        <v>1</v>
      </c>
      <c r="U8580" s="22">
        <f t="shared" si="793"/>
        <v>1900</v>
      </c>
      <c r="V8580" s="22" t="str">
        <f t="shared" si="794"/>
        <v>REGIONES</v>
      </c>
    </row>
    <row r="8581" spans="20:22" x14ac:dyDescent="0.2">
      <c r="T8581" s="22">
        <f t="shared" si="792"/>
        <v>1</v>
      </c>
      <c r="U8581" s="22">
        <f t="shared" si="793"/>
        <v>1900</v>
      </c>
      <c r="V8581" s="22" t="str">
        <f t="shared" si="794"/>
        <v>REGIONES</v>
      </c>
    </row>
    <row r="8582" spans="20:22" x14ac:dyDescent="0.2">
      <c r="T8582" s="22">
        <f t="shared" si="792"/>
        <v>1</v>
      </c>
      <c r="U8582" s="22">
        <f t="shared" si="793"/>
        <v>1900</v>
      </c>
      <c r="V8582" s="22" t="str">
        <f t="shared" si="794"/>
        <v>REGIONES</v>
      </c>
    </row>
    <row r="8583" spans="20:22" x14ac:dyDescent="0.2">
      <c r="T8583" s="22">
        <f t="shared" si="792"/>
        <v>1</v>
      </c>
      <c r="U8583" s="22">
        <f t="shared" si="793"/>
        <v>1900</v>
      </c>
      <c r="V8583" s="22" t="str">
        <f t="shared" si="794"/>
        <v>REGIONES</v>
      </c>
    </row>
    <row r="8584" spans="20:22" x14ac:dyDescent="0.2">
      <c r="T8584" s="22">
        <f t="shared" si="792"/>
        <v>1</v>
      </c>
      <c r="U8584" s="22">
        <f t="shared" si="793"/>
        <v>1900</v>
      </c>
      <c r="V8584" s="22" t="str">
        <f t="shared" si="794"/>
        <v>REGIONES</v>
      </c>
    </row>
    <row r="8585" spans="20:22" x14ac:dyDescent="0.2">
      <c r="T8585" s="22">
        <f t="shared" si="792"/>
        <v>1</v>
      </c>
      <c r="U8585" s="22">
        <f t="shared" si="793"/>
        <v>1900</v>
      </c>
      <c r="V8585" s="22" t="str">
        <f t="shared" si="794"/>
        <v>REGIONES</v>
      </c>
    </row>
    <row r="8586" spans="20:22" x14ac:dyDescent="0.2">
      <c r="T8586" s="22">
        <f t="shared" si="792"/>
        <v>1</v>
      </c>
      <c r="U8586" s="22">
        <f t="shared" si="793"/>
        <v>1900</v>
      </c>
      <c r="V8586" s="22" t="str">
        <f t="shared" si="794"/>
        <v>REGIONES</v>
      </c>
    </row>
    <row r="8587" spans="20:22" x14ac:dyDescent="0.2">
      <c r="T8587" s="22">
        <f t="shared" si="792"/>
        <v>1</v>
      </c>
      <c r="U8587" s="22">
        <f t="shared" si="793"/>
        <v>1900</v>
      </c>
      <c r="V8587" s="22" t="str">
        <f t="shared" si="794"/>
        <v>REGIONES</v>
      </c>
    </row>
    <row r="8588" spans="20:22" x14ac:dyDescent="0.2">
      <c r="T8588" s="22">
        <f t="shared" si="792"/>
        <v>1</v>
      </c>
      <c r="U8588" s="22">
        <f t="shared" si="793"/>
        <v>1900</v>
      </c>
      <c r="V8588" s="22" t="str">
        <f t="shared" si="794"/>
        <v>REGIONES</v>
      </c>
    </row>
    <row r="8589" spans="20:22" x14ac:dyDescent="0.2">
      <c r="T8589" s="22">
        <f t="shared" si="792"/>
        <v>1</v>
      </c>
      <c r="U8589" s="22">
        <f t="shared" si="793"/>
        <v>1900</v>
      </c>
      <c r="V8589" s="22" t="str">
        <f t="shared" si="794"/>
        <v>REGIONES</v>
      </c>
    </row>
    <row r="8590" spans="20:22" x14ac:dyDescent="0.2">
      <c r="T8590" s="22">
        <f t="shared" si="792"/>
        <v>1</v>
      </c>
      <c r="U8590" s="22">
        <f t="shared" si="793"/>
        <v>1900</v>
      </c>
      <c r="V8590" s="22" t="str">
        <f t="shared" si="794"/>
        <v>REGIONES</v>
      </c>
    </row>
    <row r="8591" spans="20:22" x14ac:dyDescent="0.2">
      <c r="T8591" s="22">
        <f t="shared" si="792"/>
        <v>1</v>
      </c>
      <c r="U8591" s="22">
        <f t="shared" si="793"/>
        <v>1900</v>
      </c>
      <c r="V8591" s="22" t="str">
        <f t="shared" si="794"/>
        <v>REGIONES</v>
      </c>
    </row>
    <row r="8592" spans="20:22" x14ac:dyDescent="0.2">
      <c r="T8592" s="22">
        <f t="shared" si="792"/>
        <v>1</v>
      </c>
      <c r="U8592" s="22">
        <f t="shared" si="793"/>
        <v>1900</v>
      </c>
      <c r="V8592" s="22" t="str">
        <f t="shared" si="794"/>
        <v>REGIONES</v>
      </c>
    </row>
    <row r="8593" spans="20:22" x14ac:dyDescent="0.2">
      <c r="T8593" s="22">
        <f t="shared" si="792"/>
        <v>1</v>
      </c>
      <c r="U8593" s="22">
        <f t="shared" si="793"/>
        <v>1900</v>
      </c>
      <c r="V8593" s="22" t="str">
        <f t="shared" si="794"/>
        <v>REGIONES</v>
      </c>
    </row>
    <row r="8594" spans="20:22" x14ac:dyDescent="0.2">
      <c r="T8594" s="22">
        <f t="shared" si="792"/>
        <v>1</v>
      </c>
      <c r="U8594" s="22">
        <f t="shared" si="793"/>
        <v>1900</v>
      </c>
      <c r="V8594" s="22" t="str">
        <f t="shared" si="794"/>
        <v>REGIONES</v>
      </c>
    </row>
    <row r="8595" spans="20:22" x14ac:dyDescent="0.2">
      <c r="T8595" s="22">
        <f t="shared" si="792"/>
        <v>1</v>
      </c>
      <c r="U8595" s="22">
        <f t="shared" si="793"/>
        <v>1900</v>
      </c>
      <c r="V8595" s="22" t="str">
        <f t="shared" si="794"/>
        <v>REGIONES</v>
      </c>
    </row>
    <row r="8596" spans="20:22" x14ac:dyDescent="0.2">
      <c r="T8596" s="22">
        <f t="shared" si="792"/>
        <v>1</v>
      </c>
      <c r="U8596" s="22">
        <f t="shared" si="793"/>
        <v>1900</v>
      </c>
      <c r="V8596" s="22" t="str">
        <f t="shared" si="794"/>
        <v>REGIONES</v>
      </c>
    </row>
    <row r="8597" spans="20:22" x14ac:dyDescent="0.2">
      <c r="T8597" s="22">
        <f t="shared" si="792"/>
        <v>1</v>
      </c>
      <c r="U8597" s="22">
        <f t="shared" si="793"/>
        <v>1900</v>
      </c>
      <c r="V8597" s="22" t="str">
        <f t="shared" si="794"/>
        <v>REGIONES</v>
      </c>
    </row>
    <row r="8598" spans="20:22" x14ac:dyDescent="0.2">
      <c r="T8598" s="22">
        <f t="shared" si="792"/>
        <v>1</v>
      </c>
      <c r="U8598" s="22">
        <f t="shared" si="793"/>
        <v>1900</v>
      </c>
      <c r="V8598" s="22" t="str">
        <f t="shared" si="794"/>
        <v>REGIONES</v>
      </c>
    </row>
    <row r="8599" spans="20:22" x14ac:dyDescent="0.2">
      <c r="T8599" s="22">
        <f t="shared" si="792"/>
        <v>1</v>
      </c>
      <c r="U8599" s="22">
        <f t="shared" si="793"/>
        <v>1900</v>
      </c>
      <c r="V8599" s="22" t="str">
        <f t="shared" si="794"/>
        <v>REGIONES</v>
      </c>
    </row>
    <row r="8600" spans="20:22" x14ac:dyDescent="0.2">
      <c r="T8600" s="22">
        <f t="shared" si="792"/>
        <v>1</v>
      </c>
      <c r="U8600" s="22">
        <f t="shared" si="793"/>
        <v>1900</v>
      </c>
      <c r="V8600" s="22" t="str">
        <f t="shared" si="794"/>
        <v>REGIONES</v>
      </c>
    </row>
    <row r="8601" spans="20:22" x14ac:dyDescent="0.2">
      <c r="T8601" s="22">
        <f t="shared" si="792"/>
        <v>1</v>
      </c>
      <c r="U8601" s="22">
        <f t="shared" si="793"/>
        <v>1900</v>
      </c>
      <c r="V8601" s="22" t="str">
        <f t="shared" si="794"/>
        <v>REGIONES</v>
      </c>
    </row>
    <row r="8602" spans="20:22" x14ac:dyDescent="0.2">
      <c r="T8602" s="22">
        <f t="shared" si="792"/>
        <v>1</v>
      </c>
      <c r="U8602" s="22">
        <f t="shared" si="793"/>
        <v>1900</v>
      </c>
      <c r="V8602" s="22" t="str">
        <f t="shared" si="794"/>
        <v>REGIONES</v>
      </c>
    </row>
    <row r="8603" spans="20:22" x14ac:dyDescent="0.2">
      <c r="T8603" s="22">
        <f t="shared" si="792"/>
        <v>1</v>
      </c>
      <c r="U8603" s="22">
        <f t="shared" si="793"/>
        <v>1900</v>
      </c>
      <c r="V8603" s="22" t="str">
        <f t="shared" si="794"/>
        <v>REGIONES</v>
      </c>
    </row>
    <row r="8604" spans="20:22" x14ac:dyDescent="0.2">
      <c r="T8604" s="22">
        <f t="shared" si="792"/>
        <v>1</v>
      </c>
      <c r="U8604" s="22">
        <f t="shared" si="793"/>
        <v>1900</v>
      </c>
      <c r="V8604" s="22" t="str">
        <f t="shared" si="794"/>
        <v>REGIONES</v>
      </c>
    </row>
    <row r="8605" spans="20:22" x14ac:dyDescent="0.2">
      <c r="T8605" s="22">
        <f t="shared" si="792"/>
        <v>1</v>
      </c>
      <c r="U8605" s="22">
        <f t="shared" si="793"/>
        <v>1900</v>
      </c>
      <c r="V8605" s="22" t="str">
        <f t="shared" si="794"/>
        <v>REGIONES</v>
      </c>
    </row>
    <row r="8606" spans="20:22" x14ac:dyDescent="0.2">
      <c r="T8606" s="22">
        <f t="shared" si="792"/>
        <v>1</v>
      </c>
      <c r="U8606" s="22">
        <f t="shared" si="793"/>
        <v>1900</v>
      </c>
      <c r="V8606" s="22" t="str">
        <f t="shared" si="794"/>
        <v>REGIONES</v>
      </c>
    </row>
    <row r="8607" spans="20:22" x14ac:dyDescent="0.2">
      <c r="T8607" s="22">
        <f t="shared" si="792"/>
        <v>1</v>
      </c>
      <c r="U8607" s="22">
        <f t="shared" si="793"/>
        <v>1900</v>
      </c>
      <c r="V8607" s="22" t="str">
        <f t="shared" si="794"/>
        <v>REGIONES</v>
      </c>
    </row>
    <row r="8608" spans="20:22" x14ac:dyDescent="0.2">
      <c r="T8608" s="22">
        <f t="shared" si="792"/>
        <v>1</v>
      </c>
      <c r="U8608" s="22">
        <f t="shared" si="793"/>
        <v>1900</v>
      </c>
      <c r="V8608" s="22" t="str">
        <f t="shared" si="794"/>
        <v>REGIONES</v>
      </c>
    </row>
    <row r="8609" spans="20:22" x14ac:dyDescent="0.2">
      <c r="T8609" s="22">
        <f t="shared" si="792"/>
        <v>1</v>
      </c>
      <c r="U8609" s="22">
        <f t="shared" si="793"/>
        <v>1900</v>
      </c>
      <c r="V8609" s="22" t="str">
        <f t="shared" si="794"/>
        <v>REGIONES</v>
      </c>
    </row>
    <row r="8610" spans="20:22" x14ac:dyDescent="0.2">
      <c r="T8610" s="22">
        <f t="shared" si="792"/>
        <v>1</v>
      </c>
      <c r="U8610" s="22">
        <f t="shared" si="793"/>
        <v>1900</v>
      </c>
      <c r="V8610" s="22" t="str">
        <f t="shared" si="794"/>
        <v>REGIONES</v>
      </c>
    </row>
    <row r="8611" spans="20:22" x14ac:dyDescent="0.2">
      <c r="T8611" s="22">
        <f t="shared" si="792"/>
        <v>1</v>
      </c>
      <c r="U8611" s="22">
        <f t="shared" si="793"/>
        <v>1900</v>
      </c>
      <c r="V8611" s="22" t="str">
        <f t="shared" si="794"/>
        <v>REGIONES</v>
      </c>
    </row>
    <row r="8612" spans="20:22" x14ac:dyDescent="0.2">
      <c r="T8612" s="22">
        <f t="shared" si="792"/>
        <v>1</v>
      </c>
      <c r="U8612" s="22">
        <f t="shared" si="793"/>
        <v>1900</v>
      </c>
      <c r="V8612" s="22" t="str">
        <f t="shared" si="794"/>
        <v>REGIONES</v>
      </c>
    </row>
    <row r="8613" spans="20:22" x14ac:dyDescent="0.2">
      <c r="T8613" s="22">
        <f t="shared" si="792"/>
        <v>1</v>
      </c>
      <c r="U8613" s="22">
        <f t="shared" si="793"/>
        <v>1900</v>
      </c>
      <c r="V8613" s="22" t="str">
        <f t="shared" si="794"/>
        <v>REGIONES</v>
      </c>
    </row>
    <row r="8614" spans="20:22" x14ac:dyDescent="0.2">
      <c r="T8614" s="22">
        <f t="shared" si="792"/>
        <v>1</v>
      </c>
      <c r="U8614" s="22">
        <f t="shared" si="793"/>
        <v>1900</v>
      </c>
      <c r="V8614" s="22" t="str">
        <f t="shared" si="794"/>
        <v>REGIONES</v>
      </c>
    </row>
    <row r="8615" spans="20:22" x14ac:dyDescent="0.2">
      <c r="T8615" s="22">
        <f t="shared" si="792"/>
        <v>1</v>
      </c>
      <c r="U8615" s="22">
        <f t="shared" si="793"/>
        <v>1900</v>
      </c>
      <c r="V8615" s="22" t="str">
        <f t="shared" si="794"/>
        <v>REGIONES</v>
      </c>
    </row>
    <row r="8616" spans="20:22" x14ac:dyDescent="0.2">
      <c r="T8616" s="22">
        <f t="shared" si="792"/>
        <v>1</v>
      </c>
      <c r="U8616" s="22">
        <f t="shared" si="793"/>
        <v>1900</v>
      </c>
      <c r="V8616" s="22" t="str">
        <f t="shared" si="794"/>
        <v>REGIONES</v>
      </c>
    </row>
    <row r="8617" spans="20:22" x14ac:dyDescent="0.2">
      <c r="T8617" s="22">
        <f t="shared" si="792"/>
        <v>1</v>
      </c>
      <c r="U8617" s="22">
        <f t="shared" si="793"/>
        <v>1900</v>
      </c>
      <c r="V8617" s="22" t="str">
        <f t="shared" si="794"/>
        <v>REGIONES</v>
      </c>
    </row>
    <row r="8618" spans="20:22" x14ac:dyDescent="0.2">
      <c r="T8618" s="22">
        <f t="shared" si="792"/>
        <v>1</v>
      </c>
      <c r="U8618" s="22">
        <f t="shared" si="793"/>
        <v>1900</v>
      </c>
      <c r="V8618" s="22" t="str">
        <f t="shared" si="794"/>
        <v>REGIONES</v>
      </c>
    </row>
    <row r="8619" spans="20:22" x14ac:dyDescent="0.2">
      <c r="T8619" s="22">
        <f t="shared" si="792"/>
        <v>1</v>
      </c>
      <c r="U8619" s="22">
        <f t="shared" si="793"/>
        <v>1900</v>
      </c>
      <c r="V8619" s="22" t="str">
        <f t="shared" si="794"/>
        <v>REGIONES</v>
      </c>
    </row>
    <row r="8620" spans="20:22" x14ac:dyDescent="0.2">
      <c r="T8620" s="22">
        <f t="shared" si="792"/>
        <v>1</v>
      </c>
      <c r="U8620" s="22">
        <f t="shared" si="793"/>
        <v>1900</v>
      </c>
      <c r="V8620" s="22" t="str">
        <f t="shared" si="794"/>
        <v>REGIONES</v>
      </c>
    </row>
    <row r="8621" spans="20:22" x14ac:dyDescent="0.2">
      <c r="T8621" s="22">
        <f t="shared" si="792"/>
        <v>1</v>
      </c>
      <c r="U8621" s="22">
        <f t="shared" si="793"/>
        <v>1900</v>
      </c>
      <c r="V8621" s="22" t="str">
        <f t="shared" si="794"/>
        <v>REGIONES</v>
      </c>
    </row>
    <row r="8622" spans="20:22" x14ac:dyDescent="0.2">
      <c r="T8622" s="22">
        <f t="shared" si="792"/>
        <v>1</v>
      </c>
      <c r="U8622" s="22">
        <f t="shared" si="793"/>
        <v>1900</v>
      </c>
      <c r="V8622" s="22" t="str">
        <f t="shared" si="794"/>
        <v>REGIONES</v>
      </c>
    </row>
    <row r="8623" spans="20:22" x14ac:dyDescent="0.2">
      <c r="T8623" s="22">
        <f t="shared" si="792"/>
        <v>1</v>
      </c>
      <c r="U8623" s="22">
        <f t="shared" si="793"/>
        <v>1900</v>
      </c>
      <c r="V8623" s="22" t="str">
        <f t="shared" si="794"/>
        <v>REGIONES</v>
      </c>
    </row>
    <row r="8624" spans="20:22" x14ac:dyDescent="0.2">
      <c r="T8624" s="22">
        <f t="shared" si="792"/>
        <v>1</v>
      </c>
      <c r="U8624" s="22">
        <f t="shared" si="793"/>
        <v>1900</v>
      </c>
      <c r="V8624" s="22" t="str">
        <f t="shared" si="794"/>
        <v>REGIONES</v>
      </c>
    </row>
    <row r="8625" spans="20:22" x14ac:dyDescent="0.2">
      <c r="T8625" s="22">
        <f t="shared" si="792"/>
        <v>1</v>
      </c>
      <c r="U8625" s="22">
        <f t="shared" si="793"/>
        <v>1900</v>
      </c>
      <c r="V8625" s="22" t="str">
        <f t="shared" si="794"/>
        <v>REGIONES</v>
      </c>
    </row>
    <row r="8626" spans="20:22" x14ac:dyDescent="0.2">
      <c r="T8626" s="22">
        <f t="shared" si="792"/>
        <v>1</v>
      </c>
      <c r="U8626" s="22">
        <f t="shared" si="793"/>
        <v>1900</v>
      </c>
      <c r="V8626" s="22" t="str">
        <f t="shared" si="794"/>
        <v>REGIONES</v>
      </c>
    </row>
    <row r="8627" spans="20:22" x14ac:dyDescent="0.2">
      <c r="T8627" s="22">
        <f t="shared" si="792"/>
        <v>1</v>
      </c>
      <c r="U8627" s="22">
        <f t="shared" si="793"/>
        <v>1900</v>
      </c>
      <c r="V8627" s="22" t="str">
        <f t="shared" si="794"/>
        <v>REGIONES</v>
      </c>
    </row>
    <row r="8628" spans="20:22" x14ac:dyDescent="0.2">
      <c r="T8628" s="22">
        <f t="shared" si="792"/>
        <v>1</v>
      </c>
      <c r="U8628" s="22">
        <f t="shared" si="793"/>
        <v>1900</v>
      </c>
      <c r="V8628" s="22" t="str">
        <f t="shared" si="794"/>
        <v>REGIONES</v>
      </c>
    </row>
    <row r="8629" spans="20:22" x14ac:dyDescent="0.2">
      <c r="T8629" s="22">
        <f t="shared" si="792"/>
        <v>1</v>
      </c>
      <c r="U8629" s="22">
        <f t="shared" si="793"/>
        <v>1900</v>
      </c>
      <c r="V8629" s="22" t="str">
        <f t="shared" si="794"/>
        <v>REGIONES</v>
      </c>
    </row>
    <row r="8630" spans="20:22" x14ac:dyDescent="0.2">
      <c r="T8630" s="22">
        <f t="shared" si="792"/>
        <v>1</v>
      </c>
      <c r="U8630" s="22">
        <f t="shared" si="793"/>
        <v>1900</v>
      </c>
      <c r="V8630" s="22" t="str">
        <f t="shared" si="794"/>
        <v>REGIONES</v>
      </c>
    </row>
    <row r="8631" spans="20:22" x14ac:dyDescent="0.2">
      <c r="T8631" s="22">
        <f t="shared" si="792"/>
        <v>1</v>
      </c>
      <c r="U8631" s="22">
        <f t="shared" si="793"/>
        <v>1900</v>
      </c>
      <c r="V8631" s="22" t="str">
        <f t="shared" si="794"/>
        <v>REGIONES</v>
      </c>
    </row>
    <row r="8632" spans="20:22" x14ac:dyDescent="0.2">
      <c r="T8632" s="22">
        <f t="shared" si="792"/>
        <v>1</v>
      </c>
      <c r="U8632" s="22">
        <f t="shared" si="793"/>
        <v>1900</v>
      </c>
      <c r="V8632" s="22" t="str">
        <f t="shared" si="794"/>
        <v>REGIONES</v>
      </c>
    </row>
    <row r="8633" spans="20:22" x14ac:dyDescent="0.2">
      <c r="T8633" s="22">
        <f t="shared" si="792"/>
        <v>1</v>
      </c>
      <c r="U8633" s="22">
        <f t="shared" si="793"/>
        <v>1900</v>
      </c>
      <c r="V8633" s="22" t="str">
        <f t="shared" si="794"/>
        <v>REGIONES</v>
      </c>
    </row>
    <row r="8634" spans="20:22" x14ac:dyDescent="0.2">
      <c r="T8634" s="22">
        <f t="shared" si="792"/>
        <v>1</v>
      </c>
      <c r="U8634" s="22">
        <f t="shared" si="793"/>
        <v>1900</v>
      </c>
      <c r="V8634" s="22" t="str">
        <f t="shared" si="794"/>
        <v>REGIONES</v>
      </c>
    </row>
    <row r="8635" spans="20:22" x14ac:dyDescent="0.2">
      <c r="T8635" s="22">
        <f t="shared" si="792"/>
        <v>1</v>
      </c>
      <c r="U8635" s="22">
        <f t="shared" si="793"/>
        <v>1900</v>
      </c>
      <c r="V8635" s="22" t="str">
        <f t="shared" si="794"/>
        <v>REGIONES</v>
      </c>
    </row>
    <row r="8636" spans="20:22" x14ac:dyDescent="0.2">
      <c r="T8636" s="22">
        <f t="shared" si="792"/>
        <v>1</v>
      </c>
      <c r="U8636" s="22">
        <f t="shared" si="793"/>
        <v>1900</v>
      </c>
      <c r="V8636" s="22" t="str">
        <f t="shared" si="794"/>
        <v>REGIONES</v>
      </c>
    </row>
    <row r="8637" spans="20:22" x14ac:dyDescent="0.2">
      <c r="T8637" s="22">
        <f t="shared" si="792"/>
        <v>1</v>
      </c>
      <c r="U8637" s="22">
        <f t="shared" si="793"/>
        <v>1900</v>
      </c>
      <c r="V8637" s="22" t="str">
        <f t="shared" si="794"/>
        <v>REGIONES</v>
      </c>
    </row>
    <row r="8638" spans="20:22" x14ac:dyDescent="0.2">
      <c r="T8638" s="22">
        <f t="shared" si="792"/>
        <v>1</v>
      </c>
      <c r="U8638" s="22">
        <f t="shared" si="793"/>
        <v>1900</v>
      </c>
      <c r="V8638" s="22" t="str">
        <f t="shared" si="794"/>
        <v>REGIONES</v>
      </c>
    </row>
    <row r="8639" spans="20:22" x14ac:dyDescent="0.2">
      <c r="T8639" s="22">
        <f t="shared" si="792"/>
        <v>1</v>
      </c>
      <c r="U8639" s="22">
        <f t="shared" si="793"/>
        <v>1900</v>
      </c>
      <c r="V8639" s="22" t="str">
        <f t="shared" si="794"/>
        <v>REGIONES</v>
      </c>
    </row>
    <row r="8640" spans="20:22" x14ac:dyDescent="0.2">
      <c r="T8640" s="22">
        <f t="shared" si="792"/>
        <v>1</v>
      </c>
      <c r="U8640" s="22">
        <f t="shared" si="793"/>
        <v>1900</v>
      </c>
      <c r="V8640" s="22" t="str">
        <f t="shared" si="794"/>
        <v>REGIONES</v>
      </c>
    </row>
    <row r="8641" spans="20:22" x14ac:dyDescent="0.2">
      <c r="T8641" s="22">
        <f t="shared" si="792"/>
        <v>1</v>
      </c>
      <c r="U8641" s="22">
        <f t="shared" si="793"/>
        <v>1900</v>
      </c>
      <c r="V8641" s="22" t="str">
        <f t="shared" si="794"/>
        <v>REGIONES</v>
      </c>
    </row>
    <row r="8642" spans="20:22" x14ac:dyDescent="0.2">
      <c r="T8642" s="22">
        <f t="shared" ref="T8642:T8705" si="795">MONTH(A8642)</f>
        <v>1</v>
      </c>
      <c r="U8642" s="22">
        <f t="shared" ref="U8642:U8705" si="796">YEAR(A8642)</f>
        <v>1900</v>
      </c>
      <c r="V8642" s="22" t="str">
        <f t="shared" ref="V8642:V8705" si="797">IF(K8642="METROPOLITANA DE SANTIAGO","METROPOLITANA","REGIONES")</f>
        <v>REGIONES</v>
      </c>
    </row>
    <row r="8643" spans="20:22" x14ac:dyDescent="0.2">
      <c r="T8643" s="22">
        <f t="shared" si="795"/>
        <v>1</v>
      </c>
      <c r="U8643" s="22">
        <f t="shared" si="796"/>
        <v>1900</v>
      </c>
      <c r="V8643" s="22" t="str">
        <f t="shared" si="797"/>
        <v>REGIONES</v>
      </c>
    </row>
    <row r="8644" spans="20:22" x14ac:dyDescent="0.2">
      <c r="T8644" s="22">
        <f t="shared" si="795"/>
        <v>1</v>
      </c>
      <c r="U8644" s="22">
        <f t="shared" si="796"/>
        <v>1900</v>
      </c>
      <c r="V8644" s="22" t="str">
        <f t="shared" si="797"/>
        <v>REGIONES</v>
      </c>
    </row>
    <row r="8645" spans="20:22" x14ac:dyDescent="0.2">
      <c r="T8645" s="22">
        <f t="shared" si="795"/>
        <v>1</v>
      </c>
      <c r="U8645" s="22">
        <f t="shared" si="796"/>
        <v>1900</v>
      </c>
      <c r="V8645" s="22" t="str">
        <f t="shared" si="797"/>
        <v>REGIONES</v>
      </c>
    </row>
    <row r="8646" spans="20:22" x14ac:dyDescent="0.2">
      <c r="T8646" s="22">
        <f t="shared" si="795"/>
        <v>1</v>
      </c>
      <c r="U8646" s="22">
        <f t="shared" si="796"/>
        <v>1900</v>
      </c>
      <c r="V8646" s="22" t="str">
        <f t="shared" si="797"/>
        <v>REGIONES</v>
      </c>
    </row>
    <row r="8647" spans="20:22" x14ac:dyDescent="0.2">
      <c r="T8647" s="22">
        <f t="shared" si="795"/>
        <v>1</v>
      </c>
      <c r="U8647" s="22">
        <f t="shared" si="796"/>
        <v>1900</v>
      </c>
      <c r="V8647" s="22" t="str">
        <f t="shared" si="797"/>
        <v>REGIONES</v>
      </c>
    </row>
    <row r="8648" spans="20:22" x14ac:dyDescent="0.2">
      <c r="T8648" s="22">
        <f t="shared" si="795"/>
        <v>1</v>
      </c>
      <c r="U8648" s="22">
        <f t="shared" si="796"/>
        <v>1900</v>
      </c>
      <c r="V8648" s="22" t="str">
        <f t="shared" si="797"/>
        <v>REGIONES</v>
      </c>
    </row>
    <row r="8649" spans="20:22" x14ac:dyDescent="0.2">
      <c r="T8649" s="22">
        <f t="shared" si="795"/>
        <v>1</v>
      </c>
      <c r="U8649" s="22">
        <f t="shared" si="796"/>
        <v>1900</v>
      </c>
      <c r="V8649" s="22" t="str">
        <f t="shared" si="797"/>
        <v>REGIONES</v>
      </c>
    </row>
    <row r="8650" spans="20:22" x14ac:dyDescent="0.2">
      <c r="T8650" s="22">
        <f t="shared" si="795"/>
        <v>1</v>
      </c>
      <c r="U8650" s="22">
        <f t="shared" si="796"/>
        <v>1900</v>
      </c>
      <c r="V8650" s="22" t="str">
        <f t="shared" si="797"/>
        <v>REGIONES</v>
      </c>
    </row>
    <row r="8651" spans="20:22" x14ac:dyDescent="0.2">
      <c r="T8651" s="22">
        <f t="shared" si="795"/>
        <v>1</v>
      </c>
      <c r="U8651" s="22">
        <f t="shared" si="796"/>
        <v>1900</v>
      </c>
      <c r="V8651" s="22" t="str">
        <f t="shared" si="797"/>
        <v>REGIONES</v>
      </c>
    </row>
    <row r="8652" spans="20:22" x14ac:dyDescent="0.2">
      <c r="T8652" s="22">
        <f t="shared" si="795"/>
        <v>1</v>
      </c>
      <c r="U8652" s="22">
        <f t="shared" si="796"/>
        <v>1900</v>
      </c>
      <c r="V8652" s="22" t="str">
        <f t="shared" si="797"/>
        <v>REGIONES</v>
      </c>
    </row>
    <row r="8653" spans="20:22" x14ac:dyDescent="0.2">
      <c r="T8653" s="22">
        <f t="shared" si="795"/>
        <v>1</v>
      </c>
      <c r="U8653" s="22">
        <f t="shared" si="796"/>
        <v>1900</v>
      </c>
      <c r="V8653" s="22" t="str">
        <f t="shared" si="797"/>
        <v>REGIONES</v>
      </c>
    </row>
    <row r="8654" spans="20:22" x14ac:dyDescent="0.2">
      <c r="T8654" s="22">
        <f t="shared" si="795"/>
        <v>1</v>
      </c>
      <c r="U8654" s="22">
        <f t="shared" si="796"/>
        <v>1900</v>
      </c>
      <c r="V8654" s="22" t="str">
        <f t="shared" si="797"/>
        <v>REGIONES</v>
      </c>
    </row>
    <row r="8655" spans="20:22" x14ac:dyDescent="0.2">
      <c r="T8655" s="22">
        <f t="shared" si="795"/>
        <v>1</v>
      </c>
      <c r="U8655" s="22">
        <f t="shared" si="796"/>
        <v>1900</v>
      </c>
      <c r="V8655" s="22" t="str">
        <f t="shared" si="797"/>
        <v>REGIONES</v>
      </c>
    </row>
    <row r="8656" spans="20:22" x14ac:dyDescent="0.2">
      <c r="T8656" s="22">
        <f t="shared" si="795"/>
        <v>1</v>
      </c>
      <c r="U8656" s="22">
        <f t="shared" si="796"/>
        <v>1900</v>
      </c>
      <c r="V8656" s="22" t="str">
        <f t="shared" si="797"/>
        <v>REGIONES</v>
      </c>
    </row>
    <row r="8657" spans="20:22" x14ac:dyDescent="0.2">
      <c r="T8657" s="22">
        <f t="shared" si="795"/>
        <v>1</v>
      </c>
      <c r="U8657" s="22">
        <f t="shared" si="796"/>
        <v>1900</v>
      </c>
      <c r="V8657" s="22" t="str">
        <f t="shared" si="797"/>
        <v>REGIONES</v>
      </c>
    </row>
    <row r="8658" spans="20:22" x14ac:dyDescent="0.2">
      <c r="T8658" s="22">
        <f t="shared" si="795"/>
        <v>1</v>
      </c>
      <c r="U8658" s="22">
        <f t="shared" si="796"/>
        <v>1900</v>
      </c>
      <c r="V8658" s="22" t="str">
        <f t="shared" si="797"/>
        <v>REGIONES</v>
      </c>
    </row>
    <row r="8659" spans="20:22" x14ac:dyDescent="0.2">
      <c r="T8659" s="22">
        <f t="shared" si="795"/>
        <v>1</v>
      </c>
      <c r="U8659" s="22">
        <f t="shared" si="796"/>
        <v>1900</v>
      </c>
      <c r="V8659" s="22" t="str">
        <f t="shared" si="797"/>
        <v>REGIONES</v>
      </c>
    </row>
    <row r="8660" spans="20:22" x14ac:dyDescent="0.2">
      <c r="T8660" s="22">
        <f t="shared" si="795"/>
        <v>1</v>
      </c>
      <c r="U8660" s="22">
        <f t="shared" si="796"/>
        <v>1900</v>
      </c>
      <c r="V8660" s="22" t="str">
        <f t="shared" si="797"/>
        <v>REGIONES</v>
      </c>
    </row>
    <row r="8661" spans="20:22" x14ac:dyDescent="0.2">
      <c r="T8661" s="22">
        <f t="shared" si="795"/>
        <v>1</v>
      </c>
      <c r="U8661" s="22">
        <f t="shared" si="796"/>
        <v>1900</v>
      </c>
      <c r="V8661" s="22" t="str">
        <f t="shared" si="797"/>
        <v>REGIONES</v>
      </c>
    </row>
    <row r="8662" spans="20:22" x14ac:dyDescent="0.2">
      <c r="T8662" s="22">
        <f t="shared" si="795"/>
        <v>1</v>
      </c>
      <c r="U8662" s="22">
        <f t="shared" si="796"/>
        <v>1900</v>
      </c>
      <c r="V8662" s="22" t="str">
        <f t="shared" si="797"/>
        <v>REGIONES</v>
      </c>
    </row>
    <row r="8663" spans="20:22" x14ac:dyDescent="0.2">
      <c r="T8663" s="22">
        <f t="shared" si="795"/>
        <v>1</v>
      </c>
      <c r="U8663" s="22">
        <f t="shared" si="796"/>
        <v>1900</v>
      </c>
      <c r="V8663" s="22" t="str">
        <f t="shared" si="797"/>
        <v>REGIONES</v>
      </c>
    </row>
    <row r="8664" spans="20:22" x14ac:dyDescent="0.2">
      <c r="T8664" s="22">
        <f t="shared" si="795"/>
        <v>1</v>
      </c>
      <c r="U8664" s="22">
        <f t="shared" si="796"/>
        <v>1900</v>
      </c>
      <c r="V8664" s="22" t="str">
        <f t="shared" si="797"/>
        <v>REGIONES</v>
      </c>
    </row>
    <row r="8665" spans="20:22" x14ac:dyDescent="0.2">
      <c r="T8665" s="22">
        <f t="shared" si="795"/>
        <v>1</v>
      </c>
      <c r="U8665" s="22">
        <f t="shared" si="796"/>
        <v>1900</v>
      </c>
      <c r="V8665" s="22" t="str">
        <f t="shared" si="797"/>
        <v>REGIONES</v>
      </c>
    </row>
    <row r="8666" spans="20:22" x14ac:dyDescent="0.2">
      <c r="T8666" s="22">
        <f t="shared" si="795"/>
        <v>1</v>
      </c>
      <c r="U8666" s="22">
        <f t="shared" si="796"/>
        <v>1900</v>
      </c>
      <c r="V8666" s="22" t="str">
        <f t="shared" si="797"/>
        <v>REGIONES</v>
      </c>
    </row>
    <row r="8667" spans="20:22" x14ac:dyDescent="0.2">
      <c r="T8667" s="22">
        <f t="shared" si="795"/>
        <v>1</v>
      </c>
      <c r="U8667" s="22">
        <f t="shared" si="796"/>
        <v>1900</v>
      </c>
      <c r="V8667" s="22" t="str">
        <f t="shared" si="797"/>
        <v>REGIONES</v>
      </c>
    </row>
    <row r="8668" spans="20:22" x14ac:dyDescent="0.2">
      <c r="T8668" s="22">
        <f t="shared" si="795"/>
        <v>1</v>
      </c>
      <c r="U8668" s="22">
        <f t="shared" si="796"/>
        <v>1900</v>
      </c>
      <c r="V8668" s="22" t="str">
        <f t="shared" si="797"/>
        <v>REGIONES</v>
      </c>
    </row>
    <row r="8669" spans="20:22" x14ac:dyDescent="0.2">
      <c r="T8669" s="22">
        <f t="shared" si="795"/>
        <v>1</v>
      </c>
      <c r="U8669" s="22">
        <f t="shared" si="796"/>
        <v>1900</v>
      </c>
      <c r="V8669" s="22" t="str">
        <f t="shared" si="797"/>
        <v>REGIONES</v>
      </c>
    </row>
    <row r="8670" spans="20:22" x14ac:dyDescent="0.2">
      <c r="T8670" s="22">
        <f t="shared" si="795"/>
        <v>1</v>
      </c>
      <c r="U8670" s="22">
        <f t="shared" si="796"/>
        <v>1900</v>
      </c>
      <c r="V8670" s="22" t="str">
        <f t="shared" si="797"/>
        <v>REGIONES</v>
      </c>
    </row>
    <row r="8671" spans="20:22" x14ac:dyDescent="0.2">
      <c r="T8671" s="22">
        <f t="shared" si="795"/>
        <v>1</v>
      </c>
      <c r="U8671" s="22">
        <f t="shared" si="796"/>
        <v>1900</v>
      </c>
      <c r="V8671" s="22" t="str">
        <f t="shared" si="797"/>
        <v>REGIONES</v>
      </c>
    </row>
    <row r="8672" spans="20:22" x14ac:dyDescent="0.2">
      <c r="T8672" s="22">
        <f t="shared" si="795"/>
        <v>1</v>
      </c>
      <c r="U8672" s="22">
        <f t="shared" si="796"/>
        <v>1900</v>
      </c>
      <c r="V8672" s="22" t="str">
        <f t="shared" si="797"/>
        <v>REGIONES</v>
      </c>
    </row>
    <row r="8673" spans="20:22" x14ac:dyDescent="0.2">
      <c r="T8673" s="22">
        <f t="shared" si="795"/>
        <v>1</v>
      </c>
      <c r="U8673" s="22">
        <f t="shared" si="796"/>
        <v>1900</v>
      </c>
      <c r="V8673" s="22" t="str">
        <f t="shared" si="797"/>
        <v>REGIONES</v>
      </c>
    </row>
    <row r="8674" spans="20:22" x14ac:dyDescent="0.2">
      <c r="T8674" s="22">
        <f t="shared" si="795"/>
        <v>1</v>
      </c>
      <c r="U8674" s="22">
        <f t="shared" si="796"/>
        <v>1900</v>
      </c>
      <c r="V8674" s="22" t="str">
        <f t="shared" si="797"/>
        <v>REGIONES</v>
      </c>
    </row>
    <row r="8675" spans="20:22" x14ac:dyDescent="0.2">
      <c r="T8675" s="22">
        <f t="shared" si="795"/>
        <v>1</v>
      </c>
      <c r="U8675" s="22">
        <f t="shared" si="796"/>
        <v>1900</v>
      </c>
      <c r="V8675" s="22" t="str">
        <f t="shared" si="797"/>
        <v>REGIONES</v>
      </c>
    </row>
    <row r="8676" spans="20:22" x14ac:dyDescent="0.2">
      <c r="T8676" s="22">
        <f t="shared" si="795"/>
        <v>1</v>
      </c>
      <c r="U8676" s="22">
        <f t="shared" si="796"/>
        <v>1900</v>
      </c>
      <c r="V8676" s="22" t="str">
        <f t="shared" si="797"/>
        <v>REGIONES</v>
      </c>
    </row>
    <row r="8677" spans="20:22" x14ac:dyDescent="0.2">
      <c r="T8677" s="22">
        <f t="shared" si="795"/>
        <v>1</v>
      </c>
      <c r="U8677" s="22">
        <f t="shared" si="796"/>
        <v>1900</v>
      </c>
      <c r="V8677" s="22" t="str">
        <f t="shared" si="797"/>
        <v>REGIONES</v>
      </c>
    </row>
    <row r="8678" spans="20:22" x14ac:dyDescent="0.2">
      <c r="T8678" s="22">
        <f t="shared" si="795"/>
        <v>1</v>
      </c>
      <c r="U8678" s="22">
        <f t="shared" si="796"/>
        <v>1900</v>
      </c>
      <c r="V8678" s="22" t="str">
        <f t="shared" si="797"/>
        <v>REGIONES</v>
      </c>
    </row>
    <row r="8679" spans="20:22" x14ac:dyDescent="0.2">
      <c r="T8679" s="22">
        <f t="shared" si="795"/>
        <v>1</v>
      </c>
      <c r="U8679" s="22">
        <f t="shared" si="796"/>
        <v>1900</v>
      </c>
      <c r="V8679" s="22" t="str">
        <f t="shared" si="797"/>
        <v>REGIONES</v>
      </c>
    </row>
    <row r="8680" spans="20:22" x14ac:dyDescent="0.2">
      <c r="T8680" s="22">
        <f t="shared" si="795"/>
        <v>1</v>
      </c>
      <c r="U8680" s="22">
        <f t="shared" si="796"/>
        <v>1900</v>
      </c>
      <c r="V8680" s="22" t="str">
        <f t="shared" si="797"/>
        <v>REGIONES</v>
      </c>
    </row>
    <row r="8681" spans="20:22" x14ac:dyDescent="0.2">
      <c r="T8681" s="22">
        <f t="shared" si="795"/>
        <v>1</v>
      </c>
      <c r="U8681" s="22">
        <f t="shared" si="796"/>
        <v>1900</v>
      </c>
      <c r="V8681" s="22" t="str">
        <f t="shared" si="797"/>
        <v>REGIONES</v>
      </c>
    </row>
    <row r="8682" spans="20:22" x14ac:dyDescent="0.2">
      <c r="T8682" s="22">
        <f t="shared" si="795"/>
        <v>1</v>
      </c>
      <c r="U8682" s="22">
        <f t="shared" si="796"/>
        <v>1900</v>
      </c>
      <c r="V8682" s="22" t="str">
        <f t="shared" si="797"/>
        <v>REGIONES</v>
      </c>
    </row>
    <row r="8683" spans="20:22" x14ac:dyDescent="0.2">
      <c r="T8683" s="22">
        <f t="shared" si="795"/>
        <v>1</v>
      </c>
      <c r="U8683" s="22">
        <f t="shared" si="796"/>
        <v>1900</v>
      </c>
      <c r="V8683" s="22" t="str">
        <f t="shared" si="797"/>
        <v>REGIONES</v>
      </c>
    </row>
    <row r="8684" spans="20:22" x14ac:dyDescent="0.2">
      <c r="T8684" s="22">
        <f t="shared" si="795"/>
        <v>1</v>
      </c>
      <c r="U8684" s="22">
        <f t="shared" si="796"/>
        <v>1900</v>
      </c>
      <c r="V8684" s="22" t="str">
        <f t="shared" si="797"/>
        <v>REGIONES</v>
      </c>
    </row>
    <row r="8685" spans="20:22" x14ac:dyDescent="0.2">
      <c r="T8685" s="22">
        <f t="shared" si="795"/>
        <v>1</v>
      </c>
      <c r="U8685" s="22">
        <f t="shared" si="796"/>
        <v>1900</v>
      </c>
      <c r="V8685" s="22" t="str">
        <f t="shared" si="797"/>
        <v>REGIONES</v>
      </c>
    </row>
    <row r="8686" spans="20:22" x14ac:dyDescent="0.2">
      <c r="T8686" s="22">
        <f t="shared" si="795"/>
        <v>1</v>
      </c>
      <c r="U8686" s="22">
        <f t="shared" si="796"/>
        <v>1900</v>
      </c>
      <c r="V8686" s="22" t="str">
        <f t="shared" si="797"/>
        <v>REGIONES</v>
      </c>
    </row>
    <row r="8687" spans="20:22" x14ac:dyDescent="0.2">
      <c r="T8687" s="22">
        <f t="shared" si="795"/>
        <v>1</v>
      </c>
      <c r="U8687" s="22">
        <f t="shared" si="796"/>
        <v>1900</v>
      </c>
      <c r="V8687" s="22" t="str">
        <f t="shared" si="797"/>
        <v>REGIONES</v>
      </c>
    </row>
    <row r="8688" spans="20:22" x14ac:dyDescent="0.2">
      <c r="T8688" s="22">
        <f t="shared" si="795"/>
        <v>1</v>
      </c>
      <c r="U8688" s="22">
        <f t="shared" si="796"/>
        <v>1900</v>
      </c>
      <c r="V8688" s="22" t="str">
        <f t="shared" si="797"/>
        <v>REGIONES</v>
      </c>
    </row>
    <row r="8689" spans="20:22" x14ac:dyDescent="0.2">
      <c r="T8689" s="22">
        <f t="shared" si="795"/>
        <v>1</v>
      </c>
      <c r="U8689" s="22">
        <f t="shared" si="796"/>
        <v>1900</v>
      </c>
      <c r="V8689" s="22" t="str">
        <f t="shared" si="797"/>
        <v>REGIONES</v>
      </c>
    </row>
    <row r="8690" spans="20:22" x14ac:dyDescent="0.2">
      <c r="T8690" s="22">
        <f t="shared" si="795"/>
        <v>1</v>
      </c>
      <c r="U8690" s="22">
        <f t="shared" si="796"/>
        <v>1900</v>
      </c>
      <c r="V8690" s="22" t="str">
        <f t="shared" si="797"/>
        <v>REGIONES</v>
      </c>
    </row>
    <row r="8691" spans="20:22" x14ac:dyDescent="0.2">
      <c r="T8691" s="22">
        <f t="shared" si="795"/>
        <v>1</v>
      </c>
      <c r="U8691" s="22">
        <f t="shared" si="796"/>
        <v>1900</v>
      </c>
      <c r="V8691" s="22" t="str">
        <f t="shared" si="797"/>
        <v>REGIONES</v>
      </c>
    </row>
    <row r="8692" spans="20:22" x14ac:dyDescent="0.2">
      <c r="T8692" s="22">
        <f t="shared" si="795"/>
        <v>1</v>
      </c>
      <c r="U8692" s="22">
        <f t="shared" si="796"/>
        <v>1900</v>
      </c>
      <c r="V8692" s="22" t="str">
        <f t="shared" si="797"/>
        <v>REGIONES</v>
      </c>
    </row>
    <row r="8693" spans="20:22" x14ac:dyDescent="0.2">
      <c r="T8693" s="22">
        <f t="shared" si="795"/>
        <v>1</v>
      </c>
      <c r="U8693" s="22">
        <f t="shared" si="796"/>
        <v>1900</v>
      </c>
      <c r="V8693" s="22" t="str">
        <f t="shared" si="797"/>
        <v>REGIONES</v>
      </c>
    </row>
    <row r="8694" spans="20:22" x14ac:dyDescent="0.2">
      <c r="T8694" s="22">
        <f t="shared" si="795"/>
        <v>1</v>
      </c>
      <c r="U8694" s="22">
        <f t="shared" si="796"/>
        <v>1900</v>
      </c>
      <c r="V8694" s="22" t="str">
        <f t="shared" si="797"/>
        <v>REGIONES</v>
      </c>
    </row>
    <row r="8695" spans="20:22" x14ac:dyDescent="0.2">
      <c r="T8695" s="22">
        <f t="shared" si="795"/>
        <v>1</v>
      </c>
      <c r="U8695" s="22">
        <f t="shared" si="796"/>
        <v>1900</v>
      </c>
      <c r="V8695" s="22" t="str">
        <f t="shared" si="797"/>
        <v>REGIONES</v>
      </c>
    </row>
    <row r="8696" spans="20:22" x14ac:dyDescent="0.2">
      <c r="T8696" s="22">
        <f t="shared" si="795"/>
        <v>1</v>
      </c>
      <c r="U8696" s="22">
        <f t="shared" si="796"/>
        <v>1900</v>
      </c>
      <c r="V8696" s="22" t="str">
        <f t="shared" si="797"/>
        <v>REGIONES</v>
      </c>
    </row>
    <row r="8697" spans="20:22" x14ac:dyDescent="0.2">
      <c r="T8697" s="22">
        <f t="shared" si="795"/>
        <v>1</v>
      </c>
      <c r="U8697" s="22">
        <f t="shared" si="796"/>
        <v>1900</v>
      </c>
      <c r="V8697" s="22" t="str">
        <f t="shared" si="797"/>
        <v>REGIONES</v>
      </c>
    </row>
    <row r="8698" spans="20:22" x14ac:dyDescent="0.2">
      <c r="T8698" s="22">
        <f t="shared" si="795"/>
        <v>1</v>
      </c>
      <c r="U8698" s="22">
        <f t="shared" si="796"/>
        <v>1900</v>
      </c>
      <c r="V8698" s="22" t="str">
        <f t="shared" si="797"/>
        <v>REGIONES</v>
      </c>
    </row>
    <row r="8699" spans="20:22" x14ac:dyDescent="0.2">
      <c r="T8699" s="22">
        <f t="shared" si="795"/>
        <v>1</v>
      </c>
      <c r="U8699" s="22">
        <f t="shared" si="796"/>
        <v>1900</v>
      </c>
      <c r="V8699" s="22" t="str">
        <f t="shared" si="797"/>
        <v>REGIONES</v>
      </c>
    </row>
    <row r="8700" spans="20:22" x14ac:dyDescent="0.2">
      <c r="T8700" s="22">
        <f t="shared" si="795"/>
        <v>1</v>
      </c>
      <c r="U8700" s="22">
        <f t="shared" si="796"/>
        <v>1900</v>
      </c>
      <c r="V8700" s="22" t="str">
        <f t="shared" si="797"/>
        <v>REGIONES</v>
      </c>
    </row>
    <row r="8701" spans="20:22" x14ac:dyDescent="0.2">
      <c r="T8701" s="22">
        <f t="shared" si="795"/>
        <v>1</v>
      </c>
      <c r="U8701" s="22">
        <f t="shared" si="796"/>
        <v>1900</v>
      </c>
      <c r="V8701" s="22" t="str">
        <f t="shared" si="797"/>
        <v>REGIONES</v>
      </c>
    </row>
    <row r="8702" spans="20:22" x14ac:dyDescent="0.2">
      <c r="T8702" s="22">
        <f t="shared" si="795"/>
        <v>1</v>
      </c>
      <c r="U8702" s="22">
        <f t="shared" si="796"/>
        <v>1900</v>
      </c>
      <c r="V8702" s="22" t="str">
        <f t="shared" si="797"/>
        <v>REGIONES</v>
      </c>
    </row>
    <row r="8703" spans="20:22" x14ac:dyDescent="0.2">
      <c r="T8703" s="22">
        <f t="shared" si="795"/>
        <v>1</v>
      </c>
      <c r="U8703" s="22">
        <f t="shared" si="796"/>
        <v>1900</v>
      </c>
      <c r="V8703" s="22" t="str">
        <f t="shared" si="797"/>
        <v>REGIONES</v>
      </c>
    </row>
    <row r="8704" spans="20:22" x14ac:dyDescent="0.2">
      <c r="T8704" s="22">
        <f t="shared" si="795"/>
        <v>1</v>
      </c>
      <c r="U8704" s="22">
        <f t="shared" si="796"/>
        <v>1900</v>
      </c>
      <c r="V8704" s="22" t="str">
        <f t="shared" si="797"/>
        <v>REGIONES</v>
      </c>
    </row>
    <row r="8705" spans="20:22" x14ac:dyDescent="0.2">
      <c r="T8705" s="22">
        <f t="shared" si="795"/>
        <v>1</v>
      </c>
      <c r="U8705" s="22">
        <f t="shared" si="796"/>
        <v>1900</v>
      </c>
      <c r="V8705" s="22" t="str">
        <f t="shared" si="797"/>
        <v>REGIONES</v>
      </c>
    </row>
    <row r="8706" spans="20:22" x14ac:dyDescent="0.2">
      <c r="T8706" s="22">
        <f t="shared" ref="T8706:T8769" si="798">MONTH(A8706)</f>
        <v>1</v>
      </c>
      <c r="U8706" s="22">
        <f t="shared" ref="U8706:U8769" si="799">YEAR(A8706)</f>
        <v>1900</v>
      </c>
      <c r="V8706" s="22" t="str">
        <f t="shared" ref="V8706:V8769" si="800">IF(K8706="METROPOLITANA DE SANTIAGO","METROPOLITANA","REGIONES")</f>
        <v>REGIONES</v>
      </c>
    </row>
    <row r="8707" spans="20:22" x14ac:dyDescent="0.2">
      <c r="T8707" s="22">
        <f t="shared" si="798"/>
        <v>1</v>
      </c>
      <c r="U8707" s="22">
        <f t="shared" si="799"/>
        <v>1900</v>
      </c>
      <c r="V8707" s="22" t="str">
        <f t="shared" si="800"/>
        <v>REGIONES</v>
      </c>
    </row>
    <row r="8708" spans="20:22" x14ac:dyDescent="0.2">
      <c r="T8708" s="22">
        <f t="shared" si="798"/>
        <v>1</v>
      </c>
      <c r="U8708" s="22">
        <f t="shared" si="799"/>
        <v>1900</v>
      </c>
      <c r="V8708" s="22" t="str">
        <f t="shared" si="800"/>
        <v>REGIONES</v>
      </c>
    </row>
    <row r="8709" spans="20:22" x14ac:dyDescent="0.2">
      <c r="T8709" s="22">
        <f t="shared" si="798"/>
        <v>1</v>
      </c>
      <c r="U8709" s="22">
        <f t="shared" si="799"/>
        <v>1900</v>
      </c>
      <c r="V8709" s="22" t="str">
        <f t="shared" si="800"/>
        <v>REGIONES</v>
      </c>
    </row>
    <row r="8710" spans="20:22" x14ac:dyDescent="0.2">
      <c r="T8710" s="22">
        <f t="shared" si="798"/>
        <v>1</v>
      </c>
      <c r="U8710" s="22">
        <f t="shared" si="799"/>
        <v>1900</v>
      </c>
      <c r="V8710" s="22" t="str">
        <f t="shared" si="800"/>
        <v>REGIONES</v>
      </c>
    </row>
    <row r="8711" spans="20:22" x14ac:dyDescent="0.2">
      <c r="T8711" s="22">
        <f t="shared" si="798"/>
        <v>1</v>
      </c>
      <c r="U8711" s="22">
        <f t="shared" si="799"/>
        <v>1900</v>
      </c>
      <c r="V8711" s="22" t="str">
        <f t="shared" si="800"/>
        <v>REGIONES</v>
      </c>
    </row>
    <row r="8712" spans="20:22" x14ac:dyDescent="0.2">
      <c r="T8712" s="22">
        <f t="shared" si="798"/>
        <v>1</v>
      </c>
      <c r="U8712" s="22">
        <f t="shared" si="799"/>
        <v>1900</v>
      </c>
      <c r="V8712" s="22" t="str">
        <f t="shared" si="800"/>
        <v>REGIONES</v>
      </c>
    </row>
    <row r="8713" spans="20:22" x14ac:dyDescent="0.2">
      <c r="T8713" s="22">
        <f t="shared" si="798"/>
        <v>1</v>
      </c>
      <c r="U8713" s="22">
        <f t="shared" si="799"/>
        <v>1900</v>
      </c>
      <c r="V8713" s="22" t="str">
        <f t="shared" si="800"/>
        <v>REGIONES</v>
      </c>
    </row>
    <row r="8714" spans="20:22" x14ac:dyDescent="0.2">
      <c r="T8714" s="22">
        <f t="shared" si="798"/>
        <v>1</v>
      </c>
      <c r="U8714" s="22">
        <f t="shared" si="799"/>
        <v>1900</v>
      </c>
      <c r="V8714" s="22" t="str">
        <f t="shared" si="800"/>
        <v>REGIONES</v>
      </c>
    </row>
    <row r="8715" spans="20:22" x14ac:dyDescent="0.2">
      <c r="T8715" s="22">
        <f t="shared" si="798"/>
        <v>1</v>
      </c>
      <c r="U8715" s="22">
        <f t="shared" si="799"/>
        <v>1900</v>
      </c>
      <c r="V8715" s="22" t="str">
        <f t="shared" si="800"/>
        <v>REGIONES</v>
      </c>
    </row>
    <row r="8716" spans="20:22" x14ac:dyDescent="0.2">
      <c r="T8716" s="22">
        <f t="shared" si="798"/>
        <v>1</v>
      </c>
      <c r="U8716" s="22">
        <f t="shared" si="799"/>
        <v>1900</v>
      </c>
      <c r="V8716" s="22" t="str">
        <f t="shared" si="800"/>
        <v>REGIONES</v>
      </c>
    </row>
    <row r="8717" spans="20:22" x14ac:dyDescent="0.2">
      <c r="T8717" s="22">
        <f t="shared" si="798"/>
        <v>1</v>
      </c>
      <c r="U8717" s="22">
        <f t="shared" si="799"/>
        <v>1900</v>
      </c>
      <c r="V8717" s="22" t="str">
        <f t="shared" si="800"/>
        <v>REGIONES</v>
      </c>
    </row>
    <row r="8718" spans="20:22" x14ac:dyDescent="0.2">
      <c r="T8718" s="22">
        <f t="shared" si="798"/>
        <v>1</v>
      </c>
      <c r="U8718" s="22">
        <f t="shared" si="799"/>
        <v>1900</v>
      </c>
      <c r="V8718" s="22" t="str">
        <f t="shared" si="800"/>
        <v>REGIONES</v>
      </c>
    </row>
    <row r="8719" spans="20:22" x14ac:dyDescent="0.2">
      <c r="T8719" s="22">
        <f t="shared" si="798"/>
        <v>1</v>
      </c>
      <c r="U8719" s="22">
        <f t="shared" si="799"/>
        <v>1900</v>
      </c>
      <c r="V8719" s="22" t="str">
        <f t="shared" si="800"/>
        <v>REGIONES</v>
      </c>
    </row>
    <row r="8720" spans="20:22" x14ac:dyDescent="0.2">
      <c r="T8720" s="22">
        <f t="shared" si="798"/>
        <v>1</v>
      </c>
      <c r="U8720" s="22">
        <f t="shared" si="799"/>
        <v>1900</v>
      </c>
      <c r="V8720" s="22" t="str">
        <f t="shared" si="800"/>
        <v>REGIONES</v>
      </c>
    </row>
    <row r="8721" spans="20:22" x14ac:dyDescent="0.2">
      <c r="T8721" s="22">
        <f t="shared" si="798"/>
        <v>1</v>
      </c>
      <c r="U8721" s="22">
        <f t="shared" si="799"/>
        <v>1900</v>
      </c>
      <c r="V8721" s="22" t="str">
        <f t="shared" si="800"/>
        <v>REGIONES</v>
      </c>
    </row>
    <row r="8722" spans="20:22" x14ac:dyDescent="0.2">
      <c r="T8722" s="22">
        <f t="shared" si="798"/>
        <v>1</v>
      </c>
      <c r="U8722" s="22">
        <f t="shared" si="799"/>
        <v>1900</v>
      </c>
      <c r="V8722" s="22" t="str">
        <f t="shared" si="800"/>
        <v>REGIONES</v>
      </c>
    </row>
    <row r="8723" spans="20:22" x14ac:dyDescent="0.2">
      <c r="T8723" s="22">
        <f t="shared" si="798"/>
        <v>1</v>
      </c>
      <c r="U8723" s="22">
        <f t="shared" si="799"/>
        <v>1900</v>
      </c>
      <c r="V8723" s="22" t="str">
        <f t="shared" si="800"/>
        <v>REGIONES</v>
      </c>
    </row>
    <row r="8724" spans="20:22" x14ac:dyDescent="0.2">
      <c r="T8724" s="22">
        <f t="shared" si="798"/>
        <v>1</v>
      </c>
      <c r="U8724" s="22">
        <f t="shared" si="799"/>
        <v>1900</v>
      </c>
      <c r="V8724" s="22" t="str">
        <f t="shared" si="800"/>
        <v>REGIONES</v>
      </c>
    </row>
    <row r="8725" spans="20:22" x14ac:dyDescent="0.2">
      <c r="T8725" s="22">
        <f t="shared" si="798"/>
        <v>1</v>
      </c>
      <c r="U8725" s="22">
        <f t="shared" si="799"/>
        <v>1900</v>
      </c>
      <c r="V8725" s="22" t="str">
        <f t="shared" si="800"/>
        <v>REGIONES</v>
      </c>
    </row>
    <row r="8726" spans="20:22" x14ac:dyDescent="0.2">
      <c r="T8726" s="22">
        <f t="shared" si="798"/>
        <v>1</v>
      </c>
      <c r="U8726" s="22">
        <f t="shared" si="799"/>
        <v>1900</v>
      </c>
      <c r="V8726" s="22" t="str">
        <f t="shared" si="800"/>
        <v>REGIONES</v>
      </c>
    </row>
    <row r="8727" spans="20:22" x14ac:dyDescent="0.2">
      <c r="T8727" s="22">
        <f t="shared" si="798"/>
        <v>1</v>
      </c>
      <c r="U8727" s="22">
        <f t="shared" si="799"/>
        <v>1900</v>
      </c>
      <c r="V8727" s="22" t="str">
        <f t="shared" si="800"/>
        <v>REGIONES</v>
      </c>
    </row>
    <row r="8728" spans="20:22" x14ac:dyDescent="0.2">
      <c r="T8728" s="22">
        <f t="shared" si="798"/>
        <v>1</v>
      </c>
      <c r="U8728" s="22">
        <f t="shared" si="799"/>
        <v>1900</v>
      </c>
      <c r="V8728" s="22" t="str">
        <f t="shared" si="800"/>
        <v>REGIONES</v>
      </c>
    </row>
    <row r="8729" spans="20:22" x14ac:dyDescent="0.2">
      <c r="T8729" s="22">
        <f t="shared" si="798"/>
        <v>1</v>
      </c>
      <c r="U8729" s="22">
        <f t="shared" si="799"/>
        <v>1900</v>
      </c>
      <c r="V8729" s="22" t="str">
        <f t="shared" si="800"/>
        <v>REGIONES</v>
      </c>
    </row>
    <row r="8730" spans="20:22" x14ac:dyDescent="0.2">
      <c r="T8730" s="22">
        <f t="shared" si="798"/>
        <v>1</v>
      </c>
      <c r="U8730" s="22">
        <f t="shared" si="799"/>
        <v>1900</v>
      </c>
      <c r="V8730" s="22" t="str">
        <f t="shared" si="800"/>
        <v>REGIONES</v>
      </c>
    </row>
    <row r="8731" spans="20:22" x14ac:dyDescent="0.2">
      <c r="T8731" s="22">
        <f t="shared" si="798"/>
        <v>1</v>
      </c>
      <c r="U8731" s="22">
        <f t="shared" si="799"/>
        <v>1900</v>
      </c>
      <c r="V8731" s="22" t="str">
        <f t="shared" si="800"/>
        <v>REGIONES</v>
      </c>
    </row>
    <row r="8732" spans="20:22" x14ac:dyDescent="0.2">
      <c r="T8732" s="22">
        <f t="shared" si="798"/>
        <v>1</v>
      </c>
      <c r="U8732" s="22">
        <f t="shared" si="799"/>
        <v>1900</v>
      </c>
      <c r="V8732" s="22" t="str">
        <f t="shared" si="800"/>
        <v>REGIONES</v>
      </c>
    </row>
    <row r="8733" spans="20:22" x14ac:dyDescent="0.2">
      <c r="T8733" s="22">
        <f t="shared" si="798"/>
        <v>1</v>
      </c>
      <c r="U8733" s="22">
        <f t="shared" si="799"/>
        <v>1900</v>
      </c>
      <c r="V8733" s="22" t="str">
        <f t="shared" si="800"/>
        <v>REGIONES</v>
      </c>
    </row>
    <row r="8734" spans="20:22" x14ac:dyDescent="0.2">
      <c r="T8734" s="22">
        <f t="shared" si="798"/>
        <v>1</v>
      </c>
      <c r="U8734" s="22">
        <f t="shared" si="799"/>
        <v>1900</v>
      </c>
      <c r="V8734" s="22" t="str">
        <f t="shared" si="800"/>
        <v>REGIONES</v>
      </c>
    </row>
    <row r="8735" spans="20:22" x14ac:dyDescent="0.2">
      <c r="T8735" s="22">
        <f t="shared" si="798"/>
        <v>1</v>
      </c>
      <c r="U8735" s="22">
        <f t="shared" si="799"/>
        <v>1900</v>
      </c>
      <c r="V8735" s="22" t="str">
        <f t="shared" si="800"/>
        <v>REGIONES</v>
      </c>
    </row>
    <row r="8736" spans="20:22" x14ac:dyDescent="0.2">
      <c r="T8736" s="22">
        <f t="shared" si="798"/>
        <v>1</v>
      </c>
      <c r="U8736" s="22">
        <f t="shared" si="799"/>
        <v>1900</v>
      </c>
      <c r="V8736" s="22" t="str">
        <f t="shared" si="800"/>
        <v>REGIONES</v>
      </c>
    </row>
    <row r="8737" spans="20:22" x14ac:dyDescent="0.2">
      <c r="T8737" s="22">
        <f t="shared" si="798"/>
        <v>1</v>
      </c>
      <c r="U8737" s="22">
        <f t="shared" si="799"/>
        <v>1900</v>
      </c>
      <c r="V8737" s="22" t="str">
        <f t="shared" si="800"/>
        <v>REGIONES</v>
      </c>
    </row>
    <row r="8738" spans="20:22" x14ac:dyDescent="0.2">
      <c r="T8738" s="22">
        <f t="shared" si="798"/>
        <v>1</v>
      </c>
      <c r="U8738" s="22">
        <f t="shared" si="799"/>
        <v>1900</v>
      </c>
      <c r="V8738" s="22" t="str">
        <f t="shared" si="800"/>
        <v>REGIONES</v>
      </c>
    </row>
    <row r="8739" spans="20:22" x14ac:dyDescent="0.2">
      <c r="T8739" s="22">
        <f t="shared" si="798"/>
        <v>1</v>
      </c>
      <c r="U8739" s="22">
        <f t="shared" si="799"/>
        <v>1900</v>
      </c>
      <c r="V8739" s="22" t="str">
        <f t="shared" si="800"/>
        <v>REGIONES</v>
      </c>
    </row>
    <row r="8740" spans="20:22" x14ac:dyDescent="0.2">
      <c r="T8740" s="22">
        <f t="shared" si="798"/>
        <v>1</v>
      </c>
      <c r="U8740" s="22">
        <f t="shared" si="799"/>
        <v>1900</v>
      </c>
      <c r="V8740" s="22" t="str">
        <f t="shared" si="800"/>
        <v>REGIONES</v>
      </c>
    </row>
    <row r="8741" spans="20:22" x14ac:dyDescent="0.2">
      <c r="T8741" s="22">
        <f t="shared" si="798"/>
        <v>1</v>
      </c>
      <c r="U8741" s="22">
        <f t="shared" si="799"/>
        <v>1900</v>
      </c>
      <c r="V8741" s="22" t="str">
        <f t="shared" si="800"/>
        <v>REGIONES</v>
      </c>
    </row>
    <row r="8742" spans="20:22" x14ac:dyDescent="0.2">
      <c r="T8742" s="22">
        <f t="shared" si="798"/>
        <v>1</v>
      </c>
      <c r="U8742" s="22">
        <f t="shared" si="799"/>
        <v>1900</v>
      </c>
      <c r="V8742" s="22" t="str">
        <f t="shared" si="800"/>
        <v>REGIONES</v>
      </c>
    </row>
    <row r="8743" spans="20:22" x14ac:dyDescent="0.2">
      <c r="T8743" s="22">
        <f t="shared" si="798"/>
        <v>1</v>
      </c>
      <c r="U8743" s="22">
        <f t="shared" si="799"/>
        <v>1900</v>
      </c>
      <c r="V8743" s="22" t="str">
        <f t="shared" si="800"/>
        <v>REGIONES</v>
      </c>
    </row>
    <row r="8744" spans="20:22" x14ac:dyDescent="0.2">
      <c r="T8744" s="22">
        <f t="shared" si="798"/>
        <v>1</v>
      </c>
      <c r="U8744" s="22">
        <f t="shared" si="799"/>
        <v>1900</v>
      </c>
      <c r="V8744" s="22" t="str">
        <f t="shared" si="800"/>
        <v>REGIONES</v>
      </c>
    </row>
    <row r="8745" spans="20:22" x14ac:dyDescent="0.2">
      <c r="T8745" s="22">
        <f t="shared" si="798"/>
        <v>1</v>
      </c>
      <c r="U8745" s="22">
        <f t="shared" si="799"/>
        <v>1900</v>
      </c>
      <c r="V8745" s="22" t="str">
        <f t="shared" si="800"/>
        <v>REGIONES</v>
      </c>
    </row>
    <row r="8746" spans="20:22" x14ac:dyDescent="0.2">
      <c r="T8746" s="22">
        <f t="shared" si="798"/>
        <v>1</v>
      </c>
      <c r="U8746" s="22">
        <f t="shared" si="799"/>
        <v>1900</v>
      </c>
      <c r="V8746" s="22" t="str">
        <f t="shared" si="800"/>
        <v>REGIONES</v>
      </c>
    </row>
    <row r="8747" spans="20:22" x14ac:dyDescent="0.2">
      <c r="T8747" s="22">
        <f t="shared" si="798"/>
        <v>1</v>
      </c>
      <c r="U8747" s="22">
        <f t="shared" si="799"/>
        <v>1900</v>
      </c>
      <c r="V8747" s="22" t="str">
        <f t="shared" si="800"/>
        <v>REGIONES</v>
      </c>
    </row>
    <row r="8748" spans="20:22" x14ac:dyDescent="0.2">
      <c r="T8748" s="22">
        <f t="shared" si="798"/>
        <v>1</v>
      </c>
      <c r="U8748" s="22">
        <f t="shared" si="799"/>
        <v>1900</v>
      </c>
      <c r="V8748" s="22" t="str">
        <f t="shared" si="800"/>
        <v>REGIONES</v>
      </c>
    </row>
    <row r="8749" spans="20:22" x14ac:dyDescent="0.2">
      <c r="T8749" s="22">
        <f t="shared" si="798"/>
        <v>1</v>
      </c>
      <c r="U8749" s="22">
        <f t="shared" si="799"/>
        <v>1900</v>
      </c>
      <c r="V8749" s="22" t="str">
        <f t="shared" si="800"/>
        <v>REGIONES</v>
      </c>
    </row>
    <row r="8750" spans="20:22" x14ac:dyDescent="0.2">
      <c r="T8750" s="22">
        <f t="shared" si="798"/>
        <v>1</v>
      </c>
      <c r="U8750" s="22">
        <f t="shared" si="799"/>
        <v>1900</v>
      </c>
      <c r="V8750" s="22" t="str">
        <f t="shared" si="800"/>
        <v>REGIONES</v>
      </c>
    </row>
    <row r="8751" spans="20:22" x14ac:dyDescent="0.2">
      <c r="T8751" s="22">
        <f t="shared" si="798"/>
        <v>1</v>
      </c>
      <c r="U8751" s="22">
        <f t="shared" si="799"/>
        <v>1900</v>
      </c>
      <c r="V8751" s="22" t="str">
        <f t="shared" si="800"/>
        <v>REGIONES</v>
      </c>
    </row>
    <row r="8752" spans="20:22" x14ac:dyDescent="0.2">
      <c r="T8752" s="22">
        <f t="shared" si="798"/>
        <v>1</v>
      </c>
      <c r="U8752" s="22">
        <f t="shared" si="799"/>
        <v>1900</v>
      </c>
      <c r="V8752" s="22" t="str">
        <f t="shared" si="800"/>
        <v>REGIONES</v>
      </c>
    </row>
    <row r="8753" spans="20:22" x14ac:dyDescent="0.2">
      <c r="T8753" s="22">
        <f t="shared" si="798"/>
        <v>1</v>
      </c>
      <c r="U8753" s="22">
        <f t="shared" si="799"/>
        <v>1900</v>
      </c>
      <c r="V8753" s="22" t="str">
        <f t="shared" si="800"/>
        <v>REGIONES</v>
      </c>
    </row>
    <row r="8754" spans="20:22" x14ac:dyDescent="0.2">
      <c r="T8754" s="22">
        <f t="shared" si="798"/>
        <v>1</v>
      </c>
      <c r="U8754" s="22">
        <f t="shared" si="799"/>
        <v>1900</v>
      </c>
      <c r="V8754" s="22" t="str">
        <f t="shared" si="800"/>
        <v>REGIONES</v>
      </c>
    </row>
    <row r="8755" spans="20:22" x14ac:dyDescent="0.2">
      <c r="T8755" s="22">
        <f t="shared" si="798"/>
        <v>1</v>
      </c>
      <c r="U8755" s="22">
        <f t="shared" si="799"/>
        <v>1900</v>
      </c>
      <c r="V8755" s="22" t="str">
        <f t="shared" si="800"/>
        <v>REGIONES</v>
      </c>
    </row>
    <row r="8756" spans="20:22" x14ac:dyDescent="0.2">
      <c r="T8756" s="22">
        <f t="shared" si="798"/>
        <v>1</v>
      </c>
      <c r="U8756" s="22">
        <f t="shared" si="799"/>
        <v>1900</v>
      </c>
      <c r="V8756" s="22" t="str">
        <f t="shared" si="800"/>
        <v>REGIONES</v>
      </c>
    </row>
    <row r="8757" spans="20:22" x14ac:dyDescent="0.2">
      <c r="T8757" s="22">
        <f t="shared" si="798"/>
        <v>1</v>
      </c>
      <c r="U8757" s="22">
        <f t="shared" si="799"/>
        <v>1900</v>
      </c>
      <c r="V8757" s="22" t="str">
        <f t="shared" si="800"/>
        <v>REGIONES</v>
      </c>
    </row>
    <row r="8758" spans="20:22" x14ac:dyDescent="0.2">
      <c r="T8758" s="22">
        <f t="shared" si="798"/>
        <v>1</v>
      </c>
      <c r="U8758" s="22">
        <f t="shared" si="799"/>
        <v>1900</v>
      </c>
      <c r="V8758" s="22" t="str">
        <f t="shared" si="800"/>
        <v>REGIONES</v>
      </c>
    </row>
    <row r="8759" spans="20:22" x14ac:dyDescent="0.2">
      <c r="T8759" s="22">
        <f t="shared" si="798"/>
        <v>1</v>
      </c>
      <c r="U8759" s="22">
        <f t="shared" si="799"/>
        <v>1900</v>
      </c>
      <c r="V8759" s="22" t="str">
        <f t="shared" si="800"/>
        <v>REGIONES</v>
      </c>
    </row>
    <row r="8760" spans="20:22" x14ac:dyDescent="0.2">
      <c r="T8760" s="22">
        <f t="shared" si="798"/>
        <v>1</v>
      </c>
      <c r="U8760" s="22">
        <f t="shared" si="799"/>
        <v>1900</v>
      </c>
      <c r="V8760" s="22" t="str">
        <f t="shared" si="800"/>
        <v>REGIONES</v>
      </c>
    </row>
    <row r="8761" spans="20:22" x14ac:dyDescent="0.2">
      <c r="T8761" s="22">
        <f t="shared" si="798"/>
        <v>1</v>
      </c>
      <c r="U8761" s="22">
        <f t="shared" si="799"/>
        <v>1900</v>
      </c>
      <c r="V8761" s="22" t="str">
        <f t="shared" si="800"/>
        <v>REGIONES</v>
      </c>
    </row>
    <row r="8762" spans="20:22" x14ac:dyDescent="0.2">
      <c r="T8762" s="22">
        <f t="shared" si="798"/>
        <v>1</v>
      </c>
      <c r="U8762" s="22">
        <f t="shared" si="799"/>
        <v>1900</v>
      </c>
      <c r="V8762" s="22" t="str">
        <f t="shared" si="800"/>
        <v>REGIONES</v>
      </c>
    </row>
    <row r="8763" spans="20:22" x14ac:dyDescent="0.2">
      <c r="T8763" s="22">
        <f t="shared" si="798"/>
        <v>1</v>
      </c>
      <c r="U8763" s="22">
        <f t="shared" si="799"/>
        <v>1900</v>
      </c>
      <c r="V8763" s="22" t="str">
        <f t="shared" si="800"/>
        <v>REGIONES</v>
      </c>
    </row>
    <row r="8764" spans="20:22" x14ac:dyDescent="0.2">
      <c r="T8764" s="22">
        <f t="shared" si="798"/>
        <v>1</v>
      </c>
      <c r="U8764" s="22">
        <f t="shared" si="799"/>
        <v>1900</v>
      </c>
      <c r="V8764" s="22" t="str">
        <f t="shared" si="800"/>
        <v>REGIONES</v>
      </c>
    </row>
    <row r="8765" spans="20:22" x14ac:dyDescent="0.2">
      <c r="T8765" s="22">
        <f t="shared" si="798"/>
        <v>1</v>
      </c>
      <c r="U8765" s="22">
        <f t="shared" si="799"/>
        <v>1900</v>
      </c>
      <c r="V8765" s="22" t="str">
        <f t="shared" si="800"/>
        <v>REGIONES</v>
      </c>
    </row>
    <row r="8766" spans="20:22" x14ac:dyDescent="0.2">
      <c r="T8766" s="22">
        <f t="shared" si="798"/>
        <v>1</v>
      </c>
      <c r="U8766" s="22">
        <f t="shared" si="799"/>
        <v>1900</v>
      </c>
      <c r="V8766" s="22" t="str">
        <f t="shared" si="800"/>
        <v>REGIONES</v>
      </c>
    </row>
    <row r="8767" spans="20:22" x14ac:dyDescent="0.2">
      <c r="T8767" s="22">
        <f t="shared" si="798"/>
        <v>1</v>
      </c>
      <c r="U8767" s="22">
        <f t="shared" si="799"/>
        <v>1900</v>
      </c>
      <c r="V8767" s="22" t="str">
        <f t="shared" si="800"/>
        <v>REGIONES</v>
      </c>
    </row>
    <row r="8768" spans="20:22" x14ac:dyDescent="0.2">
      <c r="T8768" s="22">
        <f t="shared" si="798"/>
        <v>1</v>
      </c>
      <c r="U8768" s="22">
        <f t="shared" si="799"/>
        <v>1900</v>
      </c>
      <c r="V8768" s="22" t="str">
        <f t="shared" si="800"/>
        <v>REGIONES</v>
      </c>
    </row>
    <row r="8769" spans="20:22" x14ac:dyDescent="0.2">
      <c r="T8769" s="22">
        <f t="shared" si="798"/>
        <v>1</v>
      </c>
      <c r="U8769" s="22">
        <f t="shared" si="799"/>
        <v>1900</v>
      </c>
      <c r="V8769" s="22" t="str">
        <f t="shared" si="800"/>
        <v>REGIONES</v>
      </c>
    </row>
    <row r="8770" spans="20:22" x14ac:dyDescent="0.2">
      <c r="T8770" s="22">
        <f t="shared" ref="T8770:T8833" si="801">MONTH(A8770)</f>
        <v>1</v>
      </c>
      <c r="U8770" s="22">
        <f t="shared" ref="U8770:U8833" si="802">YEAR(A8770)</f>
        <v>1900</v>
      </c>
      <c r="V8770" s="22" t="str">
        <f t="shared" ref="V8770:V8833" si="803">IF(K8770="METROPOLITANA DE SANTIAGO","METROPOLITANA","REGIONES")</f>
        <v>REGIONES</v>
      </c>
    </row>
    <row r="8771" spans="20:22" x14ac:dyDescent="0.2">
      <c r="T8771" s="22">
        <f t="shared" si="801"/>
        <v>1</v>
      </c>
      <c r="U8771" s="22">
        <f t="shared" si="802"/>
        <v>1900</v>
      </c>
      <c r="V8771" s="22" t="str">
        <f t="shared" si="803"/>
        <v>REGIONES</v>
      </c>
    </row>
    <row r="8772" spans="20:22" x14ac:dyDescent="0.2">
      <c r="T8772" s="22">
        <f t="shared" si="801"/>
        <v>1</v>
      </c>
      <c r="U8772" s="22">
        <f t="shared" si="802"/>
        <v>1900</v>
      </c>
      <c r="V8772" s="22" t="str">
        <f t="shared" si="803"/>
        <v>REGIONES</v>
      </c>
    </row>
    <row r="8773" spans="20:22" x14ac:dyDescent="0.2">
      <c r="T8773" s="22">
        <f t="shared" si="801"/>
        <v>1</v>
      </c>
      <c r="U8773" s="22">
        <f t="shared" si="802"/>
        <v>1900</v>
      </c>
      <c r="V8773" s="22" t="str">
        <f t="shared" si="803"/>
        <v>REGIONES</v>
      </c>
    </row>
    <row r="8774" spans="20:22" x14ac:dyDescent="0.2">
      <c r="T8774" s="22">
        <f t="shared" si="801"/>
        <v>1</v>
      </c>
      <c r="U8774" s="22">
        <f t="shared" si="802"/>
        <v>1900</v>
      </c>
      <c r="V8774" s="22" t="str">
        <f t="shared" si="803"/>
        <v>REGIONES</v>
      </c>
    </row>
    <row r="8775" spans="20:22" x14ac:dyDescent="0.2">
      <c r="T8775" s="22">
        <f t="shared" si="801"/>
        <v>1</v>
      </c>
      <c r="U8775" s="22">
        <f t="shared" si="802"/>
        <v>1900</v>
      </c>
      <c r="V8775" s="22" t="str">
        <f t="shared" si="803"/>
        <v>REGIONES</v>
      </c>
    </row>
    <row r="8776" spans="20:22" x14ac:dyDescent="0.2">
      <c r="T8776" s="22">
        <f t="shared" si="801"/>
        <v>1</v>
      </c>
      <c r="U8776" s="22">
        <f t="shared" si="802"/>
        <v>1900</v>
      </c>
      <c r="V8776" s="22" t="str">
        <f t="shared" si="803"/>
        <v>REGIONES</v>
      </c>
    </row>
    <row r="8777" spans="20:22" x14ac:dyDescent="0.2">
      <c r="T8777" s="22">
        <f t="shared" si="801"/>
        <v>1</v>
      </c>
      <c r="U8777" s="22">
        <f t="shared" si="802"/>
        <v>1900</v>
      </c>
      <c r="V8777" s="22" t="str">
        <f t="shared" si="803"/>
        <v>REGIONES</v>
      </c>
    </row>
    <row r="8778" spans="20:22" x14ac:dyDescent="0.2">
      <c r="T8778" s="22">
        <f t="shared" si="801"/>
        <v>1</v>
      </c>
      <c r="U8778" s="22">
        <f t="shared" si="802"/>
        <v>1900</v>
      </c>
      <c r="V8778" s="22" t="str">
        <f t="shared" si="803"/>
        <v>REGIONES</v>
      </c>
    </row>
    <row r="8779" spans="20:22" x14ac:dyDescent="0.2">
      <c r="T8779" s="22">
        <f t="shared" si="801"/>
        <v>1</v>
      </c>
      <c r="U8779" s="22">
        <f t="shared" si="802"/>
        <v>1900</v>
      </c>
      <c r="V8779" s="22" t="str">
        <f t="shared" si="803"/>
        <v>REGIONES</v>
      </c>
    </row>
    <row r="8780" spans="20:22" x14ac:dyDescent="0.2">
      <c r="T8780" s="22">
        <f t="shared" si="801"/>
        <v>1</v>
      </c>
      <c r="U8780" s="22">
        <f t="shared" si="802"/>
        <v>1900</v>
      </c>
      <c r="V8780" s="22" t="str">
        <f t="shared" si="803"/>
        <v>REGIONES</v>
      </c>
    </row>
    <row r="8781" spans="20:22" x14ac:dyDescent="0.2">
      <c r="T8781" s="22">
        <f t="shared" si="801"/>
        <v>1</v>
      </c>
      <c r="U8781" s="22">
        <f t="shared" si="802"/>
        <v>1900</v>
      </c>
      <c r="V8781" s="22" t="str">
        <f t="shared" si="803"/>
        <v>REGIONES</v>
      </c>
    </row>
    <row r="8782" spans="20:22" x14ac:dyDescent="0.2">
      <c r="T8782" s="22">
        <f t="shared" si="801"/>
        <v>1</v>
      </c>
      <c r="U8782" s="22">
        <f t="shared" si="802"/>
        <v>1900</v>
      </c>
      <c r="V8782" s="22" t="str">
        <f t="shared" si="803"/>
        <v>REGIONES</v>
      </c>
    </row>
    <row r="8783" spans="20:22" x14ac:dyDescent="0.2">
      <c r="T8783" s="22">
        <f t="shared" si="801"/>
        <v>1</v>
      </c>
      <c r="U8783" s="22">
        <f t="shared" si="802"/>
        <v>1900</v>
      </c>
      <c r="V8783" s="22" t="str">
        <f t="shared" si="803"/>
        <v>REGIONES</v>
      </c>
    </row>
    <row r="8784" spans="20:22" x14ac:dyDescent="0.2">
      <c r="T8784" s="22">
        <f t="shared" si="801"/>
        <v>1</v>
      </c>
      <c r="U8784" s="22">
        <f t="shared" si="802"/>
        <v>1900</v>
      </c>
      <c r="V8784" s="22" t="str">
        <f t="shared" si="803"/>
        <v>REGIONES</v>
      </c>
    </row>
    <row r="8785" spans="20:22" x14ac:dyDescent="0.2">
      <c r="T8785" s="22">
        <f t="shared" si="801"/>
        <v>1</v>
      </c>
      <c r="U8785" s="22">
        <f t="shared" si="802"/>
        <v>1900</v>
      </c>
      <c r="V8785" s="22" t="str">
        <f t="shared" si="803"/>
        <v>REGIONES</v>
      </c>
    </row>
    <row r="8786" spans="20:22" x14ac:dyDescent="0.2">
      <c r="T8786" s="22">
        <f t="shared" si="801"/>
        <v>1</v>
      </c>
      <c r="U8786" s="22">
        <f t="shared" si="802"/>
        <v>1900</v>
      </c>
      <c r="V8786" s="22" t="str">
        <f t="shared" si="803"/>
        <v>REGIONES</v>
      </c>
    </row>
    <row r="8787" spans="20:22" x14ac:dyDescent="0.2">
      <c r="T8787" s="22">
        <f t="shared" si="801"/>
        <v>1</v>
      </c>
      <c r="U8787" s="22">
        <f t="shared" si="802"/>
        <v>1900</v>
      </c>
      <c r="V8787" s="22" t="str">
        <f t="shared" si="803"/>
        <v>REGIONES</v>
      </c>
    </row>
    <row r="8788" spans="20:22" x14ac:dyDescent="0.2">
      <c r="T8788" s="22">
        <f t="shared" si="801"/>
        <v>1</v>
      </c>
      <c r="U8788" s="22">
        <f t="shared" si="802"/>
        <v>1900</v>
      </c>
      <c r="V8788" s="22" t="str">
        <f t="shared" si="803"/>
        <v>REGIONES</v>
      </c>
    </row>
    <row r="8789" spans="20:22" x14ac:dyDescent="0.2">
      <c r="T8789" s="22">
        <f t="shared" si="801"/>
        <v>1</v>
      </c>
      <c r="U8789" s="22">
        <f t="shared" si="802"/>
        <v>1900</v>
      </c>
      <c r="V8789" s="22" t="str">
        <f t="shared" si="803"/>
        <v>REGIONES</v>
      </c>
    </row>
    <row r="8790" spans="20:22" x14ac:dyDescent="0.2">
      <c r="T8790" s="22">
        <f t="shared" si="801"/>
        <v>1</v>
      </c>
      <c r="U8790" s="22">
        <f t="shared" si="802"/>
        <v>1900</v>
      </c>
      <c r="V8790" s="22" t="str">
        <f t="shared" si="803"/>
        <v>REGIONES</v>
      </c>
    </row>
    <row r="8791" spans="20:22" x14ac:dyDescent="0.2">
      <c r="T8791" s="22">
        <f t="shared" si="801"/>
        <v>1</v>
      </c>
      <c r="U8791" s="22">
        <f t="shared" si="802"/>
        <v>1900</v>
      </c>
      <c r="V8791" s="22" t="str">
        <f t="shared" si="803"/>
        <v>REGIONES</v>
      </c>
    </row>
    <row r="8792" spans="20:22" x14ac:dyDescent="0.2">
      <c r="T8792" s="22">
        <f t="shared" si="801"/>
        <v>1</v>
      </c>
      <c r="U8792" s="22">
        <f t="shared" si="802"/>
        <v>1900</v>
      </c>
      <c r="V8792" s="22" t="str">
        <f t="shared" si="803"/>
        <v>REGIONES</v>
      </c>
    </row>
    <row r="8793" spans="20:22" x14ac:dyDescent="0.2">
      <c r="T8793" s="22">
        <f t="shared" si="801"/>
        <v>1</v>
      </c>
      <c r="U8793" s="22">
        <f t="shared" si="802"/>
        <v>1900</v>
      </c>
      <c r="V8793" s="22" t="str">
        <f t="shared" si="803"/>
        <v>REGIONES</v>
      </c>
    </row>
    <row r="8794" spans="20:22" x14ac:dyDescent="0.2">
      <c r="T8794" s="22">
        <f t="shared" si="801"/>
        <v>1</v>
      </c>
      <c r="U8794" s="22">
        <f t="shared" si="802"/>
        <v>1900</v>
      </c>
      <c r="V8794" s="22" t="str">
        <f t="shared" si="803"/>
        <v>REGIONES</v>
      </c>
    </row>
    <row r="8795" spans="20:22" x14ac:dyDescent="0.2">
      <c r="T8795" s="22">
        <f t="shared" si="801"/>
        <v>1</v>
      </c>
      <c r="U8795" s="22">
        <f t="shared" si="802"/>
        <v>1900</v>
      </c>
      <c r="V8795" s="22" t="str">
        <f t="shared" si="803"/>
        <v>REGIONES</v>
      </c>
    </row>
    <row r="8796" spans="20:22" x14ac:dyDescent="0.2">
      <c r="T8796" s="22">
        <f t="shared" si="801"/>
        <v>1</v>
      </c>
      <c r="U8796" s="22">
        <f t="shared" si="802"/>
        <v>1900</v>
      </c>
      <c r="V8796" s="22" t="str">
        <f t="shared" si="803"/>
        <v>REGIONES</v>
      </c>
    </row>
    <row r="8797" spans="20:22" x14ac:dyDescent="0.2">
      <c r="T8797" s="22">
        <f t="shared" si="801"/>
        <v>1</v>
      </c>
      <c r="U8797" s="22">
        <f t="shared" si="802"/>
        <v>1900</v>
      </c>
      <c r="V8797" s="22" t="str">
        <f t="shared" si="803"/>
        <v>REGIONES</v>
      </c>
    </row>
    <row r="8798" spans="20:22" x14ac:dyDescent="0.2">
      <c r="T8798" s="22">
        <f t="shared" si="801"/>
        <v>1</v>
      </c>
      <c r="U8798" s="22">
        <f t="shared" si="802"/>
        <v>1900</v>
      </c>
      <c r="V8798" s="22" t="str">
        <f t="shared" si="803"/>
        <v>REGIONES</v>
      </c>
    </row>
    <row r="8799" spans="20:22" x14ac:dyDescent="0.2">
      <c r="T8799" s="22">
        <f t="shared" si="801"/>
        <v>1</v>
      </c>
      <c r="U8799" s="22">
        <f t="shared" si="802"/>
        <v>1900</v>
      </c>
      <c r="V8799" s="22" t="str">
        <f t="shared" si="803"/>
        <v>REGIONES</v>
      </c>
    </row>
    <row r="8800" spans="20:22" x14ac:dyDescent="0.2">
      <c r="T8800" s="22">
        <f t="shared" si="801"/>
        <v>1</v>
      </c>
      <c r="U8800" s="22">
        <f t="shared" si="802"/>
        <v>1900</v>
      </c>
      <c r="V8800" s="22" t="str">
        <f t="shared" si="803"/>
        <v>REGIONES</v>
      </c>
    </row>
    <row r="8801" spans="20:22" x14ac:dyDescent="0.2">
      <c r="T8801" s="22">
        <f t="shared" si="801"/>
        <v>1</v>
      </c>
      <c r="U8801" s="22">
        <f t="shared" si="802"/>
        <v>1900</v>
      </c>
      <c r="V8801" s="22" t="str">
        <f t="shared" si="803"/>
        <v>REGIONES</v>
      </c>
    </row>
    <row r="8802" spans="20:22" x14ac:dyDescent="0.2">
      <c r="T8802" s="22">
        <f t="shared" si="801"/>
        <v>1</v>
      </c>
      <c r="U8802" s="22">
        <f t="shared" si="802"/>
        <v>1900</v>
      </c>
      <c r="V8802" s="22" t="str">
        <f t="shared" si="803"/>
        <v>REGIONES</v>
      </c>
    </row>
    <row r="8803" spans="20:22" x14ac:dyDescent="0.2">
      <c r="T8803" s="22">
        <f t="shared" si="801"/>
        <v>1</v>
      </c>
      <c r="U8803" s="22">
        <f t="shared" si="802"/>
        <v>1900</v>
      </c>
      <c r="V8803" s="22" t="str">
        <f t="shared" si="803"/>
        <v>REGIONES</v>
      </c>
    </row>
    <row r="8804" spans="20:22" x14ac:dyDescent="0.2">
      <c r="T8804" s="22">
        <f t="shared" si="801"/>
        <v>1</v>
      </c>
      <c r="U8804" s="22">
        <f t="shared" si="802"/>
        <v>1900</v>
      </c>
      <c r="V8804" s="22" t="str">
        <f t="shared" si="803"/>
        <v>REGIONES</v>
      </c>
    </row>
    <row r="8805" spans="20:22" x14ac:dyDescent="0.2">
      <c r="T8805" s="22">
        <f t="shared" si="801"/>
        <v>1</v>
      </c>
      <c r="U8805" s="22">
        <f t="shared" si="802"/>
        <v>1900</v>
      </c>
      <c r="V8805" s="22" t="str">
        <f t="shared" si="803"/>
        <v>REGIONES</v>
      </c>
    </row>
    <row r="8806" spans="20:22" x14ac:dyDescent="0.2">
      <c r="T8806" s="22">
        <f t="shared" si="801"/>
        <v>1</v>
      </c>
      <c r="U8806" s="22">
        <f t="shared" si="802"/>
        <v>1900</v>
      </c>
      <c r="V8806" s="22" t="str">
        <f t="shared" si="803"/>
        <v>REGIONES</v>
      </c>
    </row>
    <row r="8807" spans="20:22" x14ac:dyDescent="0.2">
      <c r="T8807" s="22">
        <f t="shared" si="801"/>
        <v>1</v>
      </c>
      <c r="U8807" s="22">
        <f t="shared" si="802"/>
        <v>1900</v>
      </c>
      <c r="V8807" s="22" t="str">
        <f t="shared" si="803"/>
        <v>REGIONES</v>
      </c>
    </row>
    <row r="8808" spans="20:22" x14ac:dyDescent="0.2">
      <c r="T8808" s="22">
        <f t="shared" si="801"/>
        <v>1</v>
      </c>
      <c r="U8808" s="22">
        <f t="shared" si="802"/>
        <v>1900</v>
      </c>
      <c r="V8808" s="22" t="str">
        <f t="shared" si="803"/>
        <v>REGIONES</v>
      </c>
    </row>
    <row r="8809" spans="20:22" x14ac:dyDescent="0.2">
      <c r="T8809" s="22">
        <f t="shared" si="801"/>
        <v>1</v>
      </c>
      <c r="U8809" s="22">
        <f t="shared" si="802"/>
        <v>1900</v>
      </c>
      <c r="V8809" s="22" t="str">
        <f t="shared" si="803"/>
        <v>REGIONES</v>
      </c>
    </row>
    <row r="8810" spans="20:22" x14ac:dyDescent="0.2">
      <c r="T8810" s="22">
        <f t="shared" si="801"/>
        <v>1</v>
      </c>
      <c r="U8810" s="22">
        <f t="shared" si="802"/>
        <v>1900</v>
      </c>
      <c r="V8810" s="22" t="str">
        <f t="shared" si="803"/>
        <v>REGIONES</v>
      </c>
    </row>
    <row r="8811" spans="20:22" x14ac:dyDescent="0.2">
      <c r="T8811" s="22">
        <f t="shared" si="801"/>
        <v>1</v>
      </c>
      <c r="U8811" s="22">
        <f t="shared" si="802"/>
        <v>1900</v>
      </c>
      <c r="V8811" s="22" t="str">
        <f t="shared" si="803"/>
        <v>REGIONES</v>
      </c>
    </row>
    <row r="8812" spans="20:22" x14ac:dyDescent="0.2">
      <c r="T8812" s="22">
        <f t="shared" si="801"/>
        <v>1</v>
      </c>
      <c r="U8812" s="22">
        <f t="shared" si="802"/>
        <v>1900</v>
      </c>
      <c r="V8812" s="22" t="str">
        <f t="shared" si="803"/>
        <v>REGIONES</v>
      </c>
    </row>
    <row r="8813" spans="20:22" x14ac:dyDescent="0.2">
      <c r="T8813" s="22">
        <f t="shared" si="801"/>
        <v>1</v>
      </c>
      <c r="U8813" s="22">
        <f t="shared" si="802"/>
        <v>1900</v>
      </c>
      <c r="V8813" s="22" t="str">
        <f t="shared" si="803"/>
        <v>REGIONES</v>
      </c>
    </row>
    <row r="8814" spans="20:22" x14ac:dyDescent="0.2">
      <c r="T8814" s="22">
        <f t="shared" si="801"/>
        <v>1</v>
      </c>
      <c r="U8814" s="22">
        <f t="shared" si="802"/>
        <v>1900</v>
      </c>
      <c r="V8814" s="22" t="str">
        <f t="shared" si="803"/>
        <v>REGIONES</v>
      </c>
    </row>
    <row r="8815" spans="20:22" x14ac:dyDescent="0.2">
      <c r="T8815" s="22">
        <f t="shared" si="801"/>
        <v>1</v>
      </c>
      <c r="U8815" s="22">
        <f t="shared" si="802"/>
        <v>1900</v>
      </c>
      <c r="V8815" s="22" t="str">
        <f t="shared" si="803"/>
        <v>REGIONES</v>
      </c>
    </row>
    <row r="8816" spans="20:22" x14ac:dyDescent="0.2">
      <c r="T8816" s="22">
        <f t="shared" si="801"/>
        <v>1</v>
      </c>
      <c r="U8816" s="22">
        <f t="shared" si="802"/>
        <v>1900</v>
      </c>
      <c r="V8816" s="22" t="str">
        <f t="shared" si="803"/>
        <v>REGIONES</v>
      </c>
    </row>
    <row r="8817" spans="20:22" x14ac:dyDescent="0.2">
      <c r="T8817" s="22">
        <f t="shared" si="801"/>
        <v>1</v>
      </c>
      <c r="U8817" s="22">
        <f t="shared" si="802"/>
        <v>1900</v>
      </c>
      <c r="V8817" s="22" t="str">
        <f t="shared" si="803"/>
        <v>REGIONES</v>
      </c>
    </row>
    <row r="8818" spans="20:22" x14ac:dyDescent="0.2">
      <c r="T8818" s="22">
        <f t="shared" si="801"/>
        <v>1</v>
      </c>
      <c r="U8818" s="22">
        <f t="shared" si="802"/>
        <v>1900</v>
      </c>
      <c r="V8818" s="22" t="str">
        <f t="shared" si="803"/>
        <v>REGIONES</v>
      </c>
    </row>
    <row r="8819" spans="20:22" x14ac:dyDescent="0.2">
      <c r="T8819" s="22">
        <f t="shared" si="801"/>
        <v>1</v>
      </c>
      <c r="U8819" s="22">
        <f t="shared" si="802"/>
        <v>1900</v>
      </c>
      <c r="V8819" s="22" t="str">
        <f t="shared" si="803"/>
        <v>REGIONES</v>
      </c>
    </row>
    <row r="8820" spans="20:22" x14ac:dyDescent="0.2">
      <c r="T8820" s="22">
        <f t="shared" si="801"/>
        <v>1</v>
      </c>
      <c r="U8820" s="22">
        <f t="shared" si="802"/>
        <v>1900</v>
      </c>
      <c r="V8820" s="22" t="str">
        <f t="shared" si="803"/>
        <v>REGIONES</v>
      </c>
    </row>
    <row r="8821" spans="20:22" x14ac:dyDescent="0.2">
      <c r="T8821" s="22">
        <f t="shared" si="801"/>
        <v>1</v>
      </c>
      <c r="U8821" s="22">
        <f t="shared" si="802"/>
        <v>1900</v>
      </c>
      <c r="V8821" s="22" t="str">
        <f t="shared" si="803"/>
        <v>REGIONES</v>
      </c>
    </row>
    <row r="8822" spans="20:22" x14ac:dyDescent="0.2">
      <c r="T8822" s="22">
        <f t="shared" si="801"/>
        <v>1</v>
      </c>
      <c r="U8822" s="22">
        <f t="shared" si="802"/>
        <v>1900</v>
      </c>
      <c r="V8822" s="22" t="str">
        <f t="shared" si="803"/>
        <v>REGIONES</v>
      </c>
    </row>
    <row r="8823" spans="20:22" x14ac:dyDescent="0.2">
      <c r="T8823" s="22">
        <f t="shared" si="801"/>
        <v>1</v>
      </c>
      <c r="U8823" s="22">
        <f t="shared" si="802"/>
        <v>1900</v>
      </c>
      <c r="V8823" s="22" t="str">
        <f t="shared" si="803"/>
        <v>REGIONES</v>
      </c>
    </row>
    <row r="8824" spans="20:22" x14ac:dyDescent="0.2">
      <c r="T8824" s="22">
        <f t="shared" si="801"/>
        <v>1</v>
      </c>
      <c r="U8824" s="22">
        <f t="shared" si="802"/>
        <v>1900</v>
      </c>
      <c r="V8824" s="22" t="str">
        <f t="shared" si="803"/>
        <v>REGIONES</v>
      </c>
    </row>
    <row r="8825" spans="20:22" x14ac:dyDescent="0.2">
      <c r="T8825" s="22">
        <f t="shared" si="801"/>
        <v>1</v>
      </c>
      <c r="U8825" s="22">
        <f t="shared" si="802"/>
        <v>1900</v>
      </c>
      <c r="V8825" s="22" t="str">
        <f t="shared" si="803"/>
        <v>REGIONES</v>
      </c>
    </row>
    <row r="8826" spans="20:22" x14ac:dyDescent="0.2">
      <c r="T8826" s="22">
        <f t="shared" si="801"/>
        <v>1</v>
      </c>
      <c r="U8826" s="22">
        <f t="shared" si="802"/>
        <v>1900</v>
      </c>
      <c r="V8826" s="22" t="str">
        <f t="shared" si="803"/>
        <v>REGIONES</v>
      </c>
    </row>
    <row r="8827" spans="20:22" x14ac:dyDescent="0.2">
      <c r="T8827" s="22">
        <f t="shared" si="801"/>
        <v>1</v>
      </c>
      <c r="U8827" s="22">
        <f t="shared" si="802"/>
        <v>1900</v>
      </c>
      <c r="V8827" s="22" t="str">
        <f t="shared" si="803"/>
        <v>REGIONES</v>
      </c>
    </row>
    <row r="8828" spans="20:22" x14ac:dyDescent="0.2">
      <c r="T8828" s="22">
        <f t="shared" si="801"/>
        <v>1</v>
      </c>
      <c r="U8828" s="22">
        <f t="shared" si="802"/>
        <v>1900</v>
      </c>
      <c r="V8828" s="22" t="str">
        <f t="shared" si="803"/>
        <v>REGIONES</v>
      </c>
    </row>
    <row r="8829" spans="20:22" x14ac:dyDescent="0.2">
      <c r="T8829" s="22">
        <f t="shared" si="801"/>
        <v>1</v>
      </c>
      <c r="U8829" s="22">
        <f t="shared" si="802"/>
        <v>1900</v>
      </c>
      <c r="V8829" s="22" t="str">
        <f t="shared" si="803"/>
        <v>REGIONES</v>
      </c>
    </row>
    <row r="8830" spans="20:22" x14ac:dyDescent="0.2">
      <c r="T8830" s="22">
        <f t="shared" si="801"/>
        <v>1</v>
      </c>
      <c r="U8830" s="22">
        <f t="shared" si="802"/>
        <v>1900</v>
      </c>
      <c r="V8830" s="22" t="str">
        <f t="shared" si="803"/>
        <v>REGIONES</v>
      </c>
    </row>
    <row r="8831" spans="20:22" x14ac:dyDescent="0.2">
      <c r="T8831" s="22">
        <f t="shared" si="801"/>
        <v>1</v>
      </c>
      <c r="U8831" s="22">
        <f t="shared" si="802"/>
        <v>1900</v>
      </c>
      <c r="V8831" s="22" t="str">
        <f t="shared" si="803"/>
        <v>REGIONES</v>
      </c>
    </row>
    <row r="8832" spans="20:22" x14ac:dyDescent="0.2">
      <c r="T8832" s="22">
        <f t="shared" si="801"/>
        <v>1</v>
      </c>
      <c r="U8832" s="22">
        <f t="shared" si="802"/>
        <v>1900</v>
      </c>
      <c r="V8832" s="22" t="str">
        <f t="shared" si="803"/>
        <v>REGIONES</v>
      </c>
    </row>
    <row r="8833" spans="20:22" x14ac:dyDescent="0.2">
      <c r="T8833" s="22">
        <f t="shared" si="801"/>
        <v>1</v>
      </c>
      <c r="U8833" s="22">
        <f t="shared" si="802"/>
        <v>1900</v>
      </c>
      <c r="V8833" s="22" t="str">
        <f t="shared" si="803"/>
        <v>REGIONES</v>
      </c>
    </row>
    <row r="8834" spans="20:22" x14ac:dyDescent="0.2">
      <c r="T8834" s="22">
        <f t="shared" ref="T8834:T8897" si="804">MONTH(A8834)</f>
        <v>1</v>
      </c>
      <c r="U8834" s="22">
        <f t="shared" ref="U8834:U8897" si="805">YEAR(A8834)</f>
        <v>1900</v>
      </c>
      <c r="V8834" s="22" t="str">
        <f t="shared" ref="V8834:V8897" si="806">IF(K8834="METROPOLITANA DE SANTIAGO","METROPOLITANA","REGIONES")</f>
        <v>REGIONES</v>
      </c>
    </row>
    <row r="8835" spans="20:22" x14ac:dyDescent="0.2">
      <c r="T8835" s="22">
        <f t="shared" si="804"/>
        <v>1</v>
      </c>
      <c r="U8835" s="22">
        <f t="shared" si="805"/>
        <v>1900</v>
      </c>
      <c r="V8835" s="22" t="str">
        <f t="shared" si="806"/>
        <v>REGIONES</v>
      </c>
    </row>
    <row r="8836" spans="20:22" x14ac:dyDescent="0.2">
      <c r="T8836" s="22">
        <f t="shared" si="804"/>
        <v>1</v>
      </c>
      <c r="U8836" s="22">
        <f t="shared" si="805"/>
        <v>1900</v>
      </c>
      <c r="V8836" s="22" t="str">
        <f t="shared" si="806"/>
        <v>REGIONES</v>
      </c>
    </row>
    <row r="8837" spans="20:22" x14ac:dyDescent="0.2">
      <c r="T8837" s="22">
        <f t="shared" si="804"/>
        <v>1</v>
      </c>
      <c r="U8837" s="22">
        <f t="shared" si="805"/>
        <v>1900</v>
      </c>
      <c r="V8837" s="22" t="str">
        <f t="shared" si="806"/>
        <v>REGIONES</v>
      </c>
    </row>
    <row r="8838" spans="20:22" x14ac:dyDescent="0.2">
      <c r="T8838" s="22">
        <f t="shared" si="804"/>
        <v>1</v>
      </c>
      <c r="U8838" s="22">
        <f t="shared" si="805"/>
        <v>1900</v>
      </c>
      <c r="V8838" s="22" t="str">
        <f t="shared" si="806"/>
        <v>REGIONES</v>
      </c>
    </row>
    <row r="8839" spans="20:22" x14ac:dyDescent="0.2">
      <c r="T8839" s="22">
        <f t="shared" si="804"/>
        <v>1</v>
      </c>
      <c r="U8839" s="22">
        <f t="shared" si="805"/>
        <v>1900</v>
      </c>
      <c r="V8839" s="22" t="str">
        <f t="shared" si="806"/>
        <v>REGIONES</v>
      </c>
    </row>
    <row r="8840" spans="20:22" x14ac:dyDescent="0.2">
      <c r="T8840" s="22">
        <f t="shared" si="804"/>
        <v>1</v>
      </c>
      <c r="U8840" s="22">
        <f t="shared" si="805"/>
        <v>1900</v>
      </c>
      <c r="V8840" s="22" t="str">
        <f t="shared" si="806"/>
        <v>REGIONES</v>
      </c>
    </row>
    <row r="8841" spans="20:22" x14ac:dyDescent="0.2">
      <c r="T8841" s="22">
        <f t="shared" si="804"/>
        <v>1</v>
      </c>
      <c r="U8841" s="22">
        <f t="shared" si="805"/>
        <v>1900</v>
      </c>
      <c r="V8841" s="22" t="str">
        <f t="shared" si="806"/>
        <v>REGIONES</v>
      </c>
    </row>
    <row r="8842" spans="20:22" x14ac:dyDescent="0.2">
      <c r="T8842" s="22">
        <f t="shared" si="804"/>
        <v>1</v>
      </c>
      <c r="U8842" s="22">
        <f t="shared" si="805"/>
        <v>1900</v>
      </c>
      <c r="V8842" s="22" t="str">
        <f t="shared" si="806"/>
        <v>REGIONES</v>
      </c>
    </row>
    <row r="8843" spans="20:22" x14ac:dyDescent="0.2">
      <c r="T8843" s="22">
        <f t="shared" si="804"/>
        <v>1</v>
      </c>
      <c r="U8843" s="22">
        <f t="shared" si="805"/>
        <v>1900</v>
      </c>
      <c r="V8843" s="22" t="str">
        <f t="shared" si="806"/>
        <v>REGIONES</v>
      </c>
    </row>
    <row r="8844" spans="20:22" x14ac:dyDescent="0.2">
      <c r="T8844" s="22">
        <f t="shared" si="804"/>
        <v>1</v>
      </c>
      <c r="U8844" s="22">
        <f t="shared" si="805"/>
        <v>1900</v>
      </c>
      <c r="V8844" s="22" t="str">
        <f t="shared" si="806"/>
        <v>REGIONES</v>
      </c>
    </row>
    <row r="8845" spans="20:22" x14ac:dyDescent="0.2">
      <c r="T8845" s="22">
        <f t="shared" si="804"/>
        <v>1</v>
      </c>
      <c r="U8845" s="22">
        <f t="shared" si="805"/>
        <v>1900</v>
      </c>
      <c r="V8845" s="22" t="str">
        <f t="shared" si="806"/>
        <v>REGIONES</v>
      </c>
    </row>
    <row r="8846" spans="20:22" x14ac:dyDescent="0.2">
      <c r="T8846" s="22">
        <f t="shared" si="804"/>
        <v>1</v>
      </c>
      <c r="U8846" s="22">
        <f t="shared" si="805"/>
        <v>1900</v>
      </c>
      <c r="V8846" s="22" t="str">
        <f t="shared" si="806"/>
        <v>REGIONES</v>
      </c>
    </row>
    <row r="8847" spans="20:22" x14ac:dyDescent="0.2">
      <c r="T8847" s="22">
        <f t="shared" si="804"/>
        <v>1</v>
      </c>
      <c r="U8847" s="22">
        <f t="shared" si="805"/>
        <v>1900</v>
      </c>
      <c r="V8847" s="22" t="str">
        <f t="shared" si="806"/>
        <v>REGIONES</v>
      </c>
    </row>
    <row r="8848" spans="20:22" x14ac:dyDescent="0.2">
      <c r="T8848" s="22">
        <f t="shared" si="804"/>
        <v>1</v>
      </c>
      <c r="U8848" s="22">
        <f t="shared" si="805"/>
        <v>1900</v>
      </c>
      <c r="V8848" s="22" t="str">
        <f t="shared" si="806"/>
        <v>REGIONES</v>
      </c>
    </row>
    <row r="8849" spans="20:22" x14ac:dyDescent="0.2">
      <c r="T8849" s="22">
        <f t="shared" si="804"/>
        <v>1</v>
      </c>
      <c r="U8849" s="22">
        <f t="shared" si="805"/>
        <v>1900</v>
      </c>
      <c r="V8849" s="22" t="str">
        <f t="shared" si="806"/>
        <v>REGIONES</v>
      </c>
    </row>
    <row r="8850" spans="20:22" x14ac:dyDescent="0.2">
      <c r="T8850" s="22">
        <f t="shared" si="804"/>
        <v>1</v>
      </c>
      <c r="U8850" s="22">
        <f t="shared" si="805"/>
        <v>1900</v>
      </c>
      <c r="V8850" s="22" t="str">
        <f t="shared" si="806"/>
        <v>REGIONES</v>
      </c>
    </row>
    <row r="8851" spans="20:22" x14ac:dyDescent="0.2">
      <c r="T8851" s="22">
        <f t="shared" si="804"/>
        <v>1</v>
      </c>
      <c r="U8851" s="22">
        <f t="shared" si="805"/>
        <v>1900</v>
      </c>
      <c r="V8851" s="22" t="str">
        <f t="shared" si="806"/>
        <v>REGIONES</v>
      </c>
    </row>
    <row r="8852" spans="20:22" x14ac:dyDescent="0.2">
      <c r="T8852" s="22">
        <f t="shared" si="804"/>
        <v>1</v>
      </c>
      <c r="U8852" s="22">
        <f t="shared" si="805"/>
        <v>1900</v>
      </c>
      <c r="V8852" s="22" t="str">
        <f t="shared" si="806"/>
        <v>REGIONES</v>
      </c>
    </row>
    <row r="8853" spans="20:22" x14ac:dyDescent="0.2">
      <c r="T8853" s="22">
        <f t="shared" si="804"/>
        <v>1</v>
      </c>
      <c r="U8853" s="22">
        <f t="shared" si="805"/>
        <v>1900</v>
      </c>
      <c r="V8853" s="22" t="str">
        <f t="shared" si="806"/>
        <v>REGIONES</v>
      </c>
    </row>
    <row r="8854" spans="20:22" x14ac:dyDescent="0.2">
      <c r="T8854" s="22">
        <f t="shared" si="804"/>
        <v>1</v>
      </c>
      <c r="U8854" s="22">
        <f t="shared" si="805"/>
        <v>1900</v>
      </c>
      <c r="V8854" s="22" t="str">
        <f t="shared" si="806"/>
        <v>REGIONES</v>
      </c>
    </row>
    <row r="8855" spans="20:22" x14ac:dyDescent="0.2">
      <c r="T8855" s="22">
        <f t="shared" si="804"/>
        <v>1</v>
      </c>
      <c r="U8855" s="22">
        <f t="shared" si="805"/>
        <v>1900</v>
      </c>
      <c r="V8855" s="22" t="str">
        <f t="shared" si="806"/>
        <v>REGIONES</v>
      </c>
    </row>
    <row r="8856" spans="20:22" x14ac:dyDescent="0.2">
      <c r="T8856" s="22">
        <f t="shared" si="804"/>
        <v>1</v>
      </c>
      <c r="U8856" s="22">
        <f t="shared" si="805"/>
        <v>1900</v>
      </c>
      <c r="V8856" s="22" t="str">
        <f t="shared" si="806"/>
        <v>REGIONES</v>
      </c>
    </row>
    <row r="8857" spans="20:22" x14ac:dyDescent="0.2">
      <c r="T8857" s="22">
        <f t="shared" si="804"/>
        <v>1</v>
      </c>
      <c r="U8857" s="22">
        <f t="shared" si="805"/>
        <v>1900</v>
      </c>
      <c r="V8857" s="22" t="str">
        <f t="shared" si="806"/>
        <v>REGIONES</v>
      </c>
    </row>
    <row r="8858" spans="20:22" x14ac:dyDescent="0.2">
      <c r="T8858" s="22">
        <f t="shared" si="804"/>
        <v>1</v>
      </c>
      <c r="U8858" s="22">
        <f t="shared" si="805"/>
        <v>1900</v>
      </c>
      <c r="V8858" s="22" t="str">
        <f t="shared" si="806"/>
        <v>REGIONES</v>
      </c>
    </row>
    <row r="8859" spans="20:22" x14ac:dyDescent="0.2">
      <c r="T8859" s="22">
        <f t="shared" si="804"/>
        <v>1</v>
      </c>
      <c r="U8859" s="22">
        <f t="shared" si="805"/>
        <v>1900</v>
      </c>
      <c r="V8859" s="22" t="str">
        <f t="shared" si="806"/>
        <v>REGIONES</v>
      </c>
    </row>
    <row r="8860" spans="20:22" x14ac:dyDescent="0.2">
      <c r="T8860" s="22">
        <f t="shared" si="804"/>
        <v>1</v>
      </c>
      <c r="U8860" s="22">
        <f t="shared" si="805"/>
        <v>1900</v>
      </c>
      <c r="V8860" s="22" t="str">
        <f t="shared" si="806"/>
        <v>REGIONES</v>
      </c>
    </row>
    <row r="8861" spans="20:22" x14ac:dyDescent="0.2">
      <c r="T8861" s="22">
        <f t="shared" si="804"/>
        <v>1</v>
      </c>
      <c r="U8861" s="22">
        <f t="shared" si="805"/>
        <v>1900</v>
      </c>
      <c r="V8861" s="22" t="str">
        <f t="shared" si="806"/>
        <v>REGIONES</v>
      </c>
    </row>
    <row r="8862" spans="20:22" x14ac:dyDescent="0.2">
      <c r="T8862" s="22">
        <f t="shared" si="804"/>
        <v>1</v>
      </c>
      <c r="U8862" s="22">
        <f t="shared" si="805"/>
        <v>1900</v>
      </c>
      <c r="V8862" s="22" t="str">
        <f t="shared" si="806"/>
        <v>REGIONES</v>
      </c>
    </row>
    <row r="8863" spans="20:22" x14ac:dyDescent="0.2">
      <c r="T8863" s="22">
        <f t="shared" si="804"/>
        <v>1</v>
      </c>
      <c r="U8863" s="22">
        <f t="shared" si="805"/>
        <v>1900</v>
      </c>
      <c r="V8863" s="22" t="str">
        <f t="shared" si="806"/>
        <v>REGIONES</v>
      </c>
    </row>
    <row r="8864" spans="20:22" x14ac:dyDescent="0.2">
      <c r="T8864" s="22">
        <f t="shared" si="804"/>
        <v>1</v>
      </c>
      <c r="U8864" s="22">
        <f t="shared" si="805"/>
        <v>1900</v>
      </c>
      <c r="V8864" s="22" t="str">
        <f t="shared" si="806"/>
        <v>REGIONES</v>
      </c>
    </row>
    <row r="8865" spans="20:22" x14ac:dyDescent="0.2">
      <c r="T8865" s="22">
        <f t="shared" si="804"/>
        <v>1</v>
      </c>
      <c r="U8865" s="22">
        <f t="shared" si="805"/>
        <v>1900</v>
      </c>
      <c r="V8865" s="22" t="str">
        <f t="shared" si="806"/>
        <v>REGIONES</v>
      </c>
    </row>
    <row r="8866" spans="20:22" x14ac:dyDescent="0.2">
      <c r="T8866" s="22">
        <f t="shared" si="804"/>
        <v>1</v>
      </c>
      <c r="U8866" s="22">
        <f t="shared" si="805"/>
        <v>1900</v>
      </c>
      <c r="V8866" s="22" t="str">
        <f t="shared" si="806"/>
        <v>REGIONES</v>
      </c>
    </row>
    <row r="8867" spans="20:22" x14ac:dyDescent="0.2">
      <c r="T8867" s="22">
        <f t="shared" si="804"/>
        <v>1</v>
      </c>
      <c r="U8867" s="22">
        <f t="shared" si="805"/>
        <v>1900</v>
      </c>
      <c r="V8867" s="22" t="str">
        <f t="shared" si="806"/>
        <v>REGIONES</v>
      </c>
    </row>
    <row r="8868" spans="20:22" x14ac:dyDescent="0.2">
      <c r="T8868" s="22">
        <f t="shared" si="804"/>
        <v>1</v>
      </c>
      <c r="U8868" s="22">
        <f t="shared" si="805"/>
        <v>1900</v>
      </c>
      <c r="V8868" s="22" t="str">
        <f t="shared" si="806"/>
        <v>REGIONES</v>
      </c>
    </row>
    <row r="8869" spans="20:22" x14ac:dyDescent="0.2">
      <c r="T8869" s="22">
        <f t="shared" si="804"/>
        <v>1</v>
      </c>
      <c r="U8869" s="22">
        <f t="shared" si="805"/>
        <v>1900</v>
      </c>
      <c r="V8869" s="22" t="str">
        <f t="shared" si="806"/>
        <v>REGIONES</v>
      </c>
    </row>
    <row r="8870" spans="20:22" x14ac:dyDescent="0.2">
      <c r="T8870" s="22">
        <f t="shared" si="804"/>
        <v>1</v>
      </c>
      <c r="U8870" s="22">
        <f t="shared" si="805"/>
        <v>1900</v>
      </c>
      <c r="V8870" s="22" t="str">
        <f t="shared" si="806"/>
        <v>REGIONES</v>
      </c>
    </row>
    <row r="8871" spans="20:22" x14ac:dyDescent="0.2">
      <c r="T8871" s="22">
        <f t="shared" si="804"/>
        <v>1</v>
      </c>
      <c r="U8871" s="22">
        <f t="shared" si="805"/>
        <v>1900</v>
      </c>
      <c r="V8871" s="22" t="str">
        <f t="shared" si="806"/>
        <v>REGIONES</v>
      </c>
    </row>
    <row r="8872" spans="20:22" x14ac:dyDescent="0.2">
      <c r="T8872" s="22">
        <f t="shared" si="804"/>
        <v>1</v>
      </c>
      <c r="U8872" s="22">
        <f t="shared" si="805"/>
        <v>1900</v>
      </c>
      <c r="V8872" s="22" t="str">
        <f t="shared" si="806"/>
        <v>REGIONES</v>
      </c>
    </row>
    <row r="8873" spans="20:22" x14ac:dyDescent="0.2">
      <c r="T8873" s="22">
        <f t="shared" si="804"/>
        <v>1</v>
      </c>
      <c r="U8873" s="22">
        <f t="shared" si="805"/>
        <v>1900</v>
      </c>
      <c r="V8873" s="22" t="str">
        <f t="shared" si="806"/>
        <v>REGIONES</v>
      </c>
    </row>
    <row r="8874" spans="20:22" x14ac:dyDescent="0.2">
      <c r="T8874" s="22">
        <f t="shared" si="804"/>
        <v>1</v>
      </c>
      <c r="U8874" s="22">
        <f t="shared" si="805"/>
        <v>1900</v>
      </c>
      <c r="V8874" s="22" t="str">
        <f t="shared" si="806"/>
        <v>REGIONES</v>
      </c>
    </row>
    <row r="8875" spans="20:22" x14ac:dyDescent="0.2">
      <c r="T8875" s="22">
        <f t="shared" si="804"/>
        <v>1</v>
      </c>
      <c r="U8875" s="22">
        <f t="shared" si="805"/>
        <v>1900</v>
      </c>
      <c r="V8875" s="22" t="str">
        <f t="shared" si="806"/>
        <v>REGIONES</v>
      </c>
    </row>
    <row r="8876" spans="20:22" x14ac:dyDescent="0.2">
      <c r="T8876" s="22">
        <f t="shared" si="804"/>
        <v>1</v>
      </c>
      <c r="U8876" s="22">
        <f t="shared" si="805"/>
        <v>1900</v>
      </c>
      <c r="V8876" s="22" t="str">
        <f t="shared" si="806"/>
        <v>REGIONES</v>
      </c>
    </row>
    <row r="8877" spans="20:22" x14ac:dyDescent="0.2">
      <c r="T8877" s="22">
        <f t="shared" si="804"/>
        <v>1</v>
      </c>
      <c r="U8877" s="22">
        <f t="shared" si="805"/>
        <v>1900</v>
      </c>
      <c r="V8877" s="22" t="str">
        <f t="shared" si="806"/>
        <v>REGIONES</v>
      </c>
    </row>
    <row r="8878" spans="20:22" x14ac:dyDescent="0.2">
      <c r="T8878" s="22">
        <f t="shared" si="804"/>
        <v>1</v>
      </c>
      <c r="U8878" s="22">
        <f t="shared" si="805"/>
        <v>1900</v>
      </c>
      <c r="V8878" s="22" t="str">
        <f t="shared" si="806"/>
        <v>REGIONES</v>
      </c>
    </row>
    <row r="8879" spans="20:22" x14ac:dyDescent="0.2">
      <c r="T8879" s="22">
        <f t="shared" si="804"/>
        <v>1</v>
      </c>
      <c r="U8879" s="22">
        <f t="shared" si="805"/>
        <v>1900</v>
      </c>
      <c r="V8879" s="22" t="str">
        <f t="shared" si="806"/>
        <v>REGIONES</v>
      </c>
    </row>
    <row r="8880" spans="20:22" x14ac:dyDescent="0.2">
      <c r="T8880" s="22">
        <f t="shared" si="804"/>
        <v>1</v>
      </c>
      <c r="U8880" s="22">
        <f t="shared" si="805"/>
        <v>1900</v>
      </c>
      <c r="V8880" s="22" t="str">
        <f t="shared" si="806"/>
        <v>REGIONES</v>
      </c>
    </row>
    <row r="8881" spans="20:22" x14ac:dyDescent="0.2">
      <c r="T8881" s="22">
        <f t="shared" si="804"/>
        <v>1</v>
      </c>
      <c r="U8881" s="22">
        <f t="shared" si="805"/>
        <v>1900</v>
      </c>
      <c r="V8881" s="22" t="str">
        <f t="shared" si="806"/>
        <v>REGIONES</v>
      </c>
    </row>
    <row r="8882" spans="20:22" x14ac:dyDescent="0.2">
      <c r="T8882" s="22">
        <f t="shared" si="804"/>
        <v>1</v>
      </c>
      <c r="U8882" s="22">
        <f t="shared" si="805"/>
        <v>1900</v>
      </c>
      <c r="V8882" s="22" t="str">
        <f t="shared" si="806"/>
        <v>REGIONES</v>
      </c>
    </row>
    <row r="8883" spans="20:22" x14ac:dyDescent="0.2">
      <c r="T8883" s="22">
        <f t="shared" si="804"/>
        <v>1</v>
      </c>
      <c r="U8883" s="22">
        <f t="shared" si="805"/>
        <v>1900</v>
      </c>
      <c r="V8883" s="22" t="str">
        <f t="shared" si="806"/>
        <v>REGIONES</v>
      </c>
    </row>
    <row r="8884" spans="20:22" x14ac:dyDescent="0.2">
      <c r="T8884" s="22">
        <f t="shared" si="804"/>
        <v>1</v>
      </c>
      <c r="U8884" s="22">
        <f t="shared" si="805"/>
        <v>1900</v>
      </c>
      <c r="V8884" s="22" t="str">
        <f t="shared" si="806"/>
        <v>REGIONES</v>
      </c>
    </row>
    <row r="8885" spans="20:22" x14ac:dyDescent="0.2">
      <c r="T8885" s="22">
        <f t="shared" si="804"/>
        <v>1</v>
      </c>
      <c r="U8885" s="22">
        <f t="shared" si="805"/>
        <v>1900</v>
      </c>
      <c r="V8885" s="22" t="str">
        <f t="shared" si="806"/>
        <v>REGIONES</v>
      </c>
    </row>
    <row r="8886" spans="20:22" x14ac:dyDescent="0.2">
      <c r="T8886" s="22">
        <f t="shared" si="804"/>
        <v>1</v>
      </c>
      <c r="U8886" s="22">
        <f t="shared" si="805"/>
        <v>1900</v>
      </c>
      <c r="V8886" s="22" t="str">
        <f t="shared" si="806"/>
        <v>REGIONES</v>
      </c>
    </row>
    <row r="8887" spans="20:22" x14ac:dyDescent="0.2">
      <c r="T8887" s="22">
        <f t="shared" si="804"/>
        <v>1</v>
      </c>
      <c r="U8887" s="22">
        <f t="shared" si="805"/>
        <v>1900</v>
      </c>
      <c r="V8887" s="22" t="str">
        <f t="shared" si="806"/>
        <v>REGIONES</v>
      </c>
    </row>
    <row r="8888" spans="20:22" x14ac:dyDescent="0.2">
      <c r="T8888" s="22">
        <f t="shared" si="804"/>
        <v>1</v>
      </c>
      <c r="U8888" s="22">
        <f t="shared" si="805"/>
        <v>1900</v>
      </c>
      <c r="V8888" s="22" t="str">
        <f t="shared" si="806"/>
        <v>REGIONES</v>
      </c>
    </row>
    <row r="8889" spans="20:22" x14ac:dyDescent="0.2">
      <c r="T8889" s="22">
        <f t="shared" si="804"/>
        <v>1</v>
      </c>
      <c r="U8889" s="22">
        <f t="shared" si="805"/>
        <v>1900</v>
      </c>
      <c r="V8889" s="22" t="str">
        <f t="shared" si="806"/>
        <v>REGIONES</v>
      </c>
    </row>
    <row r="8890" spans="20:22" x14ac:dyDescent="0.2">
      <c r="T8890" s="22">
        <f t="shared" si="804"/>
        <v>1</v>
      </c>
      <c r="U8890" s="22">
        <f t="shared" si="805"/>
        <v>1900</v>
      </c>
      <c r="V8890" s="22" t="str">
        <f t="shared" si="806"/>
        <v>REGIONES</v>
      </c>
    </row>
    <row r="8891" spans="20:22" x14ac:dyDescent="0.2">
      <c r="T8891" s="22">
        <f t="shared" si="804"/>
        <v>1</v>
      </c>
      <c r="U8891" s="22">
        <f t="shared" si="805"/>
        <v>1900</v>
      </c>
      <c r="V8891" s="22" t="str">
        <f t="shared" si="806"/>
        <v>REGIONES</v>
      </c>
    </row>
    <row r="8892" spans="20:22" x14ac:dyDescent="0.2">
      <c r="T8892" s="22">
        <f t="shared" si="804"/>
        <v>1</v>
      </c>
      <c r="U8892" s="22">
        <f t="shared" si="805"/>
        <v>1900</v>
      </c>
      <c r="V8892" s="22" t="str">
        <f t="shared" si="806"/>
        <v>REGIONES</v>
      </c>
    </row>
    <row r="8893" spans="20:22" x14ac:dyDescent="0.2">
      <c r="T8893" s="22">
        <f t="shared" si="804"/>
        <v>1</v>
      </c>
      <c r="U8893" s="22">
        <f t="shared" si="805"/>
        <v>1900</v>
      </c>
      <c r="V8893" s="22" t="str">
        <f t="shared" si="806"/>
        <v>REGIONES</v>
      </c>
    </row>
    <row r="8894" spans="20:22" x14ac:dyDescent="0.2">
      <c r="T8894" s="22">
        <f t="shared" si="804"/>
        <v>1</v>
      </c>
      <c r="U8894" s="22">
        <f t="shared" si="805"/>
        <v>1900</v>
      </c>
      <c r="V8894" s="22" t="str">
        <f t="shared" si="806"/>
        <v>REGIONES</v>
      </c>
    </row>
    <row r="8895" spans="20:22" x14ac:dyDescent="0.2">
      <c r="T8895" s="22">
        <f t="shared" si="804"/>
        <v>1</v>
      </c>
      <c r="U8895" s="22">
        <f t="shared" si="805"/>
        <v>1900</v>
      </c>
      <c r="V8895" s="22" t="str">
        <f t="shared" si="806"/>
        <v>REGIONES</v>
      </c>
    </row>
    <row r="8896" spans="20:22" x14ac:dyDescent="0.2">
      <c r="T8896" s="22">
        <f t="shared" si="804"/>
        <v>1</v>
      </c>
      <c r="U8896" s="22">
        <f t="shared" si="805"/>
        <v>1900</v>
      </c>
      <c r="V8896" s="22" t="str">
        <f t="shared" si="806"/>
        <v>REGIONES</v>
      </c>
    </row>
    <row r="8897" spans="20:22" x14ac:dyDescent="0.2">
      <c r="T8897" s="22">
        <f t="shared" si="804"/>
        <v>1</v>
      </c>
      <c r="U8897" s="22">
        <f t="shared" si="805"/>
        <v>1900</v>
      </c>
      <c r="V8897" s="22" t="str">
        <f t="shared" si="806"/>
        <v>REGIONES</v>
      </c>
    </row>
    <row r="8898" spans="20:22" x14ac:dyDescent="0.2">
      <c r="T8898" s="22">
        <f t="shared" ref="T8898:T8961" si="807">MONTH(A8898)</f>
        <v>1</v>
      </c>
      <c r="U8898" s="22">
        <f t="shared" ref="U8898:U8961" si="808">YEAR(A8898)</f>
        <v>1900</v>
      </c>
      <c r="V8898" s="22" t="str">
        <f t="shared" ref="V8898:V8961" si="809">IF(K8898="METROPOLITANA DE SANTIAGO","METROPOLITANA","REGIONES")</f>
        <v>REGIONES</v>
      </c>
    </row>
    <row r="8899" spans="20:22" x14ac:dyDescent="0.2">
      <c r="T8899" s="22">
        <f t="shared" si="807"/>
        <v>1</v>
      </c>
      <c r="U8899" s="22">
        <f t="shared" si="808"/>
        <v>1900</v>
      </c>
      <c r="V8899" s="22" t="str">
        <f t="shared" si="809"/>
        <v>REGIONES</v>
      </c>
    </row>
    <row r="8900" spans="20:22" x14ac:dyDescent="0.2">
      <c r="T8900" s="22">
        <f t="shared" si="807"/>
        <v>1</v>
      </c>
      <c r="U8900" s="22">
        <f t="shared" si="808"/>
        <v>1900</v>
      </c>
      <c r="V8900" s="22" t="str">
        <f t="shared" si="809"/>
        <v>REGIONES</v>
      </c>
    </row>
    <row r="8901" spans="20:22" x14ac:dyDescent="0.2">
      <c r="T8901" s="22">
        <f t="shared" si="807"/>
        <v>1</v>
      </c>
      <c r="U8901" s="22">
        <f t="shared" si="808"/>
        <v>1900</v>
      </c>
      <c r="V8901" s="22" t="str">
        <f t="shared" si="809"/>
        <v>REGIONES</v>
      </c>
    </row>
    <row r="8902" spans="20:22" x14ac:dyDescent="0.2">
      <c r="T8902" s="22">
        <f t="shared" si="807"/>
        <v>1</v>
      </c>
      <c r="U8902" s="22">
        <f t="shared" si="808"/>
        <v>1900</v>
      </c>
      <c r="V8902" s="22" t="str">
        <f t="shared" si="809"/>
        <v>REGIONES</v>
      </c>
    </row>
    <row r="8903" spans="20:22" x14ac:dyDescent="0.2">
      <c r="T8903" s="22">
        <f t="shared" si="807"/>
        <v>1</v>
      </c>
      <c r="U8903" s="22">
        <f t="shared" si="808"/>
        <v>1900</v>
      </c>
      <c r="V8903" s="22" t="str">
        <f t="shared" si="809"/>
        <v>REGIONES</v>
      </c>
    </row>
    <row r="8904" spans="20:22" x14ac:dyDescent="0.2">
      <c r="T8904" s="22">
        <f t="shared" si="807"/>
        <v>1</v>
      </c>
      <c r="U8904" s="22">
        <f t="shared" si="808"/>
        <v>1900</v>
      </c>
      <c r="V8904" s="22" t="str">
        <f t="shared" si="809"/>
        <v>REGIONES</v>
      </c>
    </row>
    <row r="8905" spans="20:22" x14ac:dyDescent="0.2">
      <c r="T8905" s="22">
        <f t="shared" si="807"/>
        <v>1</v>
      </c>
      <c r="U8905" s="22">
        <f t="shared" si="808"/>
        <v>1900</v>
      </c>
      <c r="V8905" s="22" t="str">
        <f t="shared" si="809"/>
        <v>REGIONES</v>
      </c>
    </row>
    <row r="8906" spans="20:22" x14ac:dyDescent="0.2">
      <c r="T8906" s="22">
        <f t="shared" si="807"/>
        <v>1</v>
      </c>
      <c r="U8906" s="22">
        <f t="shared" si="808"/>
        <v>1900</v>
      </c>
      <c r="V8906" s="22" t="str">
        <f t="shared" si="809"/>
        <v>REGIONES</v>
      </c>
    </row>
    <row r="8907" spans="20:22" x14ac:dyDescent="0.2">
      <c r="T8907" s="22">
        <f t="shared" si="807"/>
        <v>1</v>
      </c>
      <c r="U8907" s="22">
        <f t="shared" si="808"/>
        <v>1900</v>
      </c>
      <c r="V8907" s="22" t="str">
        <f t="shared" si="809"/>
        <v>REGIONES</v>
      </c>
    </row>
    <row r="8908" spans="20:22" x14ac:dyDescent="0.2">
      <c r="T8908" s="22">
        <f t="shared" si="807"/>
        <v>1</v>
      </c>
      <c r="U8908" s="22">
        <f t="shared" si="808"/>
        <v>1900</v>
      </c>
      <c r="V8908" s="22" t="str">
        <f t="shared" si="809"/>
        <v>REGIONES</v>
      </c>
    </row>
    <row r="8909" spans="20:22" x14ac:dyDescent="0.2">
      <c r="T8909" s="22">
        <f t="shared" si="807"/>
        <v>1</v>
      </c>
      <c r="U8909" s="22">
        <f t="shared" si="808"/>
        <v>1900</v>
      </c>
      <c r="V8909" s="22" t="str">
        <f t="shared" si="809"/>
        <v>REGIONES</v>
      </c>
    </row>
    <row r="8910" spans="20:22" x14ac:dyDescent="0.2">
      <c r="T8910" s="22">
        <f t="shared" si="807"/>
        <v>1</v>
      </c>
      <c r="U8910" s="22">
        <f t="shared" si="808"/>
        <v>1900</v>
      </c>
      <c r="V8910" s="22" t="str">
        <f t="shared" si="809"/>
        <v>REGIONES</v>
      </c>
    </row>
    <row r="8911" spans="20:22" x14ac:dyDescent="0.2">
      <c r="T8911" s="22">
        <f t="shared" si="807"/>
        <v>1</v>
      </c>
      <c r="U8911" s="22">
        <f t="shared" si="808"/>
        <v>1900</v>
      </c>
      <c r="V8911" s="22" t="str">
        <f t="shared" si="809"/>
        <v>REGIONES</v>
      </c>
    </row>
    <row r="8912" spans="20:22" x14ac:dyDescent="0.2">
      <c r="T8912" s="22">
        <f t="shared" si="807"/>
        <v>1</v>
      </c>
      <c r="U8912" s="22">
        <f t="shared" si="808"/>
        <v>1900</v>
      </c>
      <c r="V8912" s="22" t="str">
        <f t="shared" si="809"/>
        <v>REGIONES</v>
      </c>
    </row>
    <row r="8913" spans="20:22" x14ac:dyDescent="0.2">
      <c r="T8913" s="22">
        <f t="shared" si="807"/>
        <v>1</v>
      </c>
      <c r="U8913" s="22">
        <f t="shared" si="808"/>
        <v>1900</v>
      </c>
      <c r="V8913" s="22" t="str">
        <f t="shared" si="809"/>
        <v>REGIONES</v>
      </c>
    </row>
    <row r="8914" spans="20:22" x14ac:dyDescent="0.2">
      <c r="T8914" s="22">
        <f t="shared" si="807"/>
        <v>1</v>
      </c>
      <c r="U8914" s="22">
        <f t="shared" si="808"/>
        <v>1900</v>
      </c>
      <c r="V8914" s="22" t="str">
        <f t="shared" si="809"/>
        <v>REGIONES</v>
      </c>
    </row>
    <row r="8915" spans="20:22" x14ac:dyDescent="0.2">
      <c r="T8915" s="22">
        <f t="shared" si="807"/>
        <v>1</v>
      </c>
      <c r="U8915" s="22">
        <f t="shared" si="808"/>
        <v>1900</v>
      </c>
      <c r="V8915" s="22" t="str">
        <f t="shared" si="809"/>
        <v>REGIONES</v>
      </c>
    </row>
    <row r="8916" spans="20:22" x14ac:dyDescent="0.2">
      <c r="T8916" s="22">
        <f t="shared" si="807"/>
        <v>1</v>
      </c>
      <c r="U8916" s="22">
        <f t="shared" si="808"/>
        <v>1900</v>
      </c>
      <c r="V8916" s="22" t="str">
        <f t="shared" si="809"/>
        <v>REGIONES</v>
      </c>
    </row>
    <row r="8917" spans="20:22" x14ac:dyDescent="0.2">
      <c r="T8917" s="22">
        <f t="shared" si="807"/>
        <v>1</v>
      </c>
      <c r="U8917" s="22">
        <f t="shared" si="808"/>
        <v>1900</v>
      </c>
      <c r="V8917" s="22" t="str">
        <f t="shared" si="809"/>
        <v>REGIONES</v>
      </c>
    </row>
    <row r="8918" spans="20:22" x14ac:dyDescent="0.2">
      <c r="T8918" s="22">
        <f t="shared" si="807"/>
        <v>1</v>
      </c>
      <c r="U8918" s="22">
        <f t="shared" si="808"/>
        <v>1900</v>
      </c>
      <c r="V8918" s="22" t="str">
        <f t="shared" si="809"/>
        <v>REGIONES</v>
      </c>
    </row>
    <row r="8919" spans="20:22" x14ac:dyDescent="0.2">
      <c r="T8919" s="22">
        <f t="shared" si="807"/>
        <v>1</v>
      </c>
      <c r="U8919" s="22">
        <f t="shared" si="808"/>
        <v>1900</v>
      </c>
      <c r="V8919" s="22" t="str">
        <f t="shared" si="809"/>
        <v>REGIONES</v>
      </c>
    </row>
    <row r="8920" spans="20:22" x14ac:dyDescent="0.2">
      <c r="T8920" s="22">
        <f t="shared" si="807"/>
        <v>1</v>
      </c>
      <c r="U8920" s="22">
        <f t="shared" si="808"/>
        <v>1900</v>
      </c>
      <c r="V8920" s="22" t="str">
        <f t="shared" si="809"/>
        <v>REGIONES</v>
      </c>
    </row>
    <row r="8921" spans="20:22" x14ac:dyDescent="0.2">
      <c r="T8921" s="22">
        <f t="shared" si="807"/>
        <v>1</v>
      </c>
      <c r="U8921" s="22">
        <f t="shared" si="808"/>
        <v>1900</v>
      </c>
      <c r="V8921" s="22" t="str">
        <f t="shared" si="809"/>
        <v>REGIONES</v>
      </c>
    </row>
    <row r="8922" spans="20:22" x14ac:dyDescent="0.2">
      <c r="T8922" s="22">
        <f t="shared" si="807"/>
        <v>1</v>
      </c>
      <c r="U8922" s="22">
        <f t="shared" si="808"/>
        <v>1900</v>
      </c>
      <c r="V8922" s="22" t="str">
        <f t="shared" si="809"/>
        <v>REGIONES</v>
      </c>
    </row>
    <row r="8923" spans="20:22" x14ac:dyDescent="0.2">
      <c r="T8923" s="22">
        <f t="shared" si="807"/>
        <v>1</v>
      </c>
      <c r="U8923" s="22">
        <f t="shared" si="808"/>
        <v>1900</v>
      </c>
      <c r="V8923" s="22" t="str">
        <f t="shared" si="809"/>
        <v>REGIONES</v>
      </c>
    </row>
    <row r="8924" spans="20:22" x14ac:dyDescent="0.2">
      <c r="T8924" s="22">
        <f t="shared" si="807"/>
        <v>1</v>
      </c>
      <c r="U8924" s="22">
        <f t="shared" si="808"/>
        <v>1900</v>
      </c>
      <c r="V8924" s="22" t="str">
        <f t="shared" si="809"/>
        <v>REGIONES</v>
      </c>
    </row>
    <row r="8925" spans="20:22" x14ac:dyDescent="0.2">
      <c r="T8925" s="22">
        <f t="shared" si="807"/>
        <v>1</v>
      </c>
      <c r="U8925" s="22">
        <f t="shared" si="808"/>
        <v>1900</v>
      </c>
      <c r="V8925" s="22" t="str">
        <f t="shared" si="809"/>
        <v>REGIONES</v>
      </c>
    </row>
    <row r="8926" spans="20:22" x14ac:dyDescent="0.2">
      <c r="T8926" s="22">
        <f t="shared" si="807"/>
        <v>1</v>
      </c>
      <c r="U8926" s="22">
        <f t="shared" si="808"/>
        <v>1900</v>
      </c>
      <c r="V8926" s="22" t="str">
        <f t="shared" si="809"/>
        <v>REGIONES</v>
      </c>
    </row>
    <row r="8927" spans="20:22" x14ac:dyDescent="0.2">
      <c r="T8927" s="22">
        <f t="shared" si="807"/>
        <v>1</v>
      </c>
      <c r="U8927" s="22">
        <f t="shared" si="808"/>
        <v>1900</v>
      </c>
      <c r="V8927" s="22" t="str">
        <f t="shared" si="809"/>
        <v>REGIONES</v>
      </c>
    </row>
    <row r="8928" spans="20:22" x14ac:dyDescent="0.2">
      <c r="T8928" s="22">
        <f t="shared" si="807"/>
        <v>1</v>
      </c>
      <c r="U8928" s="22">
        <f t="shared" si="808"/>
        <v>1900</v>
      </c>
      <c r="V8928" s="22" t="str">
        <f t="shared" si="809"/>
        <v>REGIONES</v>
      </c>
    </row>
    <row r="8929" spans="20:22" x14ac:dyDescent="0.2">
      <c r="T8929" s="22">
        <f t="shared" si="807"/>
        <v>1</v>
      </c>
      <c r="U8929" s="22">
        <f t="shared" si="808"/>
        <v>1900</v>
      </c>
      <c r="V8929" s="22" t="str">
        <f t="shared" si="809"/>
        <v>REGIONES</v>
      </c>
    </row>
    <row r="8930" spans="20:22" x14ac:dyDescent="0.2">
      <c r="T8930" s="22">
        <f t="shared" si="807"/>
        <v>1</v>
      </c>
      <c r="U8930" s="22">
        <f t="shared" si="808"/>
        <v>1900</v>
      </c>
      <c r="V8930" s="22" t="str">
        <f t="shared" si="809"/>
        <v>REGIONES</v>
      </c>
    </row>
    <row r="8931" spans="20:22" x14ac:dyDescent="0.2">
      <c r="T8931" s="22">
        <f t="shared" si="807"/>
        <v>1</v>
      </c>
      <c r="U8931" s="22">
        <f t="shared" si="808"/>
        <v>1900</v>
      </c>
      <c r="V8931" s="22" t="str">
        <f t="shared" si="809"/>
        <v>REGIONES</v>
      </c>
    </row>
    <row r="8932" spans="20:22" x14ac:dyDescent="0.2">
      <c r="T8932" s="22">
        <f t="shared" si="807"/>
        <v>1</v>
      </c>
      <c r="U8932" s="22">
        <f t="shared" si="808"/>
        <v>1900</v>
      </c>
      <c r="V8932" s="22" t="str">
        <f t="shared" si="809"/>
        <v>REGIONES</v>
      </c>
    </row>
    <row r="8933" spans="20:22" x14ac:dyDescent="0.2">
      <c r="T8933" s="22">
        <f t="shared" si="807"/>
        <v>1</v>
      </c>
      <c r="U8933" s="22">
        <f t="shared" si="808"/>
        <v>1900</v>
      </c>
      <c r="V8933" s="22" t="str">
        <f t="shared" si="809"/>
        <v>REGIONES</v>
      </c>
    </row>
    <row r="8934" spans="20:22" x14ac:dyDescent="0.2">
      <c r="T8934" s="22">
        <f t="shared" si="807"/>
        <v>1</v>
      </c>
      <c r="U8934" s="22">
        <f t="shared" si="808"/>
        <v>1900</v>
      </c>
      <c r="V8934" s="22" t="str">
        <f t="shared" si="809"/>
        <v>REGIONES</v>
      </c>
    </row>
    <row r="8935" spans="20:22" x14ac:dyDescent="0.2">
      <c r="T8935" s="22">
        <f t="shared" si="807"/>
        <v>1</v>
      </c>
      <c r="U8935" s="22">
        <f t="shared" si="808"/>
        <v>1900</v>
      </c>
      <c r="V8935" s="22" t="str">
        <f t="shared" si="809"/>
        <v>REGIONES</v>
      </c>
    </row>
    <row r="8936" spans="20:22" x14ac:dyDescent="0.2">
      <c r="T8936" s="22">
        <f t="shared" si="807"/>
        <v>1</v>
      </c>
      <c r="U8936" s="22">
        <f t="shared" si="808"/>
        <v>1900</v>
      </c>
      <c r="V8936" s="22" t="str">
        <f t="shared" si="809"/>
        <v>REGIONES</v>
      </c>
    </row>
    <row r="8937" spans="20:22" x14ac:dyDescent="0.2">
      <c r="T8937" s="22">
        <f t="shared" si="807"/>
        <v>1</v>
      </c>
      <c r="U8937" s="22">
        <f t="shared" si="808"/>
        <v>1900</v>
      </c>
      <c r="V8937" s="22" t="str">
        <f t="shared" si="809"/>
        <v>REGIONES</v>
      </c>
    </row>
    <row r="8938" spans="20:22" x14ac:dyDescent="0.2">
      <c r="T8938" s="22">
        <f t="shared" si="807"/>
        <v>1</v>
      </c>
      <c r="U8938" s="22">
        <f t="shared" si="808"/>
        <v>1900</v>
      </c>
      <c r="V8938" s="22" t="str">
        <f t="shared" si="809"/>
        <v>REGIONES</v>
      </c>
    </row>
    <row r="8939" spans="20:22" x14ac:dyDescent="0.2">
      <c r="T8939" s="22">
        <f t="shared" si="807"/>
        <v>1</v>
      </c>
      <c r="U8939" s="22">
        <f t="shared" si="808"/>
        <v>1900</v>
      </c>
      <c r="V8939" s="22" t="str">
        <f t="shared" si="809"/>
        <v>REGIONES</v>
      </c>
    </row>
    <row r="8940" spans="20:22" x14ac:dyDescent="0.2">
      <c r="T8940" s="22">
        <f t="shared" si="807"/>
        <v>1</v>
      </c>
      <c r="U8940" s="22">
        <f t="shared" si="808"/>
        <v>1900</v>
      </c>
      <c r="V8940" s="22" t="str">
        <f t="shared" si="809"/>
        <v>REGIONES</v>
      </c>
    </row>
    <row r="8941" spans="20:22" x14ac:dyDescent="0.2">
      <c r="T8941" s="22">
        <f t="shared" si="807"/>
        <v>1</v>
      </c>
      <c r="U8941" s="22">
        <f t="shared" si="808"/>
        <v>1900</v>
      </c>
      <c r="V8941" s="22" t="str">
        <f t="shared" si="809"/>
        <v>REGIONES</v>
      </c>
    </row>
    <row r="8942" spans="20:22" x14ac:dyDescent="0.2">
      <c r="T8942" s="22">
        <f t="shared" si="807"/>
        <v>1</v>
      </c>
      <c r="U8942" s="22">
        <f t="shared" si="808"/>
        <v>1900</v>
      </c>
      <c r="V8942" s="22" t="str">
        <f t="shared" si="809"/>
        <v>REGIONES</v>
      </c>
    </row>
    <row r="8943" spans="20:22" x14ac:dyDescent="0.2">
      <c r="T8943" s="22">
        <f t="shared" si="807"/>
        <v>1</v>
      </c>
      <c r="U8943" s="22">
        <f t="shared" si="808"/>
        <v>1900</v>
      </c>
      <c r="V8943" s="22" t="str">
        <f t="shared" si="809"/>
        <v>REGIONES</v>
      </c>
    </row>
    <row r="8944" spans="20:22" x14ac:dyDescent="0.2">
      <c r="T8944" s="22">
        <f t="shared" si="807"/>
        <v>1</v>
      </c>
      <c r="U8944" s="22">
        <f t="shared" si="808"/>
        <v>1900</v>
      </c>
      <c r="V8944" s="22" t="str">
        <f t="shared" si="809"/>
        <v>REGIONES</v>
      </c>
    </row>
    <row r="8945" spans="20:22" x14ac:dyDescent="0.2">
      <c r="T8945" s="22">
        <f t="shared" si="807"/>
        <v>1</v>
      </c>
      <c r="U8945" s="22">
        <f t="shared" si="808"/>
        <v>1900</v>
      </c>
      <c r="V8945" s="22" t="str">
        <f t="shared" si="809"/>
        <v>REGIONES</v>
      </c>
    </row>
    <row r="8946" spans="20:22" x14ac:dyDescent="0.2">
      <c r="T8946" s="22">
        <f t="shared" si="807"/>
        <v>1</v>
      </c>
      <c r="U8946" s="22">
        <f t="shared" si="808"/>
        <v>1900</v>
      </c>
      <c r="V8946" s="22" t="str">
        <f t="shared" si="809"/>
        <v>REGIONES</v>
      </c>
    </row>
    <row r="8947" spans="20:22" x14ac:dyDescent="0.2">
      <c r="T8947" s="22">
        <f t="shared" si="807"/>
        <v>1</v>
      </c>
      <c r="U8947" s="22">
        <f t="shared" si="808"/>
        <v>1900</v>
      </c>
      <c r="V8947" s="22" t="str">
        <f t="shared" si="809"/>
        <v>REGIONES</v>
      </c>
    </row>
    <row r="8948" spans="20:22" x14ac:dyDescent="0.2">
      <c r="T8948" s="22">
        <f t="shared" si="807"/>
        <v>1</v>
      </c>
      <c r="U8948" s="22">
        <f t="shared" si="808"/>
        <v>1900</v>
      </c>
      <c r="V8948" s="22" t="str">
        <f t="shared" si="809"/>
        <v>REGIONES</v>
      </c>
    </row>
    <row r="8949" spans="20:22" x14ac:dyDescent="0.2">
      <c r="T8949" s="22">
        <f t="shared" si="807"/>
        <v>1</v>
      </c>
      <c r="U8949" s="22">
        <f t="shared" si="808"/>
        <v>1900</v>
      </c>
      <c r="V8949" s="22" t="str">
        <f t="shared" si="809"/>
        <v>REGIONES</v>
      </c>
    </row>
    <row r="8950" spans="20:22" x14ac:dyDescent="0.2">
      <c r="T8950" s="22">
        <f t="shared" si="807"/>
        <v>1</v>
      </c>
      <c r="U8950" s="22">
        <f t="shared" si="808"/>
        <v>1900</v>
      </c>
      <c r="V8950" s="22" t="str">
        <f t="shared" si="809"/>
        <v>REGIONES</v>
      </c>
    </row>
    <row r="8951" spans="20:22" x14ac:dyDescent="0.2">
      <c r="T8951" s="22">
        <f t="shared" si="807"/>
        <v>1</v>
      </c>
      <c r="U8951" s="22">
        <f t="shared" si="808"/>
        <v>1900</v>
      </c>
      <c r="V8951" s="22" t="str">
        <f t="shared" si="809"/>
        <v>REGIONES</v>
      </c>
    </row>
    <row r="8952" spans="20:22" x14ac:dyDescent="0.2">
      <c r="T8952" s="22">
        <f t="shared" si="807"/>
        <v>1</v>
      </c>
      <c r="U8952" s="22">
        <f t="shared" si="808"/>
        <v>1900</v>
      </c>
      <c r="V8952" s="22" t="str">
        <f t="shared" si="809"/>
        <v>REGIONES</v>
      </c>
    </row>
    <row r="8953" spans="20:22" x14ac:dyDescent="0.2">
      <c r="T8953" s="22">
        <f t="shared" si="807"/>
        <v>1</v>
      </c>
      <c r="U8953" s="22">
        <f t="shared" si="808"/>
        <v>1900</v>
      </c>
      <c r="V8953" s="22" t="str">
        <f t="shared" si="809"/>
        <v>REGIONES</v>
      </c>
    </row>
    <row r="8954" spans="20:22" x14ac:dyDescent="0.2">
      <c r="T8954" s="22">
        <f t="shared" si="807"/>
        <v>1</v>
      </c>
      <c r="U8954" s="22">
        <f t="shared" si="808"/>
        <v>1900</v>
      </c>
      <c r="V8954" s="22" t="str">
        <f t="shared" si="809"/>
        <v>REGIONES</v>
      </c>
    </row>
    <row r="8955" spans="20:22" x14ac:dyDescent="0.2">
      <c r="T8955" s="22">
        <f t="shared" si="807"/>
        <v>1</v>
      </c>
      <c r="U8955" s="22">
        <f t="shared" si="808"/>
        <v>1900</v>
      </c>
      <c r="V8955" s="22" t="str">
        <f t="shared" si="809"/>
        <v>REGIONES</v>
      </c>
    </row>
    <row r="8956" spans="20:22" x14ac:dyDescent="0.2">
      <c r="T8956" s="22">
        <f t="shared" si="807"/>
        <v>1</v>
      </c>
      <c r="U8956" s="22">
        <f t="shared" si="808"/>
        <v>1900</v>
      </c>
      <c r="V8956" s="22" t="str">
        <f t="shared" si="809"/>
        <v>REGIONES</v>
      </c>
    </row>
    <row r="8957" spans="20:22" x14ac:dyDescent="0.2">
      <c r="T8957" s="22">
        <f t="shared" si="807"/>
        <v>1</v>
      </c>
      <c r="U8957" s="22">
        <f t="shared" si="808"/>
        <v>1900</v>
      </c>
      <c r="V8957" s="22" t="str">
        <f t="shared" si="809"/>
        <v>REGIONES</v>
      </c>
    </row>
    <row r="8958" spans="20:22" x14ac:dyDescent="0.2">
      <c r="T8958" s="22">
        <f t="shared" si="807"/>
        <v>1</v>
      </c>
      <c r="U8958" s="22">
        <f t="shared" si="808"/>
        <v>1900</v>
      </c>
      <c r="V8958" s="22" t="str">
        <f t="shared" si="809"/>
        <v>REGIONES</v>
      </c>
    </row>
    <row r="8959" spans="20:22" x14ac:dyDescent="0.2">
      <c r="T8959" s="22">
        <f t="shared" si="807"/>
        <v>1</v>
      </c>
      <c r="U8959" s="22">
        <f t="shared" si="808"/>
        <v>1900</v>
      </c>
      <c r="V8959" s="22" t="str">
        <f t="shared" si="809"/>
        <v>REGIONES</v>
      </c>
    </row>
    <row r="8960" spans="20:22" x14ac:dyDescent="0.2">
      <c r="T8960" s="22">
        <f t="shared" si="807"/>
        <v>1</v>
      </c>
      <c r="U8960" s="22">
        <f t="shared" si="808"/>
        <v>1900</v>
      </c>
      <c r="V8960" s="22" t="str">
        <f t="shared" si="809"/>
        <v>REGIONES</v>
      </c>
    </row>
    <row r="8961" spans="20:22" x14ac:dyDescent="0.2">
      <c r="T8961" s="22">
        <f t="shared" si="807"/>
        <v>1</v>
      </c>
      <c r="U8961" s="22">
        <f t="shared" si="808"/>
        <v>1900</v>
      </c>
      <c r="V8961" s="22" t="str">
        <f t="shared" si="809"/>
        <v>REGIONES</v>
      </c>
    </row>
    <row r="8962" spans="20:22" x14ac:dyDescent="0.2">
      <c r="T8962" s="22">
        <f t="shared" ref="T8962:T9003" si="810">MONTH(A8962)</f>
        <v>1</v>
      </c>
      <c r="U8962" s="22">
        <f t="shared" ref="U8962:U9003" si="811">YEAR(A8962)</f>
        <v>1900</v>
      </c>
      <c r="V8962" s="22" t="str">
        <f t="shared" ref="V8962:V9003" si="812">IF(K8962="METROPOLITANA DE SANTIAGO","METROPOLITANA","REGIONES")</f>
        <v>REGIONES</v>
      </c>
    </row>
    <row r="8963" spans="20:22" x14ac:dyDescent="0.2">
      <c r="T8963" s="22">
        <f t="shared" si="810"/>
        <v>1</v>
      </c>
      <c r="U8963" s="22">
        <f t="shared" si="811"/>
        <v>1900</v>
      </c>
      <c r="V8963" s="22" t="str">
        <f t="shared" si="812"/>
        <v>REGIONES</v>
      </c>
    </row>
    <row r="8964" spans="20:22" x14ac:dyDescent="0.2">
      <c r="T8964" s="22">
        <f t="shared" si="810"/>
        <v>1</v>
      </c>
      <c r="U8964" s="22">
        <f t="shared" si="811"/>
        <v>1900</v>
      </c>
      <c r="V8964" s="22" t="str">
        <f t="shared" si="812"/>
        <v>REGIONES</v>
      </c>
    </row>
    <row r="8965" spans="20:22" x14ac:dyDescent="0.2">
      <c r="T8965" s="22">
        <f t="shared" si="810"/>
        <v>1</v>
      </c>
      <c r="U8965" s="22">
        <f t="shared" si="811"/>
        <v>1900</v>
      </c>
      <c r="V8965" s="22" t="str">
        <f t="shared" si="812"/>
        <v>REGIONES</v>
      </c>
    </row>
    <row r="8966" spans="20:22" x14ac:dyDescent="0.2">
      <c r="T8966" s="22">
        <f t="shared" si="810"/>
        <v>1</v>
      </c>
      <c r="U8966" s="22">
        <f t="shared" si="811"/>
        <v>1900</v>
      </c>
      <c r="V8966" s="22" t="str">
        <f t="shared" si="812"/>
        <v>REGIONES</v>
      </c>
    </row>
    <row r="8967" spans="20:22" x14ac:dyDescent="0.2">
      <c r="T8967" s="22">
        <f t="shared" si="810"/>
        <v>1</v>
      </c>
      <c r="U8967" s="22">
        <f t="shared" si="811"/>
        <v>1900</v>
      </c>
      <c r="V8967" s="22" t="str">
        <f t="shared" si="812"/>
        <v>REGIONES</v>
      </c>
    </row>
    <row r="8968" spans="20:22" x14ac:dyDescent="0.2">
      <c r="T8968" s="22">
        <f t="shared" si="810"/>
        <v>1</v>
      </c>
      <c r="U8968" s="22">
        <f t="shared" si="811"/>
        <v>1900</v>
      </c>
      <c r="V8968" s="22" t="str">
        <f t="shared" si="812"/>
        <v>REGIONES</v>
      </c>
    </row>
    <row r="8969" spans="20:22" x14ac:dyDescent="0.2">
      <c r="T8969" s="22">
        <f t="shared" si="810"/>
        <v>1</v>
      </c>
      <c r="U8969" s="22">
        <f t="shared" si="811"/>
        <v>1900</v>
      </c>
      <c r="V8969" s="22" t="str">
        <f t="shared" si="812"/>
        <v>REGIONES</v>
      </c>
    </row>
    <row r="8970" spans="20:22" x14ac:dyDescent="0.2">
      <c r="T8970" s="22">
        <f t="shared" si="810"/>
        <v>1</v>
      </c>
      <c r="U8970" s="22">
        <f t="shared" si="811"/>
        <v>1900</v>
      </c>
      <c r="V8970" s="22" t="str">
        <f t="shared" si="812"/>
        <v>REGIONES</v>
      </c>
    </row>
    <row r="8971" spans="20:22" x14ac:dyDescent="0.2">
      <c r="T8971" s="22">
        <f t="shared" si="810"/>
        <v>1</v>
      </c>
      <c r="U8971" s="22">
        <f t="shared" si="811"/>
        <v>1900</v>
      </c>
      <c r="V8971" s="22" t="str">
        <f t="shared" si="812"/>
        <v>REGIONES</v>
      </c>
    </row>
    <row r="8972" spans="20:22" x14ac:dyDescent="0.2">
      <c r="T8972" s="22">
        <f t="shared" si="810"/>
        <v>1</v>
      </c>
      <c r="U8972" s="22">
        <f t="shared" si="811"/>
        <v>1900</v>
      </c>
      <c r="V8972" s="22" t="str">
        <f t="shared" si="812"/>
        <v>REGIONES</v>
      </c>
    </row>
    <row r="8973" spans="20:22" x14ac:dyDescent="0.2">
      <c r="T8973" s="22">
        <f t="shared" si="810"/>
        <v>1</v>
      </c>
      <c r="U8973" s="22">
        <f t="shared" si="811"/>
        <v>1900</v>
      </c>
      <c r="V8973" s="22" t="str">
        <f t="shared" si="812"/>
        <v>REGIONES</v>
      </c>
    </row>
    <row r="8974" spans="20:22" x14ac:dyDescent="0.2">
      <c r="T8974" s="22">
        <f t="shared" si="810"/>
        <v>1</v>
      </c>
      <c r="U8974" s="22">
        <f t="shared" si="811"/>
        <v>1900</v>
      </c>
      <c r="V8974" s="22" t="str">
        <f t="shared" si="812"/>
        <v>REGIONES</v>
      </c>
    </row>
    <row r="8975" spans="20:22" x14ac:dyDescent="0.2">
      <c r="T8975" s="22">
        <f t="shared" si="810"/>
        <v>1</v>
      </c>
      <c r="U8975" s="22">
        <f t="shared" si="811"/>
        <v>1900</v>
      </c>
      <c r="V8975" s="22" t="str">
        <f t="shared" si="812"/>
        <v>REGIONES</v>
      </c>
    </row>
    <row r="8976" spans="20:22" x14ac:dyDescent="0.2">
      <c r="T8976" s="22">
        <f t="shared" si="810"/>
        <v>1</v>
      </c>
      <c r="U8976" s="22">
        <f t="shared" si="811"/>
        <v>1900</v>
      </c>
      <c r="V8976" s="22" t="str">
        <f t="shared" si="812"/>
        <v>REGIONES</v>
      </c>
    </row>
    <row r="8977" spans="20:22" x14ac:dyDescent="0.2">
      <c r="T8977" s="22">
        <f t="shared" si="810"/>
        <v>1</v>
      </c>
      <c r="U8977" s="22">
        <f t="shared" si="811"/>
        <v>1900</v>
      </c>
      <c r="V8977" s="22" t="str">
        <f t="shared" si="812"/>
        <v>REGIONES</v>
      </c>
    </row>
    <row r="8978" spans="20:22" x14ac:dyDescent="0.2">
      <c r="T8978" s="22">
        <f t="shared" si="810"/>
        <v>1</v>
      </c>
      <c r="U8978" s="22">
        <f t="shared" si="811"/>
        <v>1900</v>
      </c>
      <c r="V8978" s="22" t="str">
        <f t="shared" si="812"/>
        <v>REGIONES</v>
      </c>
    </row>
    <row r="8979" spans="20:22" x14ac:dyDescent="0.2">
      <c r="T8979" s="22">
        <f t="shared" si="810"/>
        <v>1</v>
      </c>
      <c r="U8979" s="22">
        <f t="shared" si="811"/>
        <v>1900</v>
      </c>
      <c r="V8979" s="22" t="str">
        <f t="shared" si="812"/>
        <v>REGIONES</v>
      </c>
    </row>
    <row r="8980" spans="20:22" x14ac:dyDescent="0.2">
      <c r="T8980" s="22">
        <f t="shared" si="810"/>
        <v>1</v>
      </c>
      <c r="U8980" s="22">
        <f t="shared" si="811"/>
        <v>1900</v>
      </c>
      <c r="V8980" s="22" t="str">
        <f t="shared" si="812"/>
        <v>REGIONES</v>
      </c>
    </row>
    <row r="8981" spans="20:22" x14ac:dyDescent="0.2">
      <c r="T8981" s="22">
        <f t="shared" si="810"/>
        <v>1</v>
      </c>
      <c r="U8981" s="22">
        <f t="shared" si="811"/>
        <v>1900</v>
      </c>
      <c r="V8981" s="22" t="str">
        <f t="shared" si="812"/>
        <v>REGIONES</v>
      </c>
    </row>
    <row r="8982" spans="20:22" x14ac:dyDescent="0.2">
      <c r="T8982" s="22">
        <f t="shared" si="810"/>
        <v>1</v>
      </c>
      <c r="U8982" s="22">
        <f t="shared" si="811"/>
        <v>1900</v>
      </c>
      <c r="V8982" s="22" t="str">
        <f t="shared" si="812"/>
        <v>REGIONES</v>
      </c>
    </row>
    <row r="8983" spans="20:22" x14ac:dyDescent="0.2">
      <c r="T8983" s="22">
        <f t="shared" si="810"/>
        <v>1</v>
      </c>
      <c r="U8983" s="22">
        <f t="shared" si="811"/>
        <v>1900</v>
      </c>
      <c r="V8983" s="22" t="str">
        <f t="shared" si="812"/>
        <v>REGIONES</v>
      </c>
    </row>
    <row r="8984" spans="20:22" x14ac:dyDescent="0.2">
      <c r="T8984" s="22">
        <f t="shared" si="810"/>
        <v>1</v>
      </c>
      <c r="U8984" s="22">
        <f t="shared" si="811"/>
        <v>1900</v>
      </c>
      <c r="V8984" s="22" t="str">
        <f t="shared" si="812"/>
        <v>REGIONES</v>
      </c>
    </row>
    <row r="8985" spans="20:22" x14ac:dyDescent="0.2">
      <c r="T8985" s="22">
        <f t="shared" si="810"/>
        <v>1</v>
      </c>
      <c r="U8985" s="22">
        <f t="shared" si="811"/>
        <v>1900</v>
      </c>
      <c r="V8985" s="22" t="str">
        <f t="shared" si="812"/>
        <v>REGIONES</v>
      </c>
    </row>
    <row r="8986" spans="20:22" x14ac:dyDescent="0.2">
      <c r="T8986" s="22">
        <f t="shared" si="810"/>
        <v>1</v>
      </c>
      <c r="U8986" s="22">
        <f t="shared" si="811"/>
        <v>1900</v>
      </c>
      <c r="V8986" s="22" t="str">
        <f t="shared" si="812"/>
        <v>REGIONES</v>
      </c>
    </row>
    <row r="8987" spans="20:22" x14ac:dyDescent="0.2">
      <c r="T8987" s="22">
        <f t="shared" si="810"/>
        <v>1</v>
      </c>
      <c r="U8987" s="22">
        <f t="shared" si="811"/>
        <v>1900</v>
      </c>
      <c r="V8987" s="22" t="str">
        <f t="shared" si="812"/>
        <v>REGIONES</v>
      </c>
    </row>
    <row r="8988" spans="20:22" x14ac:dyDescent="0.2">
      <c r="T8988" s="22">
        <f t="shared" si="810"/>
        <v>1</v>
      </c>
      <c r="U8988" s="22">
        <f t="shared" si="811"/>
        <v>1900</v>
      </c>
      <c r="V8988" s="22" t="str">
        <f t="shared" si="812"/>
        <v>REGIONES</v>
      </c>
    </row>
    <row r="8989" spans="20:22" x14ac:dyDescent="0.2">
      <c r="T8989" s="22">
        <f t="shared" si="810"/>
        <v>1</v>
      </c>
      <c r="U8989" s="22">
        <f t="shared" si="811"/>
        <v>1900</v>
      </c>
      <c r="V8989" s="22" t="str">
        <f t="shared" si="812"/>
        <v>REGIONES</v>
      </c>
    </row>
    <row r="8990" spans="20:22" x14ac:dyDescent="0.2">
      <c r="T8990" s="22">
        <f t="shared" si="810"/>
        <v>1</v>
      </c>
      <c r="U8990" s="22">
        <f t="shared" si="811"/>
        <v>1900</v>
      </c>
      <c r="V8990" s="22" t="str">
        <f t="shared" si="812"/>
        <v>REGIONES</v>
      </c>
    </row>
    <row r="8991" spans="20:22" x14ac:dyDescent="0.2">
      <c r="T8991" s="22">
        <f t="shared" si="810"/>
        <v>1</v>
      </c>
      <c r="U8991" s="22">
        <f t="shared" si="811"/>
        <v>1900</v>
      </c>
      <c r="V8991" s="22" t="str">
        <f t="shared" si="812"/>
        <v>REGIONES</v>
      </c>
    </row>
    <row r="8992" spans="20:22" x14ac:dyDescent="0.2">
      <c r="T8992" s="22">
        <f t="shared" si="810"/>
        <v>1</v>
      </c>
      <c r="U8992" s="22">
        <f t="shared" si="811"/>
        <v>1900</v>
      </c>
      <c r="V8992" s="22" t="str">
        <f t="shared" si="812"/>
        <v>REGIONES</v>
      </c>
    </row>
    <row r="8993" spans="20:22" x14ac:dyDescent="0.2">
      <c r="T8993" s="22">
        <f t="shared" si="810"/>
        <v>1</v>
      </c>
      <c r="U8993" s="22">
        <f t="shared" si="811"/>
        <v>1900</v>
      </c>
      <c r="V8993" s="22" t="str">
        <f t="shared" si="812"/>
        <v>REGIONES</v>
      </c>
    </row>
    <row r="8994" spans="20:22" x14ac:dyDescent="0.2">
      <c r="T8994" s="22">
        <f t="shared" si="810"/>
        <v>1</v>
      </c>
      <c r="U8994" s="22">
        <f t="shared" si="811"/>
        <v>1900</v>
      </c>
      <c r="V8994" s="22" t="str">
        <f t="shared" si="812"/>
        <v>REGIONES</v>
      </c>
    </row>
    <row r="8995" spans="20:22" x14ac:dyDescent="0.2">
      <c r="T8995" s="22">
        <f t="shared" si="810"/>
        <v>1</v>
      </c>
      <c r="U8995" s="22">
        <f t="shared" si="811"/>
        <v>1900</v>
      </c>
      <c r="V8995" s="22" t="str">
        <f t="shared" si="812"/>
        <v>REGIONES</v>
      </c>
    </row>
    <row r="8996" spans="20:22" x14ac:dyDescent="0.2">
      <c r="T8996" s="22">
        <f t="shared" si="810"/>
        <v>1</v>
      </c>
      <c r="U8996" s="22">
        <f t="shared" si="811"/>
        <v>1900</v>
      </c>
      <c r="V8996" s="22" t="str">
        <f t="shared" si="812"/>
        <v>REGIONES</v>
      </c>
    </row>
    <row r="8997" spans="20:22" x14ac:dyDescent="0.2">
      <c r="T8997" s="22">
        <f t="shared" si="810"/>
        <v>1</v>
      </c>
      <c r="U8997" s="22">
        <f t="shared" si="811"/>
        <v>1900</v>
      </c>
      <c r="V8997" s="22" t="str">
        <f t="shared" si="812"/>
        <v>REGIONES</v>
      </c>
    </row>
    <row r="8998" spans="20:22" x14ac:dyDescent="0.2">
      <c r="T8998" s="22">
        <f t="shared" si="810"/>
        <v>1</v>
      </c>
      <c r="U8998" s="22">
        <f t="shared" si="811"/>
        <v>1900</v>
      </c>
      <c r="V8998" s="22" t="str">
        <f t="shared" si="812"/>
        <v>REGIONES</v>
      </c>
    </row>
    <row r="8999" spans="20:22" x14ac:dyDescent="0.2">
      <c r="T8999" s="22">
        <f t="shared" si="810"/>
        <v>1</v>
      </c>
      <c r="U8999" s="22">
        <f t="shared" si="811"/>
        <v>1900</v>
      </c>
      <c r="V8999" s="22" t="str">
        <f t="shared" si="812"/>
        <v>REGIONES</v>
      </c>
    </row>
    <row r="9000" spans="20:22" x14ac:dyDescent="0.2">
      <c r="T9000" s="22">
        <f t="shared" si="810"/>
        <v>1</v>
      </c>
      <c r="U9000" s="22">
        <f t="shared" si="811"/>
        <v>1900</v>
      </c>
      <c r="V9000" s="22" t="str">
        <f t="shared" si="812"/>
        <v>REGIONES</v>
      </c>
    </row>
    <row r="9001" spans="20:22" x14ac:dyDescent="0.2">
      <c r="T9001" s="22">
        <f t="shared" si="810"/>
        <v>1</v>
      </c>
      <c r="U9001" s="22">
        <f t="shared" si="811"/>
        <v>1900</v>
      </c>
      <c r="V9001" s="22" t="str">
        <f t="shared" si="812"/>
        <v>REGIONES</v>
      </c>
    </row>
    <row r="9002" spans="20:22" x14ac:dyDescent="0.2">
      <c r="T9002" s="22">
        <f t="shared" si="810"/>
        <v>1</v>
      </c>
      <c r="U9002" s="22">
        <f t="shared" si="811"/>
        <v>1900</v>
      </c>
      <c r="V9002" s="22" t="str">
        <f t="shared" si="812"/>
        <v>REGIONES</v>
      </c>
    </row>
    <row r="9003" spans="20:22" x14ac:dyDescent="0.2">
      <c r="T9003" s="22">
        <f t="shared" si="810"/>
        <v>1</v>
      </c>
      <c r="U9003" s="22">
        <f t="shared" si="811"/>
        <v>1900</v>
      </c>
      <c r="V9003" s="22" t="str">
        <f t="shared" si="812"/>
        <v>REGIONES</v>
      </c>
    </row>
  </sheetData>
  <autoFilter ref="A1:V9003" xr:uid="{3881A7DB-CA8D-4A9C-B3F2-C1B9F81FE7E3}"/>
  <phoneticPr fontId="9" type="noConversion"/>
  <conditionalFormatting sqref="G1:G1048576">
    <cfRule type="cellIs" dxfId="3" priority="24" operator="lessThan">
      <formula>1000</formula>
    </cfRule>
  </conditionalFormatting>
  <conditionalFormatting sqref="M1:M1657 M2735:M1048576">
    <cfRule type="cellIs" dxfId="2" priority="23" operator="equal">
      <formula>0</formula>
    </cfRule>
  </conditionalFormatting>
  <conditionalFormatting sqref="M1659:M2733">
    <cfRule type="cellIs" dxfId="1" priority="2" operator="equal">
      <formula>0</formula>
    </cfRule>
  </conditionalFormatting>
  <conditionalFormatting sqref="P1:P1048576">
    <cfRule type="cellIs" dxfId="0" priority="22" operator="greaterThan">
      <formula>100</formula>
    </cfRule>
  </conditionalFormatting>
  <pageMargins left="0.75" right="0.75" top="1" bottom="1" header="0.5" footer="0.5"/>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18977C2B87D55459A29777912AA3B40" ma:contentTypeVersion="13" ma:contentTypeDescription="Crear nuevo documento." ma:contentTypeScope="" ma:versionID="ca9f0a240a5ce2281ce7f04ed844b72c">
  <xsd:schema xmlns:xsd="http://www.w3.org/2001/XMLSchema" xmlns:xs="http://www.w3.org/2001/XMLSchema" xmlns:p="http://schemas.microsoft.com/office/2006/metadata/properties" xmlns:ns2="8f90f768-90ee-4f9a-833a-8739da2eec9b" xmlns:ns3="0825168e-ed32-4c7d-9feb-611c91836561" targetNamespace="http://schemas.microsoft.com/office/2006/metadata/properties" ma:root="true" ma:fieldsID="f1783ec5b9ab00fc9e8c9debfa0c5e0d" ns2:_="" ns3:_="">
    <xsd:import namespace="8f90f768-90ee-4f9a-833a-8739da2eec9b"/>
    <xsd:import namespace="0825168e-ed32-4c7d-9feb-611c9183656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90f768-90ee-4f9a-833a-8739da2eec9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Etiquetas de imagen" ma:readOnly="false" ma:fieldId="{5cf76f15-5ced-4ddc-b409-7134ff3c332f}" ma:taxonomyMulti="true" ma:sspId="eead0818-f1ee-459d-8120-f025bca4e154"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825168e-ed32-4c7d-9feb-611c91836561"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f4a02857-3ec2-48c1-97bd-c679bc9c8240}" ma:internalName="TaxCatchAll" ma:showField="CatchAllData" ma:web="0825168e-ed32-4c7d-9feb-611c91836561">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f90f768-90ee-4f9a-833a-8739da2eec9b">
      <Terms xmlns="http://schemas.microsoft.com/office/infopath/2007/PartnerControls"/>
    </lcf76f155ced4ddcb4097134ff3c332f>
    <TaxCatchAll xmlns="0825168e-ed32-4c7d-9feb-611c91836561" xsi:nil="true"/>
  </documentManagement>
</p:properties>
</file>

<file path=customXml/itemProps1.xml><?xml version="1.0" encoding="utf-8"?>
<ds:datastoreItem xmlns:ds="http://schemas.openxmlformats.org/officeDocument/2006/customXml" ds:itemID="{AE996794-E079-42BB-8C59-8D06305B5A3A}"/>
</file>

<file path=customXml/itemProps2.xml><?xml version="1.0" encoding="utf-8"?>
<ds:datastoreItem xmlns:ds="http://schemas.openxmlformats.org/officeDocument/2006/customXml" ds:itemID="{FC347A06-1F9A-4536-8F73-B19DDE467C9F}"/>
</file>

<file path=customXml/itemProps3.xml><?xml version="1.0" encoding="utf-8"?>
<ds:datastoreItem xmlns:ds="http://schemas.openxmlformats.org/officeDocument/2006/customXml" ds:itemID="{3D7B0467-8738-43D9-AC1A-0586083DCCB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PROYECTO BMS</vt:lpstr>
      <vt:lpstr>Ocupacion 2021</vt:lpstr>
      <vt:lpstr>$-kilo-coronel</vt:lpstr>
      <vt:lpstr>$-kilo</vt:lpstr>
      <vt:lpstr>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Mauricio Arévalo</cp:lastModifiedBy>
  <cp:lastPrinted>2022-03-30T17:33:18Z</cp:lastPrinted>
  <dcterms:created xsi:type="dcterms:W3CDTF">2020-09-25T10:21:27Z</dcterms:created>
  <dcterms:modified xsi:type="dcterms:W3CDTF">2023-12-22T13:21:21Z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120 120 1920 1080</vt:lpwstr>
  </property>
  <property fmtid="{D5CDD505-2E9C-101B-9397-08002B2CF9AE}" pid="3" name="ContentTypeId">
    <vt:lpwstr>0x010100718977C2B87D55459A29777912AA3B40</vt:lpwstr>
  </property>
</Properties>
</file>